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externalLinks/externalLink6.xml" ContentType="application/vnd.openxmlformats-officedocument.spreadsheetml.externalLink+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externalLinks/externalLink2.xml" ContentType="application/vnd.openxmlformats-officedocument.spreadsheetml.externalLink+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externalLinks/externalLink7.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externalLinks/externalLink8.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externalLinks/externalLink4.xml" ContentType="application/vnd.openxmlformats-officedocument.spreadsheetml.externalLink+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externalLinks/externalLink9.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30" yWindow="-60" windowWidth="11595" windowHeight="9615" tabRatio="915"/>
  </bookViews>
  <sheets>
    <sheet name="List of Tables" sheetId="302" r:id="rId1"/>
    <sheet name="1" sheetId="1" r:id="rId2"/>
    <sheet name="2a" sheetId="8" r:id="rId3"/>
    <sheet name="2b" sheetId="77" r:id="rId4"/>
    <sheet name="2c" sheetId="78" r:id="rId5"/>
    <sheet name="2d" sheetId="328" r:id="rId6"/>
    <sheet name="2e" sheetId="329" r:id="rId7"/>
    <sheet name="3a" sheetId="25" r:id="rId8"/>
    <sheet name="3b" sheetId="221" r:id="rId9"/>
    <sheet name="4" sheetId="222" r:id="rId10"/>
    <sheet name="5" sheetId="223" r:id="rId11"/>
    <sheet name="6a" sheetId="474" r:id="rId12"/>
    <sheet name="6b" sheetId="224" r:id="rId13"/>
    <sheet name="6c" sheetId="473" r:id="rId14"/>
    <sheet name="6d" sheetId="475" r:id="rId15"/>
    <sheet name="6e" sheetId="476" r:id="rId16"/>
    <sheet name="7a" sheetId="225" r:id="rId17"/>
    <sheet name="7b" sheetId="226" r:id="rId18"/>
    <sheet name="7c" sheetId="469" r:id="rId19"/>
    <sheet name="7d" sheetId="470" r:id="rId20"/>
    <sheet name="8a" sheetId="227" r:id="rId21"/>
    <sheet name="8b" sheetId="228" r:id="rId22"/>
    <sheet name="8c" sheetId="229" r:id="rId23"/>
    <sheet name="8d" sheetId="230" r:id="rId24"/>
    <sheet name="9a" sheetId="231" r:id="rId25"/>
    <sheet name="9b" sheetId="232" r:id="rId26"/>
    <sheet name="9c" sheetId="233" r:id="rId27"/>
    <sheet name="9d" sheetId="234" r:id="rId28"/>
    <sheet name="10a" sheetId="235" r:id="rId29"/>
    <sheet name="10b" sheetId="236" r:id="rId30"/>
    <sheet name="10c" sheetId="237" r:id="rId31"/>
    <sheet name="10d" sheetId="320" r:id="rId32"/>
    <sheet name="10e" sheetId="238" r:id="rId33"/>
    <sheet name="10f" sheetId="239" r:id="rId34"/>
    <sheet name="10g" sheetId="321" r:id="rId35"/>
    <sheet name="11a" sheetId="240" r:id="rId36"/>
    <sheet name="11b" sheetId="241" r:id="rId37"/>
    <sheet name="11c" sheetId="242" r:id="rId38"/>
    <sheet name="11d" sheetId="243" r:id="rId39"/>
    <sheet name="11e" sheetId="244" r:id="rId40"/>
    <sheet name="11f" sheetId="245" r:id="rId41"/>
    <sheet name="11g" sheetId="246" r:id="rId42"/>
    <sheet name="11h" sheetId="314" r:id="rId43"/>
    <sheet name="11i" sheetId="315" r:id="rId44"/>
    <sheet name="11j" sheetId="316" r:id="rId45"/>
    <sheet name="12a" sheetId="247" r:id="rId46"/>
    <sheet name="12b" sheetId="248" r:id="rId47"/>
    <sheet name="12c" sheetId="249" r:id="rId48"/>
    <sheet name="12d" sheetId="250" r:id="rId49"/>
    <sheet name="12e" sheetId="251" r:id="rId50"/>
    <sheet name="12f" sheetId="252" r:id="rId51"/>
    <sheet name="12g" sheetId="317" r:id="rId52"/>
    <sheet name="12h" sheetId="318" r:id="rId53"/>
    <sheet name="12i" sheetId="319" r:id="rId54"/>
    <sheet name="13a" sheetId="27" r:id="rId55"/>
    <sheet name="13b" sheetId="31" r:id="rId56"/>
    <sheet name="13c" sheetId="253" r:id="rId57"/>
    <sheet name="13d" sheetId="303" r:id="rId58"/>
    <sheet name="13e" sheetId="304" r:id="rId59"/>
    <sheet name="13f" sheetId="254" r:id="rId60"/>
    <sheet name="14a" sheetId="255" r:id="rId61"/>
    <sheet name="14b" sheetId="256" r:id="rId62"/>
    <sheet name="14c" sheetId="257" r:id="rId63"/>
    <sheet name="14d" sheetId="258" r:id="rId64"/>
    <sheet name="14e" sheetId="259" r:id="rId65"/>
    <sheet name="14f" sheetId="260" r:id="rId66"/>
    <sheet name="15a" sheetId="261" r:id="rId67"/>
    <sheet name="15b" sheetId="262" r:id="rId68"/>
    <sheet name="15c" sheetId="263" r:id="rId69"/>
    <sheet name="15d" sheetId="264" r:id="rId70"/>
    <sheet name="15e" sheetId="265" r:id="rId71"/>
    <sheet name="15f" sheetId="266" r:id="rId72"/>
    <sheet name="16a" sheetId="267" r:id="rId73"/>
    <sheet name="16b" sheetId="268" r:id="rId74"/>
    <sheet name="16c" sheetId="305" r:id="rId75"/>
    <sheet name="16d" sheetId="306" r:id="rId76"/>
    <sheet name="16e" sheetId="269" r:id="rId77"/>
    <sheet name="16f" sheetId="308" r:id="rId78"/>
    <sheet name="16g" sheetId="309" r:id="rId79"/>
    <sheet name="16h" sheetId="310" r:id="rId80"/>
    <sheet name="16i" sheetId="322" r:id="rId81"/>
    <sheet name="16j" sheetId="323" r:id="rId82"/>
    <sheet name="16k" sheetId="325" r:id="rId83"/>
    <sheet name="16l" sheetId="326" r:id="rId84"/>
    <sheet name="17a" sheetId="270" r:id="rId85"/>
    <sheet name="17b" sheetId="271" r:id="rId86"/>
    <sheet name="17c" sheetId="324" r:id="rId87"/>
    <sheet name="18a" sheetId="34" r:id="rId88"/>
    <sheet name="18b" sheetId="356" r:id="rId89"/>
    <sheet name="19a" sheetId="119" r:id="rId90"/>
    <sheet name="19b" sheetId="118" r:id="rId91"/>
    <sheet name="19c" sheetId="330" r:id="rId92"/>
    <sheet name="19d" sheetId="331" r:id="rId93"/>
    <sheet name="19e" sheetId="332" r:id="rId94"/>
    <sheet name="19f" sheetId="333" r:id="rId95"/>
    <sheet name="19g" sheetId="334" r:id="rId96"/>
    <sheet name="19H" sheetId="453" r:id="rId97"/>
    <sheet name="19I" sheetId="454" r:id="rId98"/>
    <sheet name="20a" sheetId="272" r:id="rId99"/>
    <sheet name="20b" sheetId="273" r:id="rId100"/>
    <sheet name="21" sheetId="274" r:id="rId101"/>
    <sheet name="22a" sheetId="275" r:id="rId102"/>
    <sheet name="22b" sheetId="276" r:id="rId103"/>
    <sheet name="22c" sheetId="277" r:id="rId104"/>
    <sheet name="22d" sheetId="313" r:id="rId105"/>
    <sheet name="23" sheetId="279" r:id="rId106"/>
    <sheet name="24a" sheetId="280" r:id="rId107"/>
    <sheet name="24b" sheetId="281" r:id="rId108"/>
    <sheet name="24c" sheetId="282" r:id="rId109"/>
    <sheet name="24d" sheetId="283" r:id="rId110"/>
    <sheet name="24e" sheetId="284" r:id="rId111"/>
    <sheet name="24f" sheetId="285" r:id="rId112"/>
    <sheet name="25a" sheetId="286" r:id="rId113"/>
    <sheet name="25b" sheetId="486" r:id="rId114"/>
    <sheet name="26a" sheetId="106" r:id="rId115"/>
    <sheet name="26b" sheetId="107" r:id="rId116"/>
    <sheet name="26c" sheetId="108" r:id="rId117"/>
    <sheet name="26d" sheetId="109" r:id="rId118"/>
    <sheet name="26e" sheetId="110" r:id="rId119"/>
    <sheet name="27" sheetId="111" r:id="rId120"/>
    <sheet name="28a" sheetId="112" r:id="rId121"/>
    <sheet name="28b" sheetId="153" r:id="rId122"/>
    <sheet name="28c" sheetId="115" r:id="rId123"/>
    <sheet name="28d" sheetId="491" r:id="rId124"/>
    <sheet name="29a" sheetId="116" r:id="rId125"/>
    <sheet name="29b" sheetId="117" r:id="rId126"/>
    <sheet name="30" sheetId="122" r:id="rId127"/>
    <sheet name="31" sheetId="149" r:id="rId128"/>
    <sheet name="32" sheetId="287" r:id="rId129"/>
    <sheet name="33" sheetId="288" r:id="rId130"/>
    <sheet name="Sheet1" sheetId="468" state="hidden" r:id="rId131"/>
    <sheet name="34a" sheetId="353" r:id="rId132"/>
    <sheet name="34b" sheetId="354" r:id="rId133"/>
    <sheet name="35a" sheetId="202" r:id="rId134"/>
    <sheet name="35b" sheetId="203" r:id="rId135"/>
    <sheet name="35c" sheetId="204" r:id="rId136"/>
    <sheet name="35d" sheetId="205" r:id="rId137"/>
    <sheet name="36" sheetId="206" r:id="rId138"/>
    <sheet name="36a" sheetId="450" r:id="rId139"/>
    <sheet name="36b" sheetId="451" r:id="rId140"/>
    <sheet name="37" sheetId="207" r:id="rId141"/>
    <sheet name="37a" sheetId="208" r:id="rId142"/>
    <sheet name="37b" sheetId="210" r:id="rId143"/>
    <sheet name="37c" sheetId="211" r:id="rId144"/>
    <sheet name="37d" sheetId="212" r:id="rId145"/>
    <sheet name="37e" sheetId="213" r:id="rId146"/>
    <sheet name="37f" sheetId="214" r:id="rId147"/>
    <sheet name="37g" sheetId="215" r:id="rId148"/>
    <sheet name="37h" sheetId="216" r:id="rId149"/>
    <sheet name="37i" sheetId="217" r:id="rId150"/>
    <sheet name="37j" sheetId="218" r:id="rId151"/>
    <sheet name="38" sheetId="209" r:id="rId152"/>
    <sheet name="38a" sheetId="493" r:id="rId153"/>
    <sheet name="38b" sheetId="494" r:id="rId154"/>
    <sheet name="39" sheetId="219" r:id="rId155"/>
    <sheet name="40" sheetId="220" r:id="rId156"/>
    <sheet name="41" sheetId="307" r:id="rId157"/>
    <sheet name="42" sheetId="327" r:id="rId158"/>
    <sheet name="43" sheetId="335" r:id="rId159"/>
    <sheet name="43a" sheetId="504" r:id="rId160"/>
    <sheet name="43b" sheetId="505" r:id="rId161"/>
    <sheet name="44a" sheetId="336" r:id="rId162"/>
    <sheet name="44b" sheetId="337" r:id="rId163"/>
    <sheet name="44c" sheetId="338" r:id="rId164"/>
    <sheet name="44d" sheetId="503" r:id="rId165"/>
    <sheet name="45a" sheetId="340" r:id="rId166"/>
    <sheet name="45b" sheetId="342" r:id="rId167"/>
    <sheet name="45c" sheetId="343" r:id="rId168"/>
    <sheet name="46" sheetId="344" r:id="rId169"/>
    <sheet name="47" sheetId="345" r:id="rId170"/>
    <sheet name="47a" sheetId="346" r:id="rId171"/>
    <sheet name="47b" sheetId="347" r:id="rId172"/>
    <sheet name="47c" sheetId="348" r:id="rId173"/>
    <sheet name="47d" sheetId="349" r:id="rId174"/>
    <sheet name="48" sheetId="350" r:id="rId175"/>
    <sheet name="49" sheetId="351" r:id="rId176"/>
    <sheet name="50" sheetId="352" r:id="rId177"/>
    <sheet name="51a-j" sheetId="423" r:id="rId178"/>
    <sheet name="52" sheetId="424" r:id="rId179"/>
    <sheet name="53" sheetId="425" r:id="rId180"/>
    <sheet name="54" sheetId="426" r:id="rId181"/>
    <sheet name="55" sheetId="427" r:id="rId182"/>
    <sheet name="56" sheetId="428" r:id="rId183"/>
    <sheet name="57" sheetId="429" r:id="rId184"/>
    <sheet name="58" sheetId="430" r:id="rId185"/>
    <sheet name="58a" sheetId="431" r:id="rId186"/>
    <sheet name="58b" sheetId="432" r:id="rId187"/>
    <sheet name="58c" sheetId="433" r:id="rId188"/>
    <sheet name="58d" sheetId="434" r:id="rId189"/>
    <sheet name="58e" sheetId="435" r:id="rId190"/>
    <sheet name="58f" sheetId="436" r:id="rId191"/>
    <sheet name="58g" sheetId="437" r:id="rId192"/>
    <sheet name="58h" sheetId="438" r:id="rId193"/>
    <sheet name="58i" sheetId="439" r:id="rId194"/>
    <sheet name="58j" sheetId="440" r:id="rId195"/>
    <sheet name="59a" sheetId="441" r:id="rId196"/>
    <sheet name="59b" sheetId="442" r:id="rId197"/>
    <sheet name="60" sheetId="443" r:id="rId198"/>
    <sheet name="61" sheetId="444" r:id="rId199"/>
    <sheet name="62" sheetId="457" r:id="rId200"/>
    <sheet name="63" sheetId="458" r:id="rId201"/>
    <sheet name="64" sheetId="459" r:id="rId202"/>
    <sheet name="65" sheetId="460" r:id="rId203"/>
    <sheet name="66" sheetId="461" r:id="rId204"/>
    <sheet name="67" sheetId="465" r:id="rId205"/>
    <sheet name="68A" sheetId="466" r:id="rId206"/>
    <sheet name="68B" sheetId="487" r:id="rId207"/>
    <sheet name="68C" sheetId="488" r:id="rId208"/>
    <sheet name="69" sheetId="467" r:id="rId209"/>
    <sheet name="70" sheetId="480" r:id="rId210"/>
    <sheet name="71a" sheetId="481" r:id="rId211"/>
    <sheet name="71b" sheetId="482" r:id="rId212"/>
    <sheet name="71c" sheetId="483" r:id="rId213"/>
    <sheet name="72a" sheetId="484" r:id="rId214"/>
    <sheet name="72b" sheetId="485" r:id="rId215"/>
    <sheet name="73a" sheetId="489" r:id="rId216"/>
    <sheet name="73b" sheetId="490" r:id="rId217"/>
  </sheets>
  <externalReferences>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s>
  <definedNames>
    <definedName name="_xlnm._FilterDatabase" localSheetId="82" hidden="1">'16k'!$X$1:$X$58</definedName>
    <definedName name="_xlnm._FilterDatabase" localSheetId="83" hidden="1">'16l'!$X$1:$X$58</definedName>
    <definedName name="_xlnm._FilterDatabase" localSheetId="91" hidden="1">'19c'!$A$1:$A$19</definedName>
    <definedName name="_xlnm._FilterDatabase" localSheetId="157" hidden="1">'42'!#REF!</definedName>
    <definedName name="_ftn1" localSheetId="114">'26a'!$A$20</definedName>
    <definedName name="_ftnref1" localSheetId="114">'26a'!#REF!</definedName>
    <definedName name="_xlnm.Print_Area" localSheetId="1">'1'!$A$1:$L$57</definedName>
    <definedName name="_xlnm.Print_Area" localSheetId="28">'10a'!$A$1:$L$51</definedName>
    <definedName name="_xlnm.Print_Area" localSheetId="29">'10b'!$A$1:$L$45</definedName>
    <definedName name="_xlnm.Print_Area" localSheetId="30">'10c'!$A$1:$L$45</definedName>
    <definedName name="_xlnm.Print_Area" localSheetId="31">'10d'!$A$1:$E$29</definedName>
    <definedName name="_xlnm.Print_Area" localSheetId="32">'10e'!$A$1:$L$45</definedName>
    <definedName name="_xlnm.Print_Area" localSheetId="33">'10f'!$A$1:$L$45</definedName>
    <definedName name="_xlnm.Print_Area" localSheetId="34">'10g'!$A$1:$E$29</definedName>
    <definedName name="_xlnm.Print_Area" localSheetId="35">'11a'!$A$1:$Q$47</definedName>
    <definedName name="_xlnm.Print_Area" localSheetId="36">'11b'!$A$1:$Q$47</definedName>
    <definedName name="_xlnm.Print_Area" localSheetId="37">'11c'!$A$1:$L$47</definedName>
    <definedName name="_xlnm.Print_Area" localSheetId="38">'11d'!$A$1:$Q$45</definedName>
    <definedName name="_xlnm.Print_Area" localSheetId="39">'11e'!$A$1:$Q$45</definedName>
    <definedName name="_xlnm.Print_Area" localSheetId="40">'11f'!$A$1:$Q$45</definedName>
    <definedName name="_xlnm.Print_Area" localSheetId="41">'11g'!$A$1:$J$48</definedName>
    <definedName name="_xlnm.Print_Area" localSheetId="42">'11h'!$A$1:$AQ$58</definedName>
    <definedName name="_xlnm.Print_Area" localSheetId="45">'12a'!$A$1:$L$44</definedName>
    <definedName name="_xlnm.Print_Area" localSheetId="46">'12b'!$A$1:$L$44</definedName>
    <definedName name="_xlnm.Print_Area" localSheetId="47">'12c'!$A$1:$Q$44</definedName>
    <definedName name="_xlnm.Print_Area" localSheetId="48">'12d'!$A$1:$Q$42</definedName>
    <definedName name="_xlnm.Print_Area" localSheetId="49">'12e'!$A$1:$Q$42</definedName>
    <definedName name="_xlnm.Print_Area" localSheetId="50">'12f'!$A$1:$Q$42</definedName>
    <definedName name="_xlnm.Print_Area" localSheetId="51">'12g'!$A$1:$AQ$58</definedName>
    <definedName name="_xlnm.Print_Area" localSheetId="54">'13a'!$A$1:$G$71</definedName>
    <definedName name="_xlnm.Print_Area" localSheetId="55">'13b'!$A$1:$C$49</definedName>
    <definedName name="_xlnm.Print_Area" localSheetId="56">'13c'!$A$1:$L$49</definedName>
    <definedName name="_xlnm.Print_Area" localSheetId="57">'13d'!$A$1:$L$46</definedName>
    <definedName name="_xlnm.Print_Area" localSheetId="58">'13e'!$A$1:$L$47</definedName>
    <definedName name="_xlnm.Print_Area" localSheetId="59">'13f'!$A$1:$E$64</definedName>
    <definedName name="_xlnm.Print_Area" localSheetId="60">'14a'!$A$1:$L$48</definedName>
    <definedName name="_xlnm.Print_Area" localSheetId="61">'14b'!$A$1:$L$48</definedName>
    <definedName name="_xlnm.Print_Area" localSheetId="62">'14c'!$A$1:$L$48</definedName>
    <definedName name="_xlnm.Print_Area" localSheetId="63">'14d'!$A$1:$L$41</definedName>
    <definedName name="_xlnm.Print_Area" localSheetId="64">'14e'!$A$1:$M$41</definedName>
    <definedName name="_xlnm.Print_Area" localSheetId="65">'14f'!$A$1:$M$41</definedName>
    <definedName name="_xlnm.Print_Area" localSheetId="66">'15a'!$A$1:$N$46</definedName>
    <definedName name="_xlnm.Print_Area" localSheetId="67">'15b'!$A$1:$N$45</definedName>
    <definedName name="_xlnm.Print_Area" localSheetId="68">'15c'!$A$1:$N$47</definedName>
    <definedName name="_xlnm.Print_Area" localSheetId="69">'15d'!$A$1:$N$43</definedName>
    <definedName name="_xlnm.Print_Area" localSheetId="70">'15e'!$A$1:$N$43</definedName>
    <definedName name="_xlnm.Print_Area" localSheetId="71">'15f'!$A$1:$N$44</definedName>
    <definedName name="_xlnm.Print_Area" localSheetId="72">'16a'!$A$1:$L$44</definedName>
    <definedName name="_xlnm.Print_Area" localSheetId="73">'16b'!$A$1:$L$42</definedName>
    <definedName name="_xlnm.Print_Area" localSheetId="74">'16c'!$A$1:$M$44</definedName>
    <definedName name="_xlnm.Print_Area" localSheetId="75">'16d'!$A$1:$M$42</definedName>
    <definedName name="_xlnm.Print_Area" localSheetId="76">'16e'!$A$1:$L$40</definedName>
    <definedName name="_xlnm.Print_Area" localSheetId="77">'16f'!$A$1:$L$44</definedName>
    <definedName name="_xlnm.Print_Area" localSheetId="78">'16g'!$A$1:$L$44</definedName>
    <definedName name="_xlnm.Print_Area" localSheetId="79">'16h'!$A$1:$L$42</definedName>
    <definedName name="_xlnm.Print_Area" localSheetId="80">'16i'!$A$1:$AJ$58</definedName>
    <definedName name="_xlnm.Print_Area" localSheetId="81">'16j'!$A$1:$AJ$59</definedName>
    <definedName name="_xlnm.Print_Area" localSheetId="82">'16k'!$A$1:$AJ$58</definedName>
    <definedName name="_xlnm.Print_Area" localSheetId="83">'16l'!$A$1:$AJ$58</definedName>
    <definedName name="_xlnm.Print_Area" localSheetId="84">'17a'!$A$1:$L$42</definedName>
    <definedName name="_xlnm.Print_Area" localSheetId="85">'17b'!$A$1:$L$42</definedName>
    <definedName name="_xlnm.Print_Area" localSheetId="86">'17c'!$A$1:$AI$58</definedName>
    <definedName name="_xlnm.Print_Area" localSheetId="87">'18a'!$A$1:$L$52</definedName>
    <definedName name="_xlnm.Print_Area" localSheetId="88">'18b'!$A$1:$R$100</definedName>
    <definedName name="_xlnm.Print_Area" localSheetId="91">'19c'!$A$1:$H$21</definedName>
    <definedName name="_xlnm.Print_Area" localSheetId="92">'19d'!$A$1:$L$19</definedName>
    <definedName name="_xlnm.Print_Area" localSheetId="96">'19H'!$A$1:$G$16</definedName>
    <definedName name="_xlnm.Print_Area" localSheetId="100">'21'!$A$1:$L$49</definedName>
    <definedName name="_xlnm.Print_Area" localSheetId="101">'22a'!$A$1:$M$48</definedName>
    <definedName name="_xlnm.Print_Area" localSheetId="102">'22b'!$A$1:$M$50</definedName>
    <definedName name="_xlnm.Print_Area" localSheetId="103">'22c'!$A$1:$M$47</definedName>
    <definedName name="_xlnm.Print_Area" localSheetId="104">'22d'!$A$1:$M$49</definedName>
    <definedName name="_xlnm.Print_Area" localSheetId="105">'23'!$A$1:$H$50</definedName>
    <definedName name="_xlnm.Print_Area" localSheetId="106">'24a'!$A$1:$P$47</definedName>
    <definedName name="_xlnm.Print_Area" localSheetId="107">'24b'!$A$1:$P$48</definedName>
    <definedName name="_xlnm.Print_Area" localSheetId="108">'24c'!$A$1:$P$48</definedName>
    <definedName name="_xlnm.Print_Area" localSheetId="109">'24d'!$A$1:$M$45</definedName>
    <definedName name="_xlnm.Print_Area" localSheetId="110">'24e'!$A$1:$M$45</definedName>
    <definedName name="_xlnm.Print_Area" localSheetId="111">'24f'!$A$1:$M$45</definedName>
    <definedName name="_xlnm.Print_Area" localSheetId="112">'25a'!$A$1:$K$57</definedName>
    <definedName name="_xlnm.Print_Area" localSheetId="113">'25b'!$A$1:$V$49</definedName>
    <definedName name="_xlnm.Print_Area" localSheetId="119">'27'!$A$1:$J$38</definedName>
    <definedName name="_xlnm.Print_Area" localSheetId="120">'28a'!$A$1:$AE$35</definedName>
    <definedName name="_xlnm.Print_Area" localSheetId="121">'28b'!$A$1:$AF$34</definedName>
    <definedName name="_xlnm.Print_Area" localSheetId="122">'28c'!$A$1:$E$32</definedName>
    <definedName name="_xlnm.Print_Area" localSheetId="123">'28d'!$A$1:$W$34</definedName>
    <definedName name="_xlnm.Print_Area" localSheetId="124">'29a'!$A$1:$M$46</definedName>
    <definedName name="_xlnm.Print_Area" localSheetId="2">'2a'!$A$1:$L$44</definedName>
    <definedName name="_xlnm.Print_Area" localSheetId="3">'2b'!$A$1:$L$44</definedName>
    <definedName name="_xlnm.Print_Area" localSheetId="4">'2c'!$A$1:$L$44</definedName>
    <definedName name="_xlnm.Print_Area" localSheetId="127">'31'!$A$1:$J$64</definedName>
    <definedName name="_xlnm.Print_Area" localSheetId="128">'32'!$A$1:$J$56</definedName>
    <definedName name="_xlnm.Print_Area" localSheetId="129">'33'!$A$1:$G$52</definedName>
    <definedName name="_xlnm.Print_Area" localSheetId="131">'34a'!$A$1:$AD$72</definedName>
    <definedName name="_xlnm.Print_Area" localSheetId="132">'34b'!$A$1:$AB$71</definedName>
    <definedName name="_xlnm.Print_Area" localSheetId="133">'35a'!$A$1:$P$72</definedName>
    <definedName name="_xlnm.Print_Area" localSheetId="134">'35b'!$A$1:$R$49</definedName>
    <definedName name="_xlnm.Print_Area" localSheetId="135">'35c'!$A$1:$AJ$48</definedName>
    <definedName name="_xlnm.Print_Area" localSheetId="136">'35d'!$A$1:$O$76</definedName>
    <definedName name="_xlnm.Print_Area" localSheetId="151">'38'!$A$1:$F$52</definedName>
    <definedName name="_xlnm.Print_Area" localSheetId="152">'38a'!$A$1:$J$51</definedName>
    <definedName name="_xlnm.Print_Area" localSheetId="153">'38b'!$A$1:$I$51</definedName>
    <definedName name="_xlnm.Print_Area" localSheetId="154">'39'!$A$1:$F$45</definedName>
    <definedName name="_xlnm.Print_Area" localSheetId="9">'4'!$A$1:$L$45</definedName>
    <definedName name="_xlnm.Print_Area" localSheetId="157">'42'!$A$1:$X$36</definedName>
    <definedName name="_xlnm.Print_Area" localSheetId="161">'44a'!$A$1:$L$49</definedName>
    <definedName name="_xlnm.Print_Area" localSheetId="162">'44b'!$A$1:$L$38</definedName>
    <definedName name="_xlnm.Print_Area" localSheetId="163">'44c'!$A$1:$L$37</definedName>
    <definedName name="_xlnm.Print_Area" localSheetId="165">'45a'!$A$1:$W$66</definedName>
    <definedName name="_xlnm.Print_Area" localSheetId="166">'45b'!$A$1:$AD$70</definedName>
    <definedName name="_xlnm.Print_Area" localSheetId="167">'45c'!$A$1:$AD$70</definedName>
    <definedName name="_xlnm.Print_Area" localSheetId="168">'46'!$A$1:$N$40</definedName>
    <definedName name="_xlnm.Print_Area" localSheetId="169">'47'!$A$1:$O$44</definedName>
    <definedName name="_xlnm.Print_Area" localSheetId="170">'47a'!$A$1:$O$44</definedName>
    <definedName name="_xlnm.Print_Area" localSheetId="171">'47b'!$A$1:$O$44</definedName>
    <definedName name="_xlnm.Print_Area" localSheetId="172">'47c'!$A$1:$N$42</definedName>
    <definedName name="_xlnm.Print_Area" localSheetId="173">'47d'!$A$1:$J$41</definedName>
    <definedName name="_xlnm.Print_Area" localSheetId="174">'48'!$A$1:$J$41</definedName>
    <definedName name="_xlnm.Print_Area" localSheetId="175">'49'!$A$1:$I$42</definedName>
    <definedName name="_xlnm.Print_Area" localSheetId="177" xml:space="preserve"> '51a-j'!$A$1:$BZ$50</definedName>
    <definedName name="_xlnm.Print_Area" localSheetId="178">'52'!$A$1:$W$46</definedName>
    <definedName name="_xlnm.Print_Area" localSheetId="179">'53'!$A$1:$BD$49</definedName>
    <definedName name="_xlnm.Print_Area" localSheetId="180" xml:space="preserve">    '54'!$A$1:$AS$53</definedName>
    <definedName name="_xlnm.Print_Area" localSheetId="181" xml:space="preserve">                                                                                                                                    '55'!$A$1:$CN$46</definedName>
    <definedName name="_xlnm.Print_Area" localSheetId="182">'56'!$A$1:$X$39</definedName>
    <definedName name="_xlnm.Print_Area" localSheetId="183">'57'!$A$1:$J$43</definedName>
    <definedName name="_xlnm.Print_Area" localSheetId="184">'58'!$A$1:$J$43</definedName>
    <definedName name="_xlnm.Print_Area" localSheetId="185">'58a'!$A$1:$J$43</definedName>
    <definedName name="_xlnm.Print_Area" localSheetId="186">'58b'!$A$1:$J$43</definedName>
    <definedName name="_xlnm.Print_Area" localSheetId="187">'58c'!$A$1:$J$43</definedName>
    <definedName name="_xlnm.Print_Area" localSheetId="188">'58d'!$A$1:$J$43</definedName>
    <definedName name="_xlnm.Print_Area" localSheetId="189">'58e'!$A$1:$J$43</definedName>
    <definedName name="_xlnm.Print_Area" localSheetId="190">'58f'!$A$1:$J$43</definedName>
    <definedName name="_xlnm.Print_Area" localSheetId="191">'58g'!$A$1:$J$43</definedName>
    <definedName name="_xlnm.Print_Area" localSheetId="192">'58h'!$A$1:$J$43</definedName>
    <definedName name="_xlnm.Print_Area" localSheetId="193">'58i'!$A$1:$J$43</definedName>
    <definedName name="_xlnm.Print_Area" localSheetId="194">'58j'!$A$1:$J$43</definedName>
    <definedName name="_xlnm.Print_Area" localSheetId="195">'59a'!$A$1:$L$44</definedName>
    <definedName name="_xlnm.Print_Area" localSheetId="197">'60'!$A$1:$K$21</definedName>
    <definedName name="_xlnm.Print_Area" localSheetId="199">'62'!$A$1:$L$50</definedName>
    <definedName name="_xlnm.Print_Area" localSheetId="200">'63'!$A$1:$J$38</definedName>
    <definedName name="_xlnm.Print_Area" localSheetId="203">'66'!$A$1:$T$29</definedName>
    <definedName name="_xlnm.Print_Area" localSheetId="204">'67'!$A$1:$L$38</definedName>
    <definedName name="_xlnm.Print_Area" localSheetId="206">'68B'!$A$1:$H$49</definedName>
    <definedName name="_xlnm.Print_Area" localSheetId="207">'68C'!$A$1:$H$49</definedName>
    <definedName name="_xlnm.Print_Area" localSheetId="208">'69'!$A$1:$CV$53</definedName>
    <definedName name="_xlnm.Print_Area" localSheetId="11">'6a'!$A$1:$L$44</definedName>
    <definedName name="_xlnm.Print_Area" localSheetId="12">'6b'!$A$1:$L$44</definedName>
    <definedName name="_xlnm.Print_Area" localSheetId="13">'6c'!$A$1:$L$44</definedName>
    <definedName name="_xlnm.Print_Area" localSheetId="14">'6d'!$A$1:$L$44</definedName>
    <definedName name="_xlnm.Print_Area" localSheetId="15">'6e'!$A$1:$L$44</definedName>
    <definedName name="_xlnm.Print_Area" localSheetId="209">'70'!$A$1:$L$41</definedName>
    <definedName name="_xlnm.Print_Area" localSheetId="211">'71b'!$A$1:$K$18</definedName>
    <definedName name="_xlnm.Print_Area" localSheetId="16">'7a'!$A$1:$L$49</definedName>
    <definedName name="_xlnm.Print_Area" localSheetId="17" xml:space="preserve">                                                                                                              '7b'!$A$1:$O$46</definedName>
    <definedName name="_xlnm.Print_Area" localSheetId="18">'7c'!$A$1:$L$47</definedName>
    <definedName name="_xlnm.Print_Area" localSheetId="19">'7d'!$A$1:$O$46</definedName>
    <definedName name="_xlnm.Print_Area" localSheetId="20">'8a'!$A$1:$L$52</definedName>
    <definedName name="_xlnm.Print_Area" localSheetId="21">'8b'!$A$1:$Q$50</definedName>
    <definedName name="_xlnm.Print_Area" localSheetId="22">'8c'!$A$1:$Q$50</definedName>
    <definedName name="_xlnm.Print_Area" localSheetId="23">'8d'!$A$1:$Q$50</definedName>
    <definedName name="_xlnm.Print_Area" localSheetId="24">'9a'!$A$1:$Q$52</definedName>
    <definedName name="_xlnm.Print_Area" localSheetId="25">'9b'!$A$1:$Q$50</definedName>
    <definedName name="_xlnm.Print_Area" localSheetId="26">'9c'!$A$1:$Q$50</definedName>
    <definedName name="_xlnm.Print_Area" localSheetId="27">'9d'!$A$1:$Q$50</definedName>
    <definedName name="_xlnm.Print_Area" localSheetId="0">'List of Tables'!$A$1:$A$222</definedName>
    <definedName name="_xlnm.Print_Titles" localSheetId="88">'18b'!$1:$3</definedName>
    <definedName name="_xlnm.Print_Titles" localSheetId="131">'34a'!$1:$4</definedName>
    <definedName name="_xlnm.Print_Titles" localSheetId="132">'34b'!$1:$4</definedName>
    <definedName name="_xlnm.Print_Titles" localSheetId="133">'35a'!$A:$A</definedName>
    <definedName name="_xlnm.Print_Titles" localSheetId="134">'35b'!$A:$A</definedName>
    <definedName name="_xlnm.Print_Titles" localSheetId="135">'35c'!$A:$A</definedName>
    <definedName name="_xlnm.Print_Titles" localSheetId="136">'35d'!$A:$A</definedName>
    <definedName name="_xlnm.Print_Titles" localSheetId="165">'45a'!$1:$4</definedName>
    <definedName name="_xlnm.Print_Titles" localSheetId="166">'45b'!$1:$4</definedName>
    <definedName name="_xlnm.Print_Titles" localSheetId="167">'45c'!$1:$4</definedName>
    <definedName name="_xlnm.Print_Titles" localSheetId="177">'51a-j'!$A:$A</definedName>
    <definedName name="_xlnm.Print_Titles" localSheetId="178">'52'!$A:$A</definedName>
    <definedName name="_xlnm.Print_Titles" localSheetId="179">'53'!$A:$A</definedName>
    <definedName name="_xlnm.Print_Titles" localSheetId="180">'54'!$A:$A</definedName>
    <definedName name="_xlnm.Print_Titles" localSheetId="181">'55'!$A:$A</definedName>
    <definedName name="_xlnm.Print_Titles" localSheetId="182">'56'!$A:$A</definedName>
    <definedName name="_xlnm.Print_Titles" localSheetId="208">'69'!$A:$A</definedName>
    <definedName name="TABLE" localSheetId="134">'35b'!#REF!</definedName>
    <definedName name="TABLE_10" localSheetId="134">'35b'!#REF!</definedName>
    <definedName name="TABLE_11" localSheetId="134">'35b'!#REF!</definedName>
    <definedName name="TABLE_12" localSheetId="134">'35b'!#REF!</definedName>
    <definedName name="TABLE_13" localSheetId="134">'35b'!#REF!</definedName>
    <definedName name="TABLE_14" localSheetId="134">'35b'!#REF!</definedName>
    <definedName name="TABLE_15" localSheetId="134">'35b'!#REF!</definedName>
    <definedName name="TABLE_16" localSheetId="134">'35b'!#REF!</definedName>
    <definedName name="TABLE_17" localSheetId="134">'35b'!#REF!</definedName>
    <definedName name="TABLE_18" localSheetId="134">'35b'!#REF!</definedName>
    <definedName name="TABLE_19" localSheetId="134">'35b'!#REF!</definedName>
    <definedName name="TABLE_2" localSheetId="134">'35b'!#REF!</definedName>
    <definedName name="TABLE_20" localSheetId="134">'35b'!#REF!</definedName>
    <definedName name="TABLE_21" localSheetId="134">'35b'!#REF!</definedName>
    <definedName name="TABLE_22" localSheetId="134">'35b'!#REF!</definedName>
    <definedName name="TABLE_23" localSheetId="134">'35b'!#REF!</definedName>
    <definedName name="TABLE_24" localSheetId="134">'35b'!#REF!</definedName>
    <definedName name="TABLE_25" localSheetId="134">'35b'!#REF!</definedName>
    <definedName name="TABLE_26" localSheetId="134">'35b'!#REF!</definedName>
    <definedName name="TABLE_3" localSheetId="134">'35b'!#REF!</definedName>
    <definedName name="TABLE_4" localSheetId="134">'35b'!#REF!</definedName>
    <definedName name="TABLE_5" localSheetId="134">'35b'!#REF!</definedName>
    <definedName name="TABLE_6" localSheetId="134">'35b'!#REF!</definedName>
    <definedName name="TABLE_7" localSheetId="134">'35b'!#REF!</definedName>
    <definedName name="TABLE_8" localSheetId="134">'35b'!#REF!</definedName>
    <definedName name="TABLE_9" localSheetId="134">'35b'!#REF!</definedName>
  </definedNames>
  <calcPr calcId="125725"/>
  <fileRecoveryPr repairLoad="1"/>
</workbook>
</file>

<file path=xl/calcChain.xml><?xml version="1.0" encoding="utf-8"?>
<calcChain xmlns="http://schemas.openxmlformats.org/spreadsheetml/2006/main">
  <c r="E21" i="331"/>
  <c r="E22" s="1"/>
  <c r="E20"/>
  <c r="D21"/>
  <c r="D20"/>
  <c r="C21"/>
  <c r="C20"/>
  <c r="B37" i="222"/>
  <c r="B36" i="223"/>
  <c r="B41" i="222"/>
  <c r="B38" i="223"/>
  <c r="D40"/>
  <c r="C40"/>
  <c r="B40"/>
  <c r="B48" i="222"/>
  <c r="C5" i="458"/>
  <c r="C6"/>
  <c r="C7"/>
  <c r="C8"/>
  <c r="C9"/>
  <c r="C10"/>
  <c r="C11"/>
  <c r="C12"/>
  <c r="C13"/>
  <c r="C14"/>
  <c r="C15"/>
  <c r="C16"/>
  <c r="C17"/>
  <c r="C18"/>
  <c r="C19"/>
  <c r="C20"/>
  <c r="C21"/>
  <c r="C22"/>
  <c r="C23"/>
  <c r="BT16" i="427"/>
  <c r="BR16"/>
  <c r="BP16"/>
  <c r="BN16"/>
  <c r="BK16"/>
  <c r="BI16"/>
  <c r="BG16"/>
  <c r="BE16"/>
  <c r="BB16"/>
  <c r="AZ16"/>
  <c r="AX16"/>
  <c r="AV16"/>
  <c r="AS17"/>
  <c r="AS18"/>
  <c r="AS19"/>
  <c r="AS20"/>
  <c r="AS21"/>
  <c r="AS22"/>
  <c r="AS23"/>
  <c r="AS24"/>
  <c r="AS25"/>
  <c r="AS26"/>
  <c r="AS27"/>
  <c r="AS28"/>
  <c r="AS29"/>
  <c r="AS30"/>
  <c r="AS31"/>
  <c r="AS32"/>
  <c r="AS33"/>
  <c r="AS34"/>
  <c r="AS35"/>
  <c r="AS36"/>
  <c r="AS37"/>
  <c r="AS38"/>
  <c r="AS39"/>
  <c r="AS40"/>
  <c r="AS41"/>
  <c r="AS42"/>
  <c r="AS43"/>
  <c r="AQ17"/>
  <c r="AQ18"/>
  <c r="AQ19"/>
  <c r="AQ20"/>
  <c r="AQ21"/>
  <c r="AQ22"/>
  <c r="AQ23"/>
  <c r="AQ24"/>
  <c r="AQ25"/>
  <c r="AQ26"/>
  <c r="AQ27"/>
  <c r="AQ28"/>
  <c r="AQ29"/>
  <c r="AQ30"/>
  <c r="AQ31"/>
  <c r="AQ32"/>
  <c r="AQ33"/>
  <c r="AQ34"/>
  <c r="AQ35"/>
  <c r="AQ36"/>
  <c r="AQ37"/>
  <c r="AQ38"/>
  <c r="AQ39"/>
  <c r="AQ40"/>
  <c r="AQ41"/>
  <c r="AQ42"/>
  <c r="AQ43"/>
  <c r="AS16"/>
  <c r="AQ16"/>
  <c r="AO17"/>
  <c r="AO18"/>
  <c r="AO19"/>
  <c r="AO20"/>
  <c r="AO21"/>
  <c r="AO22"/>
  <c r="AO23"/>
  <c r="AO24"/>
  <c r="AO25"/>
  <c r="AO26"/>
  <c r="AO27"/>
  <c r="AO28"/>
  <c r="AO29"/>
  <c r="AO30"/>
  <c r="AO31"/>
  <c r="AO32"/>
  <c r="AO33"/>
  <c r="AO34"/>
  <c r="AO35"/>
  <c r="AO36"/>
  <c r="AO37"/>
  <c r="AO38"/>
  <c r="AO39"/>
  <c r="AO40"/>
  <c r="AO41"/>
  <c r="AO42"/>
  <c r="AO43"/>
  <c r="AO16"/>
  <c r="AM17"/>
  <c r="AM18"/>
  <c r="AM19"/>
  <c r="AM20"/>
  <c r="AM21"/>
  <c r="AM22"/>
  <c r="AM23"/>
  <c r="AM24"/>
  <c r="AM25"/>
  <c r="AM26"/>
  <c r="AM27"/>
  <c r="AM28"/>
  <c r="AM29"/>
  <c r="AM30"/>
  <c r="AM31"/>
  <c r="AM32"/>
  <c r="AM33"/>
  <c r="AM34"/>
  <c r="AM35"/>
  <c r="AM36"/>
  <c r="AM37"/>
  <c r="AM38"/>
  <c r="AM39"/>
  <c r="AM40"/>
  <c r="AM41"/>
  <c r="AM42"/>
  <c r="AM43"/>
  <c r="AM16"/>
  <c r="AJ17"/>
  <c r="AJ18"/>
  <c r="AJ19"/>
  <c r="AJ20"/>
  <c r="AJ21"/>
  <c r="AJ22"/>
  <c r="AJ23"/>
  <c r="AJ24"/>
  <c r="AJ25"/>
  <c r="AJ26"/>
  <c r="AJ27"/>
  <c r="AJ28"/>
  <c r="AJ29"/>
  <c r="AJ30"/>
  <c r="AJ31"/>
  <c r="AJ32"/>
  <c r="AJ33"/>
  <c r="AJ34"/>
  <c r="AJ35"/>
  <c r="AJ36"/>
  <c r="AJ37"/>
  <c r="AJ38"/>
  <c r="AJ39"/>
  <c r="AJ40"/>
  <c r="AJ41"/>
  <c r="AJ42"/>
  <c r="AJ43"/>
  <c r="AJ16"/>
  <c r="AH17"/>
  <c r="AH18"/>
  <c r="AH19"/>
  <c r="AH20"/>
  <c r="AH21"/>
  <c r="AH22"/>
  <c r="AH23"/>
  <c r="AH24"/>
  <c r="AH25"/>
  <c r="AH26"/>
  <c r="AH27"/>
  <c r="AH28"/>
  <c r="AH29"/>
  <c r="AH30"/>
  <c r="AH31"/>
  <c r="AH32"/>
  <c r="AH33"/>
  <c r="AH34"/>
  <c r="AH35"/>
  <c r="AH36"/>
  <c r="AH37"/>
  <c r="AH38"/>
  <c r="AH39"/>
  <c r="AH40"/>
  <c r="AH41"/>
  <c r="AH42"/>
  <c r="AH43"/>
  <c r="AH16"/>
  <c r="AF16"/>
  <c r="AF17"/>
  <c r="AF18"/>
  <c r="AF19"/>
  <c r="AF20"/>
  <c r="AF21"/>
  <c r="AF22"/>
  <c r="AF23"/>
  <c r="AF24"/>
  <c r="AF25"/>
  <c r="AF26"/>
  <c r="AF27"/>
  <c r="AF28"/>
  <c r="AF29"/>
  <c r="AF30"/>
  <c r="AF31"/>
  <c r="AF32"/>
  <c r="AF33"/>
  <c r="AF34"/>
  <c r="AF35"/>
  <c r="AF36"/>
  <c r="AF37"/>
  <c r="AF38"/>
  <c r="AF39"/>
  <c r="AF40"/>
  <c r="AF41"/>
  <c r="AF42"/>
  <c r="AF43"/>
  <c r="AD17"/>
  <c r="AD18"/>
  <c r="AD19"/>
  <c r="AD20"/>
  <c r="AD21"/>
  <c r="AD22"/>
  <c r="AD23"/>
  <c r="AD24"/>
  <c r="AD25"/>
  <c r="AD26"/>
  <c r="AD27"/>
  <c r="AD28"/>
  <c r="AD29"/>
  <c r="AD30"/>
  <c r="AD31"/>
  <c r="AD32"/>
  <c r="AD33"/>
  <c r="AD34"/>
  <c r="AD35"/>
  <c r="AD36"/>
  <c r="AD37"/>
  <c r="AD38"/>
  <c r="AD39"/>
  <c r="AD40"/>
  <c r="AD41"/>
  <c r="AD42"/>
  <c r="AD43"/>
  <c r="AD16"/>
  <c r="AC44"/>
  <c r="AA17"/>
  <c r="AA18"/>
  <c r="AA19"/>
  <c r="AA20"/>
  <c r="AA21"/>
  <c r="AA22"/>
  <c r="AA23"/>
  <c r="AA24"/>
  <c r="AA25"/>
  <c r="AA26"/>
  <c r="AA27"/>
  <c r="AA28"/>
  <c r="AA29"/>
  <c r="AA30"/>
  <c r="AA31"/>
  <c r="AA32"/>
  <c r="AA33"/>
  <c r="AA34"/>
  <c r="AA35"/>
  <c r="AA36"/>
  <c r="AA37"/>
  <c r="AA38"/>
  <c r="AA39"/>
  <c r="AA40"/>
  <c r="AA41"/>
  <c r="AA42"/>
  <c r="AA43"/>
  <c r="AA16"/>
  <c r="Y17"/>
  <c r="Y18"/>
  <c r="Y19"/>
  <c r="Y20"/>
  <c r="Y21"/>
  <c r="Y22"/>
  <c r="Y23"/>
  <c r="Y24"/>
  <c r="Y25"/>
  <c r="Y26"/>
  <c r="Y27"/>
  <c r="Y28"/>
  <c r="Y29"/>
  <c r="Y30"/>
  <c r="Y31"/>
  <c r="Y32"/>
  <c r="Y33"/>
  <c r="Y34"/>
  <c r="Y35"/>
  <c r="Y36"/>
  <c r="Y37"/>
  <c r="Y38"/>
  <c r="Y39"/>
  <c r="Y40"/>
  <c r="Y41"/>
  <c r="Y42"/>
  <c r="Y43"/>
  <c r="Y16"/>
  <c r="W17"/>
  <c r="W18"/>
  <c r="W19"/>
  <c r="W20"/>
  <c r="W21"/>
  <c r="W22"/>
  <c r="W23"/>
  <c r="W24"/>
  <c r="W25"/>
  <c r="W26"/>
  <c r="W27"/>
  <c r="W28"/>
  <c r="W29"/>
  <c r="W30"/>
  <c r="W31"/>
  <c r="W32"/>
  <c r="W33"/>
  <c r="W34"/>
  <c r="W35"/>
  <c r="W36"/>
  <c r="W37"/>
  <c r="W38"/>
  <c r="W39"/>
  <c r="W40"/>
  <c r="W41"/>
  <c r="W42"/>
  <c r="W43"/>
  <c r="W16"/>
  <c r="Z44"/>
  <c r="Q44"/>
  <c r="U17"/>
  <c r="AB17" s="1"/>
  <c r="U18"/>
  <c r="U19"/>
  <c r="AB19" s="1"/>
  <c r="U20"/>
  <c r="AB20" s="1"/>
  <c r="U21"/>
  <c r="AB21" s="1"/>
  <c r="U22"/>
  <c r="AB22" s="1"/>
  <c r="U23"/>
  <c r="AB23" s="1"/>
  <c r="U24"/>
  <c r="AB24" s="1"/>
  <c r="U25"/>
  <c r="AB25" s="1"/>
  <c r="U26"/>
  <c r="AB26" s="1"/>
  <c r="U27"/>
  <c r="AB27" s="1"/>
  <c r="U28"/>
  <c r="AB28" s="1"/>
  <c r="U29"/>
  <c r="AB29" s="1"/>
  <c r="U30"/>
  <c r="AB30" s="1"/>
  <c r="U31"/>
  <c r="AB31" s="1"/>
  <c r="U32"/>
  <c r="AB32" s="1"/>
  <c r="U33"/>
  <c r="AB33" s="1"/>
  <c r="U34"/>
  <c r="AB34" s="1"/>
  <c r="U35"/>
  <c r="AB35" s="1"/>
  <c r="U36"/>
  <c r="AB36" s="1"/>
  <c r="U37"/>
  <c r="AB37" s="1"/>
  <c r="U38"/>
  <c r="AB38" s="1"/>
  <c r="U39"/>
  <c r="AB39" s="1"/>
  <c r="U40"/>
  <c r="AB40" s="1"/>
  <c r="U41"/>
  <c r="AB41" s="1"/>
  <c r="U42"/>
  <c r="AB42" s="1"/>
  <c r="U43"/>
  <c r="AB43" s="1"/>
  <c r="U16"/>
  <c r="AB16" s="1"/>
  <c r="R17"/>
  <c r="R18"/>
  <c r="R19"/>
  <c r="R20"/>
  <c r="R21"/>
  <c r="R22"/>
  <c r="R23"/>
  <c r="R24"/>
  <c r="R25"/>
  <c r="R26"/>
  <c r="R27"/>
  <c r="R28"/>
  <c r="R29"/>
  <c r="R30"/>
  <c r="R31"/>
  <c r="R32"/>
  <c r="R33"/>
  <c r="R34"/>
  <c r="R35"/>
  <c r="R36"/>
  <c r="R37"/>
  <c r="R38"/>
  <c r="R39"/>
  <c r="R40"/>
  <c r="R41"/>
  <c r="R42"/>
  <c r="R43"/>
  <c r="P17"/>
  <c r="P18"/>
  <c r="P19"/>
  <c r="P20"/>
  <c r="P21"/>
  <c r="P22"/>
  <c r="P23"/>
  <c r="P24"/>
  <c r="P25"/>
  <c r="P26"/>
  <c r="P27"/>
  <c r="P28"/>
  <c r="P29"/>
  <c r="P30"/>
  <c r="P31"/>
  <c r="P32"/>
  <c r="P33"/>
  <c r="P34"/>
  <c r="P35"/>
  <c r="P36"/>
  <c r="P37"/>
  <c r="P38"/>
  <c r="P39"/>
  <c r="P40"/>
  <c r="P41"/>
  <c r="P42"/>
  <c r="P43"/>
  <c r="N17"/>
  <c r="N18"/>
  <c r="N19"/>
  <c r="N20"/>
  <c r="N21"/>
  <c r="N22"/>
  <c r="N23"/>
  <c r="N24"/>
  <c r="N25"/>
  <c r="N26"/>
  <c r="N27"/>
  <c r="N28"/>
  <c r="N29"/>
  <c r="N30"/>
  <c r="N31"/>
  <c r="N32"/>
  <c r="N33"/>
  <c r="N34"/>
  <c r="N35"/>
  <c r="N36"/>
  <c r="N37"/>
  <c r="N38"/>
  <c r="N39"/>
  <c r="N40"/>
  <c r="N41"/>
  <c r="N42"/>
  <c r="N43"/>
  <c r="L17"/>
  <c r="L18"/>
  <c r="L19"/>
  <c r="L20"/>
  <c r="L21"/>
  <c r="L22"/>
  <c r="L23"/>
  <c r="L24"/>
  <c r="L25"/>
  <c r="L26"/>
  <c r="L27"/>
  <c r="L28"/>
  <c r="L29"/>
  <c r="L30"/>
  <c r="L31"/>
  <c r="L32"/>
  <c r="L33"/>
  <c r="L34"/>
  <c r="L35"/>
  <c r="L36"/>
  <c r="L37"/>
  <c r="L38"/>
  <c r="L39"/>
  <c r="L40"/>
  <c r="L41"/>
  <c r="L42"/>
  <c r="L43"/>
  <c r="R16"/>
  <c r="P16"/>
  <c r="N16"/>
  <c r="L16"/>
  <c r="F44"/>
  <c r="D44"/>
  <c r="B44"/>
  <c r="I17"/>
  <c r="I18"/>
  <c r="I19"/>
  <c r="I20"/>
  <c r="I21"/>
  <c r="I22"/>
  <c r="I23"/>
  <c r="I24"/>
  <c r="I25"/>
  <c r="I26"/>
  <c r="I27"/>
  <c r="I28"/>
  <c r="I29"/>
  <c r="I30"/>
  <c r="I31"/>
  <c r="I32"/>
  <c r="I33"/>
  <c r="I34"/>
  <c r="I35"/>
  <c r="I36"/>
  <c r="I37"/>
  <c r="I38"/>
  <c r="I39"/>
  <c r="I40"/>
  <c r="I41"/>
  <c r="I42"/>
  <c r="I43"/>
  <c r="G17"/>
  <c r="G18"/>
  <c r="G19"/>
  <c r="G20"/>
  <c r="G21"/>
  <c r="G22"/>
  <c r="G23"/>
  <c r="G24"/>
  <c r="G25"/>
  <c r="G26"/>
  <c r="G27"/>
  <c r="G28"/>
  <c r="G29"/>
  <c r="G30"/>
  <c r="G31"/>
  <c r="G32"/>
  <c r="G33"/>
  <c r="G34"/>
  <c r="G35"/>
  <c r="G36"/>
  <c r="G37"/>
  <c r="G38"/>
  <c r="G39"/>
  <c r="G40"/>
  <c r="G41"/>
  <c r="G42"/>
  <c r="G43"/>
  <c r="E17"/>
  <c r="E18"/>
  <c r="E19"/>
  <c r="E20"/>
  <c r="E21"/>
  <c r="E22"/>
  <c r="E23"/>
  <c r="E24"/>
  <c r="E25"/>
  <c r="E26"/>
  <c r="E27"/>
  <c r="E28"/>
  <c r="E29"/>
  <c r="E30"/>
  <c r="E31"/>
  <c r="E32"/>
  <c r="E33"/>
  <c r="E34"/>
  <c r="E35"/>
  <c r="E36"/>
  <c r="E37"/>
  <c r="E38"/>
  <c r="E39"/>
  <c r="E40"/>
  <c r="E41"/>
  <c r="E42"/>
  <c r="E43"/>
  <c r="I16"/>
  <c r="G16"/>
  <c r="E16"/>
  <c r="C17"/>
  <c r="J17" s="1"/>
  <c r="C18"/>
  <c r="J18" s="1"/>
  <c r="C19"/>
  <c r="J19" s="1"/>
  <c r="C20"/>
  <c r="J20" s="1"/>
  <c r="C21"/>
  <c r="J21" s="1"/>
  <c r="C22"/>
  <c r="J22" s="1"/>
  <c r="C23"/>
  <c r="J23" s="1"/>
  <c r="C24"/>
  <c r="J24" s="1"/>
  <c r="C25"/>
  <c r="J25" s="1"/>
  <c r="C26"/>
  <c r="J26" s="1"/>
  <c r="C27"/>
  <c r="J27" s="1"/>
  <c r="C28"/>
  <c r="J28" s="1"/>
  <c r="C29"/>
  <c r="J29" s="1"/>
  <c r="C30"/>
  <c r="J30" s="1"/>
  <c r="C31"/>
  <c r="J31" s="1"/>
  <c r="C32"/>
  <c r="J32" s="1"/>
  <c r="C33"/>
  <c r="J33" s="1"/>
  <c r="C34"/>
  <c r="J34" s="1"/>
  <c r="C35"/>
  <c r="J35" s="1"/>
  <c r="C36"/>
  <c r="J36" s="1"/>
  <c r="C37"/>
  <c r="J37" s="1"/>
  <c r="C38"/>
  <c r="J38" s="1"/>
  <c r="C39"/>
  <c r="J39" s="1"/>
  <c r="C40"/>
  <c r="J40" s="1"/>
  <c r="C41"/>
  <c r="J41" s="1"/>
  <c r="C42"/>
  <c r="J42" s="1"/>
  <c r="C43"/>
  <c r="J43" s="1"/>
  <c r="C16"/>
  <c r="J16" s="1"/>
  <c r="H15" i="505"/>
  <c r="G15"/>
  <c r="F15"/>
  <c r="E15"/>
  <c r="D15"/>
  <c r="C15"/>
  <c r="B15"/>
  <c r="H14"/>
  <c r="G14"/>
  <c r="F14"/>
  <c r="E14"/>
  <c r="D14"/>
  <c r="C14"/>
  <c r="B14"/>
  <c r="H13"/>
  <c r="G13"/>
  <c r="F13"/>
  <c r="E13"/>
  <c r="D13"/>
  <c r="C13"/>
  <c r="B13"/>
  <c r="H12"/>
  <c r="G12"/>
  <c r="F12"/>
  <c r="E12"/>
  <c r="D12"/>
  <c r="C12"/>
  <c r="B12"/>
  <c r="H11"/>
  <c r="G11"/>
  <c r="F11"/>
  <c r="E11"/>
  <c r="D11"/>
  <c r="C11"/>
  <c r="B11"/>
  <c r="H10"/>
  <c r="G10"/>
  <c r="F10"/>
  <c r="E10"/>
  <c r="D10"/>
  <c r="C10"/>
  <c r="B10"/>
  <c r="H9"/>
  <c r="G9"/>
  <c r="F9"/>
  <c r="E9"/>
  <c r="D9"/>
  <c r="C9"/>
  <c r="B9"/>
  <c r="H8"/>
  <c r="G8"/>
  <c r="F8"/>
  <c r="E8"/>
  <c r="D8"/>
  <c r="C8"/>
  <c r="B8"/>
  <c r="H7"/>
  <c r="G7"/>
  <c r="F7"/>
  <c r="E7"/>
  <c r="D7"/>
  <c r="C7"/>
  <c r="B7"/>
  <c r="H6"/>
  <c r="G6"/>
  <c r="F6"/>
  <c r="E6"/>
  <c r="D6"/>
  <c r="C6"/>
  <c r="B6"/>
  <c r="H5"/>
  <c r="G5"/>
  <c r="F5"/>
  <c r="E5"/>
  <c r="D5"/>
  <c r="C5"/>
  <c r="B5"/>
  <c r="H4"/>
  <c r="G4"/>
  <c r="F4"/>
  <c r="E4"/>
  <c r="D4"/>
  <c r="C4"/>
  <c r="B4"/>
  <c r="A161" i="302"/>
  <c r="D43" i="503"/>
  <c r="C43"/>
  <c r="B43"/>
  <c r="D41"/>
  <c r="C41"/>
  <c r="B41"/>
  <c r="D40"/>
  <c r="C40"/>
  <c r="B40"/>
  <c r="D39"/>
  <c r="C39"/>
  <c r="B39"/>
  <c r="D38"/>
  <c r="C38"/>
  <c r="B38"/>
  <c r="F36"/>
  <c r="E36"/>
  <c r="F35"/>
  <c r="E35"/>
  <c r="F34"/>
  <c r="E34"/>
  <c r="F33"/>
  <c r="E33"/>
  <c r="F32"/>
  <c r="E32"/>
  <c r="F31"/>
  <c r="E31"/>
  <c r="F30"/>
  <c r="E30"/>
  <c r="F29"/>
  <c r="E29"/>
  <c r="F28"/>
  <c r="E28"/>
  <c r="F27"/>
  <c r="E27"/>
  <c r="F26"/>
  <c r="E26"/>
  <c r="F25"/>
  <c r="E25"/>
  <c r="F24"/>
  <c r="E24"/>
  <c r="F23"/>
  <c r="E23"/>
  <c r="F22"/>
  <c r="E22"/>
  <c r="F21"/>
  <c r="E21"/>
  <c r="F20"/>
  <c r="E20"/>
  <c r="F19"/>
  <c r="E19"/>
  <c r="F18"/>
  <c r="E18"/>
  <c r="F17"/>
  <c r="E17"/>
  <c r="F16"/>
  <c r="E16"/>
  <c r="F15"/>
  <c r="E15"/>
  <c r="F14"/>
  <c r="E14"/>
  <c r="F13"/>
  <c r="E13"/>
  <c r="F12"/>
  <c r="E12"/>
  <c r="F11"/>
  <c r="E11"/>
  <c r="F10"/>
  <c r="E10"/>
  <c r="F9"/>
  <c r="E9"/>
  <c r="F8"/>
  <c r="E8"/>
  <c r="F7"/>
  <c r="E7"/>
  <c r="F6"/>
  <c r="E6"/>
  <c r="F5"/>
  <c r="E5"/>
  <c r="F4"/>
  <c r="E4"/>
  <c r="B21" i="115"/>
  <c r="AH5" i="324"/>
  <c r="AF5"/>
  <c r="AE5"/>
  <c r="AD5"/>
  <c r="AC5"/>
  <c r="AC7"/>
  <c r="AD7"/>
  <c r="AE7"/>
  <c r="AF7"/>
  <c r="AD8" i="325"/>
  <c r="AE8"/>
  <c r="AD14"/>
  <c r="AE14"/>
  <c r="AF14"/>
  <c r="AG14"/>
  <c r="AI14"/>
  <c r="AD12"/>
  <c r="AE12"/>
  <c r="AF12"/>
  <c r="AG12"/>
  <c r="AI12"/>
  <c r="AD13"/>
  <c r="AE13"/>
  <c r="AF13"/>
  <c r="AG13"/>
  <c r="AI13"/>
  <c r="AD19"/>
  <c r="AE19"/>
  <c r="AD36"/>
  <c r="AE36"/>
  <c r="AD41"/>
  <c r="AE41"/>
  <c r="AF41"/>
  <c r="AG41"/>
  <c r="AD42"/>
  <c r="AE42"/>
  <c r="AF42"/>
  <c r="AG42"/>
  <c r="AD44"/>
  <c r="AE44"/>
  <c r="AF44"/>
  <c r="AG44"/>
  <c r="AD46"/>
  <c r="AE46"/>
  <c r="AF46"/>
  <c r="AG46"/>
  <c r="AD48"/>
  <c r="AE48"/>
  <c r="AF48"/>
  <c r="AG48"/>
  <c r="AD49"/>
  <c r="AE49"/>
  <c r="AF49"/>
  <c r="AG49"/>
  <c r="AD50"/>
  <c r="AE50"/>
  <c r="AF50"/>
  <c r="AG50"/>
  <c r="AD10" i="323"/>
  <c r="AE10"/>
  <c r="AF10"/>
  <c r="AG10"/>
  <c r="AI10"/>
  <c r="AD11"/>
  <c r="AE11"/>
  <c r="AF11"/>
  <c r="AG11"/>
  <c r="AI11"/>
  <c r="AD24"/>
  <c r="AE24"/>
  <c r="AE33"/>
  <c r="AD41"/>
  <c r="AE41"/>
  <c r="AI45"/>
  <c r="AD45"/>
  <c r="AE45"/>
  <c r="F34" i="31"/>
  <c r="C33" s="1"/>
  <c r="F32"/>
  <c r="C32"/>
  <c r="C30"/>
  <c r="C31"/>
  <c r="B50" i="254"/>
  <c r="C50"/>
  <c r="D50"/>
  <c r="E50"/>
  <c r="B51"/>
  <c r="C51"/>
  <c r="D51"/>
  <c r="E51"/>
  <c r="B52"/>
  <c r="C52"/>
  <c r="D52"/>
  <c r="E52"/>
  <c r="B53"/>
  <c r="C53"/>
  <c r="D53"/>
  <c r="E53"/>
  <c r="F30" i="31"/>
  <c r="F31"/>
  <c r="V31" i="112"/>
  <c r="V27"/>
  <c r="V23"/>
  <c r="V19"/>
  <c r="V15"/>
  <c r="V11"/>
  <c r="W7"/>
  <c r="X7"/>
  <c r="Y7"/>
  <c r="Z7"/>
  <c r="AA7"/>
  <c r="AB7"/>
  <c r="AC7"/>
  <c r="AD7"/>
  <c r="AE7"/>
  <c r="V7"/>
  <c r="AE31" i="153"/>
  <c r="V31"/>
  <c r="AE27"/>
  <c r="V27"/>
  <c r="AE23"/>
  <c r="V23"/>
  <c r="AE19"/>
  <c r="V19"/>
  <c r="AE15"/>
  <c r="V15"/>
  <c r="AE11"/>
  <c r="W11"/>
  <c r="X11"/>
  <c r="Y11"/>
  <c r="Z11"/>
  <c r="AA11"/>
  <c r="AB11"/>
  <c r="AC11"/>
  <c r="AD11"/>
  <c r="V11"/>
  <c r="AD7"/>
  <c r="W7"/>
  <c r="X7"/>
  <c r="Y7"/>
  <c r="Z7"/>
  <c r="AA7"/>
  <c r="AB7"/>
  <c r="AC7"/>
  <c r="V7"/>
  <c r="B71" i="347"/>
  <c r="A152" i="302"/>
  <c r="A151"/>
  <c r="M49" i="352"/>
  <c r="L49"/>
  <c r="K49"/>
  <c r="J49"/>
  <c r="I49"/>
  <c r="H49"/>
  <c r="G49"/>
  <c r="F49"/>
  <c r="E49"/>
  <c r="D49"/>
  <c r="C49"/>
  <c r="M48"/>
  <c r="L48"/>
  <c r="K48"/>
  <c r="J48"/>
  <c r="I48"/>
  <c r="H48"/>
  <c r="G48"/>
  <c r="F48"/>
  <c r="E48"/>
  <c r="D48"/>
  <c r="C48"/>
  <c r="M47"/>
  <c r="L47"/>
  <c r="K47"/>
  <c r="J47"/>
  <c r="I47"/>
  <c r="H47"/>
  <c r="G47"/>
  <c r="F47"/>
  <c r="E47"/>
  <c r="D47"/>
  <c r="C47"/>
  <c r="B49"/>
  <c r="B48"/>
  <c r="B47"/>
  <c r="C22" i="331" l="1"/>
  <c r="D22"/>
  <c r="S16" i="427"/>
  <c r="S44" s="1"/>
  <c r="AB18"/>
  <c r="L44"/>
  <c r="AB44"/>
  <c r="U44"/>
  <c r="G44"/>
  <c r="E44"/>
  <c r="C44"/>
  <c r="E38" i="503"/>
  <c r="F38"/>
  <c r="E39"/>
  <c r="F39"/>
  <c r="E43"/>
  <c r="F43"/>
  <c r="E40"/>
  <c r="F40"/>
  <c r="E41"/>
  <c r="F41"/>
  <c r="A43" i="302"/>
  <c r="B40" i="219"/>
  <c r="C40"/>
  <c r="D40"/>
  <c r="E40"/>
  <c r="C41"/>
  <c r="D41"/>
  <c r="E41"/>
  <c r="B41"/>
  <c r="F35"/>
  <c r="F36"/>
  <c r="E12" i="457"/>
  <c r="E13"/>
  <c r="E14"/>
  <c r="E15"/>
  <c r="E16"/>
  <c r="E17"/>
  <c r="E18"/>
  <c r="E19"/>
  <c r="E20"/>
  <c r="E21"/>
  <c r="E22"/>
  <c r="E23"/>
  <c r="E24"/>
  <c r="E25"/>
  <c r="E26"/>
  <c r="E27"/>
  <c r="E28"/>
  <c r="E29"/>
  <c r="E30"/>
  <c r="E31"/>
  <c r="H12"/>
  <c r="H13"/>
  <c r="H14"/>
  <c r="H15"/>
  <c r="H16"/>
  <c r="H17"/>
  <c r="H18"/>
  <c r="H19"/>
  <c r="H20"/>
  <c r="H21"/>
  <c r="H22"/>
  <c r="H23"/>
  <c r="H24"/>
  <c r="H25"/>
  <c r="H26"/>
  <c r="H27"/>
  <c r="H28"/>
  <c r="H29"/>
  <c r="H30"/>
  <c r="H31"/>
  <c r="E5"/>
  <c r="E6"/>
  <c r="E7"/>
  <c r="E8"/>
  <c r="E9"/>
  <c r="E10"/>
  <c r="E11"/>
  <c r="J21" i="490"/>
  <c r="J20"/>
  <c r="J19"/>
  <c r="J18"/>
  <c r="I16"/>
  <c r="H16"/>
  <c r="G16"/>
  <c r="F16"/>
  <c r="E16"/>
  <c r="D16"/>
  <c r="C16"/>
  <c r="B16"/>
  <c r="I15"/>
  <c r="H15"/>
  <c r="G15"/>
  <c r="F15"/>
  <c r="E15"/>
  <c r="D15"/>
  <c r="C15"/>
  <c r="B15"/>
  <c r="I14"/>
  <c r="H14"/>
  <c r="G14"/>
  <c r="F14"/>
  <c r="E14"/>
  <c r="D14"/>
  <c r="C14"/>
  <c r="B14"/>
  <c r="I13"/>
  <c r="H13"/>
  <c r="G13"/>
  <c r="F13"/>
  <c r="E13"/>
  <c r="D13"/>
  <c r="C13"/>
  <c r="B13"/>
  <c r="I12"/>
  <c r="H12"/>
  <c r="G12"/>
  <c r="F12"/>
  <c r="E12"/>
  <c r="D12"/>
  <c r="C12"/>
  <c r="B12"/>
  <c r="I11"/>
  <c r="H11"/>
  <c r="G11"/>
  <c r="F11"/>
  <c r="E11"/>
  <c r="D11"/>
  <c r="C11"/>
  <c r="B11"/>
  <c r="I10"/>
  <c r="H10"/>
  <c r="G10"/>
  <c r="F10"/>
  <c r="E10"/>
  <c r="D10"/>
  <c r="C10"/>
  <c r="B10"/>
  <c r="I9"/>
  <c r="H9"/>
  <c r="G9"/>
  <c r="F9"/>
  <c r="E9"/>
  <c r="D9"/>
  <c r="C9"/>
  <c r="B9"/>
  <c r="I8"/>
  <c r="H8"/>
  <c r="G8"/>
  <c r="F8"/>
  <c r="E8"/>
  <c r="D8"/>
  <c r="C8"/>
  <c r="B8"/>
  <c r="I7"/>
  <c r="H7"/>
  <c r="G7"/>
  <c r="F7"/>
  <c r="E7"/>
  <c r="D7"/>
  <c r="C7"/>
  <c r="B7"/>
  <c r="I6"/>
  <c r="H6"/>
  <c r="G6"/>
  <c r="F6"/>
  <c r="E6"/>
  <c r="D6"/>
  <c r="C6"/>
  <c r="B6"/>
  <c r="I5"/>
  <c r="H5"/>
  <c r="G5"/>
  <c r="F5"/>
  <c r="E5"/>
  <c r="D5"/>
  <c r="C5"/>
  <c r="B5"/>
  <c r="I21" i="489"/>
  <c r="H21"/>
  <c r="G21"/>
  <c r="F21"/>
  <c r="E21"/>
  <c r="D21"/>
  <c r="C21"/>
  <c r="B21"/>
  <c r="I20"/>
  <c r="H20"/>
  <c r="G20"/>
  <c r="F20"/>
  <c r="E20"/>
  <c r="D20"/>
  <c r="C20"/>
  <c r="B20"/>
  <c r="I19"/>
  <c r="H19"/>
  <c r="G19"/>
  <c r="F19"/>
  <c r="E19"/>
  <c r="D19"/>
  <c r="C19"/>
  <c r="B19"/>
  <c r="I18"/>
  <c r="H18"/>
  <c r="G18"/>
  <c r="F18"/>
  <c r="E18"/>
  <c r="D18"/>
  <c r="C18"/>
  <c r="B18"/>
  <c r="C18" i="444"/>
  <c r="C17"/>
  <c r="C16"/>
  <c r="C15"/>
  <c r="C14"/>
  <c r="C13"/>
  <c r="C12"/>
  <c r="C11"/>
  <c r="C10"/>
  <c r="C9"/>
  <c r="C8"/>
  <c r="C7"/>
  <c r="C6"/>
  <c r="C5"/>
  <c r="A205" i="302"/>
  <c r="B30" i="220"/>
  <c r="B29"/>
  <c r="B28"/>
  <c r="E22" i="458" l="1"/>
  <c r="E20"/>
  <c r="E18"/>
  <c r="E16"/>
  <c r="E14"/>
  <c r="E12"/>
  <c r="E10"/>
  <c r="E8"/>
  <c r="E6"/>
  <c r="E23"/>
  <c r="E21"/>
  <c r="E19"/>
  <c r="E17"/>
  <c r="E15"/>
  <c r="E13"/>
  <c r="E11"/>
  <c r="E9"/>
  <c r="E7"/>
  <c r="E5"/>
  <c r="B18" i="490"/>
  <c r="C18"/>
  <c r="D18"/>
  <c r="E18"/>
  <c r="F18"/>
  <c r="G18"/>
  <c r="H18"/>
  <c r="I18"/>
  <c r="B19"/>
  <c r="C19"/>
  <c r="D19"/>
  <c r="E19"/>
  <c r="F19"/>
  <c r="G19"/>
  <c r="H19"/>
  <c r="I19"/>
  <c r="B21"/>
  <c r="C21"/>
  <c r="D21"/>
  <c r="E21"/>
  <c r="F21"/>
  <c r="G21"/>
  <c r="H21"/>
  <c r="I21"/>
  <c r="B20"/>
  <c r="C20"/>
  <c r="D20"/>
  <c r="E20"/>
  <c r="F20"/>
  <c r="G20"/>
  <c r="H20"/>
  <c r="I20"/>
  <c r="C39" i="275" l="1"/>
  <c r="D39"/>
  <c r="E39"/>
  <c r="F39"/>
  <c r="G39"/>
  <c r="H39"/>
  <c r="I39"/>
  <c r="J39"/>
  <c r="K39"/>
  <c r="L39"/>
  <c r="C40"/>
  <c r="D40"/>
  <c r="E40"/>
  <c r="F40"/>
  <c r="G40"/>
  <c r="H40"/>
  <c r="I40"/>
  <c r="J40"/>
  <c r="K40"/>
  <c r="L40"/>
  <c r="C41"/>
  <c r="D41"/>
  <c r="E41"/>
  <c r="F41"/>
  <c r="G41"/>
  <c r="H41"/>
  <c r="I41"/>
  <c r="J41"/>
  <c r="K41"/>
  <c r="L41"/>
  <c r="C42"/>
  <c r="D42"/>
  <c r="E42"/>
  <c r="F42"/>
  <c r="G42"/>
  <c r="H42"/>
  <c r="I42"/>
  <c r="J42"/>
  <c r="K42"/>
  <c r="L42"/>
  <c r="B42"/>
  <c r="B41"/>
  <c r="B40"/>
  <c r="B39"/>
  <c r="D32" i="279" l="1"/>
  <c r="B37" i="280" l="1"/>
  <c r="B40"/>
  <c r="T5" i="279" l="1"/>
  <c r="T6"/>
  <c r="T7"/>
  <c r="T8"/>
  <c r="T9"/>
  <c r="T10"/>
  <c r="T11"/>
  <c r="T12"/>
  <c r="T13"/>
  <c r="T14"/>
  <c r="T15"/>
  <c r="T16"/>
  <c r="T17"/>
  <c r="T18"/>
  <c r="T19"/>
  <c r="T20"/>
  <c r="T21"/>
  <c r="T22"/>
  <c r="T23"/>
  <c r="T24"/>
  <c r="T25"/>
  <c r="T26"/>
  <c r="T27"/>
  <c r="T28"/>
  <c r="T29"/>
  <c r="T30"/>
  <c r="T31"/>
  <c r="T32"/>
  <c r="AI50" i="326"/>
  <c r="AG50"/>
  <c r="AF50"/>
  <c r="AE50"/>
  <c r="AD50"/>
  <c r="AI49"/>
  <c r="AG49"/>
  <c r="AF49"/>
  <c r="AE49"/>
  <c r="AD49"/>
  <c r="AI48"/>
  <c r="AG48"/>
  <c r="AF48"/>
  <c r="AE48"/>
  <c r="AD48"/>
  <c r="AI46"/>
  <c r="AG46"/>
  <c r="AF46"/>
  <c r="AE46"/>
  <c r="AD46"/>
  <c r="AI45"/>
  <c r="AG45"/>
  <c r="AF45"/>
  <c r="AE45"/>
  <c r="AD45"/>
  <c r="AI44"/>
  <c r="AG44"/>
  <c r="AF44"/>
  <c r="AE44"/>
  <c r="AD44"/>
  <c r="AI42"/>
  <c r="AG42"/>
  <c r="AF42"/>
  <c r="AE42"/>
  <c r="AD42"/>
  <c r="AI41"/>
  <c r="AG41"/>
  <c r="AF41"/>
  <c r="AE41"/>
  <c r="AD41"/>
  <c r="AI39"/>
  <c r="AG39"/>
  <c r="AF39"/>
  <c r="AE39"/>
  <c r="AD39"/>
  <c r="AI37"/>
  <c r="AG37"/>
  <c r="AF37"/>
  <c r="AE37"/>
  <c r="AD37"/>
  <c r="AI36"/>
  <c r="AG36"/>
  <c r="AF36"/>
  <c r="AE36"/>
  <c r="AD36"/>
  <c r="AI35"/>
  <c r="AG35"/>
  <c r="AF35"/>
  <c r="AE35"/>
  <c r="AD35"/>
  <c r="AI33"/>
  <c r="AG33"/>
  <c r="AF33"/>
  <c r="AE33"/>
  <c r="AD33"/>
  <c r="AI32"/>
  <c r="AG32"/>
  <c r="AF32"/>
  <c r="AE32"/>
  <c r="AD32"/>
  <c r="AI31"/>
  <c r="AG31"/>
  <c r="AF31"/>
  <c r="AE31"/>
  <c r="AD31"/>
  <c r="AI30"/>
  <c r="AG30"/>
  <c r="AF30"/>
  <c r="AE30"/>
  <c r="AD30"/>
  <c r="AI28"/>
  <c r="AG28"/>
  <c r="AF28"/>
  <c r="AE28"/>
  <c r="AD28"/>
  <c r="AI27"/>
  <c r="AG27"/>
  <c r="AF27"/>
  <c r="AE27"/>
  <c r="AD27"/>
  <c r="AI26"/>
  <c r="AG26"/>
  <c r="AF26"/>
  <c r="AE26"/>
  <c r="AD26"/>
  <c r="AI24"/>
  <c r="AG24"/>
  <c r="AF24"/>
  <c r="AE24"/>
  <c r="AD24"/>
  <c r="AI23"/>
  <c r="AG23"/>
  <c r="AF23"/>
  <c r="AE23"/>
  <c r="AD23"/>
  <c r="AI21"/>
  <c r="AG21"/>
  <c r="AF21"/>
  <c r="AE21"/>
  <c r="AD21"/>
  <c r="AI19"/>
  <c r="AG19"/>
  <c r="AF19"/>
  <c r="AE19"/>
  <c r="AD19"/>
  <c r="AI18"/>
  <c r="AG18"/>
  <c r="AF18"/>
  <c r="AE18"/>
  <c r="AD18"/>
  <c r="AI17"/>
  <c r="AG17"/>
  <c r="AF17"/>
  <c r="AE17"/>
  <c r="AD17"/>
  <c r="AI16"/>
  <c r="AG16"/>
  <c r="AF16"/>
  <c r="AE16"/>
  <c r="AD16"/>
  <c r="AI14"/>
  <c r="AG14"/>
  <c r="AF14"/>
  <c r="AE14"/>
  <c r="AD14"/>
  <c r="AI13"/>
  <c r="AG13"/>
  <c r="AF13"/>
  <c r="AE13"/>
  <c r="AD13"/>
  <c r="AI12"/>
  <c r="AG12"/>
  <c r="AF12"/>
  <c r="AE12"/>
  <c r="AD12"/>
  <c r="AI11"/>
  <c r="AG11"/>
  <c r="AF11"/>
  <c r="AE11"/>
  <c r="AD11"/>
  <c r="AI9"/>
  <c r="AG9"/>
  <c r="AF9"/>
  <c r="AE9"/>
  <c r="AD9"/>
  <c r="AI8"/>
  <c r="AG8"/>
  <c r="AF8"/>
  <c r="AE8"/>
  <c r="AD8"/>
  <c r="AI7"/>
  <c r="AG7"/>
  <c r="AF7"/>
  <c r="AE7"/>
  <c r="AD7"/>
  <c r="AI5"/>
  <c r="AG5"/>
  <c r="AF5"/>
  <c r="AE5"/>
  <c r="AD5"/>
  <c r="R5" i="149" l="1"/>
  <c r="B31" i="271"/>
  <c r="C31"/>
  <c r="D31"/>
  <c r="E31"/>
  <c r="F31"/>
  <c r="G31"/>
  <c r="H31"/>
  <c r="I31"/>
  <c r="J31"/>
  <c r="K31"/>
  <c r="L31"/>
  <c r="L38" i="270"/>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AI50" i="325"/>
  <c r="AI49"/>
  <c r="AI48"/>
  <c r="AI46"/>
  <c r="AI44"/>
  <c r="AI42"/>
  <c r="AI41"/>
  <c r="AI39"/>
  <c r="AG39"/>
  <c r="AF39"/>
  <c r="AE39"/>
  <c r="AD39"/>
  <c r="AI37"/>
  <c r="AG37"/>
  <c r="AF37"/>
  <c r="AE37"/>
  <c r="AD37"/>
  <c r="AI35"/>
  <c r="AG35"/>
  <c r="AF35"/>
  <c r="AE35"/>
  <c r="AD35"/>
  <c r="AI33"/>
  <c r="AG33"/>
  <c r="AF33"/>
  <c r="AE33"/>
  <c r="AD33"/>
  <c r="AI32"/>
  <c r="AG32"/>
  <c r="AF32"/>
  <c r="AE32"/>
  <c r="AD32"/>
  <c r="AI31"/>
  <c r="AG31"/>
  <c r="AF31"/>
  <c r="AE31"/>
  <c r="AD31"/>
  <c r="AI30"/>
  <c r="AG30"/>
  <c r="AF30"/>
  <c r="AE30"/>
  <c r="AD30"/>
  <c r="AI28"/>
  <c r="AG28"/>
  <c r="AF28"/>
  <c r="AE28"/>
  <c r="AD28"/>
  <c r="AI26"/>
  <c r="AG26"/>
  <c r="AF26"/>
  <c r="AE26"/>
  <c r="AD26"/>
  <c r="AI24"/>
  <c r="AG24"/>
  <c r="AF24"/>
  <c r="AE24"/>
  <c r="AD24"/>
  <c r="AI23"/>
  <c r="AG23"/>
  <c r="AF23"/>
  <c r="AE23"/>
  <c r="AD23"/>
  <c r="AI21"/>
  <c r="AG21"/>
  <c r="AF21"/>
  <c r="AE21"/>
  <c r="AD21"/>
  <c r="AI18"/>
  <c r="AG18"/>
  <c r="AF18"/>
  <c r="AE18"/>
  <c r="AD18"/>
  <c r="AI17"/>
  <c r="AG17"/>
  <c r="AF17"/>
  <c r="AE17"/>
  <c r="AD17"/>
  <c r="AI16"/>
  <c r="AG16"/>
  <c r="AF16"/>
  <c r="AE16"/>
  <c r="AD16"/>
  <c r="AI11"/>
  <c r="AG11"/>
  <c r="AF11"/>
  <c r="AE11"/>
  <c r="AD11"/>
  <c r="AI9"/>
  <c r="AG9"/>
  <c r="AF9"/>
  <c r="AE9"/>
  <c r="AD9"/>
  <c r="AI7"/>
  <c r="AG7"/>
  <c r="AF7"/>
  <c r="AE7"/>
  <c r="AD7"/>
  <c r="AI5"/>
  <c r="AG5"/>
  <c r="AF5"/>
  <c r="AE5"/>
  <c r="AD5"/>
  <c r="AI52" i="323"/>
  <c r="AG52"/>
  <c r="AF52"/>
  <c r="AE52"/>
  <c r="AD52"/>
  <c r="AI51"/>
  <c r="AG51"/>
  <c r="AF51"/>
  <c r="AE51"/>
  <c r="AD51"/>
  <c r="AI50"/>
  <c r="AG50"/>
  <c r="AF50"/>
  <c r="AE50"/>
  <c r="AD50"/>
  <c r="AI49"/>
  <c r="AG49"/>
  <c r="AF49"/>
  <c r="AE49"/>
  <c r="AD49"/>
  <c r="AI48"/>
  <c r="AG48"/>
  <c r="AF48"/>
  <c r="AE48"/>
  <c r="AD48"/>
  <c r="AI47"/>
  <c r="AG47"/>
  <c r="AF47"/>
  <c r="AE47"/>
  <c r="AD47"/>
  <c r="AI44"/>
  <c r="AG44"/>
  <c r="AF44"/>
  <c r="AE44"/>
  <c r="AD44"/>
  <c r="AI43"/>
  <c r="AG43"/>
  <c r="AF43"/>
  <c r="AE43"/>
  <c r="AD43"/>
  <c r="AI40"/>
  <c r="AG40"/>
  <c r="AF40"/>
  <c r="AE40"/>
  <c r="AD40"/>
  <c r="AI39"/>
  <c r="AG39"/>
  <c r="AF39"/>
  <c r="AE39"/>
  <c r="AD39"/>
  <c r="AI37"/>
  <c r="AG37"/>
  <c r="AF37"/>
  <c r="AE37"/>
  <c r="AD37"/>
  <c r="AI35"/>
  <c r="AG35"/>
  <c r="AF35"/>
  <c r="AE35"/>
  <c r="AD35"/>
  <c r="AI32"/>
  <c r="AG32"/>
  <c r="AF32"/>
  <c r="AE32"/>
  <c r="AD32"/>
  <c r="AI31"/>
  <c r="AG31"/>
  <c r="AF31"/>
  <c r="AE31"/>
  <c r="AD31"/>
  <c r="AI30"/>
  <c r="AG30"/>
  <c r="AF30"/>
  <c r="AE30"/>
  <c r="AD30"/>
  <c r="AI29"/>
  <c r="AG29"/>
  <c r="AF29"/>
  <c r="AE29"/>
  <c r="AD29"/>
  <c r="AI28"/>
  <c r="AG28"/>
  <c r="AF28"/>
  <c r="AE28"/>
  <c r="AD28"/>
  <c r="AI26"/>
  <c r="AG26"/>
  <c r="AF26"/>
  <c r="AE26"/>
  <c r="AD26"/>
  <c r="AI23"/>
  <c r="AG23"/>
  <c r="AF23"/>
  <c r="AE23"/>
  <c r="AD23"/>
  <c r="AI22"/>
  <c r="AG22"/>
  <c r="AF22"/>
  <c r="AE22"/>
  <c r="AD22"/>
  <c r="AI21"/>
  <c r="AG21"/>
  <c r="AF21"/>
  <c r="AE21"/>
  <c r="AD21"/>
  <c r="AI20"/>
  <c r="AG20"/>
  <c r="AF20"/>
  <c r="AE20"/>
  <c r="AD20"/>
  <c r="AI18"/>
  <c r="AG18"/>
  <c r="AF18"/>
  <c r="AE18"/>
  <c r="AD18"/>
  <c r="AI17"/>
  <c r="AG17"/>
  <c r="AF17"/>
  <c r="AE17"/>
  <c r="AD17"/>
  <c r="AI16"/>
  <c r="AG16"/>
  <c r="AF16"/>
  <c r="AE16"/>
  <c r="AD16"/>
  <c r="AI15"/>
  <c r="AG15"/>
  <c r="AF15"/>
  <c r="AE15"/>
  <c r="AD15"/>
  <c r="AI13"/>
  <c r="AG13"/>
  <c r="AF13"/>
  <c r="AE13"/>
  <c r="AD13"/>
  <c r="AI9"/>
  <c r="AG9"/>
  <c r="AF9"/>
  <c r="AE9"/>
  <c r="AD9"/>
  <c r="AI7"/>
  <c r="AG7"/>
  <c r="AF7"/>
  <c r="AE7"/>
  <c r="AD7"/>
  <c r="AI5"/>
  <c r="AG5"/>
  <c r="AF5"/>
  <c r="AE5"/>
  <c r="AD5"/>
  <c r="AI51" i="322"/>
  <c r="AG51"/>
  <c r="AF51"/>
  <c r="AE51"/>
  <c r="AD51"/>
  <c r="AI50"/>
  <c r="AG50"/>
  <c r="AF50"/>
  <c r="AE50"/>
  <c r="AD50"/>
  <c r="AI49"/>
  <c r="AG49"/>
  <c r="AF49"/>
  <c r="AE49"/>
  <c r="AD49"/>
  <c r="AI48"/>
  <c r="AG48"/>
  <c r="AF48"/>
  <c r="AE48"/>
  <c r="AD48"/>
  <c r="AI47"/>
  <c r="AG47"/>
  <c r="AF47"/>
  <c r="AE47"/>
  <c r="AD47"/>
  <c r="AI46"/>
  <c r="AG46"/>
  <c r="AF46"/>
  <c r="AE46"/>
  <c r="AD46"/>
  <c r="AI43"/>
  <c r="AG43"/>
  <c r="AF43"/>
  <c r="AE43"/>
  <c r="AD43"/>
  <c r="AI42"/>
  <c r="AG42"/>
  <c r="AF42"/>
  <c r="AE42"/>
  <c r="AD42"/>
  <c r="AI40"/>
  <c r="AG40"/>
  <c r="AF40"/>
  <c r="AE40"/>
  <c r="AD40"/>
  <c r="AI39"/>
  <c r="AG39"/>
  <c r="AF39"/>
  <c r="AE39"/>
  <c r="AD39"/>
  <c r="AI37"/>
  <c r="AG37"/>
  <c r="AF37"/>
  <c r="AE37"/>
  <c r="AD37"/>
  <c r="AI35"/>
  <c r="AG35"/>
  <c r="AF35"/>
  <c r="AE35"/>
  <c r="AD35"/>
  <c r="AD33"/>
  <c r="AI32"/>
  <c r="AG32"/>
  <c r="AF32"/>
  <c r="AE32"/>
  <c r="AD32"/>
  <c r="AI31"/>
  <c r="AG31"/>
  <c r="AF31"/>
  <c r="AE31"/>
  <c r="AD31"/>
  <c r="AI30"/>
  <c r="AG30"/>
  <c r="AF30"/>
  <c r="AE30"/>
  <c r="AD30"/>
  <c r="AI29"/>
  <c r="AG29"/>
  <c r="AF29"/>
  <c r="AE29"/>
  <c r="AD29"/>
  <c r="AI28"/>
  <c r="AG28"/>
  <c r="AF28"/>
  <c r="AE28"/>
  <c r="AD28"/>
  <c r="AI26"/>
  <c r="AG26"/>
  <c r="AF26"/>
  <c r="AE26"/>
  <c r="AD26"/>
  <c r="AD24"/>
  <c r="AI23"/>
  <c r="AG23"/>
  <c r="AF23"/>
  <c r="AE23"/>
  <c r="AD23"/>
  <c r="AI22"/>
  <c r="AG22"/>
  <c r="AF22"/>
  <c r="AE22"/>
  <c r="AD22"/>
  <c r="AI21"/>
  <c r="AG21"/>
  <c r="AF21"/>
  <c r="AE21"/>
  <c r="AD21"/>
  <c r="AI20"/>
  <c r="AG20"/>
  <c r="AF20"/>
  <c r="AE20"/>
  <c r="AD20"/>
  <c r="AI18"/>
  <c r="AG18"/>
  <c r="AF18"/>
  <c r="AE18"/>
  <c r="AD18"/>
  <c r="AI17"/>
  <c r="AG17"/>
  <c r="AF17"/>
  <c r="AE17"/>
  <c r="AD17"/>
  <c r="AI16"/>
  <c r="AG16"/>
  <c r="AF16"/>
  <c r="AE16"/>
  <c r="AD16"/>
  <c r="AI15"/>
  <c r="AG15"/>
  <c r="AF15"/>
  <c r="AE15"/>
  <c r="AD15"/>
  <c r="AI13"/>
  <c r="AG13"/>
  <c r="AF13"/>
  <c r="AE13"/>
  <c r="AD13"/>
  <c r="AE11"/>
  <c r="AD11"/>
  <c r="AE10"/>
  <c r="AD10"/>
  <c r="AI9"/>
  <c r="AG9"/>
  <c r="AF9"/>
  <c r="AE9"/>
  <c r="AD9"/>
  <c r="AI7"/>
  <c r="AG7"/>
  <c r="AF7"/>
  <c r="AE7"/>
  <c r="AD7"/>
  <c r="AI5"/>
  <c r="AG5"/>
  <c r="AF5"/>
  <c r="AE5"/>
  <c r="AD5"/>
  <c r="B31" i="310"/>
  <c r="C31"/>
  <c r="D31"/>
  <c r="E31"/>
  <c r="F31"/>
  <c r="G31"/>
  <c r="H31"/>
  <c r="I31"/>
  <c r="J31"/>
  <c r="K31"/>
  <c r="L31"/>
  <c r="L38" i="309"/>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8" i="308"/>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B31" i="269"/>
  <c r="C31"/>
  <c r="D31"/>
  <c r="E31"/>
  <c r="F31"/>
  <c r="G31"/>
  <c r="H31"/>
  <c r="I31"/>
  <c r="J31"/>
  <c r="K31"/>
  <c r="L31"/>
  <c r="L36" i="30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8" i="305"/>
  <c r="K38"/>
  <c r="J38"/>
  <c r="I38"/>
  <c r="H38"/>
  <c r="G38"/>
  <c r="F38"/>
  <c r="E38"/>
  <c r="C38"/>
  <c r="B38"/>
  <c r="L36"/>
  <c r="K36"/>
  <c r="J36"/>
  <c r="I36"/>
  <c r="H36"/>
  <c r="G36"/>
  <c r="F36"/>
  <c r="E36"/>
  <c r="C36"/>
  <c r="B36"/>
  <c r="L35"/>
  <c r="K35"/>
  <c r="J35"/>
  <c r="I35"/>
  <c r="H35"/>
  <c r="G35"/>
  <c r="F35"/>
  <c r="E35"/>
  <c r="C35"/>
  <c r="B35"/>
  <c r="L34"/>
  <c r="K34"/>
  <c r="J34"/>
  <c r="I34"/>
  <c r="H34"/>
  <c r="G34"/>
  <c r="F34"/>
  <c r="E34"/>
  <c r="C34"/>
  <c r="B34"/>
  <c r="L33"/>
  <c r="K33"/>
  <c r="J33"/>
  <c r="I33"/>
  <c r="H33"/>
  <c r="G33"/>
  <c r="F33"/>
  <c r="E33"/>
  <c r="D33"/>
  <c r="C33"/>
  <c r="B33"/>
  <c r="L36" i="268"/>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8" i="267"/>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1" i="263"/>
  <c r="K31"/>
  <c r="J31"/>
  <c r="I31"/>
  <c r="H31"/>
  <c r="G31"/>
  <c r="F31"/>
  <c r="E31"/>
  <c r="D31"/>
  <c r="C31"/>
  <c r="B31"/>
  <c r="B30" i="457" s="1"/>
  <c r="L30" i="263"/>
  <c r="K30"/>
  <c r="J30"/>
  <c r="I30"/>
  <c r="H30"/>
  <c r="G30"/>
  <c r="F30"/>
  <c r="E30"/>
  <c r="D30"/>
  <c r="C30"/>
  <c r="B30"/>
  <c r="B29" i="457" s="1"/>
  <c r="L29" i="263"/>
  <c r="K29"/>
  <c r="J29"/>
  <c r="I29"/>
  <c r="H29"/>
  <c r="G29"/>
  <c r="F29"/>
  <c r="E29"/>
  <c r="D29"/>
  <c r="C29"/>
  <c r="B29"/>
  <c r="B28" i="457" s="1"/>
  <c r="L28" i="263"/>
  <c r="K28"/>
  <c r="J28"/>
  <c r="I28"/>
  <c r="H28"/>
  <c r="G28"/>
  <c r="F28"/>
  <c r="E28"/>
  <c r="D28"/>
  <c r="C28"/>
  <c r="B28"/>
  <c r="B27" i="457" s="1"/>
  <c r="L27" i="263"/>
  <c r="K27"/>
  <c r="J27"/>
  <c r="I27"/>
  <c r="H27"/>
  <c r="G27"/>
  <c r="F27"/>
  <c r="E27"/>
  <c r="D27"/>
  <c r="C27"/>
  <c r="B27"/>
  <c r="B26" i="457" s="1"/>
  <c r="L26" i="263"/>
  <c r="K26"/>
  <c r="J26"/>
  <c r="I26"/>
  <c r="H26"/>
  <c r="G26"/>
  <c r="F26"/>
  <c r="E26"/>
  <c r="D26"/>
  <c r="C26"/>
  <c r="B26"/>
  <c r="B25" i="457" s="1"/>
  <c r="L25" i="263"/>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C48" s="1"/>
  <c r="L31" i="262"/>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C48" s="1"/>
  <c r="L31" i="26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C49" s="1"/>
  <c r="B31" i="260"/>
  <c r="C31"/>
  <c r="D31"/>
  <c r="E31"/>
  <c r="F31"/>
  <c r="G31"/>
  <c r="H31"/>
  <c r="I31"/>
  <c r="J31"/>
  <c r="K31"/>
  <c r="L31"/>
  <c r="B31" i="259"/>
  <c r="C31"/>
  <c r="D31"/>
  <c r="E31"/>
  <c r="F31"/>
  <c r="G31"/>
  <c r="H31"/>
  <c r="I31"/>
  <c r="J31"/>
  <c r="K31"/>
  <c r="L31"/>
  <c r="B31" i="258"/>
  <c r="C31"/>
  <c r="D31"/>
  <c r="E31"/>
  <c r="F31"/>
  <c r="G31"/>
  <c r="H31"/>
  <c r="I31"/>
  <c r="J31"/>
  <c r="K31"/>
  <c r="L31"/>
  <c r="L41" i="257"/>
  <c r="K41"/>
  <c r="J41"/>
  <c r="I41"/>
  <c r="H41"/>
  <c r="G41"/>
  <c r="F41"/>
  <c r="E41"/>
  <c r="D41"/>
  <c r="C41"/>
  <c r="B41"/>
  <c r="L40"/>
  <c r="K40"/>
  <c r="J40"/>
  <c r="I40"/>
  <c r="H40"/>
  <c r="G40"/>
  <c r="F40"/>
  <c r="E40"/>
  <c r="D40"/>
  <c r="C40"/>
  <c r="B40"/>
  <c r="L39"/>
  <c r="K39"/>
  <c r="J39"/>
  <c r="I39"/>
  <c r="H39"/>
  <c r="G39"/>
  <c r="F39"/>
  <c r="E39"/>
  <c r="D39"/>
  <c r="C39"/>
  <c r="B39"/>
  <c r="L38"/>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41" i="256"/>
  <c r="K41"/>
  <c r="J41"/>
  <c r="I41"/>
  <c r="H41"/>
  <c r="G41"/>
  <c r="F41"/>
  <c r="E41"/>
  <c r="D41"/>
  <c r="C41"/>
  <c r="B41"/>
  <c r="L40"/>
  <c r="K40"/>
  <c r="J40"/>
  <c r="I40"/>
  <c r="H40"/>
  <c r="G40"/>
  <c r="F40"/>
  <c r="E40"/>
  <c r="D40"/>
  <c r="C40"/>
  <c r="B40"/>
  <c r="L39"/>
  <c r="K39"/>
  <c r="J39"/>
  <c r="I39"/>
  <c r="H39"/>
  <c r="G39"/>
  <c r="F39"/>
  <c r="E39"/>
  <c r="D39"/>
  <c r="C39"/>
  <c r="B39"/>
  <c r="L38"/>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41" i="255"/>
  <c r="K41"/>
  <c r="J41"/>
  <c r="I41"/>
  <c r="H41"/>
  <c r="G41"/>
  <c r="F41"/>
  <c r="E41"/>
  <c r="D41"/>
  <c r="C41"/>
  <c r="B41"/>
  <c r="L40"/>
  <c r="K40"/>
  <c r="J40"/>
  <c r="I40"/>
  <c r="H40"/>
  <c r="G40"/>
  <c r="F40"/>
  <c r="E40"/>
  <c r="D40"/>
  <c r="C40"/>
  <c r="B40"/>
  <c r="L39"/>
  <c r="K39"/>
  <c r="J39"/>
  <c r="I39"/>
  <c r="H39"/>
  <c r="G39"/>
  <c r="F39"/>
  <c r="E39"/>
  <c r="D39"/>
  <c r="C39"/>
  <c r="B39"/>
  <c r="L38"/>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C31" i="266" l="1"/>
  <c r="C31" i="265"/>
  <c r="E31"/>
  <c r="E31" i="266"/>
  <c r="G31"/>
  <c r="G31" i="265"/>
  <c r="I31"/>
  <c r="I31" i="266"/>
  <c r="K31" i="265"/>
  <c r="D33" i="262"/>
  <c r="F33"/>
  <c r="H33"/>
  <c r="J33"/>
  <c r="L33"/>
  <c r="K31" i="266"/>
  <c r="C33" i="261"/>
  <c r="E33"/>
  <c r="G33"/>
  <c r="I33"/>
  <c r="K33"/>
  <c r="F50"/>
  <c r="D34"/>
  <c r="F34"/>
  <c r="H34"/>
  <c r="J34"/>
  <c r="L34"/>
  <c r="C38"/>
  <c r="E38"/>
  <c r="G38"/>
  <c r="I38"/>
  <c r="K38"/>
  <c r="F48" i="262"/>
  <c r="F50"/>
  <c r="B36"/>
  <c r="D36"/>
  <c r="F36"/>
  <c r="H36"/>
  <c r="J36"/>
  <c r="L36"/>
  <c r="D35"/>
  <c r="H35"/>
  <c r="L35"/>
  <c r="D38"/>
  <c r="H38"/>
  <c r="L38"/>
  <c r="C49"/>
  <c r="F48" i="263"/>
  <c r="D33"/>
  <c r="F33"/>
  <c r="H33"/>
  <c r="J33"/>
  <c r="L33"/>
  <c r="C34"/>
  <c r="E34"/>
  <c r="G34"/>
  <c r="I34"/>
  <c r="K34"/>
  <c r="F50"/>
  <c r="B36"/>
  <c r="D36"/>
  <c r="F36"/>
  <c r="H36"/>
  <c r="J36"/>
  <c r="L36"/>
  <c r="K31" i="264"/>
  <c r="I31"/>
  <c r="G31"/>
  <c r="E31"/>
  <c r="C31"/>
  <c r="F49" i="261"/>
  <c r="D33"/>
  <c r="F33"/>
  <c r="H33"/>
  <c r="J33"/>
  <c r="L33"/>
  <c r="C34"/>
  <c r="E34"/>
  <c r="G34"/>
  <c r="I34"/>
  <c r="K34"/>
  <c r="F51"/>
  <c r="B36"/>
  <c r="D36"/>
  <c r="F36"/>
  <c r="H36"/>
  <c r="J36"/>
  <c r="L36"/>
  <c r="C33" i="262"/>
  <c r="E33"/>
  <c r="G33"/>
  <c r="I33"/>
  <c r="K33"/>
  <c r="F49"/>
  <c r="D34"/>
  <c r="F34"/>
  <c r="H34"/>
  <c r="J34"/>
  <c r="L34"/>
  <c r="C38"/>
  <c r="E38"/>
  <c r="G38"/>
  <c r="I38"/>
  <c r="K38"/>
  <c r="B33"/>
  <c r="B35"/>
  <c r="F35"/>
  <c r="J35"/>
  <c r="B38"/>
  <c r="F38"/>
  <c r="J38"/>
  <c r="C51"/>
  <c r="C33" i="263"/>
  <c r="E33"/>
  <c r="G33"/>
  <c r="I33"/>
  <c r="K33"/>
  <c r="F49"/>
  <c r="D34"/>
  <c r="F34"/>
  <c r="H34"/>
  <c r="J34"/>
  <c r="L34"/>
  <c r="C38"/>
  <c r="E38"/>
  <c r="G38"/>
  <c r="I38"/>
  <c r="K38"/>
  <c r="L31" i="264"/>
  <c r="J31"/>
  <c r="H31"/>
  <c r="F31"/>
  <c r="D31"/>
  <c r="B31"/>
  <c r="L31" i="265"/>
  <c r="J31"/>
  <c r="H31"/>
  <c r="F31"/>
  <c r="D31"/>
  <c r="B31"/>
  <c r="L31" i="266"/>
  <c r="J31"/>
  <c r="H31"/>
  <c r="F31"/>
  <c r="D31"/>
  <c r="B31"/>
  <c r="B33" i="263"/>
  <c r="B35"/>
  <c r="D35"/>
  <c r="F35"/>
  <c r="H35"/>
  <c r="J35"/>
  <c r="L35"/>
  <c r="C36"/>
  <c r="E36"/>
  <c r="G36"/>
  <c r="I36"/>
  <c r="K36"/>
  <c r="B38"/>
  <c r="D38"/>
  <c r="F38"/>
  <c r="H38"/>
  <c r="J38"/>
  <c r="L38"/>
  <c r="C49"/>
  <c r="C50"/>
  <c r="C51"/>
  <c r="B34"/>
  <c r="C35"/>
  <c r="E35"/>
  <c r="G35"/>
  <c r="I35"/>
  <c r="K35"/>
  <c r="F47"/>
  <c r="C34" i="262"/>
  <c r="E34"/>
  <c r="G34"/>
  <c r="I34"/>
  <c r="K34"/>
  <c r="C36"/>
  <c r="E36"/>
  <c r="G36"/>
  <c r="I36"/>
  <c r="K36"/>
  <c r="C50"/>
  <c r="B34"/>
  <c r="C35"/>
  <c r="E35"/>
  <c r="G35"/>
  <c r="I35"/>
  <c r="K35"/>
  <c r="F47"/>
  <c r="B33" i="261"/>
  <c r="B35"/>
  <c r="D35"/>
  <c r="F35"/>
  <c r="H35"/>
  <c r="J35"/>
  <c r="L35"/>
  <c r="C36"/>
  <c r="E36"/>
  <c r="G36"/>
  <c r="I36"/>
  <c r="K36"/>
  <c r="B38"/>
  <c r="D38"/>
  <c r="F38"/>
  <c r="H38"/>
  <c r="J38"/>
  <c r="L38"/>
  <c r="C50"/>
  <c r="C51"/>
  <c r="C52"/>
  <c r="B34"/>
  <c r="C35"/>
  <c r="E35"/>
  <c r="G35"/>
  <c r="I35"/>
  <c r="K35"/>
  <c r="F48"/>
  <c r="AI51" i="329" l="1"/>
  <c r="AG51"/>
  <c r="AF51"/>
  <c r="AE51"/>
  <c r="AD51"/>
  <c r="AI50"/>
  <c r="AG50"/>
  <c r="AF50"/>
  <c r="AE50"/>
  <c r="AD50"/>
  <c r="AI49"/>
  <c r="AG49"/>
  <c r="AF49"/>
  <c r="AE49"/>
  <c r="AD49"/>
  <c r="AI48"/>
  <c r="AG48"/>
  <c r="AF48"/>
  <c r="AE48"/>
  <c r="AD48"/>
  <c r="AI47"/>
  <c r="AG47"/>
  <c r="AF47"/>
  <c r="AE47"/>
  <c r="AD47"/>
  <c r="AI46"/>
  <c r="AG46"/>
  <c r="AF46"/>
  <c r="AE46"/>
  <c r="AD46"/>
  <c r="AI44"/>
  <c r="AG44"/>
  <c r="AF44"/>
  <c r="AE44"/>
  <c r="AD44"/>
  <c r="AI43"/>
  <c r="AG43"/>
  <c r="AF43"/>
  <c r="AE43"/>
  <c r="AD43"/>
  <c r="AI42"/>
  <c r="AG42"/>
  <c r="AF42"/>
  <c r="AE42"/>
  <c r="AD42"/>
  <c r="AI41"/>
  <c r="AG41"/>
  <c r="AF41"/>
  <c r="AE41"/>
  <c r="AD41"/>
  <c r="AI40"/>
  <c r="AG40"/>
  <c r="AF40"/>
  <c r="AE40"/>
  <c r="AD40"/>
  <c r="AI39"/>
  <c r="AG39"/>
  <c r="AF39"/>
  <c r="AE39"/>
  <c r="AD39"/>
  <c r="AI37"/>
  <c r="AG37"/>
  <c r="AF37"/>
  <c r="AE37"/>
  <c r="AD37"/>
  <c r="AI35"/>
  <c r="AG35"/>
  <c r="AF35"/>
  <c r="AE35"/>
  <c r="AD35"/>
  <c r="AI33"/>
  <c r="AG33"/>
  <c r="AF33"/>
  <c r="AE33"/>
  <c r="AD33"/>
  <c r="AI32"/>
  <c r="AG32"/>
  <c r="AF32"/>
  <c r="AE32"/>
  <c r="AD32"/>
  <c r="AI31"/>
  <c r="AG31"/>
  <c r="AF31"/>
  <c r="AE31"/>
  <c r="AD31"/>
  <c r="AI30"/>
  <c r="AG30"/>
  <c r="AF30"/>
  <c r="AE30"/>
  <c r="AD30"/>
  <c r="AI29"/>
  <c r="AG29"/>
  <c r="AF29"/>
  <c r="AE29"/>
  <c r="AD29"/>
  <c r="AI28"/>
  <c r="AG28"/>
  <c r="AF28"/>
  <c r="AE28"/>
  <c r="AD28"/>
  <c r="AI26"/>
  <c r="AG26"/>
  <c r="AF26"/>
  <c r="AE26"/>
  <c r="AD26"/>
  <c r="AI24"/>
  <c r="AG24"/>
  <c r="AF24"/>
  <c r="AE24"/>
  <c r="AD24"/>
  <c r="AI23"/>
  <c r="AG23"/>
  <c r="AF23"/>
  <c r="AE23"/>
  <c r="AD23"/>
  <c r="AI22"/>
  <c r="AG22"/>
  <c r="AF22"/>
  <c r="AE22"/>
  <c r="AD22"/>
  <c r="AI21"/>
  <c r="AG21"/>
  <c r="AF21"/>
  <c r="AE21"/>
  <c r="AD21"/>
  <c r="AI20"/>
  <c r="AG20"/>
  <c r="AF20"/>
  <c r="AE20"/>
  <c r="AD20"/>
  <c r="AI18"/>
  <c r="AG18"/>
  <c r="AF18"/>
  <c r="AE18"/>
  <c r="AD18"/>
  <c r="AI17"/>
  <c r="AG17"/>
  <c r="AF17"/>
  <c r="AE17"/>
  <c r="AD17"/>
  <c r="AI16"/>
  <c r="AG16"/>
  <c r="AF16"/>
  <c r="AE16"/>
  <c r="AD16"/>
  <c r="AI15"/>
  <c r="AG15"/>
  <c r="AF15"/>
  <c r="AE15"/>
  <c r="AD15"/>
  <c r="AI13"/>
  <c r="AG13"/>
  <c r="AF13"/>
  <c r="AE13"/>
  <c r="AD13"/>
  <c r="AI11"/>
  <c r="AG11"/>
  <c r="AF11"/>
  <c r="AE11"/>
  <c r="AD11"/>
  <c r="AI10"/>
  <c r="AG10"/>
  <c r="AF10"/>
  <c r="AE10"/>
  <c r="AD10"/>
  <c r="AI9"/>
  <c r="AG9"/>
  <c r="AF9"/>
  <c r="AE9"/>
  <c r="AD9"/>
  <c r="AI7"/>
  <c r="AG7"/>
  <c r="AF7"/>
  <c r="AE7"/>
  <c r="AD7"/>
  <c r="AI5"/>
  <c r="AG5"/>
  <c r="AF5"/>
  <c r="AE5"/>
  <c r="AD5"/>
  <c r="AI51" i="328"/>
  <c r="AG51"/>
  <c r="AF51"/>
  <c r="AE51"/>
  <c r="AD51"/>
  <c r="AI50"/>
  <c r="AG50"/>
  <c r="AF50"/>
  <c r="AE50"/>
  <c r="AD50"/>
  <c r="AI49"/>
  <c r="AG49"/>
  <c r="AF49"/>
  <c r="AE49"/>
  <c r="AD49"/>
  <c r="AI48"/>
  <c r="AG48"/>
  <c r="AF48"/>
  <c r="AE48"/>
  <c r="AD48"/>
  <c r="AI47"/>
  <c r="AG47"/>
  <c r="AF47"/>
  <c r="AE47"/>
  <c r="AD47"/>
  <c r="AI46"/>
  <c r="AG46"/>
  <c r="AF46"/>
  <c r="AE46"/>
  <c r="AD46"/>
  <c r="AI44"/>
  <c r="AG44"/>
  <c r="AF44"/>
  <c r="AE44"/>
  <c r="AD44"/>
  <c r="AI43"/>
  <c r="AG43"/>
  <c r="AF43"/>
  <c r="AE43"/>
  <c r="AD43"/>
  <c r="AI42"/>
  <c r="AG42"/>
  <c r="AF42"/>
  <c r="AE42"/>
  <c r="AD42"/>
  <c r="AI41"/>
  <c r="AG41"/>
  <c r="AF41"/>
  <c r="AE41"/>
  <c r="AD41"/>
  <c r="AI40"/>
  <c r="AG40"/>
  <c r="AF40"/>
  <c r="AE40"/>
  <c r="AD40"/>
  <c r="AI39"/>
  <c r="AG39"/>
  <c r="AF39"/>
  <c r="AE39"/>
  <c r="AD39"/>
  <c r="AI37"/>
  <c r="AG37"/>
  <c r="AF37"/>
  <c r="AE37"/>
  <c r="AD37"/>
  <c r="AI35"/>
  <c r="AG35"/>
  <c r="AF35"/>
  <c r="AE35"/>
  <c r="AD35"/>
  <c r="AI33"/>
  <c r="AG33"/>
  <c r="AF33"/>
  <c r="AE33"/>
  <c r="AD33"/>
  <c r="AI32"/>
  <c r="AG32"/>
  <c r="AF32"/>
  <c r="AE32"/>
  <c r="AD32"/>
  <c r="AI31"/>
  <c r="AG31"/>
  <c r="AF31"/>
  <c r="AE31"/>
  <c r="AD31"/>
  <c r="AI30"/>
  <c r="AG30"/>
  <c r="AF30"/>
  <c r="AE30"/>
  <c r="AD30"/>
  <c r="AI29"/>
  <c r="AG29"/>
  <c r="AF29"/>
  <c r="AE29"/>
  <c r="AD29"/>
  <c r="AI28"/>
  <c r="AG28"/>
  <c r="AF28"/>
  <c r="AE28"/>
  <c r="AD28"/>
  <c r="AI26"/>
  <c r="AG26"/>
  <c r="AF26"/>
  <c r="AE26"/>
  <c r="AD26"/>
  <c r="AI24"/>
  <c r="AG24"/>
  <c r="AF24"/>
  <c r="AE24"/>
  <c r="AD24"/>
  <c r="AI23"/>
  <c r="AG23"/>
  <c r="AF23"/>
  <c r="AE23"/>
  <c r="AD23"/>
  <c r="AI22"/>
  <c r="AG22"/>
  <c r="AF22"/>
  <c r="AE22"/>
  <c r="AD22"/>
  <c r="AI21"/>
  <c r="AG21"/>
  <c r="AF21"/>
  <c r="AE21"/>
  <c r="AD21"/>
  <c r="AI20"/>
  <c r="AG20"/>
  <c r="AF20"/>
  <c r="AE20"/>
  <c r="AD20"/>
  <c r="AI18"/>
  <c r="AG18"/>
  <c r="AF18"/>
  <c r="AE18"/>
  <c r="AD18"/>
  <c r="AI17"/>
  <c r="AG17"/>
  <c r="AF17"/>
  <c r="AE17"/>
  <c r="AD17"/>
  <c r="AI16"/>
  <c r="AG16"/>
  <c r="AF16"/>
  <c r="AE16"/>
  <c r="AD16"/>
  <c r="AI15"/>
  <c r="AG15"/>
  <c r="AF15"/>
  <c r="AE15"/>
  <c r="AD15"/>
  <c r="AI13"/>
  <c r="AG13"/>
  <c r="AF13"/>
  <c r="AE13"/>
  <c r="AD13"/>
  <c r="AI11"/>
  <c r="AG11"/>
  <c r="AF11"/>
  <c r="AE11"/>
  <c r="AD11"/>
  <c r="AI10"/>
  <c r="AG10"/>
  <c r="AF10"/>
  <c r="AE10"/>
  <c r="AD10"/>
  <c r="AI9"/>
  <c r="AG9"/>
  <c r="AF9"/>
  <c r="AE9"/>
  <c r="AD9"/>
  <c r="AI7"/>
  <c r="AG7"/>
  <c r="AF7"/>
  <c r="AE7"/>
  <c r="AD7"/>
  <c r="AI5"/>
  <c r="AG5"/>
  <c r="AF5"/>
  <c r="AE5"/>
  <c r="AD5"/>
  <c r="L38" i="78"/>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8" i="77"/>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0" i="25" l="1"/>
  <c r="L30" i="221" s="1"/>
  <c r="K30" i="25"/>
  <c r="K30" i="221" s="1"/>
  <c r="J30" i="25"/>
  <c r="J30" i="221" s="1"/>
  <c r="I30" i="25"/>
  <c r="I30" i="221" s="1"/>
  <c r="H30" i="25"/>
  <c r="H30" i="221" s="1"/>
  <c r="G30" i="25"/>
  <c r="G30" i="221" s="1"/>
  <c r="F30" i="25"/>
  <c r="F30" i="221" s="1"/>
  <c r="E30" i="25"/>
  <c r="E30" i="221" s="1"/>
  <c r="D30" i="25"/>
  <c r="D30" i="221" s="1"/>
  <c r="C30" i="25"/>
  <c r="C30" i="221" s="1"/>
  <c r="B30" i="25"/>
  <c r="B30" i="221" s="1"/>
  <c r="L29" i="25"/>
  <c r="L29" i="221" s="1"/>
  <c r="K29" i="25"/>
  <c r="K29" i="221" s="1"/>
  <c r="J29" i="25"/>
  <c r="J29" i="221" s="1"/>
  <c r="I29" i="25"/>
  <c r="I29" i="221" s="1"/>
  <c r="H29" i="25"/>
  <c r="H29" i="221" s="1"/>
  <c r="G29" i="25"/>
  <c r="G29" i="221" s="1"/>
  <c r="F29" i="25"/>
  <c r="F29" i="221" s="1"/>
  <c r="E29" i="25"/>
  <c r="E29" i="221" s="1"/>
  <c r="D29" i="25"/>
  <c r="D29" i="221" s="1"/>
  <c r="C29" i="25"/>
  <c r="C29" i="221" s="1"/>
  <c r="B29" i="25"/>
  <c r="B29" i="221" s="1"/>
  <c r="L28" i="25"/>
  <c r="L28" i="221" s="1"/>
  <c r="K28" i="25"/>
  <c r="K28" i="221" s="1"/>
  <c r="J28" i="25"/>
  <c r="J28" i="221" s="1"/>
  <c r="I28" i="25"/>
  <c r="I28" i="221" s="1"/>
  <c r="H28" i="25"/>
  <c r="H28" i="221" s="1"/>
  <c r="G28" i="25"/>
  <c r="G28" i="221" s="1"/>
  <c r="F28" i="25"/>
  <c r="F28" i="221" s="1"/>
  <c r="E28" i="25"/>
  <c r="E28" i="221" s="1"/>
  <c r="D28" i="25"/>
  <c r="D28" i="221" s="1"/>
  <c r="C28" i="25"/>
  <c r="C28" i="221" s="1"/>
  <c r="B28" i="25"/>
  <c r="B28" i="221" s="1"/>
  <c r="L27" i="25"/>
  <c r="L27" i="221" s="1"/>
  <c r="K27" i="25"/>
  <c r="K27" i="221" s="1"/>
  <c r="J27" i="25"/>
  <c r="J27" i="221" s="1"/>
  <c r="I27" i="25"/>
  <c r="I27" i="221" s="1"/>
  <c r="H27" i="25"/>
  <c r="H27" i="221" s="1"/>
  <c r="G27" i="25"/>
  <c r="G27" i="221" s="1"/>
  <c r="F27" i="25"/>
  <c r="F27" i="221" s="1"/>
  <c r="E27" i="25"/>
  <c r="E27" i="221" s="1"/>
  <c r="D27" i="25"/>
  <c r="D27" i="221" s="1"/>
  <c r="C27" i="25"/>
  <c r="C27" i="221" s="1"/>
  <c r="B27" i="25"/>
  <c r="B27" i="221" s="1"/>
  <c r="L26" i="25"/>
  <c r="L26" i="221" s="1"/>
  <c r="K26" i="25"/>
  <c r="K26" i="221" s="1"/>
  <c r="J26" i="25"/>
  <c r="J26" i="221" s="1"/>
  <c r="I26" i="25"/>
  <c r="I26" i="221" s="1"/>
  <c r="H26" i="25"/>
  <c r="H26" i="221" s="1"/>
  <c r="G26" i="25"/>
  <c r="G26" i="221" s="1"/>
  <c r="F26" i="25"/>
  <c r="F26" i="221" s="1"/>
  <c r="E26" i="25"/>
  <c r="E26" i="221" s="1"/>
  <c r="D26" i="25"/>
  <c r="D26" i="221" s="1"/>
  <c r="C26" i="25"/>
  <c r="C26" i="221" s="1"/>
  <c r="B26" i="25"/>
  <c r="B26" i="221" s="1"/>
  <c r="L25" i="25"/>
  <c r="L25" i="221" s="1"/>
  <c r="K25" i="25"/>
  <c r="K25" i="221" s="1"/>
  <c r="J25" i="25"/>
  <c r="J25" i="221" s="1"/>
  <c r="I25" i="25"/>
  <c r="I25" i="221" s="1"/>
  <c r="H25" i="25"/>
  <c r="H25" i="221" s="1"/>
  <c r="G25" i="25"/>
  <c r="G25" i="221" s="1"/>
  <c r="F25" i="25"/>
  <c r="F25" i="221" s="1"/>
  <c r="E25" i="25"/>
  <c r="E25" i="221" s="1"/>
  <c r="D25" i="25"/>
  <c r="D25" i="221" s="1"/>
  <c r="C25" i="25"/>
  <c r="C25" i="221" s="1"/>
  <c r="B25" i="25"/>
  <c r="B25" i="221" s="1"/>
  <c r="L24" i="25"/>
  <c r="K24"/>
  <c r="J24"/>
  <c r="I24"/>
  <c r="H24"/>
  <c r="G24"/>
  <c r="F24"/>
  <c r="E24"/>
  <c r="D24"/>
  <c r="C24"/>
  <c r="B24"/>
  <c r="L23"/>
  <c r="L23" i="221" s="1"/>
  <c r="K23" i="25"/>
  <c r="K23" i="221" s="1"/>
  <c r="J23" i="25"/>
  <c r="J23" i="221" s="1"/>
  <c r="I23" i="25"/>
  <c r="I23" i="221" s="1"/>
  <c r="H23" i="25"/>
  <c r="H23" i="221" s="1"/>
  <c r="G23" i="25"/>
  <c r="G23" i="221" s="1"/>
  <c r="F23" i="25"/>
  <c r="F23" i="221" s="1"/>
  <c r="E23" i="25"/>
  <c r="E23" i="221" s="1"/>
  <c r="D23" i="25"/>
  <c r="D23" i="221" s="1"/>
  <c r="C23" i="25"/>
  <c r="C23" i="221" s="1"/>
  <c r="B23" i="25"/>
  <c r="B23" i="221" s="1"/>
  <c r="L22" i="25"/>
  <c r="L22" i="221" s="1"/>
  <c r="K22" i="25"/>
  <c r="K22" i="221" s="1"/>
  <c r="J22" i="25"/>
  <c r="J22" i="221" s="1"/>
  <c r="I22" i="25"/>
  <c r="I22" i="221" s="1"/>
  <c r="H22" i="25"/>
  <c r="H22" i="221" s="1"/>
  <c r="G22" i="25"/>
  <c r="G22" i="221" s="1"/>
  <c r="F22" i="25"/>
  <c r="F22" i="221" s="1"/>
  <c r="E22" i="25"/>
  <c r="E22" i="221" s="1"/>
  <c r="D22" i="25"/>
  <c r="D22" i="221" s="1"/>
  <c r="C22" i="25"/>
  <c r="C22" i="221" s="1"/>
  <c r="B22" i="25"/>
  <c r="B22" i="221" s="1"/>
  <c r="L21" i="25"/>
  <c r="L21" i="221" s="1"/>
  <c r="K21" i="25"/>
  <c r="K21" i="221" s="1"/>
  <c r="J21" i="25"/>
  <c r="J21" i="221" s="1"/>
  <c r="I21" i="25"/>
  <c r="I21" i="221" s="1"/>
  <c r="H21" i="25"/>
  <c r="H21" i="221" s="1"/>
  <c r="G21" i="25"/>
  <c r="G21" i="221" s="1"/>
  <c r="F21" i="25"/>
  <c r="F21" i="221" s="1"/>
  <c r="E21" i="25"/>
  <c r="E21" i="221" s="1"/>
  <c r="D21" i="25"/>
  <c r="D21" i="221" s="1"/>
  <c r="C21" i="25"/>
  <c r="C21" i="221" s="1"/>
  <c r="B21" i="25"/>
  <c r="B21" i="221" s="1"/>
  <c r="L20" i="25"/>
  <c r="L20" i="221" s="1"/>
  <c r="K20" i="25"/>
  <c r="K20" i="221" s="1"/>
  <c r="J20" i="25"/>
  <c r="J20" i="221" s="1"/>
  <c r="I20" i="25"/>
  <c r="I20" i="221" s="1"/>
  <c r="H20" i="25"/>
  <c r="H20" i="221" s="1"/>
  <c r="G20" i="25"/>
  <c r="G20" i="221" s="1"/>
  <c r="F20" i="25"/>
  <c r="F20" i="221" s="1"/>
  <c r="E20" i="25"/>
  <c r="E20" i="221" s="1"/>
  <c r="C20" i="25"/>
  <c r="C20" i="221" s="1"/>
  <c r="B20" i="25"/>
  <c r="B20" i="221" s="1"/>
  <c r="L19" i="25"/>
  <c r="L19" i="221" s="1"/>
  <c r="K19" i="25"/>
  <c r="K19" i="221" s="1"/>
  <c r="J19" i="25"/>
  <c r="J19" i="221" s="1"/>
  <c r="I19" i="25"/>
  <c r="I19" i="221" s="1"/>
  <c r="H19" i="25"/>
  <c r="H19" i="221" s="1"/>
  <c r="G19" i="25"/>
  <c r="G19" i="221" s="1"/>
  <c r="F19" i="25"/>
  <c r="F19" i="221" s="1"/>
  <c r="E19" i="25"/>
  <c r="E19" i="221" s="1"/>
  <c r="D19" i="25"/>
  <c r="D19" i="221" s="1"/>
  <c r="C19" i="25"/>
  <c r="C19" i="221" s="1"/>
  <c r="B19" i="25"/>
  <c r="B19" i="221" s="1"/>
  <c r="L18" i="25"/>
  <c r="L18" i="221" s="1"/>
  <c r="K18" i="25"/>
  <c r="K18" i="221" s="1"/>
  <c r="J18" i="25"/>
  <c r="J18" i="221" s="1"/>
  <c r="I18" i="25"/>
  <c r="I18" i="221" s="1"/>
  <c r="H18" i="25"/>
  <c r="H18" i="221" s="1"/>
  <c r="G18" i="25"/>
  <c r="G18" i="221" s="1"/>
  <c r="F18" i="25"/>
  <c r="F18" i="221" s="1"/>
  <c r="E18" i="25"/>
  <c r="E18" i="221" s="1"/>
  <c r="D18" i="25"/>
  <c r="D18" i="221" s="1"/>
  <c r="C18" i="25"/>
  <c r="C18" i="221" s="1"/>
  <c r="B18" i="25"/>
  <c r="B18" i="221" s="1"/>
  <c r="L17" i="25"/>
  <c r="L17" i="221" s="1"/>
  <c r="K17" i="25"/>
  <c r="K17" i="221" s="1"/>
  <c r="J17" i="25"/>
  <c r="J17" i="221" s="1"/>
  <c r="I17" i="25"/>
  <c r="I17" i="221" s="1"/>
  <c r="H17" i="25"/>
  <c r="H17" i="221" s="1"/>
  <c r="G17" i="25"/>
  <c r="G17" i="221" s="1"/>
  <c r="F17" i="25"/>
  <c r="F17" i="221" s="1"/>
  <c r="E17" i="25"/>
  <c r="E17" i="221" s="1"/>
  <c r="D17" i="25"/>
  <c r="D17" i="221" s="1"/>
  <c r="C17" i="25"/>
  <c r="C17" i="221" s="1"/>
  <c r="B17" i="25"/>
  <c r="B17" i="221" s="1"/>
  <c r="L16" i="25"/>
  <c r="L16" i="221" s="1"/>
  <c r="K16" i="25"/>
  <c r="K16" i="221" s="1"/>
  <c r="J16" i="25"/>
  <c r="J16" i="221" s="1"/>
  <c r="I16" i="25"/>
  <c r="I16" i="221" s="1"/>
  <c r="H16" i="25"/>
  <c r="H16" i="221" s="1"/>
  <c r="G16" i="25"/>
  <c r="G16" i="221" s="1"/>
  <c r="F16" i="25"/>
  <c r="F16" i="221" s="1"/>
  <c r="E16" i="25"/>
  <c r="E16" i="221" s="1"/>
  <c r="D16" i="25"/>
  <c r="D16" i="221" s="1"/>
  <c r="C16" i="25"/>
  <c r="C16" i="221" s="1"/>
  <c r="B16" i="25"/>
  <c r="B16" i="221" s="1"/>
  <c r="L15" i="25"/>
  <c r="L15" i="221" s="1"/>
  <c r="K15" i="25"/>
  <c r="K15" i="221" s="1"/>
  <c r="J15" i="25"/>
  <c r="J15" i="221" s="1"/>
  <c r="I15" i="25"/>
  <c r="I15" i="221" s="1"/>
  <c r="H15" i="25"/>
  <c r="H15" i="221" s="1"/>
  <c r="G15" i="25"/>
  <c r="G15" i="221" s="1"/>
  <c r="F15" i="25"/>
  <c r="F15" i="221" s="1"/>
  <c r="E15" i="25"/>
  <c r="E15" i="221" s="1"/>
  <c r="D15" i="25"/>
  <c r="D15" i="221" s="1"/>
  <c r="C15" i="25"/>
  <c r="C15" i="221" s="1"/>
  <c r="B15" i="25"/>
  <c r="B15" i="221" s="1"/>
  <c r="L14" i="25"/>
  <c r="L14" i="221" s="1"/>
  <c r="K14" i="25"/>
  <c r="K14" i="221" s="1"/>
  <c r="J14" i="25"/>
  <c r="J14" i="221" s="1"/>
  <c r="I14" i="25"/>
  <c r="I14" i="221" s="1"/>
  <c r="H14" i="25"/>
  <c r="H14" i="221" s="1"/>
  <c r="G14" i="25"/>
  <c r="G14" i="221" s="1"/>
  <c r="F14" i="25"/>
  <c r="F14" i="221" s="1"/>
  <c r="E14" i="25"/>
  <c r="E14" i="221" s="1"/>
  <c r="D14" i="25"/>
  <c r="D14" i="221" s="1"/>
  <c r="C14" i="25"/>
  <c r="C14" i="221" s="1"/>
  <c r="B14" i="25"/>
  <c r="B14" i="221" s="1"/>
  <c r="L13" i="25"/>
  <c r="K13"/>
  <c r="J13"/>
  <c r="I13"/>
  <c r="H13"/>
  <c r="G13"/>
  <c r="F13"/>
  <c r="E13"/>
  <c r="D13"/>
  <c r="C13"/>
  <c r="B13"/>
  <c r="L12"/>
  <c r="L12" i="221" s="1"/>
  <c r="K12" i="25"/>
  <c r="K12" i="221" s="1"/>
  <c r="J12" i="25"/>
  <c r="J12" i="221" s="1"/>
  <c r="I12" i="25"/>
  <c r="I12" i="221" s="1"/>
  <c r="H12" i="25"/>
  <c r="H12" i="221" s="1"/>
  <c r="G12" i="25"/>
  <c r="G12" i="221" s="1"/>
  <c r="F12" i="25"/>
  <c r="F12" i="221" s="1"/>
  <c r="E12" i="25"/>
  <c r="E12" i="221" s="1"/>
  <c r="D12" i="25"/>
  <c r="D12" i="221" s="1"/>
  <c r="C12" i="25"/>
  <c r="C12" i="221" s="1"/>
  <c r="B12" i="25"/>
  <c r="B12" i="221" s="1"/>
  <c r="L11" i="25"/>
  <c r="L11" i="221" s="1"/>
  <c r="K11" i="25"/>
  <c r="K11" i="221" s="1"/>
  <c r="J11" i="25"/>
  <c r="J11" i="221" s="1"/>
  <c r="I11" i="25"/>
  <c r="I11" i="221" s="1"/>
  <c r="H11" i="25"/>
  <c r="H11" i="221" s="1"/>
  <c r="G11" i="25"/>
  <c r="G11" i="221" s="1"/>
  <c r="F11" i="25"/>
  <c r="F11" i="221" s="1"/>
  <c r="E11" i="25"/>
  <c r="E11" i="221" s="1"/>
  <c r="D11" i="25"/>
  <c r="D11" i="221" s="1"/>
  <c r="C11" i="25"/>
  <c r="C11" i="221" s="1"/>
  <c r="B11" i="25"/>
  <c r="B11" i="221" s="1"/>
  <c r="L10" i="25"/>
  <c r="L10" i="221" s="1"/>
  <c r="K10" i="25"/>
  <c r="K10" i="221" s="1"/>
  <c r="J10" i="25"/>
  <c r="J10" i="221" s="1"/>
  <c r="I10" i="25"/>
  <c r="I10" i="221" s="1"/>
  <c r="H10" i="25"/>
  <c r="H10" i="221" s="1"/>
  <c r="G10" i="25"/>
  <c r="G10" i="221" s="1"/>
  <c r="F10" i="25"/>
  <c r="F10" i="221" s="1"/>
  <c r="E10" i="25"/>
  <c r="E10" i="221" s="1"/>
  <c r="D10" i="25"/>
  <c r="D10" i="221" s="1"/>
  <c r="C10" i="25"/>
  <c r="C10" i="221" s="1"/>
  <c r="B10" i="25"/>
  <c r="B10" i="221" s="1"/>
  <c r="L9" i="25"/>
  <c r="L9" i="221" s="1"/>
  <c r="K9" i="25"/>
  <c r="K9" i="221" s="1"/>
  <c r="J9" i="25"/>
  <c r="J9" i="221" s="1"/>
  <c r="I9" i="25"/>
  <c r="I9" i="221" s="1"/>
  <c r="H9" i="25"/>
  <c r="H9" i="221" s="1"/>
  <c r="G9" i="25"/>
  <c r="G9" i="221" s="1"/>
  <c r="F9" i="25"/>
  <c r="F9" i="221" s="1"/>
  <c r="E9" i="25"/>
  <c r="E9" i="221" s="1"/>
  <c r="D9" i="25"/>
  <c r="D9" i="221" s="1"/>
  <c r="C9" i="25"/>
  <c r="C9" i="221" s="1"/>
  <c r="B9" i="25"/>
  <c r="B9" i="221" s="1"/>
  <c r="L8" i="25"/>
  <c r="L8" i="221" s="1"/>
  <c r="K8" i="25"/>
  <c r="K8" i="221" s="1"/>
  <c r="J8" i="25"/>
  <c r="J8" i="221" s="1"/>
  <c r="I8" i="25"/>
  <c r="I8" i="221" s="1"/>
  <c r="H8" i="25"/>
  <c r="H8" i="221" s="1"/>
  <c r="G8" i="25"/>
  <c r="G8" i="221" s="1"/>
  <c r="F8" i="25"/>
  <c r="F8" i="221" s="1"/>
  <c r="E8" i="25"/>
  <c r="E8" i="221" s="1"/>
  <c r="D8" i="25"/>
  <c r="D8" i="221" s="1"/>
  <c r="C8" i="25"/>
  <c r="C8" i="221" s="1"/>
  <c r="B8" i="25"/>
  <c r="B8" i="221" s="1"/>
  <c r="L7" i="25"/>
  <c r="L7" i="221" s="1"/>
  <c r="K7" i="25"/>
  <c r="K7" i="221" s="1"/>
  <c r="J7" i="25"/>
  <c r="J7" i="221" s="1"/>
  <c r="I7" i="25"/>
  <c r="I7" i="221" s="1"/>
  <c r="H7" i="25"/>
  <c r="H7" i="221" s="1"/>
  <c r="G7" i="25"/>
  <c r="G7" i="221" s="1"/>
  <c r="F7" i="25"/>
  <c r="F7" i="221" s="1"/>
  <c r="E7" i="25"/>
  <c r="E7" i="221" s="1"/>
  <c r="D7" i="25"/>
  <c r="D7" i="221" s="1"/>
  <c r="C7" i="25"/>
  <c r="C7" i="221" s="1"/>
  <c r="B7" i="25"/>
  <c r="B7" i="221" s="1"/>
  <c r="L6" i="25"/>
  <c r="L6" i="221" s="1"/>
  <c r="K6" i="25"/>
  <c r="K6" i="221" s="1"/>
  <c r="J6" i="25"/>
  <c r="J6" i="221" s="1"/>
  <c r="I6" i="25"/>
  <c r="I6" i="221" s="1"/>
  <c r="H6" i="25"/>
  <c r="H6" i="221" s="1"/>
  <c r="G6" i="25"/>
  <c r="G6" i="221" s="1"/>
  <c r="F6" i="25"/>
  <c r="F6" i="221" s="1"/>
  <c r="E6" i="25"/>
  <c r="E6" i="221" s="1"/>
  <c r="D6" i="25"/>
  <c r="D6" i="221" s="1"/>
  <c r="C6" i="25"/>
  <c r="C6" i="221" s="1"/>
  <c r="B6" i="25"/>
  <c r="B6" i="221" s="1"/>
  <c r="L5" i="25"/>
  <c r="L5" i="221" s="1"/>
  <c r="K5" i="25"/>
  <c r="K5" i="221" s="1"/>
  <c r="J5" i="25"/>
  <c r="J5" i="221" s="1"/>
  <c r="I5" i="25"/>
  <c r="I5" i="221" s="1"/>
  <c r="H5" i="25"/>
  <c r="H5" i="221" s="1"/>
  <c r="G5" i="25"/>
  <c r="G5" i="221" s="1"/>
  <c r="F5" i="25"/>
  <c r="F5" i="221" s="1"/>
  <c r="E5" i="25"/>
  <c r="E5" i="221" s="1"/>
  <c r="D5" i="25"/>
  <c r="D5" i="221" s="1"/>
  <c r="C5" i="25"/>
  <c r="C5" i="221" s="1"/>
  <c r="B5" i="25"/>
  <c r="B5" i="221" s="1"/>
  <c r="C33" i="25" l="1"/>
  <c r="C13" i="221"/>
  <c r="C33" s="1"/>
  <c r="G33" i="25"/>
  <c r="G13" i="221"/>
  <c r="G33" s="1"/>
  <c r="D20" i="25"/>
  <c r="D20" i="221" s="1"/>
  <c r="B34" i="25"/>
  <c r="B24" i="221"/>
  <c r="D34" i="25"/>
  <c r="D24" i="221"/>
  <c r="F34" i="25"/>
  <c r="F24" i="221"/>
  <c r="H34" i="25"/>
  <c r="H24" i="221"/>
  <c r="J34" i="25"/>
  <c r="J24" i="221"/>
  <c r="L34" i="25"/>
  <c r="L24" i="221"/>
  <c r="C31" i="25"/>
  <c r="E31"/>
  <c r="G31"/>
  <c r="I31"/>
  <c r="K31"/>
  <c r="E33"/>
  <c r="E13" i="221"/>
  <c r="E33" s="1"/>
  <c r="I33" i="25"/>
  <c r="I13" i="221"/>
  <c r="I33" s="1"/>
  <c r="K33" i="25"/>
  <c r="K13" i="221"/>
  <c r="K33" s="1"/>
  <c r="B33" i="25"/>
  <c r="B13" i="221"/>
  <c r="B33" s="1"/>
  <c r="D33" i="25"/>
  <c r="D13" i="221"/>
  <c r="D33" s="1"/>
  <c r="F33" i="25"/>
  <c r="F13" i="221"/>
  <c r="F33" s="1"/>
  <c r="H33" i="25"/>
  <c r="H13" i="221"/>
  <c r="H33" s="1"/>
  <c r="J33" i="25"/>
  <c r="J13" i="221"/>
  <c r="J33" s="1"/>
  <c r="L33" i="25"/>
  <c r="L13" i="221"/>
  <c r="L33" s="1"/>
  <c r="C34" i="25"/>
  <c r="C24" i="221"/>
  <c r="C34" s="1"/>
  <c r="E34" i="25"/>
  <c r="E24" i="221"/>
  <c r="E34" s="1"/>
  <c r="G34" i="25"/>
  <c r="G24" i="221"/>
  <c r="I34" i="25"/>
  <c r="I24" i="221"/>
  <c r="I34" s="1"/>
  <c r="K34" i="25"/>
  <c r="K24" i="221"/>
  <c r="K34" s="1"/>
  <c r="B31" i="25"/>
  <c r="D31"/>
  <c r="F31"/>
  <c r="H31"/>
  <c r="J31"/>
  <c r="L31"/>
  <c r="G34" i="221" l="1"/>
  <c r="L36" i="25"/>
  <c r="L31" i="221"/>
  <c r="L38" i="25"/>
  <c r="L35"/>
  <c r="J36"/>
  <c r="J31" i="221"/>
  <c r="J35" i="25"/>
  <c r="J38"/>
  <c r="H36"/>
  <c r="H31" i="221"/>
  <c r="H38" i="25"/>
  <c r="H35"/>
  <c r="F36"/>
  <c r="F31" i="221"/>
  <c r="F35" i="25"/>
  <c r="F38"/>
  <c r="D36"/>
  <c r="D31" i="221"/>
  <c r="D38" i="25"/>
  <c r="D35"/>
  <c r="B36"/>
  <c r="B31" i="221"/>
  <c r="B35" i="25"/>
  <c r="B38"/>
  <c r="K38"/>
  <c r="K31" i="221"/>
  <c r="K36" i="25"/>
  <c r="K35"/>
  <c r="I38"/>
  <c r="I31" i="221"/>
  <c r="I35" i="25"/>
  <c r="I36"/>
  <c r="G38"/>
  <c r="G31" i="221"/>
  <c r="G36" i="25"/>
  <c r="G35"/>
  <c r="E38"/>
  <c r="E31" i="221"/>
  <c r="E35" i="25"/>
  <c r="E36"/>
  <c r="C38"/>
  <c r="C31" i="221"/>
  <c r="C36" i="25"/>
  <c r="C35"/>
  <c r="L34" i="221"/>
  <c r="J34"/>
  <c r="H34"/>
  <c r="F34"/>
  <c r="D34"/>
  <c r="B34"/>
  <c r="C38" l="1"/>
  <c r="C35"/>
  <c r="C36"/>
  <c r="E38"/>
  <c r="E35"/>
  <c r="E36"/>
  <c r="G38"/>
  <c r="G35"/>
  <c r="G36"/>
  <c r="I38"/>
  <c r="I35"/>
  <c r="I36"/>
  <c r="K38"/>
  <c r="K35"/>
  <c r="K36"/>
  <c r="B36"/>
  <c r="B38"/>
  <c r="B35"/>
  <c r="D36"/>
  <c r="D38"/>
  <c r="D35"/>
  <c r="F36"/>
  <c r="F38"/>
  <c r="F35"/>
  <c r="H36"/>
  <c r="H38"/>
  <c r="H35"/>
  <c r="J36"/>
  <c r="J38"/>
  <c r="J35"/>
  <c r="L36"/>
  <c r="L38"/>
  <c r="L35"/>
  <c r="K32" i="285" l="1"/>
  <c r="J32"/>
  <c r="I32"/>
  <c r="H32"/>
  <c r="G32"/>
  <c r="F32"/>
  <c r="E32"/>
  <c r="D32"/>
  <c r="C32"/>
  <c r="B32"/>
  <c r="K31"/>
  <c r="J31"/>
  <c r="I31"/>
  <c r="H31"/>
  <c r="G31"/>
  <c r="F31"/>
  <c r="E31"/>
  <c r="D31"/>
  <c r="C31"/>
  <c r="B31"/>
  <c r="K30"/>
  <c r="J30"/>
  <c r="I30"/>
  <c r="H30"/>
  <c r="G30"/>
  <c r="F30"/>
  <c r="E30"/>
  <c r="D30"/>
  <c r="C30"/>
  <c r="B30"/>
  <c r="K29"/>
  <c r="J29"/>
  <c r="I29"/>
  <c r="H29"/>
  <c r="G29"/>
  <c r="F29"/>
  <c r="E29"/>
  <c r="D29"/>
  <c r="C29"/>
  <c r="B29"/>
  <c r="K28"/>
  <c r="J28"/>
  <c r="I28"/>
  <c r="H28"/>
  <c r="G28"/>
  <c r="F28"/>
  <c r="E28"/>
  <c r="D28"/>
  <c r="C28"/>
  <c r="B28"/>
  <c r="K27"/>
  <c r="J27"/>
  <c r="I27"/>
  <c r="H27"/>
  <c r="G27"/>
  <c r="F27"/>
  <c r="E27"/>
  <c r="D27"/>
  <c r="C27"/>
  <c r="B27"/>
  <c r="K26"/>
  <c r="J26"/>
  <c r="I26"/>
  <c r="H26"/>
  <c r="G26"/>
  <c r="F26"/>
  <c r="E26"/>
  <c r="D26"/>
  <c r="C26"/>
  <c r="B26"/>
  <c r="K25"/>
  <c r="J25"/>
  <c r="I25"/>
  <c r="H25"/>
  <c r="G25"/>
  <c r="F25"/>
  <c r="E25"/>
  <c r="D25"/>
  <c r="C25"/>
  <c r="B25"/>
  <c r="K24"/>
  <c r="J24"/>
  <c r="I24"/>
  <c r="H24"/>
  <c r="G24"/>
  <c r="F24"/>
  <c r="E24"/>
  <c r="D24"/>
  <c r="C24"/>
  <c r="B24"/>
  <c r="K23"/>
  <c r="J23"/>
  <c r="I23"/>
  <c r="H23"/>
  <c r="G23"/>
  <c r="F23"/>
  <c r="E23"/>
  <c r="D23"/>
  <c r="C23"/>
  <c r="B23"/>
  <c r="K22"/>
  <c r="J22"/>
  <c r="I22"/>
  <c r="H22"/>
  <c r="G22"/>
  <c r="F22"/>
  <c r="E22"/>
  <c r="D22"/>
  <c r="C22"/>
  <c r="B22"/>
  <c r="K21"/>
  <c r="J21"/>
  <c r="I21"/>
  <c r="H21"/>
  <c r="G21"/>
  <c r="F21"/>
  <c r="E21"/>
  <c r="D21"/>
  <c r="C21"/>
  <c r="B21"/>
  <c r="K20"/>
  <c r="J20"/>
  <c r="I20"/>
  <c r="H20"/>
  <c r="G20"/>
  <c r="F20"/>
  <c r="E20"/>
  <c r="D20"/>
  <c r="C20"/>
  <c r="B20"/>
  <c r="K19"/>
  <c r="J19"/>
  <c r="I19"/>
  <c r="H19"/>
  <c r="G19"/>
  <c r="F19"/>
  <c r="E19"/>
  <c r="D19"/>
  <c r="C19"/>
  <c r="B19"/>
  <c r="K18"/>
  <c r="J18"/>
  <c r="I18"/>
  <c r="H18"/>
  <c r="G18"/>
  <c r="F18"/>
  <c r="E18"/>
  <c r="D18"/>
  <c r="C18"/>
  <c r="B18"/>
  <c r="K17"/>
  <c r="J17"/>
  <c r="I17"/>
  <c r="H17"/>
  <c r="G17"/>
  <c r="F17"/>
  <c r="E17"/>
  <c r="D17"/>
  <c r="C17"/>
  <c r="B17"/>
  <c r="K16"/>
  <c r="J16"/>
  <c r="I16"/>
  <c r="H16"/>
  <c r="G16"/>
  <c r="F16"/>
  <c r="E16"/>
  <c r="D16"/>
  <c r="C16"/>
  <c r="B16"/>
  <c r="K15"/>
  <c r="J15"/>
  <c r="I15"/>
  <c r="H15"/>
  <c r="G15"/>
  <c r="F15"/>
  <c r="E15"/>
  <c r="D15"/>
  <c r="C15"/>
  <c r="B15"/>
  <c r="K14"/>
  <c r="J14"/>
  <c r="I14"/>
  <c r="H14"/>
  <c r="G14"/>
  <c r="F14"/>
  <c r="E14"/>
  <c r="D14"/>
  <c r="C14"/>
  <c r="B14"/>
  <c r="K13"/>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32" i="284"/>
  <c r="J32"/>
  <c r="I32"/>
  <c r="H32"/>
  <c r="G32"/>
  <c r="F32"/>
  <c r="E32"/>
  <c r="D32"/>
  <c r="C32"/>
  <c r="B32"/>
  <c r="K31"/>
  <c r="J31"/>
  <c r="I31"/>
  <c r="H31"/>
  <c r="G31"/>
  <c r="F31"/>
  <c r="E31"/>
  <c r="D31"/>
  <c r="C31"/>
  <c r="B31"/>
  <c r="K30"/>
  <c r="J30"/>
  <c r="I30"/>
  <c r="H30"/>
  <c r="G30"/>
  <c r="F30"/>
  <c r="E30"/>
  <c r="D30"/>
  <c r="C30"/>
  <c r="B30"/>
  <c r="K29"/>
  <c r="J29"/>
  <c r="I29"/>
  <c r="H29"/>
  <c r="G29"/>
  <c r="F29"/>
  <c r="E29"/>
  <c r="D29"/>
  <c r="C29"/>
  <c r="B29"/>
  <c r="K28"/>
  <c r="J28"/>
  <c r="I28"/>
  <c r="H28"/>
  <c r="G28"/>
  <c r="F28"/>
  <c r="E28"/>
  <c r="D28"/>
  <c r="C28"/>
  <c r="B28"/>
  <c r="K27"/>
  <c r="J27"/>
  <c r="I27"/>
  <c r="H27"/>
  <c r="G27"/>
  <c r="F27"/>
  <c r="E27"/>
  <c r="D27"/>
  <c r="C27"/>
  <c r="B27"/>
  <c r="K26"/>
  <c r="J26"/>
  <c r="I26"/>
  <c r="H26"/>
  <c r="G26"/>
  <c r="F26"/>
  <c r="E26"/>
  <c r="D26"/>
  <c r="C26"/>
  <c r="B26"/>
  <c r="K25"/>
  <c r="J25"/>
  <c r="I25"/>
  <c r="H25"/>
  <c r="G25"/>
  <c r="F25"/>
  <c r="E25"/>
  <c r="D25"/>
  <c r="C25"/>
  <c r="B25"/>
  <c r="K24"/>
  <c r="J24"/>
  <c r="I24"/>
  <c r="H24"/>
  <c r="G24"/>
  <c r="F24"/>
  <c r="E24"/>
  <c r="D24"/>
  <c r="C24"/>
  <c r="B24"/>
  <c r="K23"/>
  <c r="J23"/>
  <c r="I23"/>
  <c r="H23"/>
  <c r="G23"/>
  <c r="F23"/>
  <c r="E23"/>
  <c r="D23"/>
  <c r="C23"/>
  <c r="B23"/>
  <c r="K22"/>
  <c r="J22"/>
  <c r="I22"/>
  <c r="H22"/>
  <c r="G22"/>
  <c r="F22"/>
  <c r="E22"/>
  <c r="D22"/>
  <c r="C22"/>
  <c r="B22"/>
  <c r="K21"/>
  <c r="J21"/>
  <c r="I21"/>
  <c r="H21"/>
  <c r="G21"/>
  <c r="F21"/>
  <c r="E21"/>
  <c r="D21"/>
  <c r="C21"/>
  <c r="B21"/>
  <c r="K20"/>
  <c r="J20"/>
  <c r="I20"/>
  <c r="H20"/>
  <c r="G20"/>
  <c r="F20"/>
  <c r="E20"/>
  <c r="D20"/>
  <c r="C20"/>
  <c r="B20"/>
  <c r="K19"/>
  <c r="J19"/>
  <c r="I19"/>
  <c r="H19"/>
  <c r="G19"/>
  <c r="F19"/>
  <c r="E19"/>
  <c r="D19"/>
  <c r="C19"/>
  <c r="B19"/>
  <c r="K18"/>
  <c r="J18"/>
  <c r="I18"/>
  <c r="H18"/>
  <c r="G18"/>
  <c r="F18"/>
  <c r="E18"/>
  <c r="D18"/>
  <c r="C18"/>
  <c r="B18"/>
  <c r="K17"/>
  <c r="J17"/>
  <c r="I17"/>
  <c r="H17"/>
  <c r="G17"/>
  <c r="F17"/>
  <c r="E17"/>
  <c r="D17"/>
  <c r="C17"/>
  <c r="B17"/>
  <c r="K16"/>
  <c r="J16"/>
  <c r="I16"/>
  <c r="H16"/>
  <c r="G16"/>
  <c r="F16"/>
  <c r="E16"/>
  <c r="D16"/>
  <c r="C16"/>
  <c r="B16"/>
  <c r="K15"/>
  <c r="J15"/>
  <c r="I15"/>
  <c r="H15"/>
  <c r="G15"/>
  <c r="F15"/>
  <c r="E15"/>
  <c r="D15"/>
  <c r="C15"/>
  <c r="B15"/>
  <c r="K14"/>
  <c r="J14"/>
  <c r="I14"/>
  <c r="H14"/>
  <c r="G14"/>
  <c r="F14"/>
  <c r="E14"/>
  <c r="D14"/>
  <c r="C14"/>
  <c r="B14"/>
  <c r="K13"/>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K32" i="283"/>
  <c r="J32"/>
  <c r="I32"/>
  <c r="H32"/>
  <c r="G32"/>
  <c r="F32"/>
  <c r="E32"/>
  <c r="D32"/>
  <c r="C32"/>
  <c r="B32"/>
  <c r="K31"/>
  <c r="J31"/>
  <c r="I31"/>
  <c r="H31"/>
  <c r="G31"/>
  <c r="F31"/>
  <c r="E31"/>
  <c r="D31"/>
  <c r="C31"/>
  <c r="B31"/>
  <c r="K30"/>
  <c r="J30"/>
  <c r="I30"/>
  <c r="H30"/>
  <c r="G30"/>
  <c r="F30"/>
  <c r="E30"/>
  <c r="D30"/>
  <c r="C30"/>
  <c r="B30"/>
  <c r="K29"/>
  <c r="J29"/>
  <c r="I29"/>
  <c r="H29"/>
  <c r="G29"/>
  <c r="F29"/>
  <c r="E29"/>
  <c r="D29"/>
  <c r="C29"/>
  <c r="B29"/>
  <c r="K28"/>
  <c r="J28"/>
  <c r="I28"/>
  <c r="H28"/>
  <c r="G28"/>
  <c r="F28"/>
  <c r="E28"/>
  <c r="D28"/>
  <c r="C28"/>
  <c r="B28"/>
  <c r="K27"/>
  <c r="J27"/>
  <c r="I27"/>
  <c r="H27"/>
  <c r="G27"/>
  <c r="F27"/>
  <c r="E27"/>
  <c r="D27"/>
  <c r="C27"/>
  <c r="B27"/>
  <c r="K26"/>
  <c r="J26"/>
  <c r="I26"/>
  <c r="H26"/>
  <c r="G26"/>
  <c r="F26"/>
  <c r="E26"/>
  <c r="D26"/>
  <c r="C26"/>
  <c r="B26"/>
  <c r="K25"/>
  <c r="J25"/>
  <c r="I25"/>
  <c r="H25"/>
  <c r="G25"/>
  <c r="F25"/>
  <c r="E25"/>
  <c r="D25"/>
  <c r="C25"/>
  <c r="B25"/>
  <c r="K24"/>
  <c r="J24"/>
  <c r="I24"/>
  <c r="H24"/>
  <c r="G24"/>
  <c r="F24"/>
  <c r="E24"/>
  <c r="D24"/>
  <c r="C24"/>
  <c r="B24"/>
  <c r="K23"/>
  <c r="J23"/>
  <c r="I23"/>
  <c r="H23"/>
  <c r="G23"/>
  <c r="F23"/>
  <c r="E23"/>
  <c r="D23"/>
  <c r="C23"/>
  <c r="B23"/>
  <c r="K22"/>
  <c r="J22"/>
  <c r="I22"/>
  <c r="H22"/>
  <c r="G22"/>
  <c r="F22"/>
  <c r="E22"/>
  <c r="D22"/>
  <c r="C22"/>
  <c r="B22"/>
  <c r="K21"/>
  <c r="J21"/>
  <c r="I21"/>
  <c r="H21"/>
  <c r="G21"/>
  <c r="F21"/>
  <c r="E21"/>
  <c r="D21"/>
  <c r="C21"/>
  <c r="B21"/>
  <c r="K20"/>
  <c r="J20"/>
  <c r="I20"/>
  <c r="H20"/>
  <c r="G20"/>
  <c r="F20"/>
  <c r="E20"/>
  <c r="D20"/>
  <c r="C20"/>
  <c r="B20"/>
  <c r="K19"/>
  <c r="J19"/>
  <c r="I19"/>
  <c r="H19"/>
  <c r="G19"/>
  <c r="F19"/>
  <c r="E19"/>
  <c r="D19"/>
  <c r="C19"/>
  <c r="B19"/>
  <c r="K18"/>
  <c r="J18"/>
  <c r="I18"/>
  <c r="H18"/>
  <c r="G18"/>
  <c r="F18"/>
  <c r="E18"/>
  <c r="D18"/>
  <c r="C18"/>
  <c r="B18"/>
  <c r="K17"/>
  <c r="J17"/>
  <c r="I17"/>
  <c r="H17"/>
  <c r="G17"/>
  <c r="F17"/>
  <c r="E17"/>
  <c r="D17"/>
  <c r="C17"/>
  <c r="B17"/>
  <c r="K16"/>
  <c r="J16"/>
  <c r="I16"/>
  <c r="H16"/>
  <c r="G16"/>
  <c r="F16"/>
  <c r="E16"/>
  <c r="D16"/>
  <c r="C16"/>
  <c r="B16"/>
  <c r="K15"/>
  <c r="J15"/>
  <c r="I15"/>
  <c r="H15"/>
  <c r="G15"/>
  <c r="F15"/>
  <c r="E15"/>
  <c r="D15"/>
  <c r="C15"/>
  <c r="B15"/>
  <c r="K14"/>
  <c r="J14"/>
  <c r="I14"/>
  <c r="H14"/>
  <c r="G14"/>
  <c r="F14"/>
  <c r="E14"/>
  <c r="D14"/>
  <c r="C14"/>
  <c r="B14"/>
  <c r="K13"/>
  <c r="J13"/>
  <c r="I13"/>
  <c r="H13"/>
  <c r="G13"/>
  <c r="F13"/>
  <c r="E13"/>
  <c r="D13"/>
  <c r="C13"/>
  <c r="B13"/>
  <c r="K12"/>
  <c r="J12"/>
  <c r="I12"/>
  <c r="H12"/>
  <c r="G12"/>
  <c r="F12"/>
  <c r="E12"/>
  <c r="D12"/>
  <c r="C12"/>
  <c r="B12"/>
  <c r="K11"/>
  <c r="J11"/>
  <c r="I11"/>
  <c r="H11"/>
  <c r="G11"/>
  <c r="F11"/>
  <c r="E11"/>
  <c r="D11"/>
  <c r="C11"/>
  <c r="B11"/>
  <c r="K10"/>
  <c r="J10"/>
  <c r="I10"/>
  <c r="H10"/>
  <c r="G10"/>
  <c r="F10"/>
  <c r="E10"/>
  <c r="D10"/>
  <c r="C10"/>
  <c r="B10"/>
  <c r="K9"/>
  <c r="J9"/>
  <c r="I9"/>
  <c r="H9"/>
  <c r="G9"/>
  <c r="F9"/>
  <c r="E9"/>
  <c r="D9"/>
  <c r="C9"/>
  <c r="B9"/>
  <c r="K8"/>
  <c r="J8"/>
  <c r="I8"/>
  <c r="H8"/>
  <c r="G8"/>
  <c r="F8"/>
  <c r="E8"/>
  <c r="D8"/>
  <c r="C8"/>
  <c r="B8"/>
  <c r="K7"/>
  <c r="J7"/>
  <c r="I7"/>
  <c r="H7"/>
  <c r="G7"/>
  <c r="F7"/>
  <c r="E7"/>
  <c r="D7"/>
  <c r="C7"/>
  <c r="B7"/>
  <c r="K6"/>
  <c r="J6"/>
  <c r="I6"/>
  <c r="H6"/>
  <c r="G6"/>
  <c r="F6"/>
  <c r="E6"/>
  <c r="D6"/>
  <c r="C6"/>
  <c r="B6"/>
  <c r="P40" i="282"/>
  <c r="O40"/>
  <c r="N40"/>
  <c r="M40"/>
  <c r="L40"/>
  <c r="K40"/>
  <c r="J40"/>
  <c r="I40"/>
  <c r="H40"/>
  <c r="G40"/>
  <c r="F40"/>
  <c r="E40"/>
  <c r="D40"/>
  <c r="C40"/>
  <c r="B40"/>
  <c r="P38"/>
  <c r="O38"/>
  <c r="N38"/>
  <c r="M38"/>
  <c r="L38"/>
  <c r="K38"/>
  <c r="J38"/>
  <c r="I38"/>
  <c r="H38"/>
  <c r="G38"/>
  <c r="F38"/>
  <c r="E38"/>
  <c r="D38"/>
  <c r="C38"/>
  <c r="B38"/>
  <c r="P37"/>
  <c r="O37"/>
  <c r="N37"/>
  <c r="M37"/>
  <c r="L37"/>
  <c r="K37"/>
  <c r="J37"/>
  <c r="I37"/>
  <c r="H37"/>
  <c r="G37"/>
  <c r="F37"/>
  <c r="E37"/>
  <c r="D37"/>
  <c r="C37"/>
  <c r="B37"/>
  <c r="P36"/>
  <c r="O36"/>
  <c r="N36"/>
  <c r="M36"/>
  <c r="L36"/>
  <c r="K36"/>
  <c r="J36"/>
  <c r="I36"/>
  <c r="H36"/>
  <c r="G36"/>
  <c r="F36"/>
  <c r="E36"/>
  <c r="D36"/>
  <c r="C36"/>
  <c r="B36"/>
  <c r="P35"/>
  <c r="O35"/>
  <c r="N35"/>
  <c r="M35"/>
  <c r="L35"/>
  <c r="K35"/>
  <c r="J35"/>
  <c r="I35"/>
  <c r="H35"/>
  <c r="G35"/>
  <c r="F35"/>
  <c r="E35"/>
  <c r="D35"/>
  <c r="C35"/>
  <c r="B35"/>
  <c r="P40" i="281"/>
  <c r="O40"/>
  <c r="N40"/>
  <c r="M40"/>
  <c r="L40"/>
  <c r="K40"/>
  <c r="J40"/>
  <c r="I40"/>
  <c r="H40"/>
  <c r="G40"/>
  <c r="F40"/>
  <c r="E40"/>
  <c r="D40"/>
  <c r="C40"/>
  <c r="B40"/>
  <c r="P38"/>
  <c r="O38"/>
  <c r="N38"/>
  <c r="M38"/>
  <c r="L38"/>
  <c r="K38"/>
  <c r="J38"/>
  <c r="I38"/>
  <c r="H38"/>
  <c r="G38"/>
  <c r="F38"/>
  <c r="E38"/>
  <c r="D38"/>
  <c r="C38"/>
  <c r="B38"/>
  <c r="P37"/>
  <c r="O37"/>
  <c r="N37"/>
  <c r="M37"/>
  <c r="L37"/>
  <c r="K37"/>
  <c r="J37"/>
  <c r="I37"/>
  <c r="H37"/>
  <c r="G37"/>
  <c r="F37"/>
  <c r="E37"/>
  <c r="D37"/>
  <c r="C37"/>
  <c r="B37"/>
  <c r="P36"/>
  <c r="O36"/>
  <c r="N36"/>
  <c r="M36"/>
  <c r="L36"/>
  <c r="K36"/>
  <c r="J36"/>
  <c r="I36"/>
  <c r="H36"/>
  <c r="G36"/>
  <c r="F36"/>
  <c r="E36"/>
  <c r="D36"/>
  <c r="C36"/>
  <c r="B36"/>
  <c r="P35"/>
  <c r="O35"/>
  <c r="N35"/>
  <c r="M35"/>
  <c r="L35"/>
  <c r="K35"/>
  <c r="J35"/>
  <c r="I35"/>
  <c r="H35"/>
  <c r="G35"/>
  <c r="F35"/>
  <c r="E35"/>
  <c r="D35"/>
  <c r="C35"/>
  <c r="B35"/>
  <c r="K33"/>
  <c r="J33"/>
  <c r="I33"/>
  <c r="H33"/>
  <c r="G33"/>
  <c r="F33"/>
  <c r="E33"/>
  <c r="D33"/>
  <c r="C33"/>
  <c r="B33"/>
  <c r="P40" i="280"/>
  <c r="O40"/>
  <c r="N40"/>
  <c r="M40"/>
  <c r="L40"/>
  <c r="K40"/>
  <c r="J40"/>
  <c r="I40"/>
  <c r="H40"/>
  <c r="G40"/>
  <c r="F40"/>
  <c r="E40"/>
  <c r="D40"/>
  <c r="C40"/>
  <c r="P38"/>
  <c r="O38"/>
  <c r="N38"/>
  <c r="M38"/>
  <c r="L38"/>
  <c r="K38"/>
  <c r="J38"/>
  <c r="I38"/>
  <c r="H38"/>
  <c r="G38"/>
  <c r="F38"/>
  <c r="E38"/>
  <c r="D38"/>
  <c r="C38"/>
  <c r="B38"/>
  <c r="P37"/>
  <c r="O37"/>
  <c r="N37"/>
  <c r="M37"/>
  <c r="L37"/>
  <c r="K37"/>
  <c r="J37"/>
  <c r="I37"/>
  <c r="H37"/>
  <c r="G37"/>
  <c r="F37"/>
  <c r="E37"/>
  <c r="D37"/>
  <c r="C37"/>
  <c r="P36"/>
  <c r="O36"/>
  <c r="N36"/>
  <c r="M36"/>
  <c r="L36"/>
  <c r="K36"/>
  <c r="J36"/>
  <c r="I36"/>
  <c r="H36"/>
  <c r="G36"/>
  <c r="F36"/>
  <c r="E36"/>
  <c r="D36"/>
  <c r="C36"/>
  <c r="B36"/>
  <c r="P35"/>
  <c r="O35"/>
  <c r="N35"/>
  <c r="M35"/>
  <c r="L35"/>
  <c r="K35"/>
  <c r="J35"/>
  <c r="I35"/>
  <c r="H35"/>
  <c r="G35"/>
  <c r="F35"/>
  <c r="E35"/>
  <c r="D35"/>
  <c r="C35"/>
  <c r="B35"/>
  <c r="AP5" i="319"/>
  <c r="AP51"/>
  <c r="AN51"/>
  <c r="AM51"/>
  <c r="AL51"/>
  <c r="AK51"/>
  <c r="AP50"/>
  <c r="AN50"/>
  <c r="AM50"/>
  <c r="AL50"/>
  <c r="AK50"/>
  <c r="AP49"/>
  <c r="AN49"/>
  <c r="AM49"/>
  <c r="AL49"/>
  <c r="AK49"/>
  <c r="AP48"/>
  <c r="AN48"/>
  <c r="AM48"/>
  <c r="AL48"/>
  <c r="AK48"/>
  <c r="AP47"/>
  <c r="AN47"/>
  <c r="AM47"/>
  <c r="AL47"/>
  <c r="AK47"/>
  <c r="AP46"/>
  <c r="AN46"/>
  <c r="AM46"/>
  <c r="AL46"/>
  <c r="AK46"/>
  <c r="AP44"/>
  <c r="AN44"/>
  <c r="AM44"/>
  <c r="AL44"/>
  <c r="AK44"/>
  <c r="AP43"/>
  <c r="AN43"/>
  <c r="AM43"/>
  <c r="AL43"/>
  <c r="AK43"/>
  <c r="AP42"/>
  <c r="AN42"/>
  <c r="AM42"/>
  <c r="AL42"/>
  <c r="AK42"/>
  <c r="AP41"/>
  <c r="AN41"/>
  <c r="AM41"/>
  <c r="AL41"/>
  <c r="AK41"/>
  <c r="AP40"/>
  <c r="AN40"/>
  <c r="AM40"/>
  <c r="AL40"/>
  <c r="AK40"/>
  <c r="AP39"/>
  <c r="AN39"/>
  <c r="AM39"/>
  <c r="AL39"/>
  <c r="AK39"/>
  <c r="AP37"/>
  <c r="AN37"/>
  <c r="AM37"/>
  <c r="AL37"/>
  <c r="AK37"/>
  <c r="AP35"/>
  <c r="AN35"/>
  <c r="AM35"/>
  <c r="AL35"/>
  <c r="AK35"/>
  <c r="AP33"/>
  <c r="AN33"/>
  <c r="AM33"/>
  <c r="AL33"/>
  <c r="AK33"/>
  <c r="AP32"/>
  <c r="AN32"/>
  <c r="AM32"/>
  <c r="AL32"/>
  <c r="AK32"/>
  <c r="AP31"/>
  <c r="AN31"/>
  <c r="AM31"/>
  <c r="AL31"/>
  <c r="AK31"/>
  <c r="AP30"/>
  <c r="AN30"/>
  <c r="AM30"/>
  <c r="AL30"/>
  <c r="AK30"/>
  <c r="AP29"/>
  <c r="AN29"/>
  <c r="AM29"/>
  <c r="AL29"/>
  <c r="AK29"/>
  <c r="AP28"/>
  <c r="AN28"/>
  <c r="AM28"/>
  <c r="AL28"/>
  <c r="AK28"/>
  <c r="AP26"/>
  <c r="AN26"/>
  <c r="AM26"/>
  <c r="AL26"/>
  <c r="AK26"/>
  <c r="AP24"/>
  <c r="AN24"/>
  <c r="AM24"/>
  <c r="AL24"/>
  <c r="AK24"/>
  <c r="AP23"/>
  <c r="AN23"/>
  <c r="AM23"/>
  <c r="AL23"/>
  <c r="AK23"/>
  <c r="AP22"/>
  <c r="AN22"/>
  <c r="AM22"/>
  <c r="AL22"/>
  <c r="AK22"/>
  <c r="AP21"/>
  <c r="AN21"/>
  <c r="AM21"/>
  <c r="AL21"/>
  <c r="AK21"/>
  <c r="AP20"/>
  <c r="AN20"/>
  <c r="AM20"/>
  <c r="AL20"/>
  <c r="AK20"/>
  <c r="AP18"/>
  <c r="AN18"/>
  <c r="AM18"/>
  <c r="AL18"/>
  <c r="AK18"/>
  <c r="AP17"/>
  <c r="AN17"/>
  <c r="AM17"/>
  <c r="AL17"/>
  <c r="AK17"/>
  <c r="AP16"/>
  <c r="AN16"/>
  <c r="AM16"/>
  <c r="AL16"/>
  <c r="AK16"/>
  <c r="AP15"/>
  <c r="AN15"/>
  <c r="AM15"/>
  <c r="AL15"/>
  <c r="AK15"/>
  <c r="AP13"/>
  <c r="AN13"/>
  <c r="AM13"/>
  <c r="AL13"/>
  <c r="AK13"/>
  <c r="AP11"/>
  <c r="AN11"/>
  <c r="AM11"/>
  <c r="AL11"/>
  <c r="AK11"/>
  <c r="AP10"/>
  <c r="AN10"/>
  <c r="AM10"/>
  <c r="AL10"/>
  <c r="AK10"/>
  <c r="AP9"/>
  <c r="AN9"/>
  <c r="AM9"/>
  <c r="AL9"/>
  <c r="AK9"/>
  <c r="AP7"/>
  <c r="AN7"/>
  <c r="AM7"/>
  <c r="AL7"/>
  <c r="AK7"/>
  <c r="AN5"/>
  <c r="AM5"/>
  <c r="AL5"/>
  <c r="AK5"/>
  <c r="AM31" i="318"/>
  <c r="AP51"/>
  <c r="AN51"/>
  <c r="AM51"/>
  <c r="AP50"/>
  <c r="AN50"/>
  <c r="AM50"/>
  <c r="AP49"/>
  <c r="AN49"/>
  <c r="AM49"/>
  <c r="AP48"/>
  <c r="AN48"/>
  <c r="AM48"/>
  <c r="AP47"/>
  <c r="AN47"/>
  <c r="AM47"/>
  <c r="AP46"/>
  <c r="AN46"/>
  <c r="AM46"/>
  <c r="AP44"/>
  <c r="AN44"/>
  <c r="AM44"/>
  <c r="AP43"/>
  <c r="AN43"/>
  <c r="AM43"/>
  <c r="AP42"/>
  <c r="AN42"/>
  <c r="AM42"/>
  <c r="AP41"/>
  <c r="AN41"/>
  <c r="AM41"/>
  <c r="AP40"/>
  <c r="AN40"/>
  <c r="AM40"/>
  <c r="AP39"/>
  <c r="AN39"/>
  <c r="AM39"/>
  <c r="AP37"/>
  <c r="AN37"/>
  <c r="AM37"/>
  <c r="AP35"/>
  <c r="AN35"/>
  <c r="AM35"/>
  <c r="AP33"/>
  <c r="AN33"/>
  <c r="AM33"/>
  <c r="AP32"/>
  <c r="AN32"/>
  <c r="AM32"/>
  <c r="AP31"/>
  <c r="AN31"/>
  <c r="AP30"/>
  <c r="AN30"/>
  <c r="AM30"/>
  <c r="AP29"/>
  <c r="AN29"/>
  <c r="AM29"/>
  <c r="AP28"/>
  <c r="AN28"/>
  <c r="AM28"/>
  <c r="AP26"/>
  <c r="AN26"/>
  <c r="AM26"/>
  <c r="AP24"/>
  <c r="AN24"/>
  <c r="AM24"/>
  <c r="AP23"/>
  <c r="AN23"/>
  <c r="AM23"/>
  <c r="AP22"/>
  <c r="AN22"/>
  <c r="AM22"/>
  <c r="AP21"/>
  <c r="AN21"/>
  <c r="AM21"/>
  <c r="AP20"/>
  <c r="AN20"/>
  <c r="AM20"/>
  <c r="AP18"/>
  <c r="AN18"/>
  <c r="AM18"/>
  <c r="AP17"/>
  <c r="AN17"/>
  <c r="AM17"/>
  <c r="AP16"/>
  <c r="AN16"/>
  <c r="AM16"/>
  <c r="AP15"/>
  <c r="AN15"/>
  <c r="AM15"/>
  <c r="AP13"/>
  <c r="AN13"/>
  <c r="AM13"/>
  <c r="AP11"/>
  <c r="AN11"/>
  <c r="AM11"/>
  <c r="AP10"/>
  <c r="AN10"/>
  <c r="AM10"/>
  <c r="AP9"/>
  <c r="AN9"/>
  <c r="AM9"/>
  <c r="AP7"/>
  <c r="AN7"/>
  <c r="AM7"/>
  <c r="AP5"/>
  <c r="AN5"/>
  <c r="AM5"/>
  <c r="AP51" i="317"/>
  <c r="AN51"/>
  <c r="AM51"/>
  <c r="AP49"/>
  <c r="AN49"/>
  <c r="AM49"/>
  <c r="AP48"/>
  <c r="AN48"/>
  <c r="AM48"/>
  <c r="AP46"/>
  <c r="AN46"/>
  <c r="AM46"/>
  <c r="AP44"/>
  <c r="AN44"/>
  <c r="AM44"/>
  <c r="AP43"/>
  <c r="AN43"/>
  <c r="AM43"/>
  <c r="AP42"/>
  <c r="AN42"/>
  <c r="AM42"/>
  <c r="AP41"/>
  <c r="AN41"/>
  <c r="AM41"/>
  <c r="AP40"/>
  <c r="AN40"/>
  <c r="AM40"/>
  <c r="AP39"/>
  <c r="AN39"/>
  <c r="AM39"/>
  <c r="AP37"/>
  <c r="AN37"/>
  <c r="AM37"/>
  <c r="AP35"/>
  <c r="AN35"/>
  <c r="AM35"/>
  <c r="AP33"/>
  <c r="AN33"/>
  <c r="AM33"/>
  <c r="AP32"/>
  <c r="AN32"/>
  <c r="AM32"/>
  <c r="AP30"/>
  <c r="AN30"/>
  <c r="AM30"/>
  <c r="AP29"/>
  <c r="AN29"/>
  <c r="AM29"/>
  <c r="AP28"/>
  <c r="AN28"/>
  <c r="AM28"/>
  <c r="AP26"/>
  <c r="AN26"/>
  <c r="AM26"/>
  <c r="AP24"/>
  <c r="AN24"/>
  <c r="AM24"/>
  <c r="AP23"/>
  <c r="AN23"/>
  <c r="AM23"/>
  <c r="AP22"/>
  <c r="AN22"/>
  <c r="AM22"/>
  <c r="AP20"/>
  <c r="AN20"/>
  <c r="AM20"/>
  <c r="AP18"/>
  <c r="AN18"/>
  <c r="AM18"/>
  <c r="AP17"/>
  <c r="AN17"/>
  <c r="AM17"/>
  <c r="AP16"/>
  <c r="AN16"/>
  <c r="AM16"/>
  <c r="AP15"/>
  <c r="AN15"/>
  <c r="AM15"/>
  <c r="AP13"/>
  <c r="AN13"/>
  <c r="AM13"/>
  <c r="AP11"/>
  <c r="AN11"/>
  <c r="AM11"/>
  <c r="AP10"/>
  <c r="AN10"/>
  <c r="AM10"/>
  <c r="AP9"/>
  <c r="AN9"/>
  <c r="AM9"/>
  <c r="AP7"/>
  <c r="AN7"/>
  <c r="AM7"/>
  <c r="AP5"/>
  <c r="AN5"/>
  <c r="AM5"/>
  <c r="B31" i="252"/>
  <c r="C31"/>
  <c r="D31"/>
  <c r="D75" s="1"/>
  <c r="D103" s="1"/>
  <c r="E31"/>
  <c r="F31"/>
  <c r="F75" s="1"/>
  <c r="F103" s="1"/>
  <c r="G31"/>
  <c r="H31"/>
  <c r="H75" s="1"/>
  <c r="H103" s="1"/>
  <c r="I31"/>
  <c r="J31"/>
  <c r="J75" s="1"/>
  <c r="J103" s="1"/>
  <c r="K31"/>
  <c r="L31"/>
  <c r="L75" s="1"/>
  <c r="L103" s="1"/>
  <c r="B31" i="251"/>
  <c r="C31"/>
  <c r="D31"/>
  <c r="E31"/>
  <c r="F31"/>
  <c r="F75" s="1"/>
  <c r="F103" s="1"/>
  <c r="G31"/>
  <c r="H31"/>
  <c r="I31"/>
  <c r="J31"/>
  <c r="J75" s="1"/>
  <c r="J103" s="1"/>
  <c r="K31"/>
  <c r="L31"/>
  <c r="B31" i="250"/>
  <c r="C31"/>
  <c r="D31"/>
  <c r="E31"/>
  <c r="F31"/>
  <c r="G31"/>
  <c r="H31"/>
  <c r="I31"/>
  <c r="J31"/>
  <c r="K31"/>
  <c r="L31"/>
  <c r="L38" i="249"/>
  <c r="K38"/>
  <c r="J38"/>
  <c r="I38"/>
  <c r="H38"/>
  <c r="G38"/>
  <c r="F38"/>
  <c r="E38"/>
  <c r="D38"/>
  <c r="C38"/>
  <c r="B38"/>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C49"/>
  <c r="D49"/>
  <c r="E49"/>
  <c r="F49"/>
  <c r="G49"/>
  <c r="H49"/>
  <c r="I49"/>
  <c r="J49"/>
  <c r="K49"/>
  <c r="L49"/>
  <c r="C50"/>
  <c r="D50"/>
  <c r="E50"/>
  <c r="F50"/>
  <c r="G50"/>
  <c r="H50"/>
  <c r="I50"/>
  <c r="J50"/>
  <c r="K50"/>
  <c r="L50"/>
  <c r="C51"/>
  <c r="D51"/>
  <c r="E51"/>
  <c r="F51"/>
  <c r="G51"/>
  <c r="H51"/>
  <c r="I51"/>
  <c r="J51"/>
  <c r="K51"/>
  <c r="L51"/>
  <c r="C52"/>
  <c r="D52"/>
  <c r="E52"/>
  <c r="F52"/>
  <c r="G52"/>
  <c r="H52"/>
  <c r="I52"/>
  <c r="J52"/>
  <c r="K52"/>
  <c r="L52"/>
  <c r="C53"/>
  <c r="D53"/>
  <c r="E53"/>
  <c r="F53"/>
  <c r="G53"/>
  <c r="H53"/>
  <c r="I53"/>
  <c r="J53"/>
  <c r="K53"/>
  <c r="L53"/>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L38" i="248"/>
  <c r="K38"/>
  <c r="J38"/>
  <c r="I38"/>
  <c r="H38"/>
  <c r="G38"/>
  <c r="F38"/>
  <c r="E38"/>
  <c r="D38"/>
  <c r="C38"/>
  <c r="B38"/>
  <c r="C36"/>
  <c r="D36"/>
  <c r="E36"/>
  <c r="F36"/>
  <c r="G36"/>
  <c r="H36"/>
  <c r="I36"/>
  <c r="J36"/>
  <c r="K36"/>
  <c r="L36"/>
  <c r="B36"/>
  <c r="C35"/>
  <c r="D35"/>
  <c r="E35"/>
  <c r="F35"/>
  <c r="G35"/>
  <c r="H35"/>
  <c r="I35"/>
  <c r="J35"/>
  <c r="K35"/>
  <c r="L35"/>
  <c r="B35"/>
  <c r="C49"/>
  <c r="D49"/>
  <c r="E49"/>
  <c r="F49"/>
  <c r="G49"/>
  <c r="H49"/>
  <c r="I49"/>
  <c r="J49"/>
  <c r="K49"/>
  <c r="L49"/>
  <c r="C50"/>
  <c r="D50"/>
  <c r="E50"/>
  <c r="F50"/>
  <c r="F77" s="1"/>
  <c r="G50"/>
  <c r="G77" s="1"/>
  <c r="H50"/>
  <c r="I50"/>
  <c r="I77" s="1"/>
  <c r="J50"/>
  <c r="K50"/>
  <c r="K77" s="1"/>
  <c r="L50"/>
  <c r="C51"/>
  <c r="C78" s="1"/>
  <c r="D51"/>
  <c r="E51"/>
  <c r="E78" s="1"/>
  <c r="F51"/>
  <c r="G51"/>
  <c r="G78" s="1"/>
  <c r="H51"/>
  <c r="I51"/>
  <c r="I78" s="1"/>
  <c r="J51"/>
  <c r="K51"/>
  <c r="K78" s="1"/>
  <c r="L51"/>
  <c r="C52"/>
  <c r="C79" s="1"/>
  <c r="D52"/>
  <c r="E52"/>
  <c r="E79" s="1"/>
  <c r="F52"/>
  <c r="G52"/>
  <c r="G79" s="1"/>
  <c r="H52"/>
  <c r="I52"/>
  <c r="I79" s="1"/>
  <c r="J52"/>
  <c r="K52"/>
  <c r="K79" s="1"/>
  <c r="L52"/>
  <c r="C53"/>
  <c r="C80" s="1"/>
  <c r="D53"/>
  <c r="E53"/>
  <c r="E80" s="1"/>
  <c r="F53"/>
  <c r="G53"/>
  <c r="G80" s="1"/>
  <c r="H53"/>
  <c r="I53"/>
  <c r="I80" s="1"/>
  <c r="J53"/>
  <c r="K53"/>
  <c r="K80" s="1"/>
  <c r="L53"/>
  <c r="C54"/>
  <c r="C81" s="1"/>
  <c r="D54"/>
  <c r="E54"/>
  <c r="E81" s="1"/>
  <c r="F54"/>
  <c r="G54"/>
  <c r="G81" s="1"/>
  <c r="H54"/>
  <c r="I54"/>
  <c r="I81" s="1"/>
  <c r="J54"/>
  <c r="K54"/>
  <c r="K81" s="1"/>
  <c r="L54"/>
  <c r="C55"/>
  <c r="C82" s="1"/>
  <c r="D55"/>
  <c r="E55"/>
  <c r="E82" s="1"/>
  <c r="F55"/>
  <c r="G55"/>
  <c r="G82" s="1"/>
  <c r="H55"/>
  <c r="I55"/>
  <c r="I82" s="1"/>
  <c r="J55"/>
  <c r="K55"/>
  <c r="K82" s="1"/>
  <c r="L55"/>
  <c r="C56"/>
  <c r="C83" s="1"/>
  <c r="D56"/>
  <c r="E56"/>
  <c r="E83" s="1"/>
  <c r="F56"/>
  <c r="G56"/>
  <c r="G83" s="1"/>
  <c r="H56"/>
  <c r="I56"/>
  <c r="I83" s="1"/>
  <c r="J56"/>
  <c r="K56"/>
  <c r="K83" s="1"/>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C76"/>
  <c r="D76"/>
  <c r="E76"/>
  <c r="F76"/>
  <c r="G76"/>
  <c r="H76"/>
  <c r="I76"/>
  <c r="J76"/>
  <c r="K76"/>
  <c r="L76"/>
  <c r="C77"/>
  <c r="D77"/>
  <c r="E77"/>
  <c r="H77"/>
  <c r="J77"/>
  <c r="L77"/>
  <c r="D78"/>
  <c r="F78"/>
  <c r="H78"/>
  <c r="J78"/>
  <c r="L78"/>
  <c r="D79"/>
  <c r="F79"/>
  <c r="H79"/>
  <c r="J79"/>
  <c r="L79"/>
  <c r="D80"/>
  <c r="F80"/>
  <c r="H80"/>
  <c r="J80"/>
  <c r="L80"/>
  <c r="D81"/>
  <c r="F81"/>
  <c r="H81"/>
  <c r="J81"/>
  <c r="L81"/>
  <c r="D82"/>
  <c r="F82"/>
  <c r="H82"/>
  <c r="J82"/>
  <c r="L82"/>
  <c r="D83"/>
  <c r="F83"/>
  <c r="H83"/>
  <c r="J83"/>
  <c r="L83"/>
  <c r="L38" i="247"/>
  <c r="K38"/>
  <c r="J38"/>
  <c r="I38"/>
  <c r="H38"/>
  <c r="G38"/>
  <c r="F38"/>
  <c r="E38"/>
  <c r="D38"/>
  <c r="C38"/>
  <c r="B38"/>
  <c r="L36"/>
  <c r="K36"/>
  <c r="J36"/>
  <c r="I36"/>
  <c r="H36"/>
  <c r="G36"/>
  <c r="F36"/>
  <c r="E36"/>
  <c r="D36"/>
  <c r="C36"/>
  <c r="B36"/>
  <c r="C35"/>
  <c r="D35"/>
  <c r="E35"/>
  <c r="F35"/>
  <c r="G35"/>
  <c r="H35"/>
  <c r="I35"/>
  <c r="J35"/>
  <c r="K35"/>
  <c r="L35"/>
  <c r="B35"/>
  <c r="AP51" i="316"/>
  <c r="AN51"/>
  <c r="AM51"/>
  <c r="AL51"/>
  <c r="AK51"/>
  <c r="AP50"/>
  <c r="AN50"/>
  <c r="AM50"/>
  <c r="AL50"/>
  <c r="AK50"/>
  <c r="AP49"/>
  <c r="AN49"/>
  <c r="AM49"/>
  <c r="AL49"/>
  <c r="AK49"/>
  <c r="AP48"/>
  <c r="AN48"/>
  <c r="AM48"/>
  <c r="AL48"/>
  <c r="AK48"/>
  <c r="AP47"/>
  <c r="AN47"/>
  <c r="AM47"/>
  <c r="AL47"/>
  <c r="AK47"/>
  <c r="AP46"/>
  <c r="AN46"/>
  <c r="AM46"/>
  <c r="AL46"/>
  <c r="AK46"/>
  <c r="AP44"/>
  <c r="AN44"/>
  <c r="AM44"/>
  <c r="AL44"/>
  <c r="AK44"/>
  <c r="AP43"/>
  <c r="AN43"/>
  <c r="AM43"/>
  <c r="AL43"/>
  <c r="AK43"/>
  <c r="AP42"/>
  <c r="AN42"/>
  <c r="AM42"/>
  <c r="AL42"/>
  <c r="AK42"/>
  <c r="AP41"/>
  <c r="AN41"/>
  <c r="AM41"/>
  <c r="AL41"/>
  <c r="AK41"/>
  <c r="AP40"/>
  <c r="AN40"/>
  <c r="AM40"/>
  <c r="AL40"/>
  <c r="AK40"/>
  <c r="AP39"/>
  <c r="AN39"/>
  <c r="AM39"/>
  <c r="AL39"/>
  <c r="AK39"/>
  <c r="AP37"/>
  <c r="AN37"/>
  <c r="AM37"/>
  <c r="AL37"/>
  <c r="AK37"/>
  <c r="AP35"/>
  <c r="AN35"/>
  <c r="AM35"/>
  <c r="AL35"/>
  <c r="AK35"/>
  <c r="AP33"/>
  <c r="AN33"/>
  <c r="AM33"/>
  <c r="AL33"/>
  <c r="AK33"/>
  <c r="AP32"/>
  <c r="AN32"/>
  <c r="AM32"/>
  <c r="AL32"/>
  <c r="AK32"/>
  <c r="AP31"/>
  <c r="AN31"/>
  <c r="AM31"/>
  <c r="AL31"/>
  <c r="AK31"/>
  <c r="AP30"/>
  <c r="AN30"/>
  <c r="AM30"/>
  <c r="AL30"/>
  <c r="AK30"/>
  <c r="AP29"/>
  <c r="AN29"/>
  <c r="AM29"/>
  <c r="AL29"/>
  <c r="AK29"/>
  <c r="AP28"/>
  <c r="AN28"/>
  <c r="AM28"/>
  <c r="AL28"/>
  <c r="AK28"/>
  <c r="AP26"/>
  <c r="AN26"/>
  <c r="AM26"/>
  <c r="AL26"/>
  <c r="AK26"/>
  <c r="AP24"/>
  <c r="AN24"/>
  <c r="AM24"/>
  <c r="AL24"/>
  <c r="AK24"/>
  <c r="AP23"/>
  <c r="AN23"/>
  <c r="AM23"/>
  <c r="AL23"/>
  <c r="AK23"/>
  <c r="AP22"/>
  <c r="AN22"/>
  <c r="AM22"/>
  <c r="AL22"/>
  <c r="AK22"/>
  <c r="AP21"/>
  <c r="AN21"/>
  <c r="AM21"/>
  <c r="AL21"/>
  <c r="AK21"/>
  <c r="AP20"/>
  <c r="AN20"/>
  <c r="AM20"/>
  <c r="AL20"/>
  <c r="AK20"/>
  <c r="AP18"/>
  <c r="AN18"/>
  <c r="AM18"/>
  <c r="AL18"/>
  <c r="AK18"/>
  <c r="AP17"/>
  <c r="AN17"/>
  <c r="AM17"/>
  <c r="AL17"/>
  <c r="AK17"/>
  <c r="AP16"/>
  <c r="AN16"/>
  <c r="AM16"/>
  <c r="AL16"/>
  <c r="AK16"/>
  <c r="AP15"/>
  <c r="AN15"/>
  <c r="AM15"/>
  <c r="AL15"/>
  <c r="AK15"/>
  <c r="AP13"/>
  <c r="AN13"/>
  <c r="AM13"/>
  <c r="AL13"/>
  <c r="AK13"/>
  <c r="AP11"/>
  <c r="AN11"/>
  <c r="AM11"/>
  <c r="AL11"/>
  <c r="AK11"/>
  <c r="AP10"/>
  <c r="AN10"/>
  <c r="AM10"/>
  <c r="AL10"/>
  <c r="AK10"/>
  <c r="AP9"/>
  <c r="AN9"/>
  <c r="AM9"/>
  <c r="AL9"/>
  <c r="AK9"/>
  <c r="AP7"/>
  <c r="AN7"/>
  <c r="AM7"/>
  <c r="AL7"/>
  <c r="AK7"/>
  <c r="AP5"/>
  <c r="AN5"/>
  <c r="AM5"/>
  <c r="AL5"/>
  <c r="AK5"/>
  <c r="AP51" i="315"/>
  <c r="AN51"/>
  <c r="AM51"/>
  <c r="AL51"/>
  <c r="AK51"/>
  <c r="AP50"/>
  <c r="AN50"/>
  <c r="AM50"/>
  <c r="AL50"/>
  <c r="AK50"/>
  <c r="AP49"/>
  <c r="AN49"/>
  <c r="AM49"/>
  <c r="AL49"/>
  <c r="AK49"/>
  <c r="AP48"/>
  <c r="AN48"/>
  <c r="AM48"/>
  <c r="AL48"/>
  <c r="AK48"/>
  <c r="AP47"/>
  <c r="AN47"/>
  <c r="AM47"/>
  <c r="AL47"/>
  <c r="AK47"/>
  <c r="AP46"/>
  <c r="AN46"/>
  <c r="AM46"/>
  <c r="AL46"/>
  <c r="AK46"/>
  <c r="AP44"/>
  <c r="AN44"/>
  <c r="AM44"/>
  <c r="AL44"/>
  <c r="AK44"/>
  <c r="AP43"/>
  <c r="AN43"/>
  <c r="AM43"/>
  <c r="AL43"/>
  <c r="AK43"/>
  <c r="AP42"/>
  <c r="AN42"/>
  <c r="AM42"/>
  <c r="AL42"/>
  <c r="AK42"/>
  <c r="AP41"/>
  <c r="AN41"/>
  <c r="AM41"/>
  <c r="AL41"/>
  <c r="AK41"/>
  <c r="AP40"/>
  <c r="AN40"/>
  <c r="AM40"/>
  <c r="AL40"/>
  <c r="AK40"/>
  <c r="AP39"/>
  <c r="AN39"/>
  <c r="AM39"/>
  <c r="AL39"/>
  <c r="AK39"/>
  <c r="AP37"/>
  <c r="AN37"/>
  <c r="AM37"/>
  <c r="AL37"/>
  <c r="AK37"/>
  <c r="AP35"/>
  <c r="AN35"/>
  <c r="AM35"/>
  <c r="AL35"/>
  <c r="AK35"/>
  <c r="AP33"/>
  <c r="AN33"/>
  <c r="AM33"/>
  <c r="AL33"/>
  <c r="AK33"/>
  <c r="AP32"/>
  <c r="AN32"/>
  <c r="AM32"/>
  <c r="AL32"/>
  <c r="AK32"/>
  <c r="AP31"/>
  <c r="AN31"/>
  <c r="AM31"/>
  <c r="AL31"/>
  <c r="AK31"/>
  <c r="AP30"/>
  <c r="AN30"/>
  <c r="AM30"/>
  <c r="AL30"/>
  <c r="AK30"/>
  <c r="AP29"/>
  <c r="AN29"/>
  <c r="AM29"/>
  <c r="AL29"/>
  <c r="AK29"/>
  <c r="AP28"/>
  <c r="AN28"/>
  <c r="AM28"/>
  <c r="AL28"/>
  <c r="AK28"/>
  <c r="AP26"/>
  <c r="AN26"/>
  <c r="AM26"/>
  <c r="AL26"/>
  <c r="AK26"/>
  <c r="AP24"/>
  <c r="AN24"/>
  <c r="AM24"/>
  <c r="AL24"/>
  <c r="AK24"/>
  <c r="AP23"/>
  <c r="AN23"/>
  <c r="AM23"/>
  <c r="AL23"/>
  <c r="AK23"/>
  <c r="AP22"/>
  <c r="AN22"/>
  <c r="AM22"/>
  <c r="AL22"/>
  <c r="AK22"/>
  <c r="AP21"/>
  <c r="AN21"/>
  <c r="AM21"/>
  <c r="AL21"/>
  <c r="AK21"/>
  <c r="AP20"/>
  <c r="AN20"/>
  <c r="AM20"/>
  <c r="AL20"/>
  <c r="AK20"/>
  <c r="AP18"/>
  <c r="AN18"/>
  <c r="AM18"/>
  <c r="AL18"/>
  <c r="AK18"/>
  <c r="AP17"/>
  <c r="AN17"/>
  <c r="AM17"/>
  <c r="AL17"/>
  <c r="AK17"/>
  <c r="AP16"/>
  <c r="AN16"/>
  <c r="AM16"/>
  <c r="AL16"/>
  <c r="AK16"/>
  <c r="AP15"/>
  <c r="AN15"/>
  <c r="AM15"/>
  <c r="AL15"/>
  <c r="AK15"/>
  <c r="AP13"/>
  <c r="AN13"/>
  <c r="AM13"/>
  <c r="AL13"/>
  <c r="AK13"/>
  <c r="AP11"/>
  <c r="AN11"/>
  <c r="AM11"/>
  <c r="AL11"/>
  <c r="AK11"/>
  <c r="AP10"/>
  <c r="AN10"/>
  <c r="AM10"/>
  <c r="AL10"/>
  <c r="AK10"/>
  <c r="AP9"/>
  <c r="AN9"/>
  <c r="AM9"/>
  <c r="AL9"/>
  <c r="AK9"/>
  <c r="AP7"/>
  <c r="AN7"/>
  <c r="AM7"/>
  <c r="AL7"/>
  <c r="AK7"/>
  <c r="AP5"/>
  <c r="AN5"/>
  <c r="AM5"/>
  <c r="AL5"/>
  <c r="AK5"/>
  <c r="AP51" i="314"/>
  <c r="AN51"/>
  <c r="AM51"/>
  <c r="AP50"/>
  <c r="AN50"/>
  <c r="AM50"/>
  <c r="AP49"/>
  <c r="AN49"/>
  <c r="AM49"/>
  <c r="AP48"/>
  <c r="AN48"/>
  <c r="AM48"/>
  <c r="AP47"/>
  <c r="AN47"/>
  <c r="AM47"/>
  <c r="AP46"/>
  <c r="AN46"/>
  <c r="AM46"/>
  <c r="AP44"/>
  <c r="AN44"/>
  <c r="AM44"/>
  <c r="AP43"/>
  <c r="AN43"/>
  <c r="AM43"/>
  <c r="AP42"/>
  <c r="AN42"/>
  <c r="AM42"/>
  <c r="AP41"/>
  <c r="AN41"/>
  <c r="AM41"/>
  <c r="AP40"/>
  <c r="AN40"/>
  <c r="AM40"/>
  <c r="AP39"/>
  <c r="AN39"/>
  <c r="AM39"/>
  <c r="AP37"/>
  <c r="AN37"/>
  <c r="AM37"/>
  <c r="AP35"/>
  <c r="AN35"/>
  <c r="AM35"/>
  <c r="AP33"/>
  <c r="AN33"/>
  <c r="AM33"/>
  <c r="AP32"/>
  <c r="AN32"/>
  <c r="AM32"/>
  <c r="AP31"/>
  <c r="AN31"/>
  <c r="AM31"/>
  <c r="AP30"/>
  <c r="AN30"/>
  <c r="AM30"/>
  <c r="AP29"/>
  <c r="AN29"/>
  <c r="AM29"/>
  <c r="AP28"/>
  <c r="AN28"/>
  <c r="AM28"/>
  <c r="AP26"/>
  <c r="AN26"/>
  <c r="AM26"/>
  <c r="AP24"/>
  <c r="AN24"/>
  <c r="AM24"/>
  <c r="AP23"/>
  <c r="AN23"/>
  <c r="AM23"/>
  <c r="AP22"/>
  <c r="AN22"/>
  <c r="AM22"/>
  <c r="AP21"/>
  <c r="AN21"/>
  <c r="AM21"/>
  <c r="AP20"/>
  <c r="AN20"/>
  <c r="AM20"/>
  <c r="AP18"/>
  <c r="AN18"/>
  <c r="AM18"/>
  <c r="AP17"/>
  <c r="AN17"/>
  <c r="AM17"/>
  <c r="AP16"/>
  <c r="AN16"/>
  <c r="AM16"/>
  <c r="AP15"/>
  <c r="AN15"/>
  <c r="AM15"/>
  <c r="AP13"/>
  <c r="AN13"/>
  <c r="AM13"/>
  <c r="AP11"/>
  <c r="AN11"/>
  <c r="AM11"/>
  <c r="AP10"/>
  <c r="AN10"/>
  <c r="AM10"/>
  <c r="AP9"/>
  <c r="AN9"/>
  <c r="AM9"/>
  <c r="AP7"/>
  <c r="AN7"/>
  <c r="AM7"/>
  <c r="AP5"/>
  <c r="AN5"/>
  <c r="AM5"/>
  <c r="AK5"/>
  <c r="C42" i="246"/>
  <c r="D42"/>
  <c r="E42"/>
  <c r="F42"/>
  <c r="G42"/>
  <c r="B42"/>
  <c r="B41"/>
  <c r="C39"/>
  <c r="D39"/>
  <c r="E39"/>
  <c r="F39"/>
  <c r="G39"/>
  <c r="B39"/>
  <c r="B38"/>
  <c r="C37"/>
  <c r="D37"/>
  <c r="E37"/>
  <c r="F37"/>
  <c r="G37"/>
  <c r="B37"/>
  <c r="B36"/>
  <c r="C36"/>
  <c r="D36"/>
  <c r="E36"/>
  <c r="F36"/>
  <c r="G36"/>
  <c r="B40" i="283" l="1"/>
  <c r="B40" i="284"/>
  <c r="B40" i="285"/>
  <c r="K75" i="252"/>
  <c r="K103" s="1"/>
  <c r="I75"/>
  <c r="I103" s="1"/>
  <c r="G75"/>
  <c r="G103" s="1"/>
  <c r="E75"/>
  <c r="E103" s="1"/>
  <c r="C75"/>
  <c r="C103" s="1"/>
  <c r="C75" i="251"/>
  <c r="C103" s="1"/>
  <c r="C35" i="283"/>
  <c r="E35"/>
  <c r="G35"/>
  <c r="I35"/>
  <c r="K35"/>
  <c r="C36"/>
  <c r="E36"/>
  <c r="G36"/>
  <c r="I36"/>
  <c r="K36"/>
  <c r="C40"/>
  <c r="E40"/>
  <c r="G40"/>
  <c r="I40"/>
  <c r="K40"/>
  <c r="C35" i="284"/>
  <c r="E35"/>
  <c r="G35"/>
  <c r="I35"/>
  <c r="K35"/>
  <c r="C36"/>
  <c r="E36"/>
  <c r="G36"/>
  <c r="I36"/>
  <c r="K36"/>
  <c r="C40"/>
  <c r="E40"/>
  <c r="G40"/>
  <c r="I40"/>
  <c r="K40"/>
  <c r="C35" i="285"/>
  <c r="E35"/>
  <c r="G35"/>
  <c r="I35"/>
  <c r="K35"/>
  <c r="C36"/>
  <c r="E36"/>
  <c r="G36"/>
  <c r="I36"/>
  <c r="K36"/>
  <c r="C40"/>
  <c r="E40"/>
  <c r="G40"/>
  <c r="I40"/>
  <c r="K40"/>
  <c r="B35" i="283"/>
  <c r="D35"/>
  <c r="F35"/>
  <c r="H35"/>
  <c r="J35"/>
  <c r="B36"/>
  <c r="D36"/>
  <c r="F36"/>
  <c r="H36"/>
  <c r="J36"/>
  <c r="D40"/>
  <c r="F40"/>
  <c r="H40"/>
  <c r="J40"/>
  <c r="B35" i="284"/>
  <c r="D35"/>
  <c r="F35"/>
  <c r="H35"/>
  <c r="J35"/>
  <c r="B36"/>
  <c r="D36"/>
  <c r="F36"/>
  <c r="H36"/>
  <c r="J36"/>
  <c r="D40"/>
  <c r="F40"/>
  <c r="H40"/>
  <c r="J40"/>
  <c r="B35" i="285"/>
  <c r="D35"/>
  <c r="F35"/>
  <c r="H35"/>
  <c r="J35"/>
  <c r="B36"/>
  <c r="D36"/>
  <c r="F36"/>
  <c r="H36"/>
  <c r="J36"/>
  <c r="D40"/>
  <c r="F40"/>
  <c r="H40"/>
  <c r="J40"/>
  <c r="C37"/>
  <c r="E37"/>
  <c r="G37"/>
  <c r="I37"/>
  <c r="K37"/>
  <c r="C38"/>
  <c r="E38"/>
  <c r="G38"/>
  <c r="I38"/>
  <c r="K38"/>
  <c r="B37"/>
  <c r="D37"/>
  <c r="F37"/>
  <c r="H37"/>
  <c r="J37"/>
  <c r="B38"/>
  <c r="D38"/>
  <c r="F38"/>
  <c r="H38"/>
  <c r="J38"/>
  <c r="C37" i="284"/>
  <c r="E37"/>
  <c r="G37"/>
  <c r="I37"/>
  <c r="K37"/>
  <c r="C38"/>
  <c r="E38"/>
  <c r="G38"/>
  <c r="I38"/>
  <c r="K38"/>
  <c r="B37"/>
  <c r="D37"/>
  <c r="F37"/>
  <c r="H37"/>
  <c r="J37"/>
  <c r="B38"/>
  <c r="D38"/>
  <c r="F38"/>
  <c r="H38"/>
  <c r="J38"/>
  <c r="C37" i="283"/>
  <c r="E37"/>
  <c r="G37"/>
  <c r="I37"/>
  <c r="K37"/>
  <c r="C38"/>
  <c r="E38"/>
  <c r="G38"/>
  <c r="I38"/>
  <c r="K38"/>
  <c r="B37"/>
  <c r="D37"/>
  <c r="F37"/>
  <c r="H37"/>
  <c r="J37"/>
  <c r="B38"/>
  <c r="D38"/>
  <c r="F38"/>
  <c r="H38"/>
  <c r="J38"/>
  <c r="N31" i="252"/>
  <c r="K75" i="250"/>
  <c r="K103" s="1"/>
  <c r="I75"/>
  <c r="I103" s="1"/>
  <c r="G75"/>
  <c r="G103" s="1"/>
  <c r="E75"/>
  <c r="E103" s="1"/>
  <c r="C75"/>
  <c r="C103" s="1"/>
  <c r="L75" i="251"/>
  <c r="L103" s="1"/>
  <c r="H75"/>
  <c r="H103" s="1"/>
  <c r="D75"/>
  <c r="D103" s="1"/>
  <c r="L75" i="250"/>
  <c r="L103" s="1"/>
  <c r="J75"/>
  <c r="J103" s="1"/>
  <c r="H75"/>
  <c r="H103" s="1"/>
  <c r="F75"/>
  <c r="F103" s="1"/>
  <c r="D75"/>
  <c r="D103" s="1"/>
  <c r="K75" i="251"/>
  <c r="K103" s="1"/>
  <c r="I75"/>
  <c r="I103" s="1"/>
  <c r="G75"/>
  <c r="G103" s="1"/>
  <c r="E75"/>
  <c r="E103" s="1"/>
  <c r="N31" l="1"/>
  <c r="N31" i="250"/>
  <c r="O31" i="252"/>
  <c r="O31" i="251" l="1"/>
  <c r="O31" i="250"/>
  <c r="L32" i="475" l="1"/>
  <c r="K32"/>
  <c r="J32"/>
  <c r="I32"/>
  <c r="H32"/>
  <c r="G32"/>
  <c r="F32"/>
  <c r="E32"/>
  <c r="D32"/>
  <c r="C32"/>
  <c r="B32"/>
  <c r="L3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32" i="476"/>
  <c r="K32"/>
  <c r="J32"/>
  <c r="I32"/>
  <c r="H32"/>
  <c r="G32"/>
  <c r="F32"/>
  <c r="E32"/>
  <c r="D32"/>
  <c r="C32"/>
  <c r="B32"/>
  <c r="L3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37" i="429"/>
  <c r="O37" s="1"/>
  <c r="L38" i="8"/>
  <c r="K38"/>
  <c r="J38"/>
  <c r="I38"/>
  <c r="H38"/>
  <c r="G38"/>
  <c r="F38"/>
  <c r="E38"/>
  <c r="D38"/>
  <c r="C38"/>
  <c r="B38"/>
  <c r="L36"/>
  <c r="K36"/>
  <c r="J36"/>
  <c r="I36"/>
  <c r="H36"/>
  <c r="G36"/>
  <c r="F36"/>
  <c r="E36"/>
  <c r="D36"/>
  <c r="C36"/>
  <c r="L35"/>
  <c r="K35"/>
  <c r="J35"/>
  <c r="I35"/>
  <c r="H35"/>
  <c r="G35"/>
  <c r="F35"/>
  <c r="E35"/>
  <c r="D35"/>
  <c r="C35"/>
  <c r="B36"/>
  <c r="B35"/>
  <c r="S6" i="279" l="1"/>
  <c r="U6" s="1"/>
  <c r="S7"/>
  <c r="U7" s="1"/>
  <c r="S8"/>
  <c r="U8" s="1"/>
  <c r="S9"/>
  <c r="U9" s="1"/>
  <c r="S10"/>
  <c r="U10" s="1"/>
  <c r="S11"/>
  <c r="U11" s="1"/>
  <c r="S12"/>
  <c r="U12" s="1"/>
  <c r="S13"/>
  <c r="U13" s="1"/>
  <c r="S14"/>
  <c r="U14" s="1"/>
  <c r="S15"/>
  <c r="U15" s="1"/>
  <c r="S16"/>
  <c r="U16" s="1"/>
  <c r="S17"/>
  <c r="U17" s="1"/>
  <c r="S18"/>
  <c r="U18" s="1"/>
  <c r="S19"/>
  <c r="U19" s="1"/>
  <c r="S20"/>
  <c r="U20" s="1"/>
  <c r="S21"/>
  <c r="U21" s="1"/>
  <c r="S22"/>
  <c r="U22" s="1"/>
  <c r="S23"/>
  <c r="U23" s="1"/>
  <c r="S24"/>
  <c r="U24" s="1"/>
  <c r="S25"/>
  <c r="U25" s="1"/>
  <c r="S26"/>
  <c r="U26" s="1"/>
  <c r="S27"/>
  <c r="U27" s="1"/>
  <c r="S28"/>
  <c r="U28" s="1"/>
  <c r="S29"/>
  <c r="U29" s="1"/>
  <c r="S30"/>
  <c r="U30" s="1"/>
  <c r="S31"/>
  <c r="U31" s="1"/>
  <c r="S32"/>
  <c r="U32" s="1"/>
  <c r="S5"/>
  <c r="U5" s="1"/>
  <c r="Q5" i="149"/>
  <c r="S5" s="1"/>
  <c r="F5" i="429"/>
  <c r="B31" i="245"/>
  <c r="C31"/>
  <c r="D31"/>
  <c r="D78" s="1"/>
  <c r="D107" s="1"/>
  <c r="E31"/>
  <c r="F31"/>
  <c r="F78" s="1"/>
  <c r="F107" s="1"/>
  <c r="G31"/>
  <c r="H31"/>
  <c r="H78" s="1"/>
  <c r="H107" s="1"/>
  <c r="I31"/>
  <c r="J31"/>
  <c r="J78" s="1"/>
  <c r="J107" s="1"/>
  <c r="K31"/>
  <c r="L31"/>
  <c r="L78" s="1"/>
  <c r="L107" s="1"/>
  <c r="B31" i="244"/>
  <c r="C31"/>
  <c r="D31"/>
  <c r="E31"/>
  <c r="F31"/>
  <c r="G31"/>
  <c r="H31"/>
  <c r="I31"/>
  <c r="J31"/>
  <c r="K31"/>
  <c r="L31"/>
  <c r="D78"/>
  <c r="D107" s="1"/>
  <c r="F78"/>
  <c r="F107" s="1"/>
  <c r="H78"/>
  <c r="H107" s="1"/>
  <c r="J78"/>
  <c r="J107" s="1"/>
  <c r="L78"/>
  <c r="L107" s="1"/>
  <c r="B31" i="243"/>
  <c r="C31"/>
  <c r="D31"/>
  <c r="E31"/>
  <c r="F31"/>
  <c r="G31"/>
  <c r="H31"/>
  <c r="I31"/>
  <c r="J31"/>
  <c r="K31"/>
  <c r="L31"/>
  <c r="L41" i="242"/>
  <c r="K41"/>
  <c r="J41"/>
  <c r="I41"/>
  <c r="H41"/>
  <c r="G41"/>
  <c r="F41"/>
  <c r="E41"/>
  <c r="D41"/>
  <c r="C41"/>
  <c r="B41"/>
  <c r="L40"/>
  <c r="K40"/>
  <c r="J40"/>
  <c r="I40"/>
  <c r="H40"/>
  <c r="G40"/>
  <c r="F40"/>
  <c r="E40"/>
  <c r="D40"/>
  <c r="C40"/>
  <c r="B40"/>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Q30"/>
  <c r="P30" s="1"/>
  <c r="Q31"/>
  <c r="P31" s="1"/>
  <c r="C76"/>
  <c r="D76"/>
  <c r="E76"/>
  <c r="F76"/>
  <c r="G76"/>
  <c r="H76"/>
  <c r="I76"/>
  <c r="J76"/>
  <c r="K76"/>
  <c r="L76"/>
  <c r="C77"/>
  <c r="D77"/>
  <c r="E77"/>
  <c r="F77"/>
  <c r="G77"/>
  <c r="H77"/>
  <c r="I77"/>
  <c r="J77"/>
  <c r="K77"/>
  <c r="L77"/>
  <c r="C78"/>
  <c r="D78"/>
  <c r="E78"/>
  <c r="F78"/>
  <c r="G78"/>
  <c r="H78"/>
  <c r="I78"/>
  <c r="J78"/>
  <c r="K78"/>
  <c r="L78"/>
  <c r="C106"/>
  <c r="D106"/>
  <c r="E106"/>
  <c r="F106"/>
  <c r="G106"/>
  <c r="H106"/>
  <c r="I106"/>
  <c r="J106"/>
  <c r="K106"/>
  <c r="L106"/>
  <c r="C107"/>
  <c r="D107"/>
  <c r="E107"/>
  <c r="F107"/>
  <c r="G107"/>
  <c r="H107"/>
  <c r="I107"/>
  <c r="J107"/>
  <c r="K107"/>
  <c r="L107"/>
  <c r="C108"/>
  <c r="D108"/>
  <c r="E108"/>
  <c r="F108"/>
  <c r="G108"/>
  <c r="H108"/>
  <c r="I108"/>
  <c r="J108"/>
  <c r="K108"/>
  <c r="L108"/>
  <c r="Q29"/>
  <c r="P29" s="1"/>
  <c r="B41" i="241"/>
  <c r="L41"/>
  <c r="K41"/>
  <c r="J41"/>
  <c r="I41"/>
  <c r="H41"/>
  <c r="G41"/>
  <c r="F41"/>
  <c r="E41"/>
  <c r="D41"/>
  <c r="C41"/>
  <c r="L40"/>
  <c r="K40"/>
  <c r="J40"/>
  <c r="I40"/>
  <c r="H40"/>
  <c r="G40"/>
  <c r="F40"/>
  <c r="E40"/>
  <c r="D40"/>
  <c r="C40"/>
  <c r="B40"/>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41" i="240"/>
  <c r="K41"/>
  <c r="J41"/>
  <c r="I41"/>
  <c r="H41"/>
  <c r="G41"/>
  <c r="F41"/>
  <c r="E41"/>
  <c r="D41"/>
  <c r="C41"/>
  <c r="B41"/>
  <c r="L40"/>
  <c r="K40"/>
  <c r="J40"/>
  <c r="I40"/>
  <c r="H40"/>
  <c r="G40"/>
  <c r="F40"/>
  <c r="E40"/>
  <c r="D40"/>
  <c r="C40"/>
  <c r="B40"/>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41" i="239"/>
  <c r="K41"/>
  <c r="J41"/>
  <c r="I41"/>
  <c r="H41"/>
  <c r="G41"/>
  <c r="F41"/>
  <c r="E41"/>
  <c r="D41"/>
  <c r="C41"/>
  <c r="B41"/>
  <c r="L40"/>
  <c r="K40"/>
  <c r="J40"/>
  <c r="I40"/>
  <c r="H40"/>
  <c r="G40"/>
  <c r="F40"/>
  <c r="E40"/>
  <c r="D40"/>
  <c r="C40"/>
  <c r="B40"/>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B38" i="238"/>
  <c r="L41"/>
  <c r="K41"/>
  <c r="J41"/>
  <c r="I41"/>
  <c r="H41"/>
  <c r="G41"/>
  <c r="F41"/>
  <c r="E41"/>
  <c r="D41"/>
  <c r="C41"/>
  <c r="B41"/>
  <c r="L40"/>
  <c r="K40"/>
  <c r="J40"/>
  <c r="I40"/>
  <c r="H40"/>
  <c r="G40"/>
  <c r="F40"/>
  <c r="E40"/>
  <c r="D40"/>
  <c r="C40"/>
  <c r="B40"/>
  <c r="L38"/>
  <c r="K38"/>
  <c r="J38"/>
  <c r="I38"/>
  <c r="H38"/>
  <c r="G38"/>
  <c r="F38"/>
  <c r="E38"/>
  <c r="D38"/>
  <c r="C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F7" i="320"/>
  <c r="L41" i="237"/>
  <c r="K41"/>
  <c r="J41"/>
  <c r="I41"/>
  <c r="H41"/>
  <c r="G41"/>
  <c r="F41"/>
  <c r="E41"/>
  <c r="D41"/>
  <c r="C41"/>
  <c r="B41"/>
  <c r="L40"/>
  <c r="K40"/>
  <c r="J40"/>
  <c r="I40"/>
  <c r="H40"/>
  <c r="G40"/>
  <c r="F40"/>
  <c r="E40"/>
  <c r="D40"/>
  <c r="C40"/>
  <c r="B40"/>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C36" i="236"/>
  <c r="D36"/>
  <c r="E36"/>
  <c r="F36"/>
  <c r="G36"/>
  <c r="H36"/>
  <c r="I36"/>
  <c r="J36"/>
  <c r="K36"/>
  <c r="L36"/>
  <c r="B36"/>
  <c r="B35"/>
  <c r="J37"/>
  <c r="C38"/>
  <c r="D38"/>
  <c r="E38"/>
  <c r="F38"/>
  <c r="G38"/>
  <c r="H38"/>
  <c r="I38"/>
  <c r="J38"/>
  <c r="K38"/>
  <c r="L38"/>
  <c r="B38"/>
  <c r="B37"/>
  <c r="C41"/>
  <c r="D41"/>
  <c r="E41"/>
  <c r="F41"/>
  <c r="G41"/>
  <c r="H41"/>
  <c r="I41"/>
  <c r="J41"/>
  <c r="K41"/>
  <c r="L41"/>
  <c r="B41"/>
  <c r="B40"/>
  <c r="C32" i="465"/>
  <c r="D32"/>
  <c r="E32"/>
  <c r="F32"/>
  <c r="G32"/>
  <c r="H32"/>
  <c r="I32"/>
  <c r="J32"/>
  <c r="K32"/>
  <c r="L32"/>
  <c r="B32"/>
  <c r="C78" i="244" l="1"/>
  <c r="C107" s="1"/>
  <c r="N31" i="242"/>
  <c r="O31" s="1"/>
  <c r="N30"/>
  <c r="O30" s="1"/>
  <c r="N29"/>
  <c r="O29" s="1"/>
  <c r="K78" i="244"/>
  <c r="K107" s="1"/>
  <c r="I78"/>
  <c r="I107" s="1"/>
  <c r="G78"/>
  <c r="G107" s="1"/>
  <c r="E78"/>
  <c r="E107" s="1"/>
  <c r="C78" i="245"/>
  <c r="C107" s="1"/>
  <c r="K78" i="243"/>
  <c r="K107" s="1"/>
  <c r="I78"/>
  <c r="I107" s="1"/>
  <c r="G78"/>
  <c r="G107" s="1"/>
  <c r="E78"/>
  <c r="E107" s="1"/>
  <c r="C78"/>
  <c r="C107" s="1"/>
  <c r="K78" i="245"/>
  <c r="K107" s="1"/>
  <c r="I78"/>
  <c r="I107" s="1"/>
  <c r="G78"/>
  <c r="G107" s="1"/>
  <c r="E78"/>
  <c r="E107" s="1"/>
  <c r="L78" i="243"/>
  <c r="L107" s="1"/>
  <c r="J78"/>
  <c r="J107" s="1"/>
  <c r="H78"/>
  <c r="H107" s="1"/>
  <c r="F78"/>
  <c r="F107" s="1"/>
  <c r="D78"/>
  <c r="D107" s="1"/>
  <c r="C44" i="457"/>
  <c r="D44"/>
  <c r="J44"/>
  <c r="C43"/>
  <c r="D43"/>
  <c r="J43"/>
  <c r="C40"/>
  <c r="D40"/>
  <c r="J40"/>
  <c r="C41"/>
  <c r="D41"/>
  <c r="J41"/>
  <c r="C39"/>
  <c r="D39"/>
  <c r="J39"/>
  <c r="C38"/>
  <c r="D38"/>
  <c r="J38"/>
  <c r="C37"/>
  <c r="D37"/>
  <c r="J37"/>
  <c r="C36"/>
  <c r="D36"/>
  <c r="J36"/>
  <c r="C24" i="458"/>
  <c r="M21"/>
  <c r="D21" s="1"/>
  <c r="M22"/>
  <c r="D22" s="1"/>
  <c r="M23"/>
  <c r="D23" s="1"/>
  <c r="M24"/>
  <c r="D24" s="1"/>
  <c r="S22"/>
  <c r="S23"/>
  <c r="S24"/>
  <c r="A115" i="302"/>
  <c r="B38" i="486"/>
  <c r="J45" i="218"/>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5" i="217"/>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5" i="216"/>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5" i="215"/>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5" i="214"/>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N31" i="244" l="1"/>
  <c r="O31" s="1"/>
  <c r="N31" i="243"/>
  <c r="O31" s="1"/>
  <c r="N31" i="245"/>
  <c r="O31" s="1"/>
  <c r="G38" i="214"/>
  <c r="F39"/>
  <c r="H39"/>
  <c r="G40"/>
  <c r="F41"/>
  <c r="H41"/>
  <c r="G44"/>
  <c r="F45"/>
  <c r="H45"/>
  <c r="F38" i="215"/>
  <c r="H38"/>
  <c r="G39"/>
  <c r="F40"/>
  <c r="H40"/>
  <c r="G41"/>
  <c r="F44"/>
  <c r="H44"/>
  <c r="G45"/>
  <c r="G38" i="216"/>
  <c r="F39"/>
  <c r="H39"/>
  <c r="G40"/>
  <c r="F41"/>
  <c r="H41"/>
  <c r="G44"/>
  <c r="F45"/>
  <c r="H45"/>
  <c r="F38" i="217"/>
  <c r="H38"/>
  <c r="G39"/>
  <c r="F40"/>
  <c r="H40"/>
  <c r="G41"/>
  <c r="F44"/>
  <c r="H44"/>
  <c r="G45"/>
  <c r="G38" i="218"/>
  <c r="F39"/>
  <c r="H39"/>
  <c r="G40"/>
  <c r="F41"/>
  <c r="H41"/>
  <c r="G44"/>
  <c r="F45"/>
  <c r="H45"/>
  <c r="F38" i="214"/>
  <c r="H38"/>
  <c r="G39"/>
  <c r="F40"/>
  <c r="H40"/>
  <c r="G41"/>
  <c r="F44"/>
  <c r="H44"/>
  <c r="G45"/>
  <c r="G38" i="215"/>
  <c r="F39"/>
  <c r="H39"/>
  <c r="G40"/>
  <c r="F41"/>
  <c r="H41"/>
  <c r="G44"/>
  <c r="F45"/>
  <c r="H45"/>
  <c r="F38" i="216"/>
  <c r="H38"/>
  <c r="G39"/>
  <c r="F40"/>
  <c r="H40"/>
  <c r="G41"/>
  <c r="F44"/>
  <c r="H44"/>
  <c r="G45"/>
  <c r="G38" i="217"/>
  <c r="F39"/>
  <c r="H39"/>
  <c r="G40"/>
  <c r="F41"/>
  <c r="H41"/>
  <c r="G44"/>
  <c r="F45"/>
  <c r="H45"/>
  <c r="F38" i="218"/>
  <c r="H38"/>
  <c r="G39"/>
  <c r="F40"/>
  <c r="H40"/>
  <c r="G41"/>
  <c r="F44"/>
  <c r="H44"/>
  <c r="G45"/>
  <c r="G42"/>
  <c r="F43"/>
  <c r="H43"/>
  <c r="F42"/>
  <c r="H42"/>
  <c r="G43"/>
  <c r="G42" i="217"/>
  <c r="F43"/>
  <c r="H43"/>
  <c r="F42"/>
  <c r="H42"/>
  <c r="G43"/>
  <c r="G42" i="216"/>
  <c r="F43"/>
  <c r="H43"/>
  <c r="F42"/>
  <c r="H42"/>
  <c r="G43"/>
  <c r="G42" i="215"/>
  <c r="F43"/>
  <c r="H43"/>
  <c r="F42"/>
  <c r="H42"/>
  <c r="G43"/>
  <c r="G42" i="214"/>
  <c r="F43"/>
  <c r="H43"/>
  <c r="F42"/>
  <c r="H42"/>
  <c r="G43"/>
  <c r="J45" i="213" l="1"/>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5" i="212"/>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5" i="211"/>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5" i="210"/>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5" i="208"/>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H35"/>
  <c r="G35"/>
  <c r="F35"/>
  <c r="H34"/>
  <c r="G34"/>
  <c r="F34"/>
  <c r="H33"/>
  <c r="G33"/>
  <c r="F33"/>
  <c r="H32"/>
  <c r="G32"/>
  <c r="F32"/>
  <c r="H31"/>
  <c r="G31"/>
  <c r="F31"/>
  <c r="H30"/>
  <c r="G30"/>
  <c r="F30"/>
  <c r="H29"/>
  <c r="G29"/>
  <c r="F29"/>
  <c r="H28"/>
  <c r="G28"/>
  <c r="F28"/>
  <c r="H27"/>
  <c r="G27"/>
  <c r="F27"/>
  <c r="H26"/>
  <c r="G26"/>
  <c r="F26"/>
  <c r="H25"/>
  <c r="G25"/>
  <c r="F25"/>
  <c r="H24"/>
  <c r="G24"/>
  <c r="F24"/>
  <c r="H23"/>
  <c r="G23"/>
  <c r="F23"/>
  <c r="H22"/>
  <c r="G22"/>
  <c r="F22"/>
  <c r="H21"/>
  <c r="G21"/>
  <c r="F21"/>
  <c r="H20"/>
  <c r="G20"/>
  <c r="F20"/>
  <c r="H19"/>
  <c r="G19"/>
  <c r="F19"/>
  <c r="H18"/>
  <c r="G18"/>
  <c r="F18"/>
  <c r="H17"/>
  <c r="G17"/>
  <c r="F17"/>
  <c r="H16"/>
  <c r="G16"/>
  <c r="F16"/>
  <c r="H15"/>
  <c r="G15"/>
  <c r="F15"/>
  <c r="H14"/>
  <c r="G14"/>
  <c r="F14"/>
  <c r="H13"/>
  <c r="G13"/>
  <c r="F13"/>
  <c r="H12"/>
  <c r="G12"/>
  <c r="F12"/>
  <c r="H11"/>
  <c r="G11"/>
  <c r="F11"/>
  <c r="H10"/>
  <c r="G10"/>
  <c r="F10"/>
  <c r="H9"/>
  <c r="G9"/>
  <c r="F9"/>
  <c r="H8"/>
  <c r="G8"/>
  <c r="F8"/>
  <c r="H7"/>
  <c r="G7"/>
  <c r="F7"/>
  <c r="H6"/>
  <c r="G6"/>
  <c r="F6"/>
  <c r="H5"/>
  <c r="G5"/>
  <c r="F5"/>
  <c r="H4"/>
  <c r="G4"/>
  <c r="F4"/>
  <c r="J46" i="207"/>
  <c r="I46"/>
  <c r="E46"/>
  <c r="D46"/>
  <c r="C46"/>
  <c r="B46"/>
  <c r="J45"/>
  <c r="I45"/>
  <c r="E45"/>
  <c r="D45"/>
  <c r="C45"/>
  <c r="B45"/>
  <c r="J44"/>
  <c r="I44"/>
  <c r="E44"/>
  <c r="D44"/>
  <c r="C44"/>
  <c r="B44"/>
  <c r="J43"/>
  <c r="I43"/>
  <c r="E43"/>
  <c r="D43"/>
  <c r="C43"/>
  <c r="B43"/>
  <c r="J42"/>
  <c r="I42"/>
  <c r="E42"/>
  <c r="D42"/>
  <c r="C42"/>
  <c r="B42"/>
  <c r="J41"/>
  <c r="I41"/>
  <c r="E41"/>
  <c r="D41"/>
  <c r="C41"/>
  <c r="B41"/>
  <c r="J40"/>
  <c r="I40"/>
  <c r="E40"/>
  <c r="D40"/>
  <c r="C40"/>
  <c r="B40"/>
  <c r="J39"/>
  <c r="I39"/>
  <c r="E39"/>
  <c r="D39"/>
  <c r="C39"/>
  <c r="B39"/>
  <c r="J38"/>
  <c r="I38"/>
  <c r="E38"/>
  <c r="D38"/>
  <c r="C38"/>
  <c r="B38"/>
  <c r="H36"/>
  <c r="G36"/>
  <c r="F36"/>
  <c r="G31" i="457" s="1"/>
  <c r="H35" i="207"/>
  <c r="G35"/>
  <c r="F35"/>
  <c r="G30" i="457" s="1"/>
  <c r="H34" i="207"/>
  <c r="G34"/>
  <c r="F34"/>
  <c r="G29" i="457" s="1"/>
  <c r="H33" i="207"/>
  <c r="G33"/>
  <c r="F33"/>
  <c r="G28" i="457" s="1"/>
  <c r="H32" i="207"/>
  <c r="G32"/>
  <c r="F32"/>
  <c r="G27" i="457" s="1"/>
  <c r="H31" i="207"/>
  <c r="G31"/>
  <c r="F31"/>
  <c r="G26" i="457" s="1"/>
  <c r="H30" i="207"/>
  <c r="G30"/>
  <c r="F30"/>
  <c r="G25" i="457" s="1"/>
  <c r="H29" i="207"/>
  <c r="G29"/>
  <c r="F29"/>
  <c r="G24" i="457" s="1"/>
  <c r="H28" i="207"/>
  <c r="G28"/>
  <c r="F28"/>
  <c r="G23" i="457" s="1"/>
  <c r="H27" i="207"/>
  <c r="G27"/>
  <c r="F27"/>
  <c r="G22" i="457" s="1"/>
  <c r="H26" i="207"/>
  <c r="G26"/>
  <c r="F26"/>
  <c r="G21" i="457" s="1"/>
  <c r="H25" i="207"/>
  <c r="G25"/>
  <c r="F25"/>
  <c r="G20" i="457" s="1"/>
  <c r="H24" i="207"/>
  <c r="G24"/>
  <c r="F24"/>
  <c r="G19" i="457" s="1"/>
  <c r="H23" i="207"/>
  <c r="G23"/>
  <c r="F23"/>
  <c r="G18" i="457" s="1"/>
  <c r="H22" i="207"/>
  <c r="G22"/>
  <c r="F22"/>
  <c r="G17" i="457" s="1"/>
  <c r="H21" i="207"/>
  <c r="G21"/>
  <c r="F21"/>
  <c r="G16" i="457" s="1"/>
  <c r="H20" i="207"/>
  <c r="G20"/>
  <c r="F20"/>
  <c r="G15" i="457" s="1"/>
  <c r="H19" i="207"/>
  <c r="G19"/>
  <c r="F19"/>
  <c r="G14" i="457" s="1"/>
  <c r="H18" i="207"/>
  <c r="G18"/>
  <c r="F18"/>
  <c r="G13" i="457" s="1"/>
  <c r="H17" i="207"/>
  <c r="G17"/>
  <c r="F17"/>
  <c r="G12" i="457" s="1"/>
  <c r="H16" i="207"/>
  <c r="G16"/>
  <c r="F16"/>
  <c r="H15"/>
  <c r="G15"/>
  <c r="F15"/>
  <c r="H14"/>
  <c r="G14"/>
  <c r="F14"/>
  <c r="H13"/>
  <c r="G13"/>
  <c r="F13"/>
  <c r="H12"/>
  <c r="G12"/>
  <c r="F12"/>
  <c r="H11"/>
  <c r="G11"/>
  <c r="F11"/>
  <c r="H10"/>
  <c r="G10"/>
  <c r="F10"/>
  <c r="H9"/>
  <c r="G9"/>
  <c r="F9"/>
  <c r="H8"/>
  <c r="G8"/>
  <c r="F8"/>
  <c r="H7"/>
  <c r="G7"/>
  <c r="F7"/>
  <c r="H6"/>
  <c r="G6"/>
  <c r="F6"/>
  <c r="H5"/>
  <c r="G5"/>
  <c r="F5"/>
  <c r="H4"/>
  <c r="G4"/>
  <c r="F4"/>
  <c r="M67" i="205"/>
  <c r="L67"/>
  <c r="K67"/>
  <c r="J67"/>
  <c r="I67"/>
  <c r="H67"/>
  <c r="G67"/>
  <c r="F67"/>
  <c r="E67"/>
  <c r="D67"/>
  <c r="C67"/>
  <c r="B67"/>
  <c r="M66"/>
  <c r="L66"/>
  <c r="K66"/>
  <c r="J66"/>
  <c r="I66"/>
  <c r="H66"/>
  <c r="G66"/>
  <c r="F66"/>
  <c r="E66"/>
  <c r="D66"/>
  <c r="C66"/>
  <c r="B66"/>
  <c r="M65"/>
  <c r="M69" s="1"/>
  <c r="L65"/>
  <c r="L68" s="1"/>
  <c r="K65"/>
  <c r="K69" s="1"/>
  <c r="J65"/>
  <c r="J68" s="1"/>
  <c r="I65"/>
  <c r="I69" s="1"/>
  <c r="H65"/>
  <c r="H68" s="1"/>
  <c r="G65"/>
  <c r="G69" s="1"/>
  <c r="F65"/>
  <c r="F68" s="1"/>
  <c r="E65"/>
  <c r="E69" s="1"/>
  <c r="D65"/>
  <c r="D68" s="1"/>
  <c r="C65"/>
  <c r="C69" s="1"/>
  <c r="B65"/>
  <c r="B68" s="1"/>
  <c r="M61"/>
  <c r="L61"/>
  <c r="K61"/>
  <c r="J61"/>
  <c r="I61"/>
  <c r="H61"/>
  <c r="G61"/>
  <c r="F61"/>
  <c r="E61"/>
  <c r="D61"/>
  <c r="C61"/>
  <c r="B61"/>
  <c r="M60"/>
  <c r="L60"/>
  <c r="K60"/>
  <c r="J60"/>
  <c r="I60"/>
  <c r="H60"/>
  <c r="G60"/>
  <c r="F60"/>
  <c r="E60"/>
  <c r="D60"/>
  <c r="C60"/>
  <c r="B60"/>
  <c r="M59"/>
  <c r="M62" s="1"/>
  <c r="L59"/>
  <c r="L63" s="1"/>
  <c r="K59"/>
  <c r="K62" s="1"/>
  <c r="J59"/>
  <c r="J63" s="1"/>
  <c r="I59"/>
  <c r="I62" s="1"/>
  <c r="H59"/>
  <c r="H63" s="1"/>
  <c r="G59"/>
  <c r="G62" s="1"/>
  <c r="F59"/>
  <c r="F63" s="1"/>
  <c r="E59"/>
  <c r="E62" s="1"/>
  <c r="D59"/>
  <c r="D63" s="1"/>
  <c r="C59"/>
  <c r="C62" s="1"/>
  <c r="B59"/>
  <c r="B63" s="1"/>
  <c r="M55"/>
  <c r="L55"/>
  <c r="K55"/>
  <c r="J55"/>
  <c r="I55"/>
  <c r="H55"/>
  <c r="G55"/>
  <c r="F55"/>
  <c r="E55"/>
  <c r="D55"/>
  <c r="C55"/>
  <c r="B55"/>
  <c r="M54"/>
  <c r="L54"/>
  <c r="K54"/>
  <c r="J54"/>
  <c r="I54"/>
  <c r="H54"/>
  <c r="G54"/>
  <c r="F54"/>
  <c r="E54"/>
  <c r="D54"/>
  <c r="C54"/>
  <c r="B54"/>
  <c r="M53"/>
  <c r="M57" s="1"/>
  <c r="L53"/>
  <c r="L56" s="1"/>
  <c r="K53"/>
  <c r="K57" s="1"/>
  <c r="J53"/>
  <c r="J56" s="1"/>
  <c r="I53"/>
  <c r="I57" s="1"/>
  <c r="H53"/>
  <c r="H56" s="1"/>
  <c r="G53"/>
  <c r="G57" s="1"/>
  <c r="F53"/>
  <c r="F56" s="1"/>
  <c r="E53"/>
  <c r="E57" s="1"/>
  <c r="D53"/>
  <c r="D56" s="1"/>
  <c r="C53"/>
  <c r="C57" s="1"/>
  <c r="B53"/>
  <c r="B56" s="1"/>
  <c r="M49"/>
  <c r="L49"/>
  <c r="K49"/>
  <c r="J49"/>
  <c r="I49"/>
  <c r="H49"/>
  <c r="G49"/>
  <c r="F49"/>
  <c r="E49"/>
  <c r="D49"/>
  <c r="C49"/>
  <c r="B49"/>
  <c r="M48"/>
  <c r="L48"/>
  <c r="K48"/>
  <c r="J48"/>
  <c r="I48"/>
  <c r="H48"/>
  <c r="G48"/>
  <c r="F48"/>
  <c r="E48"/>
  <c r="D48"/>
  <c r="C48"/>
  <c r="B48"/>
  <c r="M47"/>
  <c r="M50" s="1"/>
  <c r="L47"/>
  <c r="L51" s="1"/>
  <c r="K47"/>
  <c r="K50" s="1"/>
  <c r="J47"/>
  <c r="J51" s="1"/>
  <c r="I47"/>
  <c r="I50" s="1"/>
  <c r="H47"/>
  <c r="H51" s="1"/>
  <c r="G47"/>
  <c r="G50" s="1"/>
  <c r="F47"/>
  <c r="F51" s="1"/>
  <c r="E47"/>
  <c r="E50" s="1"/>
  <c r="D47"/>
  <c r="D51" s="1"/>
  <c r="C47"/>
  <c r="C50" s="1"/>
  <c r="B47"/>
  <c r="B51" s="1"/>
  <c r="M43"/>
  <c r="L43"/>
  <c r="K43"/>
  <c r="J43"/>
  <c r="I43"/>
  <c r="H43"/>
  <c r="G43"/>
  <c r="F43"/>
  <c r="E43"/>
  <c r="D43"/>
  <c r="C43"/>
  <c r="B43"/>
  <c r="M42"/>
  <c r="L42"/>
  <c r="K42"/>
  <c r="J42"/>
  <c r="I42"/>
  <c r="H42"/>
  <c r="G42"/>
  <c r="F42"/>
  <c r="E42"/>
  <c r="D42"/>
  <c r="C42"/>
  <c r="B42"/>
  <c r="M41"/>
  <c r="M45" s="1"/>
  <c r="L41"/>
  <c r="L44" s="1"/>
  <c r="K41"/>
  <c r="K45" s="1"/>
  <c r="J41"/>
  <c r="J44" s="1"/>
  <c r="I41"/>
  <c r="I45" s="1"/>
  <c r="H41"/>
  <c r="H44" s="1"/>
  <c r="G41"/>
  <c r="G45" s="1"/>
  <c r="F41"/>
  <c r="F44" s="1"/>
  <c r="E41"/>
  <c r="E45" s="1"/>
  <c r="D41"/>
  <c r="D44" s="1"/>
  <c r="C41"/>
  <c r="C45" s="1"/>
  <c r="B41"/>
  <c r="B44" s="1"/>
  <c r="M37"/>
  <c r="L37"/>
  <c r="K37"/>
  <c r="J37"/>
  <c r="I37"/>
  <c r="H37"/>
  <c r="G37"/>
  <c r="F37"/>
  <c r="E37"/>
  <c r="D37"/>
  <c r="C37"/>
  <c r="B37"/>
  <c r="M36"/>
  <c r="L36"/>
  <c r="K36"/>
  <c r="J36"/>
  <c r="I36"/>
  <c r="H36"/>
  <c r="G36"/>
  <c r="F36"/>
  <c r="E36"/>
  <c r="D36"/>
  <c r="C36"/>
  <c r="B36"/>
  <c r="M35"/>
  <c r="M38" s="1"/>
  <c r="L35"/>
  <c r="L39" s="1"/>
  <c r="K35"/>
  <c r="K38" s="1"/>
  <c r="J35"/>
  <c r="J39" s="1"/>
  <c r="I35"/>
  <c r="I38" s="1"/>
  <c r="H35"/>
  <c r="H39" s="1"/>
  <c r="G35"/>
  <c r="G38" s="1"/>
  <c r="F35"/>
  <c r="F39" s="1"/>
  <c r="E35"/>
  <c r="E38" s="1"/>
  <c r="D35"/>
  <c r="D39" s="1"/>
  <c r="C35"/>
  <c r="C38" s="1"/>
  <c r="B35"/>
  <c r="B39" s="1"/>
  <c r="M31"/>
  <c r="L31"/>
  <c r="K31"/>
  <c r="J31"/>
  <c r="I31"/>
  <c r="H31"/>
  <c r="G31"/>
  <c r="F31"/>
  <c r="E31"/>
  <c r="D31"/>
  <c r="C31"/>
  <c r="B31"/>
  <c r="M30"/>
  <c r="L30"/>
  <c r="K30"/>
  <c r="J30"/>
  <c r="I30"/>
  <c r="H30"/>
  <c r="G30"/>
  <c r="F30"/>
  <c r="E30"/>
  <c r="D30"/>
  <c r="C30"/>
  <c r="B30"/>
  <c r="M29"/>
  <c r="M33" s="1"/>
  <c r="L29"/>
  <c r="L32" s="1"/>
  <c r="K29"/>
  <c r="K33" s="1"/>
  <c r="J29"/>
  <c r="J32" s="1"/>
  <c r="I29"/>
  <c r="I33" s="1"/>
  <c r="H29"/>
  <c r="H32" s="1"/>
  <c r="G29"/>
  <c r="G33" s="1"/>
  <c r="F29"/>
  <c r="F32" s="1"/>
  <c r="E29"/>
  <c r="E33" s="1"/>
  <c r="D29"/>
  <c r="D32" s="1"/>
  <c r="C29"/>
  <c r="C33" s="1"/>
  <c r="B29"/>
  <c r="B32" s="1"/>
  <c r="M25"/>
  <c r="L25"/>
  <c r="K25"/>
  <c r="J25"/>
  <c r="I25"/>
  <c r="H25"/>
  <c r="G25"/>
  <c r="F25"/>
  <c r="E25"/>
  <c r="D25"/>
  <c r="C25"/>
  <c r="B25"/>
  <c r="M24"/>
  <c r="L24"/>
  <c r="K24"/>
  <c r="J24"/>
  <c r="I24"/>
  <c r="H24"/>
  <c r="G24"/>
  <c r="F24"/>
  <c r="E24"/>
  <c r="D24"/>
  <c r="C24"/>
  <c r="B24"/>
  <c r="M23"/>
  <c r="M26" s="1"/>
  <c r="L23"/>
  <c r="L27" s="1"/>
  <c r="K23"/>
  <c r="K26" s="1"/>
  <c r="J23"/>
  <c r="J27" s="1"/>
  <c r="I23"/>
  <c r="I26" s="1"/>
  <c r="H23"/>
  <c r="H27" s="1"/>
  <c r="G23"/>
  <c r="G26" s="1"/>
  <c r="F23"/>
  <c r="F27" s="1"/>
  <c r="E23"/>
  <c r="E26" s="1"/>
  <c r="D23"/>
  <c r="D27" s="1"/>
  <c r="C23"/>
  <c r="C26" s="1"/>
  <c r="B23"/>
  <c r="B27" s="1"/>
  <c r="M19"/>
  <c r="L19"/>
  <c r="K19"/>
  <c r="J19"/>
  <c r="I19"/>
  <c r="H19"/>
  <c r="G19"/>
  <c r="F19"/>
  <c r="E19"/>
  <c r="D19"/>
  <c r="C19"/>
  <c r="B19"/>
  <c r="M18"/>
  <c r="L18"/>
  <c r="K18"/>
  <c r="J18"/>
  <c r="I18"/>
  <c r="H18"/>
  <c r="G18"/>
  <c r="F18"/>
  <c r="E18"/>
  <c r="D18"/>
  <c r="C18"/>
  <c r="B18"/>
  <c r="M17"/>
  <c r="M21" s="1"/>
  <c r="L17"/>
  <c r="L20" s="1"/>
  <c r="K17"/>
  <c r="K21" s="1"/>
  <c r="J17"/>
  <c r="J20" s="1"/>
  <c r="I17"/>
  <c r="I21" s="1"/>
  <c r="H17"/>
  <c r="H20" s="1"/>
  <c r="G17"/>
  <c r="G21" s="1"/>
  <c r="F17"/>
  <c r="F20" s="1"/>
  <c r="E17"/>
  <c r="E21" s="1"/>
  <c r="D17"/>
  <c r="D20" s="1"/>
  <c r="C17"/>
  <c r="C21" s="1"/>
  <c r="B17"/>
  <c r="B20" s="1"/>
  <c r="M13"/>
  <c r="L13"/>
  <c r="K13"/>
  <c r="J13"/>
  <c r="I13"/>
  <c r="H13"/>
  <c r="G13"/>
  <c r="F13"/>
  <c r="E13"/>
  <c r="D13"/>
  <c r="C13"/>
  <c r="B13"/>
  <c r="M12"/>
  <c r="L12"/>
  <c r="K12"/>
  <c r="J12"/>
  <c r="I12"/>
  <c r="H12"/>
  <c r="G12"/>
  <c r="F12"/>
  <c r="E12"/>
  <c r="D12"/>
  <c r="C12"/>
  <c r="B12"/>
  <c r="M11"/>
  <c r="M14" s="1"/>
  <c r="L11"/>
  <c r="L15" s="1"/>
  <c r="K11"/>
  <c r="K14" s="1"/>
  <c r="J11"/>
  <c r="J15" s="1"/>
  <c r="I11"/>
  <c r="I14" s="1"/>
  <c r="H11"/>
  <c r="H15" s="1"/>
  <c r="G11"/>
  <c r="G14" s="1"/>
  <c r="F11"/>
  <c r="F15" s="1"/>
  <c r="E11"/>
  <c r="E14" s="1"/>
  <c r="D11"/>
  <c r="D15" s="1"/>
  <c r="C11"/>
  <c r="C14" s="1"/>
  <c r="B11"/>
  <c r="B15" s="1"/>
  <c r="M7"/>
  <c r="L7"/>
  <c r="K7"/>
  <c r="J7"/>
  <c r="I7"/>
  <c r="H7"/>
  <c r="G7"/>
  <c r="F7"/>
  <c r="E7"/>
  <c r="D7"/>
  <c r="C7"/>
  <c r="B7"/>
  <c r="M6"/>
  <c r="L6"/>
  <c r="K6"/>
  <c r="J6"/>
  <c r="I6"/>
  <c r="H6"/>
  <c r="G6"/>
  <c r="F6"/>
  <c r="E6"/>
  <c r="D6"/>
  <c r="C6"/>
  <c r="B6"/>
  <c r="M5"/>
  <c r="M9" s="1"/>
  <c r="L5"/>
  <c r="L8" s="1"/>
  <c r="K5"/>
  <c r="K9" s="1"/>
  <c r="J5"/>
  <c r="J8" s="1"/>
  <c r="I5"/>
  <c r="I9" s="1"/>
  <c r="H5"/>
  <c r="H8" s="1"/>
  <c r="G5"/>
  <c r="G9" s="1"/>
  <c r="F5"/>
  <c r="F8" s="1"/>
  <c r="E5"/>
  <c r="E9" s="1"/>
  <c r="D5"/>
  <c r="D8" s="1"/>
  <c r="C5"/>
  <c r="C9" s="1"/>
  <c r="B5"/>
  <c r="B8" s="1"/>
  <c r="AH32" i="204"/>
  <c r="AE32"/>
  <c r="AB32"/>
  <c r="Y32"/>
  <c r="V32"/>
  <c r="S32"/>
  <c r="P32"/>
  <c r="M32"/>
  <c r="O32" s="1"/>
  <c r="J32"/>
  <c r="G32"/>
  <c r="I32" s="1"/>
  <c r="AH31"/>
  <c r="AJ31" s="1"/>
  <c r="AE31"/>
  <c r="AG31" s="1"/>
  <c r="AB31"/>
  <c r="AD31" s="1"/>
  <c r="Y31"/>
  <c r="AA31" s="1"/>
  <c r="V31"/>
  <c r="X31" s="1"/>
  <c r="S31"/>
  <c r="U31" s="1"/>
  <c r="P31"/>
  <c r="M31"/>
  <c r="J31"/>
  <c r="L31" s="1"/>
  <c r="G31"/>
  <c r="AH30"/>
  <c r="AJ30" s="1"/>
  <c r="AE30"/>
  <c r="AB30"/>
  <c r="AD30" s="1"/>
  <c r="Y30"/>
  <c r="V30"/>
  <c r="X30" s="1"/>
  <c r="S30"/>
  <c r="P30"/>
  <c r="M30"/>
  <c r="O30" s="1"/>
  <c r="J30"/>
  <c r="L30" s="1"/>
  <c r="G30"/>
  <c r="I30" s="1"/>
  <c r="AH29"/>
  <c r="AJ29" s="1"/>
  <c r="AE29"/>
  <c r="AB29"/>
  <c r="AD29" s="1"/>
  <c r="Y29"/>
  <c r="AA29" s="1"/>
  <c r="V29"/>
  <c r="X29" s="1"/>
  <c r="S29"/>
  <c r="U29" s="1"/>
  <c r="P29"/>
  <c r="M29"/>
  <c r="O29" s="1"/>
  <c r="J29"/>
  <c r="L29" s="1"/>
  <c r="G29"/>
  <c r="I29" s="1"/>
  <c r="AH28"/>
  <c r="AE28"/>
  <c r="AG28" s="1"/>
  <c r="AB28"/>
  <c r="AD28" s="1"/>
  <c r="Y28"/>
  <c r="AA28" s="1"/>
  <c r="V28"/>
  <c r="S28"/>
  <c r="U28" s="1"/>
  <c r="P28"/>
  <c r="M28"/>
  <c r="O28" s="1"/>
  <c r="J28"/>
  <c r="L28" s="1"/>
  <c r="G28"/>
  <c r="I28" s="1"/>
  <c r="AH27"/>
  <c r="AJ27" s="1"/>
  <c r="AE27"/>
  <c r="AG27" s="1"/>
  <c r="AB27"/>
  <c r="AD27" s="1"/>
  <c r="Y27"/>
  <c r="AA27" s="1"/>
  <c r="V27"/>
  <c r="X27" s="1"/>
  <c r="S27"/>
  <c r="U27" s="1"/>
  <c r="P27"/>
  <c r="M27"/>
  <c r="J27"/>
  <c r="L27" s="1"/>
  <c r="G27"/>
  <c r="AH26"/>
  <c r="AJ26" s="1"/>
  <c r="AE26"/>
  <c r="Y26"/>
  <c r="AA26" s="1"/>
  <c r="V26"/>
  <c r="S26"/>
  <c r="U26" s="1"/>
  <c r="P26"/>
  <c r="M26"/>
  <c r="O26" s="1"/>
  <c r="J26"/>
  <c r="AH25"/>
  <c r="AJ25" s="1"/>
  <c r="AE25"/>
  <c r="AG25" s="1"/>
  <c r="AB25"/>
  <c r="AD25" s="1"/>
  <c r="Y25"/>
  <c r="AA25" s="1"/>
  <c r="V25"/>
  <c r="X25" s="1"/>
  <c r="S25"/>
  <c r="U25" s="1"/>
  <c r="P25"/>
  <c r="M25"/>
  <c r="J25"/>
  <c r="G25"/>
  <c r="AH24"/>
  <c r="AE24"/>
  <c r="AB24"/>
  <c r="Y24"/>
  <c r="V24"/>
  <c r="S24"/>
  <c r="P24"/>
  <c r="M24"/>
  <c r="O24" s="1"/>
  <c r="J24"/>
  <c r="G24"/>
  <c r="I24" s="1"/>
  <c r="AH23"/>
  <c r="AJ23" s="1"/>
  <c r="AB23"/>
  <c r="AD23" s="1"/>
  <c r="Y23"/>
  <c r="AA23" s="1"/>
  <c r="V23"/>
  <c r="X23" s="1"/>
  <c r="S23"/>
  <c r="P23"/>
  <c r="M23"/>
  <c r="O23" s="1"/>
  <c r="J23"/>
  <c r="L23" s="1"/>
  <c r="G23"/>
  <c r="AH22"/>
  <c r="AJ22" s="1"/>
  <c r="AE22"/>
  <c r="AG22" s="1"/>
  <c r="AB22"/>
  <c r="AD22" s="1"/>
  <c r="Y22"/>
  <c r="V22"/>
  <c r="X22" s="1"/>
  <c r="S22"/>
  <c r="U22" s="1"/>
  <c r="P22"/>
  <c r="M22"/>
  <c r="O22" s="1"/>
  <c r="J22"/>
  <c r="L22" s="1"/>
  <c r="G22"/>
  <c r="I22" s="1"/>
  <c r="AH21"/>
  <c r="AJ21" s="1"/>
  <c r="AE21"/>
  <c r="AB21"/>
  <c r="AD21" s="1"/>
  <c r="Y21"/>
  <c r="AA21" s="1"/>
  <c r="V21"/>
  <c r="X21" s="1"/>
  <c r="S21"/>
  <c r="U21" s="1"/>
  <c r="P21"/>
  <c r="M21"/>
  <c r="O21" s="1"/>
  <c r="J21"/>
  <c r="L21" s="1"/>
  <c r="G21"/>
  <c r="AH20"/>
  <c r="AJ20" s="1"/>
  <c r="AE20"/>
  <c r="AG20" s="1"/>
  <c r="AB20"/>
  <c r="AD20" s="1"/>
  <c r="Y20"/>
  <c r="AA20" s="1"/>
  <c r="V20"/>
  <c r="X20" s="1"/>
  <c r="S20"/>
  <c r="U20" s="1"/>
  <c r="M20"/>
  <c r="O20" s="1"/>
  <c r="J20"/>
  <c r="G20"/>
  <c r="I20" s="1"/>
  <c r="AE19"/>
  <c r="AG19" s="1"/>
  <c r="AB19"/>
  <c r="AD19" s="1"/>
  <c r="Y19"/>
  <c r="AA19" s="1"/>
  <c r="V19"/>
  <c r="X19" s="1"/>
  <c r="S19"/>
  <c r="U19" s="1"/>
  <c r="P19"/>
  <c r="M19"/>
  <c r="J19"/>
  <c r="L19" s="1"/>
  <c r="G19"/>
  <c r="I19" s="1"/>
  <c r="AH18"/>
  <c r="AJ18" s="1"/>
  <c r="AE18"/>
  <c r="AG18" s="1"/>
  <c r="AB18"/>
  <c r="AD18" s="1"/>
  <c r="Y18"/>
  <c r="AA18" s="1"/>
  <c r="V18"/>
  <c r="X18" s="1"/>
  <c r="S18"/>
  <c r="P18"/>
  <c r="M18"/>
  <c r="O18" s="1"/>
  <c r="J18"/>
  <c r="L18" s="1"/>
  <c r="G18"/>
  <c r="I18" s="1"/>
  <c r="AH17"/>
  <c r="AJ17" s="1"/>
  <c r="AE17"/>
  <c r="AG17" s="1"/>
  <c r="AB17"/>
  <c r="AD17" s="1"/>
  <c r="Y17"/>
  <c r="AA17" s="1"/>
  <c r="V17"/>
  <c r="X17" s="1"/>
  <c r="S17"/>
  <c r="U17" s="1"/>
  <c r="P17"/>
  <c r="M17"/>
  <c r="J17"/>
  <c r="G17"/>
  <c r="AH16"/>
  <c r="AE16"/>
  <c r="Y16"/>
  <c r="V16"/>
  <c r="S16"/>
  <c r="P16"/>
  <c r="M16"/>
  <c r="O16" s="1"/>
  <c r="J16"/>
  <c r="G16"/>
  <c r="I16" s="1"/>
  <c r="AH15"/>
  <c r="AJ15" s="1"/>
  <c r="AE15"/>
  <c r="Y15"/>
  <c r="V15"/>
  <c r="X15" s="1"/>
  <c r="S15"/>
  <c r="U15" s="1"/>
  <c r="P15"/>
  <c r="M15"/>
  <c r="O15" s="1"/>
  <c r="J15"/>
  <c r="G15"/>
  <c r="I15" s="1"/>
  <c r="AH14"/>
  <c r="AE14"/>
  <c r="AG14" s="1"/>
  <c r="AB14"/>
  <c r="V14"/>
  <c r="X14" s="1"/>
  <c r="S14"/>
  <c r="P14"/>
  <c r="R14" s="1"/>
  <c r="M14"/>
  <c r="J14"/>
  <c r="L14" s="1"/>
  <c r="G14"/>
  <c r="AH13"/>
  <c r="AJ13" s="1"/>
  <c r="AE13"/>
  <c r="AB13"/>
  <c r="AD13" s="1"/>
  <c r="V13"/>
  <c r="X13" s="1"/>
  <c r="S13"/>
  <c r="U13" s="1"/>
  <c r="M13"/>
  <c r="O13" s="1"/>
  <c r="J13"/>
  <c r="L13" s="1"/>
  <c r="G13"/>
  <c r="I13" s="1"/>
  <c r="AH12"/>
  <c r="AE12"/>
  <c r="AG12" s="1"/>
  <c r="AB12"/>
  <c r="AD12" s="1"/>
  <c r="V12"/>
  <c r="X12" s="1"/>
  <c r="S12"/>
  <c r="U12" s="1"/>
  <c r="P12"/>
  <c r="M12"/>
  <c r="O12" s="1"/>
  <c r="J12"/>
  <c r="L12" s="1"/>
  <c r="G12"/>
  <c r="I12" s="1"/>
  <c r="AE11"/>
  <c r="AG11" s="1"/>
  <c r="AB11"/>
  <c r="AD11" s="1"/>
  <c r="V11"/>
  <c r="X11" s="1"/>
  <c r="S11"/>
  <c r="U11" s="1"/>
  <c r="P11"/>
  <c r="R11" s="1"/>
  <c r="M11"/>
  <c r="J11"/>
  <c r="L11" s="1"/>
  <c r="G11"/>
  <c r="I11" s="1"/>
  <c r="AE10"/>
  <c r="AG10" s="1"/>
  <c r="AB10"/>
  <c r="AD10" s="1"/>
  <c r="Y10"/>
  <c r="AA10" s="1"/>
  <c r="V10"/>
  <c r="X10" s="1"/>
  <c r="S10"/>
  <c r="U10" s="1"/>
  <c r="P10"/>
  <c r="M10"/>
  <c r="O10" s="1"/>
  <c r="J10"/>
  <c r="L10" s="1"/>
  <c r="G10"/>
  <c r="I10" s="1"/>
  <c r="AE9"/>
  <c r="AG9" s="1"/>
  <c r="AB9"/>
  <c r="AD9" s="1"/>
  <c r="Y9"/>
  <c r="AA9" s="1"/>
  <c r="P9"/>
  <c r="R9" s="1"/>
  <c r="M9"/>
  <c r="J9"/>
  <c r="L9" s="1"/>
  <c r="G9"/>
  <c r="I9" s="1"/>
  <c r="AE8"/>
  <c r="AG8" s="1"/>
  <c r="AB8"/>
  <c r="AD8" s="1"/>
  <c r="Y8"/>
  <c r="AA8" s="1"/>
  <c r="P8"/>
  <c r="R8" s="1"/>
  <c r="M8"/>
  <c r="O8" s="1"/>
  <c r="J8"/>
  <c r="G8"/>
  <c r="I8" s="1"/>
  <c r="AE7"/>
  <c r="AG7" s="1"/>
  <c r="AB7"/>
  <c r="AD7" s="1"/>
  <c r="Y7"/>
  <c r="AA7" s="1"/>
  <c r="P7"/>
  <c r="R7" s="1"/>
  <c r="R34" s="1"/>
  <c r="M7"/>
  <c r="O7" s="1"/>
  <c r="J7"/>
  <c r="L7" s="1"/>
  <c r="G7"/>
  <c r="AI37"/>
  <c r="AF37"/>
  <c r="AC37"/>
  <c r="Z37"/>
  <c r="W37"/>
  <c r="T37"/>
  <c r="R37"/>
  <c r="Q37"/>
  <c r="N37"/>
  <c r="K37"/>
  <c r="H37"/>
  <c r="C37"/>
  <c r="AI36"/>
  <c r="AF36"/>
  <c r="AC36"/>
  <c r="Z36"/>
  <c r="W36"/>
  <c r="T36"/>
  <c r="Q36"/>
  <c r="N36"/>
  <c r="K36"/>
  <c r="H36"/>
  <c r="C36"/>
  <c r="AI35"/>
  <c r="AF35"/>
  <c r="AC35"/>
  <c r="Z35"/>
  <c r="W35"/>
  <c r="T35"/>
  <c r="Q35"/>
  <c r="N35"/>
  <c r="K35"/>
  <c r="H35"/>
  <c r="C35"/>
  <c r="AI34"/>
  <c r="AF34"/>
  <c r="AC34"/>
  <c r="Z34"/>
  <c r="W34"/>
  <c r="T34"/>
  <c r="Q34"/>
  <c r="N34"/>
  <c r="K34"/>
  <c r="H34"/>
  <c r="C34"/>
  <c r="L32"/>
  <c r="G37"/>
  <c r="O31"/>
  <c r="I31"/>
  <c r="AG30"/>
  <c r="AA30"/>
  <c r="U30"/>
  <c r="AG29"/>
  <c r="AJ28"/>
  <c r="X28"/>
  <c r="O27"/>
  <c r="I27"/>
  <c r="AG26"/>
  <c r="X26"/>
  <c r="L26"/>
  <c r="O25"/>
  <c r="L25"/>
  <c r="I25"/>
  <c r="AJ24"/>
  <c r="AG24"/>
  <c r="AD24"/>
  <c r="AA24"/>
  <c r="X24"/>
  <c r="U24"/>
  <c r="L24"/>
  <c r="U23"/>
  <c r="I23"/>
  <c r="AA22"/>
  <c r="AG21"/>
  <c r="I21"/>
  <c r="L20"/>
  <c r="O19"/>
  <c r="U18"/>
  <c r="O17"/>
  <c r="L17"/>
  <c r="I17"/>
  <c r="AJ16"/>
  <c r="AG16"/>
  <c r="AA16"/>
  <c r="X16"/>
  <c r="U16"/>
  <c r="L16"/>
  <c r="AG15"/>
  <c r="AA15"/>
  <c r="L15"/>
  <c r="AJ14"/>
  <c r="AD14"/>
  <c r="U14"/>
  <c r="O14"/>
  <c r="I14"/>
  <c r="A14"/>
  <c r="A13" s="1"/>
  <c r="A12" s="1"/>
  <c r="A11" s="1"/>
  <c r="A10" s="1"/>
  <c r="A9" s="1"/>
  <c r="A8" s="1"/>
  <c r="A7" s="1"/>
  <c r="AG13"/>
  <c r="AJ12"/>
  <c r="R12"/>
  <c r="O11"/>
  <c r="R10"/>
  <c r="O9"/>
  <c r="L8"/>
  <c r="I7"/>
  <c r="O30" i="203"/>
  <c r="N30"/>
  <c r="M30"/>
  <c r="L30"/>
  <c r="K30"/>
  <c r="J30"/>
  <c r="I30"/>
  <c r="H30"/>
  <c r="G30"/>
  <c r="F30"/>
  <c r="O29"/>
  <c r="N29"/>
  <c r="M29"/>
  <c r="L29"/>
  <c r="K29"/>
  <c r="J29"/>
  <c r="I29"/>
  <c r="H29"/>
  <c r="G29"/>
  <c r="F29"/>
  <c r="O28"/>
  <c r="N28"/>
  <c r="M28"/>
  <c r="L28"/>
  <c r="K28"/>
  <c r="J28"/>
  <c r="I28"/>
  <c r="H28"/>
  <c r="G28"/>
  <c r="F28"/>
  <c r="O27"/>
  <c r="N27"/>
  <c r="M27"/>
  <c r="L27"/>
  <c r="K27"/>
  <c r="K73" s="1"/>
  <c r="J27"/>
  <c r="I27"/>
  <c r="H27"/>
  <c r="G27"/>
  <c r="G73" s="1"/>
  <c r="F27"/>
  <c r="O26"/>
  <c r="N26"/>
  <c r="M26"/>
  <c r="L26"/>
  <c r="L72" s="1"/>
  <c r="K26"/>
  <c r="J26"/>
  <c r="J72" s="1"/>
  <c r="I26"/>
  <c r="I72" s="1"/>
  <c r="H26"/>
  <c r="H72" s="1"/>
  <c r="G26"/>
  <c r="F26"/>
  <c r="F72" s="1"/>
  <c r="O25"/>
  <c r="N25"/>
  <c r="M25"/>
  <c r="L25"/>
  <c r="L71" s="1"/>
  <c r="K25"/>
  <c r="K71" s="1"/>
  <c r="J25"/>
  <c r="J71" s="1"/>
  <c r="I25"/>
  <c r="H25"/>
  <c r="H71" s="1"/>
  <c r="G25"/>
  <c r="G71" s="1"/>
  <c r="F25"/>
  <c r="F71" s="1"/>
  <c r="O24"/>
  <c r="N24"/>
  <c r="L24"/>
  <c r="K24"/>
  <c r="J24"/>
  <c r="I24"/>
  <c r="H24"/>
  <c r="G24"/>
  <c r="O23"/>
  <c r="N23"/>
  <c r="M23"/>
  <c r="L23"/>
  <c r="L69" s="1"/>
  <c r="K23"/>
  <c r="J23"/>
  <c r="J69" s="1"/>
  <c r="I23"/>
  <c r="I69" s="1"/>
  <c r="H23"/>
  <c r="H69" s="1"/>
  <c r="G23"/>
  <c r="F23"/>
  <c r="F69" s="1"/>
  <c r="O22"/>
  <c r="N22"/>
  <c r="M22"/>
  <c r="L22"/>
  <c r="L68" s="1"/>
  <c r="K22"/>
  <c r="J22"/>
  <c r="J68" s="1"/>
  <c r="I22"/>
  <c r="H22"/>
  <c r="H68" s="1"/>
  <c r="G22"/>
  <c r="F22"/>
  <c r="F68" s="1"/>
  <c r="O21"/>
  <c r="M21"/>
  <c r="L21"/>
  <c r="L67" s="1"/>
  <c r="K21"/>
  <c r="K67" s="1"/>
  <c r="J21"/>
  <c r="J67" s="1"/>
  <c r="I21"/>
  <c r="H21"/>
  <c r="H67" s="1"/>
  <c r="G21"/>
  <c r="G67" s="1"/>
  <c r="F21"/>
  <c r="F67" s="1"/>
  <c r="O20"/>
  <c r="N20"/>
  <c r="M20"/>
  <c r="L20"/>
  <c r="L66" s="1"/>
  <c r="K20"/>
  <c r="K66" s="1"/>
  <c r="J20"/>
  <c r="I20"/>
  <c r="I66" s="1"/>
  <c r="H20"/>
  <c r="H66" s="1"/>
  <c r="G20"/>
  <c r="G66" s="1"/>
  <c r="F20"/>
  <c r="O19"/>
  <c r="N19"/>
  <c r="M19"/>
  <c r="L19"/>
  <c r="L65" s="1"/>
  <c r="K19"/>
  <c r="K65" s="1"/>
  <c r="J19"/>
  <c r="J65" s="1"/>
  <c r="I19"/>
  <c r="I65" s="1"/>
  <c r="H19"/>
  <c r="H65" s="1"/>
  <c r="G19"/>
  <c r="G65" s="1"/>
  <c r="F19"/>
  <c r="F65" s="1"/>
  <c r="O18"/>
  <c r="N18"/>
  <c r="M18"/>
  <c r="L18"/>
  <c r="K18"/>
  <c r="K64" s="1"/>
  <c r="J18"/>
  <c r="J64" s="1"/>
  <c r="H18"/>
  <c r="H64" s="1"/>
  <c r="G18"/>
  <c r="F18"/>
  <c r="F64" s="1"/>
  <c r="N17"/>
  <c r="M17"/>
  <c r="L17"/>
  <c r="L63" s="1"/>
  <c r="K17"/>
  <c r="J17"/>
  <c r="J63" s="1"/>
  <c r="I17"/>
  <c r="I63" s="1"/>
  <c r="H17"/>
  <c r="H63" s="1"/>
  <c r="G17"/>
  <c r="G63" s="1"/>
  <c r="F17"/>
  <c r="F63" s="1"/>
  <c r="E17"/>
  <c r="E63" s="1"/>
  <c r="O16"/>
  <c r="N16"/>
  <c r="M16"/>
  <c r="L16"/>
  <c r="K16"/>
  <c r="J16"/>
  <c r="I16"/>
  <c r="H16"/>
  <c r="G16"/>
  <c r="F16"/>
  <c r="E16"/>
  <c r="O15"/>
  <c r="N15"/>
  <c r="M15"/>
  <c r="L15"/>
  <c r="L61" s="1"/>
  <c r="K15"/>
  <c r="J15"/>
  <c r="J61" s="1"/>
  <c r="I15"/>
  <c r="I61" s="1"/>
  <c r="H15"/>
  <c r="H61" s="1"/>
  <c r="G15"/>
  <c r="G61" s="1"/>
  <c r="F15"/>
  <c r="F61" s="1"/>
  <c r="E15"/>
  <c r="E61" s="1"/>
  <c r="O14"/>
  <c r="N14"/>
  <c r="L14"/>
  <c r="L60" s="1"/>
  <c r="K14"/>
  <c r="K60" s="1"/>
  <c r="J14"/>
  <c r="I14"/>
  <c r="I60" s="1"/>
  <c r="H14"/>
  <c r="H60" s="1"/>
  <c r="G14"/>
  <c r="G60" s="1"/>
  <c r="F14"/>
  <c r="E14"/>
  <c r="E60" s="1"/>
  <c r="O13"/>
  <c r="N13"/>
  <c r="L13"/>
  <c r="L59" s="1"/>
  <c r="K13"/>
  <c r="J13"/>
  <c r="J59" s="1"/>
  <c r="I13"/>
  <c r="I59" s="1"/>
  <c r="H13"/>
  <c r="H59" s="1"/>
  <c r="G13"/>
  <c r="G59" s="1"/>
  <c r="F13"/>
  <c r="F59" s="1"/>
  <c r="E13"/>
  <c r="E59" s="1"/>
  <c r="O12"/>
  <c r="N12"/>
  <c r="M12"/>
  <c r="K12"/>
  <c r="J12"/>
  <c r="I12"/>
  <c r="H12"/>
  <c r="G12"/>
  <c r="F12"/>
  <c r="E12"/>
  <c r="E58" s="1"/>
  <c r="O11"/>
  <c r="N11"/>
  <c r="M11"/>
  <c r="K11"/>
  <c r="K57" s="1"/>
  <c r="J11"/>
  <c r="J57" s="1"/>
  <c r="H11"/>
  <c r="G11"/>
  <c r="G57" s="1"/>
  <c r="F11"/>
  <c r="F57" s="1"/>
  <c r="E11"/>
  <c r="E57" s="1"/>
  <c r="O10"/>
  <c r="N10"/>
  <c r="M10"/>
  <c r="K10"/>
  <c r="J10"/>
  <c r="J56" s="1"/>
  <c r="I10"/>
  <c r="I56" s="1"/>
  <c r="H10"/>
  <c r="H56" s="1"/>
  <c r="G10"/>
  <c r="F10"/>
  <c r="F56" s="1"/>
  <c r="E10"/>
  <c r="E56" s="1"/>
  <c r="N9"/>
  <c r="M9"/>
  <c r="K9"/>
  <c r="K55" s="1"/>
  <c r="J9"/>
  <c r="J55" s="1"/>
  <c r="I9"/>
  <c r="I55" s="1"/>
  <c r="H9"/>
  <c r="H55" s="1"/>
  <c r="G9"/>
  <c r="F9"/>
  <c r="F55" s="1"/>
  <c r="E9"/>
  <c r="E55" s="1"/>
  <c r="N8"/>
  <c r="M8"/>
  <c r="L8"/>
  <c r="L54" s="1"/>
  <c r="K8"/>
  <c r="K54" s="1"/>
  <c r="J8"/>
  <c r="J54" s="1"/>
  <c r="I8"/>
  <c r="I54" s="1"/>
  <c r="H8"/>
  <c r="H54" s="1"/>
  <c r="G8"/>
  <c r="G54" s="1"/>
  <c r="F8"/>
  <c r="F54" s="1"/>
  <c r="E8"/>
  <c r="E54" s="1"/>
  <c r="N7"/>
  <c r="M7"/>
  <c r="L7"/>
  <c r="I7"/>
  <c r="H7"/>
  <c r="G7"/>
  <c r="F7"/>
  <c r="E7"/>
  <c r="N6"/>
  <c r="M6"/>
  <c r="L6"/>
  <c r="I6"/>
  <c r="H6"/>
  <c r="G6"/>
  <c r="F6"/>
  <c r="E6"/>
  <c r="N5"/>
  <c r="M5"/>
  <c r="L5"/>
  <c r="I5"/>
  <c r="H5"/>
  <c r="G5"/>
  <c r="F5"/>
  <c r="E5"/>
  <c r="N4"/>
  <c r="M4"/>
  <c r="L4"/>
  <c r="I4"/>
  <c r="H4"/>
  <c r="G4"/>
  <c r="F4"/>
  <c r="E4"/>
  <c r="N3"/>
  <c r="H3"/>
  <c r="G3"/>
  <c r="F3"/>
  <c r="E3"/>
  <c r="E73"/>
  <c r="E72"/>
  <c r="E71"/>
  <c r="E70"/>
  <c r="E69"/>
  <c r="E68"/>
  <c r="E67"/>
  <c r="E66"/>
  <c r="E65"/>
  <c r="E64"/>
  <c r="M40"/>
  <c r="I40"/>
  <c r="O36"/>
  <c r="G36"/>
  <c r="L39"/>
  <c r="M38"/>
  <c r="I73"/>
  <c r="K72"/>
  <c r="G72"/>
  <c r="I71"/>
  <c r="L70"/>
  <c r="K70"/>
  <c r="J70"/>
  <c r="I70"/>
  <c r="H70"/>
  <c r="G70"/>
  <c r="K69"/>
  <c r="G69"/>
  <c r="K68"/>
  <c r="I68"/>
  <c r="G68"/>
  <c r="I67"/>
  <c r="J66"/>
  <c r="F66"/>
  <c r="L64"/>
  <c r="G64"/>
  <c r="K63"/>
  <c r="L62"/>
  <c r="K62"/>
  <c r="J62"/>
  <c r="I62"/>
  <c r="H62"/>
  <c r="G62"/>
  <c r="F62"/>
  <c r="E62"/>
  <c r="K61"/>
  <c r="J60"/>
  <c r="F60"/>
  <c r="K59"/>
  <c r="K58"/>
  <c r="J58"/>
  <c r="I58"/>
  <c r="H58"/>
  <c r="G58"/>
  <c r="F58"/>
  <c r="H57"/>
  <c r="K56"/>
  <c r="G56"/>
  <c r="G55"/>
  <c r="O60" i="202"/>
  <c r="N60"/>
  <c r="M60"/>
  <c r="L60"/>
  <c r="K60"/>
  <c r="J60"/>
  <c r="I60"/>
  <c r="H60"/>
  <c r="G60"/>
  <c r="F60"/>
  <c r="O59"/>
  <c r="N59"/>
  <c r="M59"/>
  <c r="L59"/>
  <c r="K59"/>
  <c r="J59"/>
  <c r="I59"/>
  <c r="H59"/>
  <c r="G59"/>
  <c r="F59"/>
  <c r="O58"/>
  <c r="N58"/>
  <c r="M58"/>
  <c r="L58"/>
  <c r="K58"/>
  <c r="J58"/>
  <c r="I58"/>
  <c r="H58"/>
  <c r="G58"/>
  <c r="F58"/>
  <c r="O57"/>
  <c r="N57"/>
  <c r="M57"/>
  <c r="K57"/>
  <c r="J57"/>
  <c r="H57"/>
  <c r="G57"/>
  <c r="F57"/>
  <c r="O56"/>
  <c r="N56"/>
  <c r="M56"/>
  <c r="K56"/>
  <c r="J56"/>
  <c r="H56"/>
  <c r="G56"/>
  <c r="F56"/>
  <c r="O55"/>
  <c r="N55"/>
  <c r="M55"/>
  <c r="K55"/>
  <c r="J55"/>
  <c r="H55"/>
  <c r="G55"/>
  <c r="F55"/>
  <c r="AQ54"/>
  <c r="AP54"/>
  <c r="AO54"/>
  <c r="AN54"/>
  <c r="AM54"/>
  <c r="AL54"/>
  <c r="AK54"/>
  <c r="AJ54"/>
  <c r="AI54"/>
  <c r="AH54"/>
  <c r="AG54"/>
  <c r="N54"/>
  <c r="H54"/>
  <c r="G54"/>
  <c r="F54"/>
  <c r="E54"/>
  <c r="N53"/>
  <c r="H53"/>
  <c r="G53"/>
  <c r="F53"/>
  <c r="N52"/>
  <c r="H52"/>
  <c r="G52"/>
  <c r="F52"/>
  <c r="N51"/>
  <c r="H51"/>
  <c r="G51"/>
  <c r="F51"/>
  <c r="O50"/>
  <c r="G50"/>
  <c r="O49"/>
  <c r="G49"/>
  <c r="O48"/>
  <c r="G48"/>
  <c r="BA46"/>
  <c r="AZ46"/>
  <c r="AY46"/>
  <c r="AX46"/>
  <c r="AW46"/>
  <c r="AV46"/>
  <c r="AU46"/>
  <c r="AT46"/>
  <c r="AS46"/>
  <c r="AR46"/>
  <c r="C46"/>
  <c r="BA45"/>
  <c r="AZ45"/>
  <c r="AY45"/>
  <c r="AX45"/>
  <c r="AW45"/>
  <c r="AV45"/>
  <c r="AU45"/>
  <c r="AT45"/>
  <c r="AS45"/>
  <c r="AR45"/>
  <c r="AE45"/>
  <c r="AD45"/>
  <c r="AC45"/>
  <c r="AB45"/>
  <c r="AA45"/>
  <c r="Z45"/>
  <c r="Y45"/>
  <c r="X45"/>
  <c r="W45"/>
  <c r="V45"/>
  <c r="C45"/>
  <c r="BA44"/>
  <c r="AZ44"/>
  <c r="AY44"/>
  <c r="AX44"/>
  <c r="AW44"/>
  <c r="AV44"/>
  <c r="AU44"/>
  <c r="AT44"/>
  <c r="AS44"/>
  <c r="AR44"/>
  <c r="AE44"/>
  <c r="AD44"/>
  <c r="AC44"/>
  <c r="AB44"/>
  <c r="AA44"/>
  <c r="Z44"/>
  <c r="Y44"/>
  <c r="X44"/>
  <c r="W44"/>
  <c r="V44"/>
  <c r="C44"/>
  <c r="BA43"/>
  <c r="AZ43"/>
  <c r="AY43"/>
  <c r="AX43"/>
  <c r="AW43"/>
  <c r="AV43"/>
  <c r="AU43"/>
  <c r="AT43"/>
  <c r="AS43"/>
  <c r="AR43"/>
  <c r="AE43"/>
  <c r="AD43"/>
  <c r="AC43"/>
  <c r="AB43"/>
  <c r="AA43"/>
  <c r="Z43"/>
  <c r="Y43"/>
  <c r="X43"/>
  <c r="W43"/>
  <c r="V43"/>
  <c r="C43"/>
  <c r="C27" i="203" s="1"/>
  <c r="C73" s="1"/>
  <c r="BA42" i="202"/>
  <c r="AZ42"/>
  <c r="AY42"/>
  <c r="AX42"/>
  <c r="AW42"/>
  <c r="AV42"/>
  <c r="AU42"/>
  <c r="AT42"/>
  <c r="AS42"/>
  <c r="AR42"/>
  <c r="AE42"/>
  <c r="AD42"/>
  <c r="AC42"/>
  <c r="AB42"/>
  <c r="AA42"/>
  <c r="Z42"/>
  <c r="Y42"/>
  <c r="X42"/>
  <c r="W42"/>
  <c r="V42"/>
  <c r="C42"/>
  <c r="C26" i="203" s="1"/>
  <c r="C72" s="1"/>
  <c r="BA41" i="202"/>
  <c r="AZ41"/>
  <c r="AY41"/>
  <c r="AX41"/>
  <c r="AW41"/>
  <c r="AV41"/>
  <c r="AU41"/>
  <c r="AT41"/>
  <c r="AS41"/>
  <c r="AR41"/>
  <c r="AE41"/>
  <c r="AD41"/>
  <c r="AC41"/>
  <c r="AB41"/>
  <c r="AA41"/>
  <c r="Z41"/>
  <c r="Y41"/>
  <c r="X41"/>
  <c r="W41"/>
  <c r="V41"/>
  <c r="C41"/>
  <c r="C25" i="203" s="1"/>
  <c r="C71" s="1"/>
  <c r="BA40" i="202"/>
  <c r="AZ40"/>
  <c r="AY40"/>
  <c r="AX40"/>
  <c r="AW40"/>
  <c r="AV40"/>
  <c r="AU40"/>
  <c r="AT40"/>
  <c r="AS40"/>
  <c r="AR40"/>
  <c r="AE40"/>
  <c r="AD40"/>
  <c r="AC40"/>
  <c r="AB40"/>
  <c r="AA40"/>
  <c r="Z40"/>
  <c r="Y40"/>
  <c r="X40"/>
  <c r="W40"/>
  <c r="V40"/>
  <c r="M40"/>
  <c r="AB26" i="204" s="1"/>
  <c r="AD26" s="1"/>
  <c r="F40" i="202"/>
  <c r="BA39"/>
  <c r="AZ39"/>
  <c r="AY39"/>
  <c r="AX39"/>
  <c r="AW39"/>
  <c r="AV39"/>
  <c r="AU39"/>
  <c r="AT39"/>
  <c r="AS39"/>
  <c r="AR39"/>
  <c r="AE39"/>
  <c r="AD39"/>
  <c r="AC39"/>
  <c r="AB39"/>
  <c r="AA39"/>
  <c r="Z39"/>
  <c r="Y39"/>
  <c r="X39"/>
  <c r="W39"/>
  <c r="V39"/>
  <c r="C39"/>
  <c r="C23" i="203" s="1"/>
  <c r="C69" s="1"/>
  <c r="BA38" i="202"/>
  <c r="AZ38"/>
  <c r="AY38"/>
  <c r="AX38"/>
  <c r="AW38"/>
  <c r="AV38"/>
  <c r="AU38"/>
  <c r="AT38"/>
  <c r="AS38"/>
  <c r="AR38"/>
  <c r="AE38"/>
  <c r="AD38"/>
  <c r="AC38"/>
  <c r="AB38"/>
  <c r="AA38"/>
  <c r="Z38"/>
  <c r="Y38"/>
  <c r="X38"/>
  <c r="W38"/>
  <c r="V38"/>
  <c r="C38"/>
  <c r="C22" i="203" s="1"/>
  <c r="C68" s="1"/>
  <c r="BA37" i="202"/>
  <c r="AZ37"/>
  <c r="AY37"/>
  <c r="AX37"/>
  <c r="AW37"/>
  <c r="AV37"/>
  <c r="AU37"/>
  <c r="AT37"/>
  <c r="AS37"/>
  <c r="AR37"/>
  <c r="AE37"/>
  <c r="AD37"/>
  <c r="AC37"/>
  <c r="AB37"/>
  <c r="AA37"/>
  <c r="Z37"/>
  <c r="Y37"/>
  <c r="X37"/>
  <c r="W37"/>
  <c r="V37"/>
  <c r="N37"/>
  <c r="BA36"/>
  <c r="AZ36"/>
  <c r="AY36"/>
  <c r="AX36"/>
  <c r="AW36"/>
  <c r="AV36"/>
  <c r="AU36"/>
  <c r="AT36"/>
  <c r="AS36"/>
  <c r="AR36"/>
  <c r="AE36"/>
  <c r="AD36"/>
  <c r="AC36"/>
  <c r="AB36"/>
  <c r="AA36"/>
  <c r="Z36"/>
  <c r="Y36"/>
  <c r="X36"/>
  <c r="W36"/>
  <c r="V36"/>
  <c r="C36"/>
  <c r="C20" i="203" s="1"/>
  <c r="C66" s="1"/>
  <c r="BA35" i="202"/>
  <c r="AZ35"/>
  <c r="AY35"/>
  <c r="AX35"/>
  <c r="AW35"/>
  <c r="AV35"/>
  <c r="AU35"/>
  <c r="AT35"/>
  <c r="AS35"/>
  <c r="AR35"/>
  <c r="AE35"/>
  <c r="AD35"/>
  <c r="AC35"/>
  <c r="AB35"/>
  <c r="AA35"/>
  <c r="Z35"/>
  <c r="Y35"/>
  <c r="X35"/>
  <c r="W35"/>
  <c r="V35"/>
  <c r="C35"/>
  <c r="C19" i="203" s="1"/>
  <c r="C65" s="1"/>
  <c r="BA34" i="202"/>
  <c r="AZ34"/>
  <c r="AY34"/>
  <c r="AX34"/>
  <c r="AW34"/>
  <c r="AV34"/>
  <c r="AU34"/>
  <c r="AT34"/>
  <c r="AS34"/>
  <c r="AR34"/>
  <c r="AE34"/>
  <c r="AD34"/>
  <c r="AC34"/>
  <c r="AB34"/>
  <c r="AA34"/>
  <c r="Z34"/>
  <c r="Y34"/>
  <c r="X34"/>
  <c r="W34"/>
  <c r="V34"/>
  <c r="I34"/>
  <c r="BA33"/>
  <c r="AZ33"/>
  <c r="AY33"/>
  <c r="AX33"/>
  <c r="AW33"/>
  <c r="AV33"/>
  <c r="AU33"/>
  <c r="AT33"/>
  <c r="AS33"/>
  <c r="AR33"/>
  <c r="AE33"/>
  <c r="AD33"/>
  <c r="AC33"/>
  <c r="AB33"/>
  <c r="AA33"/>
  <c r="Z33"/>
  <c r="Y33"/>
  <c r="X33"/>
  <c r="W33"/>
  <c r="V33"/>
  <c r="O33"/>
  <c r="C33" s="1"/>
  <c r="C17" i="203" s="1"/>
  <c r="C63" s="1"/>
  <c r="BA32" i="202"/>
  <c r="AZ32"/>
  <c r="AY32"/>
  <c r="AX32"/>
  <c r="AW32"/>
  <c r="AV32"/>
  <c r="AU32"/>
  <c r="AT32"/>
  <c r="AS32"/>
  <c r="AR32"/>
  <c r="AE32"/>
  <c r="AD32"/>
  <c r="AC32"/>
  <c r="AB32"/>
  <c r="AA32"/>
  <c r="Z32"/>
  <c r="Y32"/>
  <c r="X32"/>
  <c r="W32"/>
  <c r="V32"/>
  <c r="C32"/>
  <c r="C16" i="203" s="1"/>
  <c r="C62" s="1"/>
  <c r="BA31" i="202"/>
  <c r="AZ31"/>
  <c r="AY31"/>
  <c r="AX31"/>
  <c r="AW31"/>
  <c r="AV31"/>
  <c r="AU31"/>
  <c r="AT31"/>
  <c r="AS31"/>
  <c r="AR31"/>
  <c r="AE31"/>
  <c r="AD31"/>
  <c r="AC31"/>
  <c r="AB31"/>
  <c r="AA31"/>
  <c r="Z31"/>
  <c r="Y31"/>
  <c r="X31"/>
  <c r="W31"/>
  <c r="V31"/>
  <c r="C31"/>
  <c r="C15" i="203" s="1"/>
  <c r="C61" s="1"/>
  <c r="BA30" i="202"/>
  <c r="AZ30"/>
  <c r="AY30"/>
  <c r="AX30"/>
  <c r="AW30"/>
  <c r="AV30"/>
  <c r="AU30"/>
  <c r="AT30"/>
  <c r="AS30"/>
  <c r="AR30"/>
  <c r="AE30"/>
  <c r="AD30"/>
  <c r="AC30"/>
  <c r="AB30"/>
  <c r="AA30"/>
  <c r="Z30"/>
  <c r="Y30"/>
  <c r="X30"/>
  <c r="W30"/>
  <c r="V30"/>
  <c r="M30"/>
  <c r="BA29"/>
  <c r="AZ29"/>
  <c r="AY29"/>
  <c r="AX29"/>
  <c r="AW29"/>
  <c r="AV29"/>
  <c r="AU29"/>
  <c r="AT29"/>
  <c r="AS29"/>
  <c r="AR29"/>
  <c r="AE29"/>
  <c r="AD29"/>
  <c r="AC29"/>
  <c r="AB29"/>
  <c r="AA29"/>
  <c r="Z29"/>
  <c r="Y29"/>
  <c r="X29"/>
  <c r="W29"/>
  <c r="V29"/>
  <c r="M29"/>
  <c r="BA28"/>
  <c r="AZ28"/>
  <c r="AY28"/>
  <c r="AX28"/>
  <c r="AW28"/>
  <c r="AV28"/>
  <c r="AU28"/>
  <c r="AT28"/>
  <c r="AS28"/>
  <c r="AR28"/>
  <c r="AE28"/>
  <c r="AD28"/>
  <c r="AC28"/>
  <c r="AB28"/>
  <c r="AA28"/>
  <c r="Z28"/>
  <c r="Y28"/>
  <c r="X28"/>
  <c r="W28"/>
  <c r="V28"/>
  <c r="L28"/>
  <c r="BA27"/>
  <c r="AZ27"/>
  <c r="AY27"/>
  <c r="AX27"/>
  <c r="AW27"/>
  <c r="AV27"/>
  <c r="AU27"/>
  <c r="AT27"/>
  <c r="AS27"/>
  <c r="AR27"/>
  <c r="AE27"/>
  <c r="AD27"/>
  <c r="AC27"/>
  <c r="AB27"/>
  <c r="AA27"/>
  <c r="Z27"/>
  <c r="Y27"/>
  <c r="X27"/>
  <c r="W27"/>
  <c r="V27"/>
  <c r="L27"/>
  <c r="L11" i="203" s="1"/>
  <c r="L57" s="1"/>
  <c r="I27" i="202"/>
  <c r="I57" s="1"/>
  <c r="BA26"/>
  <c r="AZ26"/>
  <c r="AY26"/>
  <c r="AX26"/>
  <c r="AW26"/>
  <c r="AV26"/>
  <c r="AU26"/>
  <c r="AT26"/>
  <c r="AS26"/>
  <c r="AR26"/>
  <c r="AE26"/>
  <c r="AD26"/>
  <c r="AC26"/>
  <c r="AB26"/>
  <c r="AA26"/>
  <c r="Z26"/>
  <c r="Y26"/>
  <c r="X26"/>
  <c r="W26"/>
  <c r="V26"/>
  <c r="L26"/>
  <c r="Y12" i="204" s="1"/>
  <c r="AA12" s="1"/>
  <c r="BA25" i="202"/>
  <c r="AZ25"/>
  <c r="AY25"/>
  <c r="AX25"/>
  <c r="AW25"/>
  <c r="AV25"/>
  <c r="AU25"/>
  <c r="AT25"/>
  <c r="AS25"/>
  <c r="AR25"/>
  <c r="AE25"/>
  <c r="AD25"/>
  <c r="AC25"/>
  <c r="AB25"/>
  <c r="AA25"/>
  <c r="Z25"/>
  <c r="Y25"/>
  <c r="X25"/>
  <c r="W25"/>
  <c r="V25"/>
  <c r="O25"/>
  <c r="AH11" i="204" s="1"/>
  <c r="AJ11" s="1"/>
  <c r="L25" i="202"/>
  <c r="Y11" i="204" s="1"/>
  <c r="AA11" s="1"/>
  <c r="BA24" i="202"/>
  <c r="AZ24"/>
  <c r="AY24"/>
  <c r="AX24"/>
  <c r="AW24"/>
  <c r="AV24"/>
  <c r="AU24"/>
  <c r="AT24"/>
  <c r="AS24"/>
  <c r="AR24"/>
  <c r="AE24"/>
  <c r="AD24"/>
  <c r="AC24"/>
  <c r="AB24"/>
  <c r="AA24"/>
  <c r="Z24"/>
  <c r="Y24"/>
  <c r="X24"/>
  <c r="W24"/>
  <c r="V24"/>
  <c r="O24"/>
  <c r="C24" s="1"/>
  <c r="C8" i="203" s="1"/>
  <c r="C54" s="1"/>
  <c r="BA23" i="202"/>
  <c r="AZ23"/>
  <c r="AY23"/>
  <c r="AX23"/>
  <c r="AW23"/>
  <c r="AV23"/>
  <c r="AU23"/>
  <c r="AT23"/>
  <c r="AS23"/>
  <c r="AR23"/>
  <c r="AE23"/>
  <c r="AD23"/>
  <c r="AC23"/>
  <c r="AB23"/>
  <c r="AA23"/>
  <c r="Z23"/>
  <c r="Y23"/>
  <c r="X23"/>
  <c r="W23"/>
  <c r="V23"/>
  <c r="O23"/>
  <c r="O7" i="203" s="1"/>
  <c r="K23" i="202"/>
  <c r="J23"/>
  <c r="S9" i="204" s="1"/>
  <c r="U9" s="1"/>
  <c r="BA22" i="202"/>
  <c r="AZ22"/>
  <c r="AY22"/>
  <c r="AX22"/>
  <c r="AW22"/>
  <c r="AV22"/>
  <c r="AU22"/>
  <c r="AT22"/>
  <c r="AS22"/>
  <c r="AR22"/>
  <c r="AE22"/>
  <c r="AD22"/>
  <c r="AC22"/>
  <c r="AB22"/>
  <c r="AA22"/>
  <c r="Z22"/>
  <c r="Y22"/>
  <c r="X22"/>
  <c r="W22"/>
  <c r="V22"/>
  <c r="O22"/>
  <c r="K22"/>
  <c r="V8" i="204" s="1"/>
  <c r="X8" s="1"/>
  <c r="J22" i="202"/>
  <c r="S8" i="204" s="1"/>
  <c r="U8" s="1"/>
  <c r="BA21" i="202"/>
  <c r="AZ21"/>
  <c r="AY21"/>
  <c r="AX21"/>
  <c r="AW21"/>
  <c r="AV21"/>
  <c r="AU21"/>
  <c r="AT21"/>
  <c r="AS21"/>
  <c r="AR21"/>
  <c r="AE21"/>
  <c r="AD21"/>
  <c r="AC21"/>
  <c r="AB21"/>
  <c r="AA21"/>
  <c r="Z21"/>
  <c r="Y21"/>
  <c r="X21"/>
  <c r="W21"/>
  <c r="V21"/>
  <c r="O21"/>
  <c r="K21"/>
  <c r="V7" i="204" s="1"/>
  <c r="J21" i="202"/>
  <c r="S7" i="204" s="1"/>
  <c r="BA20" i="202"/>
  <c r="AZ20"/>
  <c r="AY20"/>
  <c r="AX20"/>
  <c r="AW20"/>
  <c r="AV20"/>
  <c r="AU20"/>
  <c r="AT20"/>
  <c r="AS20"/>
  <c r="AR20"/>
  <c r="AE20"/>
  <c r="AD20"/>
  <c r="AC20"/>
  <c r="AB20"/>
  <c r="AA20"/>
  <c r="Z20"/>
  <c r="Y20"/>
  <c r="X20"/>
  <c r="W20"/>
  <c r="V20"/>
  <c r="O20"/>
  <c r="K20"/>
  <c r="K4" i="203" s="1"/>
  <c r="J20" i="202"/>
  <c r="J4" i="203" s="1"/>
  <c r="BA19" i="202"/>
  <c r="AZ19"/>
  <c r="AY19"/>
  <c r="AX19"/>
  <c r="AW19"/>
  <c r="AV19"/>
  <c r="AU19"/>
  <c r="AT19"/>
  <c r="AS19"/>
  <c r="AR19"/>
  <c r="AE19"/>
  <c r="AD19"/>
  <c r="AC19"/>
  <c r="AB19"/>
  <c r="AA19"/>
  <c r="Z19"/>
  <c r="Y19"/>
  <c r="X19"/>
  <c r="W19"/>
  <c r="V19"/>
  <c r="O19"/>
  <c r="O54" s="1"/>
  <c r="M19"/>
  <c r="L19"/>
  <c r="L52" s="1"/>
  <c r="K19"/>
  <c r="J19"/>
  <c r="J52" s="1"/>
  <c r="I19"/>
  <c r="BA18"/>
  <c r="AZ18"/>
  <c r="AY18"/>
  <c r="AX18"/>
  <c r="AW18"/>
  <c r="AV18"/>
  <c r="AU18"/>
  <c r="AT18"/>
  <c r="AS18"/>
  <c r="AR18"/>
  <c r="AE18"/>
  <c r="AE17" s="1"/>
  <c r="AE16" s="1"/>
  <c r="AE15" s="1"/>
  <c r="AE14" s="1"/>
  <c r="AE13" s="1"/>
  <c r="AE12" s="1"/>
  <c r="AE11" s="1"/>
  <c r="AE10" s="1"/>
  <c r="AE9" s="1"/>
  <c r="AE8" s="1"/>
  <c r="AE7" s="1"/>
  <c r="AE6" s="1"/>
  <c r="AE5" s="1"/>
  <c r="AE4" s="1"/>
  <c r="AE3" s="1"/>
  <c r="AD18"/>
  <c r="AD17" s="1"/>
  <c r="AD16" s="1"/>
  <c r="AD15" s="1"/>
  <c r="AD14" s="1"/>
  <c r="AD13" s="1"/>
  <c r="AD12" s="1"/>
  <c r="AD11" s="1"/>
  <c r="AD10" s="1"/>
  <c r="AD9" s="1"/>
  <c r="AD8" s="1"/>
  <c r="AD7" s="1"/>
  <c r="AD6" s="1"/>
  <c r="AD5" s="1"/>
  <c r="AD4" s="1"/>
  <c r="AD3" s="1"/>
  <c r="AC18"/>
  <c r="AC17" s="1"/>
  <c r="AC16" s="1"/>
  <c r="AC15" s="1"/>
  <c r="AC14" s="1"/>
  <c r="AC13" s="1"/>
  <c r="AC12" s="1"/>
  <c r="AC11" s="1"/>
  <c r="AC10" s="1"/>
  <c r="AC9" s="1"/>
  <c r="AC8" s="1"/>
  <c r="AC7" s="1"/>
  <c r="AC6" s="1"/>
  <c r="AC5" s="1"/>
  <c r="AC4" s="1"/>
  <c r="AC3" s="1"/>
  <c r="AB18"/>
  <c r="AB17" s="1"/>
  <c r="AB16" s="1"/>
  <c r="AB15" s="1"/>
  <c r="AB14" s="1"/>
  <c r="AB13" s="1"/>
  <c r="AB12" s="1"/>
  <c r="AB11" s="1"/>
  <c r="AB10" s="1"/>
  <c r="AB9" s="1"/>
  <c r="AB8" s="1"/>
  <c r="AB7" s="1"/>
  <c r="AB6" s="1"/>
  <c r="AB5" s="1"/>
  <c r="AB4" s="1"/>
  <c r="AB3" s="1"/>
  <c r="AA18"/>
  <c r="AA17" s="1"/>
  <c r="AA16" s="1"/>
  <c r="AA15" s="1"/>
  <c r="AA14" s="1"/>
  <c r="AA13" s="1"/>
  <c r="AA12" s="1"/>
  <c r="AA11" s="1"/>
  <c r="AA10" s="1"/>
  <c r="AA9" s="1"/>
  <c r="AA8" s="1"/>
  <c r="AA7" s="1"/>
  <c r="AA6" s="1"/>
  <c r="AA5" s="1"/>
  <c r="AA4" s="1"/>
  <c r="AA3" s="1"/>
  <c r="Z18"/>
  <c r="Y18"/>
  <c r="Y17" s="1"/>
  <c r="Y16" s="1"/>
  <c r="Y15" s="1"/>
  <c r="Y14" s="1"/>
  <c r="Y13" s="1"/>
  <c r="Y12" s="1"/>
  <c r="Y11" s="1"/>
  <c r="Y10" s="1"/>
  <c r="Y9" s="1"/>
  <c r="Y8" s="1"/>
  <c r="Y7" s="1"/>
  <c r="Y6" s="1"/>
  <c r="Y5" s="1"/>
  <c r="Y4" s="1"/>
  <c r="Y3" s="1"/>
  <c r="X18"/>
  <c r="X17" s="1"/>
  <c r="X16" s="1"/>
  <c r="X15" s="1"/>
  <c r="X14" s="1"/>
  <c r="X13" s="1"/>
  <c r="X12" s="1"/>
  <c r="X11" s="1"/>
  <c r="X10" s="1"/>
  <c r="X9" s="1"/>
  <c r="X8" s="1"/>
  <c r="X7" s="1"/>
  <c r="X6" s="1"/>
  <c r="X5" s="1"/>
  <c r="X4" s="1"/>
  <c r="X3" s="1"/>
  <c r="W18"/>
  <c r="W17" s="1"/>
  <c r="W16" s="1"/>
  <c r="W15" s="1"/>
  <c r="W14" s="1"/>
  <c r="W13" s="1"/>
  <c r="W12" s="1"/>
  <c r="W11" s="1"/>
  <c r="W10" s="1"/>
  <c r="W9" s="1"/>
  <c r="W8" s="1"/>
  <c r="W7" s="1"/>
  <c r="W6" s="1"/>
  <c r="W5" s="1"/>
  <c r="W4" s="1"/>
  <c r="W3" s="1"/>
  <c r="V18"/>
  <c r="V17" s="1"/>
  <c r="V16" s="1"/>
  <c r="O18"/>
  <c r="I18"/>
  <c r="BA17"/>
  <c r="AZ17"/>
  <c r="AY17"/>
  <c r="AX17"/>
  <c r="AW17"/>
  <c r="AV17"/>
  <c r="AU17"/>
  <c r="AT17"/>
  <c r="AS17"/>
  <c r="AR17"/>
  <c r="Z17"/>
  <c r="Z16" s="1"/>
  <c r="Z15" s="1"/>
  <c r="Z14" s="1"/>
  <c r="Z13" s="1"/>
  <c r="Z12" s="1"/>
  <c r="Z11" s="1"/>
  <c r="Z10" s="1"/>
  <c r="Z9" s="1"/>
  <c r="Z8" s="1"/>
  <c r="Z7" s="1"/>
  <c r="Z6" s="1"/>
  <c r="Z5" s="1"/>
  <c r="Z4" s="1"/>
  <c r="Z3" s="1"/>
  <c r="I17"/>
  <c r="C17" s="1"/>
  <c r="BA16"/>
  <c r="AZ16"/>
  <c r="AY16"/>
  <c r="AX16"/>
  <c r="AW16"/>
  <c r="AV16"/>
  <c r="AU16"/>
  <c r="AT16"/>
  <c r="AS16"/>
  <c r="AR16"/>
  <c r="M16"/>
  <c r="J16"/>
  <c r="I16"/>
  <c r="BA15"/>
  <c r="AZ15"/>
  <c r="AY15"/>
  <c r="AX15"/>
  <c r="AW15"/>
  <c r="AV15"/>
  <c r="AU15"/>
  <c r="AT15"/>
  <c r="AS15"/>
  <c r="AR15"/>
  <c r="J15"/>
  <c r="I15"/>
  <c r="BA14"/>
  <c r="AZ14"/>
  <c r="AY14"/>
  <c r="AX14"/>
  <c r="AW14"/>
  <c r="AV14"/>
  <c r="AU14"/>
  <c r="AT14"/>
  <c r="AS14"/>
  <c r="AR14"/>
  <c r="I14"/>
  <c r="C14" s="1"/>
  <c r="N13"/>
  <c r="L13"/>
  <c r="J13"/>
  <c r="I13"/>
  <c r="H13"/>
  <c r="G13"/>
  <c r="K12"/>
  <c r="J12"/>
  <c r="I12"/>
  <c r="H12"/>
  <c r="G12"/>
  <c r="F12"/>
  <c r="N11"/>
  <c r="J11"/>
  <c r="N10"/>
  <c r="M10"/>
  <c r="J10"/>
  <c r="N9"/>
  <c r="J9"/>
  <c r="H9"/>
  <c r="F9"/>
  <c r="N8"/>
  <c r="J8"/>
  <c r="H8"/>
  <c r="F8"/>
  <c r="O7"/>
  <c r="H7"/>
  <c r="F7"/>
  <c r="O6"/>
  <c r="L6"/>
  <c r="K6"/>
  <c r="H6"/>
  <c r="F6"/>
  <c r="O5"/>
  <c r="M5"/>
  <c r="K5"/>
  <c r="H5"/>
  <c r="F5"/>
  <c r="M4"/>
  <c r="L4"/>
  <c r="K4"/>
  <c r="H4"/>
  <c r="F4"/>
  <c r="A4"/>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N3"/>
  <c r="N50" s="1"/>
  <c r="M3"/>
  <c r="M49" s="1"/>
  <c r="L3"/>
  <c r="L50" s="1"/>
  <c r="K3"/>
  <c r="K49" s="1"/>
  <c r="J3"/>
  <c r="J50" s="1"/>
  <c r="I3"/>
  <c r="I49" s="1"/>
  <c r="H3"/>
  <c r="H50" s="1"/>
  <c r="F3"/>
  <c r="F50" s="1"/>
  <c r="H39" i="203" l="1"/>
  <c r="BA5" i="202"/>
  <c r="AT3"/>
  <c r="J36" i="204"/>
  <c r="O38" i="203"/>
  <c r="M36"/>
  <c r="G40"/>
  <c r="K40"/>
  <c r="O40"/>
  <c r="AV6" i="202"/>
  <c r="C15"/>
  <c r="K36" i="203"/>
  <c r="G36" i="204"/>
  <c r="AB36"/>
  <c r="N30" i="205"/>
  <c r="AS5" i="202"/>
  <c r="P34" i="204"/>
  <c r="AX3" i="202"/>
  <c r="AV4"/>
  <c r="M36" i="204"/>
  <c r="AS8" i="202"/>
  <c r="AW5"/>
  <c r="BA11"/>
  <c r="N34" i="203"/>
  <c r="F39"/>
  <c r="J39"/>
  <c r="N39"/>
  <c r="AE36" i="204"/>
  <c r="C18" i="202"/>
  <c r="AU7"/>
  <c r="AW13"/>
  <c r="B36"/>
  <c r="B20" i="203" s="1"/>
  <c r="B66" s="1"/>
  <c r="D36" i="202"/>
  <c r="B22" i="204" s="1"/>
  <c r="D22" s="1"/>
  <c r="B43" i="202"/>
  <c r="B27" i="203" s="1"/>
  <c r="D43" i="202"/>
  <c r="D45"/>
  <c r="D29" i="203" s="1"/>
  <c r="F41"/>
  <c r="H41"/>
  <c r="L41"/>
  <c r="N41"/>
  <c r="J34" i="204"/>
  <c r="M37"/>
  <c r="AB34"/>
  <c r="C5" i="202"/>
  <c r="C7"/>
  <c r="AV10"/>
  <c r="AZ9"/>
  <c r="C26"/>
  <c r="C10" i="203" s="1"/>
  <c r="C56" s="1"/>
  <c r="C8" i="202"/>
  <c r="D14"/>
  <c r="B26"/>
  <c r="B10" i="203" s="1"/>
  <c r="B56" s="1"/>
  <c r="D26" i="202"/>
  <c r="B12" i="204" s="1"/>
  <c r="D12" s="1"/>
  <c r="C12" i="202"/>
  <c r="B25"/>
  <c r="B9" i="203" s="1"/>
  <c r="B55" s="1"/>
  <c r="C27" i="202"/>
  <c r="B32"/>
  <c r="B16" i="203" s="1"/>
  <c r="B62" s="1"/>
  <c r="D32" i="202"/>
  <c r="B18" i="204" s="1"/>
  <c r="D18" s="1"/>
  <c r="B35" i="202"/>
  <c r="B19" i="203" s="1"/>
  <c r="B65" s="1"/>
  <c r="D35" i="202"/>
  <c r="B42"/>
  <c r="B26" i="203" s="1"/>
  <c r="B72" s="1"/>
  <c r="D42" i="202"/>
  <c r="B28" i="204" s="1"/>
  <c r="D28" s="1"/>
  <c r="AV3" i="202"/>
  <c r="AZ12"/>
  <c r="AS11"/>
  <c r="AU5"/>
  <c r="AY7"/>
  <c r="BA8"/>
  <c r="C20"/>
  <c r="C4" i="203" s="1"/>
  <c r="X7" i="204"/>
  <c r="X36" s="1"/>
  <c r="V34"/>
  <c r="V36"/>
  <c r="AZ3" i="202"/>
  <c r="C4"/>
  <c r="AZ4"/>
  <c r="AY5"/>
  <c r="AZ6"/>
  <c r="C11"/>
  <c r="C16"/>
  <c r="D23"/>
  <c r="B9" i="204" s="1"/>
  <c r="D9" s="1"/>
  <c r="B31" i="202"/>
  <c r="B15" i="203" s="1"/>
  <c r="B61" s="1"/>
  <c r="D31" i="202"/>
  <c r="B17" i="204" s="1"/>
  <c r="D17" s="1"/>
  <c r="B38" i="202"/>
  <c r="B22" i="203" s="1"/>
  <c r="B68" s="1"/>
  <c r="D38" i="202"/>
  <c r="B24" i="204" s="1"/>
  <c r="D24" s="1"/>
  <c r="J3" i="203"/>
  <c r="M24"/>
  <c r="AH9" i="204"/>
  <c r="AJ9" s="1"/>
  <c r="P13"/>
  <c r="S37"/>
  <c r="Y37"/>
  <c r="AE37"/>
  <c r="F39" i="207"/>
  <c r="H39"/>
  <c r="G43"/>
  <c r="G45"/>
  <c r="G39" i="208"/>
  <c r="G41"/>
  <c r="F44"/>
  <c r="H44"/>
  <c r="F39" i="210"/>
  <c r="H39"/>
  <c r="F41"/>
  <c r="H41"/>
  <c r="G44"/>
  <c r="G39" i="211"/>
  <c r="G41"/>
  <c r="F44"/>
  <c r="H44"/>
  <c r="F39" i="212"/>
  <c r="H39"/>
  <c r="F41"/>
  <c r="H41"/>
  <c r="G44"/>
  <c r="G39" i="213"/>
  <c r="G41"/>
  <c r="F44"/>
  <c r="H44"/>
  <c r="D17" i="202"/>
  <c r="AT6"/>
  <c r="AV12"/>
  <c r="AX6"/>
  <c r="AZ10"/>
  <c r="AS13"/>
  <c r="AW11"/>
  <c r="BA13"/>
  <c r="D44"/>
  <c r="B30" i="204" s="1"/>
  <c r="D30" s="1"/>
  <c r="L3" i="203"/>
  <c r="L33" s="1"/>
  <c r="J7"/>
  <c r="L10"/>
  <c r="L56" s="1"/>
  <c r="C6" i="202"/>
  <c r="S36" i="204"/>
  <c r="U7"/>
  <c r="U36" s="1"/>
  <c r="O5" i="203"/>
  <c r="D21" i="202"/>
  <c r="AH7" i="204"/>
  <c r="C23" i="202"/>
  <c r="C7" i="203" s="1"/>
  <c r="K7"/>
  <c r="V9" i="204"/>
  <c r="X9" s="1"/>
  <c r="C28" i="202"/>
  <c r="C12" i="203" s="1"/>
  <c r="C58" s="1"/>
  <c r="Y14" i="204"/>
  <c r="AA14" s="1"/>
  <c r="M13" i="203"/>
  <c r="AB15" i="204"/>
  <c r="AD15" s="1"/>
  <c r="P20"/>
  <c r="C34" i="202"/>
  <c r="C18" i="203" s="1"/>
  <c r="C64" s="1"/>
  <c r="D19"/>
  <c r="D65" s="1"/>
  <c r="B21" i="204"/>
  <c r="D21" s="1"/>
  <c r="AE23"/>
  <c r="AG23" s="1"/>
  <c r="D37" i="202"/>
  <c r="B37"/>
  <c r="B21" i="203" s="1"/>
  <c r="B67" s="1"/>
  <c r="C58" i="202"/>
  <c r="C28" i="203"/>
  <c r="C39" s="1"/>
  <c r="B31" i="204"/>
  <c r="D31" s="1"/>
  <c r="C60" i="202"/>
  <c r="C30" i="203"/>
  <c r="B23" i="202"/>
  <c r="B7" i="203" s="1"/>
  <c r="B28" i="202"/>
  <c r="B12" i="203" s="1"/>
  <c r="B58" s="1"/>
  <c r="D28" i="202"/>
  <c r="B29"/>
  <c r="B13" i="203" s="1"/>
  <c r="B59" s="1"/>
  <c r="D29" i="202"/>
  <c r="B34"/>
  <c r="B18" i="203" s="1"/>
  <c r="B64" s="1"/>
  <c r="D34" i="202"/>
  <c r="J6" i="203"/>
  <c r="L9"/>
  <c r="L55" s="1"/>
  <c r="D10"/>
  <c r="D56" s="1"/>
  <c r="D15"/>
  <c r="D61" s="1"/>
  <c r="I18"/>
  <c r="I64" s="1"/>
  <c r="D22"/>
  <c r="D68" s="1"/>
  <c r="G39"/>
  <c r="I39"/>
  <c r="K39"/>
  <c r="M39"/>
  <c r="O39"/>
  <c r="F36"/>
  <c r="H36"/>
  <c r="J36"/>
  <c r="L36"/>
  <c r="N36"/>
  <c r="AT13" i="202"/>
  <c r="AT12"/>
  <c r="AT10"/>
  <c r="AT9"/>
  <c r="AT7"/>
  <c r="AT5"/>
  <c r="AV13"/>
  <c r="AV7"/>
  <c r="AV5"/>
  <c r="AX13"/>
  <c r="AX12"/>
  <c r="AX10"/>
  <c r="AX9"/>
  <c r="AX7"/>
  <c r="AX5"/>
  <c r="AZ13"/>
  <c r="AZ7"/>
  <c r="AZ5"/>
  <c r="AS6"/>
  <c r="AS4"/>
  <c r="AS3"/>
  <c r="AU13"/>
  <c r="AU11"/>
  <c r="AU8"/>
  <c r="AU6"/>
  <c r="AU4"/>
  <c r="AU3"/>
  <c r="AW6"/>
  <c r="AW4"/>
  <c r="AW3"/>
  <c r="AY13"/>
  <c r="AY11"/>
  <c r="AY8"/>
  <c r="AY6"/>
  <c r="AY4"/>
  <c r="AY3"/>
  <c r="BA6"/>
  <c r="BA4"/>
  <c r="BA3"/>
  <c r="I53"/>
  <c r="I3" i="203"/>
  <c r="I32" s="1"/>
  <c r="C19" i="202"/>
  <c r="C3" i="203" s="1"/>
  <c r="K54" i="202"/>
  <c r="K3" i="203"/>
  <c r="K32" s="1"/>
  <c r="M54" i="202"/>
  <c r="M3" i="203"/>
  <c r="M34" s="1"/>
  <c r="D22" i="202"/>
  <c r="AH8" i="204"/>
  <c r="AJ8" s="1"/>
  <c r="O6" i="203"/>
  <c r="C22" i="202"/>
  <c r="C6" i="203" s="1"/>
  <c r="C11"/>
  <c r="C57" s="1"/>
  <c r="L56" i="202"/>
  <c r="Y13" i="204"/>
  <c r="AB16"/>
  <c r="AD16" s="1"/>
  <c r="M14" i="203"/>
  <c r="C30" i="202"/>
  <c r="C14" i="203" s="1"/>
  <c r="C60" s="1"/>
  <c r="O17"/>
  <c r="D33" i="202"/>
  <c r="B33"/>
  <c r="B17" i="203" s="1"/>
  <c r="B63" s="1"/>
  <c r="AH19" i="204"/>
  <c r="AJ19" s="1"/>
  <c r="F24" i="203"/>
  <c r="F70" s="1"/>
  <c r="C40" i="202"/>
  <c r="C24" i="203" s="1"/>
  <c r="C70" s="1"/>
  <c r="G26" i="204"/>
  <c r="I26" s="1"/>
  <c r="D27" i="203"/>
  <c r="D73" s="1"/>
  <c r="B29" i="204"/>
  <c r="D29" s="1"/>
  <c r="B46" i="202"/>
  <c r="B30" i="203" s="1"/>
  <c r="B44" i="202"/>
  <c r="B28" i="203" s="1"/>
  <c r="B39" s="1"/>
  <c r="W16" i="342"/>
  <c r="W18"/>
  <c r="W17"/>
  <c r="W19"/>
  <c r="F73" i="203"/>
  <c r="W26" i="342"/>
  <c r="W28"/>
  <c r="W27"/>
  <c r="W29"/>
  <c r="H73" i="203"/>
  <c r="W36" i="342"/>
  <c r="W38"/>
  <c r="W37"/>
  <c r="W39"/>
  <c r="J73" i="203"/>
  <c r="W46" i="342"/>
  <c r="W48"/>
  <c r="W47"/>
  <c r="W49"/>
  <c r="L73" i="203"/>
  <c r="W56" i="342"/>
  <c r="W58"/>
  <c r="W57"/>
  <c r="W59"/>
  <c r="N38" i="203"/>
  <c r="C9" i="202"/>
  <c r="AT4"/>
  <c r="AX4"/>
  <c r="AS7"/>
  <c r="AW7"/>
  <c r="BA7"/>
  <c r="AW8"/>
  <c r="AV9"/>
  <c r="C10"/>
  <c r="C13"/>
  <c r="B17"/>
  <c r="B19"/>
  <c r="B3" i="203" s="1"/>
  <c r="D19" i="202"/>
  <c r="D3" i="203" s="1"/>
  <c r="B21" i="202"/>
  <c r="B5" i="203" s="1"/>
  <c r="D25" i="202"/>
  <c r="C29"/>
  <c r="C13" i="203" s="1"/>
  <c r="C59" s="1"/>
  <c r="B30" i="202"/>
  <c r="B14" i="203" s="1"/>
  <c r="B60" s="1"/>
  <c r="D30" i="202"/>
  <c r="C37"/>
  <c r="C21" i="203" s="1"/>
  <c r="C67" s="1"/>
  <c r="B40" i="202"/>
  <c r="B24" i="203" s="1"/>
  <c r="B70" s="1"/>
  <c r="D40" i="202"/>
  <c r="C56"/>
  <c r="J5" i="203"/>
  <c r="J41" s="1"/>
  <c r="D7"/>
  <c r="L12"/>
  <c r="L58" s="1"/>
  <c r="D16"/>
  <c r="D62" s="1"/>
  <c r="D20"/>
  <c r="D66" s="1"/>
  <c r="N21"/>
  <c r="D26"/>
  <c r="D72" s="1"/>
  <c r="C29"/>
  <c r="W21" i="342"/>
  <c r="W23"/>
  <c r="W22"/>
  <c r="W24"/>
  <c r="W31"/>
  <c r="W33"/>
  <c r="W32"/>
  <c r="W34"/>
  <c r="W41"/>
  <c r="W43"/>
  <c r="W42"/>
  <c r="W44"/>
  <c r="W51"/>
  <c r="W53"/>
  <c r="W52"/>
  <c r="W54"/>
  <c r="W61"/>
  <c r="W63"/>
  <c r="W62"/>
  <c r="W64"/>
  <c r="G38" i="207"/>
  <c r="F44"/>
  <c r="H44"/>
  <c r="F46"/>
  <c r="H46"/>
  <c r="F38" i="208"/>
  <c r="H38"/>
  <c r="F40"/>
  <c r="H40"/>
  <c r="G45"/>
  <c r="G38" i="210"/>
  <c r="G40"/>
  <c r="F45"/>
  <c r="H45"/>
  <c r="F38" i="211"/>
  <c r="H38"/>
  <c r="F40"/>
  <c r="H40"/>
  <c r="G45"/>
  <c r="G38" i="212"/>
  <c r="G40"/>
  <c r="F45"/>
  <c r="H45"/>
  <c r="F38" i="213"/>
  <c r="H38"/>
  <c r="F40"/>
  <c r="H40"/>
  <c r="G45"/>
  <c r="D5" i="202"/>
  <c r="D15"/>
  <c r="D16"/>
  <c r="AU12"/>
  <c r="AW12"/>
  <c r="AY12"/>
  <c r="BA12"/>
  <c r="B18"/>
  <c r="D18"/>
  <c r="D20"/>
  <c r="D4" i="203" s="1"/>
  <c r="C21" i="202"/>
  <c r="C5" i="203" s="1"/>
  <c r="D24" i="202"/>
  <c r="C25"/>
  <c r="C9" i="203" s="1"/>
  <c r="C55" s="1"/>
  <c r="B27" i="202"/>
  <c r="B11" i="203" s="1"/>
  <c r="B57" s="1"/>
  <c r="D27" i="202"/>
  <c r="D55" s="1"/>
  <c r="B39"/>
  <c r="B23" i="203" s="1"/>
  <c r="B69" s="1"/>
  <c r="D39" i="202"/>
  <c r="B41"/>
  <c r="B25" i="203" s="1"/>
  <c r="B71" s="1"/>
  <c r="D41" i="202"/>
  <c r="D46"/>
  <c r="O3" i="203"/>
  <c r="O34" s="1"/>
  <c r="O4"/>
  <c r="K5"/>
  <c r="K41" s="1"/>
  <c r="K6"/>
  <c r="O8"/>
  <c r="O9"/>
  <c r="I11"/>
  <c r="I35" s="1"/>
  <c r="AH10" i="204"/>
  <c r="AJ10" s="1"/>
  <c r="N6" i="205"/>
  <c r="N7"/>
  <c r="N12"/>
  <c r="N13"/>
  <c r="N18"/>
  <c r="N19"/>
  <c r="N24"/>
  <c r="N25"/>
  <c r="N31"/>
  <c r="N36"/>
  <c r="N37"/>
  <c r="N42"/>
  <c r="N43"/>
  <c r="N48"/>
  <c r="N49"/>
  <c r="N54"/>
  <c r="N55"/>
  <c r="N60"/>
  <c r="N61"/>
  <c r="N66"/>
  <c r="N67"/>
  <c r="F38" i="207"/>
  <c r="H38"/>
  <c r="G39"/>
  <c r="F43"/>
  <c r="H43"/>
  <c r="G44"/>
  <c r="F45"/>
  <c r="H45"/>
  <c r="G46"/>
  <c r="G38" i="208"/>
  <c r="F39"/>
  <c r="H39"/>
  <c r="G40"/>
  <c r="F41"/>
  <c r="H41"/>
  <c r="G44"/>
  <c r="F45"/>
  <c r="H45"/>
  <c r="F38" i="210"/>
  <c r="H38"/>
  <c r="G39"/>
  <c r="F40"/>
  <c r="H40"/>
  <c r="G41"/>
  <c r="F44"/>
  <c r="H44"/>
  <c r="G45"/>
  <c r="G38" i="211"/>
  <c r="F39"/>
  <c r="H39"/>
  <c r="G40"/>
  <c r="F41"/>
  <c r="H41"/>
  <c r="G44"/>
  <c r="F45"/>
  <c r="H45"/>
  <c r="F38" i="212"/>
  <c r="H38"/>
  <c r="G39"/>
  <c r="F40"/>
  <c r="H40"/>
  <c r="G41"/>
  <c r="F44"/>
  <c r="H44"/>
  <c r="G45"/>
  <c r="G38" i="213"/>
  <c r="F39"/>
  <c r="H39"/>
  <c r="G40"/>
  <c r="F41"/>
  <c r="H41"/>
  <c r="G44"/>
  <c r="F45"/>
  <c r="H45"/>
  <c r="G42"/>
  <c r="F43"/>
  <c r="H43"/>
  <c r="F42"/>
  <c r="H42"/>
  <c r="G43"/>
  <c r="G42" i="212"/>
  <c r="F43"/>
  <c r="H43"/>
  <c r="F42"/>
  <c r="H42"/>
  <c r="G43"/>
  <c r="G42" i="211"/>
  <c r="F43"/>
  <c r="H43"/>
  <c r="F42"/>
  <c r="H42"/>
  <c r="G43"/>
  <c r="G42" i="210"/>
  <c r="F43"/>
  <c r="H43"/>
  <c r="F42"/>
  <c r="H42"/>
  <c r="G43"/>
  <c r="G42" i="208"/>
  <c r="F43"/>
  <c r="H43"/>
  <c r="F42"/>
  <c r="H42"/>
  <c r="G43"/>
  <c r="F40" i="207"/>
  <c r="H40"/>
  <c r="G41"/>
  <c r="F42"/>
  <c r="H42"/>
  <c r="G40"/>
  <c r="F41"/>
  <c r="H41"/>
  <c r="G42"/>
  <c r="N5" i="205"/>
  <c r="C8"/>
  <c r="E8"/>
  <c r="G8"/>
  <c r="I8"/>
  <c r="K8"/>
  <c r="M8"/>
  <c r="O8" s="1"/>
  <c r="B9"/>
  <c r="O9" s="1"/>
  <c r="D9"/>
  <c r="F9"/>
  <c r="H9"/>
  <c r="J9"/>
  <c r="L9"/>
  <c r="B14"/>
  <c r="O14" s="1"/>
  <c r="D14"/>
  <c r="F14"/>
  <c r="H14"/>
  <c r="J14"/>
  <c r="L14"/>
  <c r="C15"/>
  <c r="E15"/>
  <c r="G15"/>
  <c r="I15"/>
  <c r="K15"/>
  <c r="M15"/>
  <c r="O15" s="1"/>
  <c r="N17"/>
  <c r="C20"/>
  <c r="E20"/>
  <c r="G20"/>
  <c r="I20"/>
  <c r="K20"/>
  <c r="M20"/>
  <c r="O20" s="1"/>
  <c r="B21"/>
  <c r="O21" s="1"/>
  <c r="D21"/>
  <c r="F21"/>
  <c r="H21"/>
  <c r="J21"/>
  <c r="L21"/>
  <c r="B26"/>
  <c r="O26" s="1"/>
  <c r="D26"/>
  <c r="F26"/>
  <c r="H26"/>
  <c r="J26"/>
  <c r="L26"/>
  <c r="C27"/>
  <c r="E27"/>
  <c r="G27"/>
  <c r="I27"/>
  <c r="K27"/>
  <c r="M27"/>
  <c r="O27" s="1"/>
  <c r="N29"/>
  <c r="C32"/>
  <c r="E32"/>
  <c r="G32"/>
  <c r="I32"/>
  <c r="K32"/>
  <c r="M32"/>
  <c r="O32" s="1"/>
  <c r="B33"/>
  <c r="O33" s="1"/>
  <c r="D33"/>
  <c r="F33"/>
  <c r="H33"/>
  <c r="J33"/>
  <c r="L33"/>
  <c r="B38"/>
  <c r="O38" s="1"/>
  <c r="D38"/>
  <c r="F38"/>
  <c r="H38"/>
  <c r="J38"/>
  <c r="L38"/>
  <c r="C39"/>
  <c r="E39"/>
  <c r="G39"/>
  <c r="I39"/>
  <c r="K39"/>
  <c r="M39"/>
  <c r="O39" s="1"/>
  <c r="N41"/>
  <c r="C44"/>
  <c r="E44"/>
  <c r="G44"/>
  <c r="I44"/>
  <c r="K44"/>
  <c r="M44"/>
  <c r="O44" s="1"/>
  <c r="B45"/>
  <c r="O45" s="1"/>
  <c r="D45"/>
  <c r="F45"/>
  <c r="H45"/>
  <c r="J45"/>
  <c r="L45"/>
  <c r="B50"/>
  <c r="O50" s="1"/>
  <c r="D50"/>
  <c r="F50"/>
  <c r="H50"/>
  <c r="J50"/>
  <c r="L50"/>
  <c r="C51"/>
  <c r="E51"/>
  <c r="G51"/>
  <c r="I51"/>
  <c r="K51"/>
  <c r="M51"/>
  <c r="O51" s="1"/>
  <c r="N53"/>
  <c r="C56"/>
  <c r="E56"/>
  <c r="G56"/>
  <c r="I56"/>
  <c r="K56"/>
  <c r="M56"/>
  <c r="O56" s="1"/>
  <c r="B57"/>
  <c r="O57" s="1"/>
  <c r="D57"/>
  <c r="F57"/>
  <c r="H57"/>
  <c r="J57"/>
  <c r="L57"/>
  <c r="B62"/>
  <c r="O62" s="1"/>
  <c r="D62"/>
  <c r="F62"/>
  <c r="H62"/>
  <c r="J62"/>
  <c r="L62"/>
  <c r="C63"/>
  <c r="E63"/>
  <c r="G63"/>
  <c r="I63"/>
  <c r="K63"/>
  <c r="M63"/>
  <c r="O63" s="1"/>
  <c r="N65"/>
  <c r="C68"/>
  <c r="E68"/>
  <c r="G68"/>
  <c r="I68"/>
  <c r="K68"/>
  <c r="M68"/>
  <c r="O68" s="1"/>
  <c r="B69"/>
  <c r="O69" s="1"/>
  <c r="D69"/>
  <c r="F69"/>
  <c r="H69"/>
  <c r="J69"/>
  <c r="L69"/>
  <c r="N11"/>
  <c r="N23"/>
  <c r="N35"/>
  <c r="N47"/>
  <c r="N59"/>
  <c r="I36" i="204"/>
  <c r="L36"/>
  <c r="O36"/>
  <c r="AD36"/>
  <c r="AG36"/>
  <c r="I37"/>
  <c r="L34"/>
  <c r="O37"/>
  <c r="U32"/>
  <c r="X32"/>
  <c r="AA32"/>
  <c r="AD32"/>
  <c r="AG32"/>
  <c r="AJ32"/>
  <c r="G34"/>
  <c r="I34"/>
  <c r="M34"/>
  <c r="O34"/>
  <c r="S34"/>
  <c r="Y34"/>
  <c r="AE34"/>
  <c r="J35"/>
  <c r="L35"/>
  <c r="P35"/>
  <c r="V35"/>
  <c r="AB35"/>
  <c r="AH35"/>
  <c r="J37"/>
  <c r="L37"/>
  <c r="P37"/>
  <c r="V37"/>
  <c r="AB37"/>
  <c r="AH37"/>
  <c r="G35"/>
  <c r="I35"/>
  <c r="M35"/>
  <c r="O35"/>
  <c r="S35"/>
  <c r="Y35"/>
  <c r="AE35"/>
  <c r="G32" i="203"/>
  <c r="M32"/>
  <c r="C33"/>
  <c r="F33"/>
  <c r="H33"/>
  <c r="J33"/>
  <c r="N33"/>
  <c r="F34"/>
  <c r="H34"/>
  <c r="J34"/>
  <c r="B35"/>
  <c r="G35"/>
  <c r="K35"/>
  <c r="M35"/>
  <c r="O35"/>
  <c r="G37"/>
  <c r="K37"/>
  <c r="M37"/>
  <c r="O37"/>
  <c r="C38"/>
  <c r="F38"/>
  <c r="H38"/>
  <c r="J38"/>
  <c r="L38"/>
  <c r="C40"/>
  <c r="F40"/>
  <c r="H40"/>
  <c r="J40"/>
  <c r="L40"/>
  <c r="N40"/>
  <c r="G41"/>
  <c r="I41"/>
  <c r="M41"/>
  <c r="O41"/>
  <c r="B73"/>
  <c r="C32"/>
  <c r="F32"/>
  <c r="H32"/>
  <c r="J32"/>
  <c r="N32"/>
  <c r="G33"/>
  <c r="K33"/>
  <c r="E34"/>
  <c r="G34"/>
  <c r="K34"/>
  <c r="C35"/>
  <c r="F35"/>
  <c r="H35"/>
  <c r="J35"/>
  <c r="L35"/>
  <c r="N35"/>
  <c r="C37"/>
  <c r="F37"/>
  <c r="H37"/>
  <c r="J37"/>
  <c r="L37"/>
  <c r="N37"/>
  <c r="G38"/>
  <c r="I38"/>
  <c r="K38"/>
  <c r="B16" i="202"/>
  <c r="V15"/>
  <c r="B53"/>
  <c r="B60"/>
  <c r="D57"/>
  <c r="D60"/>
  <c r="D54"/>
  <c r="D59"/>
  <c r="B45"/>
  <c r="B29" i="203" s="1"/>
  <c r="B36" s="1"/>
  <c r="I48" i="202"/>
  <c r="K48"/>
  <c r="M48"/>
  <c r="F49"/>
  <c r="H49"/>
  <c r="J49"/>
  <c r="L49"/>
  <c r="N49"/>
  <c r="I50"/>
  <c r="K50"/>
  <c r="M50"/>
  <c r="C51"/>
  <c r="J51"/>
  <c r="L51"/>
  <c r="I52"/>
  <c r="K52"/>
  <c r="M52"/>
  <c r="O52"/>
  <c r="C53"/>
  <c r="J53"/>
  <c r="L53"/>
  <c r="J54"/>
  <c r="L54"/>
  <c r="C55"/>
  <c r="L55"/>
  <c r="D56"/>
  <c r="I56"/>
  <c r="C57"/>
  <c r="L57"/>
  <c r="D58"/>
  <c r="C59"/>
  <c r="C3"/>
  <c r="C49" s="1"/>
  <c r="AT8"/>
  <c r="AV8"/>
  <c r="AX8"/>
  <c r="AZ8"/>
  <c r="AS9"/>
  <c r="AU9"/>
  <c r="AW9"/>
  <c r="AY9"/>
  <c r="BA9"/>
  <c r="AS10"/>
  <c r="AU10"/>
  <c r="AW10"/>
  <c r="AY10"/>
  <c r="BA10"/>
  <c r="AT11"/>
  <c r="AV11"/>
  <c r="AX11"/>
  <c r="AZ11"/>
  <c r="AS12"/>
  <c r="B20"/>
  <c r="B4" i="203" s="1"/>
  <c r="B22" i="202"/>
  <c r="B6" i="203" s="1"/>
  <c r="B24" i="202"/>
  <c r="B8" i="203" s="1"/>
  <c r="B54" s="1"/>
  <c r="F48" i="202"/>
  <c r="H48"/>
  <c r="J48"/>
  <c r="L48"/>
  <c r="N48"/>
  <c r="B51"/>
  <c r="I51"/>
  <c r="K51"/>
  <c r="M51"/>
  <c r="O51"/>
  <c r="C52"/>
  <c r="K53"/>
  <c r="M53"/>
  <c r="O53"/>
  <c r="I54"/>
  <c r="I55"/>
  <c r="O32" i="203" l="1"/>
  <c r="B32"/>
  <c r="B37"/>
  <c r="M33"/>
  <c r="B41"/>
  <c r="O33"/>
  <c r="D28"/>
  <c r="D32" s="1"/>
  <c r="I34"/>
  <c r="I37"/>
  <c r="D53" i="202"/>
  <c r="B40" i="203"/>
  <c r="B38"/>
  <c r="D7" i="202"/>
  <c r="D33" i="203"/>
  <c r="D51" i="202"/>
  <c r="D12"/>
  <c r="B58"/>
  <c r="D52"/>
  <c r="B55"/>
  <c r="B54"/>
  <c r="B57"/>
  <c r="C34" i="203"/>
  <c r="I33"/>
  <c r="L32"/>
  <c r="L34"/>
  <c r="B34"/>
  <c r="C36"/>
  <c r="D38"/>
  <c r="C50" i="202"/>
  <c r="C48"/>
  <c r="D4"/>
  <c r="C54"/>
  <c r="R13" i="204"/>
  <c r="P36"/>
  <c r="D6" i="202"/>
  <c r="D13"/>
  <c r="B32" i="204"/>
  <c r="D30" i="203"/>
  <c r="B10" i="204"/>
  <c r="D10" s="1"/>
  <c r="D8" i="203"/>
  <c r="D54" s="1"/>
  <c r="B26" i="204"/>
  <c r="D26" s="1"/>
  <c r="D24" i="203"/>
  <c r="D70" s="1"/>
  <c r="B11" i="204"/>
  <c r="D11" s="1"/>
  <c r="D9" i="203"/>
  <c r="D55" s="1"/>
  <c r="AA13" i="204"/>
  <c r="AA36" s="1"/>
  <c r="Y36"/>
  <c r="AJ7"/>
  <c r="AJ36" s="1"/>
  <c r="AH34"/>
  <c r="AH36"/>
  <c r="D11" i="202"/>
  <c r="D8"/>
  <c r="C41" i="203"/>
  <c r="I57"/>
  <c r="I36"/>
  <c r="D25"/>
  <c r="D71" s="1"/>
  <c r="B27" i="204"/>
  <c r="D27" s="1"/>
  <c r="D23" i="203"/>
  <c r="D69" s="1"/>
  <c r="B25" i="204"/>
  <c r="D25" s="1"/>
  <c r="B13"/>
  <c r="D11" i="203"/>
  <c r="B16" i="204"/>
  <c r="D16" s="1"/>
  <c r="D14" i="203"/>
  <c r="D60" s="1"/>
  <c r="B19" i="204"/>
  <c r="D19" s="1"/>
  <c r="D17" i="203"/>
  <c r="D63" s="1"/>
  <c r="B8" i="204"/>
  <c r="D8" s="1"/>
  <c r="D6" i="203"/>
  <c r="B20" i="204"/>
  <c r="D20" s="1"/>
  <c r="D18" i="203"/>
  <c r="D64" s="1"/>
  <c r="B15" i="204"/>
  <c r="D15" s="1"/>
  <c r="D13" i="203"/>
  <c r="D59" s="1"/>
  <c r="B14" i="204"/>
  <c r="D14" s="1"/>
  <c r="D12" i="203"/>
  <c r="D58" s="1"/>
  <c r="D21"/>
  <c r="D67" s="1"/>
  <c r="B23" i="204"/>
  <c r="D23" s="1"/>
  <c r="B7"/>
  <c r="D7" s="1"/>
  <c r="D5" i="203"/>
  <c r="D10" i="202"/>
  <c r="B33" i="203"/>
  <c r="D3" i="202"/>
  <c r="D36" i="203"/>
  <c r="AG37" i="204"/>
  <c r="AG35"/>
  <c r="AG34"/>
  <c r="AA37"/>
  <c r="AA34"/>
  <c r="U37"/>
  <c r="U35"/>
  <c r="U34"/>
  <c r="AJ37"/>
  <c r="AJ35"/>
  <c r="AD34"/>
  <c r="AD37"/>
  <c r="AD35"/>
  <c r="X34"/>
  <c r="X37"/>
  <c r="X35"/>
  <c r="B59" i="202"/>
  <c r="B56"/>
  <c r="B52"/>
  <c r="D9"/>
  <c r="B15"/>
  <c r="V14"/>
  <c r="D39" i="203" l="1"/>
  <c r="AJ34" i="204"/>
  <c r="R36"/>
  <c r="R35"/>
  <c r="AA35"/>
  <c r="D57" i="203"/>
  <c r="D34"/>
  <c r="D35"/>
  <c r="D32" i="204"/>
  <c r="B34"/>
  <c r="B37"/>
  <c r="B35"/>
  <c r="D48" i="202"/>
  <c r="D50"/>
  <c r="D49"/>
  <c r="D13" i="204"/>
  <c r="D36" s="1"/>
  <c r="B36"/>
  <c r="D40" i="203"/>
  <c r="D37"/>
  <c r="D41"/>
  <c r="B14" i="202"/>
  <c r="V13"/>
  <c r="D34" i="204" l="1"/>
  <c r="D35"/>
  <c r="D37"/>
  <c r="B13" i="202"/>
  <c r="V12"/>
  <c r="B12" l="1"/>
  <c r="V11"/>
  <c r="B11" l="1"/>
  <c r="V10"/>
  <c r="V9" l="1"/>
  <c r="B10"/>
  <c r="B9" l="1"/>
  <c r="V8"/>
  <c r="B8" l="1"/>
  <c r="V7"/>
  <c r="B7" l="1"/>
  <c r="V6"/>
  <c r="B6" l="1"/>
  <c r="V5"/>
  <c r="B5" l="1"/>
  <c r="V4"/>
  <c r="B4" l="1"/>
  <c r="V3"/>
  <c r="B3" s="1"/>
  <c r="B50" l="1"/>
  <c r="B48"/>
  <c r="B49"/>
  <c r="W33" i="287" l="1"/>
  <c r="V33"/>
  <c r="U33"/>
  <c r="T33"/>
  <c r="S33"/>
  <c r="R33"/>
  <c r="Q33"/>
  <c r="F33" s="1"/>
  <c r="P33"/>
  <c r="O33"/>
  <c r="N33"/>
  <c r="M33"/>
  <c r="C33" s="1"/>
  <c r="L33"/>
  <c r="B33" s="1"/>
  <c r="B48" s="1"/>
  <c r="E33"/>
  <c r="E48" s="1"/>
  <c r="M32"/>
  <c r="L32"/>
  <c r="I32"/>
  <c r="H32"/>
  <c r="G32"/>
  <c r="F32"/>
  <c r="E32"/>
  <c r="D32"/>
  <c r="C32"/>
  <c r="B32"/>
  <c r="W31"/>
  <c r="V31"/>
  <c r="I31" s="1"/>
  <c r="U31"/>
  <c r="T31"/>
  <c r="S31"/>
  <c r="R31"/>
  <c r="Q31"/>
  <c r="F31" s="1"/>
  <c r="P31"/>
  <c r="E31" s="1"/>
  <c r="O31"/>
  <c r="N31"/>
  <c r="M31"/>
  <c r="C31" s="1"/>
  <c r="L31"/>
  <c r="B31" s="1"/>
  <c r="W30"/>
  <c r="V30"/>
  <c r="U30"/>
  <c r="T30"/>
  <c r="S30"/>
  <c r="R30"/>
  <c r="Q30"/>
  <c r="F30" s="1"/>
  <c r="P30"/>
  <c r="E30" s="1"/>
  <c r="O30"/>
  <c r="N30"/>
  <c r="M30"/>
  <c r="C30" s="1"/>
  <c r="L30"/>
  <c r="B30" s="1"/>
  <c r="W29"/>
  <c r="V29"/>
  <c r="U29"/>
  <c r="T29"/>
  <c r="S29"/>
  <c r="R29"/>
  <c r="Q29"/>
  <c r="F29" s="1"/>
  <c r="P29"/>
  <c r="E29" s="1"/>
  <c r="O29"/>
  <c r="N29"/>
  <c r="M29"/>
  <c r="C29" s="1"/>
  <c r="L29"/>
  <c r="B29" s="1"/>
  <c r="W28"/>
  <c r="V28"/>
  <c r="U28"/>
  <c r="T28"/>
  <c r="S28"/>
  <c r="R28"/>
  <c r="Q28"/>
  <c r="F28" s="1"/>
  <c r="P28"/>
  <c r="E28" s="1"/>
  <c r="O28"/>
  <c r="N28"/>
  <c r="M28"/>
  <c r="C28" s="1"/>
  <c r="L28"/>
  <c r="B28" s="1"/>
  <c r="W27"/>
  <c r="V27"/>
  <c r="U27"/>
  <c r="T27"/>
  <c r="S27"/>
  <c r="R27"/>
  <c r="Q27"/>
  <c r="F27" s="1"/>
  <c r="P27"/>
  <c r="E27" s="1"/>
  <c r="O27"/>
  <c r="N27"/>
  <c r="M27"/>
  <c r="C27" s="1"/>
  <c r="L27"/>
  <c r="B27" s="1"/>
  <c r="W26"/>
  <c r="V26"/>
  <c r="U26"/>
  <c r="T26"/>
  <c r="S26"/>
  <c r="R26"/>
  <c r="Q26"/>
  <c r="F26" s="1"/>
  <c r="P26"/>
  <c r="E26" s="1"/>
  <c r="O26"/>
  <c r="N26"/>
  <c r="M26"/>
  <c r="C26" s="1"/>
  <c r="L26"/>
  <c r="B26" s="1"/>
  <c r="W25"/>
  <c r="V25"/>
  <c r="U25"/>
  <c r="T25"/>
  <c r="S25"/>
  <c r="R25"/>
  <c r="Q25"/>
  <c r="F25" s="1"/>
  <c r="P25"/>
  <c r="E25" s="1"/>
  <c r="O25"/>
  <c r="N25"/>
  <c r="M25"/>
  <c r="C25" s="1"/>
  <c r="L25"/>
  <c r="B25" s="1"/>
  <c r="W24"/>
  <c r="V24"/>
  <c r="U24"/>
  <c r="T24"/>
  <c r="S24"/>
  <c r="R24"/>
  <c r="Q24"/>
  <c r="F24" s="1"/>
  <c r="P24"/>
  <c r="E24" s="1"/>
  <c r="O24"/>
  <c r="N24"/>
  <c r="M24"/>
  <c r="C24" s="1"/>
  <c r="L24"/>
  <c r="B24" s="1"/>
  <c r="W23"/>
  <c r="V23"/>
  <c r="U23"/>
  <c r="T23"/>
  <c r="S23"/>
  <c r="R23"/>
  <c r="Q23"/>
  <c r="F23" s="1"/>
  <c r="P23"/>
  <c r="E23" s="1"/>
  <c r="O23"/>
  <c r="N23"/>
  <c r="M23"/>
  <c r="C23" s="1"/>
  <c r="L23"/>
  <c r="B23" s="1"/>
  <c r="W22"/>
  <c r="V22"/>
  <c r="U22"/>
  <c r="T22"/>
  <c r="S22"/>
  <c r="R22"/>
  <c r="Q22"/>
  <c r="F22" s="1"/>
  <c r="P22"/>
  <c r="E22" s="1"/>
  <c r="O22"/>
  <c r="N22"/>
  <c r="M22"/>
  <c r="C22" s="1"/>
  <c r="L22"/>
  <c r="B22" s="1"/>
  <c r="W21"/>
  <c r="V21"/>
  <c r="U21"/>
  <c r="T21"/>
  <c r="S21"/>
  <c r="R21"/>
  <c r="Q21"/>
  <c r="F21" s="1"/>
  <c r="P21"/>
  <c r="E21" s="1"/>
  <c r="O21"/>
  <c r="N21"/>
  <c r="M21"/>
  <c r="C21" s="1"/>
  <c r="L21"/>
  <c r="B21" s="1"/>
  <c r="W20"/>
  <c r="V20"/>
  <c r="U20"/>
  <c r="T20"/>
  <c r="S20"/>
  <c r="R20"/>
  <c r="Q20"/>
  <c r="F20" s="1"/>
  <c r="P20"/>
  <c r="E20" s="1"/>
  <c r="O20"/>
  <c r="N20"/>
  <c r="M20"/>
  <c r="C20" s="1"/>
  <c r="L20"/>
  <c r="B20" s="1"/>
  <c r="W19"/>
  <c r="V19"/>
  <c r="U19"/>
  <c r="T19"/>
  <c r="S19"/>
  <c r="R19"/>
  <c r="Q19"/>
  <c r="F19" s="1"/>
  <c r="P19"/>
  <c r="E19" s="1"/>
  <c r="O19"/>
  <c r="N19"/>
  <c r="M19"/>
  <c r="C19" s="1"/>
  <c r="L19"/>
  <c r="B19" s="1"/>
  <c r="W18"/>
  <c r="V18"/>
  <c r="U18"/>
  <c r="T18"/>
  <c r="S18"/>
  <c r="R18"/>
  <c r="Q18"/>
  <c r="F18" s="1"/>
  <c r="P18"/>
  <c r="E18" s="1"/>
  <c r="O18"/>
  <c r="N18"/>
  <c r="M18"/>
  <c r="C18" s="1"/>
  <c r="L18"/>
  <c r="B18" s="1"/>
  <c r="W17"/>
  <c r="V17"/>
  <c r="U17"/>
  <c r="T17"/>
  <c r="S17"/>
  <c r="R17"/>
  <c r="Q17"/>
  <c r="F17" s="1"/>
  <c r="P17"/>
  <c r="E17" s="1"/>
  <c r="O17"/>
  <c r="N17"/>
  <c r="M17"/>
  <c r="C17" s="1"/>
  <c r="L17"/>
  <c r="B17" s="1"/>
  <c r="W16"/>
  <c r="V16"/>
  <c r="U16"/>
  <c r="T16"/>
  <c r="S16"/>
  <c r="R16"/>
  <c r="Q16"/>
  <c r="F16" s="1"/>
  <c r="P16"/>
  <c r="E16" s="1"/>
  <c r="O16"/>
  <c r="N16"/>
  <c r="M16"/>
  <c r="C16" s="1"/>
  <c r="L16"/>
  <c r="B16" s="1"/>
  <c r="W15"/>
  <c r="V15"/>
  <c r="U15"/>
  <c r="T15"/>
  <c r="S15"/>
  <c r="R15"/>
  <c r="Q15"/>
  <c r="F15" s="1"/>
  <c r="P15"/>
  <c r="E15" s="1"/>
  <c r="O15"/>
  <c r="N15"/>
  <c r="M15"/>
  <c r="L15"/>
  <c r="B15" s="1"/>
  <c r="C15"/>
  <c r="W14"/>
  <c r="V14"/>
  <c r="U14"/>
  <c r="T14"/>
  <c r="S14"/>
  <c r="R14"/>
  <c r="Q14"/>
  <c r="F14" s="1"/>
  <c r="P14"/>
  <c r="E14" s="1"/>
  <c r="O14"/>
  <c r="N14"/>
  <c r="M14"/>
  <c r="C14" s="1"/>
  <c r="L14"/>
  <c r="B14" s="1"/>
  <c r="W13"/>
  <c r="V13"/>
  <c r="U13"/>
  <c r="T13"/>
  <c r="S13"/>
  <c r="R13"/>
  <c r="Q13"/>
  <c r="F13" s="1"/>
  <c r="P13"/>
  <c r="E13" s="1"/>
  <c r="O13"/>
  <c r="N13"/>
  <c r="M13"/>
  <c r="C13" s="1"/>
  <c r="L13"/>
  <c r="B13" s="1"/>
  <c r="W12"/>
  <c r="V12"/>
  <c r="U12"/>
  <c r="T12"/>
  <c r="S12"/>
  <c r="R12"/>
  <c r="Q12"/>
  <c r="F12" s="1"/>
  <c r="P12"/>
  <c r="E12" s="1"/>
  <c r="O12"/>
  <c r="N12"/>
  <c r="M12"/>
  <c r="C12" s="1"/>
  <c r="L12"/>
  <c r="B12" s="1"/>
  <c r="W11"/>
  <c r="V11"/>
  <c r="U11"/>
  <c r="T11"/>
  <c r="S11"/>
  <c r="R11"/>
  <c r="Q11"/>
  <c r="F11" s="1"/>
  <c r="P11"/>
  <c r="E11" s="1"/>
  <c r="O11"/>
  <c r="N11"/>
  <c r="M11"/>
  <c r="C11" s="1"/>
  <c r="L11"/>
  <c r="B11" s="1"/>
  <c r="W10"/>
  <c r="V10"/>
  <c r="U10"/>
  <c r="T10"/>
  <c r="S10"/>
  <c r="R10"/>
  <c r="Q10"/>
  <c r="F10" s="1"/>
  <c r="P10"/>
  <c r="E10" s="1"/>
  <c r="O10"/>
  <c r="N10"/>
  <c r="M10"/>
  <c r="C10" s="1"/>
  <c r="L10"/>
  <c r="B10" s="1"/>
  <c r="W9"/>
  <c r="V9"/>
  <c r="U9"/>
  <c r="T9"/>
  <c r="S9"/>
  <c r="R9"/>
  <c r="Q9"/>
  <c r="F9" s="1"/>
  <c r="P9"/>
  <c r="E9" s="1"/>
  <c r="O9"/>
  <c r="N9"/>
  <c r="M9"/>
  <c r="L9"/>
  <c r="B9" s="1"/>
  <c r="C9"/>
  <c r="W8"/>
  <c r="V8"/>
  <c r="U8"/>
  <c r="T8"/>
  <c r="S8"/>
  <c r="R8"/>
  <c r="Q8"/>
  <c r="F8" s="1"/>
  <c r="P8"/>
  <c r="E8" s="1"/>
  <c r="O8"/>
  <c r="N8"/>
  <c r="M8"/>
  <c r="C8" s="1"/>
  <c r="L8"/>
  <c r="B8" s="1"/>
  <c r="W7"/>
  <c r="V7"/>
  <c r="U7"/>
  <c r="T7"/>
  <c r="S7"/>
  <c r="R7"/>
  <c r="Q7"/>
  <c r="F7" s="1"/>
  <c r="P7"/>
  <c r="E7" s="1"/>
  <c r="O7"/>
  <c r="N7"/>
  <c r="M7"/>
  <c r="L7"/>
  <c r="B7" s="1"/>
  <c r="C7"/>
  <c r="W6"/>
  <c r="V6"/>
  <c r="U6"/>
  <c r="T6"/>
  <c r="S6"/>
  <c r="R6"/>
  <c r="Q6"/>
  <c r="F6" s="1"/>
  <c r="P6"/>
  <c r="E6" s="1"/>
  <c r="O6"/>
  <c r="N6"/>
  <c r="M6"/>
  <c r="C6" s="1"/>
  <c r="L6"/>
  <c r="B6" s="1"/>
  <c r="B47" s="1"/>
  <c r="M28" i="111"/>
  <c r="B28"/>
  <c r="B27"/>
  <c r="B26"/>
  <c r="I30" i="457" s="1"/>
  <c r="B25" i="111"/>
  <c r="I29" i="457" s="1"/>
  <c r="B24" i="111"/>
  <c r="I28" i="457" s="1"/>
  <c r="B23" i="111"/>
  <c r="I27" i="457" s="1"/>
  <c r="B22" i="111"/>
  <c r="I26" i="457" s="1"/>
  <c r="B21" i="111"/>
  <c r="I25" i="457" s="1"/>
  <c r="B20" i="111"/>
  <c r="I24" i="457" s="1"/>
  <c r="B19" i="111"/>
  <c r="I23" i="457" s="1"/>
  <c r="B18" i="111"/>
  <c r="I22" i="457" s="1"/>
  <c r="B17" i="111"/>
  <c r="I21" i="457" s="1"/>
  <c r="B16" i="111"/>
  <c r="I20" i="457" s="1"/>
  <c r="B15" i="111"/>
  <c r="I19" i="457" s="1"/>
  <c r="B14" i="111"/>
  <c r="I18" i="457" s="1"/>
  <c r="B13" i="111"/>
  <c r="I17" i="457" s="1"/>
  <c r="B12" i="111"/>
  <c r="I16" i="457" s="1"/>
  <c r="B11" i="111"/>
  <c r="I15" i="457" s="1"/>
  <c r="B10" i="111"/>
  <c r="I14" i="457" s="1"/>
  <c r="B9" i="111"/>
  <c r="I13" i="457" s="1"/>
  <c r="B8" i="111"/>
  <c r="I12" i="457" s="1"/>
  <c r="B7" i="111"/>
  <c r="I11" i="457" s="1"/>
  <c r="B6" i="111"/>
  <c r="K5"/>
  <c r="K6" s="1"/>
  <c r="K7" s="1"/>
  <c r="K8" s="1"/>
  <c r="K9" s="1"/>
  <c r="K10" s="1"/>
  <c r="K11" s="1"/>
  <c r="K12" s="1"/>
  <c r="K13" s="1"/>
  <c r="K14" s="1"/>
  <c r="K15" s="1"/>
  <c r="K16" s="1"/>
  <c r="K17" s="1"/>
  <c r="K18" s="1"/>
  <c r="K19" s="1"/>
  <c r="K20" s="1"/>
  <c r="K21" s="1"/>
  <c r="K22" s="1"/>
  <c r="K23" s="1"/>
  <c r="K24" s="1"/>
  <c r="K25" s="1"/>
  <c r="B5"/>
  <c r="A5"/>
  <c r="A6" s="1"/>
  <c r="A7" s="1"/>
  <c r="A8" s="1"/>
  <c r="A9" s="1"/>
  <c r="A10" s="1"/>
  <c r="A11" s="1"/>
  <c r="A12" s="1"/>
  <c r="A13" s="1"/>
  <c r="A14" s="1"/>
  <c r="A15" s="1"/>
  <c r="A16" s="1"/>
  <c r="A17" s="1"/>
  <c r="A18" s="1"/>
  <c r="A19" s="1"/>
  <c r="A20" s="1"/>
  <c r="A21" s="1"/>
  <c r="A22" s="1"/>
  <c r="A23" s="1"/>
  <c r="B4"/>
  <c r="I8" i="457" s="1"/>
  <c r="I31" l="1"/>
  <c r="I30" i="287"/>
  <c r="J30" s="1"/>
  <c r="I29"/>
  <c r="I33"/>
  <c r="I48" s="1"/>
  <c r="C48"/>
  <c r="F48"/>
  <c r="I11"/>
  <c r="I22"/>
  <c r="I26"/>
  <c r="G27"/>
  <c r="K27" s="1"/>
  <c r="G28"/>
  <c r="I28"/>
  <c r="I8"/>
  <c r="I17"/>
  <c r="D33"/>
  <c r="D48" s="1"/>
  <c r="I14"/>
  <c r="G30"/>
  <c r="G33"/>
  <c r="G48" s="1"/>
  <c r="G29"/>
  <c r="G31"/>
  <c r="G7"/>
  <c r="I7"/>
  <c r="J7" s="1"/>
  <c r="I20"/>
  <c r="I21"/>
  <c r="J21" s="1"/>
  <c r="D22"/>
  <c r="G22"/>
  <c r="K22" s="1"/>
  <c r="I12"/>
  <c r="J12" s="1"/>
  <c r="G15"/>
  <c r="I18"/>
  <c r="G10"/>
  <c r="I10"/>
  <c r="J10" s="1"/>
  <c r="I16"/>
  <c r="J16" s="1"/>
  <c r="G19"/>
  <c r="G24"/>
  <c r="K24" s="1"/>
  <c r="I6"/>
  <c r="I15"/>
  <c r="D30"/>
  <c r="G9"/>
  <c r="K9" s="1"/>
  <c r="I9"/>
  <c r="G17"/>
  <c r="K17" s="1"/>
  <c r="G23"/>
  <c r="K23" s="1"/>
  <c r="I25"/>
  <c r="I39" s="1"/>
  <c r="D26"/>
  <c r="G26"/>
  <c r="G20"/>
  <c r="K20" s="1"/>
  <c r="G13"/>
  <c r="I13"/>
  <c r="D14"/>
  <c r="I19"/>
  <c r="J19" s="1"/>
  <c r="G21"/>
  <c r="I23"/>
  <c r="J23" s="1"/>
  <c r="I24"/>
  <c r="J24" s="1"/>
  <c r="G25"/>
  <c r="K25" s="1"/>
  <c r="I27"/>
  <c r="J27" s="1"/>
  <c r="G6"/>
  <c r="K6" s="1"/>
  <c r="G11"/>
  <c r="K11" s="1"/>
  <c r="G14"/>
  <c r="H33"/>
  <c r="H48" s="1"/>
  <c r="D8"/>
  <c r="G8"/>
  <c r="K8" s="1"/>
  <c r="D12"/>
  <c r="G12"/>
  <c r="K12" s="1"/>
  <c r="H12"/>
  <c r="G16"/>
  <c r="K16" s="1"/>
  <c r="D18"/>
  <c r="G18"/>
  <c r="K18" s="1"/>
  <c r="D19"/>
  <c r="H19"/>
  <c r="D7"/>
  <c r="D10"/>
  <c r="D24"/>
  <c r="D9"/>
  <c r="H9"/>
  <c r="D11"/>
  <c r="D15"/>
  <c r="H15"/>
  <c r="D21"/>
  <c r="H21"/>
  <c r="D23"/>
  <c r="D28"/>
  <c r="H28"/>
  <c r="B31" i="111"/>
  <c r="D6" i="287"/>
  <c r="D37" s="1"/>
  <c r="D17"/>
  <c r="H17"/>
  <c r="H26"/>
  <c r="H30"/>
  <c r="B30" i="111"/>
  <c r="I47" i="287"/>
  <c r="H6"/>
  <c r="K7"/>
  <c r="H8"/>
  <c r="H10"/>
  <c r="K13"/>
  <c r="H14"/>
  <c r="K15"/>
  <c r="D16"/>
  <c r="H16"/>
  <c r="H18"/>
  <c r="K19"/>
  <c r="D20"/>
  <c r="H20"/>
  <c r="K21"/>
  <c r="H22"/>
  <c r="H24"/>
  <c r="K29"/>
  <c r="C47"/>
  <c r="H7"/>
  <c r="K10"/>
  <c r="H11"/>
  <c r="D13"/>
  <c r="H13"/>
  <c r="H23"/>
  <c r="D25"/>
  <c r="D40" s="1"/>
  <c r="H25"/>
  <c r="H38" s="1"/>
  <c r="K26"/>
  <c r="D27"/>
  <c r="H27"/>
  <c r="K28"/>
  <c r="D29"/>
  <c r="H29"/>
  <c r="K30"/>
  <c r="D31"/>
  <c r="D44" s="1"/>
  <c r="H31"/>
  <c r="F35"/>
  <c r="F46"/>
  <c r="F38"/>
  <c r="F44"/>
  <c r="C35"/>
  <c r="E35"/>
  <c r="G35"/>
  <c r="C38"/>
  <c r="E38"/>
  <c r="G38"/>
  <c r="I38"/>
  <c r="C44"/>
  <c r="E44"/>
  <c r="C45"/>
  <c r="E45"/>
  <c r="G45"/>
  <c r="C40"/>
  <c r="E40"/>
  <c r="I40"/>
  <c r="J8"/>
  <c r="J9"/>
  <c r="J11"/>
  <c r="J13"/>
  <c r="J14"/>
  <c r="R34"/>
  <c r="J15"/>
  <c r="J17"/>
  <c r="J18"/>
  <c r="J20"/>
  <c r="J22"/>
  <c r="B38"/>
  <c r="R35"/>
  <c r="J26"/>
  <c r="J28"/>
  <c r="J29"/>
  <c r="R43"/>
  <c r="R44"/>
  <c r="J31"/>
  <c r="B46"/>
  <c r="K14"/>
  <c r="K31"/>
  <c r="K32"/>
  <c r="K33"/>
  <c r="B35"/>
  <c r="B36"/>
  <c r="F36"/>
  <c r="H36"/>
  <c r="R36"/>
  <c r="C37"/>
  <c r="E37"/>
  <c r="I37"/>
  <c r="R37"/>
  <c r="R38"/>
  <c r="C39"/>
  <c r="E39"/>
  <c r="B40"/>
  <c r="F40"/>
  <c r="B44"/>
  <c r="B45"/>
  <c r="F45"/>
  <c r="C46"/>
  <c r="E46"/>
  <c r="G46"/>
  <c r="R46"/>
  <c r="E47"/>
  <c r="G47"/>
  <c r="R47"/>
  <c r="J6"/>
  <c r="J25"/>
  <c r="J38" s="1"/>
  <c r="J32"/>
  <c r="J33"/>
  <c r="J48" s="1"/>
  <c r="C36"/>
  <c r="E36"/>
  <c r="G36"/>
  <c r="B37"/>
  <c r="F37"/>
  <c r="B39"/>
  <c r="F39"/>
  <c r="F47"/>
  <c r="H39" l="1"/>
  <c r="H35"/>
  <c r="D35"/>
  <c r="H44"/>
  <c r="G44"/>
  <c r="D38"/>
  <c r="H47"/>
  <c r="D39"/>
  <c r="H37"/>
  <c r="H45"/>
  <c r="H40"/>
  <c r="G40"/>
  <c r="H46"/>
  <c r="I35"/>
  <c r="E49"/>
  <c r="E50" s="1"/>
  <c r="J49"/>
  <c r="D46"/>
  <c r="D49"/>
  <c r="D47"/>
  <c r="I46"/>
  <c r="D45"/>
  <c r="G39"/>
  <c r="G37"/>
  <c r="D36"/>
  <c r="I45"/>
  <c r="I44"/>
  <c r="J46"/>
  <c r="J37"/>
  <c r="J40"/>
  <c r="J35"/>
  <c r="H49"/>
  <c r="H50" s="1"/>
  <c r="J39"/>
  <c r="J36"/>
  <c r="J45"/>
  <c r="J47"/>
  <c r="J44"/>
  <c r="R48"/>
  <c r="R49" s="1"/>
  <c r="F49"/>
  <c r="F50" s="1"/>
  <c r="G49"/>
  <c r="G50" s="1"/>
  <c r="D50" l="1"/>
  <c r="J50"/>
  <c r="D51" l="1"/>
  <c r="F51"/>
  <c r="H51"/>
  <c r="J51"/>
  <c r="E51"/>
  <c r="G51"/>
  <c r="R50"/>
  <c r="W16" i="340" l="1"/>
  <c r="W18"/>
  <c r="W18" i="343" s="1"/>
  <c r="W19" i="340"/>
  <c r="W19" i="343" s="1"/>
  <c r="W21" i="340"/>
  <c r="W23"/>
  <c r="W23" i="343" s="1"/>
  <c r="W24" i="340"/>
  <c r="W24" i="343" s="1"/>
  <c r="W26" i="340"/>
  <c r="W28"/>
  <c r="W28" i="343" s="1"/>
  <c r="W29" i="340"/>
  <c r="W29" i="343" s="1"/>
  <c r="W31" i="340"/>
  <c r="W33"/>
  <c r="W33" i="343" s="1"/>
  <c r="W34" i="340"/>
  <c r="W34" i="343" s="1"/>
  <c r="W36" i="340"/>
  <c r="W38"/>
  <c r="W38" i="343" s="1"/>
  <c r="W39" i="340"/>
  <c r="W39" i="343" s="1"/>
  <c r="W41" i="340"/>
  <c r="W43"/>
  <c r="W43" i="343" s="1"/>
  <c r="W44" i="340"/>
  <c r="W44" i="343" s="1"/>
  <c r="W46" i="340"/>
  <c r="W48"/>
  <c r="W48" i="343" s="1"/>
  <c r="W49" i="340"/>
  <c r="W49" i="343" s="1"/>
  <c r="W51" i="340"/>
  <c r="W53"/>
  <c r="W53" i="343" s="1"/>
  <c r="W54" i="340"/>
  <c r="W54" i="343" s="1"/>
  <c r="W56" i="340"/>
  <c r="W58"/>
  <c r="W58" i="343" s="1"/>
  <c r="W59" i="340"/>
  <c r="W59" i="343" s="1"/>
  <c r="W61" i="340"/>
  <c r="W63"/>
  <c r="W63" i="343" s="1"/>
  <c r="W64" i="340"/>
  <c r="W64" i="343" s="1"/>
  <c r="AB64" i="354"/>
  <c r="AA64"/>
  <c r="AB63"/>
  <c r="AA63"/>
  <c r="AB62"/>
  <c r="AA62"/>
  <c r="AB61"/>
  <c r="AA61"/>
  <c r="AB59"/>
  <c r="AA59"/>
  <c r="AB58"/>
  <c r="AA58"/>
  <c r="AB57"/>
  <c r="AA57"/>
  <c r="AB56"/>
  <c r="AA56"/>
  <c r="AB54"/>
  <c r="AA54"/>
  <c r="AB53"/>
  <c r="AA53"/>
  <c r="AB52"/>
  <c r="AA52"/>
  <c r="AB51"/>
  <c r="AA51"/>
  <c r="AB49"/>
  <c r="AA49"/>
  <c r="AB48"/>
  <c r="AA48"/>
  <c r="AB47"/>
  <c r="AA47"/>
  <c r="AB46"/>
  <c r="AA46"/>
  <c r="AB44"/>
  <c r="AA44"/>
  <c r="AB43"/>
  <c r="AA43"/>
  <c r="AB42"/>
  <c r="AA42"/>
  <c r="AB41"/>
  <c r="AA41"/>
  <c r="AB39"/>
  <c r="AA39"/>
  <c r="AB38"/>
  <c r="AA38"/>
  <c r="AB37"/>
  <c r="AA37"/>
  <c r="AB36"/>
  <c r="AA36"/>
  <c r="AB34"/>
  <c r="AA34"/>
  <c r="AB33"/>
  <c r="AA33"/>
  <c r="AB32"/>
  <c r="AA32"/>
  <c r="AB31"/>
  <c r="AA31"/>
  <c r="AB29"/>
  <c r="AA29"/>
  <c r="AB28"/>
  <c r="AA28"/>
  <c r="AB27"/>
  <c r="AA27"/>
  <c r="AB26"/>
  <c r="AA26"/>
  <c r="AB24"/>
  <c r="AA24"/>
  <c r="AB23"/>
  <c r="AA23"/>
  <c r="AB22"/>
  <c r="AA22"/>
  <c r="AB21"/>
  <c r="AA21"/>
  <c r="AB19"/>
  <c r="AA19"/>
  <c r="AB18"/>
  <c r="AA18"/>
  <c r="AB17"/>
  <c r="AA17"/>
  <c r="AB16"/>
  <c r="AA16"/>
  <c r="AA64" i="353"/>
  <c r="AA63"/>
  <c r="AA62"/>
  <c r="AA61"/>
  <c r="AA59"/>
  <c r="AA58"/>
  <c r="AA57"/>
  <c r="AA56"/>
  <c r="AA54"/>
  <c r="AA53"/>
  <c r="AA52"/>
  <c r="AA51"/>
  <c r="AA49"/>
  <c r="AA48"/>
  <c r="AA47"/>
  <c r="AA46"/>
  <c r="AA44"/>
  <c r="AA43"/>
  <c r="AA42"/>
  <c r="AA41"/>
  <c r="AA39"/>
  <c r="AA38"/>
  <c r="AA37"/>
  <c r="AA36"/>
  <c r="AA34"/>
  <c r="AA33"/>
  <c r="AA32"/>
  <c r="AA31"/>
  <c r="AA29"/>
  <c r="AA28"/>
  <c r="AA27"/>
  <c r="AA26"/>
  <c r="AA24"/>
  <c r="AA23"/>
  <c r="AA22"/>
  <c r="AA21"/>
  <c r="AA19"/>
  <c r="AA18"/>
  <c r="AA17"/>
  <c r="AA16"/>
  <c r="AD64"/>
  <c r="AD63"/>
  <c r="AD62"/>
  <c r="AD61"/>
  <c r="AD59"/>
  <c r="AD58"/>
  <c r="AD57"/>
  <c r="AD56"/>
  <c r="AD54"/>
  <c r="AD53"/>
  <c r="AD52"/>
  <c r="AD51"/>
  <c r="AD49"/>
  <c r="AD48"/>
  <c r="AD47"/>
  <c r="AD46"/>
  <c r="AD44"/>
  <c r="AD43"/>
  <c r="AD42"/>
  <c r="AD41"/>
  <c r="AD39"/>
  <c r="AD38"/>
  <c r="AD37"/>
  <c r="AD36"/>
  <c r="AD34"/>
  <c r="AD33"/>
  <c r="AD32"/>
  <c r="AD31"/>
  <c r="AD29"/>
  <c r="AD28"/>
  <c r="AD27"/>
  <c r="AD26"/>
  <c r="AD24"/>
  <c r="AD23"/>
  <c r="AD22"/>
  <c r="AD21"/>
  <c r="AD19"/>
  <c r="AD18"/>
  <c r="AD17"/>
  <c r="AD16"/>
  <c r="AB16"/>
  <c r="AB64"/>
  <c r="AB63"/>
  <c r="AB62"/>
  <c r="AB61"/>
  <c r="AB59"/>
  <c r="AB58"/>
  <c r="AB57"/>
  <c r="AB56"/>
  <c r="AB54"/>
  <c r="AB53"/>
  <c r="AB52"/>
  <c r="AB51"/>
  <c r="AB49"/>
  <c r="AB48"/>
  <c r="AB47"/>
  <c r="AB46"/>
  <c r="AB44"/>
  <c r="AB43"/>
  <c r="AB42"/>
  <c r="AB41"/>
  <c r="AB39"/>
  <c r="AB38"/>
  <c r="AB37"/>
  <c r="AB36"/>
  <c r="AB34"/>
  <c r="AB33"/>
  <c r="AB32"/>
  <c r="AB31"/>
  <c r="AB29"/>
  <c r="AB28"/>
  <c r="AB27"/>
  <c r="AB26"/>
  <c r="AB24"/>
  <c r="AB23"/>
  <c r="AB22"/>
  <c r="AB21"/>
  <c r="AB19"/>
  <c r="AB18"/>
  <c r="AB17"/>
  <c r="B7" i="288"/>
  <c r="C7"/>
  <c r="D7"/>
  <c r="E7"/>
  <c r="F7"/>
  <c r="B8"/>
  <c r="C8"/>
  <c r="D8"/>
  <c r="E8"/>
  <c r="F8"/>
  <c r="B9"/>
  <c r="C9"/>
  <c r="D9"/>
  <c r="E9"/>
  <c r="F9"/>
  <c r="B10"/>
  <c r="C10"/>
  <c r="D10"/>
  <c r="E10"/>
  <c r="F10"/>
  <c r="B11"/>
  <c r="C11"/>
  <c r="D11"/>
  <c r="E11"/>
  <c r="F11"/>
  <c r="B12"/>
  <c r="C12"/>
  <c r="D12"/>
  <c r="E12"/>
  <c r="F12"/>
  <c r="B13"/>
  <c r="C13"/>
  <c r="D13"/>
  <c r="E13"/>
  <c r="F13"/>
  <c r="B14"/>
  <c r="C14"/>
  <c r="D14"/>
  <c r="E14"/>
  <c r="F14"/>
  <c r="B15"/>
  <c r="C15"/>
  <c r="D15"/>
  <c r="E15"/>
  <c r="F15"/>
  <c r="B16"/>
  <c r="C16"/>
  <c r="D16"/>
  <c r="E16"/>
  <c r="F16"/>
  <c r="B17"/>
  <c r="C17"/>
  <c r="D17"/>
  <c r="E17"/>
  <c r="F17"/>
  <c r="B18"/>
  <c r="C18"/>
  <c r="D18"/>
  <c r="E18"/>
  <c r="F18"/>
  <c r="B19"/>
  <c r="C19"/>
  <c r="D19"/>
  <c r="E19"/>
  <c r="F19"/>
  <c r="B20"/>
  <c r="C20"/>
  <c r="D20"/>
  <c r="E20"/>
  <c r="F20"/>
  <c r="B21"/>
  <c r="C21"/>
  <c r="D21"/>
  <c r="E21"/>
  <c r="F21"/>
  <c r="B22"/>
  <c r="C22"/>
  <c r="D22"/>
  <c r="E22"/>
  <c r="F22"/>
  <c r="B23"/>
  <c r="C23"/>
  <c r="D23"/>
  <c r="E23"/>
  <c r="F23"/>
  <c r="B24"/>
  <c r="C24"/>
  <c r="D24"/>
  <c r="E24"/>
  <c r="F24"/>
  <c r="B25"/>
  <c r="C25"/>
  <c r="D25"/>
  <c r="E25"/>
  <c r="F25"/>
  <c r="B26"/>
  <c r="C26"/>
  <c r="D26"/>
  <c r="E26"/>
  <c r="F26"/>
  <c r="B27"/>
  <c r="C27"/>
  <c r="D27"/>
  <c r="E27"/>
  <c r="F27"/>
  <c r="B28"/>
  <c r="C28"/>
  <c r="D28"/>
  <c r="E28"/>
  <c r="F28"/>
  <c r="B29"/>
  <c r="C29"/>
  <c r="D29"/>
  <c r="E29"/>
  <c r="F29"/>
  <c r="B30"/>
  <c r="C30"/>
  <c r="D30"/>
  <c r="E30"/>
  <c r="F30"/>
  <c r="B31"/>
  <c r="C31"/>
  <c r="D31"/>
  <c r="E31"/>
  <c r="F31"/>
  <c r="B32"/>
  <c r="B48" s="1"/>
  <c r="C32"/>
  <c r="D32"/>
  <c r="E32"/>
  <c r="F32"/>
  <c r="B33"/>
  <c r="C33"/>
  <c r="D33"/>
  <c r="E33"/>
  <c r="F33"/>
  <c r="W61" i="343" l="1"/>
  <c r="W62" s="1"/>
  <c r="W56"/>
  <c r="W57" s="1"/>
  <c r="W51"/>
  <c r="W52" s="1"/>
  <c r="W46"/>
  <c r="W47" s="1"/>
  <c r="W41"/>
  <c r="W42" s="1"/>
  <c r="W36"/>
  <c r="W37" s="1"/>
  <c r="W31"/>
  <c r="W32" s="1"/>
  <c r="W26"/>
  <c r="W27" s="1"/>
  <c r="W21"/>
  <c r="W22" s="1"/>
  <c r="W16"/>
  <c r="W17" s="1"/>
  <c r="G7" i="288"/>
  <c r="G9"/>
  <c r="G8"/>
  <c r="G10"/>
  <c r="G13"/>
  <c r="G12"/>
  <c r="G33"/>
  <c r="G31"/>
  <c r="G29"/>
  <c r="G27"/>
  <c r="G25"/>
  <c r="G23"/>
  <c r="G21"/>
  <c r="G19"/>
  <c r="G17"/>
  <c r="G15"/>
  <c r="C49"/>
  <c r="E49"/>
  <c r="G32"/>
  <c r="G30"/>
  <c r="G28"/>
  <c r="G26"/>
  <c r="G24"/>
  <c r="G22"/>
  <c r="G20"/>
  <c r="G18"/>
  <c r="G16"/>
  <c r="G14"/>
  <c r="G11"/>
  <c r="B49"/>
  <c r="D49"/>
  <c r="F49"/>
  <c r="G49" l="1"/>
  <c r="F6"/>
  <c r="E6"/>
  <c r="D6"/>
  <c r="C6"/>
  <c r="B6"/>
  <c r="H33"/>
  <c r="B39" l="1"/>
  <c r="B43"/>
  <c r="B40"/>
  <c r="B37"/>
  <c r="B36"/>
  <c r="B42"/>
  <c r="D40"/>
  <c r="D37"/>
  <c r="D43"/>
  <c r="F40"/>
  <c r="F37"/>
  <c r="F43"/>
  <c r="C40"/>
  <c r="C43"/>
  <c r="C37"/>
  <c r="E40"/>
  <c r="E43"/>
  <c r="E37"/>
  <c r="CT47" i="467"/>
  <c r="CN47"/>
  <c r="CK47"/>
  <c r="CE47"/>
  <c r="CB47"/>
  <c r="BV47"/>
  <c r="BS47"/>
  <c r="BM47"/>
  <c r="BJ47"/>
  <c r="BD47"/>
  <c r="BA47"/>
  <c r="AU47"/>
  <c r="AR47"/>
  <c r="AL47"/>
  <c r="AI47"/>
  <c r="AC47"/>
  <c r="Z47"/>
  <c r="T47"/>
  <c r="Q47"/>
  <c r="K47"/>
  <c r="H47"/>
  <c r="B47"/>
  <c r="CR44"/>
  <c r="CR45" s="1"/>
  <c r="CI44"/>
  <c r="CI45" s="1"/>
  <c r="BZ44"/>
  <c r="BZ45" s="1"/>
  <c r="BQ44"/>
  <c r="BQ45" s="1"/>
  <c r="BH44"/>
  <c r="BH45" s="1"/>
  <c r="AY44"/>
  <c r="AY45" s="1"/>
  <c r="AP44"/>
  <c r="AP45" s="1"/>
  <c r="AG44"/>
  <c r="AG45" s="1"/>
  <c r="X44"/>
  <c r="X45" s="1"/>
  <c r="O44"/>
  <c r="O45" s="1"/>
  <c r="F44"/>
  <c r="F45" s="1"/>
  <c r="CP41"/>
  <c r="CG41"/>
  <c r="BX41"/>
  <c r="BO41"/>
  <c r="BF41"/>
  <c r="AW41"/>
  <c r="AN41"/>
  <c r="AE41"/>
  <c r="V41"/>
  <c r="M41"/>
  <c r="D41"/>
  <c r="CV40"/>
  <c r="CU40" s="1"/>
  <c r="CM40"/>
  <c r="CL40" s="1"/>
  <c r="CD40"/>
  <c r="BW40" s="1"/>
  <c r="BU40"/>
  <c r="BT40" s="1"/>
  <c r="BL40"/>
  <c r="BE40" s="1"/>
  <c r="BC40"/>
  <c r="BB40" s="1"/>
  <c r="AT40"/>
  <c r="AS40" s="1"/>
  <c r="AK40"/>
  <c r="AJ40" s="1"/>
  <c r="AB40"/>
  <c r="AA40" s="1"/>
  <c r="S40"/>
  <c r="R40" s="1"/>
  <c r="J40"/>
  <c r="I40" s="1"/>
  <c r="CV39"/>
  <c r="CU39" s="1"/>
  <c r="CM39"/>
  <c r="CL39" s="1"/>
  <c r="CD39"/>
  <c r="CC39" s="1"/>
  <c r="BU39"/>
  <c r="BT39" s="1"/>
  <c r="BL39"/>
  <c r="BK39" s="1"/>
  <c r="BC39"/>
  <c r="BB39" s="1"/>
  <c r="AT39"/>
  <c r="AS39" s="1"/>
  <c r="AK39"/>
  <c r="AJ39" s="1"/>
  <c r="AB39"/>
  <c r="AA39" s="1"/>
  <c r="S39"/>
  <c r="R39" s="1"/>
  <c r="J39"/>
  <c r="I39" s="1"/>
  <c r="CV38"/>
  <c r="CU38" s="1"/>
  <c r="CM38"/>
  <c r="CL38" s="1"/>
  <c r="CD38"/>
  <c r="CC38" s="1"/>
  <c r="BU38"/>
  <c r="BT38" s="1"/>
  <c r="BL38"/>
  <c r="BK38" s="1"/>
  <c r="BC38"/>
  <c r="BB38" s="1"/>
  <c r="AT38"/>
  <c r="AS38" s="1"/>
  <c r="AK38"/>
  <c r="AJ38" s="1"/>
  <c r="AB38"/>
  <c r="AA38" s="1"/>
  <c r="S38"/>
  <c r="R38" s="1"/>
  <c r="J38"/>
  <c r="I38" s="1"/>
  <c r="CV37"/>
  <c r="CU37" s="1"/>
  <c r="CM37"/>
  <c r="CL37" s="1"/>
  <c r="CD37"/>
  <c r="CC37" s="1"/>
  <c r="BU37"/>
  <c r="BT37" s="1"/>
  <c r="BL37"/>
  <c r="BK37" s="1"/>
  <c r="BC37"/>
  <c r="BB37" s="1"/>
  <c r="AT37"/>
  <c r="AS37" s="1"/>
  <c r="AK37"/>
  <c r="AJ37" s="1"/>
  <c r="AB37"/>
  <c r="AA37" s="1"/>
  <c r="S37"/>
  <c r="R37" s="1"/>
  <c r="J37"/>
  <c r="I37" s="1"/>
  <c r="CV36"/>
  <c r="CU36" s="1"/>
  <c r="CM36"/>
  <c r="CL36" s="1"/>
  <c r="CD36"/>
  <c r="CC36" s="1"/>
  <c r="BU36"/>
  <c r="BT36" s="1"/>
  <c r="BL36"/>
  <c r="BK36" s="1"/>
  <c r="BC36"/>
  <c r="BB36" s="1"/>
  <c r="AT36"/>
  <c r="AS36" s="1"/>
  <c r="AK36"/>
  <c r="AJ36" s="1"/>
  <c r="AB36"/>
  <c r="AA36" s="1"/>
  <c r="S36"/>
  <c r="R36" s="1"/>
  <c r="J36"/>
  <c r="I36" s="1"/>
  <c r="CV35"/>
  <c r="CU35" s="1"/>
  <c r="CM35"/>
  <c r="CL35" s="1"/>
  <c r="CD35"/>
  <c r="CC35" s="1"/>
  <c r="BU35"/>
  <c r="BT35" s="1"/>
  <c r="BL35"/>
  <c r="BK35" s="1"/>
  <c r="BC35"/>
  <c r="BB35" s="1"/>
  <c r="AT35"/>
  <c r="AS35" s="1"/>
  <c r="AK35"/>
  <c r="AJ35" s="1"/>
  <c r="AB35"/>
  <c r="AA35" s="1"/>
  <c r="S35"/>
  <c r="R35" s="1"/>
  <c r="J35"/>
  <c r="I35" s="1"/>
  <c r="CV34"/>
  <c r="CU34" s="1"/>
  <c r="CM34"/>
  <c r="CL34" s="1"/>
  <c r="CD34"/>
  <c r="CC34" s="1"/>
  <c r="BU34"/>
  <c r="BT34" s="1"/>
  <c r="BL34"/>
  <c r="BK34" s="1"/>
  <c r="BC34"/>
  <c r="BB34" s="1"/>
  <c r="AT34"/>
  <c r="AS34" s="1"/>
  <c r="AK34"/>
  <c r="AJ34" s="1"/>
  <c r="AB34"/>
  <c r="AA34" s="1"/>
  <c r="S34"/>
  <c r="R34" s="1"/>
  <c r="J34"/>
  <c r="I34" s="1"/>
  <c r="CV33"/>
  <c r="CU33" s="1"/>
  <c r="CM33"/>
  <c r="CL33" s="1"/>
  <c r="CD33"/>
  <c r="CC33" s="1"/>
  <c r="BU33"/>
  <c r="BT33" s="1"/>
  <c r="BL33"/>
  <c r="BK33" s="1"/>
  <c r="BC33"/>
  <c r="BB33" s="1"/>
  <c r="AT33"/>
  <c r="AS33" s="1"/>
  <c r="AK33"/>
  <c r="AJ33" s="1"/>
  <c r="AB33"/>
  <c r="AA33" s="1"/>
  <c r="S33"/>
  <c r="R33" s="1"/>
  <c r="J33"/>
  <c r="I33" s="1"/>
  <c r="CV32"/>
  <c r="CU32" s="1"/>
  <c r="CM32"/>
  <c r="CL32" s="1"/>
  <c r="CD32"/>
  <c r="CC32" s="1"/>
  <c r="BU32"/>
  <c r="BT32" s="1"/>
  <c r="BL32"/>
  <c r="BK32" s="1"/>
  <c r="BC32"/>
  <c r="BB32" s="1"/>
  <c r="AT32"/>
  <c r="AS32" s="1"/>
  <c r="AK32"/>
  <c r="AJ32" s="1"/>
  <c r="AB32"/>
  <c r="AA32" s="1"/>
  <c r="S32"/>
  <c r="R32" s="1"/>
  <c r="J32"/>
  <c r="I32" s="1"/>
  <c r="CV31"/>
  <c r="CU31" s="1"/>
  <c r="CM31"/>
  <c r="CL31" s="1"/>
  <c r="CD31"/>
  <c r="CC31" s="1"/>
  <c r="BU31"/>
  <c r="BT31" s="1"/>
  <c r="BL31"/>
  <c r="BK31" s="1"/>
  <c r="BC31"/>
  <c r="BB31" s="1"/>
  <c r="AT31"/>
  <c r="AS31" s="1"/>
  <c r="AK31"/>
  <c r="AJ31" s="1"/>
  <c r="AB31"/>
  <c r="AA31" s="1"/>
  <c r="S31"/>
  <c r="R31" s="1"/>
  <c r="J31"/>
  <c r="I31" s="1"/>
  <c r="CV30"/>
  <c r="CU30" s="1"/>
  <c r="CM30"/>
  <c r="CL30" s="1"/>
  <c r="CD30"/>
  <c r="CC30" s="1"/>
  <c r="BU30"/>
  <c r="BT30" s="1"/>
  <c r="BL30"/>
  <c r="BK30" s="1"/>
  <c r="BC30"/>
  <c r="BB30" s="1"/>
  <c r="AT30"/>
  <c r="AS30" s="1"/>
  <c r="AK30"/>
  <c r="AJ30" s="1"/>
  <c r="AB30"/>
  <c r="AA30" s="1"/>
  <c r="S30"/>
  <c r="R30" s="1"/>
  <c r="J30"/>
  <c r="I30" s="1"/>
  <c r="CV29"/>
  <c r="CU29" s="1"/>
  <c r="CM29"/>
  <c r="CL29" s="1"/>
  <c r="CD29"/>
  <c r="CC29" s="1"/>
  <c r="BU29"/>
  <c r="BT29" s="1"/>
  <c r="BL29"/>
  <c r="BK29" s="1"/>
  <c r="BC29"/>
  <c r="BB29" s="1"/>
  <c r="AT29"/>
  <c r="AS29" s="1"/>
  <c r="AK29"/>
  <c r="AJ29" s="1"/>
  <c r="AB29"/>
  <c r="AA29" s="1"/>
  <c r="S29"/>
  <c r="R29" s="1"/>
  <c r="J29"/>
  <c r="I29" s="1"/>
  <c r="CV28"/>
  <c r="CU28" s="1"/>
  <c r="CM28"/>
  <c r="CL28" s="1"/>
  <c r="CD28"/>
  <c r="CC28" s="1"/>
  <c r="BU28"/>
  <c r="BT28" s="1"/>
  <c r="BL28"/>
  <c r="BK28" s="1"/>
  <c r="BC28"/>
  <c r="BB28" s="1"/>
  <c r="AT28"/>
  <c r="AS28" s="1"/>
  <c r="AK28"/>
  <c r="AJ28" s="1"/>
  <c r="AB28"/>
  <c r="AA28" s="1"/>
  <c r="S28"/>
  <c r="R28" s="1"/>
  <c r="J28"/>
  <c r="I28" s="1"/>
  <c r="CV27"/>
  <c r="CU27" s="1"/>
  <c r="CM27"/>
  <c r="CL27" s="1"/>
  <c r="CD27"/>
  <c r="CC27" s="1"/>
  <c r="BU27"/>
  <c r="BT27" s="1"/>
  <c r="BL27"/>
  <c r="BK27" s="1"/>
  <c r="BC27"/>
  <c r="BB27" s="1"/>
  <c r="AT27"/>
  <c r="AS27" s="1"/>
  <c r="AK27"/>
  <c r="AJ27" s="1"/>
  <c r="AB27"/>
  <c r="AA27" s="1"/>
  <c r="S27"/>
  <c r="R27" s="1"/>
  <c r="J27"/>
  <c r="I27" s="1"/>
  <c r="CV26"/>
  <c r="CU26" s="1"/>
  <c r="CM26"/>
  <c r="CL26" s="1"/>
  <c r="CD26"/>
  <c r="CC26" s="1"/>
  <c r="BU26"/>
  <c r="BT26" s="1"/>
  <c r="BL26"/>
  <c r="BK26" s="1"/>
  <c r="BC26"/>
  <c r="BB26" s="1"/>
  <c r="AT26"/>
  <c r="AS26" s="1"/>
  <c r="AK26"/>
  <c r="AJ26" s="1"/>
  <c r="AB26"/>
  <c r="AA26" s="1"/>
  <c r="S26"/>
  <c r="R26" s="1"/>
  <c r="J26"/>
  <c r="I26" s="1"/>
  <c r="CV25"/>
  <c r="CU25" s="1"/>
  <c r="CM25"/>
  <c r="CL25" s="1"/>
  <c r="CD25"/>
  <c r="CC25" s="1"/>
  <c r="BU25"/>
  <c r="BT25" s="1"/>
  <c r="BL25"/>
  <c r="BK25" s="1"/>
  <c r="BC25"/>
  <c r="BB25" s="1"/>
  <c r="AT25"/>
  <c r="AS25" s="1"/>
  <c r="AK25"/>
  <c r="AJ25" s="1"/>
  <c r="AB25"/>
  <c r="AA25" s="1"/>
  <c r="S25"/>
  <c r="R25" s="1"/>
  <c r="J25"/>
  <c r="I25" s="1"/>
  <c r="CV24"/>
  <c r="CU24" s="1"/>
  <c r="CM24"/>
  <c r="CL24" s="1"/>
  <c r="CD24"/>
  <c r="CC24" s="1"/>
  <c r="BU24"/>
  <c r="BT24" s="1"/>
  <c r="BL24"/>
  <c r="BK24" s="1"/>
  <c r="BC24"/>
  <c r="BB24" s="1"/>
  <c r="AT24"/>
  <c r="AS24" s="1"/>
  <c r="AK24"/>
  <c r="AJ24" s="1"/>
  <c r="AB24"/>
  <c r="AA24" s="1"/>
  <c r="S24"/>
  <c r="R24" s="1"/>
  <c r="J24"/>
  <c r="I24" s="1"/>
  <c r="CV23"/>
  <c r="CU23" s="1"/>
  <c r="CM23"/>
  <c r="CL23" s="1"/>
  <c r="CD23"/>
  <c r="CC23" s="1"/>
  <c r="BU23"/>
  <c r="BT23" s="1"/>
  <c r="BL23"/>
  <c r="BK23" s="1"/>
  <c r="BC23"/>
  <c r="BB23" s="1"/>
  <c r="AT23"/>
  <c r="AS23" s="1"/>
  <c r="AK23"/>
  <c r="AJ23" s="1"/>
  <c r="AB23"/>
  <c r="AA23" s="1"/>
  <c r="S23"/>
  <c r="R23" s="1"/>
  <c r="J23"/>
  <c r="I23" s="1"/>
  <c r="CV22"/>
  <c r="CU22" s="1"/>
  <c r="CM22"/>
  <c r="CL22" s="1"/>
  <c r="CD22"/>
  <c r="CC22" s="1"/>
  <c r="BU22"/>
  <c r="BT22" s="1"/>
  <c r="BL22"/>
  <c r="BK22" s="1"/>
  <c r="BC22"/>
  <c r="BB22" s="1"/>
  <c r="AT22"/>
  <c r="AS22" s="1"/>
  <c r="AK22"/>
  <c r="AJ22" s="1"/>
  <c r="AB22"/>
  <c r="AA22" s="1"/>
  <c r="S22"/>
  <c r="R22" s="1"/>
  <c r="J22"/>
  <c r="I22" s="1"/>
  <c r="CV21"/>
  <c r="CU21" s="1"/>
  <c r="CM21"/>
  <c r="CL21" s="1"/>
  <c r="CD21"/>
  <c r="CC21" s="1"/>
  <c r="BU21"/>
  <c r="BT21" s="1"/>
  <c r="BL21"/>
  <c r="BK21" s="1"/>
  <c r="BC21"/>
  <c r="BB21" s="1"/>
  <c r="AT21"/>
  <c r="AS21" s="1"/>
  <c r="AK21"/>
  <c r="AJ21" s="1"/>
  <c r="AB21"/>
  <c r="AA21" s="1"/>
  <c r="S21"/>
  <c r="R21" s="1"/>
  <c r="J21"/>
  <c r="I21" s="1"/>
  <c r="CV20"/>
  <c r="CU20" s="1"/>
  <c r="CM20"/>
  <c r="CL20" s="1"/>
  <c r="CD20"/>
  <c r="CC20" s="1"/>
  <c r="BU20"/>
  <c r="BT20" s="1"/>
  <c r="BL20"/>
  <c r="BK20" s="1"/>
  <c r="BC20"/>
  <c r="BB20" s="1"/>
  <c r="AT20"/>
  <c r="AS20" s="1"/>
  <c r="AK20"/>
  <c r="AJ20" s="1"/>
  <c r="AB20"/>
  <c r="AA20" s="1"/>
  <c r="S20"/>
  <c r="R20" s="1"/>
  <c r="J20"/>
  <c r="I20" s="1"/>
  <c r="CV19"/>
  <c r="CU19" s="1"/>
  <c r="CM19"/>
  <c r="CL19" s="1"/>
  <c r="CD19"/>
  <c r="CC19" s="1"/>
  <c r="BU19"/>
  <c r="BT19" s="1"/>
  <c r="BL19"/>
  <c r="BK19" s="1"/>
  <c r="BC19"/>
  <c r="BB19" s="1"/>
  <c r="AT19"/>
  <c r="AS19" s="1"/>
  <c r="AK19"/>
  <c r="AJ19" s="1"/>
  <c r="AB19"/>
  <c r="AA19" s="1"/>
  <c r="S19"/>
  <c r="R19" s="1"/>
  <c r="J19"/>
  <c r="I19" s="1"/>
  <c r="CV17"/>
  <c r="CU17" s="1"/>
  <c r="CM17"/>
  <c r="CL17" s="1"/>
  <c r="CD17"/>
  <c r="CC17" s="1"/>
  <c r="BU17"/>
  <c r="BT17" s="1"/>
  <c r="BL17"/>
  <c r="BK17" s="1"/>
  <c r="BC17"/>
  <c r="BB17" s="1"/>
  <c r="AT17"/>
  <c r="AS17" s="1"/>
  <c r="AK17"/>
  <c r="AJ17" s="1"/>
  <c r="AB17"/>
  <c r="AA17" s="1"/>
  <c r="S17"/>
  <c r="R17" s="1"/>
  <c r="J17"/>
  <c r="I17" s="1"/>
  <c r="CV16"/>
  <c r="CU16" s="1"/>
  <c r="CM16"/>
  <c r="CL16" s="1"/>
  <c r="CD16"/>
  <c r="CC16" s="1"/>
  <c r="BU16"/>
  <c r="BT16" s="1"/>
  <c r="BL16"/>
  <c r="BK16" s="1"/>
  <c r="BC16"/>
  <c r="BB16" s="1"/>
  <c r="AT16"/>
  <c r="AS16" s="1"/>
  <c r="AK16"/>
  <c r="AJ16" s="1"/>
  <c r="AB16"/>
  <c r="AA16" s="1"/>
  <c r="S16"/>
  <c r="R16" s="1"/>
  <c r="J16"/>
  <c r="I16" s="1"/>
  <c r="CV15"/>
  <c r="CU15" s="1"/>
  <c r="CM15"/>
  <c r="CL15" s="1"/>
  <c r="CD15"/>
  <c r="CC15" s="1"/>
  <c r="BU15"/>
  <c r="BT15" s="1"/>
  <c r="BL15"/>
  <c r="BK15" s="1"/>
  <c r="BC15"/>
  <c r="BB15" s="1"/>
  <c r="AT15"/>
  <c r="AS15" s="1"/>
  <c r="AK15"/>
  <c r="AJ15" s="1"/>
  <c r="AB15"/>
  <c r="AA15" s="1"/>
  <c r="S15"/>
  <c r="R15" s="1"/>
  <c r="J15"/>
  <c r="I15" s="1"/>
  <c r="CV14"/>
  <c r="CU14" s="1"/>
  <c r="CM14"/>
  <c r="CL14" s="1"/>
  <c r="CD14"/>
  <c r="CC14" s="1"/>
  <c r="BU14"/>
  <c r="BT14" s="1"/>
  <c r="BL14"/>
  <c r="BK14" s="1"/>
  <c r="BC14"/>
  <c r="BB14" s="1"/>
  <c r="AT14"/>
  <c r="AS14" s="1"/>
  <c r="AK14"/>
  <c r="AJ14" s="1"/>
  <c r="AB14"/>
  <c r="AA14" s="1"/>
  <c r="S14"/>
  <c r="R14" s="1"/>
  <c r="J14"/>
  <c r="I14" s="1"/>
  <c r="CV13"/>
  <c r="CU13" s="1"/>
  <c r="CM13"/>
  <c r="CL13" s="1"/>
  <c r="CD13"/>
  <c r="CC13" s="1"/>
  <c r="BU13"/>
  <c r="BT13" s="1"/>
  <c r="BL13"/>
  <c r="BK13" s="1"/>
  <c r="BC13"/>
  <c r="BB13" s="1"/>
  <c r="AT13"/>
  <c r="AS13" s="1"/>
  <c r="AK13"/>
  <c r="AJ13" s="1"/>
  <c r="AB13"/>
  <c r="AA13" s="1"/>
  <c r="S13"/>
  <c r="R13" s="1"/>
  <c r="J13"/>
  <c r="I13" s="1"/>
  <c r="CV12"/>
  <c r="CU12" s="1"/>
  <c r="CM12"/>
  <c r="CL12" s="1"/>
  <c r="CD12"/>
  <c r="CC12" s="1"/>
  <c r="BU12"/>
  <c r="BT12" s="1"/>
  <c r="BL12"/>
  <c r="BK12" s="1"/>
  <c r="BC12"/>
  <c r="BB12" s="1"/>
  <c r="AT12"/>
  <c r="AS12" s="1"/>
  <c r="AK12"/>
  <c r="AJ12" s="1"/>
  <c r="AB12"/>
  <c r="AA12" s="1"/>
  <c r="S12"/>
  <c r="R12" s="1"/>
  <c r="J12"/>
  <c r="I12" s="1"/>
  <c r="CV11"/>
  <c r="CU11" s="1"/>
  <c r="CM11"/>
  <c r="CL11" s="1"/>
  <c r="CD11"/>
  <c r="CC11" s="1"/>
  <c r="BU11"/>
  <c r="BT11" s="1"/>
  <c r="BL11"/>
  <c r="BK11" s="1"/>
  <c r="BC11"/>
  <c r="BB11" s="1"/>
  <c r="AT11"/>
  <c r="AS11" s="1"/>
  <c r="AK11"/>
  <c r="AJ11" s="1"/>
  <c r="AB11"/>
  <c r="AA11" s="1"/>
  <c r="S11"/>
  <c r="R11" s="1"/>
  <c r="J11"/>
  <c r="I11" s="1"/>
  <c r="CV10"/>
  <c r="CU10" s="1"/>
  <c r="CM10"/>
  <c r="CL10" s="1"/>
  <c r="CD10"/>
  <c r="CC10" s="1"/>
  <c r="BU10"/>
  <c r="BT10" s="1"/>
  <c r="BL10"/>
  <c r="BK10" s="1"/>
  <c r="BC10"/>
  <c r="BB10" s="1"/>
  <c r="AT10"/>
  <c r="AS10" s="1"/>
  <c r="AK10"/>
  <c r="AJ10" s="1"/>
  <c r="AB10"/>
  <c r="AA10" s="1"/>
  <c r="S10"/>
  <c r="R10" s="1"/>
  <c r="J10"/>
  <c r="I10" s="1"/>
  <c r="CV9"/>
  <c r="CU9" s="1"/>
  <c r="CM9"/>
  <c r="CL9" s="1"/>
  <c r="CD9"/>
  <c r="CC9" s="1"/>
  <c r="BU9"/>
  <c r="BT9" s="1"/>
  <c r="BL9"/>
  <c r="BK9" s="1"/>
  <c r="BC9"/>
  <c r="BB9" s="1"/>
  <c r="AT9"/>
  <c r="AS9" s="1"/>
  <c r="AK9"/>
  <c r="AJ9" s="1"/>
  <c r="AB9"/>
  <c r="AA9" s="1"/>
  <c r="S9"/>
  <c r="R9" s="1"/>
  <c r="J9"/>
  <c r="I9" s="1"/>
  <c r="CV8"/>
  <c r="CU8" s="1"/>
  <c r="CM8"/>
  <c r="CL8" s="1"/>
  <c r="CD8"/>
  <c r="CC8" s="1"/>
  <c r="BU8"/>
  <c r="BT8" s="1"/>
  <c r="BL8"/>
  <c r="BK8" s="1"/>
  <c r="BC8"/>
  <c r="BB8" s="1"/>
  <c r="AT8"/>
  <c r="AS8" s="1"/>
  <c r="AK8"/>
  <c r="AJ8" s="1"/>
  <c r="AB8"/>
  <c r="AA8" s="1"/>
  <c r="S8"/>
  <c r="R8" s="1"/>
  <c r="J8"/>
  <c r="I8" s="1"/>
  <c r="H36" i="488"/>
  <c r="G36"/>
  <c r="F36"/>
  <c r="E36"/>
  <c r="D36"/>
  <c r="C36"/>
  <c r="B36"/>
  <c r="H35"/>
  <c r="G35"/>
  <c r="F35"/>
  <c r="E35"/>
  <c r="D35"/>
  <c r="C35"/>
  <c r="B35"/>
  <c r="H34"/>
  <c r="G34"/>
  <c r="F34"/>
  <c r="E34"/>
  <c r="D34"/>
  <c r="C34"/>
  <c r="B34"/>
  <c r="H33"/>
  <c r="G33"/>
  <c r="F33"/>
  <c r="E33"/>
  <c r="D33"/>
  <c r="C33"/>
  <c r="B33"/>
  <c r="H32"/>
  <c r="G32"/>
  <c r="F32"/>
  <c r="E32"/>
  <c r="D32"/>
  <c r="C32"/>
  <c r="B32"/>
  <c r="H31"/>
  <c r="G31"/>
  <c r="F31"/>
  <c r="E31"/>
  <c r="D31"/>
  <c r="C31"/>
  <c r="B31"/>
  <c r="H30"/>
  <c r="G30"/>
  <c r="F30"/>
  <c r="E30"/>
  <c r="D30"/>
  <c r="C30"/>
  <c r="B30"/>
  <c r="H29"/>
  <c r="G29"/>
  <c r="F29"/>
  <c r="E29"/>
  <c r="D29"/>
  <c r="C29"/>
  <c r="B29"/>
  <c r="H28"/>
  <c r="G28"/>
  <c r="F28"/>
  <c r="E28"/>
  <c r="D28"/>
  <c r="C28"/>
  <c r="B28"/>
  <c r="H27"/>
  <c r="G27"/>
  <c r="F27"/>
  <c r="E27"/>
  <c r="D27"/>
  <c r="C27"/>
  <c r="B27"/>
  <c r="H26"/>
  <c r="G26"/>
  <c r="F26"/>
  <c r="E26"/>
  <c r="D26"/>
  <c r="C26"/>
  <c r="B26"/>
  <c r="H25"/>
  <c r="G25"/>
  <c r="F25"/>
  <c r="E25"/>
  <c r="D25"/>
  <c r="C25"/>
  <c r="B25"/>
  <c r="H24"/>
  <c r="G24"/>
  <c r="F24"/>
  <c r="E24"/>
  <c r="D24"/>
  <c r="C24"/>
  <c r="B24"/>
  <c r="H23"/>
  <c r="G23"/>
  <c r="F23"/>
  <c r="E23"/>
  <c r="D23"/>
  <c r="C23"/>
  <c r="B23"/>
  <c r="H22"/>
  <c r="G22"/>
  <c r="F22"/>
  <c r="E22"/>
  <c r="D22"/>
  <c r="C22"/>
  <c r="B22"/>
  <c r="H21"/>
  <c r="G21"/>
  <c r="F21"/>
  <c r="E21"/>
  <c r="D21"/>
  <c r="C21"/>
  <c r="B21"/>
  <c r="H20"/>
  <c r="G20"/>
  <c r="F20"/>
  <c r="E20"/>
  <c r="D20"/>
  <c r="C20"/>
  <c r="B20"/>
  <c r="H19"/>
  <c r="G19"/>
  <c r="F19"/>
  <c r="E19"/>
  <c r="D19"/>
  <c r="C19"/>
  <c r="B19"/>
  <c r="H18"/>
  <c r="G18"/>
  <c r="F18"/>
  <c r="E18"/>
  <c r="D18"/>
  <c r="C18"/>
  <c r="B18"/>
  <c r="H17"/>
  <c r="G17"/>
  <c r="F17"/>
  <c r="E17"/>
  <c r="D17"/>
  <c r="C17"/>
  <c r="B17"/>
  <c r="H16"/>
  <c r="G16"/>
  <c r="F16"/>
  <c r="E16"/>
  <c r="D16"/>
  <c r="C16"/>
  <c r="B16"/>
  <c r="H15"/>
  <c r="G15"/>
  <c r="F15"/>
  <c r="E15"/>
  <c r="D15"/>
  <c r="C15"/>
  <c r="B15"/>
  <c r="H14"/>
  <c r="G14"/>
  <c r="F14"/>
  <c r="E14"/>
  <c r="D14"/>
  <c r="C14"/>
  <c r="B14"/>
  <c r="H13"/>
  <c r="G13"/>
  <c r="F13"/>
  <c r="E13"/>
  <c r="D13"/>
  <c r="C13"/>
  <c r="B13"/>
  <c r="H12"/>
  <c r="G12"/>
  <c r="F12"/>
  <c r="E12"/>
  <c r="D12"/>
  <c r="C12"/>
  <c r="B12"/>
  <c r="H11"/>
  <c r="G11"/>
  <c r="F11"/>
  <c r="E11"/>
  <c r="D11"/>
  <c r="C11"/>
  <c r="B11"/>
  <c r="H10"/>
  <c r="G10"/>
  <c r="F10"/>
  <c r="E10"/>
  <c r="D10"/>
  <c r="C10"/>
  <c r="B10"/>
  <c r="H9"/>
  <c r="G9"/>
  <c r="F9"/>
  <c r="E9"/>
  <c r="D9"/>
  <c r="C9"/>
  <c r="B9"/>
  <c r="H8"/>
  <c r="G8"/>
  <c r="F8"/>
  <c r="E8"/>
  <c r="D8"/>
  <c r="C8"/>
  <c r="B8"/>
  <c r="H7"/>
  <c r="G7"/>
  <c r="F7"/>
  <c r="E7"/>
  <c r="D7"/>
  <c r="C7"/>
  <c r="B7"/>
  <c r="H6"/>
  <c r="G6"/>
  <c r="F6"/>
  <c r="E6"/>
  <c r="D6"/>
  <c r="C6"/>
  <c r="B6"/>
  <c r="H5"/>
  <c r="G5"/>
  <c r="F5"/>
  <c r="E5"/>
  <c r="D5"/>
  <c r="C5"/>
  <c r="B5"/>
  <c r="H4"/>
  <c r="G4"/>
  <c r="F4"/>
  <c r="E4"/>
  <c r="D4"/>
  <c r="C4"/>
  <c r="B4"/>
  <c r="B47" i="466"/>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H47" i="487"/>
  <c r="G47"/>
  <c r="F47"/>
  <c r="E47"/>
  <c r="D47"/>
  <c r="C47"/>
  <c r="B47"/>
  <c r="H46"/>
  <c r="G46"/>
  <c r="F46"/>
  <c r="E46"/>
  <c r="D46"/>
  <c r="C46"/>
  <c r="B46"/>
  <c r="H45"/>
  <c r="G45"/>
  <c r="F45"/>
  <c r="E45"/>
  <c r="D45"/>
  <c r="C45"/>
  <c r="B45"/>
  <c r="H44"/>
  <c r="G44"/>
  <c r="F44"/>
  <c r="E44"/>
  <c r="D44"/>
  <c r="C44"/>
  <c r="B44"/>
  <c r="H41"/>
  <c r="G41"/>
  <c r="F41"/>
  <c r="E41"/>
  <c r="D41"/>
  <c r="C41"/>
  <c r="B41"/>
  <c r="H40"/>
  <c r="G40"/>
  <c r="F40"/>
  <c r="E40"/>
  <c r="D40"/>
  <c r="C40"/>
  <c r="B40"/>
  <c r="H39"/>
  <c r="G39"/>
  <c r="F39"/>
  <c r="E39"/>
  <c r="D39"/>
  <c r="C39"/>
  <c r="B39"/>
  <c r="H38"/>
  <c r="G38"/>
  <c r="F38"/>
  <c r="E38"/>
  <c r="D38"/>
  <c r="C38"/>
  <c r="B38"/>
  <c r="L31" i="465"/>
  <c r="L33" s="1"/>
  <c r="K31"/>
  <c r="K33" s="1"/>
  <c r="J31"/>
  <c r="J33" s="1"/>
  <c r="I31"/>
  <c r="I33" s="1"/>
  <c r="H31"/>
  <c r="H33" s="1"/>
  <c r="G31"/>
  <c r="G33" s="1"/>
  <c r="F31"/>
  <c r="F33" s="1"/>
  <c r="E31"/>
  <c r="E33" s="1"/>
  <c r="D31"/>
  <c r="D33" s="1"/>
  <c r="C31"/>
  <c r="C33" s="1"/>
  <c r="B31"/>
  <c r="B33" s="1"/>
  <c r="F29" i="460"/>
  <c r="E29"/>
  <c r="D29"/>
  <c r="C29"/>
  <c r="B29"/>
  <c r="F28"/>
  <c r="E28"/>
  <c r="D28"/>
  <c r="C28"/>
  <c r="B28"/>
  <c r="F27"/>
  <c r="E27"/>
  <c r="D27"/>
  <c r="C27"/>
  <c r="B27"/>
  <c r="F26"/>
  <c r="E26"/>
  <c r="D26"/>
  <c r="C26"/>
  <c r="B26"/>
  <c r="F25"/>
  <c r="E25"/>
  <c r="D25"/>
  <c r="C25"/>
  <c r="B25"/>
  <c r="F24"/>
  <c r="E24"/>
  <c r="D24"/>
  <c r="C24"/>
  <c r="B24"/>
  <c r="F23"/>
  <c r="E23"/>
  <c r="D23"/>
  <c r="C23"/>
  <c r="B23"/>
  <c r="F22"/>
  <c r="E22"/>
  <c r="D22"/>
  <c r="C22"/>
  <c r="B22"/>
  <c r="F21"/>
  <c r="E21"/>
  <c r="D21"/>
  <c r="C21"/>
  <c r="B21"/>
  <c r="F20"/>
  <c r="E20"/>
  <c r="D20"/>
  <c r="C20"/>
  <c r="B20"/>
  <c r="F19"/>
  <c r="E19"/>
  <c r="D19"/>
  <c r="C19"/>
  <c r="B19"/>
  <c r="F18"/>
  <c r="E18"/>
  <c r="D18"/>
  <c r="C18"/>
  <c r="B18"/>
  <c r="F17"/>
  <c r="E17"/>
  <c r="D17"/>
  <c r="C17"/>
  <c r="B17"/>
  <c r="F16"/>
  <c r="E16"/>
  <c r="D16"/>
  <c r="C16"/>
  <c r="B16"/>
  <c r="F15"/>
  <c r="E15"/>
  <c r="D15"/>
  <c r="C15"/>
  <c r="B15"/>
  <c r="F14"/>
  <c r="E14"/>
  <c r="D14"/>
  <c r="C14"/>
  <c r="B14"/>
  <c r="F13"/>
  <c r="E13"/>
  <c r="D13"/>
  <c r="C13"/>
  <c r="B13"/>
  <c r="F12"/>
  <c r="E12"/>
  <c r="D12"/>
  <c r="C12"/>
  <c r="B12"/>
  <c r="F11"/>
  <c r="E11"/>
  <c r="D11"/>
  <c r="C11"/>
  <c r="B11"/>
  <c r="F10"/>
  <c r="E10"/>
  <c r="D10"/>
  <c r="C10"/>
  <c r="B10"/>
  <c r="F9"/>
  <c r="E9"/>
  <c r="D9"/>
  <c r="C9"/>
  <c r="B9"/>
  <c r="F8"/>
  <c r="E8"/>
  <c r="D8"/>
  <c r="C8"/>
  <c r="F7"/>
  <c r="E7"/>
  <c r="D7"/>
  <c r="C7"/>
  <c r="F6"/>
  <c r="E6"/>
  <c r="D6"/>
  <c r="C6"/>
  <c r="F5"/>
  <c r="E5"/>
  <c r="D5"/>
  <c r="C5"/>
  <c r="F4"/>
  <c r="E4"/>
  <c r="D4"/>
  <c r="C4"/>
  <c r="F41" i="459"/>
  <c r="E41"/>
  <c r="D41"/>
  <c r="C41"/>
  <c r="B41"/>
  <c r="F40"/>
  <c r="E40"/>
  <c r="D40"/>
  <c r="C40"/>
  <c r="B40"/>
  <c r="F39"/>
  <c r="E39"/>
  <c r="D39"/>
  <c r="C39"/>
  <c r="F38"/>
  <c r="E38"/>
  <c r="D38"/>
  <c r="C38"/>
  <c r="F35"/>
  <c r="E35"/>
  <c r="D35"/>
  <c r="C35"/>
  <c r="B35"/>
  <c r="F34"/>
  <c r="E34"/>
  <c r="D34"/>
  <c r="C34"/>
  <c r="B34"/>
  <c r="F33"/>
  <c r="E33"/>
  <c r="D33"/>
  <c r="C33"/>
  <c r="F32"/>
  <c r="E32"/>
  <c r="D32"/>
  <c r="C32"/>
  <c r="CF40" i="467" l="1"/>
  <c r="C16"/>
  <c r="BW38"/>
  <c r="BW31"/>
  <c r="BE38"/>
  <c r="W36"/>
  <c r="BW13"/>
  <c r="AM31"/>
  <c r="AM13"/>
  <c r="CO29"/>
  <c r="BE31"/>
  <c r="AM38"/>
  <c r="BI38"/>
  <c r="BY38"/>
  <c r="BP40"/>
  <c r="CJ40"/>
  <c r="BN24"/>
  <c r="L27"/>
  <c r="CF29"/>
  <c r="C9"/>
  <c r="L9"/>
  <c r="BN16"/>
  <c r="C37"/>
  <c r="U22"/>
  <c r="CJ29"/>
  <c r="BW32"/>
  <c r="AM37"/>
  <c r="AD39"/>
  <c r="CQ20"/>
  <c r="W22"/>
  <c r="L39"/>
  <c r="W16"/>
  <c r="AF16"/>
  <c r="BP16"/>
  <c r="CF23"/>
  <c r="AV30"/>
  <c r="BY31"/>
  <c r="BN39"/>
  <c r="N9"/>
  <c r="BE9"/>
  <c r="BE25"/>
  <c r="CO32"/>
  <c r="CF34"/>
  <c r="L35"/>
  <c r="AM36"/>
  <c r="BE37"/>
  <c r="BY14"/>
  <c r="L31"/>
  <c r="CA31"/>
  <c r="AD33"/>
  <c r="AD38"/>
  <c r="AM19"/>
  <c r="AM20"/>
  <c r="BN20"/>
  <c r="L32"/>
  <c r="W38"/>
  <c r="BR39"/>
  <c r="CF28"/>
  <c r="AF38"/>
  <c r="BN17"/>
  <c r="AD19"/>
  <c r="CO21"/>
  <c r="C31"/>
  <c r="BI37"/>
  <c r="BE12"/>
  <c r="N15"/>
  <c r="AF19"/>
  <c r="CF19"/>
  <c r="AO20"/>
  <c r="L22"/>
  <c r="C17"/>
  <c r="BR20"/>
  <c r="C25"/>
  <c r="AV25"/>
  <c r="U26"/>
  <c r="C27"/>
  <c r="AD28"/>
  <c r="AM28"/>
  <c r="BN28"/>
  <c r="CH28"/>
  <c r="AV29"/>
  <c r="BW29"/>
  <c r="AD30"/>
  <c r="BN30"/>
  <c r="AO31"/>
  <c r="BI31"/>
  <c r="CO37"/>
  <c r="C40"/>
  <c r="AV40"/>
  <c r="CO10"/>
  <c r="AM11"/>
  <c r="AV11"/>
  <c r="AV12"/>
  <c r="BR17"/>
  <c r="AH19"/>
  <c r="CF21"/>
  <c r="N22"/>
  <c r="E27"/>
  <c r="N31"/>
  <c r="U31"/>
  <c r="C39"/>
  <c r="CF24"/>
  <c r="CQ24"/>
  <c r="U29"/>
  <c r="CO30"/>
  <c r="AV32"/>
  <c r="L36"/>
  <c r="CO36"/>
  <c r="U40"/>
  <c r="AX12"/>
  <c r="AF28"/>
  <c r="Y29"/>
  <c r="BP32"/>
  <c r="CS32"/>
  <c r="C33"/>
  <c r="L34"/>
  <c r="BY34"/>
  <c r="CQ36"/>
  <c r="AD37"/>
  <c r="CQ10"/>
  <c r="U11"/>
  <c r="AD11"/>
  <c r="AO13"/>
  <c r="BP13"/>
  <c r="BP15"/>
  <c r="U16"/>
  <c r="Y16"/>
  <c r="AD16"/>
  <c r="AH16"/>
  <c r="AM16"/>
  <c r="AO19"/>
  <c r="BN19"/>
  <c r="CJ19"/>
  <c r="CO19"/>
  <c r="C20"/>
  <c r="L20"/>
  <c r="CF22"/>
  <c r="BN23"/>
  <c r="W24"/>
  <c r="AD24"/>
  <c r="BR24"/>
  <c r="CO26"/>
  <c r="G27"/>
  <c r="CO27"/>
  <c r="C28"/>
  <c r="E31"/>
  <c r="CF35"/>
  <c r="CQ35"/>
  <c r="C36"/>
  <c r="G39"/>
  <c r="CF39"/>
  <c r="CO39"/>
  <c r="Y40"/>
  <c r="C8"/>
  <c r="L8"/>
  <c r="U8"/>
  <c r="AD8"/>
  <c r="BW8"/>
  <c r="AF9"/>
  <c r="AM9"/>
  <c r="AX9"/>
  <c r="E10"/>
  <c r="N10"/>
  <c r="BG10"/>
  <c r="BN10"/>
  <c r="BW10"/>
  <c r="L15"/>
  <c r="P15"/>
  <c r="U15"/>
  <c r="AD15"/>
  <c r="AM15"/>
  <c r="BN15"/>
  <c r="BR15"/>
  <c r="BW15"/>
  <c r="CF15"/>
  <c r="CO15"/>
  <c r="AQ16"/>
  <c r="AX16"/>
  <c r="BE16"/>
  <c r="N20"/>
  <c r="U20"/>
  <c r="AF20"/>
  <c r="BE20"/>
  <c r="CH20"/>
  <c r="CO20"/>
  <c r="CS20"/>
  <c r="C21"/>
  <c r="L21"/>
  <c r="BY21"/>
  <c r="AM25"/>
  <c r="E28"/>
  <c r="L28"/>
  <c r="BP30"/>
  <c r="E33"/>
  <c r="L33"/>
  <c r="U33"/>
  <c r="N36"/>
  <c r="U36"/>
  <c r="Y36"/>
  <c r="AD36"/>
  <c r="AV36"/>
  <c r="U37"/>
  <c r="N39"/>
  <c r="U39"/>
  <c r="CH39"/>
  <c r="AF11"/>
  <c r="BY12"/>
  <c r="CH12"/>
  <c r="CO12"/>
  <c r="C13"/>
  <c r="E17"/>
  <c r="L17"/>
  <c r="U17"/>
  <c r="AF17"/>
  <c r="AM17"/>
  <c r="AV17"/>
  <c r="BE17"/>
  <c r="CH17"/>
  <c r="BR19"/>
  <c r="C24"/>
  <c r="L24"/>
  <c r="CJ24"/>
  <c r="BW25"/>
  <c r="CH25"/>
  <c r="CQ25"/>
  <c r="C26"/>
  <c r="Y26"/>
  <c r="CQ26"/>
  <c r="BP28"/>
  <c r="BW28"/>
  <c r="AO29"/>
  <c r="E32"/>
  <c r="N34"/>
  <c r="U34"/>
  <c r="BP34"/>
  <c r="BY35"/>
  <c r="AX40"/>
  <c r="BP8"/>
  <c r="BW9"/>
  <c r="CH9"/>
  <c r="CQ9"/>
  <c r="CA10"/>
  <c r="CF10"/>
  <c r="Y11"/>
  <c r="AH11"/>
  <c r="G13"/>
  <c r="L13"/>
  <c r="W13"/>
  <c r="AF13"/>
  <c r="CA13"/>
  <c r="CF13"/>
  <c r="CO13"/>
  <c r="AO14"/>
  <c r="AX14"/>
  <c r="BE14"/>
  <c r="BN14"/>
  <c r="BW14"/>
  <c r="CA14"/>
  <c r="CF14"/>
  <c r="CO14"/>
  <c r="C15"/>
  <c r="AO15"/>
  <c r="AV15"/>
  <c r="BG15"/>
  <c r="G16"/>
  <c r="L16"/>
  <c r="BI16"/>
  <c r="BG17"/>
  <c r="CF17"/>
  <c r="CJ17"/>
  <c r="CO17"/>
  <c r="C19"/>
  <c r="N19"/>
  <c r="U19"/>
  <c r="P21"/>
  <c r="W21"/>
  <c r="AD21"/>
  <c r="AO21"/>
  <c r="AX21"/>
  <c r="BE21"/>
  <c r="BP21"/>
  <c r="BR23"/>
  <c r="BY23"/>
  <c r="G24"/>
  <c r="AO26"/>
  <c r="AX26"/>
  <c r="BG26"/>
  <c r="BP26"/>
  <c r="BY26"/>
  <c r="BY29"/>
  <c r="CS29"/>
  <c r="E30"/>
  <c r="L30"/>
  <c r="AH30"/>
  <c r="AZ30"/>
  <c r="BE30"/>
  <c r="BR30"/>
  <c r="BW30"/>
  <c r="CH30"/>
  <c r="CQ31"/>
  <c r="AH33"/>
  <c r="AO33"/>
  <c r="AV33"/>
  <c r="BW33"/>
  <c r="CH33"/>
  <c r="CQ33"/>
  <c r="C35"/>
  <c r="BG35"/>
  <c r="BP35"/>
  <c r="AZ36"/>
  <c r="BE36"/>
  <c r="BP36"/>
  <c r="BY36"/>
  <c r="CH36"/>
  <c r="E37"/>
  <c r="L37"/>
  <c r="CJ39"/>
  <c r="N8"/>
  <c r="AQ9"/>
  <c r="AF10"/>
  <c r="AO10"/>
  <c r="AX10"/>
  <c r="AZ11"/>
  <c r="BW11"/>
  <c r="AO12"/>
  <c r="BI12"/>
  <c r="BP12"/>
  <c r="BY15"/>
  <c r="CO16"/>
  <c r="N17"/>
  <c r="E20"/>
  <c r="Y20"/>
  <c r="AD20"/>
  <c r="AH20"/>
  <c r="AQ20"/>
  <c r="AV20"/>
  <c r="CQ21"/>
  <c r="C22"/>
  <c r="P22"/>
  <c r="BG22"/>
  <c r="BP22"/>
  <c r="BY22"/>
  <c r="AH24"/>
  <c r="AM24"/>
  <c r="AV24"/>
  <c r="BE24"/>
  <c r="G25"/>
  <c r="L25"/>
  <c r="U25"/>
  <c r="AQ25"/>
  <c r="CA25"/>
  <c r="CS27"/>
  <c r="AQ28"/>
  <c r="AX28"/>
  <c r="BE28"/>
  <c r="BY28"/>
  <c r="CJ28"/>
  <c r="CO28"/>
  <c r="C29"/>
  <c r="N29"/>
  <c r="AQ31"/>
  <c r="AV31"/>
  <c r="AF32"/>
  <c r="AO32"/>
  <c r="BY32"/>
  <c r="CQ32"/>
  <c r="G33"/>
  <c r="BG34"/>
  <c r="E36"/>
  <c r="P36"/>
  <c r="AQ37"/>
  <c r="AX37"/>
  <c r="P39"/>
  <c r="AF8"/>
  <c r="AM8"/>
  <c r="AX8"/>
  <c r="BG8"/>
  <c r="E9"/>
  <c r="P9"/>
  <c r="U9"/>
  <c r="BI9"/>
  <c r="BY9"/>
  <c r="CF9"/>
  <c r="CJ9"/>
  <c r="CO9"/>
  <c r="CS9"/>
  <c r="C10"/>
  <c r="G10"/>
  <c r="L10"/>
  <c r="P10"/>
  <c r="U10"/>
  <c r="CQ12"/>
  <c r="P13"/>
  <c r="U13"/>
  <c r="Y13"/>
  <c r="AD13"/>
  <c r="AH13"/>
  <c r="AQ13"/>
  <c r="AV13"/>
  <c r="BG13"/>
  <c r="CQ13"/>
  <c r="C14"/>
  <c r="N14"/>
  <c r="W14"/>
  <c r="AF14"/>
  <c r="CA15"/>
  <c r="AQ17"/>
  <c r="AQ19"/>
  <c r="AV19"/>
  <c r="BP19"/>
  <c r="BW19"/>
  <c r="CS19"/>
  <c r="G20"/>
  <c r="P20"/>
  <c r="AH21"/>
  <c r="Y22"/>
  <c r="AD22"/>
  <c r="BY24"/>
  <c r="G29"/>
  <c r="P30"/>
  <c r="AF30"/>
  <c r="AM30"/>
  <c r="BI30"/>
  <c r="CF31"/>
  <c r="AZ32"/>
  <c r="BG32"/>
  <c r="BN32"/>
  <c r="BR32"/>
  <c r="CA32"/>
  <c r="CF32"/>
  <c r="W33"/>
  <c r="AZ33"/>
  <c r="BE33"/>
  <c r="BY33"/>
  <c r="CF33"/>
  <c r="CJ33"/>
  <c r="CO33"/>
  <c r="CS33"/>
  <c r="C34"/>
  <c r="Y34"/>
  <c r="AF34"/>
  <c r="AO34"/>
  <c r="AX34"/>
  <c r="P35"/>
  <c r="W35"/>
  <c r="AF35"/>
  <c r="AM35"/>
  <c r="AX35"/>
  <c r="AO36"/>
  <c r="BI36"/>
  <c r="BN36"/>
  <c r="BR36"/>
  <c r="BW36"/>
  <c r="CA36"/>
  <c r="CF36"/>
  <c r="CJ36"/>
  <c r="CS36"/>
  <c r="G37"/>
  <c r="CA8"/>
  <c r="CH8"/>
  <c r="CO8"/>
  <c r="BP10"/>
  <c r="CJ10"/>
  <c r="CS10"/>
  <c r="C11"/>
  <c r="N11"/>
  <c r="AX11"/>
  <c r="BE11"/>
  <c r="BY11"/>
  <c r="CF11"/>
  <c r="CQ11"/>
  <c r="E12"/>
  <c r="N12"/>
  <c r="W12"/>
  <c r="AF12"/>
  <c r="BI14"/>
  <c r="CS14"/>
  <c r="AF15"/>
  <c r="AQ15"/>
  <c r="CQ15"/>
  <c r="P16"/>
  <c r="BG16"/>
  <c r="BR16"/>
  <c r="BW16"/>
  <c r="CQ16"/>
  <c r="G17"/>
  <c r="P17"/>
  <c r="G19"/>
  <c r="BG20"/>
  <c r="CJ21"/>
  <c r="CS21"/>
  <c r="CJ22"/>
  <c r="CO22"/>
  <c r="E23"/>
  <c r="N23"/>
  <c r="W23"/>
  <c r="AF23"/>
  <c r="AO23"/>
  <c r="AX23"/>
  <c r="BG23"/>
  <c r="CJ23"/>
  <c r="CQ23"/>
  <c r="P24"/>
  <c r="AZ24"/>
  <c r="Y25"/>
  <c r="AD25"/>
  <c r="BI25"/>
  <c r="BN25"/>
  <c r="G26"/>
  <c r="W26"/>
  <c r="AD26"/>
  <c r="AM26"/>
  <c r="AQ26"/>
  <c r="AV26"/>
  <c r="AZ26"/>
  <c r="BE26"/>
  <c r="BI26"/>
  <c r="BN26"/>
  <c r="BR26"/>
  <c r="BW26"/>
  <c r="CA26"/>
  <c r="CF26"/>
  <c r="P27"/>
  <c r="W27"/>
  <c r="AF27"/>
  <c r="AO27"/>
  <c r="AX27"/>
  <c r="BG27"/>
  <c r="BP27"/>
  <c r="BY27"/>
  <c r="CQ27"/>
  <c r="G28"/>
  <c r="BG28"/>
  <c r="BR28"/>
  <c r="CA28"/>
  <c r="AZ29"/>
  <c r="BE29"/>
  <c r="CQ30"/>
  <c r="G31"/>
  <c r="P31"/>
  <c r="P32"/>
  <c r="U32"/>
  <c r="CJ34"/>
  <c r="CQ34"/>
  <c r="CH35"/>
  <c r="CO35"/>
  <c r="CS35"/>
  <c r="G36"/>
  <c r="Y37"/>
  <c r="CQ37"/>
  <c r="C38"/>
  <c r="N38"/>
  <c r="AQ38"/>
  <c r="BG38"/>
  <c r="BN38"/>
  <c r="CA38"/>
  <c r="CF38"/>
  <c r="CQ38"/>
  <c r="AH39"/>
  <c r="AO39"/>
  <c r="AX39"/>
  <c r="BG39"/>
  <c r="G40"/>
  <c r="W40"/>
  <c r="AD40"/>
  <c r="AO40"/>
  <c r="AZ40"/>
  <c r="E8"/>
  <c r="W8"/>
  <c r="AO8"/>
  <c r="AV8"/>
  <c r="AZ8"/>
  <c r="BE8"/>
  <c r="BI8"/>
  <c r="BN8"/>
  <c r="BR8"/>
  <c r="CQ8"/>
  <c r="W9"/>
  <c r="AD9"/>
  <c r="AH9"/>
  <c r="BG9"/>
  <c r="BN9"/>
  <c r="W10"/>
  <c r="AD10"/>
  <c r="AH10"/>
  <c r="AM10"/>
  <c r="AQ10"/>
  <c r="AV10"/>
  <c r="AZ10"/>
  <c r="BE10"/>
  <c r="BI10"/>
  <c r="BY10"/>
  <c r="G11"/>
  <c r="L11"/>
  <c r="P11"/>
  <c r="AO11"/>
  <c r="BI11"/>
  <c r="BP11"/>
  <c r="CH11"/>
  <c r="CO11"/>
  <c r="CS11"/>
  <c r="C12"/>
  <c r="G12"/>
  <c r="L12"/>
  <c r="P12"/>
  <c r="U12"/>
  <c r="Y12"/>
  <c r="AD12"/>
  <c r="AH12"/>
  <c r="AM12"/>
  <c r="AQ12"/>
  <c r="BG12"/>
  <c r="BN12"/>
  <c r="BR12"/>
  <c r="BW12"/>
  <c r="CA12"/>
  <c r="CF12"/>
  <c r="CJ12"/>
  <c r="E13"/>
  <c r="AX13"/>
  <c r="BE13"/>
  <c r="BI13"/>
  <c r="BN13"/>
  <c r="BR13"/>
  <c r="CJ13"/>
  <c r="E14"/>
  <c r="L14"/>
  <c r="P14"/>
  <c r="U14"/>
  <c r="Y14"/>
  <c r="AD14"/>
  <c r="AH14"/>
  <c r="AM14"/>
  <c r="AQ14"/>
  <c r="AV14"/>
  <c r="AZ14"/>
  <c r="BP14"/>
  <c r="CJ14"/>
  <c r="E15"/>
  <c r="Y15"/>
  <c r="AZ15"/>
  <c r="BE15"/>
  <c r="BI15"/>
  <c r="CJ15"/>
  <c r="E16"/>
  <c r="AO16"/>
  <c r="AV16"/>
  <c r="AZ16"/>
  <c r="CA16"/>
  <c r="CH16"/>
  <c r="W17"/>
  <c r="AD17"/>
  <c r="AH17"/>
  <c r="AZ17"/>
  <c r="BP17"/>
  <c r="BW17"/>
  <c r="CS17"/>
  <c r="W19"/>
  <c r="AZ19"/>
  <c r="BG19"/>
  <c r="CH19"/>
  <c r="W20"/>
  <c r="AZ20"/>
  <c r="BP20"/>
  <c r="BW20"/>
  <c r="CF20"/>
  <c r="CJ20"/>
  <c r="N21"/>
  <c r="U21"/>
  <c r="Y21"/>
  <c r="BG21"/>
  <c r="BN21"/>
  <c r="BR21"/>
  <c r="BW21"/>
  <c r="CA21"/>
  <c r="E22"/>
  <c r="AH22"/>
  <c r="AO22"/>
  <c r="AX22"/>
  <c r="BE22"/>
  <c r="BI22"/>
  <c r="BN22"/>
  <c r="BR22"/>
  <c r="BW22"/>
  <c r="CA22"/>
  <c r="CQ22"/>
  <c r="C23"/>
  <c r="G23"/>
  <c r="L23"/>
  <c r="P23"/>
  <c r="U23"/>
  <c r="Y23"/>
  <c r="AD23"/>
  <c r="AH23"/>
  <c r="AM23"/>
  <c r="AQ23"/>
  <c r="AV23"/>
  <c r="AZ23"/>
  <c r="BE23"/>
  <c r="BI23"/>
  <c r="CH23"/>
  <c r="CO23"/>
  <c r="CS23"/>
  <c r="N24"/>
  <c r="U24"/>
  <c r="Y24"/>
  <c r="AQ24"/>
  <c r="BI24"/>
  <c r="CH24"/>
  <c r="CO24"/>
  <c r="CS24"/>
  <c r="P25"/>
  <c r="AH25"/>
  <c r="AZ25"/>
  <c r="BR25"/>
  <c r="E26"/>
  <c r="L26"/>
  <c r="CJ26"/>
  <c r="N27"/>
  <c r="U27"/>
  <c r="Y27"/>
  <c r="AD27"/>
  <c r="AH27"/>
  <c r="AM27"/>
  <c r="AQ27"/>
  <c r="AV27"/>
  <c r="AZ27"/>
  <c r="BE27"/>
  <c r="BI27"/>
  <c r="BN27"/>
  <c r="BR27"/>
  <c r="BW27"/>
  <c r="CA27"/>
  <c r="CF27"/>
  <c r="P28"/>
  <c r="W28"/>
  <c r="AO28"/>
  <c r="AV28"/>
  <c r="AZ28"/>
  <c r="CS28"/>
  <c r="W29"/>
  <c r="AD29"/>
  <c r="AM29"/>
  <c r="AQ29"/>
  <c r="BI29"/>
  <c r="BP29"/>
  <c r="CH29"/>
  <c r="N30"/>
  <c r="U30"/>
  <c r="AX30"/>
  <c r="CA30"/>
  <c r="CF30"/>
  <c r="CJ30"/>
  <c r="Y31"/>
  <c r="AF31"/>
  <c r="BG31"/>
  <c r="BN31"/>
  <c r="CJ31"/>
  <c r="CO31"/>
  <c r="CS31"/>
  <c r="C32"/>
  <c r="G32"/>
  <c r="W32"/>
  <c r="AD32"/>
  <c r="AH32"/>
  <c r="AM32"/>
  <c r="AQ32"/>
  <c r="CH32"/>
  <c r="P33"/>
  <c r="AF33"/>
  <c r="AM33"/>
  <c r="AQ33"/>
  <c r="BG33"/>
  <c r="BP33"/>
  <c r="G34"/>
  <c r="W34"/>
  <c r="AD34"/>
  <c r="AH34"/>
  <c r="AM34"/>
  <c r="AQ34"/>
  <c r="AV34"/>
  <c r="AZ34"/>
  <c r="BE34"/>
  <c r="BI34"/>
  <c r="BN34"/>
  <c r="BR34"/>
  <c r="BW34"/>
  <c r="CA34"/>
  <c r="G35"/>
  <c r="AO35"/>
  <c r="AV35"/>
  <c r="AZ35"/>
  <c r="BE35"/>
  <c r="BI35"/>
  <c r="BN35"/>
  <c r="BR35"/>
  <c r="BW35"/>
  <c r="CA35"/>
  <c r="AF36"/>
  <c r="AX36"/>
  <c r="P37"/>
  <c r="AH37"/>
  <c r="BG37"/>
  <c r="BN37"/>
  <c r="BY37"/>
  <c r="CH37"/>
  <c r="E38"/>
  <c r="L38"/>
  <c r="P38"/>
  <c r="U38"/>
  <c r="Y38"/>
  <c r="AO38"/>
  <c r="AV38"/>
  <c r="CH38"/>
  <c r="CO38"/>
  <c r="CS38"/>
  <c r="Y39"/>
  <c r="BP39"/>
  <c r="BW39"/>
  <c r="E40"/>
  <c r="L40"/>
  <c r="BN40"/>
  <c r="BR40"/>
  <c r="CH40"/>
  <c r="CO40"/>
  <c r="C45" i="488"/>
  <c r="E45"/>
  <c r="G45"/>
  <c r="D46"/>
  <c r="F46"/>
  <c r="H46"/>
  <c r="D47"/>
  <c r="F47"/>
  <c r="H47"/>
  <c r="Y9" i="467"/>
  <c r="AQ11"/>
  <c r="BG11"/>
  <c r="BN11"/>
  <c r="BR11"/>
  <c r="CA11"/>
  <c r="CJ11"/>
  <c r="CS12"/>
  <c r="AZ13"/>
  <c r="BG14"/>
  <c r="BR14"/>
  <c r="AX15"/>
  <c r="CH15"/>
  <c r="CS15"/>
  <c r="Y17"/>
  <c r="E19"/>
  <c r="L19"/>
  <c r="P19"/>
  <c r="Y19"/>
  <c r="AX19"/>
  <c r="BE19"/>
  <c r="BI19"/>
  <c r="CA19"/>
  <c r="AX20"/>
  <c r="BI20"/>
  <c r="CA20"/>
  <c r="G22"/>
  <c r="AF22"/>
  <c r="AM22"/>
  <c r="AQ22"/>
  <c r="AV22"/>
  <c r="AZ22"/>
  <c r="CH22"/>
  <c r="CS22"/>
  <c r="CH26"/>
  <c r="CS26"/>
  <c r="CJ27"/>
  <c r="N28"/>
  <c r="U28"/>
  <c r="Y28"/>
  <c r="AH28"/>
  <c r="BI28"/>
  <c r="E29"/>
  <c r="L29"/>
  <c r="P29"/>
  <c r="AH29"/>
  <c r="CS30"/>
  <c r="W31"/>
  <c r="AD31"/>
  <c r="AH31"/>
  <c r="AZ31"/>
  <c r="BR31"/>
  <c r="N32"/>
  <c r="Y32"/>
  <c r="AX32"/>
  <c r="BE32"/>
  <c r="BI32"/>
  <c r="E34"/>
  <c r="P34"/>
  <c r="W37"/>
  <c r="AO37"/>
  <c r="AV37"/>
  <c r="AZ37"/>
  <c r="BR37"/>
  <c r="BW37"/>
  <c r="CA37"/>
  <c r="CF37"/>
  <c r="CJ37"/>
  <c r="CS37"/>
  <c r="G38"/>
  <c r="CJ38"/>
  <c r="D45" i="488"/>
  <c r="F45"/>
  <c r="H45"/>
  <c r="C46"/>
  <c r="E46"/>
  <c r="G46"/>
  <c r="C47"/>
  <c r="E47"/>
  <c r="G47"/>
  <c r="G8" i="467"/>
  <c r="P8"/>
  <c r="Y8"/>
  <c r="AH8"/>
  <c r="AQ8"/>
  <c r="BY8"/>
  <c r="CF8"/>
  <c r="CJ8"/>
  <c r="CS8"/>
  <c r="G9"/>
  <c r="AO9"/>
  <c r="AV9"/>
  <c r="AZ9"/>
  <c r="BR9"/>
  <c r="CA9"/>
  <c r="Y10"/>
  <c r="BR10"/>
  <c r="AZ12"/>
  <c r="CH13"/>
  <c r="CS13"/>
  <c r="G14"/>
  <c r="CQ14"/>
  <c r="G15"/>
  <c r="W15"/>
  <c r="AH15"/>
  <c r="BY16"/>
  <c r="CF16"/>
  <c r="CJ16"/>
  <c r="CS16"/>
  <c r="AX17"/>
  <c r="BI17"/>
  <c r="CA17"/>
  <c r="G21"/>
  <c r="AF21"/>
  <c r="AM21"/>
  <c r="AQ21"/>
  <c r="AV21"/>
  <c r="AZ21"/>
  <c r="BI21"/>
  <c r="BP23"/>
  <c r="BW23"/>
  <c r="CA23"/>
  <c r="E24"/>
  <c r="AF24"/>
  <c r="AX24"/>
  <c r="BP24"/>
  <c r="BW24"/>
  <c r="CA24"/>
  <c r="E25"/>
  <c r="W25"/>
  <c r="AO25"/>
  <c r="BG25"/>
  <c r="BY25"/>
  <c r="CF25"/>
  <c r="CJ25"/>
  <c r="CO25"/>
  <c r="CS25"/>
  <c r="P26"/>
  <c r="AH26"/>
  <c r="BG29"/>
  <c r="BN29"/>
  <c r="BR29"/>
  <c r="CA29"/>
  <c r="CQ29"/>
  <c r="C30"/>
  <c r="G30"/>
  <c r="Y30"/>
  <c r="AQ30"/>
  <c r="CJ32"/>
  <c r="N33"/>
  <c r="Y33"/>
  <c r="AX33"/>
  <c r="BI33"/>
  <c r="BN33"/>
  <c r="BR33"/>
  <c r="CA33"/>
  <c r="CH34"/>
  <c r="CO34"/>
  <c r="CS34"/>
  <c r="N35"/>
  <c r="U35"/>
  <c r="Y35"/>
  <c r="AD35"/>
  <c r="AH35"/>
  <c r="AQ35"/>
  <c r="CJ35"/>
  <c r="AH36"/>
  <c r="AQ36"/>
  <c r="AH38"/>
  <c r="AZ38"/>
  <c r="BR38"/>
  <c r="AF39"/>
  <c r="AM39"/>
  <c r="AQ39"/>
  <c r="AV39"/>
  <c r="AZ39"/>
  <c r="BE39"/>
  <c r="BI39"/>
  <c r="CA39"/>
  <c r="CS39"/>
  <c r="P40"/>
  <c r="AH40"/>
  <c r="CS40"/>
  <c r="BK40"/>
  <c r="BG40"/>
  <c r="CC40"/>
  <c r="BY40"/>
  <c r="F46"/>
  <c r="X46"/>
  <c r="AP46"/>
  <c r="BH46"/>
  <c r="BZ46"/>
  <c r="CR46"/>
  <c r="CH10"/>
  <c r="E11"/>
  <c r="W11"/>
  <c r="BY13"/>
  <c r="CH14"/>
  <c r="N16"/>
  <c r="AO17"/>
  <c r="BY17"/>
  <c r="CQ17"/>
  <c r="BY20"/>
  <c r="CH21"/>
  <c r="AO24"/>
  <c r="BG24"/>
  <c r="N25"/>
  <c r="AF25"/>
  <c r="AX25"/>
  <c r="BP25"/>
  <c r="CH27"/>
  <c r="CQ28"/>
  <c r="AF29"/>
  <c r="AX29"/>
  <c r="W30"/>
  <c r="AO30"/>
  <c r="BG30"/>
  <c r="BY30"/>
  <c r="AX31"/>
  <c r="BP31"/>
  <c r="CH31"/>
  <c r="BG36"/>
  <c r="N37"/>
  <c r="AF37"/>
  <c r="BP37"/>
  <c r="O46"/>
  <c r="AG46"/>
  <c r="AY46"/>
  <c r="BQ46"/>
  <c r="CI46"/>
  <c r="BP9"/>
  <c r="N13"/>
  <c r="BY19"/>
  <c r="CQ19"/>
  <c r="E21"/>
  <c r="N26"/>
  <c r="AF26"/>
  <c r="E35"/>
  <c r="AX38"/>
  <c r="BP38"/>
  <c r="E39"/>
  <c r="W39"/>
  <c r="BY39"/>
  <c r="CQ39"/>
  <c r="N40"/>
  <c r="AF40"/>
  <c r="AM40"/>
  <c r="AQ40"/>
  <c r="BI40"/>
  <c r="CA40"/>
  <c r="J41"/>
  <c r="S41"/>
  <c r="AB41"/>
  <c r="W41" s="1"/>
  <c r="AK41"/>
  <c r="AT41"/>
  <c r="BC41"/>
  <c r="BL41"/>
  <c r="BG41" s="1"/>
  <c r="BU41"/>
  <c r="CD41"/>
  <c r="CM41"/>
  <c r="CV41"/>
  <c r="CQ41" s="1"/>
  <c r="D42"/>
  <c r="M42"/>
  <c r="V42"/>
  <c r="AE42"/>
  <c r="AN42"/>
  <c r="AW42"/>
  <c r="BF42"/>
  <c r="BO42"/>
  <c r="BX42"/>
  <c r="CG42"/>
  <c r="CP42"/>
  <c r="CQ40"/>
  <c r="D38" i="488"/>
  <c r="F38"/>
  <c r="H38"/>
  <c r="D39"/>
  <c r="F39"/>
  <c r="H39"/>
  <c r="D40"/>
  <c r="F40"/>
  <c r="H40"/>
  <c r="D41"/>
  <c r="F41"/>
  <c r="H41"/>
  <c r="D44"/>
  <c r="F44"/>
  <c r="H44"/>
  <c r="C38"/>
  <c r="E38"/>
  <c r="G38"/>
  <c r="C39"/>
  <c r="E39"/>
  <c r="G39"/>
  <c r="C40"/>
  <c r="E40"/>
  <c r="G40"/>
  <c r="C41"/>
  <c r="E41"/>
  <c r="G41"/>
  <c r="C44"/>
  <c r="E44"/>
  <c r="G44"/>
  <c r="D39" i="460"/>
  <c r="F39"/>
  <c r="C41"/>
  <c r="E41"/>
  <c r="C39"/>
  <c r="E39"/>
  <c r="B40"/>
  <c r="D40"/>
  <c r="F40"/>
  <c r="B41"/>
  <c r="D41"/>
  <c r="F41"/>
  <c r="D32"/>
  <c r="F32"/>
  <c r="D33"/>
  <c r="F33"/>
  <c r="C34"/>
  <c r="E34"/>
  <c r="B35"/>
  <c r="D35"/>
  <c r="F35"/>
  <c r="D38"/>
  <c r="F38"/>
  <c r="C40"/>
  <c r="E40"/>
  <c r="C32"/>
  <c r="E32"/>
  <c r="C33"/>
  <c r="E33"/>
  <c r="B34"/>
  <c r="D34"/>
  <c r="F34"/>
  <c r="C35"/>
  <c r="E35"/>
  <c r="C38"/>
  <c r="E38"/>
  <c r="CP43" i="467" l="1"/>
  <c r="CV42"/>
  <c r="BX43"/>
  <c r="CD42"/>
  <c r="BF43"/>
  <c r="BL42"/>
  <c r="AN43"/>
  <c r="AT42"/>
  <c r="V43"/>
  <c r="AB42"/>
  <c r="D43"/>
  <c r="J42"/>
  <c r="CL41"/>
  <c r="CF41"/>
  <c r="CJ41"/>
  <c r="BT41"/>
  <c r="BN41"/>
  <c r="BR41"/>
  <c r="BB41"/>
  <c r="AV41"/>
  <c r="AZ41"/>
  <c r="AJ41"/>
  <c r="AD41"/>
  <c r="AH41"/>
  <c r="R41"/>
  <c r="L41"/>
  <c r="P41"/>
  <c r="CR47"/>
  <c r="BZ47"/>
  <c r="BH47"/>
  <c r="AP47"/>
  <c r="X47"/>
  <c r="F47"/>
  <c r="CH41"/>
  <c r="AX41"/>
  <c r="N41"/>
  <c r="CG43"/>
  <c r="CM42"/>
  <c r="BO43"/>
  <c r="BU42"/>
  <c r="AW43"/>
  <c r="BC42"/>
  <c r="AE43"/>
  <c r="AK42"/>
  <c r="M43"/>
  <c r="S42"/>
  <c r="CU41"/>
  <c r="CO41"/>
  <c r="CS41"/>
  <c r="CC41"/>
  <c r="BW41"/>
  <c r="CA41"/>
  <c r="BK41"/>
  <c r="BE41"/>
  <c r="BI41"/>
  <c r="AS41"/>
  <c r="AM41"/>
  <c r="AQ41"/>
  <c r="AA41"/>
  <c r="U41"/>
  <c r="Y41"/>
  <c r="I41"/>
  <c r="C41"/>
  <c r="G41"/>
  <c r="CI47"/>
  <c r="BQ47"/>
  <c r="AY47"/>
  <c r="AG47"/>
  <c r="O47"/>
  <c r="BY41"/>
  <c r="AO41"/>
  <c r="E41"/>
  <c r="BP41"/>
  <c r="AF41"/>
  <c r="R42" l="1"/>
  <c r="L42"/>
  <c r="P42"/>
  <c r="AE44"/>
  <c r="AK43"/>
  <c r="AF43" s="1"/>
  <c r="BB42"/>
  <c r="AV42"/>
  <c r="AZ42"/>
  <c r="BO44"/>
  <c r="BU43"/>
  <c r="BP43" s="1"/>
  <c r="CL42"/>
  <c r="CF42"/>
  <c r="CJ42"/>
  <c r="D44"/>
  <c r="J43"/>
  <c r="AA42"/>
  <c r="U42"/>
  <c r="Y42"/>
  <c r="AN44"/>
  <c r="AT43"/>
  <c r="BK42"/>
  <c r="BE42"/>
  <c r="BI42"/>
  <c r="BX44"/>
  <c r="CD43"/>
  <c r="CU42"/>
  <c r="CO42"/>
  <c r="CS42"/>
  <c r="N42"/>
  <c r="AX42"/>
  <c r="CH42"/>
  <c r="W42"/>
  <c r="BG42"/>
  <c r="CQ42"/>
  <c r="M44"/>
  <c r="S43"/>
  <c r="N43" s="1"/>
  <c r="AJ42"/>
  <c r="AD42"/>
  <c r="AH42"/>
  <c r="AW44"/>
  <c r="BC43"/>
  <c r="AX43" s="1"/>
  <c r="BT42"/>
  <c r="BN42"/>
  <c r="BR42"/>
  <c r="CG44"/>
  <c r="CM43"/>
  <c r="CH43" s="1"/>
  <c r="I42"/>
  <c r="C42"/>
  <c r="G42"/>
  <c r="V44"/>
  <c r="AB43"/>
  <c r="AS42"/>
  <c r="AM42"/>
  <c r="AQ42"/>
  <c r="BF44"/>
  <c r="BL43"/>
  <c r="CC42"/>
  <c r="BW42"/>
  <c r="CA42"/>
  <c r="CP44"/>
  <c r="CV43"/>
  <c r="AF42"/>
  <c r="BP42"/>
  <c r="E42"/>
  <c r="AO42"/>
  <c r="BY42"/>
  <c r="CP45" l="1"/>
  <c r="CV44"/>
  <c r="CQ44" s="1"/>
  <c r="BF45"/>
  <c r="BL44"/>
  <c r="V45"/>
  <c r="AB44"/>
  <c r="W44" s="1"/>
  <c r="BX45"/>
  <c r="CD44"/>
  <c r="AN45"/>
  <c r="AT44"/>
  <c r="AO44" s="1"/>
  <c r="D45"/>
  <c r="J44"/>
  <c r="CU43"/>
  <c r="CO43"/>
  <c r="CS43"/>
  <c r="BK43"/>
  <c r="BE43"/>
  <c r="BI43"/>
  <c r="AA43"/>
  <c r="U43"/>
  <c r="Y43"/>
  <c r="CL43"/>
  <c r="CF43"/>
  <c r="CJ43"/>
  <c r="CG45"/>
  <c r="CM44"/>
  <c r="CH44" s="1"/>
  <c r="BB43"/>
  <c r="AV43"/>
  <c r="AZ43"/>
  <c r="AW45"/>
  <c r="BC44"/>
  <c r="AX44" s="1"/>
  <c r="R43"/>
  <c r="L43"/>
  <c r="P43"/>
  <c r="M45"/>
  <c r="S44"/>
  <c r="N44" s="1"/>
  <c r="CC43"/>
  <c r="BW43"/>
  <c r="CA43"/>
  <c r="AS43"/>
  <c r="AM43"/>
  <c r="AQ43"/>
  <c r="I43"/>
  <c r="C43"/>
  <c r="G43"/>
  <c r="BT43"/>
  <c r="BN43"/>
  <c r="BR43"/>
  <c r="BO45"/>
  <c r="BU44"/>
  <c r="AJ43"/>
  <c r="AD43"/>
  <c r="AH43"/>
  <c r="AE45"/>
  <c r="AK44"/>
  <c r="CQ43"/>
  <c r="BG43"/>
  <c r="W43"/>
  <c r="BY43"/>
  <c r="AO43"/>
  <c r="E43"/>
  <c r="AJ44" l="1"/>
  <c r="AH44"/>
  <c r="AD44"/>
  <c r="BT44"/>
  <c r="BN44"/>
  <c r="BR44"/>
  <c r="M46"/>
  <c r="S45"/>
  <c r="N45" s="1"/>
  <c r="AW46"/>
  <c r="BC45"/>
  <c r="CG46"/>
  <c r="CM45"/>
  <c r="CH45" s="1"/>
  <c r="C44"/>
  <c r="I44"/>
  <c r="G44"/>
  <c r="AN46"/>
  <c r="AT45"/>
  <c r="AO45" s="1"/>
  <c r="BW44"/>
  <c r="CC44"/>
  <c r="CA44"/>
  <c r="V46"/>
  <c r="AB45"/>
  <c r="W45" s="1"/>
  <c r="BE44"/>
  <c r="BK44"/>
  <c r="BI44"/>
  <c r="CP46"/>
  <c r="CV45"/>
  <c r="CQ45" s="1"/>
  <c r="AE46"/>
  <c r="AK45"/>
  <c r="BO46"/>
  <c r="BU45"/>
  <c r="BP45" s="1"/>
  <c r="R44"/>
  <c r="L44"/>
  <c r="P44"/>
  <c r="BB44"/>
  <c r="AZ44"/>
  <c r="AV44"/>
  <c r="CL44"/>
  <c r="CF44"/>
  <c r="CJ44"/>
  <c r="D46"/>
  <c r="J45"/>
  <c r="E45" s="1"/>
  <c r="AM44"/>
  <c r="AS44"/>
  <c r="AQ44"/>
  <c r="BX46"/>
  <c r="CD45"/>
  <c r="BY45" s="1"/>
  <c r="U44"/>
  <c r="AA44"/>
  <c r="Y44"/>
  <c r="BF46"/>
  <c r="BL45"/>
  <c r="BG45" s="1"/>
  <c r="CO44"/>
  <c r="CU44"/>
  <c r="CS44"/>
  <c r="AF44"/>
  <c r="BP44"/>
  <c r="E44"/>
  <c r="BY44"/>
  <c r="BG44"/>
  <c r="BL46" l="1"/>
  <c r="BF47"/>
  <c r="CD46"/>
  <c r="BY46" s="1"/>
  <c r="BY47" s="1"/>
  <c r="BX47"/>
  <c r="J46"/>
  <c r="D47"/>
  <c r="BO47"/>
  <c r="BU46"/>
  <c r="AD45"/>
  <c r="AJ45"/>
  <c r="AH45"/>
  <c r="CV46"/>
  <c r="CQ46" s="1"/>
  <c r="CQ47" s="1"/>
  <c r="CP47"/>
  <c r="AB46"/>
  <c r="V47"/>
  <c r="AT46"/>
  <c r="AO46" s="1"/>
  <c r="AO47" s="1"/>
  <c r="AN47"/>
  <c r="CG47"/>
  <c r="CM46"/>
  <c r="CH46" s="1"/>
  <c r="CH47" s="1"/>
  <c r="AV45"/>
  <c r="BB45"/>
  <c r="AZ45"/>
  <c r="M47"/>
  <c r="S46"/>
  <c r="N46" s="1"/>
  <c r="N47" s="1"/>
  <c r="BK45"/>
  <c r="BE45"/>
  <c r="BI45"/>
  <c r="CC45"/>
  <c r="BW45"/>
  <c r="CA45"/>
  <c r="I45"/>
  <c r="C45"/>
  <c r="G45"/>
  <c r="BN45"/>
  <c r="BT45"/>
  <c r="BR45"/>
  <c r="AE47"/>
  <c r="AK46"/>
  <c r="CU45"/>
  <c r="CO45"/>
  <c r="CS45"/>
  <c r="AA45"/>
  <c r="U45"/>
  <c r="Y45"/>
  <c r="AS45"/>
  <c r="AM45"/>
  <c r="AQ45"/>
  <c r="CF45"/>
  <c r="CL45"/>
  <c r="CJ45"/>
  <c r="AW47"/>
  <c r="BC46"/>
  <c r="AX46" s="1"/>
  <c r="AX47" s="1"/>
  <c r="L45"/>
  <c r="R45"/>
  <c r="P45"/>
  <c r="AF45"/>
  <c r="AX45"/>
  <c r="AK47" l="1"/>
  <c r="AJ46"/>
  <c r="AJ47" s="1"/>
  <c r="AD46"/>
  <c r="AD47" s="1"/>
  <c r="AH46"/>
  <c r="AH47" s="1"/>
  <c r="U46"/>
  <c r="U47" s="1"/>
  <c r="AB47"/>
  <c r="AA46"/>
  <c r="AA47" s="1"/>
  <c r="Y46"/>
  <c r="Y47" s="1"/>
  <c r="BU47"/>
  <c r="BT46"/>
  <c r="BT47" s="1"/>
  <c r="BN46"/>
  <c r="BN47" s="1"/>
  <c r="BR46"/>
  <c r="BR47" s="1"/>
  <c r="C46"/>
  <c r="C47" s="1"/>
  <c r="J47"/>
  <c r="I46"/>
  <c r="I47" s="1"/>
  <c r="G46"/>
  <c r="G47" s="1"/>
  <c r="BE46"/>
  <c r="BE47" s="1"/>
  <c r="BL47"/>
  <c r="BK46"/>
  <c r="BK47" s="1"/>
  <c r="BI46"/>
  <c r="BI47" s="1"/>
  <c r="BC47"/>
  <c r="BB46"/>
  <c r="BB47" s="1"/>
  <c r="AV46"/>
  <c r="AV47" s="1"/>
  <c r="AZ46"/>
  <c r="AZ47" s="1"/>
  <c r="S47"/>
  <c r="R46"/>
  <c r="R47" s="1"/>
  <c r="L46"/>
  <c r="L47" s="1"/>
  <c r="P46"/>
  <c r="P47" s="1"/>
  <c r="CM47"/>
  <c r="CL46"/>
  <c r="CL47" s="1"/>
  <c r="CF46"/>
  <c r="CF47" s="1"/>
  <c r="CJ46"/>
  <c r="CJ47" s="1"/>
  <c r="AM46"/>
  <c r="AM47" s="1"/>
  <c r="AT47"/>
  <c r="AS46"/>
  <c r="AS47" s="1"/>
  <c r="AQ46"/>
  <c r="AQ47" s="1"/>
  <c r="CO46"/>
  <c r="CO47" s="1"/>
  <c r="CV47"/>
  <c r="CU46"/>
  <c r="CU47" s="1"/>
  <c r="CS46"/>
  <c r="CS47" s="1"/>
  <c r="BW46"/>
  <c r="BW47" s="1"/>
  <c r="CD47"/>
  <c r="CC46"/>
  <c r="CC47" s="1"/>
  <c r="CA46"/>
  <c r="CA47" s="1"/>
  <c r="AF46"/>
  <c r="AF47" s="1"/>
  <c r="W46"/>
  <c r="W47" s="1"/>
  <c r="BP46"/>
  <c r="BP47" s="1"/>
  <c r="E46"/>
  <c r="E47" s="1"/>
  <c r="BG46"/>
  <c r="BG47" s="1"/>
  <c r="B72" i="346" l="1"/>
  <c r="B37" i="486"/>
  <c r="B36"/>
  <c r="B35"/>
  <c r="B34"/>
  <c r="B33"/>
  <c r="B32"/>
  <c r="B31"/>
  <c r="B30"/>
  <c r="B29"/>
  <c r="B28"/>
  <c r="B27"/>
  <c r="B26"/>
  <c r="B25"/>
  <c r="B24"/>
  <c r="B23"/>
  <c r="B22"/>
  <c r="B21"/>
  <c r="B20"/>
  <c r="B19"/>
  <c r="B18"/>
  <c r="B17"/>
  <c r="B16"/>
  <c r="B15"/>
  <c r="B14"/>
  <c r="B13"/>
  <c r="B12"/>
  <c r="B11"/>
  <c r="B10"/>
  <c r="B9"/>
  <c r="B8"/>
  <c r="B7"/>
  <c r="B6"/>
  <c r="T45"/>
  <c r="S45"/>
  <c r="T41"/>
  <c r="S41"/>
  <c r="T40"/>
  <c r="S40"/>
  <c r="B40"/>
  <c r="G49" i="286"/>
  <c r="W48"/>
  <c r="V48"/>
  <c r="G48"/>
  <c r="G46"/>
  <c r="W45"/>
  <c r="V45"/>
  <c r="G45"/>
  <c r="W44"/>
  <c r="V44"/>
  <c r="G44"/>
  <c r="W43"/>
  <c r="V43"/>
  <c r="G43"/>
  <c r="G42"/>
  <c r="W41"/>
  <c r="V41"/>
  <c r="G41"/>
  <c r="W40"/>
  <c r="V40"/>
  <c r="G40"/>
  <c r="F38"/>
  <c r="E38"/>
  <c r="E38" i="486" s="1"/>
  <c r="D38" i="286"/>
  <c r="C38"/>
  <c r="C38" i="486" s="1"/>
  <c r="B38" i="286"/>
  <c r="F37"/>
  <c r="F37" i="486" s="1"/>
  <c r="E37" i="286"/>
  <c r="D37"/>
  <c r="D37" i="486" s="1"/>
  <c r="C37" i="286"/>
  <c r="B37"/>
  <c r="F36"/>
  <c r="E36"/>
  <c r="D36"/>
  <c r="C36"/>
  <c r="B36"/>
  <c r="J36" s="1"/>
  <c r="F35"/>
  <c r="E35"/>
  <c r="D35"/>
  <c r="D35" i="486" s="1"/>
  <c r="C35" i="286"/>
  <c r="B35"/>
  <c r="J35" s="1"/>
  <c r="K35" s="1"/>
  <c r="F34"/>
  <c r="F34" i="486" s="1"/>
  <c r="E34" i="286"/>
  <c r="D34"/>
  <c r="D34" i="486" s="1"/>
  <c r="C34" i="286"/>
  <c r="B34"/>
  <c r="J34" s="1"/>
  <c r="K34" s="1"/>
  <c r="F33"/>
  <c r="F33" i="486" s="1"/>
  <c r="E33" i="286"/>
  <c r="D33"/>
  <c r="D33" i="486" s="1"/>
  <c r="C33" i="286"/>
  <c r="B33"/>
  <c r="J33" s="1"/>
  <c r="K33" s="1"/>
  <c r="F32"/>
  <c r="F32" i="486" s="1"/>
  <c r="E32" i="286"/>
  <c r="D32"/>
  <c r="D32" i="486" s="1"/>
  <c r="C32" i="286"/>
  <c r="B32"/>
  <c r="J32" s="1"/>
  <c r="K32" s="1"/>
  <c r="F31"/>
  <c r="E31"/>
  <c r="D31"/>
  <c r="D31" i="486" s="1"/>
  <c r="C31" i="286"/>
  <c r="B31"/>
  <c r="J31" s="1"/>
  <c r="K31" s="1"/>
  <c r="F30"/>
  <c r="E30"/>
  <c r="D30"/>
  <c r="C30"/>
  <c r="C30" i="486" s="1"/>
  <c r="B30" i="286"/>
  <c r="J30" s="1"/>
  <c r="F29"/>
  <c r="F29" i="486" s="1"/>
  <c r="E29" i="286"/>
  <c r="D29"/>
  <c r="D29" i="486" s="1"/>
  <c r="C29" i="286"/>
  <c r="B29"/>
  <c r="J29" s="1"/>
  <c r="K29" s="1"/>
  <c r="F28"/>
  <c r="F28" i="486" s="1"/>
  <c r="E28" i="286"/>
  <c r="D28"/>
  <c r="D28" i="486" s="1"/>
  <c r="C28" i="286"/>
  <c r="B28"/>
  <c r="J28" s="1"/>
  <c r="K28" s="1"/>
  <c r="F27"/>
  <c r="F27" i="486" s="1"/>
  <c r="E27" i="286"/>
  <c r="D27"/>
  <c r="D27" i="486" s="1"/>
  <c r="C27" i="286"/>
  <c r="B27"/>
  <c r="J27" s="1"/>
  <c r="K27" s="1"/>
  <c r="F26"/>
  <c r="F26" i="486" s="1"/>
  <c r="E26" i="286"/>
  <c r="D26"/>
  <c r="D26" i="486" s="1"/>
  <c r="C26" i="286"/>
  <c r="B26"/>
  <c r="J26" s="1"/>
  <c r="K26" s="1"/>
  <c r="F25"/>
  <c r="F25" i="486" s="1"/>
  <c r="E25" i="286"/>
  <c r="D25"/>
  <c r="D25" i="486" s="1"/>
  <c r="C25" i="286"/>
  <c r="B25"/>
  <c r="J25" s="1"/>
  <c r="K25" s="1"/>
  <c r="F24"/>
  <c r="F24" i="486" s="1"/>
  <c r="E24" i="286"/>
  <c r="D24"/>
  <c r="D24" i="486" s="1"/>
  <c r="C24" i="286"/>
  <c r="B24"/>
  <c r="J24" s="1"/>
  <c r="K24" s="1"/>
  <c r="F23"/>
  <c r="F23" i="486" s="1"/>
  <c r="E23" i="286"/>
  <c r="D23"/>
  <c r="D23" i="486" s="1"/>
  <c r="C23" i="286"/>
  <c r="B23"/>
  <c r="J23" s="1"/>
  <c r="K23" s="1"/>
  <c r="F22"/>
  <c r="F22" i="486" s="1"/>
  <c r="E22" i="286"/>
  <c r="D22"/>
  <c r="D22" i="486" s="1"/>
  <c r="C22" i="286"/>
  <c r="B22"/>
  <c r="J22" s="1"/>
  <c r="K22" s="1"/>
  <c r="F21"/>
  <c r="F21" i="486" s="1"/>
  <c r="E21" i="286"/>
  <c r="D21"/>
  <c r="D21" i="486" s="1"/>
  <c r="C21" i="286"/>
  <c r="B21"/>
  <c r="J21" s="1"/>
  <c r="K21" s="1"/>
  <c r="F20"/>
  <c r="F20" i="486" s="1"/>
  <c r="E20" i="286"/>
  <c r="D20"/>
  <c r="D20" i="486" s="1"/>
  <c r="C20" i="286"/>
  <c r="B20"/>
  <c r="J20" s="1"/>
  <c r="K20" s="1"/>
  <c r="F19"/>
  <c r="E19"/>
  <c r="D19"/>
  <c r="C19"/>
  <c r="B19"/>
  <c r="J19" s="1"/>
  <c r="K19" s="1"/>
  <c r="F18"/>
  <c r="F18" i="486" s="1"/>
  <c r="E18" i="286"/>
  <c r="D18"/>
  <c r="D18" i="486" s="1"/>
  <c r="C18" i="286"/>
  <c r="B18"/>
  <c r="J18" s="1"/>
  <c r="K18" s="1"/>
  <c r="F17"/>
  <c r="F17" i="486" s="1"/>
  <c r="E17" i="286"/>
  <c r="D17"/>
  <c r="D17" i="486" s="1"/>
  <c r="C17" i="286"/>
  <c r="B17"/>
  <c r="J17" s="1"/>
  <c r="K17" s="1"/>
  <c r="F16"/>
  <c r="F16" i="486" s="1"/>
  <c r="E16" i="286"/>
  <c r="D16"/>
  <c r="D16" i="486" s="1"/>
  <c r="C16" i="286"/>
  <c r="B16"/>
  <c r="J16" s="1"/>
  <c r="K16" s="1"/>
  <c r="F15"/>
  <c r="F15" i="486" s="1"/>
  <c r="E15" i="286"/>
  <c r="D15"/>
  <c r="D15" i="486" s="1"/>
  <c r="C15" i="286"/>
  <c r="B15"/>
  <c r="J15" s="1"/>
  <c r="K15" s="1"/>
  <c r="F14"/>
  <c r="F14" i="486" s="1"/>
  <c r="E14" i="286"/>
  <c r="D14"/>
  <c r="D14" i="486" s="1"/>
  <c r="C14" i="286"/>
  <c r="B14"/>
  <c r="J14" s="1"/>
  <c r="K14" s="1"/>
  <c r="F13"/>
  <c r="F13" i="486" s="1"/>
  <c r="E13" i="286"/>
  <c r="D13"/>
  <c r="D13" i="486" s="1"/>
  <c r="C13" i="286"/>
  <c r="B13"/>
  <c r="J13" s="1"/>
  <c r="K13" s="1"/>
  <c r="F12"/>
  <c r="F12" i="486" s="1"/>
  <c r="E12" i="286"/>
  <c r="D12"/>
  <c r="D12" i="486" s="1"/>
  <c r="C12" i="286"/>
  <c r="B12"/>
  <c r="J12" s="1"/>
  <c r="K12" s="1"/>
  <c r="F11"/>
  <c r="F11" i="486" s="1"/>
  <c r="E11" i="286"/>
  <c r="D11"/>
  <c r="D11" i="486" s="1"/>
  <c r="C11" i="286"/>
  <c r="B11"/>
  <c r="J11" s="1"/>
  <c r="K11" s="1"/>
  <c r="F10"/>
  <c r="E10"/>
  <c r="E10" i="486" s="1"/>
  <c r="D10" i="286"/>
  <c r="D10" i="486" s="1"/>
  <c r="C10" i="286"/>
  <c r="B10"/>
  <c r="J10" s="1"/>
  <c r="K10" s="1"/>
  <c r="F9"/>
  <c r="F9" i="486" s="1"/>
  <c r="E9" i="286"/>
  <c r="D9"/>
  <c r="D9" i="486" s="1"/>
  <c r="C9" i="286"/>
  <c r="B9"/>
  <c r="J9" s="1"/>
  <c r="K9" s="1"/>
  <c r="F8"/>
  <c r="E8"/>
  <c r="E8" i="486" s="1"/>
  <c r="D8" i="286"/>
  <c r="D8" i="486" s="1"/>
  <c r="C8" i="286"/>
  <c r="B8"/>
  <c r="J8" s="1"/>
  <c r="K8" s="1"/>
  <c r="F7"/>
  <c r="F7" i="486" s="1"/>
  <c r="E7" i="286"/>
  <c r="D7"/>
  <c r="D7" i="486" s="1"/>
  <c r="C7" i="286"/>
  <c r="B7"/>
  <c r="J7" s="1"/>
  <c r="K7" s="1"/>
  <c r="F6"/>
  <c r="E6"/>
  <c r="E6" i="486" s="1"/>
  <c r="D6" i="286"/>
  <c r="D6" i="486" s="1"/>
  <c r="C6" i="286"/>
  <c r="B6"/>
  <c r="J6" s="1"/>
  <c r="K6" s="1"/>
  <c r="D31" i="279"/>
  <c r="V31" s="1"/>
  <c r="D30"/>
  <c r="V30" s="1"/>
  <c r="D29"/>
  <c r="V29" s="1"/>
  <c r="D28"/>
  <c r="V28" s="1"/>
  <c r="D27"/>
  <c r="V27" s="1"/>
  <c r="D26"/>
  <c r="V26" s="1"/>
  <c r="D25"/>
  <c r="V25" s="1"/>
  <c r="D24"/>
  <c r="V24" s="1"/>
  <c r="D23"/>
  <c r="V23" s="1"/>
  <c r="D22"/>
  <c r="V22" s="1"/>
  <c r="D21"/>
  <c r="V21" s="1"/>
  <c r="D20"/>
  <c r="V20" s="1"/>
  <c r="D19"/>
  <c r="V19" s="1"/>
  <c r="D18"/>
  <c r="V18" s="1"/>
  <c r="D17"/>
  <c r="V17" s="1"/>
  <c r="D16"/>
  <c r="V16" s="1"/>
  <c r="D15"/>
  <c r="V15" s="1"/>
  <c r="D14"/>
  <c r="V14" s="1"/>
  <c r="D13"/>
  <c r="V13" s="1"/>
  <c r="D12"/>
  <c r="V12" s="1"/>
  <c r="D11"/>
  <c r="V11" s="1"/>
  <c r="D10"/>
  <c r="V10" s="1"/>
  <c r="D9"/>
  <c r="V9" s="1"/>
  <c r="D8"/>
  <c r="V8" s="1"/>
  <c r="D7"/>
  <c r="V7" s="1"/>
  <c r="D6"/>
  <c r="V6" s="1"/>
  <c r="D5"/>
  <c r="V5" s="1"/>
  <c r="O32"/>
  <c r="O31"/>
  <c r="P31" s="1"/>
  <c r="C31" s="1"/>
  <c r="O30"/>
  <c r="P30" s="1"/>
  <c r="C30" s="1"/>
  <c r="O29"/>
  <c r="P29" s="1"/>
  <c r="C29" s="1"/>
  <c r="O28"/>
  <c r="P28" s="1"/>
  <c r="C28" s="1"/>
  <c r="O27"/>
  <c r="P27" s="1"/>
  <c r="B27" s="1"/>
  <c r="O26"/>
  <c r="P26" s="1"/>
  <c r="O25"/>
  <c r="P25" s="1"/>
  <c r="C25" s="1"/>
  <c r="O24"/>
  <c r="P24" s="1"/>
  <c r="C24" s="1"/>
  <c r="O23"/>
  <c r="P23" s="1"/>
  <c r="C23" s="1"/>
  <c r="O22"/>
  <c r="P22" s="1"/>
  <c r="C22" s="1"/>
  <c r="O21"/>
  <c r="P21" s="1"/>
  <c r="B21" s="1"/>
  <c r="O20"/>
  <c r="P20" s="1"/>
  <c r="O19"/>
  <c r="P19" s="1"/>
  <c r="C19" s="1"/>
  <c r="O18"/>
  <c r="P18" s="1"/>
  <c r="C18" s="1"/>
  <c r="O17"/>
  <c r="P17" s="1"/>
  <c r="B17" s="1"/>
  <c r="O16"/>
  <c r="P16" s="1"/>
  <c r="O15"/>
  <c r="P15" s="1"/>
  <c r="C15" s="1"/>
  <c r="O14"/>
  <c r="P14" s="1"/>
  <c r="C14" s="1"/>
  <c r="O13"/>
  <c r="P13" s="1"/>
  <c r="B13" s="1"/>
  <c r="O12"/>
  <c r="P12" s="1"/>
  <c r="C12" s="1"/>
  <c r="O11"/>
  <c r="P11" s="1"/>
  <c r="B11" s="1"/>
  <c r="O10"/>
  <c r="P10" s="1"/>
  <c r="O9"/>
  <c r="P9" s="1"/>
  <c r="B9" s="1"/>
  <c r="O8"/>
  <c r="P8" s="1"/>
  <c r="B8" s="1"/>
  <c r="O7"/>
  <c r="P7" s="1"/>
  <c r="C7" s="1"/>
  <c r="O6"/>
  <c r="P6" s="1"/>
  <c r="O5"/>
  <c r="P5" s="1"/>
  <c r="C5" s="1"/>
  <c r="L38" i="313"/>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2"/>
  <c r="K32"/>
  <c r="J32"/>
  <c r="I32"/>
  <c r="H32"/>
  <c r="G32"/>
  <c r="F32"/>
  <c r="E32"/>
  <c r="D32"/>
  <c r="C32"/>
  <c r="B32"/>
  <c r="L3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37" i="27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2"/>
  <c r="K32"/>
  <c r="J32"/>
  <c r="I32"/>
  <c r="H32"/>
  <c r="G32"/>
  <c r="F32"/>
  <c r="E32"/>
  <c r="D32"/>
  <c r="C32"/>
  <c r="B32"/>
  <c r="L3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B42" i="486" l="1"/>
  <c r="D38" i="279"/>
  <c r="P32"/>
  <c r="C32" s="1"/>
  <c r="C37" s="1"/>
  <c r="D45"/>
  <c r="D44"/>
  <c r="B41" i="486"/>
  <c r="I19" i="286"/>
  <c r="F12" i="457" s="1"/>
  <c r="H11" i="286"/>
  <c r="I11"/>
  <c r="O11" s="1"/>
  <c r="H12"/>
  <c r="I12"/>
  <c r="H13"/>
  <c r="I13"/>
  <c r="H14"/>
  <c r="I14"/>
  <c r="H15"/>
  <c r="I15"/>
  <c r="H16"/>
  <c r="I16"/>
  <c r="H17"/>
  <c r="I17"/>
  <c r="H18"/>
  <c r="I18"/>
  <c r="H20"/>
  <c r="H26"/>
  <c r="H34"/>
  <c r="I34"/>
  <c r="I20"/>
  <c r="H21"/>
  <c r="I21"/>
  <c r="H22"/>
  <c r="I22"/>
  <c r="H23"/>
  <c r="I23"/>
  <c r="H24"/>
  <c r="I24"/>
  <c r="H25"/>
  <c r="I25"/>
  <c r="H27"/>
  <c r="D34" i="279"/>
  <c r="B15"/>
  <c r="B23"/>
  <c r="B29"/>
  <c r="D42"/>
  <c r="H7" i="286"/>
  <c r="I7"/>
  <c r="H8"/>
  <c r="B42"/>
  <c r="B40" i="277"/>
  <c r="D40"/>
  <c r="F40"/>
  <c r="H40"/>
  <c r="J40"/>
  <c r="L40"/>
  <c r="D20" i="313"/>
  <c r="F20"/>
  <c r="H20"/>
  <c r="J20"/>
  <c r="L20"/>
  <c r="D24"/>
  <c r="D40"/>
  <c r="F40"/>
  <c r="H40"/>
  <c r="J40"/>
  <c r="L40"/>
  <c r="E41"/>
  <c r="G41"/>
  <c r="I41"/>
  <c r="K41"/>
  <c r="C9" i="279"/>
  <c r="B19"/>
  <c r="B25"/>
  <c r="I26" i="286"/>
  <c r="I27"/>
  <c r="H28"/>
  <c r="I28"/>
  <c r="H29"/>
  <c r="I29"/>
  <c r="I30"/>
  <c r="H31"/>
  <c r="L31"/>
  <c r="H35"/>
  <c r="L35"/>
  <c r="B10" i="279"/>
  <c r="C10"/>
  <c r="C16"/>
  <c r="B16"/>
  <c r="C26"/>
  <c r="B26"/>
  <c r="C6"/>
  <c r="B6"/>
  <c r="C20"/>
  <c r="B20"/>
  <c r="J44" i="286"/>
  <c r="K36"/>
  <c r="B39" i="277"/>
  <c r="D39"/>
  <c r="F39"/>
  <c r="H39"/>
  <c r="J39"/>
  <c r="L39"/>
  <c r="C40"/>
  <c r="E40"/>
  <c r="G40"/>
  <c r="I40"/>
  <c r="K40"/>
  <c r="C44"/>
  <c r="E44"/>
  <c r="G44"/>
  <c r="I44"/>
  <c r="K44"/>
  <c r="C20" i="313"/>
  <c r="E20"/>
  <c r="G20"/>
  <c r="I20"/>
  <c r="K20"/>
  <c r="C24"/>
  <c r="E24"/>
  <c r="G24"/>
  <c r="I24"/>
  <c r="K24"/>
  <c r="C40"/>
  <c r="E40"/>
  <c r="G40"/>
  <c r="I40"/>
  <c r="K40"/>
  <c r="D41"/>
  <c r="F41"/>
  <c r="H41"/>
  <c r="J41"/>
  <c r="L41"/>
  <c r="C44"/>
  <c r="E44"/>
  <c r="G44"/>
  <c r="I44"/>
  <c r="K44"/>
  <c r="C11" i="279"/>
  <c r="B12"/>
  <c r="C13"/>
  <c r="C38" s="1"/>
  <c r="B14"/>
  <c r="C17"/>
  <c r="B18"/>
  <c r="C21"/>
  <c r="B22"/>
  <c r="B24"/>
  <c r="C27"/>
  <c r="B28"/>
  <c r="B30"/>
  <c r="B5"/>
  <c r="B7"/>
  <c r="H6" i="286"/>
  <c r="I8"/>
  <c r="H9"/>
  <c r="I9"/>
  <c r="H10"/>
  <c r="B40"/>
  <c r="D40"/>
  <c r="F40"/>
  <c r="B41"/>
  <c r="D41"/>
  <c r="F41"/>
  <c r="I31"/>
  <c r="H32"/>
  <c r="I32"/>
  <c r="H33"/>
  <c r="L33"/>
  <c r="I35"/>
  <c r="C44"/>
  <c r="I36"/>
  <c r="F29" i="457" s="1"/>
  <c r="H37" i="286"/>
  <c r="E48"/>
  <c r="B49"/>
  <c r="D49"/>
  <c r="F49"/>
  <c r="C6" i="486"/>
  <c r="G6" s="1"/>
  <c r="C8"/>
  <c r="G8" s="1"/>
  <c r="C10"/>
  <c r="G10" s="1"/>
  <c r="C12"/>
  <c r="G12" s="1"/>
  <c r="E12"/>
  <c r="H12" s="1"/>
  <c r="L12" s="1"/>
  <c r="C14"/>
  <c r="G14" s="1"/>
  <c r="E14"/>
  <c r="H14" s="1"/>
  <c r="L14" s="1"/>
  <c r="C16"/>
  <c r="G16" s="1"/>
  <c r="E16"/>
  <c r="H16" s="1"/>
  <c r="L16" s="1"/>
  <c r="C18"/>
  <c r="G18" s="1"/>
  <c r="E18"/>
  <c r="H18" s="1"/>
  <c r="L18" s="1"/>
  <c r="D19"/>
  <c r="D40" s="1"/>
  <c r="F19"/>
  <c r="F40" s="1"/>
  <c r="C20"/>
  <c r="G20" s="1"/>
  <c r="E20"/>
  <c r="H20" s="1"/>
  <c r="L20" s="1"/>
  <c r="C22"/>
  <c r="G22" s="1"/>
  <c r="E22"/>
  <c r="H22" s="1"/>
  <c r="L22" s="1"/>
  <c r="C24"/>
  <c r="G24" s="1"/>
  <c r="E24"/>
  <c r="H24" s="1"/>
  <c r="L24" s="1"/>
  <c r="C26"/>
  <c r="G26" s="1"/>
  <c r="E26"/>
  <c r="H26" s="1"/>
  <c r="L26" s="1"/>
  <c r="C28"/>
  <c r="G28" s="1"/>
  <c r="E28"/>
  <c r="H28" s="1"/>
  <c r="L28" s="1"/>
  <c r="E30"/>
  <c r="F31"/>
  <c r="C32"/>
  <c r="G32" s="1"/>
  <c r="E32"/>
  <c r="I32" s="1"/>
  <c r="C34"/>
  <c r="G34" s="1"/>
  <c r="E34"/>
  <c r="I34" s="1"/>
  <c r="F35"/>
  <c r="C36"/>
  <c r="E36"/>
  <c r="C39" i="277"/>
  <c r="E39"/>
  <c r="G39"/>
  <c r="I39"/>
  <c r="K39"/>
  <c r="B42"/>
  <c r="D42"/>
  <c r="F42"/>
  <c r="H42"/>
  <c r="J42"/>
  <c r="L42"/>
  <c r="F24" i="313"/>
  <c r="H24"/>
  <c r="J24"/>
  <c r="L24"/>
  <c r="D44"/>
  <c r="F44"/>
  <c r="H44"/>
  <c r="J44"/>
  <c r="L44"/>
  <c r="C8" i="279"/>
  <c r="B31"/>
  <c r="I6" i="286"/>
  <c r="I10"/>
  <c r="C40"/>
  <c r="J40"/>
  <c r="C41"/>
  <c r="J41"/>
  <c r="I33"/>
  <c r="B44"/>
  <c r="D44"/>
  <c r="F44"/>
  <c r="B48"/>
  <c r="D48"/>
  <c r="F48"/>
  <c r="C49"/>
  <c r="I38"/>
  <c r="J38"/>
  <c r="K38" s="1"/>
  <c r="K30"/>
  <c r="K41" s="1"/>
  <c r="B43"/>
  <c r="F6" i="486"/>
  <c r="H6" s="1"/>
  <c r="C7"/>
  <c r="G7" s="1"/>
  <c r="E7"/>
  <c r="H7" s="1"/>
  <c r="F8"/>
  <c r="H8" s="1"/>
  <c r="C9"/>
  <c r="G9" s="1"/>
  <c r="E9"/>
  <c r="H9" s="1"/>
  <c r="F10"/>
  <c r="H10" s="1"/>
  <c r="C11"/>
  <c r="G11" s="1"/>
  <c r="E11"/>
  <c r="H11" s="1"/>
  <c r="L11" s="1"/>
  <c r="C13"/>
  <c r="G13" s="1"/>
  <c r="E13"/>
  <c r="H13" s="1"/>
  <c r="L13" s="1"/>
  <c r="C15"/>
  <c r="G15" s="1"/>
  <c r="E15"/>
  <c r="H15" s="1"/>
  <c r="L15" s="1"/>
  <c r="C17"/>
  <c r="G17" s="1"/>
  <c r="E17"/>
  <c r="H17" s="1"/>
  <c r="L17" s="1"/>
  <c r="C19"/>
  <c r="C40" s="1"/>
  <c r="E19"/>
  <c r="E40" s="1"/>
  <c r="C21"/>
  <c r="G21" s="1"/>
  <c r="E21"/>
  <c r="H21" s="1"/>
  <c r="L21" s="1"/>
  <c r="C23"/>
  <c r="G23" s="1"/>
  <c r="E23"/>
  <c r="H23" s="1"/>
  <c r="L23" s="1"/>
  <c r="C25"/>
  <c r="G25" s="1"/>
  <c r="E25"/>
  <c r="H25" s="1"/>
  <c r="L25" s="1"/>
  <c r="C27"/>
  <c r="G27" s="1"/>
  <c r="E27"/>
  <c r="H27" s="1"/>
  <c r="L27" s="1"/>
  <c r="C29"/>
  <c r="G29" s="1"/>
  <c r="E29"/>
  <c r="H29" s="1"/>
  <c r="L29" s="1"/>
  <c r="D30"/>
  <c r="D41" s="1"/>
  <c r="F30"/>
  <c r="F41" s="1"/>
  <c r="C31"/>
  <c r="G31" s="1"/>
  <c r="E31"/>
  <c r="H31" s="1"/>
  <c r="L31" s="1"/>
  <c r="C33"/>
  <c r="G33" s="1"/>
  <c r="E33"/>
  <c r="H33" s="1"/>
  <c r="L33" s="1"/>
  <c r="C35"/>
  <c r="G35" s="1"/>
  <c r="E35"/>
  <c r="D36"/>
  <c r="F36"/>
  <c r="C37"/>
  <c r="C45" s="1"/>
  <c r="E37"/>
  <c r="E45" s="1"/>
  <c r="D38"/>
  <c r="G38" s="1"/>
  <c r="F38"/>
  <c r="H38" s="1"/>
  <c r="B41" i="279"/>
  <c r="B43" i="486"/>
  <c r="B36" i="279"/>
  <c r="H19" i="486"/>
  <c r="G37"/>
  <c r="D42"/>
  <c r="F42"/>
  <c r="C43"/>
  <c r="B45"/>
  <c r="D45"/>
  <c r="F45"/>
  <c r="C42"/>
  <c r="I44" i="286"/>
  <c r="O19"/>
  <c r="I46"/>
  <c r="H19"/>
  <c r="H30"/>
  <c r="L30"/>
  <c r="L32"/>
  <c r="L34"/>
  <c r="H36"/>
  <c r="H44" s="1"/>
  <c r="I37"/>
  <c r="F30" i="457" s="1"/>
  <c r="H38" i="286"/>
  <c r="E40"/>
  <c r="E41"/>
  <c r="C42"/>
  <c r="E42"/>
  <c r="C43"/>
  <c r="E43"/>
  <c r="E44"/>
  <c r="C45"/>
  <c r="E45"/>
  <c r="C46"/>
  <c r="E46"/>
  <c r="C48"/>
  <c r="E49"/>
  <c r="K40"/>
  <c r="J37"/>
  <c r="K37" s="1"/>
  <c r="D42"/>
  <c r="F42"/>
  <c r="D43"/>
  <c r="F43"/>
  <c r="J43"/>
  <c r="B45"/>
  <c r="D45"/>
  <c r="F45"/>
  <c r="B46"/>
  <c r="D46"/>
  <c r="F46"/>
  <c r="C46" i="279"/>
  <c r="C44"/>
  <c r="C35"/>
  <c r="D35"/>
  <c r="D37"/>
  <c r="D39"/>
  <c r="C40"/>
  <c r="D41"/>
  <c r="C42"/>
  <c r="D46"/>
  <c r="D36"/>
  <c r="D40"/>
  <c r="D21" i="313"/>
  <c r="F21"/>
  <c r="H21"/>
  <c r="J21"/>
  <c r="L21"/>
  <c r="D22"/>
  <c r="F22"/>
  <c r="H22"/>
  <c r="J22"/>
  <c r="L22"/>
  <c r="D42"/>
  <c r="F42"/>
  <c r="H42"/>
  <c r="J42"/>
  <c r="L42"/>
  <c r="C21"/>
  <c r="E21"/>
  <c r="G21"/>
  <c r="I21"/>
  <c r="K21"/>
  <c r="C22"/>
  <c r="E22"/>
  <c r="G22"/>
  <c r="I22"/>
  <c r="K22"/>
  <c r="C41"/>
  <c r="C42"/>
  <c r="E42"/>
  <c r="G42"/>
  <c r="I42"/>
  <c r="K42"/>
  <c r="B41" i="277"/>
  <c r="D41"/>
  <c r="F41"/>
  <c r="H41"/>
  <c r="J41"/>
  <c r="L41"/>
  <c r="C42"/>
  <c r="E42"/>
  <c r="G42"/>
  <c r="I42"/>
  <c r="K42"/>
  <c r="B44"/>
  <c r="D44"/>
  <c r="F44"/>
  <c r="H44"/>
  <c r="J44"/>
  <c r="L44"/>
  <c r="C41"/>
  <c r="E41"/>
  <c r="G41"/>
  <c r="I41"/>
  <c r="K41"/>
  <c r="B35" i="279" l="1"/>
  <c r="F31" i="457"/>
  <c r="O33" i="286"/>
  <c r="F26" i="457"/>
  <c r="O35" i="286"/>
  <c r="F28" i="457"/>
  <c r="O32" i="286"/>
  <c r="F25" i="457"/>
  <c r="O31" i="286"/>
  <c r="F24" i="457"/>
  <c r="O30" i="286"/>
  <c r="F23" i="457"/>
  <c r="O29" i="286"/>
  <c r="F22" i="457"/>
  <c r="O28" i="286"/>
  <c r="F21" i="457"/>
  <c r="O27" i="286"/>
  <c r="F20" i="457"/>
  <c r="O26" i="286"/>
  <c r="F19" i="457"/>
  <c r="O25" i="286"/>
  <c r="F18" i="457"/>
  <c r="O24" i="286"/>
  <c r="F17" i="457"/>
  <c r="O23" i="286"/>
  <c r="F16" i="457"/>
  <c r="O22" i="286"/>
  <c r="F15" i="457"/>
  <c r="O34" i="286"/>
  <c r="F27" i="457"/>
  <c r="O21" i="286"/>
  <c r="F14" i="457"/>
  <c r="O20" i="286"/>
  <c r="F13" i="457"/>
  <c r="O18" i="286"/>
  <c r="F11" i="457"/>
  <c r="O17" i="286"/>
  <c r="F10" i="457"/>
  <c r="O16" i="286"/>
  <c r="F9" i="457"/>
  <c r="O15" i="286"/>
  <c r="F8" i="457"/>
  <c r="O14" i="286"/>
  <c r="F7" i="457"/>
  <c r="O13" i="286"/>
  <c r="F6" i="457"/>
  <c r="O12" i="286"/>
  <c r="F5" i="457"/>
  <c r="H40" i="286"/>
  <c r="O36"/>
  <c r="H48"/>
  <c r="C34" i="279"/>
  <c r="I41" i="286"/>
  <c r="H42"/>
  <c r="H34" i="486"/>
  <c r="L34" s="1"/>
  <c r="B32" i="279"/>
  <c r="B42" s="1"/>
  <c r="E41" i="486"/>
  <c r="H32"/>
  <c r="L32" s="1"/>
  <c r="E43"/>
  <c r="B34" i="279"/>
  <c r="J46" i="286"/>
  <c r="I43"/>
  <c r="I49"/>
  <c r="I40"/>
  <c r="G19" i="486"/>
  <c r="G40" s="1"/>
  <c r="C41"/>
  <c r="H35"/>
  <c r="L35" s="1"/>
  <c r="I35"/>
  <c r="I33"/>
  <c r="I31"/>
  <c r="G36"/>
  <c r="D43"/>
  <c r="J49" i="286"/>
  <c r="E42" i="486"/>
  <c r="H37"/>
  <c r="H45" s="1"/>
  <c r="H30"/>
  <c r="L30" s="1"/>
  <c r="H36"/>
  <c r="L36" s="1"/>
  <c r="I30"/>
  <c r="G30"/>
  <c r="G43" s="1"/>
  <c r="F43"/>
  <c r="L19"/>
  <c r="H40"/>
  <c r="G41"/>
  <c r="G45"/>
  <c r="G42"/>
  <c r="K49" i="286"/>
  <c r="K46"/>
  <c r="K43"/>
  <c r="H49"/>
  <c r="H46"/>
  <c r="H43"/>
  <c r="K44"/>
  <c r="H41"/>
  <c r="J48"/>
  <c r="J45"/>
  <c r="J42"/>
  <c r="I48"/>
  <c r="I45"/>
  <c r="I42"/>
  <c r="L36"/>
  <c r="L39" s="1"/>
  <c r="H45"/>
  <c r="C41" i="279"/>
  <c r="C39"/>
  <c r="C45"/>
  <c r="C36"/>
  <c r="B38"/>
  <c r="B45"/>
  <c r="B39"/>
  <c r="B44"/>
  <c r="H42" i="486" l="1"/>
  <c r="B46" i="279"/>
  <c r="H41" i="486"/>
  <c r="B40" i="279"/>
  <c r="H43" i="486"/>
  <c r="B37" i="279"/>
  <c r="I36" i="486"/>
  <c r="I39" s="1"/>
  <c r="K48" i="286"/>
  <c r="K45"/>
  <c r="K42"/>
  <c r="L44" i="276" l="1"/>
  <c r="K44"/>
  <c r="J44"/>
  <c r="I44"/>
  <c r="H44"/>
  <c r="G44"/>
  <c r="F44"/>
  <c r="E44"/>
  <c r="D44"/>
  <c r="C44"/>
  <c r="B44"/>
  <c r="L42"/>
  <c r="K42"/>
  <c r="J42"/>
  <c r="I42"/>
  <c r="H42"/>
  <c r="G42"/>
  <c r="F42"/>
  <c r="E42"/>
  <c r="D42"/>
  <c r="C42"/>
  <c r="B42"/>
  <c r="L41"/>
  <c r="K41"/>
  <c r="J41"/>
  <c r="I41"/>
  <c r="H41"/>
  <c r="G41"/>
  <c r="F41"/>
  <c r="E41"/>
  <c r="D41"/>
  <c r="C41"/>
  <c r="B41"/>
  <c r="L40"/>
  <c r="K40"/>
  <c r="J40"/>
  <c r="I40"/>
  <c r="H40"/>
  <c r="G40"/>
  <c r="F40"/>
  <c r="E40"/>
  <c r="D40"/>
  <c r="C40"/>
  <c r="B40"/>
  <c r="L24"/>
  <c r="K24"/>
  <c r="J24"/>
  <c r="I24"/>
  <c r="H24"/>
  <c r="G24"/>
  <c r="F24"/>
  <c r="E24"/>
  <c r="D24"/>
  <c r="C24"/>
  <c r="B24"/>
  <c r="L22"/>
  <c r="K22"/>
  <c r="J22"/>
  <c r="I22"/>
  <c r="H22"/>
  <c r="G22"/>
  <c r="F22"/>
  <c r="E22"/>
  <c r="D22"/>
  <c r="C22"/>
  <c r="B22"/>
  <c r="L21"/>
  <c r="K21"/>
  <c r="J21"/>
  <c r="I21"/>
  <c r="H21"/>
  <c r="G21"/>
  <c r="F21"/>
  <c r="E21"/>
  <c r="D21"/>
  <c r="C21"/>
  <c r="B21"/>
  <c r="L20"/>
  <c r="K20"/>
  <c r="J20"/>
  <c r="I20"/>
  <c r="H20"/>
  <c r="G20"/>
  <c r="F20"/>
  <c r="E20"/>
  <c r="D20"/>
  <c r="C20"/>
  <c r="B20"/>
  <c r="L37" i="274"/>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2"/>
  <c r="K32"/>
  <c r="J32"/>
  <c r="I32"/>
  <c r="H32"/>
  <c r="G32"/>
  <c r="F32"/>
  <c r="E32"/>
  <c r="D32"/>
  <c r="C32"/>
  <c r="B32"/>
  <c r="L3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44" i="275"/>
  <c r="K44"/>
  <c r="J44"/>
  <c r="I44"/>
  <c r="H44"/>
  <c r="G44"/>
  <c r="F44"/>
  <c r="E44"/>
  <c r="D44"/>
  <c r="C44"/>
  <c r="B44"/>
  <c r="J37" i="430"/>
  <c r="I37"/>
  <c r="H37"/>
  <c r="B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D40" s="1"/>
  <c r="C10"/>
  <c r="C40" s="1"/>
  <c r="B10"/>
  <c r="E9"/>
  <c r="D9"/>
  <c r="C9"/>
  <c r="B9"/>
  <c r="E8"/>
  <c r="D8"/>
  <c r="C8"/>
  <c r="B8"/>
  <c r="E7"/>
  <c r="D7"/>
  <c r="C7"/>
  <c r="B7"/>
  <c r="E6"/>
  <c r="D6"/>
  <c r="C6"/>
  <c r="B6"/>
  <c r="E5"/>
  <c r="E39" s="1"/>
  <c r="D5"/>
  <c r="D39" s="1"/>
  <c r="C5"/>
  <c r="C39" s="1"/>
  <c r="B5"/>
  <c r="E40" i="429"/>
  <c r="D40"/>
  <c r="C40"/>
  <c r="B40"/>
  <c r="E39"/>
  <c r="D39"/>
  <c r="C39"/>
  <c r="B39"/>
  <c r="J37"/>
  <c r="I37"/>
  <c r="H37"/>
  <c r="G37"/>
  <c r="F37"/>
  <c r="F45" s="1"/>
  <c r="F46" s="1"/>
  <c r="L36"/>
  <c r="O36" s="1"/>
  <c r="J36"/>
  <c r="I36"/>
  <c r="H36"/>
  <c r="G36"/>
  <c r="F36"/>
  <c r="L35"/>
  <c r="O35" s="1"/>
  <c r="J35"/>
  <c r="I35"/>
  <c r="H35"/>
  <c r="G35"/>
  <c r="F35"/>
  <c r="L34"/>
  <c r="J34"/>
  <c r="I34"/>
  <c r="H34"/>
  <c r="G34"/>
  <c r="F34"/>
  <c r="L33"/>
  <c r="J33"/>
  <c r="I33"/>
  <c r="H33"/>
  <c r="G33"/>
  <c r="F33"/>
  <c r="L32"/>
  <c r="J32"/>
  <c r="I32"/>
  <c r="H32"/>
  <c r="G32"/>
  <c r="F32"/>
  <c r="L31"/>
  <c r="J31"/>
  <c r="I31"/>
  <c r="H31"/>
  <c r="G31"/>
  <c r="F31"/>
  <c r="L30"/>
  <c r="J30"/>
  <c r="I30"/>
  <c r="H30"/>
  <c r="G30"/>
  <c r="F30"/>
  <c r="L29"/>
  <c r="J29"/>
  <c r="I29"/>
  <c r="H29"/>
  <c r="G29"/>
  <c r="F29"/>
  <c r="L28"/>
  <c r="J28"/>
  <c r="I28"/>
  <c r="H28"/>
  <c r="G28"/>
  <c r="F28"/>
  <c r="L27"/>
  <c r="J27"/>
  <c r="I27"/>
  <c r="H27"/>
  <c r="G27"/>
  <c r="F27"/>
  <c r="L26"/>
  <c r="J26"/>
  <c r="I26"/>
  <c r="H26"/>
  <c r="G26"/>
  <c r="F26"/>
  <c r="L25"/>
  <c r="J25"/>
  <c r="I25"/>
  <c r="H25"/>
  <c r="G25"/>
  <c r="F25"/>
  <c r="L24"/>
  <c r="J24"/>
  <c r="I24"/>
  <c r="H24"/>
  <c r="G24"/>
  <c r="F24"/>
  <c r="L23"/>
  <c r="J23"/>
  <c r="I23"/>
  <c r="H23"/>
  <c r="G23"/>
  <c r="F23"/>
  <c r="L22"/>
  <c r="J22"/>
  <c r="I22"/>
  <c r="H22"/>
  <c r="G22"/>
  <c r="F22"/>
  <c r="L21"/>
  <c r="J21"/>
  <c r="I21"/>
  <c r="H21"/>
  <c r="G21"/>
  <c r="F21"/>
  <c r="L20"/>
  <c r="J20"/>
  <c r="I20"/>
  <c r="H20"/>
  <c r="G20"/>
  <c r="F20"/>
  <c r="L19"/>
  <c r="J19"/>
  <c r="I19"/>
  <c r="H19"/>
  <c r="G19"/>
  <c r="F19"/>
  <c r="L18"/>
  <c r="J18"/>
  <c r="I18"/>
  <c r="H18"/>
  <c r="G18"/>
  <c r="F18"/>
  <c r="L17"/>
  <c r="J17"/>
  <c r="I17"/>
  <c r="H17"/>
  <c r="G17"/>
  <c r="F17"/>
  <c r="L16"/>
  <c r="J16"/>
  <c r="I16"/>
  <c r="H16"/>
  <c r="G16"/>
  <c r="F16"/>
  <c r="L15"/>
  <c r="J15"/>
  <c r="I15"/>
  <c r="H15"/>
  <c r="G15"/>
  <c r="F15"/>
  <c r="L14"/>
  <c r="J14"/>
  <c r="I14"/>
  <c r="H14"/>
  <c r="G14"/>
  <c r="F14"/>
  <c r="L13"/>
  <c r="J13"/>
  <c r="I13"/>
  <c r="H13"/>
  <c r="G13"/>
  <c r="F13"/>
  <c r="L12"/>
  <c r="J12"/>
  <c r="I12"/>
  <c r="H12"/>
  <c r="G12"/>
  <c r="F12"/>
  <c r="L11"/>
  <c r="J11"/>
  <c r="I11"/>
  <c r="H11"/>
  <c r="G11"/>
  <c r="F11"/>
  <c r="L10"/>
  <c r="J10"/>
  <c r="I10"/>
  <c r="H10"/>
  <c r="G10"/>
  <c r="F10"/>
  <c r="L9"/>
  <c r="J9"/>
  <c r="I9"/>
  <c r="H9"/>
  <c r="G9"/>
  <c r="F9"/>
  <c r="L8"/>
  <c r="J8"/>
  <c r="I8"/>
  <c r="H8"/>
  <c r="G8"/>
  <c r="F8"/>
  <c r="L7"/>
  <c r="J7"/>
  <c r="I7"/>
  <c r="H7"/>
  <c r="G7"/>
  <c r="F7"/>
  <c r="L6"/>
  <c r="J6"/>
  <c r="I6"/>
  <c r="H6"/>
  <c r="G6"/>
  <c r="F6"/>
  <c r="L5"/>
  <c r="J5"/>
  <c r="I5"/>
  <c r="H5"/>
  <c r="G5"/>
  <c r="X35" i="428"/>
  <c r="W35"/>
  <c r="V35"/>
  <c r="U35"/>
  <c r="T35"/>
  <c r="S35"/>
  <c r="R35"/>
  <c r="Q35"/>
  <c r="O35"/>
  <c r="N35"/>
  <c r="M35"/>
  <c r="L35"/>
  <c r="K35"/>
  <c r="J35"/>
  <c r="H35"/>
  <c r="G35"/>
  <c r="F35"/>
  <c r="C35"/>
  <c r="B35"/>
  <c r="M39" i="469"/>
  <c r="M34"/>
  <c r="M45" i="225"/>
  <c r="M39"/>
  <c r="M34"/>
  <c r="L40" i="473"/>
  <c r="K40"/>
  <c r="J40"/>
  <c r="I40"/>
  <c r="H40"/>
  <c r="G40"/>
  <c r="F40"/>
  <c r="E40"/>
  <c r="D40"/>
  <c r="C40"/>
  <c r="B40"/>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40" i="224"/>
  <c r="K40"/>
  <c r="J40"/>
  <c r="I40"/>
  <c r="H40"/>
  <c r="G40"/>
  <c r="F40"/>
  <c r="E40"/>
  <c r="D40"/>
  <c r="C40"/>
  <c r="B40"/>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40" i="474"/>
  <c r="K40"/>
  <c r="J40"/>
  <c r="I40"/>
  <c r="H40"/>
  <c r="G40"/>
  <c r="F40"/>
  <c r="E40"/>
  <c r="D40"/>
  <c r="C40"/>
  <c r="B40"/>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O35" i="222"/>
  <c r="L40" i="223"/>
  <c r="K40"/>
  <c r="J40"/>
  <c r="I40"/>
  <c r="H40"/>
  <c r="G40"/>
  <c r="F40"/>
  <c r="E40"/>
  <c r="L38"/>
  <c r="K38"/>
  <c r="J38"/>
  <c r="I38"/>
  <c r="H38"/>
  <c r="G38"/>
  <c r="F38"/>
  <c r="E38"/>
  <c r="D38"/>
  <c r="C38"/>
  <c r="L37"/>
  <c r="K37"/>
  <c r="J37"/>
  <c r="I37"/>
  <c r="H37"/>
  <c r="G37"/>
  <c r="F37"/>
  <c r="E37"/>
  <c r="D37"/>
  <c r="C37"/>
  <c r="B37"/>
  <c r="L36"/>
  <c r="K36"/>
  <c r="J36"/>
  <c r="I36"/>
  <c r="H36"/>
  <c r="G36"/>
  <c r="F36"/>
  <c r="E36"/>
  <c r="D36"/>
  <c r="C36"/>
  <c r="L35"/>
  <c r="K35"/>
  <c r="J35"/>
  <c r="I35"/>
  <c r="H35"/>
  <c r="G35"/>
  <c r="F35"/>
  <c r="E35"/>
  <c r="D35"/>
  <c r="C35"/>
  <c r="B35"/>
  <c r="L34"/>
  <c r="K34"/>
  <c r="J34"/>
  <c r="I34"/>
  <c r="H34"/>
  <c r="G34"/>
  <c r="F34"/>
  <c r="E34"/>
  <c r="D34"/>
  <c r="C34"/>
  <c r="B34"/>
  <c r="L41" i="222"/>
  <c r="K41"/>
  <c r="J41"/>
  <c r="I41"/>
  <c r="H41"/>
  <c r="G41"/>
  <c r="F41"/>
  <c r="E41"/>
  <c r="D41"/>
  <c r="C41"/>
  <c r="L39"/>
  <c r="K39"/>
  <c r="J39"/>
  <c r="I39"/>
  <c r="H39"/>
  <c r="G39"/>
  <c r="F39"/>
  <c r="E39"/>
  <c r="D39"/>
  <c r="C39"/>
  <c r="B39"/>
  <c r="L38"/>
  <c r="K38"/>
  <c r="J38"/>
  <c r="I38"/>
  <c r="H38"/>
  <c r="G38"/>
  <c r="F38"/>
  <c r="E38"/>
  <c r="D38"/>
  <c r="C38"/>
  <c r="B38"/>
  <c r="L37"/>
  <c r="K37"/>
  <c r="J37"/>
  <c r="I37"/>
  <c r="H37"/>
  <c r="G37"/>
  <c r="F37"/>
  <c r="E37"/>
  <c r="D37"/>
  <c r="C37"/>
  <c r="L36"/>
  <c r="K36"/>
  <c r="J36"/>
  <c r="I36"/>
  <c r="H36"/>
  <c r="G36"/>
  <c r="F36"/>
  <c r="E36"/>
  <c r="D36"/>
  <c r="C36"/>
  <c r="B36"/>
  <c r="Q35"/>
  <c r="P35"/>
  <c r="L35"/>
  <c r="K35"/>
  <c r="J35"/>
  <c r="I35"/>
  <c r="H35"/>
  <c r="G35"/>
  <c r="F35"/>
  <c r="E35"/>
  <c r="D35"/>
  <c r="C35"/>
  <c r="B35"/>
  <c r="S31"/>
  <c r="R31"/>
  <c r="Y30"/>
  <c r="S30"/>
  <c r="R30"/>
  <c r="Y29"/>
  <c r="S29"/>
  <c r="R29"/>
  <c r="Y28"/>
  <c r="S28"/>
  <c r="R28"/>
  <c r="Y27"/>
  <c r="S27"/>
  <c r="R27"/>
  <c r="Y26"/>
  <c r="S26"/>
  <c r="R26"/>
  <c r="Y25"/>
  <c r="S25"/>
  <c r="R25"/>
  <c r="Y24"/>
  <c r="S24"/>
  <c r="R24"/>
  <c r="Y23"/>
  <c r="S23"/>
  <c r="R23"/>
  <c r="Y22"/>
  <c r="S22"/>
  <c r="R22"/>
  <c r="Y21"/>
  <c r="S21"/>
  <c r="R21"/>
  <c r="Y20"/>
  <c r="S20"/>
  <c r="R20"/>
  <c r="Y19"/>
  <c r="S19"/>
  <c r="R19"/>
  <c r="Y18"/>
  <c r="S18"/>
  <c r="R18"/>
  <c r="Y17"/>
  <c r="S17"/>
  <c r="R17"/>
  <c r="Y16"/>
  <c r="S16"/>
  <c r="R16"/>
  <c r="Y15"/>
  <c r="S15"/>
  <c r="R15"/>
  <c r="Y14"/>
  <c r="S14"/>
  <c r="R14"/>
  <c r="Y13"/>
  <c r="S13"/>
  <c r="R13"/>
  <c r="Y12"/>
  <c r="S12"/>
  <c r="R12"/>
  <c r="Y11"/>
  <c r="S11"/>
  <c r="R11"/>
  <c r="Y10"/>
  <c r="S10"/>
  <c r="R10"/>
  <c r="Y9"/>
  <c r="S9"/>
  <c r="R9"/>
  <c r="Y8"/>
  <c r="S8"/>
  <c r="R8"/>
  <c r="Y7"/>
  <c r="S7"/>
  <c r="R7"/>
  <c r="Y6"/>
  <c r="S6"/>
  <c r="R6"/>
  <c r="Y5"/>
  <c r="S5"/>
  <c r="R5"/>
  <c r="L42" i="1"/>
  <c r="K42"/>
  <c r="J42"/>
  <c r="I42"/>
  <c r="H42"/>
  <c r="G42"/>
  <c r="F42"/>
  <c r="E42"/>
  <c r="D42"/>
  <c r="C42"/>
  <c r="B42"/>
  <c r="L41"/>
  <c r="K41"/>
  <c r="J41"/>
  <c r="I41"/>
  <c r="H41"/>
  <c r="G41"/>
  <c r="F41"/>
  <c r="E41"/>
  <c r="D41"/>
  <c r="C41"/>
  <c r="B41"/>
  <c r="L40"/>
  <c r="K40"/>
  <c r="J40"/>
  <c r="I40"/>
  <c r="H40"/>
  <c r="G40"/>
  <c r="F40"/>
  <c r="E40"/>
  <c r="D40"/>
  <c r="C40"/>
  <c r="B40"/>
  <c r="L39"/>
  <c r="K39"/>
  <c r="J39"/>
  <c r="I39"/>
  <c r="H39"/>
  <c r="G39"/>
  <c r="F39"/>
  <c r="E39"/>
  <c r="D39"/>
  <c r="C39"/>
  <c r="B39"/>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2"/>
  <c r="K32"/>
  <c r="J32"/>
  <c r="I32"/>
  <c r="H32"/>
  <c r="G32"/>
  <c r="F32"/>
  <c r="E32"/>
  <c r="D32"/>
  <c r="C32"/>
  <c r="B32"/>
  <c r="L3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B30" i="31" l="1"/>
  <c r="E30"/>
  <c r="B31"/>
  <c r="E31"/>
  <c r="B32"/>
  <c r="E32"/>
  <c r="B33"/>
  <c r="E34"/>
  <c r="B48" i="1"/>
  <c r="K37" i="429"/>
  <c r="M37" s="1"/>
  <c r="B5" i="225"/>
  <c r="B5" i="226" s="1"/>
  <c r="B5" i="469"/>
  <c r="B5" i="231"/>
  <c r="B5" i="227"/>
  <c r="D5" i="225"/>
  <c r="D5" i="226" s="1"/>
  <c r="D53" s="1"/>
  <c r="D82" s="1"/>
  <c r="D5" i="469"/>
  <c r="D5" i="470" s="1"/>
  <c r="D53" s="1"/>
  <c r="D82" s="1"/>
  <c r="D5" i="231"/>
  <c r="D5" i="227"/>
  <c r="F5" i="225"/>
  <c r="F5" i="226" s="1"/>
  <c r="F53" s="1"/>
  <c r="F82" s="1"/>
  <c r="F5" i="469"/>
  <c r="F5" i="231"/>
  <c r="F5" i="227"/>
  <c r="H5" i="225"/>
  <c r="H5" i="226" s="1"/>
  <c r="H53" s="1"/>
  <c r="H82" s="1"/>
  <c r="H5" i="469"/>
  <c r="H5" i="470" s="1"/>
  <c r="H53" s="1"/>
  <c r="H82" s="1"/>
  <c r="H5" i="231"/>
  <c r="H5" i="227"/>
  <c r="J5" i="225"/>
  <c r="J5" i="226" s="1"/>
  <c r="J53" s="1"/>
  <c r="J82" s="1"/>
  <c r="J5" i="469"/>
  <c r="J5" i="231"/>
  <c r="J5" i="227"/>
  <c r="L5" i="225"/>
  <c r="L5" i="226" s="1"/>
  <c r="L53" s="1"/>
  <c r="L82" s="1"/>
  <c r="L5" i="469"/>
  <c r="L5" i="470" s="1"/>
  <c r="L53" s="1"/>
  <c r="L82" s="1"/>
  <c r="L5" i="231"/>
  <c r="L5" i="227"/>
  <c r="C6" i="225"/>
  <c r="C6" i="469"/>
  <c r="C6" i="231"/>
  <c r="C6" i="227"/>
  <c r="E6" i="225"/>
  <c r="E6" i="469"/>
  <c r="E6" i="231"/>
  <c r="E6" i="227"/>
  <c r="G6" i="225"/>
  <c r="G6" i="469"/>
  <c r="G6" i="231"/>
  <c r="G6" i="227"/>
  <c r="I6" i="225"/>
  <c r="I6" i="469"/>
  <c r="I6" i="231"/>
  <c r="I6" i="227"/>
  <c r="K6" i="225"/>
  <c r="K6" i="469"/>
  <c r="K6" i="231"/>
  <c r="K6" i="227"/>
  <c r="B7" i="225"/>
  <c r="B7" i="226" s="1"/>
  <c r="B7" i="469"/>
  <c r="B7" i="231"/>
  <c r="B7" i="227"/>
  <c r="D7" i="225"/>
  <c r="D7" i="226" s="1"/>
  <c r="D55" s="1"/>
  <c r="D84" s="1"/>
  <c r="D7" i="469"/>
  <c r="D7" i="470" s="1"/>
  <c r="D55" s="1"/>
  <c r="D84" s="1"/>
  <c r="D7" i="231"/>
  <c r="D7" i="227"/>
  <c r="F7" i="225"/>
  <c r="F7" i="226" s="1"/>
  <c r="F55" s="1"/>
  <c r="F84" s="1"/>
  <c r="F7" i="469"/>
  <c r="F7" i="470" s="1"/>
  <c r="F55" s="1"/>
  <c r="F84" s="1"/>
  <c r="F7" i="231"/>
  <c r="F7" i="227"/>
  <c r="H7" i="225"/>
  <c r="H7" i="226" s="1"/>
  <c r="H55" s="1"/>
  <c r="H84" s="1"/>
  <c r="H7" i="469"/>
  <c r="H7" i="470" s="1"/>
  <c r="H55" s="1"/>
  <c r="H84" s="1"/>
  <c r="H7" i="231"/>
  <c r="H7" i="227"/>
  <c r="J7" i="225"/>
  <c r="J7" i="226" s="1"/>
  <c r="J55" s="1"/>
  <c r="J84" s="1"/>
  <c r="J7" i="469"/>
  <c r="J7" i="470" s="1"/>
  <c r="J55" s="1"/>
  <c r="J84" s="1"/>
  <c r="J7" i="231"/>
  <c r="J7" i="227"/>
  <c r="L7" i="225"/>
  <c r="L7" i="226" s="1"/>
  <c r="L55" s="1"/>
  <c r="L84" s="1"/>
  <c r="L7" i="469"/>
  <c r="L7" i="470" s="1"/>
  <c r="L55" s="1"/>
  <c r="L84" s="1"/>
  <c r="L7" i="231"/>
  <c r="L7" i="227"/>
  <c r="C8" i="225"/>
  <c r="C8" i="469"/>
  <c r="C8" i="231"/>
  <c r="C8" i="227"/>
  <c r="E8" i="225"/>
  <c r="E8" i="469"/>
  <c r="E8" i="231"/>
  <c r="E8" i="227"/>
  <c r="G8" i="225"/>
  <c r="G8" i="469"/>
  <c r="G8" i="231"/>
  <c r="G8" i="227"/>
  <c r="I8" i="225"/>
  <c r="I8" i="469"/>
  <c r="I8" i="231"/>
  <c r="I8" i="227"/>
  <c r="K8" i="225"/>
  <c r="K8" i="469"/>
  <c r="K8" i="231"/>
  <c r="K8" i="227"/>
  <c r="B9" i="225"/>
  <c r="B9" i="226" s="1"/>
  <c r="B9" i="469"/>
  <c r="B9" i="231"/>
  <c r="B9" i="227"/>
  <c r="D9" i="225"/>
  <c r="D9" i="226" s="1"/>
  <c r="D57" s="1"/>
  <c r="D86" s="1"/>
  <c r="D9" i="469"/>
  <c r="D9" i="470" s="1"/>
  <c r="D57" s="1"/>
  <c r="D86" s="1"/>
  <c r="D9" i="231"/>
  <c r="D9" i="227"/>
  <c r="F9" i="225"/>
  <c r="F9" i="226" s="1"/>
  <c r="F57" s="1"/>
  <c r="F86" s="1"/>
  <c r="F9" i="469"/>
  <c r="F9" i="470" s="1"/>
  <c r="F57" s="1"/>
  <c r="F86" s="1"/>
  <c r="F9" i="231"/>
  <c r="F9" i="227"/>
  <c r="H9" i="225"/>
  <c r="H9" i="226" s="1"/>
  <c r="H57" s="1"/>
  <c r="H86" s="1"/>
  <c r="H9" i="469"/>
  <c r="H9" i="470" s="1"/>
  <c r="H57" s="1"/>
  <c r="H86" s="1"/>
  <c r="H9" i="231"/>
  <c r="H9" i="227"/>
  <c r="J9" i="225"/>
  <c r="J9" i="226" s="1"/>
  <c r="J57" s="1"/>
  <c r="J86" s="1"/>
  <c r="J9" i="469"/>
  <c r="J9" i="470" s="1"/>
  <c r="J57" s="1"/>
  <c r="J86" s="1"/>
  <c r="J9" i="231"/>
  <c r="J9" i="227"/>
  <c r="L9" i="225"/>
  <c r="L9" i="226" s="1"/>
  <c r="L57" s="1"/>
  <c r="L86" s="1"/>
  <c r="L9" i="469"/>
  <c r="L9" i="470" s="1"/>
  <c r="L57" s="1"/>
  <c r="L86" s="1"/>
  <c r="L9" i="231"/>
  <c r="L9" i="227"/>
  <c r="C10" i="225"/>
  <c r="C10" i="469"/>
  <c r="C10" i="231"/>
  <c r="C10" i="227"/>
  <c r="E10" i="225"/>
  <c r="E10" i="469"/>
  <c r="E10" i="231"/>
  <c r="E10" i="227"/>
  <c r="G10" i="225"/>
  <c r="G10" i="469"/>
  <c r="G10" i="231"/>
  <c r="G10" i="227"/>
  <c r="I10" i="225"/>
  <c r="I10" i="469"/>
  <c r="I10" i="231"/>
  <c r="I10" i="227"/>
  <c r="K10" i="225"/>
  <c r="K10" i="469"/>
  <c r="K10" i="231"/>
  <c r="K10" i="227"/>
  <c r="B11" i="225"/>
  <c r="B11" i="226" s="1"/>
  <c r="B11" i="469"/>
  <c r="B11" i="231"/>
  <c r="B11" i="227"/>
  <c r="D11" i="225"/>
  <c r="D11" i="226" s="1"/>
  <c r="D59" s="1"/>
  <c r="D88" s="1"/>
  <c r="D11" i="469"/>
  <c r="D11" i="470" s="1"/>
  <c r="D59" s="1"/>
  <c r="D88" s="1"/>
  <c r="D11" i="231"/>
  <c r="D11" i="227"/>
  <c r="F11" i="225"/>
  <c r="F11" i="226" s="1"/>
  <c r="F59" s="1"/>
  <c r="F88" s="1"/>
  <c r="F11" i="469"/>
  <c r="F11" i="470" s="1"/>
  <c r="F59" s="1"/>
  <c r="F88" s="1"/>
  <c r="F11" i="231"/>
  <c r="F11" i="227"/>
  <c r="H11" i="225"/>
  <c r="H11" i="226" s="1"/>
  <c r="H59" s="1"/>
  <c r="H88" s="1"/>
  <c r="H11" i="469"/>
  <c r="H11" i="470" s="1"/>
  <c r="H59" s="1"/>
  <c r="H88" s="1"/>
  <c r="H11" i="231"/>
  <c r="H11" i="227"/>
  <c r="J11" i="225"/>
  <c r="J11" i="226" s="1"/>
  <c r="J59" s="1"/>
  <c r="J88" s="1"/>
  <c r="J11" i="469"/>
  <c r="J11" i="470" s="1"/>
  <c r="J59" s="1"/>
  <c r="J88" s="1"/>
  <c r="J11" i="231"/>
  <c r="J11" i="227"/>
  <c r="L11" i="225"/>
  <c r="L11" i="226" s="1"/>
  <c r="L59" s="1"/>
  <c r="L88" s="1"/>
  <c r="L11" i="469"/>
  <c r="L11" i="470" s="1"/>
  <c r="L59" s="1"/>
  <c r="L88" s="1"/>
  <c r="L11" i="231"/>
  <c r="L11" i="227"/>
  <c r="C12" i="225"/>
  <c r="C12" i="469"/>
  <c r="C12" i="231"/>
  <c r="C12" i="227"/>
  <c r="E12" i="225"/>
  <c r="E12" i="469"/>
  <c r="E12" i="231"/>
  <c r="E12" i="227"/>
  <c r="G12" i="225"/>
  <c r="G12" i="469"/>
  <c r="G12" i="231"/>
  <c r="G12" i="227"/>
  <c r="I12" i="225"/>
  <c r="I12" i="469"/>
  <c r="I12" i="231"/>
  <c r="I12" i="227"/>
  <c r="K12" i="225"/>
  <c r="K12" i="469"/>
  <c r="K12" i="231"/>
  <c r="K12" i="227"/>
  <c r="B13" i="225"/>
  <c r="B13" i="469"/>
  <c r="B13" i="231"/>
  <c r="B13" i="227"/>
  <c r="B34" s="1"/>
  <c r="D13" i="225"/>
  <c r="D13" i="226" s="1"/>
  <c r="D61" s="1"/>
  <c r="D90" s="1"/>
  <c r="D13" i="469"/>
  <c r="D13" i="470" s="1"/>
  <c r="D61" s="1"/>
  <c r="D90" s="1"/>
  <c r="D13" i="231"/>
  <c r="D13" i="227"/>
  <c r="F13" i="225"/>
  <c r="F13" i="226" s="1"/>
  <c r="F61" s="1"/>
  <c r="F90" s="1"/>
  <c r="F13" i="469"/>
  <c r="F13" i="470" s="1"/>
  <c r="F61" s="1"/>
  <c r="F90" s="1"/>
  <c r="F13" i="231"/>
  <c r="F13" i="227"/>
  <c r="H13" i="225"/>
  <c r="H13" i="226" s="1"/>
  <c r="H61" s="1"/>
  <c r="H90" s="1"/>
  <c r="H13" i="469"/>
  <c r="H13" i="470" s="1"/>
  <c r="H61" s="1"/>
  <c r="H90" s="1"/>
  <c r="H13" i="231"/>
  <c r="H13" i="227"/>
  <c r="J13" i="225"/>
  <c r="J13" i="226" s="1"/>
  <c r="J61" s="1"/>
  <c r="J90" s="1"/>
  <c r="J13" i="469"/>
  <c r="J13" i="470" s="1"/>
  <c r="J61" s="1"/>
  <c r="J90" s="1"/>
  <c r="J13" i="231"/>
  <c r="J13" i="227"/>
  <c r="L13" i="225"/>
  <c r="L13" i="226" s="1"/>
  <c r="L61" s="1"/>
  <c r="L90" s="1"/>
  <c r="L13" i="469"/>
  <c r="L13" i="470" s="1"/>
  <c r="L61" s="1"/>
  <c r="L90" s="1"/>
  <c r="L13" i="231"/>
  <c r="L13" i="227"/>
  <c r="C14" i="225"/>
  <c r="C14" i="469"/>
  <c r="C14" i="231"/>
  <c r="C14" i="227"/>
  <c r="E14" i="225"/>
  <c r="E14" i="469"/>
  <c r="E14" i="231"/>
  <c r="E14" i="227"/>
  <c r="G14" i="225"/>
  <c r="G14" i="469"/>
  <c r="G14" i="231"/>
  <c r="G14" i="227"/>
  <c r="I14" i="225"/>
  <c r="I14" i="469"/>
  <c r="I14" i="231"/>
  <c r="I14" i="227"/>
  <c r="K14" i="225"/>
  <c r="K14" i="469"/>
  <c r="K14" i="231"/>
  <c r="K14" i="227"/>
  <c r="B15" i="225"/>
  <c r="B15" i="469"/>
  <c r="B15" i="231"/>
  <c r="B15" i="227"/>
  <c r="D15" i="225"/>
  <c r="D15" i="226" s="1"/>
  <c r="D63" s="1"/>
  <c r="D92" s="1"/>
  <c r="D15" i="469"/>
  <c r="D15" i="470" s="1"/>
  <c r="D63" s="1"/>
  <c r="D92" s="1"/>
  <c r="D15" i="231"/>
  <c r="D15" i="227"/>
  <c r="F15" i="225"/>
  <c r="F15" i="226" s="1"/>
  <c r="F63" s="1"/>
  <c r="F92" s="1"/>
  <c r="F15" i="469"/>
  <c r="F15" i="470" s="1"/>
  <c r="F63" s="1"/>
  <c r="F92" s="1"/>
  <c r="F15" i="231"/>
  <c r="F15" i="227"/>
  <c r="H15" i="225"/>
  <c r="H15" i="226" s="1"/>
  <c r="H63" s="1"/>
  <c r="H92" s="1"/>
  <c r="H15" i="469"/>
  <c r="H15" i="470" s="1"/>
  <c r="H63" s="1"/>
  <c r="H92" s="1"/>
  <c r="H15" i="231"/>
  <c r="H15" i="227"/>
  <c r="J15" i="225"/>
  <c r="J15" i="226" s="1"/>
  <c r="J63" s="1"/>
  <c r="J92" s="1"/>
  <c r="J15" i="469"/>
  <c r="J15" i="470" s="1"/>
  <c r="J63" s="1"/>
  <c r="J92" s="1"/>
  <c r="J15" i="231"/>
  <c r="J15" i="227"/>
  <c r="L15" i="225"/>
  <c r="L15" i="226" s="1"/>
  <c r="L63" s="1"/>
  <c r="L92" s="1"/>
  <c r="L15" i="469"/>
  <c r="L15" i="470" s="1"/>
  <c r="L63" s="1"/>
  <c r="L92" s="1"/>
  <c r="L15" i="231"/>
  <c r="L15" i="227"/>
  <c r="C16" i="225"/>
  <c r="C16" i="469"/>
  <c r="C16" i="231"/>
  <c r="C16" i="227"/>
  <c r="E16" i="225"/>
  <c r="E16" i="469"/>
  <c r="E16" i="231"/>
  <c r="E16" i="227"/>
  <c r="G16" i="225"/>
  <c r="G16" i="469"/>
  <c r="G16" i="231"/>
  <c r="G16" i="227"/>
  <c r="I16" i="225"/>
  <c r="I16" i="469"/>
  <c r="I16" i="231"/>
  <c r="I16" i="227"/>
  <c r="K16" i="225"/>
  <c r="K16" i="469"/>
  <c r="K16" i="231"/>
  <c r="K16" i="227"/>
  <c r="B17" i="225"/>
  <c r="B17" i="469"/>
  <c r="B17" i="231"/>
  <c r="B17" i="227"/>
  <c r="D17" i="225"/>
  <c r="D17" i="226" s="1"/>
  <c r="D65" s="1"/>
  <c r="D94" s="1"/>
  <c r="D17" i="469"/>
  <c r="D17" i="470" s="1"/>
  <c r="D65" s="1"/>
  <c r="D94" s="1"/>
  <c r="D17" i="231"/>
  <c r="D17" i="227"/>
  <c r="F17" i="225"/>
  <c r="F17" i="226" s="1"/>
  <c r="F65" s="1"/>
  <c r="F94" s="1"/>
  <c r="F17" i="469"/>
  <c r="F17" i="470" s="1"/>
  <c r="F65" s="1"/>
  <c r="F94" s="1"/>
  <c r="F17" i="231"/>
  <c r="F17" i="227"/>
  <c r="H17" i="225"/>
  <c r="H17" i="226" s="1"/>
  <c r="H65" s="1"/>
  <c r="H94" s="1"/>
  <c r="H17" i="469"/>
  <c r="H17" i="470" s="1"/>
  <c r="H65" s="1"/>
  <c r="H94" s="1"/>
  <c r="H17" i="231"/>
  <c r="H17" i="227"/>
  <c r="J17" i="225"/>
  <c r="J17" i="226" s="1"/>
  <c r="J65" s="1"/>
  <c r="J94" s="1"/>
  <c r="J17" i="469"/>
  <c r="J17" i="470" s="1"/>
  <c r="J65" s="1"/>
  <c r="J94" s="1"/>
  <c r="J17" i="231"/>
  <c r="J17" i="227"/>
  <c r="L17" i="225"/>
  <c r="L17" i="226" s="1"/>
  <c r="L65" s="1"/>
  <c r="L94" s="1"/>
  <c r="L17" i="469"/>
  <c r="L17" i="470" s="1"/>
  <c r="L65" s="1"/>
  <c r="L94" s="1"/>
  <c r="L17" i="231"/>
  <c r="L17" i="227"/>
  <c r="C18" i="225"/>
  <c r="C18" i="469"/>
  <c r="C18" i="231"/>
  <c r="C18" i="227"/>
  <c r="E18" i="225"/>
  <c r="E18" i="469"/>
  <c r="E18" i="231"/>
  <c r="E18" i="227"/>
  <c r="G18" i="225"/>
  <c r="G18" i="469"/>
  <c r="G18" i="231"/>
  <c r="G18" i="227"/>
  <c r="I18" i="225"/>
  <c r="I18" i="469"/>
  <c r="I18" i="231"/>
  <c r="I18" i="227"/>
  <c r="K18" i="225"/>
  <c r="K18" i="469"/>
  <c r="K18" i="231"/>
  <c r="K18" i="227"/>
  <c r="B19" i="225"/>
  <c r="B19" i="469"/>
  <c r="B19" i="231"/>
  <c r="B19" i="227"/>
  <c r="D19" i="225"/>
  <c r="D19" i="226" s="1"/>
  <c r="D67" s="1"/>
  <c r="D96" s="1"/>
  <c r="D19" i="469"/>
  <c r="D19" i="470" s="1"/>
  <c r="D67" s="1"/>
  <c r="D96" s="1"/>
  <c r="D19" i="231"/>
  <c r="D19" i="227"/>
  <c r="F19" i="225"/>
  <c r="F19" i="226" s="1"/>
  <c r="F67" s="1"/>
  <c r="F96" s="1"/>
  <c r="F19" i="469"/>
  <c r="F19" i="470" s="1"/>
  <c r="F67" s="1"/>
  <c r="F96" s="1"/>
  <c r="F19" i="231"/>
  <c r="F19" i="227"/>
  <c r="H19" i="225"/>
  <c r="H19" i="226" s="1"/>
  <c r="H67" s="1"/>
  <c r="H96" s="1"/>
  <c r="H19" i="469"/>
  <c r="H19" i="470" s="1"/>
  <c r="H67" s="1"/>
  <c r="H96" s="1"/>
  <c r="H19" i="231"/>
  <c r="H19" i="227"/>
  <c r="J19" i="225"/>
  <c r="J19" i="226" s="1"/>
  <c r="J67" s="1"/>
  <c r="J96" s="1"/>
  <c r="J19" i="469"/>
  <c r="J19" i="470" s="1"/>
  <c r="J67" s="1"/>
  <c r="J96" s="1"/>
  <c r="J19" i="231"/>
  <c r="J19" i="227"/>
  <c r="L19" i="225"/>
  <c r="L19" i="226" s="1"/>
  <c r="L67" s="1"/>
  <c r="L96" s="1"/>
  <c r="L19" i="469"/>
  <c r="L19" i="470" s="1"/>
  <c r="L67" s="1"/>
  <c r="L96" s="1"/>
  <c r="L19" i="231"/>
  <c r="L19" i="227"/>
  <c r="C20" i="225"/>
  <c r="C20" i="469"/>
  <c r="C20" i="231"/>
  <c r="C20" i="227"/>
  <c r="E20" i="225"/>
  <c r="E20" i="469"/>
  <c r="E20" i="231"/>
  <c r="E20" i="227"/>
  <c r="G20" i="225"/>
  <c r="G20" i="469"/>
  <c r="G20" i="231"/>
  <c r="G20" i="227"/>
  <c r="I20" i="225"/>
  <c r="I20" i="469"/>
  <c r="I20" i="231"/>
  <c r="I20" i="227"/>
  <c r="K20" i="225"/>
  <c r="K20" i="469"/>
  <c r="K20" i="231"/>
  <c r="K20" i="227"/>
  <c r="B21" i="225"/>
  <c r="B21" i="469"/>
  <c r="B21" i="231"/>
  <c r="B21" i="227"/>
  <c r="D21" i="225"/>
  <c r="D21" i="226" s="1"/>
  <c r="D69" s="1"/>
  <c r="D98" s="1"/>
  <c r="D21" i="469"/>
  <c r="D21" i="470" s="1"/>
  <c r="D69" s="1"/>
  <c r="D98" s="1"/>
  <c r="D21" i="231"/>
  <c r="D21" i="227"/>
  <c r="F21" i="225"/>
  <c r="F21" i="226" s="1"/>
  <c r="F69" s="1"/>
  <c r="F98" s="1"/>
  <c r="F21" i="469"/>
  <c r="F21" i="470" s="1"/>
  <c r="F69" s="1"/>
  <c r="F98" s="1"/>
  <c r="F21" i="231"/>
  <c r="F21" i="227"/>
  <c r="H21" i="225"/>
  <c r="H21" i="226" s="1"/>
  <c r="H69" s="1"/>
  <c r="H98" s="1"/>
  <c r="H21" i="469"/>
  <c r="H21" i="470" s="1"/>
  <c r="H69" s="1"/>
  <c r="H98" s="1"/>
  <c r="H21" i="231"/>
  <c r="H21" i="227"/>
  <c r="J21" i="225"/>
  <c r="J21" i="226" s="1"/>
  <c r="J69" s="1"/>
  <c r="J98" s="1"/>
  <c r="J21" i="469"/>
  <c r="J21" i="470" s="1"/>
  <c r="J69" s="1"/>
  <c r="J98" s="1"/>
  <c r="J21" i="231"/>
  <c r="J21" i="227"/>
  <c r="L21" i="225"/>
  <c r="L21" i="226" s="1"/>
  <c r="L69" s="1"/>
  <c r="L98" s="1"/>
  <c r="L21" i="469"/>
  <c r="L21" i="470" s="1"/>
  <c r="L69" s="1"/>
  <c r="L98" s="1"/>
  <c r="L21" i="231"/>
  <c r="L21" i="227"/>
  <c r="C22" i="225"/>
  <c r="C22" i="469"/>
  <c r="C22" i="231"/>
  <c r="C22" i="227"/>
  <c r="E22" i="225"/>
  <c r="E22" i="469"/>
  <c r="E22" i="231"/>
  <c r="E22" i="227"/>
  <c r="G22" i="225"/>
  <c r="G22" i="469"/>
  <c r="G22" i="231"/>
  <c r="G22" i="227"/>
  <c r="I22" i="225"/>
  <c r="I22" i="469"/>
  <c r="I22" i="231"/>
  <c r="I22" i="227"/>
  <c r="K22" i="225"/>
  <c r="K22" i="469"/>
  <c r="K22" i="231"/>
  <c r="K22" i="227"/>
  <c r="B23" i="225"/>
  <c r="B23" i="469"/>
  <c r="B23" i="231"/>
  <c r="B23" i="227"/>
  <c r="D23" i="225"/>
  <c r="D23" i="226" s="1"/>
  <c r="D71" s="1"/>
  <c r="D100" s="1"/>
  <c r="D23" i="469"/>
  <c r="D23" i="470" s="1"/>
  <c r="D71" s="1"/>
  <c r="D100" s="1"/>
  <c r="D23" i="231"/>
  <c r="D23" i="227"/>
  <c r="F23" i="225"/>
  <c r="F23" i="226" s="1"/>
  <c r="F71" s="1"/>
  <c r="F100" s="1"/>
  <c r="F23" i="469"/>
  <c r="F23" i="470" s="1"/>
  <c r="F71" s="1"/>
  <c r="F100" s="1"/>
  <c r="F23" i="231"/>
  <c r="F23" i="227"/>
  <c r="H23" i="225"/>
  <c r="H23" i="226" s="1"/>
  <c r="H71" s="1"/>
  <c r="H100" s="1"/>
  <c r="H23" i="469"/>
  <c r="H23" i="470" s="1"/>
  <c r="H71" s="1"/>
  <c r="H100" s="1"/>
  <c r="H23" i="231"/>
  <c r="H23" i="227"/>
  <c r="J23" i="225"/>
  <c r="J23" i="226" s="1"/>
  <c r="J71" s="1"/>
  <c r="J100" s="1"/>
  <c r="J23" i="469"/>
  <c r="J23" i="470" s="1"/>
  <c r="J71" s="1"/>
  <c r="J100" s="1"/>
  <c r="J23" i="231"/>
  <c r="J23" i="227"/>
  <c r="L23" i="225"/>
  <c r="L23" i="226" s="1"/>
  <c r="L71" s="1"/>
  <c r="L100" s="1"/>
  <c r="L23" i="469"/>
  <c r="L23" i="470" s="1"/>
  <c r="L71" s="1"/>
  <c r="L100" s="1"/>
  <c r="L23" i="231"/>
  <c r="L23" i="227"/>
  <c r="C24" i="225"/>
  <c r="C24" i="469"/>
  <c r="C24" i="231"/>
  <c r="C24" i="227"/>
  <c r="E24" i="225"/>
  <c r="E24" i="469"/>
  <c r="E24" i="231"/>
  <c r="E24" i="227"/>
  <c r="G24" i="225"/>
  <c r="G24" i="469"/>
  <c r="G24" i="231"/>
  <c r="G24" i="227"/>
  <c r="I24" i="225"/>
  <c r="I24" i="469"/>
  <c r="I24" i="231"/>
  <c r="I24" i="227"/>
  <c r="K24" i="225"/>
  <c r="K24" i="469"/>
  <c r="K24" i="231"/>
  <c r="K24" i="227"/>
  <c r="B25" i="225"/>
  <c r="B25" i="469"/>
  <c r="B25" i="470" s="1"/>
  <c r="B25" i="231"/>
  <c r="B25" i="227"/>
  <c r="D25" i="225"/>
  <c r="D25" i="226" s="1"/>
  <c r="D73" s="1"/>
  <c r="D102" s="1"/>
  <c r="D25" i="469"/>
  <c r="D25" i="470" s="1"/>
  <c r="D73" s="1"/>
  <c r="D102" s="1"/>
  <c r="D25" i="231"/>
  <c r="D25" i="227"/>
  <c r="F25" i="225"/>
  <c r="F25" i="226" s="1"/>
  <c r="F73" s="1"/>
  <c r="F102" s="1"/>
  <c r="F25" i="469"/>
  <c r="F25" i="470" s="1"/>
  <c r="F73" s="1"/>
  <c r="F102" s="1"/>
  <c r="F25" i="231"/>
  <c r="F25" i="227"/>
  <c r="H25" i="225"/>
  <c r="H25" i="226" s="1"/>
  <c r="H73" s="1"/>
  <c r="H102" s="1"/>
  <c r="H25" i="469"/>
  <c r="H25" i="470" s="1"/>
  <c r="H73" s="1"/>
  <c r="H102" s="1"/>
  <c r="H25" i="231"/>
  <c r="H25" i="227"/>
  <c r="J25" i="225"/>
  <c r="J25" i="226" s="1"/>
  <c r="J73" s="1"/>
  <c r="J102" s="1"/>
  <c r="J25" i="469"/>
  <c r="J25" i="470" s="1"/>
  <c r="J73" s="1"/>
  <c r="J102" s="1"/>
  <c r="J25" i="231"/>
  <c r="J25" i="227"/>
  <c r="L25" i="225"/>
  <c r="L25" i="226" s="1"/>
  <c r="L73" s="1"/>
  <c r="L102" s="1"/>
  <c r="L25" i="469"/>
  <c r="L25" i="470" s="1"/>
  <c r="L73" s="1"/>
  <c r="L102" s="1"/>
  <c r="L25" i="231"/>
  <c r="L25" i="227"/>
  <c r="C26" i="225"/>
  <c r="C26" i="469"/>
  <c r="C26" i="231"/>
  <c r="C26" i="227"/>
  <c r="E26" i="225"/>
  <c r="E26" i="469"/>
  <c r="E26" i="231"/>
  <c r="E26" i="227"/>
  <c r="G26" i="225"/>
  <c r="G26" i="469"/>
  <c r="G26" i="231"/>
  <c r="G26" i="227"/>
  <c r="I26" i="225"/>
  <c r="I26" i="469"/>
  <c r="I26" i="231"/>
  <c r="I26" i="227"/>
  <c r="K26" i="225"/>
  <c r="K26" i="469"/>
  <c r="K26" i="231"/>
  <c r="K26" i="227"/>
  <c r="B27" i="225"/>
  <c r="B27" i="469"/>
  <c r="B27" i="231"/>
  <c r="B27" i="227"/>
  <c r="D27" i="225"/>
  <c r="D27" i="226" s="1"/>
  <c r="D75" s="1"/>
  <c r="D104" s="1"/>
  <c r="D27" i="469"/>
  <c r="D27" i="470" s="1"/>
  <c r="D75" s="1"/>
  <c r="D104" s="1"/>
  <c r="D27" i="231"/>
  <c r="D27" i="227"/>
  <c r="F27" i="225"/>
  <c r="F27" i="226" s="1"/>
  <c r="F75" s="1"/>
  <c r="F104" s="1"/>
  <c r="F27" i="469"/>
  <c r="F27" i="470" s="1"/>
  <c r="F75" s="1"/>
  <c r="F104" s="1"/>
  <c r="F27" i="231"/>
  <c r="F27" i="227"/>
  <c r="H27" i="225"/>
  <c r="H27" i="226" s="1"/>
  <c r="H75" s="1"/>
  <c r="H104" s="1"/>
  <c r="H27" i="469"/>
  <c r="H27" i="470" s="1"/>
  <c r="H75" s="1"/>
  <c r="H104" s="1"/>
  <c r="H27" i="231"/>
  <c r="H27" i="227"/>
  <c r="J27" i="225"/>
  <c r="J27" i="226" s="1"/>
  <c r="J75" s="1"/>
  <c r="J104" s="1"/>
  <c r="J27" i="469"/>
  <c r="J27" i="470" s="1"/>
  <c r="J75" s="1"/>
  <c r="J104" s="1"/>
  <c r="J27" i="231"/>
  <c r="J27" i="227"/>
  <c r="L27" i="225"/>
  <c r="L27" i="226" s="1"/>
  <c r="L75" s="1"/>
  <c r="L104" s="1"/>
  <c r="L27" i="469"/>
  <c r="L27" i="470" s="1"/>
  <c r="L75" s="1"/>
  <c r="L104" s="1"/>
  <c r="L27" i="231"/>
  <c r="L27" i="227"/>
  <c r="C28" i="225"/>
  <c r="C28" i="469"/>
  <c r="C28" i="231"/>
  <c r="C28" i="227"/>
  <c r="E28" i="225"/>
  <c r="E28" i="469"/>
  <c r="E28" i="231"/>
  <c r="E28" i="227"/>
  <c r="G28" i="225"/>
  <c r="G28" i="469"/>
  <c r="G28" i="231"/>
  <c r="G28" i="227"/>
  <c r="I28" i="225"/>
  <c r="I28" i="469"/>
  <c r="I28" i="231"/>
  <c r="I28" i="227"/>
  <c r="K28" i="225"/>
  <c r="K28" i="469"/>
  <c r="K28" i="231"/>
  <c r="K28" i="227"/>
  <c r="B29" i="225"/>
  <c r="B29" i="469"/>
  <c r="B29" i="231"/>
  <c r="B29" i="227"/>
  <c r="D29" i="225"/>
  <c r="D29" i="226" s="1"/>
  <c r="D77" s="1"/>
  <c r="D106" s="1"/>
  <c r="D29" i="469"/>
  <c r="D29" i="470" s="1"/>
  <c r="D77" s="1"/>
  <c r="D106" s="1"/>
  <c r="D29" i="231"/>
  <c r="D29" i="227"/>
  <c r="F29" i="225"/>
  <c r="F29" i="226" s="1"/>
  <c r="F77" s="1"/>
  <c r="F106" s="1"/>
  <c r="F29" i="469"/>
  <c r="F29" i="470" s="1"/>
  <c r="F77" s="1"/>
  <c r="F106" s="1"/>
  <c r="F29" i="231"/>
  <c r="F29" i="227"/>
  <c r="H29" i="225"/>
  <c r="H29" i="226" s="1"/>
  <c r="H77" s="1"/>
  <c r="H106" s="1"/>
  <c r="H29" i="469"/>
  <c r="H29" i="470" s="1"/>
  <c r="H77" s="1"/>
  <c r="H106" s="1"/>
  <c r="H29" i="231"/>
  <c r="H29" i="227"/>
  <c r="J29" i="225"/>
  <c r="J29" i="226" s="1"/>
  <c r="J77" s="1"/>
  <c r="J106" s="1"/>
  <c r="J29" i="469"/>
  <c r="J29" i="470" s="1"/>
  <c r="J77" s="1"/>
  <c r="J106" s="1"/>
  <c r="J29" i="231"/>
  <c r="J29" i="227"/>
  <c r="L29" i="225"/>
  <c r="L29" i="226" s="1"/>
  <c r="L77" s="1"/>
  <c r="L106" s="1"/>
  <c r="L29" i="469"/>
  <c r="L29" i="470" s="1"/>
  <c r="L77" s="1"/>
  <c r="L106" s="1"/>
  <c r="L29" i="231"/>
  <c r="L29" i="227"/>
  <c r="C30" i="225"/>
  <c r="C30" i="469"/>
  <c r="C41" s="1"/>
  <c r="C30" i="231"/>
  <c r="C30" i="227"/>
  <c r="E30" i="225"/>
  <c r="E30" i="469"/>
  <c r="E41" s="1"/>
  <c r="E30" i="231"/>
  <c r="E30" i="227"/>
  <c r="G30" i="225"/>
  <c r="G30" i="469"/>
  <c r="G30" i="231"/>
  <c r="G30" i="227"/>
  <c r="I30" i="225"/>
  <c r="I30" i="469"/>
  <c r="I41" s="1"/>
  <c r="I30" i="231"/>
  <c r="I30" i="227"/>
  <c r="K30" i="225"/>
  <c r="K30" i="469"/>
  <c r="K41" s="1"/>
  <c r="K30" i="231"/>
  <c r="K30" i="227"/>
  <c r="B31" i="225"/>
  <c r="B31" i="469"/>
  <c r="B31" i="231"/>
  <c r="B31" i="227"/>
  <c r="B47" s="1"/>
  <c r="D31" i="225"/>
  <c r="D31" i="469"/>
  <c r="D31" i="231"/>
  <c r="D31" i="227"/>
  <c r="F31" i="225"/>
  <c r="F37" s="1"/>
  <c r="F31" i="469"/>
  <c r="F31" i="231"/>
  <c r="F47" s="1"/>
  <c r="F31" i="227"/>
  <c r="H31" i="225"/>
  <c r="H37" s="1"/>
  <c r="H31" i="469"/>
  <c r="H31" i="231"/>
  <c r="H47" s="1"/>
  <c r="H31" i="227"/>
  <c r="J31" i="225"/>
  <c r="J37" s="1"/>
  <c r="J31" i="469"/>
  <c r="J31" i="231"/>
  <c r="J47" s="1"/>
  <c r="J31" i="227"/>
  <c r="L31" i="225"/>
  <c r="L31" i="469"/>
  <c r="L31" i="231"/>
  <c r="L31" i="227"/>
  <c r="C32" i="225"/>
  <c r="C43" s="1"/>
  <c r="C32" i="469"/>
  <c r="C32" i="231"/>
  <c r="C32" i="227"/>
  <c r="E32" i="225"/>
  <c r="E43" s="1"/>
  <c r="E32" i="469"/>
  <c r="E32" i="231"/>
  <c r="E32" i="227"/>
  <c r="G32" i="225"/>
  <c r="G32" i="469"/>
  <c r="G32" i="231"/>
  <c r="G32" i="227"/>
  <c r="I32" i="225"/>
  <c r="I32" i="469"/>
  <c r="I32" i="231"/>
  <c r="I32" i="227"/>
  <c r="K32" i="225"/>
  <c r="K32" i="469"/>
  <c r="K32" i="231"/>
  <c r="K32" i="227"/>
  <c r="C5" i="225"/>
  <c r="C5" i="226" s="1"/>
  <c r="C53" s="1"/>
  <c r="C82" s="1"/>
  <c r="C5" i="469"/>
  <c r="C5" i="231"/>
  <c r="C5" i="227"/>
  <c r="E5" i="225"/>
  <c r="E5" i="226" s="1"/>
  <c r="E53" s="1"/>
  <c r="E82" s="1"/>
  <c r="E5" i="469"/>
  <c r="E5" i="231"/>
  <c r="E46" s="1"/>
  <c r="E5" i="227"/>
  <c r="G5" i="225"/>
  <c r="G5" i="226" s="1"/>
  <c r="G53" s="1"/>
  <c r="G82" s="1"/>
  <c r="G5" i="469"/>
  <c r="G5" i="231"/>
  <c r="G5" i="227"/>
  <c r="I5" i="225"/>
  <c r="I5" i="226" s="1"/>
  <c r="I53" s="1"/>
  <c r="I82" s="1"/>
  <c r="I5" i="469"/>
  <c r="I5" i="231"/>
  <c r="I46" s="1"/>
  <c r="I5" i="227"/>
  <c r="K5" i="225"/>
  <c r="K5" i="226" s="1"/>
  <c r="K53" s="1"/>
  <c r="K82" s="1"/>
  <c r="K5" i="469"/>
  <c r="K5" i="231"/>
  <c r="K5" i="227"/>
  <c r="B6" i="225"/>
  <c r="B6" i="226" s="1"/>
  <c r="B6" i="469"/>
  <c r="B6" i="470" s="1"/>
  <c r="B6" i="231"/>
  <c r="E56" s="1"/>
  <c r="E85" s="1"/>
  <c r="B6" i="227"/>
  <c r="D6" i="225"/>
  <c r="D6" i="226" s="1"/>
  <c r="D54" s="1"/>
  <c r="D83" s="1"/>
  <c r="D6" i="469"/>
  <c r="D6" i="470" s="1"/>
  <c r="D54" s="1"/>
  <c r="D83" s="1"/>
  <c r="D6" i="231"/>
  <c r="D56" s="1"/>
  <c r="D85" s="1"/>
  <c r="D6" i="227"/>
  <c r="F6" i="225"/>
  <c r="F6" i="469"/>
  <c r="F6" i="470" s="1"/>
  <c r="F54" s="1"/>
  <c r="F83" s="1"/>
  <c r="F6" i="231"/>
  <c r="F6" i="227"/>
  <c r="H6" i="225"/>
  <c r="H6" i="226" s="1"/>
  <c r="H54" s="1"/>
  <c r="H83" s="1"/>
  <c r="H6" i="469"/>
  <c r="H6" i="470" s="1"/>
  <c r="H54" s="1"/>
  <c r="H83" s="1"/>
  <c r="H6" i="231"/>
  <c r="H56" s="1"/>
  <c r="H85" s="1"/>
  <c r="H6" i="227"/>
  <c r="J6" i="225"/>
  <c r="J6" i="469"/>
  <c r="J6" i="470" s="1"/>
  <c r="J54" s="1"/>
  <c r="J83" s="1"/>
  <c r="J6" i="231"/>
  <c r="J56" s="1"/>
  <c r="J85" s="1"/>
  <c r="J6" i="227"/>
  <c r="L6" i="225"/>
  <c r="L6" i="226" s="1"/>
  <c r="L54" s="1"/>
  <c r="L83" s="1"/>
  <c r="L6" i="469"/>
  <c r="L6" i="470" s="1"/>
  <c r="L54" s="1"/>
  <c r="L83" s="1"/>
  <c r="L6" i="231"/>
  <c r="L56" s="1"/>
  <c r="L85" s="1"/>
  <c r="L6" i="227"/>
  <c r="C7" i="225"/>
  <c r="C7" i="226" s="1"/>
  <c r="C55" s="1"/>
  <c r="C84" s="1"/>
  <c r="C7" i="469"/>
  <c r="C7" i="231"/>
  <c r="C57" s="1"/>
  <c r="C86" s="1"/>
  <c r="C7" i="227"/>
  <c r="E7" i="225"/>
  <c r="E7" i="226" s="1"/>
  <c r="E55" s="1"/>
  <c r="E84" s="1"/>
  <c r="E7" i="469"/>
  <c r="E7" i="231"/>
  <c r="E57" s="1"/>
  <c r="E86" s="1"/>
  <c r="E7" i="227"/>
  <c r="G7" i="225"/>
  <c r="G7" i="226" s="1"/>
  <c r="G55" s="1"/>
  <c r="G84" s="1"/>
  <c r="G7" i="469"/>
  <c r="G7" i="231"/>
  <c r="G7" i="227"/>
  <c r="I7" i="225"/>
  <c r="I7" i="226" s="1"/>
  <c r="I55" s="1"/>
  <c r="I84" s="1"/>
  <c r="I7" i="469"/>
  <c r="I7" i="231"/>
  <c r="I57" s="1"/>
  <c r="I86" s="1"/>
  <c r="I7" i="227"/>
  <c r="K7" i="225"/>
  <c r="K7" i="226" s="1"/>
  <c r="K55" s="1"/>
  <c r="K84" s="1"/>
  <c r="K7" i="469"/>
  <c r="K7" i="231"/>
  <c r="K57" s="1"/>
  <c r="K86" s="1"/>
  <c r="K7" i="227"/>
  <c r="B8" i="225"/>
  <c r="B8" i="226" s="1"/>
  <c r="B8" i="469"/>
  <c r="B8" i="470" s="1"/>
  <c r="B8" i="231"/>
  <c r="C58" s="1"/>
  <c r="C87" s="1"/>
  <c r="B8" i="227"/>
  <c r="D8" i="225"/>
  <c r="D8" i="469"/>
  <c r="D8" i="470" s="1"/>
  <c r="D56" s="1"/>
  <c r="D85" s="1"/>
  <c r="D8" i="231"/>
  <c r="D58" s="1"/>
  <c r="D87" s="1"/>
  <c r="D8" i="227"/>
  <c r="F8" i="225"/>
  <c r="F8" i="226" s="1"/>
  <c r="F56" s="1"/>
  <c r="F85" s="1"/>
  <c r="F8" i="469"/>
  <c r="F8" i="470" s="1"/>
  <c r="F56" s="1"/>
  <c r="F85" s="1"/>
  <c r="F8" i="231"/>
  <c r="F58" s="1"/>
  <c r="F87" s="1"/>
  <c r="F8" i="227"/>
  <c r="H8" i="225"/>
  <c r="H8" i="226" s="1"/>
  <c r="H56" s="1"/>
  <c r="H85" s="1"/>
  <c r="H8" i="469"/>
  <c r="H8" i="470" s="1"/>
  <c r="H56" s="1"/>
  <c r="H85" s="1"/>
  <c r="H8" i="231"/>
  <c r="H58" s="1"/>
  <c r="H87" s="1"/>
  <c r="H8" i="227"/>
  <c r="J8" i="225"/>
  <c r="J8" i="226" s="1"/>
  <c r="J56" s="1"/>
  <c r="J85" s="1"/>
  <c r="J8" i="469"/>
  <c r="J8" i="470" s="1"/>
  <c r="J56" s="1"/>
  <c r="J85" s="1"/>
  <c r="J8" i="231"/>
  <c r="J8" i="227"/>
  <c r="L8" i="225"/>
  <c r="L8" i="226" s="1"/>
  <c r="L56" s="1"/>
  <c r="L85" s="1"/>
  <c r="L8" i="469"/>
  <c r="L8" i="470" s="1"/>
  <c r="L56" s="1"/>
  <c r="L85" s="1"/>
  <c r="L8" i="231"/>
  <c r="L58" s="1"/>
  <c r="L87" s="1"/>
  <c r="L8" i="227"/>
  <c r="C9" i="225"/>
  <c r="C9" i="226" s="1"/>
  <c r="C57" s="1"/>
  <c r="C86" s="1"/>
  <c r="C9" i="469"/>
  <c r="C9" i="231"/>
  <c r="C59" s="1"/>
  <c r="C88" s="1"/>
  <c r="C9" i="227"/>
  <c r="E9" i="225"/>
  <c r="E9" i="226" s="1"/>
  <c r="E57" s="1"/>
  <c r="E86" s="1"/>
  <c r="E9" i="469"/>
  <c r="E9" i="231"/>
  <c r="E9" i="227"/>
  <c r="G9" i="225"/>
  <c r="G9" i="226" s="1"/>
  <c r="G57" s="1"/>
  <c r="G86" s="1"/>
  <c r="G9" i="469"/>
  <c r="G9" i="231"/>
  <c r="G59" s="1"/>
  <c r="G88" s="1"/>
  <c r="G9" i="227"/>
  <c r="I9" i="225"/>
  <c r="I9" i="226" s="1"/>
  <c r="I57" s="1"/>
  <c r="I86" s="1"/>
  <c r="I9" i="469"/>
  <c r="I9" i="231"/>
  <c r="I59" s="1"/>
  <c r="I88" s="1"/>
  <c r="I9" i="227"/>
  <c r="K9" i="225"/>
  <c r="K9" i="226" s="1"/>
  <c r="K57" s="1"/>
  <c r="K86" s="1"/>
  <c r="K9" i="469"/>
  <c r="K9" i="231"/>
  <c r="K59" s="1"/>
  <c r="K88" s="1"/>
  <c r="K9" i="227"/>
  <c r="B10" i="225"/>
  <c r="B10" i="226" s="1"/>
  <c r="B10" i="469"/>
  <c r="B10" i="470" s="1"/>
  <c r="B10" i="231"/>
  <c r="E60" s="1"/>
  <c r="E89" s="1"/>
  <c r="B10" i="227"/>
  <c r="D10" i="225"/>
  <c r="D10" i="226" s="1"/>
  <c r="D58" s="1"/>
  <c r="D87" s="1"/>
  <c r="D10" i="469"/>
  <c r="D10" i="470" s="1"/>
  <c r="D58" s="1"/>
  <c r="D87" s="1"/>
  <c r="D10" i="231"/>
  <c r="D60" s="1"/>
  <c r="D89" s="1"/>
  <c r="D10" i="227"/>
  <c r="F10" i="225"/>
  <c r="F10" i="226" s="1"/>
  <c r="F58" s="1"/>
  <c r="F87" s="1"/>
  <c r="F10" i="469"/>
  <c r="F10" i="470" s="1"/>
  <c r="F58" s="1"/>
  <c r="F87" s="1"/>
  <c r="F10" i="231"/>
  <c r="F10" i="227"/>
  <c r="H10" i="225"/>
  <c r="H10" i="226" s="1"/>
  <c r="H58" s="1"/>
  <c r="H87" s="1"/>
  <c r="H10" i="469"/>
  <c r="H10" i="470" s="1"/>
  <c r="H58" s="1"/>
  <c r="H87" s="1"/>
  <c r="H10" i="231"/>
  <c r="H60" s="1"/>
  <c r="H89" s="1"/>
  <c r="H10" i="227"/>
  <c r="J10" i="225"/>
  <c r="J10" i="226" s="1"/>
  <c r="J58" s="1"/>
  <c r="J87" s="1"/>
  <c r="J10" i="469"/>
  <c r="J10" i="470" s="1"/>
  <c r="J58" s="1"/>
  <c r="J87" s="1"/>
  <c r="J10" i="231"/>
  <c r="J60" s="1"/>
  <c r="J89" s="1"/>
  <c r="J10" i="227"/>
  <c r="L10" i="225"/>
  <c r="L10" i="226" s="1"/>
  <c r="L58" s="1"/>
  <c r="L87" s="1"/>
  <c r="L10" i="469"/>
  <c r="L10" i="470" s="1"/>
  <c r="L58" s="1"/>
  <c r="L87" s="1"/>
  <c r="L10" i="231"/>
  <c r="L60" s="1"/>
  <c r="L89" s="1"/>
  <c r="L10" i="227"/>
  <c r="C11" i="225"/>
  <c r="C11" i="226" s="1"/>
  <c r="C59" s="1"/>
  <c r="C88" s="1"/>
  <c r="C11" i="469"/>
  <c r="C11" i="231"/>
  <c r="C11" i="227"/>
  <c r="E11" i="225"/>
  <c r="E11" i="226" s="1"/>
  <c r="E59" s="1"/>
  <c r="E88" s="1"/>
  <c r="E11" i="469"/>
  <c r="E11" i="231"/>
  <c r="E61" s="1"/>
  <c r="E90" s="1"/>
  <c r="E11" i="227"/>
  <c r="G11" i="225"/>
  <c r="G11" i="226" s="1"/>
  <c r="G59" s="1"/>
  <c r="G88" s="1"/>
  <c r="G11" i="469"/>
  <c r="G11" i="231"/>
  <c r="G61" s="1"/>
  <c r="G90" s="1"/>
  <c r="G11" i="227"/>
  <c r="I11" i="225"/>
  <c r="I11" i="226" s="1"/>
  <c r="I59" s="1"/>
  <c r="I88" s="1"/>
  <c r="I11" i="469"/>
  <c r="I11" i="231"/>
  <c r="I61" s="1"/>
  <c r="I90" s="1"/>
  <c r="I11" i="227"/>
  <c r="K11" i="225"/>
  <c r="K11" i="226" s="1"/>
  <c r="K59" s="1"/>
  <c r="K88" s="1"/>
  <c r="K11" i="469"/>
  <c r="K11" i="231"/>
  <c r="K11" i="227"/>
  <c r="B12" i="225"/>
  <c r="B12" i="226" s="1"/>
  <c r="B12" i="469"/>
  <c r="B12" i="470" s="1"/>
  <c r="B12" i="231"/>
  <c r="C62" s="1"/>
  <c r="C91" s="1"/>
  <c r="B12" i="227"/>
  <c r="D12" i="225"/>
  <c r="D12" i="469"/>
  <c r="D12" i="470" s="1"/>
  <c r="D60" s="1"/>
  <c r="D89" s="1"/>
  <c r="D12" i="231"/>
  <c r="D62" s="1"/>
  <c r="D91" s="1"/>
  <c r="D12" i="227"/>
  <c r="F12" i="225"/>
  <c r="F12" i="226" s="1"/>
  <c r="F60" s="1"/>
  <c r="F89" s="1"/>
  <c r="F12" i="469"/>
  <c r="F12" i="470" s="1"/>
  <c r="F60" s="1"/>
  <c r="F89" s="1"/>
  <c r="F12" i="231"/>
  <c r="F62" s="1"/>
  <c r="F91" s="1"/>
  <c r="F12" i="227"/>
  <c r="H12" i="225"/>
  <c r="H12" i="226" s="1"/>
  <c r="H60" s="1"/>
  <c r="H89" s="1"/>
  <c r="H12" i="469"/>
  <c r="H12" i="470" s="1"/>
  <c r="H60" s="1"/>
  <c r="H89" s="1"/>
  <c r="H12" i="231"/>
  <c r="H62" s="1"/>
  <c r="H91" s="1"/>
  <c r="H12" i="227"/>
  <c r="J12" i="225"/>
  <c r="J12" i="226" s="1"/>
  <c r="J60" s="1"/>
  <c r="J89" s="1"/>
  <c r="J12" i="469"/>
  <c r="J12" i="470" s="1"/>
  <c r="J60" s="1"/>
  <c r="J89" s="1"/>
  <c r="J12" i="231"/>
  <c r="J12" i="227"/>
  <c r="L12" i="225"/>
  <c r="L12" i="226" s="1"/>
  <c r="L60" s="1"/>
  <c r="L89" s="1"/>
  <c r="L12" i="469"/>
  <c r="L12" i="470" s="1"/>
  <c r="L60" s="1"/>
  <c r="L89" s="1"/>
  <c r="L12" i="231"/>
  <c r="L62" s="1"/>
  <c r="L91" s="1"/>
  <c r="L12" i="227"/>
  <c r="C13" i="225"/>
  <c r="C13" i="469"/>
  <c r="C13" i="231"/>
  <c r="C63" s="1"/>
  <c r="C92" s="1"/>
  <c r="C13" i="227"/>
  <c r="E13" i="225"/>
  <c r="E13" i="469"/>
  <c r="E13" i="231"/>
  <c r="E63" s="1"/>
  <c r="E92" s="1"/>
  <c r="E13" i="227"/>
  <c r="G13" i="225"/>
  <c r="G13" i="226" s="1"/>
  <c r="G61" s="1"/>
  <c r="G90" s="1"/>
  <c r="G13" i="469"/>
  <c r="G13" i="231"/>
  <c r="G63" s="1"/>
  <c r="G92" s="1"/>
  <c r="G13" i="227"/>
  <c r="I13" i="225"/>
  <c r="I13" i="469"/>
  <c r="I13" i="231"/>
  <c r="I13" i="227"/>
  <c r="K13" i="225"/>
  <c r="K13" i="226" s="1"/>
  <c r="K61" s="1"/>
  <c r="K90" s="1"/>
  <c r="K13" i="469"/>
  <c r="K13" i="231"/>
  <c r="K63" s="1"/>
  <c r="K92" s="1"/>
  <c r="K13" i="227"/>
  <c r="B14" i="225"/>
  <c r="B14" i="469"/>
  <c r="B14" i="470" s="1"/>
  <c r="B14" i="231"/>
  <c r="E64" s="1"/>
  <c r="E93" s="1"/>
  <c r="B14" i="227"/>
  <c r="D14" i="225"/>
  <c r="D14" i="469"/>
  <c r="D14" i="470" s="1"/>
  <c r="D62" s="1"/>
  <c r="D91" s="1"/>
  <c r="D14" i="231"/>
  <c r="D14" i="227"/>
  <c r="F14" i="225"/>
  <c r="F14" i="226" s="1"/>
  <c r="F62" s="1"/>
  <c r="F91" s="1"/>
  <c r="F14" i="469"/>
  <c r="F14" i="470" s="1"/>
  <c r="F62" s="1"/>
  <c r="F91" s="1"/>
  <c r="F14" i="231"/>
  <c r="F14" i="227"/>
  <c r="H14" i="225"/>
  <c r="H14" i="226" s="1"/>
  <c r="H62" s="1"/>
  <c r="H91" s="1"/>
  <c r="H14" i="469"/>
  <c r="H14" i="470" s="1"/>
  <c r="H62" s="1"/>
  <c r="H91" s="1"/>
  <c r="H14" i="231"/>
  <c r="H64" s="1"/>
  <c r="H93" s="1"/>
  <c r="H14" i="227"/>
  <c r="J14" i="225"/>
  <c r="J14" i="226" s="1"/>
  <c r="J62" s="1"/>
  <c r="J91" s="1"/>
  <c r="J14" i="469"/>
  <c r="J14" i="470" s="1"/>
  <c r="J62" s="1"/>
  <c r="J91" s="1"/>
  <c r="J14" i="231"/>
  <c r="J64" s="1"/>
  <c r="J93" s="1"/>
  <c r="J14" i="227"/>
  <c r="L14" i="225"/>
  <c r="L14" i="226" s="1"/>
  <c r="L62" s="1"/>
  <c r="L91" s="1"/>
  <c r="L14" i="469"/>
  <c r="L14" i="470" s="1"/>
  <c r="L62" s="1"/>
  <c r="L91" s="1"/>
  <c r="L14" i="231"/>
  <c r="L64" s="1"/>
  <c r="L93" s="1"/>
  <c r="L14" i="227"/>
  <c r="C15" i="225"/>
  <c r="C15" i="226" s="1"/>
  <c r="C63" s="1"/>
  <c r="C92" s="1"/>
  <c r="C15" i="469"/>
  <c r="C15" i="231"/>
  <c r="C65" s="1"/>
  <c r="C94" s="1"/>
  <c r="C15" i="227"/>
  <c r="E15" i="225"/>
  <c r="E15" i="226" s="1"/>
  <c r="E63" s="1"/>
  <c r="E92" s="1"/>
  <c r="E15" i="469"/>
  <c r="E15" i="231"/>
  <c r="E65" s="1"/>
  <c r="E94" s="1"/>
  <c r="E15" i="227"/>
  <c r="G15" i="225"/>
  <c r="G15" i="226" s="1"/>
  <c r="G63" s="1"/>
  <c r="G92" s="1"/>
  <c r="G15" i="469"/>
  <c r="G15" i="231"/>
  <c r="G15" i="227"/>
  <c r="I15" i="225"/>
  <c r="I15" i="226" s="1"/>
  <c r="I63" s="1"/>
  <c r="I92" s="1"/>
  <c r="I15" i="469"/>
  <c r="I15" i="231"/>
  <c r="I15" i="227"/>
  <c r="K15" i="225"/>
  <c r="K15" i="226" s="1"/>
  <c r="K63" s="1"/>
  <c r="K92" s="1"/>
  <c r="K15" i="469"/>
  <c r="K15" i="231"/>
  <c r="K65" s="1"/>
  <c r="K94" s="1"/>
  <c r="K15" i="227"/>
  <c r="B16" i="225"/>
  <c r="B16" i="469"/>
  <c r="B16" i="470" s="1"/>
  <c r="B16" i="231"/>
  <c r="C66" s="1"/>
  <c r="C95" s="1"/>
  <c r="B16" i="227"/>
  <c r="D16" i="225"/>
  <c r="D16" i="226" s="1"/>
  <c r="D64" s="1"/>
  <c r="D93" s="1"/>
  <c r="D16" i="469"/>
  <c r="D16" i="470" s="1"/>
  <c r="D64" s="1"/>
  <c r="D93" s="1"/>
  <c r="D16" i="231"/>
  <c r="D16" i="227"/>
  <c r="F16" i="225"/>
  <c r="F16" i="226" s="1"/>
  <c r="F64" s="1"/>
  <c r="F93" s="1"/>
  <c r="F16" i="469"/>
  <c r="F16" i="470" s="1"/>
  <c r="F64" s="1"/>
  <c r="F93" s="1"/>
  <c r="F16" i="231"/>
  <c r="F66" s="1"/>
  <c r="F95" s="1"/>
  <c r="F16" i="227"/>
  <c r="H16" i="225"/>
  <c r="H16" i="226" s="1"/>
  <c r="H64" s="1"/>
  <c r="H93" s="1"/>
  <c r="H16" i="469"/>
  <c r="H16" i="470" s="1"/>
  <c r="H64" s="1"/>
  <c r="H93" s="1"/>
  <c r="H16" i="231"/>
  <c r="H16" i="227"/>
  <c r="J16" i="225"/>
  <c r="J16" i="226" s="1"/>
  <c r="J64" s="1"/>
  <c r="J93" s="1"/>
  <c r="J16" i="469"/>
  <c r="J16" i="470" s="1"/>
  <c r="J64" s="1"/>
  <c r="J93" s="1"/>
  <c r="J16" i="231"/>
  <c r="J66" s="1"/>
  <c r="J95" s="1"/>
  <c r="J16" i="227"/>
  <c r="L16" i="225"/>
  <c r="L16" i="226" s="1"/>
  <c r="L64" s="1"/>
  <c r="L93" s="1"/>
  <c r="L16" i="469"/>
  <c r="L16" i="470" s="1"/>
  <c r="L64" s="1"/>
  <c r="L93" s="1"/>
  <c r="L16" i="231"/>
  <c r="L66" s="1"/>
  <c r="L95" s="1"/>
  <c r="L16" i="227"/>
  <c r="C17" i="225"/>
  <c r="C17" i="226" s="1"/>
  <c r="C65" s="1"/>
  <c r="C94" s="1"/>
  <c r="C17" i="469"/>
  <c r="C17" i="231"/>
  <c r="C67" s="1"/>
  <c r="C96" s="1"/>
  <c r="C17" i="227"/>
  <c r="E17" i="225"/>
  <c r="E17" i="226" s="1"/>
  <c r="E65" s="1"/>
  <c r="E94" s="1"/>
  <c r="E17" i="469"/>
  <c r="E17" i="231"/>
  <c r="E67" s="1"/>
  <c r="E96" s="1"/>
  <c r="E17" i="227"/>
  <c r="G17" i="225"/>
  <c r="G17" i="226" s="1"/>
  <c r="G65" s="1"/>
  <c r="G94" s="1"/>
  <c r="G17" i="469"/>
  <c r="G17" i="231"/>
  <c r="G17" i="227"/>
  <c r="I17" i="225"/>
  <c r="I17" i="226" s="1"/>
  <c r="I65" s="1"/>
  <c r="I94" s="1"/>
  <c r="I17" i="469"/>
  <c r="I17" i="231"/>
  <c r="I67" s="1"/>
  <c r="I96" s="1"/>
  <c r="I17" i="227"/>
  <c r="K17" i="225"/>
  <c r="K17" i="226" s="1"/>
  <c r="K65" s="1"/>
  <c r="K94" s="1"/>
  <c r="K17" i="469"/>
  <c r="K17" i="231"/>
  <c r="K67" s="1"/>
  <c r="K96" s="1"/>
  <c r="K17" i="227"/>
  <c r="B18" i="225"/>
  <c r="B18" i="469"/>
  <c r="B18" i="470" s="1"/>
  <c r="B18" i="231"/>
  <c r="E68" s="1"/>
  <c r="E97" s="1"/>
  <c r="B18" i="227"/>
  <c r="D18" i="225"/>
  <c r="D18" i="469"/>
  <c r="D18" i="470" s="1"/>
  <c r="D66" s="1"/>
  <c r="D95" s="1"/>
  <c r="D18" i="231"/>
  <c r="D18" i="227"/>
  <c r="F18" i="225"/>
  <c r="F18" i="226" s="1"/>
  <c r="F66" s="1"/>
  <c r="F95" s="1"/>
  <c r="F18" i="469"/>
  <c r="F18" i="470" s="1"/>
  <c r="F66" s="1"/>
  <c r="F95" s="1"/>
  <c r="F18" i="231"/>
  <c r="F18" i="227"/>
  <c r="H18" i="225"/>
  <c r="H18" i="226" s="1"/>
  <c r="H66" s="1"/>
  <c r="H95" s="1"/>
  <c r="H18" i="469"/>
  <c r="H18" i="470" s="1"/>
  <c r="H66" s="1"/>
  <c r="H95" s="1"/>
  <c r="H18" i="231"/>
  <c r="H68" s="1"/>
  <c r="H97" s="1"/>
  <c r="H18" i="227"/>
  <c r="J18" i="225"/>
  <c r="J18" i="226" s="1"/>
  <c r="J66" s="1"/>
  <c r="J95" s="1"/>
  <c r="J18" i="469"/>
  <c r="J18" i="470" s="1"/>
  <c r="J66" s="1"/>
  <c r="J95" s="1"/>
  <c r="J18" i="231"/>
  <c r="J68" s="1"/>
  <c r="J97" s="1"/>
  <c r="J18" i="227"/>
  <c r="L18" i="225"/>
  <c r="L18" i="226" s="1"/>
  <c r="L66" s="1"/>
  <c r="L95" s="1"/>
  <c r="L18" i="469"/>
  <c r="L18" i="470" s="1"/>
  <c r="L66" s="1"/>
  <c r="L95" s="1"/>
  <c r="L18" i="231"/>
  <c r="L68" s="1"/>
  <c r="L97" s="1"/>
  <c r="L18" i="227"/>
  <c r="C19" i="225"/>
  <c r="C19" i="226" s="1"/>
  <c r="C67" s="1"/>
  <c r="C96" s="1"/>
  <c r="C19" i="469"/>
  <c r="C19" i="231"/>
  <c r="C19" i="227"/>
  <c r="E19" i="225"/>
  <c r="E19" i="226" s="1"/>
  <c r="E67" s="1"/>
  <c r="E96" s="1"/>
  <c r="E19" i="469"/>
  <c r="E19" i="231"/>
  <c r="E69" s="1"/>
  <c r="E98" s="1"/>
  <c r="E19" i="227"/>
  <c r="G19" i="225"/>
  <c r="G19" i="226" s="1"/>
  <c r="G67" s="1"/>
  <c r="G96" s="1"/>
  <c r="G19" i="469"/>
  <c r="G19" i="231"/>
  <c r="G69" s="1"/>
  <c r="G98" s="1"/>
  <c r="G19" i="227"/>
  <c r="I19" i="225"/>
  <c r="I19" i="226" s="1"/>
  <c r="I67" s="1"/>
  <c r="I96" s="1"/>
  <c r="I19" i="469"/>
  <c r="I19" i="231"/>
  <c r="I69" s="1"/>
  <c r="I98" s="1"/>
  <c r="I19" i="227"/>
  <c r="K19" i="225"/>
  <c r="K19" i="226" s="1"/>
  <c r="K67" s="1"/>
  <c r="K96" s="1"/>
  <c r="K19" i="469"/>
  <c r="K19" i="231"/>
  <c r="K19" i="227"/>
  <c r="B20" i="225"/>
  <c r="B20" i="469"/>
  <c r="B20" i="470" s="1"/>
  <c r="B20" i="231"/>
  <c r="C70" s="1"/>
  <c r="C99" s="1"/>
  <c r="B20" i="227"/>
  <c r="D20" i="225"/>
  <c r="D20" i="226" s="1"/>
  <c r="D68" s="1"/>
  <c r="D97" s="1"/>
  <c r="D20" i="469"/>
  <c r="D20" i="470" s="1"/>
  <c r="D68" s="1"/>
  <c r="D97" s="1"/>
  <c r="D20" i="231"/>
  <c r="D70" s="1"/>
  <c r="D99" s="1"/>
  <c r="D20" i="227"/>
  <c r="F20" i="225"/>
  <c r="F20" i="226" s="1"/>
  <c r="F68" s="1"/>
  <c r="F97" s="1"/>
  <c r="F20" i="469"/>
  <c r="F20" i="470" s="1"/>
  <c r="F68" s="1"/>
  <c r="F97" s="1"/>
  <c r="F20" i="231"/>
  <c r="F70" s="1"/>
  <c r="F99" s="1"/>
  <c r="F20" i="227"/>
  <c r="H20" i="225"/>
  <c r="H20" i="226" s="1"/>
  <c r="H68" s="1"/>
  <c r="H97" s="1"/>
  <c r="H20" i="469"/>
  <c r="H20" i="470" s="1"/>
  <c r="H68" s="1"/>
  <c r="H97" s="1"/>
  <c r="H20" i="231"/>
  <c r="H70" s="1"/>
  <c r="H99" s="1"/>
  <c r="H20" i="227"/>
  <c r="J20" i="225"/>
  <c r="J20" i="226" s="1"/>
  <c r="J68" s="1"/>
  <c r="J97" s="1"/>
  <c r="J20" i="469"/>
  <c r="J20" i="470" s="1"/>
  <c r="J68" s="1"/>
  <c r="J97" s="1"/>
  <c r="J20" i="231"/>
  <c r="J20" i="227"/>
  <c r="L20" i="225"/>
  <c r="L20" i="226" s="1"/>
  <c r="L68" s="1"/>
  <c r="L97" s="1"/>
  <c r="L20" i="469"/>
  <c r="L20" i="470" s="1"/>
  <c r="L68" s="1"/>
  <c r="L97" s="1"/>
  <c r="L20" i="231"/>
  <c r="L70" s="1"/>
  <c r="L99" s="1"/>
  <c r="L20" i="227"/>
  <c r="C21" i="225"/>
  <c r="C21" i="226" s="1"/>
  <c r="C69" s="1"/>
  <c r="C98" s="1"/>
  <c r="C21" i="469"/>
  <c r="C21" i="231"/>
  <c r="C21" i="227"/>
  <c r="E21" i="225"/>
  <c r="E21" i="226" s="1"/>
  <c r="E69" s="1"/>
  <c r="E98" s="1"/>
  <c r="E21" i="469"/>
  <c r="E21" i="231"/>
  <c r="E71" s="1"/>
  <c r="E100" s="1"/>
  <c r="E21" i="227"/>
  <c r="G21" i="225"/>
  <c r="G21" i="226" s="1"/>
  <c r="G69" s="1"/>
  <c r="G98" s="1"/>
  <c r="G21" i="469"/>
  <c r="G21" i="231"/>
  <c r="G21" i="227"/>
  <c r="I21" i="225"/>
  <c r="I21" i="226" s="1"/>
  <c r="I69" s="1"/>
  <c r="I98" s="1"/>
  <c r="I21" i="469"/>
  <c r="I21" i="231"/>
  <c r="I71" s="1"/>
  <c r="I100" s="1"/>
  <c r="I21" i="227"/>
  <c r="K21" i="225"/>
  <c r="K21" i="226" s="1"/>
  <c r="K69" s="1"/>
  <c r="K98" s="1"/>
  <c r="K21" i="469"/>
  <c r="K21" i="231"/>
  <c r="K21" i="227"/>
  <c r="B22" i="225"/>
  <c r="B22" i="469"/>
  <c r="B22" i="470" s="1"/>
  <c r="B22" i="231"/>
  <c r="E72" s="1"/>
  <c r="E101" s="1"/>
  <c r="B22" i="227"/>
  <c r="D22" i="225"/>
  <c r="D22" i="469"/>
  <c r="D22" i="470" s="1"/>
  <c r="D70" s="1"/>
  <c r="D99" s="1"/>
  <c r="D22" i="231"/>
  <c r="D22" i="227"/>
  <c r="F22" i="225"/>
  <c r="F22" i="226" s="1"/>
  <c r="F70" s="1"/>
  <c r="F99" s="1"/>
  <c r="F22" i="469"/>
  <c r="F22" i="470" s="1"/>
  <c r="F70" s="1"/>
  <c r="F99" s="1"/>
  <c r="F22" i="231"/>
  <c r="F22" i="227"/>
  <c r="H22" i="225"/>
  <c r="H22" i="226" s="1"/>
  <c r="H70" s="1"/>
  <c r="H99" s="1"/>
  <c r="H22" i="469"/>
  <c r="H22" i="470" s="1"/>
  <c r="H70" s="1"/>
  <c r="H99" s="1"/>
  <c r="H22" i="231"/>
  <c r="H72" s="1"/>
  <c r="H101" s="1"/>
  <c r="H22" i="227"/>
  <c r="J22" i="225"/>
  <c r="J22" i="226" s="1"/>
  <c r="J70" s="1"/>
  <c r="J99" s="1"/>
  <c r="J22" i="469"/>
  <c r="J22" i="470" s="1"/>
  <c r="J70" s="1"/>
  <c r="J99" s="1"/>
  <c r="J22" i="231"/>
  <c r="J22" i="227"/>
  <c r="L22" i="225"/>
  <c r="L22" i="226" s="1"/>
  <c r="L70" s="1"/>
  <c r="L99" s="1"/>
  <c r="L22" i="469"/>
  <c r="L22" i="470" s="1"/>
  <c r="L70" s="1"/>
  <c r="L99" s="1"/>
  <c r="L22" i="231"/>
  <c r="L72" s="1"/>
  <c r="L101" s="1"/>
  <c r="L22" i="227"/>
  <c r="C23" i="225"/>
  <c r="C23" i="226" s="1"/>
  <c r="C71" s="1"/>
  <c r="C100" s="1"/>
  <c r="C23" i="469"/>
  <c r="C23" i="231"/>
  <c r="C23" i="227"/>
  <c r="E23" i="225"/>
  <c r="E23" i="226" s="1"/>
  <c r="E71" s="1"/>
  <c r="E100" s="1"/>
  <c r="E23" i="469"/>
  <c r="E23" i="231"/>
  <c r="E73" s="1"/>
  <c r="E102" s="1"/>
  <c r="E23" i="227"/>
  <c r="G23" i="225"/>
  <c r="G23" i="226" s="1"/>
  <c r="G71" s="1"/>
  <c r="G100" s="1"/>
  <c r="G23" i="469"/>
  <c r="G23" i="231"/>
  <c r="G23" i="227"/>
  <c r="I23" i="225"/>
  <c r="I23" i="226" s="1"/>
  <c r="I71" s="1"/>
  <c r="I100" s="1"/>
  <c r="I23" i="469"/>
  <c r="I23" i="231"/>
  <c r="I73" s="1"/>
  <c r="I102" s="1"/>
  <c r="I23" i="227"/>
  <c r="K23" i="225"/>
  <c r="K23" i="226" s="1"/>
  <c r="K71" s="1"/>
  <c r="K100" s="1"/>
  <c r="K23" i="469"/>
  <c r="K23" i="231"/>
  <c r="K23" i="227"/>
  <c r="B24" i="225"/>
  <c r="B24" i="469"/>
  <c r="B24" i="470" s="1"/>
  <c r="B24" i="231"/>
  <c r="B35" s="1"/>
  <c r="B24" i="227"/>
  <c r="D24" i="225"/>
  <c r="D24" i="226" s="1"/>
  <c r="D72" s="1"/>
  <c r="D101" s="1"/>
  <c r="D24" i="469"/>
  <c r="D24" i="470" s="1"/>
  <c r="D72" s="1"/>
  <c r="D101" s="1"/>
  <c r="D24" i="231"/>
  <c r="D24" i="227"/>
  <c r="F24" i="225"/>
  <c r="F24" i="469"/>
  <c r="F24" i="470" s="1"/>
  <c r="F72" s="1"/>
  <c r="F101" s="1"/>
  <c r="F24" i="231"/>
  <c r="F35" s="1"/>
  <c r="F24" i="227"/>
  <c r="H24" i="225"/>
  <c r="H24" i="226" s="1"/>
  <c r="H72" s="1"/>
  <c r="H101" s="1"/>
  <c r="H24" i="469"/>
  <c r="H24" i="470" s="1"/>
  <c r="H72" s="1"/>
  <c r="H101" s="1"/>
  <c r="H24" i="231"/>
  <c r="H74" s="1"/>
  <c r="H103" s="1"/>
  <c r="H24" i="227"/>
  <c r="J24" i="225"/>
  <c r="J24" i="469"/>
  <c r="J24" i="470" s="1"/>
  <c r="J72" s="1"/>
  <c r="J101" s="1"/>
  <c r="J24" i="231"/>
  <c r="J35" s="1"/>
  <c r="J24" i="227"/>
  <c r="L24" i="225"/>
  <c r="L24" i="226" s="1"/>
  <c r="L72" s="1"/>
  <c r="L101" s="1"/>
  <c r="L24" i="469"/>
  <c r="L24" i="470" s="1"/>
  <c r="L72" s="1"/>
  <c r="L101" s="1"/>
  <c r="L24" i="231"/>
  <c r="L74" s="1"/>
  <c r="L103" s="1"/>
  <c r="L24" i="227"/>
  <c r="C25" i="225"/>
  <c r="C25" i="226" s="1"/>
  <c r="C73" s="1"/>
  <c r="C102" s="1"/>
  <c r="C25" i="469"/>
  <c r="C25" i="231"/>
  <c r="C25" i="227"/>
  <c r="E25" i="225"/>
  <c r="E25" i="226" s="1"/>
  <c r="E73" s="1"/>
  <c r="E102" s="1"/>
  <c r="E25" i="469"/>
  <c r="E25" i="231"/>
  <c r="E75" s="1"/>
  <c r="E104" s="1"/>
  <c r="E25" i="227"/>
  <c r="G25" i="225"/>
  <c r="G25" i="226" s="1"/>
  <c r="G73" s="1"/>
  <c r="G102" s="1"/>
  <c r="G25" i="469"/>
  <c r="G25" i="231"/>
  <c r="G25" i="227"/>
  <c r="I25" i="225"/>
  <c r="I25" i="226" s="1"/>
  <c r="I73" s="1"/>
  <c r="I102" s="1"/>
  <c r="I25" i="469"/>
  <c r="I25" i="231"/>
  <c r="I75" s="1"/>
  <c r="I104" s="1"/>
  <c r="I25" i="227"/>
  <c r="K25" i="225"/>
  <c r="K25" i="226" s="1"/>
  <c r="K73" s="1"/>
  <c r="K102" s="1"/>
  <c r="K25" i="469"/>
  <c r="K25" i="231"/>
  <c r="K25" i="227"/>
  <c r="B26" i="225"/>
  <c r="B26" i="469"/>
  <c r="B26" i="231"/>
  <c r="E76" s="1"/>
  <c r="E105" s="1"/>
  <c r="B26" i="227"/>
  <c r="D26" i="225"/>
  <c r="D26" i="226" s="1"/>
  <c r="D74" s="1"/>
  <c r="D103" s="1"/>
  <c r="D26" i="469"/>
  <c r="D26" i="470" s="1"/>
  <c r="D74" s="1"/>
  <c r="D103" s="1"/>
  <c r="D26" i="231"/>
  <c r="D26" i="227"/>
  <c r="F26" i="225"/>
  <c r="F26" i="226" s="1"/>
  <c r="F74" s="1"/>
  <c r="F103" s="1"/>
  <c r="F26" i="469"/>
  <c r="F26" i="470" s="1"/>
  <c r="F74" s="1"/>
  <c r="F103" s="1"/>
  <c r="F26" i="231"/>
  <c r="F26" i="227"/>
  <c r="H26" i="225"/>
  <c r="H26" i="226" s="1"/>
  <c r="H74" s="1"/>
  <c r="H103" s="1"/>
  <c r="H26" i="469"/>
  <c r="H26" i="470" s="1"/>
  <c r="H74" s="1"/>
  <c r="H103" s="1"/>
  <c r="H26" i="231"/>
  <c r="H76" s="1"/>
  <c r="H105" s="1"/>
  <c r="H26" i="227"/>
  <c r="J26" i="225"/>
  <c r="J26" i="226" s="1"/>
  <c r="J74" s="1"/>
  <c r="J103" s="1"/>
  <c r="J26" i="469"/>
  <c r="J26" i="470" s="1"/>
  <c r="J74" s="1"/>
  <c r="J103" s="1"/>
  <c r="J26" i="231"/>
  <c r="J26" i="227"/>
  <c r="L26" i="225"/>
  <c r="L26" i="226" s="1"/>
  <c r="L74" s="1"/>
  <c r="L103" s="1"/>
  <c r="L26" i="469"/>
  <c r="L26" i="470" s="1"/>
  <c r="L74" s="1"/>
  <c r="L103" s="1"/>
  <c r="L26" i="231"/>
  <c r="L76" s="1"/>
  <c r="L105" s="1"/>
  <c r="L26" i="227"/>
  <c r="C27" i="225"/>
  <c r="C27" i="226" s="1"/>
  <c r="C75" s="1"/>
  <c r="C104" s="1"/>
  <c r="C27" i="469"/>
  <c r="C27" i="231"/>
  <c r="C27" i="227"/>
  <c r="E27" i="225"/>
  <c r="E27" i="226" s="1"/>
  <c r="E75" s="1"/>
  <c r="E104" s="1"/>
  <c r="E27" i="469"/>
  <c r="E27" i="231"/>
  <c r="E77" s="1"/>
  <c r="E106" s="1"/>
  <c r="E27" i="227"/>
  <c r="G27" i="225"/>
  <c r="G27" i="226" s="1"/>
  <c r="G75" s="1"/>
  <c r="G104" s="1"/>
  <c r="G27" i="469"/>
  <c r="G27" i="231"/>
  <c r="G27" i="227"/>
  <c r="I27" i="225"/>
  <c r="I27" i="226" s="1"/>
  <c r="I75" s="1"/>
  <c r="I104" s="1"/>
  <c r="I27" i="469"/>
  <c r="I27" i="231"/>
  <c r="I77" s="1"/>
  <c r="I106" s="1"/>
  <c r="I27" i="227"/>
  <c r="K27" i="225"/>
  <c r="K27" i="226" s="1"/>
  <c r="K75" s="1"/>
  <c r="K104" s="1"/>
  <c r="K27" i="469"/>
  <c r="K27" i="231"/>
  <c r="K27" i="227"/>
  <c r="B28" i="225"/>
  <c r="B28" i="469"/>
  <c r="B28" i="231"/>
  <c r="C78" s="1"/>
  <c r="C107" s="1"/>
  <c r="B28" i="227"/>
  <c r="D28" i="225"/>
  <c r="D28" i="226" s="1"/>
  <c r="D76" s="1"/>
  <c r="D105" s="1"/>
  <c r="D28" i="469"/>
  <c r="D28" i="470" s="1"/>
  <c r="D76" s="1"/>
  <c r="D105" s="1"/>
  <c r="D28" i="231"/>
  <c r="D78" s="1"/>
  <c r="D107" s="1"/>
  <c r="D28" i="227"/>
  <c r="F28" i="225"/>
  <c r="F28" i="226" s="1"/>
  <c r="F76" s="1"/>
  <c r="F105" s="1"/>
  <c r="F28" i="469"/>
  <c r="F28" i="470" s="1"/>
  <c r="F76" s="1"/>
  <c r="F105" s="1"/>
  <c r="F28" i="231"/>
  <c r="F28" i="227"/>
  <c r="H28" i="225"/>
  <c r="H28" i="226" s="1"/>
  <c r="H76" s="1"/>
  <c r="H105" s="1"/>
  <c r="H28" i="469"/>
  <c r="H28" i="470" s="1"/>
  <c r="H76" s="1"/>
  <c r="H105" s="1"/>
  <c r="H28" i="231"/>
  <c r="H78" s="1"/>
  <c r="H107" s="1"/>
  <c r="H28" i="227"/>
  <c r="J28" i="225"/>
  <c r="J28" i="226" s="1"/>
  <c r="J76" s="1"/>
  <c r="J105" s="1"/>
  <c r="J28" i="469"/>
  <c r="J28" i="470" s="1"/>
  <c r="J76" s="1"/>
  <c r="J105" s="1"/>
  <c r="J28" i="231"/>
  <c r="J78" s="1"/>
  <c r="J107" s="1"/>
  <c r="J28" i="227"/>
  <c r="L28" i="225"/>
  <c r="L28" i="226" s="1"/>
  <c r="L76" s="1"/>
  <c r="L105" s="1"/>
  <c r="L28" i="469"/>
  <c r="L28" i="470" s="1"/>
  <c r="L76" s="1"/>
  <c r="L105" s="1"/>
  <c r="L28" i="231"/>
  <c r="L78" s="1"/>
  <c r="L107" s="1"/>
  <c r="L28" i="227"/>
  <c r="C29" i="225"/>
  <c r="C29" i="226" s="1"/>
  <c r="C77" s="1"/>
  <c r="C106" s="1"/>
  <c r="C29" i="469"/>
  <c r="C29" i="231"/>
  <c r="C36" s="1"/>
  <c r="C29" i="227"/>
  <c r="E29" i="225"/>
  <c r="E29" i="469"/>
  <c r="E29" i="231"/>
  <c r="E79" s="1"/>
  <c r="E108" s="1"/>
  <c r="E29" i="227"/>
  <c r="G29" i="225"/>
  <c r="G29" i="226" s="1"/>
  <c r="G77" s="1"/>
  <c r="G106" s="1"/>
  <c r="G29" i="469"/>
  <c r="G29" i="231"/>
  <c r="G36" s="1"/>
  <c r="G29" i="227"/>
  <c r="I29" i="225"/>
  <c r="I29" i="469"/>
  <c r="I29" i="231"/>
  <c r="I79" s="1"/>
  <c r="I108" s="1"/>
  <c r="I29" i="227"/>
  <c r="K29" i="225"/>
  <c r="K29" i="226" s="1"/>
  <c r="K77" s="1"/>
  <c r="K106" s="1"/>
  <c r="K29" i="469"/>
  <c r="K29" i="231"/>
  <c r="K36" s="1"/>
  <c r="K29" i="227"/>
  <c r="B30" i="225"/>
  <c r="B30" i="469"/>
  <c r="B30" i="470" s="1"/>
  <c r="B30" i="231"/>
  <c r="B46" s="1"/>
  <c r="B30" i="227"/>
  <c r="D30" i="225"/>
  <c r="D30" i="469"/>
  <c r="D41" s="1"/>
  <c r="D30" i="231"/>
  <c r="D30" i="227"/>
  <c r="D46" s="1"/>
  <c r="F30" i="225"/>
  <c r="F30" i="469"/>
  <c r="F41" s="1"/>
  <c r="F30" i="231"/>
  <c r="F30" i="227"/>
  <c r="F46" s="1"/>
  <c r="H30" i="225"/>
  <c r="H30" i="469"/>
  <c r="H41" s="1"/>
  <c r="H30" i="231"/>
  <c r="H30" i="227"/>
  <c r="H46" s="1"/>
  <c r="J30" i="225"/>
  <c r="J30" i="469"/>
  <c r="J41" s="1"/>
  <c r="J30" i="231"/>
  <c r="J30" i="227"/>
  <c r="J46" s="1"/>
  <c r="L30" i="225"/>
  <c r="L30" i="469"/>
  <c r="L41" s="1"/>
  <c r="L30" i="231"/>
  <c r="L30" i="227"/>
  <c r="L46" s="1"/>
  <c r="C31" i="225"/>
  <c r="C31" i="226" s="1"/>
  <c r="C79" s="1"/>
  <c r="C108" s="1"/>
  <c r="C31" i="469"/>
  <c r="C31" i="470" s="1"/>
  <c r="C79" s="1"/>
  <c r="C108" s="1"/>
  <c r="C31" i="231"/>
  <c r="C81" s="1"/>
  <c r="C110" s="1"/>
  <c r="C31" i="227"/>
  <c r="E31" i="225"/>
  <c r="E31" i="226" s="1"/>
  <c r="E79" s="1"/>
  <c r="E108" s="1"/>
  <c r="E31" i="469"/>
  <c r="E31" i="231"/>
  <c r="E81" s="1"/>
  <c r="E110" s="1"/>
  <c r="E31" i="227"/>
  <c r="E81" s="1"/>
  <c r="E111" s="1"/>
  <c r="G31" i="225"/>
  <c r="G31" i="226" s="1"/>
  <c r="G79" s="1"/>
  <c r="G108" s="1"/>
  <c r="G31" i="469"/>
  <c r="G31" i="470" s="1"/>
  <c r="G79" s="1"/>
  <c r="G108" s="1"/>
  <c r="G31" i="231"/>
  <c r="G81" s="1"/>
  <c r="G110" s="1"/>
  <c r="G31" i="227"/>
  <c r="I31" i="225"/>
  <c r="I31" i="226" s="1"/>
  <c r="I79" s="1"/>
  <c r="I108" s="1"/>
  <c r="I31" i="469"/>
  <c r="I31" i="231"/>
  <c r="I81" s="1"/>
  <c r="I110" s="1"/>
  <c r="I31" i="227"/>
  <c r="I81" s="1"/>
  <c r="I111" s="1"/>
  <c r="K31" i="225"/>
  <c r="K31" i="226" s="1"/>
  <c r="K79" s="1"/>
  <c r="K108" s="1"/>
  <c r="K31" i="469"/>
  <c r="K31" i="470" s="1"/>
  <c r="K79" s="1"/>
  <c r="K108" s="1"/>
  <c r="K31" i="231"/>
  <c r="K81" s="1"/>
  <c r="K110" s="1"/>
  <c r="K31" i="227"/>
  <c r="B32" i="225"/>
  <c r="B45" s="1"/>
  <c r="B32" i="469"/>
  <c r="B32" i="231"/>
  <c r="B32" i="227"/>
  <c r="D32" i="225"/>
  <c r="D32" i="226" s="1"/>
  <c r="D80" s="1"/>
  <c r="D109" s="1"/>
  <c r="D32" i="469"/>
  <c r="D32" i="470" s="1"/>
  <c r="D80" s="1"/>
  <c r="D109" s="1"/>
  <c r="D32" i="231"/>
  <c r="D82" s="1"/>
  <c r="D111" s="1"/>
  <c r="D32" i="227"/>
  <c r="D82" s="1"/>
  <c r="D112" s="1"/>
  <c r="F32" i="225"/>
  <c r="F32" i="226" s="1"/>
  <c r="F80" s="1"/>
  <c r="F109" s="1"/>
  <c r="F32" i="469"/>
  <c r="F32" i="470" s="1"/>
  <c r="F80" s="1"/>
  <c r="F109" s="1"/>
  <c r="F32" i="231"/>
  <c r="F82" s="1"/>
  <c r="F111" s="1"/>
  <c r="F32" i="227"/>
  <c r="F82" s="1"/>
  <c r="F112" s="1"/>
  <c r="H32" i="225"/>
  <c r="H32" i="226" s="1"/>
  <c r="H80" s="1"/>
  <c r="H109" s="1"/>
  <c r="H32" i="469"/>
  <c r="H32" i="470" s="1"/>
  <c r="H80" s="1"/>
  <c r="H109" s="1"/>
  <c r="H32" i="231"/>
  <c r="H82" s="1"/>
  <c r="H111" s="1"/>
  <c r="H32" i="227"/>
  <c r="H82" s="1"/>
  <c r="H112" s="1"/>
  <c r="J32" i="225"/>
  <c r="J32" i="226" s="1"/>
  <c r="J80" s="1"/>
  <c r="J109" s="1"/>
  <c r="J32" i="469"/>
  <c r="J32" i="470" s="1"/>
  <c r="J80" s="1"/>
  <c r="J109" s="1"/>
  <c r="J32" i="231"/>
  <c r="J82" s="1"/>
  <c r="J111" s="1"/>
  <c r="J32" i="227"/>
  <c r="J82" s="1"/>
  <c r="J112" s="1"/>
  <c r="L32" i="225"/>
  <c r="L32" i="226" s="1"/>
  <c r="L80" s="1"/>
  <c r="L109" s="1"/>
  <c r="L32" i="469"/>
  <c r="L32" i="470" s="1"/>
  <c r="L80" s="1"/>
  <c r="L109" s="1"/>
  <c r="L32" i="231"/>
  <c r="L82" s="1"/>
  <c r="L111" s="1"/>
  <c r="L32" i="227"/>
  <c r="L82" s="1"/>
  <c r="L112" s="1"/>
  <c r="G45" i="429"/>
  <c r="M6" i="1"/>
  <c r="M8"/>
  <c r="M16"/>
  <c r="M18"/>
  <c r="C59" i="225"/>
  <c r="C86" s="1"/>
  <c r="B40" i="469"/>
  <c r="E56" i="227"/>
  <c r="E86" s="1"/>
  <c r="I56"/>
  <c r="I86" s="1"/>
  <c r="C58"/>
  <c r="C88" s="1"/>
  <c r="G58"/>
  <c r="G88" s="1"/>
  <c r="K58"/>
  <c r="K88" s="1"/>
  <c r="E60"/>
  <c r="E90" s="1"/>
  <c r="I60"/>
  <c r="I90" s="1"/>
  <c r="Q12"/>
  <c r="P12" s="1"/>
  <c r="Q20"/>
  <c r="P20" s="1"/>
  <c r="Q28"/>
  <c r="P28" s="1"/>
  <c r="Q20" i="231"/>
  <c r="P20" s="1"/>
  <c r="F5" i="430"/>
  <c r="F6"/>
  <c r="J6"/>
  <c r="F7"/>
  <c r="J7"/>
  <c r="F8"/>
  <c r="J8"/>
  <c r="F9"/>
  <c r="J9"/>
  <c r="F10"/>
  <c r="F11"/>
  <c r="J11"/>
  <c r="F12"/>
  <c r="J12"/>
  <c r="F13"/>
  <c r="J13"/>
  <c r="F14"/>
  <c r="J14"/>
  <c r="F15"/>
  <c r="J15"/>
  <c r="F16"/>
  <c r="J16"/>
  <c r="F17"/>
  <c r="J17"/>
  <c r="F18"/>
  <c r="J18"/>
  <c r="G19"/>
  <c r="J19"/>
  <c r="F20"/>
  <c r="J20"/>
  <c r="G21"/>
  <c r="J21"/>
  <c r="F22"/>
  <c r="J22"/>
  <c r="G23"/>
  <c r="J23"/>
  <c r="F24"/>
  <c r="J24"/>
  <c r="G25"/>
  <c r="J25"/>
  <c r="F26"/>
  <c r="J26"/>
  <c r="G27"/>
  <c r="J27"/>
  <c r="F28"/>
  <c r="J28"/>
  <c r="G29"/>
  <c r="J29"/>
  <c r="F30"/>
  <c r="J30"/>
  <c r="G31"/>
  <c r="J31"/>
  <c r="F32"/>
  <c r="J32"/>
  <c r="G33"/>
  <c r="J33"/>
  <c r="F34"/>
  <c r="J34"/>
  <c r="G35"/>
  <c r="J35"/>
  <c r="F36"/>
  <c r="J36"/>
  <c r="M5" i="1"/>
  <c r="M7"/>
  <c r="M9"/>
  <c r="M11"/>
  <c r="M13"/>
  <c r="M15"/>
  <c r="M17"/>
  <c r="M19"/>
  <c r="M21"/>
  <c r="M25"/>
  <c r="M27"/>
  <c r="M29"/>
  <c r="M31"/>
  <c r="M33"/>
  <c r="M35"/>
  <c r="M37"/>
  <c r="M39"/>
  <c r="M41"/>
  <c r="B49"/>
  <c r="B41" i="274"/>
  <c r="M10" i="1"/>
  <c r="M12"/>
  <c r="M14"/>
  <c r="M20"/>
  <c r="M22"/>
  <c r="B45"/>
  <c r="D45"/>
  <c r="F45"/>
  <c r="H45"/>
  <c r="J45"/>
  <c r="L45"/>
  <c r="M24"/>
  <c r="M26"/>
  <c r="M28"/>
  <c r="M30"/>
  <c r="M32"/>
  <c r="M34"/>
  <c r="E46"/>
  <c r="G46"/>
  <c r="I46"/>
  <c r="K46"/>
  <c r="M36"/>
  <c r="M38"/>
  <c r="M40"/>
  <c r="W6" i="354" s="1"/>
  <c r="C52" i="1"/>
  <c r="E52"/>
  <c r="G52"/>
  <c r="I52"/>
  <c r="K52"/>
  <c r="B51"/>
  <c r="K51"/>
  <c r="I51"/>
  <c r="G51"/>
  <c r="E51"/>
  <c r="C51"/>
  <c r="S35" i="222"/>
  <c r="B34" i="475"/>
  <c r="D34"/>
  <c r="F34"/>
  <c r="H34"/>
  <c r="J34"/>
  <c r="L34"/>
  <c r="C35"/>
  <c r="E35"/>
  <c r="G35"/>
  <c r="I35"/>
  <c r="K35"/>
  <c r="B37"/>
  <c r="D37"/>
  <c r="F37"/>
  <c r="H37"/>
  <c r="J37"/>
  <c r="L37"/>
  <c r="C40"/>
  <c r="E40"/>
  <c r="G40"/>
  <c r="I40"/>
  <c r="K40"/>
  <c r="B34" i="476"/>
  <c r="D34"/>
  <c r="F34"/>
  <c r="H34"/>
  <c r="J34"/>
  <c r="L34"/>
  <c r="C35"/>
  <c r="E35"/>
  <c r="G35"/>
  <c r="I35"/>
  <c r="K35"/>
  <c r="B37"/>
  <c r="D37"/>
  <c r="F37"/>
  <c r="H37"/>
  <c r="J37"/>
  <c r="L37"/>
  <c r="C40"/>
  <c r="E40"/>
  <c r="G40"/>
  <c r="I40"/>
  <c r="K40"/>
  <c r="D53" i="225"/>
  <c r="D80" s="1"/>
  <c r="F53"/>
  <c r="F80" s="1"/>
  <c r="H53"/>
  <c r="H80" s="1"/>
  <c r="J53"/>
  <c r="J80" s="1"/>
  <c r="L53"/>
  <c r="L80" s="1"/>
  <c r="C54"/>
  <c r="C81" s="1"/>
  <c r="D55"/>
  <c r="D82" s="1"/>
  <c r="F55"/>
  <c r="F82" s="1"/>
  <c r="H55"/>
  <c r="H82" s="1"/>
  <c r="J55"/>
  <c r="J82" s="1"/>
  <c r="B34"/>
  <c r="Q20"/>
  <c r="P20" s="1"/>
  <c r="G39"/>
  <c r="C41"/>
  <c r="E41"/>
  <c r="G41"/>
  <c r="I41"/>
  <c r="K41"/>
  <c r="B37"/>
  <c r="D37"/>
  <c r="L37"/>
  <c r="I43"/>
  <c r="N15" i="226"/>
  <c r="O15" s="1"/>
  <c r="N23"/>
  <c r="O23" s="1"/>
  <c r="C53" i="469"/>
  <c r="C80" s="1"/>
  <c r="G53"/>
  <c r="G80" s="1"/>
  <c r="K53"/>
  <c r="K80" s="1"/>
  <c r="E55"/>
  <c r="E82" s="1"/>
  <c r="I55"/>
  <c r="I82" s="1"/>
  <c r="C57"/>
  <c r="C84" s="1"/>
  <c r="G57"/>
  <c r="G84" s="1"/>
  <c r="K57"/>
  <c r="K84" s="1"/>
  <c r="E59"/>
  <c r="E86" s="1"/>
  <c r="I59"/>
  <c r="I86" s="1"/>
  <c r="C61"/>
  <c r="C88" s="1"/>
  <c r="G61"/>
  <c r="G88" s="1"/>
  <c r="K61"/>
  <c r="K88" s="1"/>
  <c r="E63"/>
  <c r="E90" s="1"/>
  <c r="I63"/>
  <c r="I90" s="1"/>
  <c r="C65"/>
  <c r="C92" s="1"/>
  <c r="G65"/>
  <c r="G92" s="1"/>
  <c r="K65"/>
  <c r="K92" s="1"/>
  <c r="E67"/>
  <c r="E94" s="1"/>
  <c r="C69"/>
  <c r="C96" s="1"/>
  <c r="K69"/>
  <c r="K96" s="1"/>
  <c r="I71"/>
  <c r="I98" s="1"/>
  <c r="E40"/>
  <c r="B41"/>
  <c r="B35" i="227"/>
  <c r="C45" i="1"/>
  <c r="E45"/>
  <c r="G45"/>
  <c r="I45"/>
  <c r="K45"/>
  <c r="B46"/>
  <c r="D46"/>
  <c r="F46"/>
  <c r="H46"/>
  <c r="J46"/>
  <c r="L46"/>
  <c r="D48"/>
  <c r="F48"/>
  <c r="H48"/>
  <c r="J48"/>
  <c r="L48"/>
  <c r="L51"/>
  <c r="J51"/>
  <c r="H51"/>
  <c r="F51"/>
  <c r="D51"/>
  <c r="B52"/>
  <c r="R35" i="222"/>
  <c r="C34" i="475"/>
  <c r="E34"/>
  <c r="G34"/>
  <c r="I34"/>
  <c r="K34"/>
  <c r="B35"/>
  <c r="D35"/>
  <c r="F35"/>
  <c r="H35"/>
  <c r="J35"/>
  <c r="L35"/>
  <c r="C37"/>
  <c r="E37"/>
  <c r="G37"/>
  <c r="I37"/>
  <c r="K37"/>
  <c r="B38"/>
  <c r="D38"/>
  <c r="F38"/>
  <c r="H38"/>
  <c r="J38"/>
  <c r="L38"/>
  <c r="C34" i="476"/>
  <c r="E34"/>
  <c r="G34"/>
  <c r="I34"/>
  <c r="K34"/>
  <c r="B35"/>
  <c r="D35"/>
  <c r="F35"/>
  <c r="H35"/>
  <c r="J35"/>
  <c r="L35"/>
  <c r="C37"/>
  <c r="E37"/>
  <c r="G37"/>
  <c r="I37"/>
  <c r="K37"/>
  <c r="B38"/>
  <c r="D38"/>
  <c r="F38"/>
  <c r="H38"/>
  <c r="J38"/>
  <c r="L38"/>
  <c r="D54" i="225"/>
  <c r="D81" s="1"/>
  <c r="L54"/>
  <c r="L81" s="1"/>
  <c r="D41"/>
  <c r="L41"/>
  <c r="C42"/>
  <c r="E42"/>
  <c r="G42"/>
  <c r="I42"/>
  <c r="K42"/>
  <c r="D45"/>
  <c r="B34" i="469"/>
  <c r="I39"/>
  <c r="G41"/>
  <c r="D37"/>
  <c r="H37"/>
  <c r="L37"/>
  <c r="B45" i="227"/>
  <c r="I46"/>
  <c r="F47"/>
  <c r="J47"/>
  <c r="B34" i="231"/>
  <c r="B45"/>
  <c r="C46"/>
  <c r="K46"/>
  <c r="B47"/>
  <c r="D47"/>
  <c r="G40" i="429"/>
  <c r="I40"/>
  <c r="B40" i="430"/>
  <c r="B39" i="274"/>
  <c r="D39"/>
  <c r="F39"/>
  <c r="H39"/>
  <c r="J39"/>
  <c r="L39"/>
  <c r="C40"/>
  <c r="E40"/>
  <c r="G40"/>
  <c r="I40"/>
  <c r="K40"/>
  <c r="C44"/>
  <c r="E44"/>
  <c r="G44"/>
  <c r="I44"/>
  <c r="K44"/>
  <c r="I55" i="231"/>
  <c r="I84" s="1"/>
  <c r="G57"/>
  <c r="G86" s="1"/>
  <c r="E59"/>
  <c r="E88" s="1"/>
  <c r="C61"/>
  <c r="C90" s="1"/>
  <c r="K61"/>
  <c r="K90" s="1"/>
  <c r="I63"/>
  <c r="I92" s="1"/>
  <c r="G65"/>
  <c r="G94" s="1"/>
  <c r="D46"/>
  <c r="F46"/>
  <c r="H46"/>
  <c r="J46"/>
  <c r="L46"/>
  <c r="I47"/>
  <c r="K5" i="429"/>
  <c r="M5" s="1"/>
  <c r="K6"/>
  <c r="M6" s="1"/>
  <c r="K7"/>
  <c r="M7" s="1"/>
  <c r="K8"/>
  <c r="M8" s="1"/>
  <c r="K9"/>
  <c r="M9" s="1"/>
  <c r="K10"/>
  <c r="M10" s="1"/>
  <c r="K11"/>
  <c r="M11" s="1"/>
  <c r="K12"/>
  <c r="M12" s="1"/>
  <c r="K13"/>
  <c r="M13" s="1"/>
  <c r="K14"/>
  <c r="M14" s="1"/>
  <c r="K15"/>
  <c r="M15" s="1"/>
  <c r="K16"/>
  <c r="M16" s="1"/>
  <c r="K17"/>
  <c r="M17" s="1"/>
  <c r="K18"/>
  <c r="M18" s="1"/>
  <c r="K19"/>
  <c r="M19" s="1"/>
  <c r="K20"/>
  <c r="M20" s="1"/>
  <c r="K21"/>
  <c r="M21" s="1"/>
  <c r="K22"/>
  <c r="M22" s="1"/>
  <c r="K23"/>
  <c r="M23" s="1"/>
  <c r="K24"/>
  <c r="M24" s="1"/>
  <c r="K25"/>
  <c r="M25" s="1"/>
  <c r="K26"/>
  <c r="M26" s="1"/>
  <c r="K27"/>
  <c r="M27" s="1"/>
  <c r="K28"/>
  <c r="M28" s="1"/>
  <c r="K29"/>
  <c r="M29" s="1"/>
  <c r="K30"/>
  <c r="M30" s="1"/>
  <c r="K31"/>
  <c r="M31" s="1"/>
  <c r="K32"/>
  <c r="M32" s="1"/>
  <c r="K33"/>
  <c r="M33" s="1"/>
  <c r="K34"/>
  <c r="M34" s="1"/>
  <c r="K35"/>
  <c r="M35" s="1"/>
  <c r="K36"/>
  <c r="M36" s="1"/>
  <c r="F39"/>
  <c r="H39"/>
  <c r="J39"/>
  <c r="I6" i="430"/>
  <c r="I7"/>
  <c r="I8"/>
  <c r="I9"/>
  <c r="I11"/>
  <c r="I12"/>
  <c r="I13"/>
  <c r="I14"/>
  <c r="I15"/>
  <c r="I16"/>
  <c r="I17"/>
  <c r="I18"/>
  <c r="I19"/>
  <c r="I20"/>
  <c r="I21"/>
  <c r="I22"/>
  <c r="I23"/>
  <c r="I24"/>
  <c r="I25"/>
  <c r="I26"/>
  <c r="I27"/>
  <c r="I28"/>
  <c r="I29"/>
  <c r="I30"/>
  <c r="I31"/>
  <c r="I32"/>
  <c r="I33"/>
  <c r="I34"/>
  <c r="I35"/>
  <c r="I36"/>
  <c r="C39" i="274"/>
  <c r="E39"/>
  <c r="G39"/>
  <c r="I39"/>
  <c r="K39"/>
  <c r="B40"/>
  <c r="D40"/>
  <c r="F40"/>
  <c r="H40"/>
  <c r="J40"/>
  <c r="L40"/>
  <c r="B42"/>
  <c r="D42"/>
  <c r="F42"/>
  <c r="H42"/>
  <c r="J42"/>
  <c r="L42"/>
  <c r="D41"/>
  <c r="F41"/>
  <c r="H41"/>
  <c r="J41"/>
  <c r="L41"/>
  <c r="C42"/>
  <c r="E42"/>
  <c r="G42"/>
  <c r="I42"/>
  <c r="K42"/>
  <c r="B44"/>
  <c r="D44"/>
  <c r="F44"/>
  <c r="H44"/>
  <c r="J44"/>
  <c r="L44"/>
  <c r="C41"/>
  <c r="E41"/>
  <c r="G41"/>
  <c r="I41"/>
  <c r="K41"/>
  <c r="H5" i="430"/>
  <c r="H39" s="1"/>
  <c r="J5"/>
  <c r="G6"/>
  <c r="H7"/>
  <c r="G8"/>
  <c r="H9"/>
  <c r="G10"/>
  <c r="G41" s="1"/>
  <c r="I10"/>
  <c r="I40" s="1"/>
  <c r="H11"/>
  <c r="G12"/>
  <c r="H13"/>
  <c r="G14"/>
  <c r="H15"/>
  <c r="G16"/>
  <c r="H17"/>
  <c r="G18"/>
  <c r="F19"/>
  <c r="H19"/>
  <c r="G20"/>
  <c r="F21"/>
  <c r="H21"/>
  <c r="G22"/>
  <c r="F23"/>
  <c r="H23"/>
  <c r="G24"/>
  <c r="F25"/>
  <c r="H25"/>
  <c r="G26"/>
  <c r="F27"/>
  <c r="H27"/>
  <c r="G28"/>
  <c r="F29"/>
  <c r="H29"/>
  <c r="G30"/>
  <c r="F31"/>
  <c r="H31"/>
  <c r="G32"/>
  <c r="F33"/>
  <c r="H33"/>
  <c r="G34"/>
  <c r="F35"/>
  <c r="H35"/>
  <c r="G36"/>
  <c r="G37"/>
  <c r="B39"/>
  <c r="J39"/>
  <c r="E41"/>
  <c r="G5"/>
  <c r="I5"/>
  <c r="I39" s="1"/>
  <c r="H6"/>
  <c r="G7"/>
  <c r="H8"/>
  <c r="G9"/>
  <c r="H10"/>
  <c r="H40" s="1"/>
  <c r="J10"/>
  <c r="J40" s="1"/>
  <c r="G11"/>
  <c r="H12"/>
  <c r="G13"/>
  <c r="H14"/>
  <c r="G15"/>
  <c r="H16"/>
  <c r="G17"/>
  <c r="H18"/>
  <c r="H20"/>
  <c r="H22"/>
  <c r="H24"/>
  <c r="H26"/>
  <c r="H28"/>
  <c r="H30"/>
  <c r="H32"/>
  <c r="H34"/>
  <c r="H36"/>
  <c r="F37"/>
  <c r="G39" i="429"/>
  <c r="I39"/>
  <c r="F40"/>
  <c r="H40"/>
  <c r="J40"/>
  <c r="F56" i="231"/>
  <c r="F85" s="1"/>
  <c r="Q6"/>
  <c r="P6" s="1"/>
  <c r="J58"/>
  <c r="J87" s="1"/>
  <c r="F60"/>
  <c r="F89" s="1"/>
  <c r="Q10"/>
  <c r="P10" s="1"/>
  <c r="J62"/>
  <c r="J91" s="1"/>
  <c r="F64"/>
  <c r="F93" s="1"/>
  <c r="I65"/>
  <c r="I94" s="1"/>
  <c r="H66"/>
  <c r="H95" s="1"/>
  <c r="G67"/>
  <c r="G96" s="1"/>
  <c r="F68"/>
  <c r="F97" s="1"/>
  <c r="C69"/>
  <c r="C98" s="1"/>
  <c r="K69"/>
  <c r="K98" s="1"/>
  <c r="J70"/>
  <c r="J99" s="1"/>
  <c r="C71"/>
  <c r="C100" s="1"/>
  <c r="G71"/>
  <c r="G100" s="1"/>
  <c r="K71"/>
  <c r="K100" s="1"/>
  <c r="F72"/>
  <c r="F101" s="1"/>
  <c r="J72"/>
  <c r="J101" s="1"/>
  <c r="C73"/>
  <c r="C102" s="1"/>
  <c r="G73"/>
  <c r="G102" s="1"/>
  <c r="K73"/>
  <c r="K102" s="1"/>
  <c r="F74"/>
  <c r="F103" s="1"/>
  <c r="J74"/>
  <c r="J103" s="1"/>
  <c r="C75"/>
  <c r="C104" s="1"/>
  <c r="G75"/>
  <c r="G104" s="1"/>
  <c r="K75"/>
  <c r="K104" s="1"/>
  <c r="F76"/>
  <c r="F105" s="1"/>
  <c r="J76"/>
  <c r="J105" s="1"/>
  <c r="C77"/>
  <c r="C106" s="1"/>
  <c r="G77"/>
  <c r="G106" s="1"/>
  <c r="K77"/>
  <c r="K106" s="1"/>
  <c r="F78"/>
  <c r="F107" s="1"/>
  <c r="C79"/>
  <c r="C108" s="1"/>
  <c r="K79"/>
  <c r="K108" s="1"/>
  <c r="B48"/>
  <c r="D48"/>
  <c r="F48"/>
  <c r="H48"/>
  <c r="J48"/>
  <c r="L48"/>
  <c r="E34"/>
  <c r="I34"/>
  <c r="D35"/>
  <c r="H35"/>
  <c r="L35"/>
  <c r="E36"/>
  <c r="B37"/>
  <c r="D37"/>
  <c r="F37"/>
  <c r="H37"/>
  <c r="J37"/>
  <c r="L37"/>
  <c r="C38"/>
  <c r="G38"/>
  <c r="K38"/>
  <c r="B39"/>
  <c r="D39"/>
  <c r="F39"/>
  <c r="H39"/>
  <c r="J39"/>
  <c r="L39"/>
  <c r="E40"/>
  <c r="I40"/>
  <c r="F41"/>
  <c r="J41"/>
  <c r="C42"/>
  <c r="E42"/>
  <c r="G42"/>
  <c r="I42"/>
  <c r="K42"/>
  <c r="D43"/>
  <c r="H43"/>
  <c r="L43"/>
  <c r="E45"/>
  <c r="I45"/>
  <c r="D55"/>
  <c r="D84" s="1"/>
  <c r="F55"/>
  <c r="F84" s="1"/>
  <c r="H55"/>
  <c r="H84" s="1"/>
  <c r="J55"/>
  <c r="J84" s="1"/>
  <c r="L55"/>
  <c r="L84" s="1"/>
  <c r="C56"/>
  <c r="C85" s="1"/>
  <c r="G56"/>
  <c r="G85" s="1"/>
  <c r="K56"/>
  <c r="K85" s="1"/>
  <c r="D57"/>
  <c r="D86" s="1"/>
  <c r="F57"/>
  <c r="F86" s="1"/>
  <c r="H57"/>
  <c r="H86" s="1"/>
  <c r="J57"/>
  <c r="J86" s="1"/>
  <c r="L57"/>
  <c r="L86" s="1"/>
  <c r="Q7"/>
  <c r="P7" s="1"/>
  <c r="E58"/>
  <c r="E87" s="1"/>
  <c r="I58"/>
  <c r="I87" s="1"/>
  <c r="D59"/>
  <c r="D88" s="1"/>
  <c r="F59"/>
  <c r="F88" s="1"/>
  <c r="H59"/>
  <c r="H88" s="1"/>
  <c r="J59"/>
  <c r="J88" s="1"/>
  <c r="L59"/>
  <c r="L88" s="1"/>
  <c r="C60"/>
  <c r="C89" s="1"/>
  <c r="G60"/>
  <c r="G89" s="1"/>
  <c r="K60"/>
  <c r="K89" s="1"/>
  <c r="D61"/>
  <c r="D90" s="1"/>
  <c r="F61"/>
  <c r="F90" s="1"/>
  <c r="H61"/>
  <c r="H90" s="1"/>
  <c r="J61"/>
  <c r="J90" s="1"/>
  <c r="L61"/>
  <c r="L90" s="1"/>
  <c r="Q11"/>
  <c r="P11" s="1"/>
  <c r="E62"/>
  <c r="E91" s="1"/>
  <c r="I62"/>
  <c r="I91" s="1"/>
  <c r="D63"/>
  <c r="D92" s="1"/>
  <c r="F63"/>
  <c r="F92" s="1"/>
  <c r="H63"/>
  <c r="H92" s="1"/>
  <c r="J63"/>
  <c r="J92" s="1"/>
  <c r="L63"/>
  <c r="L92" s="1"/>
  <c r="C64"/>
  <c r="C93" s="1"/>
  <c r="G64"/>
  <c r="G93" s="1"/>
  <c r="K64"/>
  <c r="K93" s="1"/>
  <c r="D65"/>
  <c r="D94" s="1"/>
  <c r="F65"/>
  <c r="F94" s="1"/>
  <c r="H65"/>
  <c r="H94" s="1"/>
  <c r="J65"/>
  <c r="J94" s="1"/>
  <c r="L65"/>
  <c r="L94" s="1"/>
  <c r="Q15"/>
  <c r="P15" s="1"/>
  <c r="E66"/>
  <c r="E95" s="1"/>
  <c r="I66"/>
  <c r="I95" s="1"/>
  <c r="D67"/>
  <c r="D96" s="1"/>
  <c r="F67"/>
  <c r="F96" s="1"/>
  <c r="H67"/>
  <c r="H96" s="1"/>
  <c r="J67"/>
  <c r="J96" s="1"/>
  <c r="L67"/>
  <c r="L96" s="1"/>
  <c r="C68"/>
  <c r="C97" s="1"/>
  <c r="G68"/>
  <c r="G97" s="1"/>
  <c r="K68"/>
  <c r="K97" s="1"/>
  <c r="D69"/>
  <c r="D98" s="1"/>
  <c r="F69"/>
  <c r="F98" s="1"/>
  <c r="H69"/>
  <c r="H98" s="1"/>
  <c r="J69"/>
  <c r="J98" s="1"/>
  <c r="L69"/>
  <c r="L98" s="1"/>
  <c r="Q19"/>
  <c r="P19" s="1"/>
  <c r="E70"/>
  <c r="E99" s="1"/>
  <c r="I70"/>
  <c r="I99" s="1"/>
  <c r="D71"/>
  <c r="D100" s="1"/>
  <c r="F71"/>
  <c r="F100" s="1"/>
  <c r="H71"/>
  <c r="H100" s="1"/>
  <c r="J71"/>
  <c r="J100" s="1"/>
  <c r="L71"/>
  <c r="L100" s="1"/>
  <c r="C72"/>
  <c r="C101" s="1"/>
  <c r="G72"/>
  <c r="G101" s="1"/>
  <c r="K72"/>
  <c r="K101" s="1"/>
  <c r="D73"/>
  <c r="D102" s="1"/>
  <c r="F73"/>
  <c r="F102" s="1"/>
  <c r="H73"/>
  <c r="H102" s="1"/>
  <c r="J73"/>
  <c r="J102" s="1"/>
  <c r="L73"/>
  <c r="L102" s="1"/>
  <c r="Q23"/>
  <c r="P23" s="1"/>
  <c r="E74"/>
  <c r="E103" s="1"/>
  <c r="I74"/>
  <c r="I103" s="1"/>
  <c r="D75"/>
  <c r="D104" s="1"/>
  <c r="F75"/>
  <c r="F104" s="1"/>
  <c r="H75"/>
  <c r="H104" s="1"/>
  <c r="J75"/>
  <c r="J104" s="1"/>
  <c r="L75"/>
  <c r="L104" s="1"/>
  <c r="C76"/>
  <c r="C105" s="1"/>
  <c r="G76"/>
  <c r="G105" s="1"/>
  <c r="K76"/>
  <c r="K105" s="1"/>
  <c r="D77"/>
  <c r="D106" s="1"/>
  <c r="F77"/>
  <c r="F106" s="1"/>
  <c r="H77"/>
  <c r="H106" s="1"/>
  <c r="J77"/>
  <c r="J106" s="1"/>
  <c r="L77"/>
  <c r="L106" s="1"/>
  <c r="Q27"/>
  <c r="P27" s="1"/>
  <c r="E78"/>
  <c r="E107" s="1"/>
  <c r="I78"/>
  <c r="I107" s="1"/>
  <c r="D79"/>
  <c r="D108" s="1"/>
  <c r="F79"/>
  <c r="F108" s="1"/>
  <c r="H79"/>
  <c r="H108" s="1"/>
  <c r="J79"/>
  <c r="J108" s="1"/>
  <c r="L79"/>
  <c r="L108" s="1"/>
  <c r="L47"/>
  <c r="C48"/>
  <c r="E48"/>
  <c r="G48"/>
  <c r="I48"/>
  <c r="K48"/>
  <c r="D34"/>
  <c r="F34"/>
  <c r="H34"/>
  <c r="J34"/>
  <c r="L34"/>
  <c r="E35"/>
  <c r="I35"/>
  <c r="B36"/>
  <c r="D36"/>
  <c r="F36"/>
  <c r="H36"/>
  <c r="J36"/>
  <c r="L36"/>
  <c r="C37"/>
  <c r="E37"/>
  <c r="G37"/>
  <c r="I37"/>
  <c r="K37"/>
  <c r="B38"/>
  <c r="D38"/>
  <c r="F38"/>
  <c r="H38"/>
  <c r="J38"/>
  <c r="L38"/>
  <c r="C39"/>
  <c r="E39"/>
  <c r="G39"/>
  <c r="I39"/>
  <c r="K39"/>
  <c r="B40"/>
  <c r="F40"/>
  <c r="J40"/>
  <c r="C41"/>
  <c r="E41"/>
  <c r="G41"/>
  <c r="I41"/>
  <c r="K41"/>
  <c r="D42"/>
  <c r="H42"/>
  <c r="L42"/>
  <c r="C43"/>
  <c r="E43"/>
  <c r="G43"/>
  <c r="I43"/>
  <c r="K43"/>
  <c r="D45"/>
  <c r="F45"/>
  <c r="H45"/>
  <c r="J45"/>
  <c r="L45"/>
  <c r="C55" i="227"/>
  <c r="C85" s="1"/>
  <c r="E55"/>
  <c r="E85" s="1"/>
  <c r="G55"/>
  <c r="G85" s="1"/>
  <c r="I55"/>
  <c r="I85" s="1"/>
  <c r="K55"/>
  <c r="K85" s="1"/>
  <c r="D56"/>
  <c r="D86" s="1"/>
  <c r="F56"/>
  <c r="F86" s="1"/>
  <c r="H56"/>
  <c r="H86" s="1"/>
  <c r="J56"/>
  <c r="J86" s="1"/>
  <c r="L56"/>
  <c r="L86" s="1"/>
  <c r="Q6"/>
  <c r="P6" s="1"/>
  <c r="C57"/>
  <c r="C87" s="1"/>
  <c r="E57"/>
  <c r="E87" s="1"/>
  <c r="G57"/>
  <c r="G87" s="1"/>
  <c r="I57"/>
  <c r="I87" s="1"/>
  <c r="K57"/>
  <c r="K87" s="1"/>
  <c r="D58"/>
  <c r="D88" s="1"/>
  <c r="F58"/>
  <c r="F88" s="1"/>
  <c r="H58"/>
  <c r="H88" s="1"/>
  <c r="J58"/>
  <c r="J88" s="1"/>
  <c r="L58"/>
  <c r="L88" s="1"/>
  <c r="Q8"/>
  <c r="P8" s="1"/>
  <c r="C59"/>
  <c r="C89" s="1"/>
  <c r="E59"/>
  <c r="E89" s="1"/>
  <c r="G59"/>
  <c r="G89" s="1"/>
  <c r="I59"/>
  <c r="I89" s="1"/>
  <c r="K59"/>
  <c r="K89" s="1"/>
  <c r="D60"/>
  <c r="D90" s="1"/>
  <c r="F60"/>
  <c r="F90" s="1"/>
  <c r="H60"/>
  <c r="H90" s="1"/>
  <c r="J60"/>
  <c r="J90" s="1"/>
  <c r="L60"/>
  <c r="L90" s="1"/>
  <c r="Q10"/>
  <c r="P10" s="1"/>
  <c r="C61"/>
  <c r="C91" s="1"/>
  <c r="E61"/>
  <c r="E91" s="1"/>
  <c r="G61"/>
  <c r="G91" s="1"/>
  <c r="I61"/>
  <c r="I91" s="1"/>
  <c r="K61"/>
  <c r="K91" s="1"/>
  <c r="D62"/>
  <c r="D92" s="1"/>
  <c r="F62"/>
  <c r="F92" s="1"/>
  <c r="H62"/>
  <c r="H92" s="1"/>
  <c r="J62"/>
  <c r="J92" s="1"/>
  <c r="L62"/>
  <c r="L92" s="1"/>
  <c r="C63"/>
  <c r="C93" s="1"/>
  <c r="E63"/>
  <c r="E93" s="1"/>
  <c r="G63"/>
  <c r="G93" s="1"/>
  <c r="I63"/>
  <c r="I93" s="1"/>
  <c r="K63"/>
  <c r="K93" s="1"/>
  <c r="D64"/>
  <c r="D94" s="1"/>
  <c r="F64"/>
  <c r="F94" s="1"/>
  <c r="H64"/>
  <c r="H94" s="1"/>
  <c r="J64"/>
  <c r="J94" s="1"/>
  <c r="L64"/>
  <c r="L94" s="1"/>
  <c r="C65"/>
  <c r="C95" s="1"/>
  <c r="E65"/>
  <c r="E95" s="1"/>
  <c r="G65"/>
  <c r="G95" s="1"/>
  <c r="I65"/>
  <c r="I95" s="1"/>
  <c r="K65"/>
  <c r="K95" s="1"/>
  <c r="D66"/>
  <c r="D96" s="1"/>
  <c r="F66"/>
  <c r="F96" s="1"/>
  <c r="H66"/>
  <c r="H96" s="1"/>
  <c r="J66"/>
  <c r="J96" s="1"/>
  <c r="L66"/>
  <c r="L96" s="1"/>
  <c r="C67"/>
  <c r="C97" s="1"/>
  <c r="E67"/>
  <c r="E97" s="1"/>
  <c r="G67"/>
  <c r="G97" s="1"/>
  <c r="I67"/>
  <c r="I97" s="1"/>
  <c r="K67"/>
  <c r="K97" s="1"/>
  <c r="D68"/>
  <c r="D98" s="1"/>
  <c r="F68"/>
  <c r="F98" s="1"/>
  <c r="H68"/>
  <c r="H98" s="1"/>
  <c r="J68"/>
  <c r="J98" s="1"/>
  <c r="L68"/>
  <c r="L98" s="1"/>
  <c r="C69"/>
  <c r="C99" s="1"/>
  <c r="E69"/>
  <c r="E99" s="1"/>
  <c r="G69"/>
  <c r="G99" s="1"/>
  <c r="I69"/>
  <c r="I99" s="1"/>
  <c r="K69"/>
  <c r="K99" s="1"/>
  <c r="D70"/>
  <c r="D100" s="1"/>
  <c r="F70"/>
  <c r="F100" s="1"/>
  <c r="H70"/>
  <c r="H100" s="1"/>
  <c r="J70"/>
  <c r="J100" s="1"/>
  <c r="L70"/>
  <c r="L100" s="1"/>
  <c r="C71"/>
  <c r="C101" s="1"/>
  <c r="E71"/>
  <c r="E101" s="1"/>
  <c r="G71"/>
  <c r="G101" s="1"/>
  <c r="I71"/>
  <c r="I101" s="1"/>
  <c r="K71"/>
  <c r="K101" s="1"/>
  <c r="D72"/>
  <c r="D102" s="1"/>
  <c r="F72"/>
  <c r="F102" s="1"/>
  <c r="H72"/>
  <c r="H102" s="1"/>
  <c r="J72"/>
  <c r="J102" s="1"/>
  <c r="L72"/>
  <c r="L102" s="1"/>
  <c r="C73"/>
  <c r="C103" s="1"/>
  <c r="E73"/>
  <c r="E103" s="1"/>
  <c r="G73"/>
  <c r="G103" s="1"/>
  <c r="I73"/>
  <c r="I103" s="1"/>
  <c r="K73"/>
  <c r="K103" s="1"/>
  <c r="D74"/>
  <c r="D104" s="1"/>
  <c r="F74"/>
  <c r="F104" s="1"/>
  <c r="H74"/>
  <c r="H104" s="1"/>
  <c r="J74"/>
  <c r="J104" s="1"/>
  <c r="L74"/>
  <c r="L104" s="1"/>
  <c r="C75"/>
  <c r="C105" s="1"/>
  <c r="E75"/>
  <c r="E105" s="1"/>
  <c r="G75"/>
  <c r="G105" s="1"/>
  <c r="I75"/>
  <c r="I105" s="1"/>
  <c r="K75"/>
  <c r="K105" s="1"/>
  <c r="D76"/>
  <c r="D106" s="1"/>
  <c r="F76"/>
  <c r="F106" s="1"/>
  <c r="H76"/>
  <c r="H106" s="1"/>
  <c r="J76"/>
  <c r="J106" s="1"/>
  <c r="L76"/>
  <c r="L106" s="1"/>
  <c r="C77"/>
  <c r="C107" s="1"/>
  <c r="E77"/>
  <c r="E107" s="1"/>
  <c r="G77"/>
  <c r="G107" s="1"/>
  <c r="I77"/>
  <c r="I107" s="1"/>
  <c r="K77"/>
  <c r="K107" s="1"/>
  <c r="D78"/>
  <c r="D108" s="1"/>
  <c r="F78"/>
  <c r="F108" s="1"/>
  <c r="H78"/>
  <c r="H108" s="1"/>
  <c r="J78"/>
  <c r="J108" s="1"/>
  <c r="L78"/>
  <c r="L108" s="1"/>
  <c r="C79"/>
  <c r="C109" s="1"/>
  <c r="E79"/>
  <c r="E109" s="1"/>
  <c r="G79"/>
  <c r="G109" s="1"/>
  <c r="I79"/>
  <c r="I109" s="1"/>
  <c r="K79"/>
  <c r="K109" s="1"/>
  <c r="B48"/>
  <c r="F48"/>
  <c r="J48"/>
  <c r="C34"/>
  <c r="E34"/>
  <c r="G34"/>
  <c r="I34"/>
  <c r="K34"/>
  <c r="D35"/>
  <c r="F35"/>
  <c r="H35"/>
  <c r="J35"/>
  <c r="L35"/>
  <c r="C36"/>
  <c r="E36"/>
  <c r="G36"/>
  <c r="I36"/>
  <c r="K36"/>
  <c r="B37"/>
  <c r="D37"/>
  <c r="H37"/>
  <c r="L37"/>
  <c r="E38"/>
  <c r="I38"/>
  <c r="B39"/>
  <c r="F39"/>
  <c r="J39"/>
  <c r="C40"/>
  <c r="E40"/>
  <c r="G40"/>
  <c r="I40"/>
  <c r="K40"/>
  <c r="B41"/>
  <c r="D41"/>
  <c r="H41"/>
  <c r="L41"/>
  <c r="E42"/>
  <c r="I42"/>
  <c r="B43"/>
  <c r="F43"/>
  <c r="J43"/>
  <c r="C45"/>
  <c r="E45"/>
  <c r="G45"/>
  <c r="I45"/>
  <c r="K45"/>
  <c r="D55"/>
  <c r="D85" s="1"/>
  <c r="F55"/>
  <c r="F85" s="1"/>
  <c r="H55"/>
  <c r="H85" s="1"/>
  <c r="J55"/>
  <c r="J85" s="1"/>
  <c r="L55"/>
  <c r="L85" s="1"/>
  <c r="Q5"/>
  <c r="P5" s="1"/>
  <c r="D57"/>
  <c r="D87" s="1"/>
  <c r="F57"/>
  <c r="F87" s="1"/>
  <c r="H57"/>
  <c r="H87" s="1"/>
  <c r="J57"/>
  <c r="J87" s="1"/>
  <c r="L57"/>
  <c r="L87" s="1"/>
  <c r="Q7"/>
  <c r="P7" s="1"/>
  <c r="D59"/>
  <c r="D89" s="1"/>
  <c r="F59"/>
  <c r="F89" s="1"/>
  <c r="H59"/>
  <c r="H89" s="1"/>
  <c r="J59"/>
  <c r="J89" s="1"/>
  <c r="L59"/>
  <c r="L89" s="1"/>
  <c r="Q9"/>
  <c r="P9" s="1"/>
  <c r="D61"/>
  <c r="D91" s="1"/>
  <c r="F61"/>
  <c r="F91" s="1"/>
  <c r="H61"/>
  <c r="H91" s="1"/>
  <c r="J61"/>
  <c r="J91" s="1"/>
  <c r="L61"/>
  <c r="L91" s="1"/>
  <c r="Q11"/>
  <c r="P11" s="1"/>
  <c r="C62"/>
  <c r="C92" s="1"/>
  <c r="E62"/>
  <c r="E92" s="1"/>
  <c r="G62"/>
  <c r="G92" s="1"/>
  <c r="I62"/>
  <c r="I92" s="1"/>
  <c r="K62"/>
  <c r="K92" s="1"/>
  <c r="D63"/>
  <c r="D93" s="1"/>
  <c r="F63"/>
  <c r="F93" s="1"/>
  <c r="H63"/>
  <c r="H93" s="1"/>
  <c r="J63"/>
  <c r="J93" s="1"/>
  <c r="L63"/>
  <c r="L93" s="1"/>
  <c r="Q13"/>
  <c r="C64"/>
  <c r="C94" s="1"/>
  <c r="E64"/>
  <c r="E94" s="1"/>
  <c r="G64"/>
  <c r="G94" s="1"/>
  <c r="I64"/>
  <c r="I94" s="1"/>
  <c r="K64"/>
  <c r="K94" s="1"/>
  <c r="D65"/>
  <c r="D95" s="1"/>
  <c r="F65"/>
  <c r="F95" s="1"/>
  <c r="H65"/>
  <c r="H95" s="1"/>
  <c r="J65"/>
  <c r="J95" s="1"/>
  <c r="L65"/>
  <c r="L95" s="1"/>
  <c r="Q15"/>
  <c r="P15" s="1"/>
  <c r="C66"/>
  <c r="C96" s="1"/>
  <c r="E66"/>
  <c r="E96" s="1"/>
  <c r="G66"/>
  <c r="G96" s="1"/>
  <c r="I66"/>
  <c r="I96" s="1"/>
  <c r="K66"/>
  <c r="K96" s="1"/>
  <c r="D67"/>
  <c r="D97" s="1"/>
  <c r="F67"/>
  <c r="F97" s="1"/>
  <c r="H67"/>
  <c r="H97" s="1"/>
  <c r="J67"/>
  <c r="J97" s="1"/>
  <c r="L67"/>
  <c r="L97" s="1"/>
  <c r="Q17"/>
  <c r="P17" s="1"/>
  <c r="C68"/>
  <c r="C98" s="1"/>
  <c r="E68"/>
  <c r="E98" s="1"/>
  <c r="G68"/>
  <c r="G98" s="1"/>
  <c r="I68"/>
  <c r="I98" s="1"/>
  <c r="K68"/>
  <c r="K98" s="1"/>
  <c r="D69"/>
  <c r="D99" s="1"/>
  <c r="F69"/>
  <c r="F99" s="1"/>
  <c r="H69"/>
  <c r="H99" s="1"/>
  <c r="J69"/>
  <c r="J99" s="1"/>
  <c r="L69"/>
  <c r="L99" s="1"/>
  <c r="Q19"/>
  <c r="P19" s="1"/>
  <c r="C70"/>
  <c r="C100" s="1"/>
  <c r="E70"/>
  <c r="E100" s="1"/>
  <c r="G70"/>
  <c r="G100" s="1"/>
  <c r="I70"/>
  <c r="I100" s="1"/>
  <c r="K70"/>
  <c r="K100" s="1"/>
  <c r="D71"/>
  <c r="D101" s="1"/>
  <c r="F71"/>
  <c r="F101" s="1"/>
  <c r="H71"/>
  <c r="H101" s="1"/>
  <c r="J71"/>
  <c r="J101" s="1"/>
  <c r="L71"/>
  <c r="L101" s="1"/>
  <c r="Q21"/>
  <c r="P21" s="1"/>
  <c r="C72"/>
  <c r="C102" s="1"/>
  <c r="E72"/>
  <c r="E102" s="1"/>
  <c r="G72"/>
  <c r="G102" s="1"/>
  <c r="I72"/>
  <c r="I102" s="1"/>
  <c r="K72"/>
  <c r="K102" s="1"/>
  <c r="D73"/>
  <c r="D103" s="1"/>
  <c r="F73"/>
  <c r="F103" s="1"/>
  <c r="H73"/>
  <c r="H103" s="1"/>
  <c r="J73"/>
  <c r="J103" s="1"/>
  <c r="L73"/>
  <c r="L103" s="1"/>
  <c r="Q23"/>
  <c r="P23" s="1"/>
  <c r="C74"/>
  <c r="C104" s="1"/>
  <c r="E74"/>
  <c r="E104" s="1"/>
  <c r="G74"/>
  <c r="G104" s="1"/>
  <c r="I74"/>
  <c r="I104" s="1"/>
  <c r="K74"/>
  <c r="K104" s="1"/>
  <c r="D75"/>
  <c r="D105" s="1"/>
  <c r="F75"/>
  <c r="F105" s="1"/>
  <c r="H75"/>
  <c r="H105" s="1"/>
  <c r="J75"/>
  <c r="J105" s="1"/>
  <c r="L75"/>
  <c r="L105" s="1"/>
  <c r="Q25"/>
  <c r="P25" s="1"/>
  <c r="C76"/>
  <c r="C106" s="1"/>
  <c r="E76"/>
  <c r="E106" s="1"/>
  <c r="G76"/>
  <c r="G106" s="1"/>
  <c r="I76"/>
  <c r="I106" s="1"/>
  <c r="K76"/>
  <c r="K106" s="1"/>
  <c r="D77"/>
  <c r="D107" s="1"/>
  <c r="F77"/>
  <c r="F107" s="1"/>
  <c r="H77"/>
  <c r="H107" s="1"/>
  <c r="J77"/>
  <c r="J107" s="1"/>
  <c r="L77"/>
  <c r="L107" s="1"/>
  <c r="Q27"/>
  <c r="P27" s="1"/>
  <c r="C78"/>
  <c r="C108" s="1"/>
  <c r="E78"/>
  <c r="E108" s="1"/>
  <c r="G78"/>
  <c r="G108" s="1"/>
  <c r="I78"/>
  <c r="I108" s="1"/>
  <c r="K78"/>
  <c r="K108" s="1"/>
  <c r="D79"/>
  <c r="D109" s="1"/>
  <c r="F79"/>
  <c r="F109" s="1"/>
  <c r="H79"/>
  <c r="H109" s="1"/>
  <c r="J79"/>
  <c r="J109" s="1"/>
  <c r="L79"/>
  <c r="L109" s="1"/>
  <c r="Q29"/>
  <c r="C48"/>
  <c r="E48"/>
  <c r="G48"/>
  <c r="I48"/>
  <c r="K48"/>
  <c r="D34"/>
  <c r="F34"/>
  <c r="H34"/>
  <c r="J34"/>
  <c r="L34"/>
  <c r="C35"/>
  <c r="E35"/>
  <c r="G35"/>
  <c r="I35"/>
  <c r="K35"/>
  <c r="B36"/>
  <c r="D36"/>
  <c r="F36"/>
  <c r="H36"/>
  <c r="J36"/>
  <c r="L36"/>
  <c r="C37"/>
  <c r="E37"/>
  <c r="G37"/>
  <c r="I37"/>
  <c r="K37"/>
  <c r="B38"/>
  <c r="D38"/>
  <c r="F38"/>
  <c r="H38"/>
  <c r="J38"/>
  <c r="L38"/>
  <c r="C39"/>
  <c r="E39"/>
  <c r="G39"/>
  <c r="I39"/>
  <c r="K39"/>
  <c r="B40"/>
  <c r="D40"/>
  <c r="F40"/>
  <c r="H40"/>
  <c r="J40"/>
  <c r="L40"/>
  <c r="C41"/>
  <c r="E41"/>
  <c r="G41"/>
  <c r="I41"/>
  <c r="K41"/>
  <c r="B42"/>
  <c r="D42"/>
  <c r="F42"/>
  <c r="H42"/>
  <c r="J42"/>
  <c r="L42"/>
  <c r="C43"/>
  <c r="E43"/>
  <c r="G43"/>
  <c r="I43"/>
  <c r="K43"/>
  <c r="D45"/>
  <c r="F45"/>
  <c r="H45"/>
  <c r="J45"/>
  <c r="L45"/>
  <c r="D34" i="470"/>
  <c r="H34"/>
  <c r="L34"/>
  <c r="D35"/>
  <c r="F35"/>
  <c r="H35"/>
  <c r="J35"/>
  <c r="L35"/>
  <c r="D36"/>
  <c r="H36"/>
  <c r="L36"/>
  <c r="D37"/>
  <c r="F37"/>
  <c r="H37"/>
  <c r="J37"/>
  <c r="L37"/>
  <c r="F40"/>
  <c r="J40"/>
  <c r="D54" i="469"/>
  <c r="D81" s="1"/>
  <c r="F54"/>
  <c r="F81" s="1"/>
  <c r="H54"/>
  <c r="H81" s="1"/>
  <c r="J54"/>
  <c r="J81" s="1"/>
  <c r="L54"/>
  <c r="L81" s="1"/>
  <c r="Q6"/>
  <c r="P6" s="1"/>
  <c r="D56"/>
  <c r="D83" s="1"/>
  <c r="F56"/>
  <c r="F83" s="1"/>
  <c r="H56"/>
  <c r="H83" s="1"/>
  <c r="J56"/>
  <c r="J83" s="1"/>
  <c r="L56"/>
  <c r="L83" s="1"/>
  <c r="Q8"/>
  <c r="P8" s="1"/>
  <c r="D58"/>
  <c r="D85" s="1"/>
  <c r="F58"/>
  <c r="F85" s="1"/>
  <c r="H58"/>
  <c r="H85" s="1"/>
  <c r="J58"/>
  <c r="J85" s="1"/>
  <c r="L58"/>
  <c r="L85" s="1"/>
  <c r="Q10"/>
  <c r="P10" s="1"/>
  <c r="D60"/>
  <c r="D87" s="1"/>
  <c r="F60"/>
  <c r="F87" s="1"/>
  <c r="H60"/>
  <c r="H87" s="1"/>
  <c r="J60"/>
  <c r="J87" s="1"/>
  <c r="L60"/>
  <c r="L87" s="1"/>
  <c r="Q12"/>
  <c r="P12" s="1"/>
  <c r="D62"/>
  <c r="D89" s="1"/>
  <c r="F62"/>
  <c r="F89" s="1"/>
  <c r="H62"/>
  <c r="H89" s="1"/>
  <c r="J62"/>
  <c r="J89" s="1"/>
  <c r="L62"/>
  <c r="L89" s="1"/>
  <c r="Q14"/>
  <c r="P14" s="1"/>
  <c r="D64"/>
  <c r="D91" s="1"/>
  <c r="F64"/>
  <c r="F91" s="1"/>
  <c r="H64"/>
  <c r="H91" s="1"/>
  <c r="J64"/>
  <c r="J91" s="1"/>
  <c r="L64"/>
  <c r="L91" s="1"/>
  <c r="Q16"/>
  <c r="P16" s="1"/>
  <c r="D66"/>
  <c r="D93" s="1"/>
  <c r="F66"/>
  <c r="F93" s="1"/>
  <c r="H66"/>
  <c r="H93" s="1"/>
  <c r="J66"/>
  <c r="J93" s="1"/>
  <c r="L66"/>
  <c r="L93" s="1"/>
  <c r="Q18"/>
  <c r="P18" s="1"/>
  <c r="D68"/>
  <c r="D95" s="1"/>
  <c r="F68"/>
  <c r="F95" s="1"/>
  <c r="H68"/>
  <c r="H95" s="1"/>
  <c r="J68"/>
  <c r="J95" s="1"/>
  <c r="L68"/>
  <c r="L95" s="1"/>
  <c r="Q20"/>
  <c r="P20" s="1"/>
  <c r="D70"/>
  <c r="D97" s="1"/>
  <c r="F70"/>
  <c r="F97" s="1"/>
  <c r="H70"/>
  <c r="H97" s="1"/>
  <c r="J70"/>
  <c r="J97" s="1"/>
  <c r="L70"/>
  <c r="L97" s="1"/>
  <c r="K71"/>
  <c r="K98" s="1"/>
  <c r="D72"/>
  <c r="D99" s="1"/>
  <c r="F72"/>
  <c r="F99" s="1"/>
  <c r="H72"/>
  <c r="H99" s="1"/>
  <c r="J72"/>
  <c r="J99" s="1"/>
  <c r="L72"/>
  <c r="L99" s="1"/>
  <c r="Q24"/>
  <c r="E73"/>
  <c r="E100" s="1"/>
  <c r="G73"/>
  <c r="G100" s="1"/>
  <c r="I73"/>
  <c r="I100" s="1"/>
  <c r="K73"/>
  <c r="K100" s="1"/>
  <c r="D74"/>
  <c r="D101" s="1"/>
  <c r="F74"/>
  <c r="F101" s="1"/>
  <c r="H74"/>
  <c r="H101" s="1"/>
  <c r="J74"/>
  <c r="J101" s="1"/>
  <c r="L74"/>
  <c r="L101" s="1"/>
  <c r="D75"/>
  <c r="D102" s="1"/>
  <c r="F75"/>
  <c r="F102" s="1"/>
  <c r="H75"/>
  <c r="H102" s="1"/>
  <c r="J75"/>
  <c r="J102" s="1"/>
  <c r="L75"/>
  <c r="L102" s="1"/>
  <c r="D76"/>
  <c r="D103" s="1"/>
  <c r="F76"/>
  <c r="F103" s="1"/>
  <c r="H76"/>
  <c r="H103" s="1"/>
  <c r="J76"/>
  <c r="J103" s="1"/>
  <c r="L76"/>
  <c r="L103" s="1"/>
  <c r="D77"/>
  <c r="D104" s="1"/>
  <c r="F77"/>
  <c r="F104" s="1"/>
  <c r="H77"/>
  <c r="H104" s="1"/>
  <c r="J77"/>
  <c r="J104" s="1"/>
  <c r="L77"/>
  <c r="L104" s="1"/>
  <c r="H45"/>
  <c r="L45"/>
  <c r="C34"/>
  <c r="E34"/>
  <c r="G34"/>
  <c r="I34"/>
  <c r="K34"/>
  <c r="C35"/>
  <c r="E35"/>
  <c r="G35"/>
  <c r="I35"/>
  <c r="K35"/>
  <c r="C36"/>
  <c r="E36"/>
  <c r="G36"/>
  <c r="I36"/>
  <c r="K36"/>
  <c r="C37"/>
  <c r="G37"/>
  <c r="K37"/>
  <c r="D38"/>
  <c r="H38"/>
  <c r="L38"/>
  <c r="B42"/>
  <c r="D42"/>
  <c r="F42"/>
  <c r="H42"/>
  <c r="J42"/>
  <c r="L42"/>
  <c r="D43"/>
  <c r="H43"/>
  <c r="L43"/>
  <c r="C45"/>
  <c r="E45"/>
  <c r="D53"/>
  <c r="D80" s="1"/>
  <c r="F53"/>
  <c r="F80" s="1"/>
  <c r="H53"/>
  <c r="H80" s="1"/>
  <c r="J53"/>
  <c r="J80" s="1"/>
  <c r="L53"/>
  <c r="L80" s="1"/>
  <c r="Q5"/>
  <c r="P5" s="1"/>
  <c r="C54"/>
  <c r="C81" s="1"/>
  <c r="E54"/>
  <c r="E81" s="1"/>
  <c r="G54"/>
  <c r="G81" s="1"/>
  <c r="I54"/>
  <c r="I81" s="1"/>
  <c r="K54"/>
  <c r="K81" s="1"/>
  <c r="D55"/>
  <c r="D82" s="1"/>
  <c r="F55"/>
  <c r="F82" s="1"/>
  <c r="H55"/>
  <c r="H82" s="1"/>
  <c r="J55"/>
  <c r="J82" s="1"/>
  <c r="L55"/>
  <c r="L82" s="1"/>
  <c r="Q7"/>
  <c r="P7" s="1"/>
  <c r="C56"/>
  <c r="C83" s="1"/>
  <c r="E56"/>
  <c r="E83" s="1"/>
  <c r="G56"/>
  <c r="G83" s="1"/>
  <c r="I56"/>
  <c r="I83" s="1"/>
  <c r="K56"/>
  <c r="K83" s="1"/>
  <c r="D57"/>
  <c r="D84" s="1"/>
  <c r="F57"/>
  <c r="F84" s="1"/>
  <c r="H57"/>
  <c r="H84" s="1"/>
  <c r="J57"/>
  <c r="J84" s="1"/>
  <c r="L57"/>
  <c r="L84" s="1"/>
  <c r="Q9"/>
  <c r="P9" s="1"/>
  <c r="C58"/>
  <c r="C85" s="1"/>
  <c r="E58"/>
  <c r="E85" s="1"/>
  <c r="G58"/>
  <c r="G85" s="1"/>
  <c r="I58"/>
  <c r="I85" s="1"/>
  <c r="K58"/>
  <c r="K85" s="1"/>
  <c r="D59"/>
  <c r="D86" s="1"/>
  <c r="F59"/>
  <c r="F86" s="1"/>
  <c r="H59"/>
  <c r="H86" s="1"/>
  <c r="J59"/>
  <c r="J86" s="1"/>
  <c r="L59"/>
  <c r="L86" s="1"/>
  <c r="Q11"/>
  <c r="P11" s="1"/>
  <c r="C60"/>
  <c r="C87" s="1"/>
  <c r="E60"/>
  <c r="E87" s="1"/>
  <c r="G60"/>
  <c r="G87" s="1"/>
  <c r="I60"/>
  <c r="I87" s="1"/>
  <c r="K60"/>
  <c r="K87" s="1"/>
  <c r="D61"/>
  <c r="D88" s="1"/>
  <c r="F61"/>
  <c r="F88" s="1"/>
  <c r="H61"/>
  <c r="H88" s="1"/>
  <c r="J61"/>
  <c r="J88" s="1"/>
  <c r="L61"/>
  <c r="L88" s="1"/>
  <c r="Q13"/>
  <c r="C62"/>
  <c r="C89" s="1"/>
  <c r="E62"/>
  <c r="E89" s="1"/>
  <c r="G62"/>
  <c r="G89" s="1"/>
  <c r="I62"/>
  <c r="I89" s="1"/>
  <c r="K62"/>
  <c r="K89" s="1"/>
  <c r="D63"/>
  <c r="D90" s="1"/>
  <c r="F63"/>
  <c r="F90" s="1"/>
  <c r="H63"/>
  <c r="H90" s="1"/>
  <c r="J63"/>
  <c r="J90" s="1"/>
  <c r="L63"/>
  <c r="L90" s="1"/>
  <c r="Q15"/>
  <c r="P15" s="1"/>
  <c r="C64"/>
  <c r="C91" s="1"/>
  <c r="E64"/>
  <c r="E91" s="1"/>
  <c r="G64"/>
  <c r="G91" s="1"/>
  <c r="I64"/>
  <c r="I91" s="1"/>
  <c r="K64"/>
  <c r="K91" s="1"/>
  <c r="D65"/>
  <c r="D92" s="1"/>
  <c r="F65"/>
  <c r="F92" s="1"/>
  <c r="H65"/>
  <c r="H92" s="1"/>
  <c r="J65"/>
  <c r="J92" s="1"/>
  <c r="L65"/>
  <c r="L92" s="1"/>
  <c r="Q17"/>
  <c r="P17" s="1"/>
  <c r="C66"/>
  <c r="C93" s="1"/>
  <c r="E66"/>
  <c r="E93" s="1"/>
  <c r="G66"/>
  <c r="G93" s="1"/>
  <c r="I66"/>
  <c r="I93" s="1"/>
  <c r="K66"/>
  <c r="K93" s="1"/>
  <c r="D67"/>
  <c r="D94" s="1"/>
  <c r="F67"/>
  <c r="F94" s="1"/>
  <c r="H67"/>
  <c r="H94" s="1"/>
  <c r="J67"/>
  <c r="J94" s="1"/>
  <c r="L67"/>
  <c r="L94" s="1"/>
  <c r="Q19"/>
  <c r="P19" s="1"/>
  <c r="C68"/>
  <c r="C95" s="1"/>
  <c r="E68"/>
  <c r="E95" s="1"/>
  <c r="G68"/>
  <c r="G95" s="1"/>
  <c r="I68"/>
  <c r="I95" s="1"/>
  <c r="K68"/>
  <c r="K95" s="1"/>
  <c r="D69"/>
  <c r="D96" s="1"/>
  <c r="F69"/>
  <c r="F96" s="1"/>
  <c r="H69"/>
  <c r="H96" s="1"/>
  <c r="J69"/>
  <c r="J96" s="1"/>
  <c r="L69"/>
  <c r="L96" s="1"/>
  <c r="Q21"/>
  <c r="P21" s="1"/>
  <c r="C70"/>
  <c r="C97" s="1"/>
  <c r="E70"/>
  <c r="E97" s="1"/>
  <c r="G70"/>
  <c r="G97" s="1"/>
  <c r="I70"/>
  <c r="I97" s="1"/>
  <c r="K70"/>
  <c r="K97" s="1"/>
  <c r="D71"/>
  <c r="D98" s="1"/>
  <c r="F71"/>
  <c r="F98" s="1"/>
  <c r="H71"/>
  <c r="H98" s="1"/>
  <c r="J71"/>
  <c r="J98" s="1"/>
  <c r="L71"/>
  <c r="L98" s="1"/>
  <c r="Q23"/>
  <c r="P23" s="1"/>
  <c r="C72"/>
  <c r="C99" s="1"/>
  <c r="E72"/>
  <c r="E99" s="1"/>
  <c r="G72"/>
  <c r="G99" s="1"/>
  <c r="I72"/>
  <c r="I99" s="1"/>
  <c r="K72"/>
  <c r="K99" s="1"/>
  <c r="D73"/>
  <c r="D100" s="1"/>
  <c r="F73"/>
  <c r="F100" s="1"/>
  <c r="H73"/>
  <c r="H100" s="1"/>
  <c r="J73"/>
  <c r="J100" s="1"/>
  <c r="L73"/>
  <c r="L100" s="1"/>
  <c r="Q25"/>
  <c r="P25" s="1"/>
  <c r="C74"/>
  <c r="C101" s="1"/>
  <c r="E74"/>
  <c r="E101" s="1"/>
  <c r="G74"/>
  <c r="G101" s="1"/>
  <c r="I74"/>
  <c r="I101" s="1"/>
  <c r="K74"/>
  <c r="K101" s="1"/>
  <c r="Q26"/>
  <c r="P26" s="1"/>
  <c r="C75"/>
  <c r="C102" s="1"/>
  <c r="E75"/>
  <c r="E102" s="1"/>
  <c r="G75"/>
  <c r="G102" s="1"/>
  <c r="I75"/>
  <c r="I102" s="1"/>
  <c r="K75"/>
  <c r="K102" s="1"/>
  <c r="Q27"/>
  <c r="P27" s="1"/>
  <c r="C76"/>
  <c r="C103" s="1"/>
  <c r="E76"/>
  <c r="E103" s="1"/>
  <c r="G76"/>
  <c r="G103" s="1"/>
  <c r="I76"/>
  <c r="I103" s="1"/>
  <c r="K76"/>
  <c r="K103" s="1"/>
  <c r="Q28"/>
  <c r="C77"/>
  <c r="C104" s="1"/>
  <c r="E77"/>
  <c r="E104" s="1"/>
  <c r="G77"/>
  <c r="G104" s="1"/>
  <c r="I77"/>
  <c r="I104" s="1"/>
  <c r="K77"/>
  <c r="K104" s="1"/>
  <c r="Q29"/>
  <c r="G45"/>
  <c r="I45"/>
  <c r="K45"/>
  <c r="D34"/>
  <c r="F34"/>
  <c r="H34"/>
  <c r="J34"/>
  <c r="L34"/>
  <c r="B35"/>
  <c r="D35"/>
  <c r="F35"/>
  <c r="H35"/>
  <c r="J35"/>
  <c r="L35"/>
  <c r="B36"/>
  <c r="D36"/>
  <c r="F36"/>
  <c r="H36"/>
  <c r="J36"/>
  <c r="L36"/>
  <c r="C38"/>
  <c r="E38"/>
  <c r="G38"/>
  <c r="I38"/>
  <c r="K38"/>
  <c r="D39"/>
  <c r="F39"/>
  <c r="H39"/>
  <c r="J39"/>
  <c r="L39"/>
  <c r="D40"/>
  <c r="F40"/>
  <c r="H40"/>
  <c r="J40"/>
  <c r="L40"/>
  <c r="G43"/>
  <c r="I43"/>
  <c r="K43"/>
  <c r="N5" i="226"/>
  <c r="O5" s="1"/>
  <c r="N7"/>
  <c r="O7" s="1"/>
  <c r="N9"/>
  <c r="O9" s="1"/>
  <c r="Q5"/>
  <c r="P5" s="1"/>
  <c r="P43" s="1"/>
  <c r="Q7"/>
  <c r="P7" s="1"/>
  <c r="Q9"/>
  <c r="P9" s="1"/>
  <c r="Q11"/>
  <c r="P11" s="1"/>
  <c r="Q15"/>
  <c r="P15" s="1"/>
  <c r="Q17"/>
  <c r="P17" s="1"/>
  <c r="Q19"/>
  <c r="P19" s="1"/>
  <c r="Q21"/>
  <c r="P21" s="1"/>
  <c r="Q23"/>
  <c r="Q25"/>
  <c r="P25" s="1"/>
  <c r="Q27"/>
  <c r="G34"/>
  <c r="K34"/>
  <c r="C43"/>
  <c r="E43"/>
  <c r="G43"/>
  <c r="I43"/>
  <c r="K43"/>
  <c r="D34"/>
  <c r="F34"/>
  <c r="H34"/>
  <c r="J34"/>
  <c r="L34"/>
  <c r="D35"/>
  <c r="H35"/>
  <c r="L35"/>
  <c r="D36"/>
  <c r="F36"/>
  <c r="H36"/>
  <c r="J36"/>
  <c r="L36"/>
  <c r="D37"/>
  <c r="H37"/>
  <c r="L37"/>
  <c r="D40"/>
  <c r="H40"/>
  <c r="L40"/>
  <c r="D44"/>
  <c r="F44"/>
  <c r="H44"/>
  <c r="J44"/>
  <c r="L44"/>
  <c r="C53" i="225"/>
  <c r="C80" s="1"/>
  <c r="E53"/>
  <c r="E80" s="1"/>
  <c r="G53"/>
  <c r="G80" s="1"/>
  <c r="I53"/>
  <c r="I80" s="1"/>
  <c r="K53"/>
  <c r="K80" s="1"/>
  <c r="Q6"/>
  <c r="P6" s="1"/>
  <c r="C55"/>
  <c r="C82" s="1"/>
  <c r="E55"/>
  <c r="E82" s="1"/>
  <c r="G55"/>
  <c r="G82" s="1"/>
  <c r="I55"/>
  <c r="I82" s="1"/>
  <c r="K55"/>
  <c r="K82" s="1"/>
  <c r="D56"/>
  <c r="D83" s="1"/>
  <c r="F56"/>
  <c r="F83" s="1"/>
  <c r="H56"/>
  <c r="H83" s="1"/>
  <c r="J56"/>
  <c r="J83" s="1"/>
  <c r="L56"/>
  <c r="L83" s="1"/>
  <c r="C57"/>
  <c r="C84" s="1"/>
  <c r="E57"/>
  <c r="E84" s="1"/>
  <c r="G57"/>
  <c r="G84" s="1"/>
  <c r="I57"/>
  <c r="I84" s="1"/>
  <c r="K57"/>
  <c r="K84" s="1"/>
  <c r="D58"/>
  <c r="D85" s="1"/>
  <c r="F58"/>
  <c r="F85" s="1"/>
  <c r="H58"/>
  <c r="H85" s="1"/>
  <c r="J58"/>
  <c r="J85" s="1"/>
  <c r="L58"/>
  <c r="L85" s="1"/>
  <c r="E59"/>
  <c r="E86" s="1"/>
  <c r="G59"/>
  <c r="G86" s="1"/>
  <c r="I59"/>
  <c r="I86" s="1"/>
  <c r="K59"/>
  <c r="K86" s="1"/>
  <c r="D60"/>
  <c r="D87" s="1"/>
  <c r="F60"/>
  <c r="F87" s="1"/>
  <c r="H60"/>
  <c r="H87" s="1"/>
  <c r="J60"/>
  <c r="J87" s="1"/>
  <c r="L60"/>
  <c r="L87" s="1"/>
  <c r="E61"/>
  <c r="E88" s="1"/>
  <c r="G61"/>
  <c r="G88" s="1"/>
  <c r="I61"/>
  <c r="I88" s="1"/>
  <c r="K61"/>
  <c r="K88" s="1"/>
  <c r="D62"/>
  <c r="D89" s="1"/>
  <c r="F62"/>
  <c r="F89" s="1"/>
  <c r="H62"/>
  <c r="H89" s="1"/>
  <c r="J62"/>
  <c r="J89" s="1"/>
  <c r="L62"/>
  <c r="L89" s="1"/>
  <c r="E63"/>
  <c r="E90" s="1"/>
  <c r="G63"/>
  <c r="G90" s="1"/>
  <c r="I63"/>
  <c r="I90" s="1"/>
  <c r="K63"/>
  <c r="K90" s="1"/>
  <c r="D64"/>
  <c r="D91" s="1"/>
  <c r="F64"/>
  <c r="F91" s="1"/>
  <c r="H64"/>
  <c r="H91" s="1"/>
  <c r="J64"/>
  <c r="J91" s="1"/>
  <c r="L64"/>
  <c r="L91" s="1"/>
  <c r="C65"/>
  <c r="C92" s="1"/>
  <c r="E65"/>
  <c r="E92" s="1"/>
  <c r="G65"/>
  <c r="G92" s="1"/>
  <c r="I65"/>
  <c r="I92" s="1"/>
  <c r="K65"/>
  <c r="K92" s="1"/>
  <c r="D66"/>
  <c r="D93" s="1"/>
  <c r="F66"/>
  <c r="F93" s="1"/>
  <c r="H66"/>
  <c r="H93" s="1"/>
  <c r="J66"/>
  <c r="J93" s="1"/>
  <c r="L66"/>
  <c r="L93" s="1"/>
  <c r="C67"/>
  <c r="C94" s="1"/>
  <c r="E67"/>
  <c r="E94" s="1"/>
  <c r="G67"/>
  <c r="G94" s="1"/>
  <c r="I67"/>
  <c r="I94" s="1"/>
  <c r="K67"/>
  <c r="K94" s="1"/>
  <c r="D68"/>
  <c r="D95" s="1"/>
  <c r="F68"/>
  <c r="F95" s="1"/>
  <c r="H68"/>
  <c r="H95" s="1"/>
  <c r="J68"/>
  <c r="J95" s="1"/>
  <c r="L68"/>
  <c r="L95" s="1"/>
  <c r="C69"/>
  <c r="C96" s="1"/>
  <c r="E69"/>
  <c r="E96" s="1"/>
  <c r="G69"/>
  <c r="G96" s="1"/>
  <c r="I69"/>
  <c r="I96" s="1"/>
  <c r="K69"/>
  <c r="K96" s="1"/>
  <c r="D70"/>
  <c r="D97" s="1"/>
  <c r="F70"/>
  <c r="F97" s="1"/>
  <c r="H70"/>
  <c r="H97" s="1"/>
  <c r="J70"/>
  <c r="J97" s="1"/>
  <c r="L70"/>
  <c r="L97" s="1"/>
  <c r="C71"/>
  <c r="C98" s="1"/>
  <c r="E71"/>
  <c r="E98" s="1"/>
  <c r="G71"/>
  <c r="G98" s="1"/>
  <c r="I71"/>
  <c r="I98" s="1"/>
  <c r="K71"/>
  <c r="K98" s="1"/>
  <c r="D72"/>
  <c r="D99" s="1"/>
  <c r="F72"/>
  <c r="F99" s="1"/>
  <c r="H72"/>
  <c r="H99" s="1"/>
  <c r="J72"/>
  <c r="J99" s="1"/>
  <c r="L72"/>
  <c r="L99" s="1"/>
  <c r="Q24"/>
  <c r="C73"/>
  <c r="C100" s="1"/>
  <c r="E73"/>
  <c r="E100" s="1"/>
  <c r="G73"/>
  <c r="G100" s="1"/>
  <c r="I73"/>
  <c r="I100" s="1"/>
  <c r="K73"/>
  <c r="K100" s="1"/>
  <c r="D74"/>
  <c r="D101" s="1"/>
  <c r="F74"/>
  <c r="F101" s="1"/>
  <c r="H74"/>
  <c r="H101" s="1"/>
  <c r="J74"/>
  <c r="J101" s="1"/>
  <c r="L74"/>
  <c r="L101" s="1"/>
  <c r="D75"/>
  <c r="D102" s="1"/>
  <c r="F75"/>
  <c r="F102" s="1"/>
  <c r="H75"/>
  <c r="H102" s="1"/>
  <c r="J75"/>
  <c r="J102" s="1"/>
  <c r="L75"/>
  <c r="L102" s="1"/>
  <c r="D76"/>
  <c r="D103" s="1"/>
  <c r="F76"/>
  <c r="F103" s="1"/>
  <c r="H76"/>
  <c r="H103" s="1"/>
  <c r="J76"/>
  <c r="J103" s="1"/>
  <c r="L76"/>
  <c r="L103" s="1"/>
  <c r="D77"/>
  <c r="D104" s="1"/>
  <c r="F77"/>
  <c r="F104" s="1"/>
  <c r="H77"/>
  <c r="H104" s="1"/>
  <c r="J77"/>
  <c r="J104" s="1"/>
  <c r="L77"/>
  <c r="L104" s="1"/>
  <c r="F45"/>
  <c r="H45"/>
  <c r="J45"/>
  <c r="L45"/>
  <c r="C34"/>
  <c r="E34"/>
  <c r="G34"/>
  <c r="I34"/>
  <c r="K34"/>
  <c r="C35"/>
  <c r="E35"/>
  <c r="G35"/>
  <c r="I35"/>
  <c r="K35"/>
  <c r="C36"/>
  <c r="E36"/>
  <c r="G36"/>
  <c r="I36"/>
  <c r="K36"/>
  <c r="C37"/>
  <c r="E37"/>
  <c r="G37"/>
  <c r="I37"/>
  <c r="K37"/>
  <c r="B38"/>
  <c r="D38"/>
  <c r="F38"/>
  <c r="H38"/>
  <c r="J38"/>
  <c r="L38"/>
  <c r="B42"/>
  <c r="D42"/>
  <c r="F42"/>
  <c r="H42"/>
  <c r="J42"/>
  <c r="L42"/>
  <c r="B43"/>
  <c r="D43"/>
  <c r="F43"/>
  <c r="H43"/>
  <c r="J43"/>
  <c r="L43"/>
  <c r="C45"/>
  <c r="E45"/>
  <c r="I45"/>
  <c r="Q5"/>
  <c r="E54"/>
  <c r="E81" s="1"/>
  <c r="G54"/>
  <c r="G81" s="1"/>
  <c r="I54"/>
  <c r="I81" s="1"/>
  <c r="K54"/>
  <c r="K81" s="1"/>
  <c r="L55"/>
  <c r="L82" s="1"/>
  <c r="Q7"/>
  <c r="P7" s="1"/>
  <c r="C56"/>
  <c r="C83" s="1"/>
  <c r="E56"/>
  <c r="E83" s="1"/>
  <c r="G56"/>
  <c r="G83" s="1"/>
  <c r="I56"/>
  <c r="I83" s="1"/>
  <c r="K56"/>
  <c r="K83" s="1"/>
  <c r="D57"/>
  <c r="D84" s="1"/>
  <c r="F57"/>
  <c r="F84" s="1"/>
  <c r="H57"/>
  <c r="H84" s="1"/>
  <c r="J57"/>
  <c r="J84" s="1"/>
  <c r="L57"/>
  <c r="L84" s="1"/>
  <c r="Q9"/>
  <c r="P9" s="1"/>
  <c r="C58"/>
  <c r="C85" s="1"/>
  <c r="E58"/>
  <c r="E85" s="1"/>
  <c r="G58"/>
  <c r="G85" s="1"/>
  <c r="I58"/>
  <c r="I85" s="1"/>
  <c r="K58"/>
  <c r="K85" s="1"/>
  <c r="D59"/>
  <c r="D86" s="1"/>
  <c r="F59"/>
  <c r="F86" s="1"/>
  <c r="H59"/>
  <c r="H86" s="1"/>
  <c r="J59"/>
  <c r="J86" s="1"/>
  <c r="L59"/>
  <c r="L86" s="1"/>
  <c r="Q11"/>
  <c r="P11" s="1"/>
  <c r="C60"/>
  <c r="C87" s="1"/>
  <c r="E60"/>
  <c r="E87" s="1"/>
  <c r="G60"/>
  <c r="G87" s="1"/>
  <c r="I60"/>
  <c r="I87" s="1"/>
  <c r="K60"/>
  <c r="K87" s="1"/>
  <c r="D61"/>
  <c r="D88" s="1"/>
  <c r="F61"/>
  <c r="F88" s="1"/>
  <c r="H61"/>
  <c r="H88" s="1"/>
  <c r="J61"/>
  <c r="J88" s="1"/>
  <c r="L61"/>
  <c r="L88" s="1"/>
  <c r="Q13"/>
  <c r="C62"/>
  <c r="C89" s="1"/>
  <c r="E62"/>
  <c r="E89" s="1"/>
  <c r="G62"/>
  <c r="G89" s="1"/>
  <c r="I62"/>
  <c r="I89" s="1"/>
  <c r="K62"/>
  <c r="K89" s="1"/>
  <c r="D63"/>
  <c r="D90" s="1"/>
  <c r="F63"/>
  <c r="F90" s="1"/>
  <c r="H63"/>
  <c r="H90" s="1"/>
  <c r="J63"/>
  <c r="J90" s="1"/>
  <c r="L63"/>
  <c r="L90" s="1"/>
  <c r="Q15"/>
  <c r="P15" s="1"/>
  <c r="C64"/>
  <c r="C91" s="1"/>
  <c r="E64"/>
  <c r="E91" s="1"/>
  <c r="G64"/>
  <c r="G91" s="1"/>
  <c r="I64"/>
  <c r="I91" s="1"/>
  <c r="K64"/>
  <c r="K91" s="1"/>
  <c r="D65"/>
  <c r="D92" s="1"/>
  <c r="F65"/>
  <c r="F92" s="1"/>
  <c r="H65"/>
  <c r="H92" s="1"/>
  <c r="J65"/>
  <c r="J92" s="1"/>
  <c r="L65"/>
  <c r="L92" s="1"/>
  <c r="Q17"/>
  <c r="P17" s="1"/>
  <c r="C66"/>
  <c r="C93" s="1"/>
  <c r="E66"/>
  <c r="E93" s="1"/>
  <c r="G66"/>
  <c r="G93" s="1"/>
  <c r="I66"/>
  <c r="I93" s="1"/>
  <c r="K66"/>
  <c r="K93" s="1"/>
  <c r="D67"/>
  <c r="D94" s="1"/>
  <c r="F67"/>
  <c r="F94" s="1"/>
  <c r="H67"/>
  <c r="H94" s="1"/>
  <c r="J67"/>
  <c r="J94" s="1"/>
  <c r="L67"/>
  <c r="L94" s="1"/>
  <c r="Q19"/>
  <c r="P19" s="1"/>
  <c r="C68"/>
  <c r="C95" s="1"/>
  <c r="E68"/>
  <c r="E95" s="1"/>
  <c r="G68"/>
  <c r="G95" s="1"/>
  <c r="I68"/>
  <c r="I95" s="1"/>
  <c r="K68"/>
  <c r="K95" s="1"/>
  <c r="D69"/>
  <c r="D96" s="1"/>
  <c r="F69"/>
  <c r="F96" s="1"/>
  <c r="H69"/>
  <c r="H96" s="1"/>
  <c r="J69"/>
  <c r="J96" s="1"/>
  <c r="L69"/>
  <c r="L96" s="1"/>
  <c r="Q21"/>
  <c r="P21" s="1"/>
  <c r="C70"/>
  <c r="C97" s="1"/>
  <c r="E70"/>
  <c r="E97" s="1"/>
  <c r="G70"/>
  <c r="G97" s="1"/>
  <c r="I70"/>
  <c r="I97" s="1"/>
  <c r="K70"/>
  <c r="K97" s="1"/>
  <c r="D71"/>
  <c r="D98" s="1"/>
  <c r="F71"/>
  <c r="F98" s="1"/>
  <c r="H71"/>
  <c r="H98" s="1"/>
  <c r="J71"/>
  <c r="J98" s="1"/>
  <c r="L71"/>
  <c r="L98" s="1"/>
  <c r="Q23"/>
  <c r="P23" s="1"/>
  <c r="C72"/>
  <c r="C99" s="1"/>
  <c r="E72"/>
  <c r="E99" s="1"/>
  <c r="G72"/>
  <c r="G99" s="1"/>
  <c r="I72"/>
  <c r="I99" s="1"/>
  <c r="K72"/>
  <c r="K99" s="1"/>
  <c r="D73"/>
  <c r="D100" s="1"/>
  <c r="F73"/>
  <c r="F100" s="1"/>
  <c r="H73"/>
  <c r="H100" s="1"/>
  <c r="J73"/>
  <c r="J100" s="1"/>
  <c r="L73"/>
  <c r="L100" s="1"/>
  <c r="Q25"/>
  <c r="P25" s="1"/>
  <c r="C74"/>
  <c r="C101" s="1"/>
  <c r="E74"/>
  <c r="E101" s="1"/>
  <c r="G74"/>
  <c r="G101" s="1"/>
  <c r="I74"/>
  <c r="I101" s="1"/>
  <c r="K74"/>
  <c r="K101" s="1"/>
  <c r="Q26"/>
  <c r="P26" s="1"/>
  <c r="C75"/>
  <c r="C102" s="1"/>
  <c r="E75"/>
  <c r="E102" s="1"/>
  <c r="G75"/>
  <c r="G102" s="1"/>
  <c r="I75"/>
  <c r="I102" s="1"/>
  <c r="K75"/>
  <c r="K102" s="1"/>
  <c r="Q27"/>
  <c r="P27" s="1"/>
  <c r="C76"/>
  <c r="C103" s="1"/>
  <c r="E76"/>
  <c r="E103" s="1"/>
  <c r="G76"/>
  <c r="G103" s="1"/>
  <c r="I76"/>
  <c r="I103" s="1"/>
  <c r="K76"/>
  <c r="K103" s="1"/>
  <c r="Q28"/>
  <c r="C77"/>
  <c r="C104" s="1"/>
  <c r="E77"/>
  <c r="E104" s="1"/>
  <c r="G77"/>
  <c r="G104" s="1"/>
  <c r="I77"/>
  <c r="I104" s="1"/>
  <c r="K77"/>
  <c r="K104" s="1"/>
  <c r="Q29"/>
  <c r="D34"/>
  <c r="F34"/>
  <c r="H34"/>
  <c r="J34"/>
  <c r="L34"/>
  <c r="B35"/>
  <c r="D35"/>
  <c r="F35"/>
  <c r="H35"/>
  <c r="J35"/>
  <c r="L35"/>
  <c r="B36"/>
  <c r="D36"/>
  <c r="F36"/>
  <c r="H36"/>
  <c r="J36"/>
  <c r="L36"/>
  <c r="C38"/>
  <c r="E38"/>
  <c r="G38"/>
  <c r="I38"/>
  <c r="K38"/>
  <c r="D39"/>
  <c r="F39"/>
  <c r="H39"/>
  <c r="J39"/>
  <c r="L39"/>
  <c r="D40"/>
  <c r="F40"/>
  <c r="H40"/>
  <c r="J40"/>
  <c r="L40"/>
  <c r="G43"/>
  <c r="K43"/>
  <c r="C36" i="476"/>
  <c r="E36"/>
  <c r="G36"/>
  <c r="I36"/>
  <c r="K36"/>
  <c r="C38"/>
  <c r="E38"/>
  <c r="G38"/>
  <c r="I38"/>
  <c r="K38"/>
  <c r="B40"/>
  <c r="D40"/>
  <c r="F40"/>
  <c r="H40"/>
  <c r="J40"/>
  <c r="L40"/>
  <c r="B36"/>
  <c r="D36"/>
  <c r="F36"/>
  <c r="H36"/>
  <c r="J36"/>
  <c r="L36"/>
  <c r="C36" i="475"/>
  <c r="E36"/>
  <c r="G36"/>
  <c r="I36"/>
  <c r="K36"/>
  <c r="C38"/>
  <c r="E38"/>
  <c r="G38"/>
  <c r="I38"/>
  <c r="K38"/>
  <c r="B40"/>
  <c r="D40"/>
  <c r="F40"/>
  <c r="H40"/>
  <c r="J40"/>
  <c r="L40"/>
  <c r="B36"/>
  <c r="D36"/>
  <c r="F36"/>
  <c r="H36"/>
  <c r="J36"/>
  <c r="L36"/>
  <c r="C46" i="1"/>
  <c r="B47"/>
  <c r="D47"/>
  <c r="F47"/>
  <c r="H47"/>
  <c r="J47"/>
  <c r="L47"/>
  <c r="C48"/>
  <c r="E48"/>
  <c r="G48"/>
  <c r="I48"/>
  <c r="K48"/>
  <c r="D49"/>
  <c r="F49"/>
  <c r="H49"/>
  <c r="J49"/>
  <c r="L49"/>
  <c r="D52"/>
  <c r="F52"/>
  <c r="H52"/>
  <c r="J52"/>
  <c r="L52"/>
  <c r="M23"/>
  <c r="M42"/>
  <c r="C47"/>
  <c r="E47"/>
  <c r="G47"/>
  <c r="I47"/>
  <c r="K47"/>
  <c r="C49"/>
  <c r="E49"/>
  <c r="G49"/>
  <c r="I49"/>
  <c r="K49"/>
  <c r="B41" i="231" l="1"/>
  <c r="I36"/>
  <c r="G79"/>
  <c r="G108" s="1"/>
  <c r="G40" i="225"/>
  <c r="B22" i="226"/>
  <c r="B20"/>
  <c r="B18"/>
  <c r="B16"/>
  <c r="B14"/>
  <c r="B25"/>
  <c r="B23"/>
  <c r="B21"/>
  <c r="B19"/>
  <c r="B17"/>
  <c r="B15"/>
  <c r="B13"/>
  <c r="B31"/>
  <c r="D45" i="469"/>
  <c r="N27" i="226"/>
  <c r="O27" s="1"/>
  <c r="Q25" i="231"/>
  <c r="P25" s="1"/>
  <c r="Q24"/>
  <c r="P24" s="1"/>
  <c r="Q21"/>
  <c r="P21" s="1"/>
  <c r="N19" i="226"/>
  <c r="O19" s="1"/>
  <c r="Q16" i="231"/>
  <c r="P16" s="1"/>
  <c r="N11" i="226"/>
  <c r="O11" s="1"/>
  <c r="E47" i="227"/>
  <c r="G42" i="469"/>
  <c r="Q28" i="231"/>
  <c r="Q40" s="1"/>
  <c r="K46" i="227"/>
  <c r="G46"/>
  <c r="E46"/>
  <c r="C46"/>
  <c r="I40" i="469"/>
  <c r="E39"/>
  <c r="Q24" i="227"/>
  <c r="Q38" s="1"/>
  <c r="Q16"/>
  <c r="P16" s="1"/>
  <c r="K60"/>
  <c r="K90" s="1"/>
  <c r="G60"/>
  <c r="G90" s="1"/>
  <c r="C60"/>
  <c r="C90" s="1"/>
  <c r="I58"/>
  <c r="I88" s="1"/>
  <c r="E58"/>
  <c r="E88" s="1"/>
  <c r="K56"/>
  <c r="K86" s="1"/>
  <c r="G56"/>
  <c r="G86" s="1"/>
  <c r="C56"/>
  <c r="C86" s="1"/>
  <c r="L47"/>
  <c r="H47"/>
  <c r="D47"/>
  <c r="B46"/>
  <c r="P24"/>
  <c r="B32" i="470"/>
  <c r="B45" i="469"/>
  <c r="K81" i="227"/>
  <c r="K111" s="1"/>
  <c r="K47"/>
  <c r="I31" i="470"/>
  <c r="I42" i="469"/>
  <c r="G81" i="227"/>
  <c r="G111" s="1"/>
  <c r="G47"/>
  <c r="E31" i="470"/>
  <c r="E42" i="469"/>
  <c r="C81" i="227"/>
  <c r="C111" s="1"/>
  <c r="C47"/>
  <c r="B30" i="226"/>
  <c r="B41" i="225"/>
  <c r="I29" i="226"/>
  <c r="I77" s="1"/>
  <c r="I106" s="1"/>
  <c r="I40" i="225"/>
  <c r="E29" i="226"/>
  <c r="E40" i="225"/>
  <c r="J24" i="226"/>
  <c r="J41" i="225"/>
  <c r="F24" i="226"/>
  <c r="F41" i="225"/>
  <c r="B24" i="226"/>
  <c r="B40" i="225"/>
  <c r="B39"/>
  <c r="D22" i="226"/>
  <c r="D70" s="1"/>
  <c r="D99" s="1"/>
  <c r="Q22" i="225"/>
  <c r="P22" s="1"/>
  <c r="Q18" i="231"/>
  <c r="P18" s="1"/>
  <c r="D68"/>
  <c r="D97" s="1"/>
  <c r="D18" i="226"/>
  <c r="D66" s="1"/>
  <c r="D95" s="1"/>
  <c r="Q18" i="225"/>
  <c r="P18" s="1"/>
  <c r="Q14" i="231"/>
  <c r="P14" s="1"/>
  <c r="D64"/>
  <c r="D93" s="1"/>
  <c r="D14" i="226"/>
  <c r="D62" s="1"/>
  <c r="D91" s="1"/>
  <c r="Q14" i="225"/>
  <c r="P14" s="1"/>
  <c r="I13" i="226"/>
  <c r="I39" i="225"/>
  <c r="E13" i="226"/>
  <c r="E39" i="225"/>
  <c r="C13" i="226"/>
  <c r="C61" i="225"/>
  <c r="C88" s="1"/>
  <c r="D12" i="226"/>
  <c r="D60" s="1"/>
  <c r="D89" s="1"/>
  <c r="Q12" i="225"/>
  <c r="P12" s="1"/>
  <c r="D8" i="226"/>
  <c r="D56" s="1"/>
  <c r="D85" s="1"/>
  <c r="Q8" i="225"/>
  <c r="P8" s="1"/>
  <c r="J6" i="226"/>
  <c r="J54" s="1"/>
  <c r="J83" s="1"/>
  <c r="J54" i="225"/>
  <c r="J81" s="1"/>
  <c r="F6" i="226"/>
  <c r="F54" s="1"/>
  <c r="F83" s="1"/>
  <c r="F54" i="225"/>
  <c r="F81" s="1"/>
  <c r="K55" i="231"/>
  <c r="K84" s="1"/>
  <c r="K47"/>
  <c r="G55"/>
  <c r="G84" s="1"/>
  <c r="G47"/>
  <c r="C55"/>
  <c r="C84" s="1"/>
  <c r="C47"/>
  <c r="B31" i="470"/>
  <c r="B37" i="469"/>
  <c r="K40"/>
  <c r="K39"/>
  <c r="G40"/>
  <c r="G39"/>
  <c r="C40"/>
  <c r="C39"/>
  <c r="C43"/>
  <c r="B23" i="470"/>
  <c r="C71" i="469"/>
  <c r="C98" s="1"/>
  <c r="G71"/>
  <c r="G98" s="1"/>
  <c r="B21" i="470"/>
  <c r="E69" i="469"/>
  <c r="E96" s="1"/>
  <c r="I69"/>
  <c r="I96" s="1"/>
  <c r="B19" i="470"/>
  <c r="C67" i="469"/>
  <c r="C94" s="1"/>
  <c r="G67"/>
  <c r="G94" s="1"/>
  <c r="K67"/>
  <c r="K94" s="1"/>
  <c r="B17" i="470"/>
  <c r="E65" i="469"/>
  <c r="E92" s="1"/>
  <c r="I65"/>
  <c r="I92" s="1"/>
  <c r="B15" i="470"/>
  <c r="C63" i="469"/>
  <c r="C90" s="1"/>
  <c r="G63"/>
  <c r="G90" s="1"/>
  <c r="K63"/>
  <c r="K90" s="1"/>
  <c r="B13" i="470"/>
  <c r="E61" i="469"/>
  <c r="E88" s="1"/>
  <c r="I61"/>
  <c r="I88" s="1"/>
  <c r="B39"/>
  <c r="B11" i="470"/>
  <c r="C59" i="469"/>
  <c r="C86" s="1"/>
  <c r="G59"/>
  <c r="G86" s="1"/>
  <c r="K59"/>
  <c r="K86" s="1"/>
  <c r="B9" i="470"/>
  <c r="E57" i="469"/>
  <c r="E84" s="1"/>
  <c r="I57"/>
  <c r="I84" s="1"/>
  <c r="B7" i="470"/>
  <c r="C55" i="469"/>
  <c r="C82" s="1"/>
  <c r="G55"/>
  <c r="G82" s="1"/>
  <c r="K55"/>
  <c r="K82" s="1"/>
  <c r="J5" i="470"/>
  <c r="J36" s="1"/>
  <c r="J37" i="469"/>
  <c r="F5" i="470"/>
  <c r="F36" s="1"/>
  <c r="F37" i="469"/>
  <c r="B5" i="470"/>
  <c r="E53" i="469"/>
  <c r="E80" s="1"/>
  <c r="I53"/>
  <c r="I80" s="1"/>
  <c r="Q26" i="231"/>
  <c r="P26" s="1"/>
  <c r="N25" i="226"/>
  <c r="O25" s="1"/>
  <c r="Q22" i="231"/>
  <c r="P22" s="1"/>
  <c r="N21" i="226"/>
  <c r="O21" s="1"/>
  <c r="N17"/>
  <c r="O17" s="1"/>
  <c r="K45" i="225"/>
  <c r="G45"/>
  <c r="Q26" i="227"/>
  <c r="P26" s="1"/>
  <c r="Q22"/>
  <c r="P22" s="1"/>
  <c r="Q22" i="469"/>
  <c r="P22" s="1"/>
  <c r="Q18" i="227"/>
  <c r="P18" s="1"/>
  <c r="Q14"/>
  <c r="P14" s="1"/>
  <c r="J43" i="469"/>
  <c r="F43"/>
  <c r="B43"/>
  <c r="J38"/>
  <c r="F38"/>
  <c r="B38"/>
  <c r="I37"/>
  <c r="E37"/>
  <c r="J45"/>
  <c r="F45"/>
  <c r="L44" i="470"/>
  <c r="H44"/>
  <c r="D44"/>
  <c r="L40"/>
  <c r="H40"/>
  <c r="D40"/>
  <c r="L43" i="227"/>
  <c r="H43"/>
  <c r="D43"/>
  <c r="K42"/>
  <c r="G42"/>
  <c r="C42"/>
  <c r="J41"/>
  <c r="F41"/>
  <c r="L39"/>
  <c r="H39"/>
  <c r="D39"/>
  <c r="K38"/>
  <c r="G38"/>
  <c r="C38"/>
  <c r="J37"/>
  <c r="F37"/>
  <c r="L48"/>
  <c r="H48"/>
  <c r="D48"/>
  <c r="J42" i="231"/>
  <c r="F42"/>
  <c r="B42"/>
  <c r="L40"/>
  <c r="H40"/>
  <c r="D40"/>
  <c r="K35"/>
  <c r="G35"/>
  <c r="C35"/>
  <c r="Q29"/>
  <c r="K78"/>
  <c r="K107" s="1"/>
  <c r="G78"/>
  <c r="G107" s="1"/>
  <c r="I76"/>
  <c r="I105" s="1"/>
  <c r="K74"/>
  <c r="K103" s="1"/>
  <c r="G74"/>
  <c r="G103" s="1"/>
  <c r="C74"/>
  <c r="C103" s="1"/>
  <c r="I72"/>
  <c r="I101" s="1"/>
  <c r="K70"/>
  <c r="K99" s="1"/>
  <c r="G70"/>
  <c r="G99" s="1"/>
  <c r="I68"/>
  <c r="I97" s="1"/>
  <c r="Q17"/>
  <c r="P17" s="1"/>
  <c r="K66"/>
  <c r="K95" s="1"/>
  <c r="G66"/>
  <c r="G95" s="1"/>
  <c r="I64"/>
  <c r="I93" s="1"/>
  <c r="Q13"/>
  <c r="Q37" s="1"/>
  <c r="K62"/>
  <c r="K91" s="1"/>
  <c r="G62"/>
  <c r="G91" s="1"/>
  <c r="I60"/>
  <c r="I89" s="1"/>
  <c r="Q9"/>
  <c r="P9" s="1"/>
  <c r="K58"/>
  <c r="K87" s="1"/>
  <c r="G58"/>
  <c r="G87" s="1"/>
  <c r="I56"/>
  <c r="I85" s="1"/>
  <c r="Q5"/>
  <c r="P5" s="1"/>
  <c r="K45"/>
  <c r="G45"/>
  <c r="C45"/>
  <c r="J43"/>
  <c r="F43"/>
  <c r="B43"/>
  <c r="L41"/>
  <c r="H41"/>
  <c r="D41"/>
  <c r="K40"/>
  <c r="G40"/>
  <c r="C40"/>
  <c r="I38"/>
  <c r="E38"/>
  <c r="K34"/>
  <c r="G34"/>
  <c r="C34"/>
  <c r="D76"/>
  <c r="D105" s="1"/>
  <c r="N26" s="1"/>
  <c r="O26" s="1"/>
  <c r="D74"/>
  <c r="D103" s="1"/>
  <c r="D72"/>
  <c r="D101" s="1"/>
  <c r="D66"/>
  <c r="D95" s="1"/>
  <c r="Q12"/>
  <c r="P12" s="1"/>
  <c r="Q8"/>
  <c r="P8" s="1"/>
  <c r="E47"/>
  <c r="E55"/>
  <c r="E84" s="1"/>
  <c r="G46"/>
  <c r="E43" i="469"/>
  <c r="H41" i="225"/>
  <c r="K40"/>
  <c r="C40"/>
  <c r="H54"/>
  <c r="H81" s="1"/>
  <c r="I47" i="227"/>
  <c r="K42" i="469"/>
  <c r="C42"/>
  <c r="C73"/>
  <c r="C100" s="1"/>
  <c r="E71"/>
  <c r="E98" s="1"/>
  <c r="G69"/>
  <c r="G96" s="1"/>
  <c r="I67"/>
  <c r="I94" s="1"/>
  <c r="K39" i="225"/>
  <c r="C39"/>
  <c r="Q16"/>
  <c r="P16" s="1"/>
  <c r="Q10"/>
  <c r="P10" s="1"/>
  <c r="C63"/>
  <c r="C90" s="1"/>
  <c r="N15" s="1"/>
  <c r="O15" s="1"/>
  <c r="F41" i="430"/>
  <c r="F44"/>
  <c r="L80" i="231"/>
  <c r="L109" s="1"/>
  <c r="L30" i="226"/>
  <c r="J80" i="231"/>
  <c r="J109" s="1"/>
  <c r="J30" i="226"/>
  <c r="H80" i="231"/>
  <c r="H109" s="1"/>
  <c r="H30" i="226"/>
  <c r="F80" i="231"/>
  <c r="F109" s="1"/>
  <c r="F30" i="226"/>
  <c r="D80" i="231"/>
  <c r="D109" s="1"/>
  <c r="K29" i="470"/>
  <c r="K77" s="1"/>
  <c r="K106" s="1"/>
  <c r="I29"/>
  <c r="I77" s="1"/>
  <c r="I106" s="1"/>
  <c r="G29"/>
  <c r="G77" s="1"/>
  <c r="G106" s="1"/>
  <c r="E29"/>
  <c r="E77" s="1"/>
  <c r="E106" s="1"/>
  <c r="C29"/>
  <c r="K27"/>
  <c r="K75" s="1"/>
  <c r="K104" s="1"/>
  <c r="I27"/>
  <c r="I75" s="1"/>
  <c r="I104" s="1"/>
  <c r="G27"/>
  <c r="G75" s="1"/>
  <c r="G104" s="1"/>
  <c r="E27"/>
  <c r="E75" s="1"/>
  <c r="E104" s="1"/>
  <c r="C27"/>
  <c r="K25"/>
  <c r="K73" s="1"/>
  <c r="K102" s="1"/>
  <c r="I25"/>
  <c r="I73" s="1"/>
  <c r="I102" s="1"/>
  <c r="G25"/>
  <c r="G73" s="1"/>
  <c r="G102" s="1"/>
  <c r="E25"/>
  <c r="E73" s="1"/>
  <c r="E102" s="1"/>
  <c r="C25"/>
  <c r="K23"/>
  <c r="K71" s="1"/>
  <c r="K100" s="1"/>
  <c r="I23"/>
  <c r="I71" s="1"/>
  <c r="I100" s="1"/>
  <c r="G23"/>
  <c r="G71" s="1"/>
  <c r="G100" s="1"/>
  <c r="E23"/>
  <c r="E71" s="1"/>
  <c r="E100" s="1"/>
  <c r="C23"/>
  <c r="K21"/>
  <c r="K69" s="1"/>
  <c r="K98" s="1"/>
  <c r="I21"/>
  <c r="I69" s="1"/>
  <c r="I98" s="1"/>
  <c r="G21"/>
  <c r="G69" s="1"/>
  <c r="G98" s="1"/>
  <c r="E21"/>
  <c r="E69" s="1"/>
  <c r="E98" s="1"/>
  <c r="C21"/>
  <c r="K19"/>
  <c r="K67" s="1"/>
  <c r="K96" s="1"/>
  <c r="I19"/>
  <c r="I67" s="1"/>
  <c r="I96" s="1"/>
  <c r="G19"/>
  <c r="G67" s="1"/>
  <c r="G96" s="1"/>
  <c r="E19"/>
  <c r="E67" s="1"/>
  <c r="E96" s="1"/>
  <c r="C19"/>
  <c r="K17"/>
  <c r="K65" s="1"/>
  <c r="K94" s="1"/>
  <c r="I17"/>
  <c r="I65" s="1"/>
  <c r="I94" s="1"/>
  <c r="G17"/>
  <c r="G65" s="1"/>
  <c r="G94" s="1"/>
  <c r="E17"/>
  <c r="E65" s="1"/>
  <c r="E94" s="1"/>
  <c r="C17"/>
  <c r="K15"/>
  <c r="K63" s="1"/>
  <c r="K92" s="1"/>
  <c r="I15"/>
  <c r="I63" s="1"/>
  <c r="I92" s="1"/>
  <c r="G15"/>
  <c r="G63" s="1"/>
  <c r="G92" s="1"/>
  <c r="E15"/>
  <c r="E63" s="1"/>
  <c r="E92" s="1"/>
  <c r="C15"/>
  <c r="K13"/>
  <c r="I13"/>
  <c r="G13"/>
  <c r="E13"/>
  <c r="C13"/>
  <c r="K11"/>
  <c r="K59" s="1"/>
  <c r="K88" s="1"/>
  <c r="I11"/>
  <c r="I59" s="1"/>
  <c r="I88" s="1"/>
  <c r="G11"/>
  <c r="G59" s="1"/>
  <c r="G88" s="1"/>
  <c r="E11"/>
  <c r="E59" s="1"/>
  <c r="E88" s="1"/>
  <c r="C11"/>
  <c r="K9"/>
  <c r="K57" s="1"/>
  <c r="K86" s="1"/>
  <c r="I9"/>
  <c r="I57" s="1"/>
  <c r="I86" s="1"/>
  <c r="G9"/>
  <c r="G57" s="1"/>
  <c r="G86" s="1"/>
  <c r="E9"/>
  <c r="E57" s="1"/>
  <c r="E86" s="1"/>
  <c r="C9"/>
  <c r="K7"/>
  <c r="K55" s="1"/>
  <c r="K84" s="1"/>
  <c r="I7"/>
  <c r="I55" s="1"/>
  <c r="I84" s="1"/>
  <c r="G7"/>
  <c r="G55" s="1"/>
  <c r="G84" s="1"/>
  <c r="E7"/>
  <c r="E55" s="1"/>
  <c r="E84" s="1"/>
  <c r="C7"/>
  <c r="K5"/>
  <c r="I5"/>
  <c r="I53" s="1"/>
  <c r="I82" s="1"/>
  <c r="G5"/>
  <c r="E5"/>
  <c r="E53" s="1"/>
  <c r="E82" s="1"/>
  <c r="C5"/>
  <c r="L81" i="227"/>
  <c r="L111" s="1"/>
  <c r="L31" i="470"/>
  <c r="J81" i="227"/>
  <c r="J111" s="1"/>
  <c r="J31" i="470"/>
  <c r="H81" i="227"/>
  <c r="H111" s="1"/>
  <c r="H31" i="470"/>
  <c r="F81" i="227"/>
  <c r="F111" s="1"/>
  <c r="F31" i="470"/>
  <c r="D81" i="227"/>
  <c r="D111" s="1"/>
  <c r="D31" i="470"/>
  <c r="I41" i="430"/>
  <c r="L80" i="227"/>
  <c r="L110" s="1"/>
  <c r="J80"/>
  <c r="J110" s="1"/>
  <c r="H80"/>
  <c r="H110" s="1"/>
  <c r="F80"/>
  <c r="F110" s="1"/>
  <c r="D80"/>
  <c r="D110" s="1"/>
  <c r="K82" i="231"/>
  <c r="K111" s="1"/>
  <c r="I82"/>
  <c r="I111" s="1"/>
  <c r="G82"/>
  <c r="G111" s="1"/>
  <c r="E82"/>
  <c r="E111" s="1"/>
  <c r="C82"/>
  <c r="C111" s="1"/>
  <c r="L81"/>
  <c r="L110" s="1"/>
  <c r="J81"/>
  <c r="J110" s="1"/>
  <c r="H81"/>
  <c r="H110" s="1"/>
  <c r="F81"/>
  <c r="F110" s="1"/>
  <c r="D81"/>
  <c r="D110" s="1"/>
  <c r="K80" i="227"/>
  <c r="K110" s="1"/>
  <c r="I80"/>
  <c r="I110" s="1"/>
  <c r="G80"/>
  <c r="G110" s="1"/>
  <c r="E80"/>
  <c r="E110" s="1"/>
  <c r="C80"/>
  <c r="C110" s="1"/>
  <c r="K82"/>
  <c r="K112" s="1"/>
  <c r="I82"/>
  <c r="I112" s="1"/>
  <c r="G82"/>
  <c r="G112" s="1"/>
  <c r="E82"/>
  <c r="E112" s="1"/>
  <c r="C82"/>
  <c r="C112" s="1"/>
  <c r="K80" i="231"/>
  <c r="K109" s="1"/>
  <c r="I80"/>
  <c r="I109" s="1"/>
  <c r="G80"/>
  <c r="G109" s="1"/>
  <c r="E80"/>
  <c r="E109" s="1"/>
  <c r="C80"/>
  <c r="C109" s="1"/>
  <c r="D30" i="226"/>
  <c r="F46" i="430"/>
  <c r="F47" s="1"/>
  <c r="F39"/>
  <c r="L32" i="232"/>
  <c r="L32" i="233"/>
  <c r="J32" i="232"/>
  <c r="J32" i="233"/>
  <c r="H32" i="232"/>
  <c r="H32" i="233"/>
  <c r="F32" i="232"/>
  <c r="F32" i="233"/>
  <c r="D32" i="232"/>
  <c r="D32" i="233"/>
  <c r="B32" i="232"/>
  <c r="B32" i="233"/>
  <c r="B32" i="226"/>
  <c r="K31" i="232"/>
  <c r="K31" i="233"/>
  <c r="I31" i="232"/>
  <c r="I31" i="233"/>
  <c r="G31" i="232"/>
  <c r="G31" i="233"/>
  <c r="E31" i="232"/>
  <c r="E31" i="233"/>
  <c r="C31" i="232"/>
  <c r="C31" i="233"/>
  <c r="L30" i="232"/>
  <c r="L30" i="233"/>
  <c r="J30" i="232"/>
  <c r="J30" i="233"/>
  <c r="H30" i="232"/>
  <c r="H30" i="233"/>
  <c r="F30" i="232"/>
  <c r="F30" i="233"/>
  <c r="D30" i="232"/>
  <c r="D30" i="233"/>
  <c r="B30" i="229"/>
  <c r="B30" i="228"/>
  <c r="B30" i="235"/>
  <c r="K29" i="228"/>
  <c r="K29" i="235"/>
  <c r="K29" i="229"/>
  <c r="I29"/>
  <c r="I29" i="228"/>
  <c r="I29" i="235"/>
  <c r="G29" i="228"/>
  <c r="G29" i="235"/>
  <c r="G29" i="229"/>
  <c r="E29"/>
  <c r="E29" i="228"/>
  <c r="E29" i="235"/>
  <c r="C29" i="228"/>
  <c r="C29" i="235"/>
  <c r="C29" i="229"/>
  <c r="L28"/>
  <c r="L28" i="228"/>
  <c r="L28" i="235"/>
  <c r="J28" i="228"/>
  <c r="J28" i="235"/>
  <c r="J28" i="229"/>
  <c r="H28"/>
  <c r="H28" i="228"/>
  <c r="H28" i="235"/>
  <c r="F28" i="228"/>
  <c r="F28" i="235"/>
  <c r="F28" i="229"/>
  <c r="D28"/>
  <c r="D28" i="228"/>
  <c r="D28" i="235"/>
  <c r="B28" i="228"/>
  <c r="B28" i="230" s="1"/>
  <c r="B28" i="235"/>
  <c r="B28" i="229"/>
  <c r="M28" i="469"/>
  <c r="B28" i="470"/>
  <c r="K27" i="229"/>
  <c r="K27" i="228"/>
  <c r="K27" i="235"/>
  <c r="I27" i="228"/>
  <c r="I27" i="235"/>
  <c r="I27" i="229"/>
  <c r="G27"/>
  <c r="G27" i="228"/>
  <c r="G27" i="235"/>
  <c r="E27" i="228"/>
  <c r="E27" i="235"/>
  <c r="E27" i="229"/>
  <c r="C27"/>
  <c r="C27" i="228"/>
  <c r="C27" i="235"/>
  <c r="L26" i="228"/>
  <c r="L26" i="235"/>
  <c r="L26" i="229"/>
  <c r="J26"/>
  <c r="J26" i="228"/>
  <c r="J26" i="235"/>
  <c r="H26" i="228"/>
  <c r="H26" i="235"/>
  <c r="H26" i="229"/>
  <c r="F26"/>
  <c r="F26" i="228"/>
  <c r="F26" i="235"/>
  <c r="D26" i="228"/>
  <c r="D26" i="235"/>
  <c r="D26" i="229"/>
  <c r="B26"/>
  <c r="B26" i="228"/>
  <c r="B26" i="230" s="1"/>
  <c r="B26" i="235"/>
  <c r="M26" i="469"/>
  <c r="B26" i="470"/>
  <c r="K25" i="228"/>
  <c r="K25" i="235"/>
  <c r="K25" i="229"/>
  <c r="I25"/>
  <c r="I25" i="228"/>
  <c r="I25" i="235"/>
  <c r="G25" i="228"/>
  <c r="G25" i="235"/>
  <c r="G25" i="229"/>
  <c r="E25"/>
  <c r="E25" i="228"/>
  <c r="E25" i="235"/>
  <c r="C25" i="228"/>
  <c r="C25" i="235"/>
  <c r="C25" i="229"/>
  <c r="L24"/>
  <c r="L24" i="228"/>
  <c r="L24" i="235"/>
  <c r="J24" i="228"/>
  <c r="J24" i="235"/>
  <c r="J24" i="229"/>
  <c r="H24"/>
  <c r="H24" i="228"/>
  <c r="H24" i="235"/>
  <c r="F24" i="228"/>
  <c r="F24" i="235"/>
  <c r="F24" i="229"/>
  <c r="D24"/>
  <c r="D24" i="228"/>
  <c r="D24" i="235"/>
  <c r="B24" i="229"/>
  <c r="B24" i="235"/>
  <c r="B24" i="228"/>
  <c r="K23" i="229"/>
  <c r="K23" i="228"/>
  <c r="K23" i="235"/>
  <c r="I23" i="229"/>
  <c r="I23" i="235"/>
  <c r="I23" i="228"/>
  <c r="G23" i="229"/>
  <c r="G23" i="228"/>
  <c r="G23" i="235"/>
  <c r="E23" i="229"/>
  <c r="E23" i="235"/>
  <c r="E23" i="228"/>
  <c r="C23" i="229"/>
  <c r="C23" i="228"/>
  <c r="C23" i="235"/>
  <c r="L22" i="229"/>
  <c r="L22" i="235"/>
  <c r="L22" i="228"/>
  <c r="J22" i="229"/>
  <c r="J22" i="228"/>
  <c r="J22" i="235"/>
  <c r="H22" i="229"/>
  <c r="H22" i="235"/>
  <c r="H22" i="228"/>
  <c r="F22" i="229"/>
  <c r="F22" i="228"/>
  <c r="F22" i="235"/>
  <c r="D22" i="229"/>
  <c r="D22" i="235"/>
  <c r="D22" i="228"/>
  <c r="B22" i="229"/>
  <c r="B22" i="228"/>
  <c r="B22" i="230" s="1"/>
  <c r="B22" i="235"/>
  <c r="K21" i="229"/>
  <c r="K21" i="235"/>
  <c r="K21" i="228"/>
  <c r="I21" i="229"/>
  <c r="I21" i="228"/>
  <c r="I21" i="235"/>
  <c r="G21" i="229"/>
  <c r="G21" i="235"/>
  <c r="G21" i="228"/>
  <c r="E21" i="229"/>
  <c r="E21" i="228"/>
  <c r="E21" i="235"/>
  <c r="C21" i="229"/>
  <c r="C21" i="235"/>
  <c r="C21" i="228"/>
  <c r="L32" i="229"/>
  <c r="L32" i="228"/>
  <c r="L32" i="235"/>
  <c r="J32" i="228"/>
  <c r="J32" i="235"/>
  <c r="J32" i="229"/>
  <c r="H32"/>
  <c r="H32" i="228"/>
  <c r="H32" i="235"/>
  <c r="F32" i="228"/>
  <c r="F32" i="235"/>
  <c r="F32" i="229"/>
  <c r="D32"/>
  <c r="D32" i="228"/>
  <c r="D32" i="235"/>
  <c r="B32" i="228"/>
  <c r="B32" i="235"/>
  <c r="B32" i="229"/>
  <c r="K31"/>
  <c r="K31" i="228"/>
  <c r="K31" i="235"/>
  <c r="I31" i="228"/>
  <c r="I31" i="235"/>
  <c r="I31" i="229"/>
  <c r="G31"/>
  <c r="G31" i="228"/>
  <c r="G31" i="235"/>
  <c r="E31" i="228"/>
  <c r="E31" i="235"/>
  <c r="E31" i="229"/>
  <c r="C31"/>
  <c r="C31" i="228"/>
  <c r="C31" i="235"/>
  <c r="L30" i="228"/>
  <c r="L80" s="1"/>
  <c r="L110" s="1"/>
  <c r="L30" i="235"/>
  <c r="L30" i="229"/>
  <c r="J30"/>
  <c r="J30" i="228"/>
  <c r="J80" s="1"/>
  <c r="J110" s="1"/>
  <c r="J30" i="235"/>
  <c r="H30" i="228"/>
  <c r="H80" s="1"/>
  <c r="H110" s="1"/>
  <c r="H30" i="235"/>
  <c r="H30" i="229"/>
  <c r="F30"/>
  <c r="F30" i="228"/>
  <c r="F80" s="1"/>
  <c r="F110" s="1"/>
  <c r="F30" i="235"/>
  <c r="D30" i="228"/>
  <c r="D80" s="1"/>
  <c r="D110" s="1"/>
  <c r="D30" i="235"/>
  <c r="D30" i="229"/>
  <c r="B30" i="232"/>
  <c r="B30" i="233"/>
  <c r="K29" i="232"/>
  <c r="K29" i="233"/>
  <c r="I29" i="232"/>
  <c r="I29" i="233"/>
  <c r="G29" i="232"/>
  <c r="G29" i="233"/>
  <c r="E29" i="232"/>
  <c r="E29" i="233"/>
  <c r="C29" i="232"/>
  <c r="C29" i="233"/>
  <c r="L28" i="232"/>
  <c r="L28" i="233"/>
  <c r="J28" i="232"/>
  <c r="J28" i="233"/>
  <c r="H28" i="232"/>
  <c r="H28" i="233"/>
  <c r="F28" i="232"/>
  <c r="F28" i="233"/>
  <c r="D28" i="232"/>
  <c r="D28" i="233"/>
  <c r="B28" i="232"/>
  <c r="B28" i="234" s="1"/>
  <c r="B28" i="233"/>
  <c r="M28" i="225"/>
  <c r="B28" i="226"/>
  <c r="K27" i="232"/>
  <c r="K27" i="233"/>
  <c r="I27" i="232"/>
  <c r="I27" i="233"/>
  <c r="G27" i="232"/>
  <c r="G27" i="233"/>
  <c r="E27" i="232"/>
  <c r="E27" i="233"/>
  <c r="C27" i="232"/>
  <c r="C27" i="233"/>
  <c r="L26" i="232"/>
  <c r="L26" i="233"/>
  <c r="J26" i="232"/>
  <c r="J26" i="233"/>
  <c r="H26" i="232"/>
  <c r="H26" i="233"/>
  <c r="F26" i="232"/>
  <c r="F26" i="233"/>
  <c r="D26" i="232"/>
  <c r="D26" i="233"/>
  <c r="B26" i="232"/>
  <c r="B26" i="234" s="1"/>
  <c r="B26" i="233"/>
  <c r="M26" i="225"/>
  <c r="B26" i="226"/>
  <c r="K25" i="232"/>
  <c r="K25" i="233"/>
  <c r="I25" i="232"/>
  <c r="I25" i="233"/>
  <c r="G25" i="232"/>
  <c r="G25" i="233"/>
  <c r="E25" i="232"/>
  <c r="E25" i="233"/>
  <c r="C25" i="232"/>
  <c r="C25" i="233"/>
  <c r="L24" i="232"/>
  <c r="L24" i="233"/>
  <c r="J24" i="232"/>
  <c r="J24" i="233"/>
  <c r="H24" i="232"/>
  <c r="H24" i="233"/>
  <c r="F24" i="232"/>
  <c r="F24" i="233"/>
  <c r="D24" i="232"/>
  <c r="D24" i="233"/>
  <c r="B24" i="232"/>
  <c r="B24" i="233"/>
  <c r="K23" i="232"/>
  <c r="K23" i="233"/>
  <c r="I23" i="232"/>
  <c r="I23" i="233"/>
  <c r="G23" i="232"/>
  <c r="G23" i="233"/>
  <c r="E23" i="232"/>
  <c r="E23" i="233"/>
  <c r="L30" i="470"/>
  <c r="J30"/>
  <c r="H30"/>
  <c r="F30"/>
  <c r="D30"/>
  <c r="L20" i="229"/>
  <c r="L20" i="228"/>
  <c r="L20" i="235"/>
  <c r="J20" i="229"/>
  <c r="J20" i="235"/>
  <c r="J20" i="228"/>
  <c r="H20" i="229"/>
  <c r="H20" i="228"/>
  <c r="H20" i="235"/>
  <c r="F20" i="229"/>
  <c r="F20" i="235"/>
  <c r="F20" i="228"/>
  <c r="D20" i="229"/>
  <c r="D20" i="228"/>
  <c r="D20" i="235"/>
  <c r="B20" i="229"/>
  <c r="B20" i="235"/>
  <c r="B20" i="228"/>
  <c r="B20" i="230" s="1"/>
  <c r="K19" i="229"/>
  <c r="K19" i="228"/>
  <c r="K19" i="235"/>
  <c r="I19" i="229"/>
  <c r="I19" i="235"/>
  <c r="I19" i="228"/>
  <c r="G19" i="229"/>
  <c r="G19" i="228"/>
  <c r="G19" i="235"/>
  <c r="E19" i="229"/>
  <c r="E19" i="235"/>
  <c r="E19" i="228"/>
  <c r="C19" i="229"/>
  <c r="C19" i="228"/>
  <c r="C19" i="235"/>
  <c r="L18" i="229"/>
  <c r="L18" i="235"/>
  <c r="L18" i="228"/>
  <c r="J18" i="229"/>
  <c r="J18" i="228"/>
  <c r="J18" i="235"/>
  <c r="H18" i="229"/>
  <c r="H18" i="235"/>
  <c r="H18" i="228"/>
  <c r="F18" i="229"/>
  <c r="F18" i="228"/>
  <c r="F18" i="235"/>
  <c r="D18" i="229"/>
  <c r="D18" i="235"/>
  <c r="D18" i="228"/>
  <c r="B18" i="229"/>
  <c r="B18" i="228"/>
  <c r="B18" i="230" s="1"/>
  <c r="B18" i="235"/>
  <c r="K17" i="229"/>
  <c r="K17" i="235"/>
  <c r="K17" i="228"/>
  <c r="I17" i="229"/>
  <c r="I17" i="228"/>
  <c r="I17" i="235"/>
  <c r="G17" i="229"/>
  <c r="G17" i="235"/>
  <c r="G17" i="228"/>
  <c r="E17" i="229"/>
  <c r="E17" i="228"/>
  <c r="E17" i="235"/>
  <c r="C17" i="229"/>
  <c r="C17" i="235"/>
  <c r="C17" i="228"/>
  <c r="L16" i="229"/>
  <c r="L16" i="228"/>
  <c r="L16" i="235"/>
  <c r="J16" i="229"/>
  <c r="J16" i="235"/>
  <c r="J16" i="228"/>
  <c r="H16" i="229"/>
  <c r="H16" i="228"/>
  <c r="H16" i="235"/>
  <c r="F16" i="229"/>
  <c r="F16" i="235"/>
  <c r="F16" i="228"/>
  <c r="D16" i="229"/>
  <c r="D16" i="228"/>
  <c r="D16" i="235"/>
  <c r="B16" i="229"/>
  <c r="B16" i="235"/>
  <c r="B16" i="228"/>
  <c r="B16" i="230" s="1"/>
  <c r="K15" i="229"/>
  <c r="K15" i="228"/>
  <c r="K15" i="235"/>
  <c r="I15" i="229"/>
  <c r="I15" i="235"/>
  <c r="I15" i="228"/>
  <c r="G15" i="229"/>
  <c r="G15" i="228"/>
  <c r="G15" i="235"/>
  <c r="E15" i="229"/>
  <c r="E15" i="235"/>
  <c r="E15" i="228"/>
  <c r="C15" i="229"/>
  <c r="C15" i="228"/>
  <c r="C15" i="235"/>
  <c r="L14" i="229"/>
  <c r="L14" i="235"/>
  <c r="L14" i="228"/>
  <c r="J14" i="229"/>
  <c r="J14" i="228"/>
  <c r="J14" i="235"/>
  <c r="H14" i="229"/>
  <c r="H14" i="235"/>
  <c r="H14" i="228"/>
  <c r="F14" i="229"/>
  <c r="F14" i="228"/>
  <c r="F14" i="235"/>
  <c r="D14" i="229"/>
  <c r="D14" i="235"/>
  <c r="D14" i="228"/>
  <c r="B14" i="229"/>
  <c r="B14" i="228"/>
  <c r="B14" i="230" s="1"/>
  <c r="B14" i="235"/>
  <c r="K13" i="229"/>
  <c r="K13" i="235"/>
  <c r="K13" i="228"/>
  <c r="I13" i="229"/>
  <c r="I13" i="228"/>
  <c r="I13" i="235"/>
  <c r="G13" i="229"/>
  <c r="G13" i="235"/>
  <c r="G13" i="228"/>
  <c r="E13" i="229"/>
  <c r="E13" i="228"/>
  <c r="E13" i="235"/>
  <c r="C13" i="229"/>
  <c r="C13" i="235"/>
  <c r="C13" i="228"/>
  <c r="L12" i="229"/>
  <c r="L12" i="228"/>
  <c r="L12" i="235"/>
  <c r="J12" i="229"/>
  <c r="J12" i="235"/>
  <c r="J12" i="228"/>
  <c r="H12" i="229"/>
  <c r="H12" i="228"/>
  <c r="H12" i="235"/>
  <c r="F12" i="229"/>
  <c r="F12" i="235"/>
  <c r="F12" i="228"/>
  <c r="D12" i="229"/>
  <c r="D12" i="228"/>
  <c r="D12" i="235"/>
  <c r="B12" i="229"/>
  <c r="B12" i="235"/>
  <c r="B12" i="228"/>
  <c r="B12" i="230" s="1"/>
  <c r="K11" i="229"/>
  <c r="K11" i="228"/>
  <c r="K11" i="235"/>
  <c r="I11" i="229"/>
  <c r="I11" i="235"/>
  <c r="I11" i="228"/>
  <c r="G11" i="229"/>
  <c r="G11" i="228"/>
  <c r="G11" i="235"/>
  <c r="E11" i="229"/>
  <c r="E11" i="235"/>
  <c r="E11" i="228"/>
  <c r="C11" i="229"/>
  <c r="C11" i="228"/>
  <c r="C11" i="235"/>
  <c r="L10" i="229"/>
  <c r="L10" i="235"/>
  <c r="L10" i="228"/>
  <c r="J10" i="229"/>
  <c r="J10" i="228"/>
  <c r="J10" i="235"/>
  <c r="H10" i="229"/>
  <c r="H10" i="235"/>
  <c r="H10" i="228"/>
  <c r="F10" i="229"/>
  <c r="F10" i="228"/>
  <c r="F10" i="235"/>
  <c r="D10" i="229"/>
  <c r="D10" i="235"/>
  <c r="D10" i="228"/>
  <c r="B10" i="229"/>
  <c r="B10" i="228"/>
  <c r="B10" i="230" s="1"/>
  <c r="B10" i="235"/>
  <c r="K9" i="229"/>
  <c r="K9" i="235"/>
  <c r="K9" i="228"/>
  <c r="I9" i="229"/>
  <c r="I9" i="228"/>
  <c r="I9" i="235"/>
  <c r="G9" i="229"/>
  <c r="G9" i="235"/>
  <c r="G9" i="228"/>
  <c r="E9" i="229"/>
  <c r="E9" i="228"/>
  <c r="E9" i="235"/>
  <c r="C9" i="229"/>
  <c r="C9" i="235"/>
  <c r="C9" i="228"/>
  <c r="L8" i="229"/>
  <c r="L8" i="228"/>
  <c r="L8" i="235"/>
  <c r="J8" i="229"/>
  <c r="J8" i="235"/>
  <c r="J8" i="228"/>
  <c r="H8" i="229"/>
  <c r="H8" i="228"/>
  <c r="H8" i="235"/>
  <c r="F8" i="229"/>
  <c r="F8" i="235"/>
  <c r="F8" i="228"/>
  <c r="D8" i="229"/>
  <c r="D8" i="228"/>
  <c r="D8" i="235"/>
  <c r="B8" i="229"/>
  <c r="B8" i="235"/>
  <c r="B8" i="228"/>
  <c r="B8" i="230" s="1"/>
  <c r="K7" i="229"/>
  <c r="K7" i="228"/>
  <c r="K7" i="235"/>
  <c r="I7" i="229"/>
  <c r="I7" i="235"/>
  <c r="I7" i="228"/>
  <c r="G7" i="229"/>
  <c r="G7" i="228"/>
  <c r="G7" i="235"/>
  <c r="E7" i="229"/>
  <c r="E7" i="235"/>
  <c r="E7" i="228"/>
  <c r="C7" i="229"/>
  <c r="C7" i="228"/>
  <c r="C7" i="235"/>
  <c r="L6" i="229"/>
  <c r="L6" i="235"/>
  <c r="L6" i="228"/>
  <c r="J6" i="229"/>
  <c r="J6" i="228"/>
  <c r="J6" i="235"/>
  <c r="H6" i="229"/>
  <c r="H6" i="235"/>
  <c r="H6" i="228"/>
  <c r="F6" i="229"/>
  <c r="F6" i="228"/>
  <c r="F6" i="235"/>
  <c r="D6" i="229"/>
  <c r="D6" i="235"/>
  <c r="D6" i="228"/>
  <c r="B6" i="229"/>
  <c r="B6" i="228"/>
  <c r="B6" i="230" s="1"/>
  <c r="B6" i="235"/>
  <c r="K5" i="229"/>
  <c r="K5" i="235"/>
  <c r="K5" i="228"/>
  <c r="I5" i="229"/>
  <c r="I5" i="228"/>
  <c r="I5" i="235"/>
  <c r="G5" i="229"/>
  <c r="G5" i="235"/>
  <c r="G5" i="228"/>
  <c r="E5" i="229"/>
  <c r="E5" i="228"/>
  <c r="E5" i="235"/>
  <c r="C5" i="229"/>
  <c r="C5" i="235"/>
  <c r="C5" i="228"/>
  <c r="K32" i="229"/>
  <c r="K32" i="228"/>
  <c r="K32" i="235"/>
  <c r="I32" i="228"/>
  <c r="I32" i="235"/>
  <c r="I32" i="229"/>
  <c r="G32"/>
  <c r="G32" i="228"/>
  <c r="G32" i="235"/>
  <c r="E32" i="228"/>
  <c r="E32" i="235"/>
  <c r="E32" i="229"/>
  <c r="C32"/>
  <c r="C32" i="228"/>
  <c r="C32" i="235"/>
  <c r="L31" i="228"/>
  <c r="L31" i="235"/>
  <c r="L31" i="229"/>
  <c r="J31"/>
  <c r="J31" i="228"/>
  <c r="J31" i="235"/>
  <c r="H31" i="228"/>
  <c r="H31" i="235"/>
  <c r="H31" i="229"/>
  <c r="F31"/>
  <c r="F31" i="228"/>
  <c r="F31" i="235"/>
  <c r="D31" i="228"/>
  <c r="D31" i="235"/>
  <c r="D31" i="229"/>
  <c r="B31" i="232"/>
  <c r="B31" i="233"/>
  <c r="K30" i="232"/>
  <c r="K30" i="233"/>
  <c r="I30" i="232"/>
  <c r="I30" i="233"/>
  <c r="G30" i="232"/>
  <c r="G30" i="233"/>
  <c r="E30" i="232"/>
  <c r="E30" i="233"/>
  <c r="C30" i="232"/>
  <c r="C30" i="233"/>
  <c r="L29" i="232"/>
  <c r="L29" i="233"/>
  <c r="J29" i="232"/>
  <c r="J29" i="233"/>
  <c r="H29" i="232"/>
  <c r="H29" i="233"/>
  <c r="F29" i="232"/>
  <c r="F29" i="233"/>
  <c r="D29" i="232"/>
  <c r="D29" i="233"/>
  <c r="B29" i="232"/>
  <c r="B29" i="233"/>
  <c r="M29" i="225"/>
  <c r="M36" s="1"/>
  <c r="B29" i="226"/>
  <c r="K28" i="232"/>
  <c r="K28" i="233"/>
  <c r="I28" i="232"/>
  <c r="I28" i="233"/>
  <c r="G28" i="232"/>
  <c r="G28" i="233"/>
  <c r="E28" i="232"/>
  <c r="E28" i="233"/>
  <c r="C28" i="232"/>
  <c r="C28" i="233"/>
  <c r="L27" i="232"/>
  <c r="L27" i="233"/>
  <c r="J27" i="232"/>
  <c r="J27" i="233"/>
  <c r="H27" i="232"/>
  <c r="H27" i="233"/>
  <c r="F27" i="232"/>
  <c r="F27" i="233"/>
  <c r="D27" i="232"/>
  <c r="D27" i="233"/>
  <c r="B27" i="232"/>
  <c r="B27" i="234" s="1"/>
  <c r="B27" i="233"/>
  <c r="M27" i="225"/>
  <c r="B27" i="226"/>
  <c r="K26" i="232"/>
  <c r="K26" i="233"/>
  <c r="I26" i="232"/>
  <c r="I26" i="233"/>
  <c r="G26" i="232"/>
  <c r="G26" i="233"/>
  <c r="E26" i="232"/>
  <c r="E26" i="233"/>
  <c r="C26" i="232"/>
  <c r="C26" i="233"/>
  <c r="L25" i="232"/>
  <c r="L25" i="233"/>
  <c r="J25" i="232"/>
  <c r="J25" i="233"/>
  <c r="H25" i="232"/>
  <c r="H25" i="233"/>
  <c r="F25" i="232"/>
  <c r="F25" i="233"/>
  <c r="D25" i="232"/>
  <c r="D25" i="233"/>
  <c r="B25" i="232"/>
  <c r="B25" i="234" s="1"/>
  <c r="B25" i="233"/>
  <c r="K24" i="232"/>
  <c r="K24" i="233"/>
  <c r="I24" i="232"/>
  <c r="I24" i="233"/>
  <c r="G24" i="232"/>
  <c r="G24" i="233"/>
  <c r="E24" i="232"/>
  <c r="E24" i="233"/>
  <c r="C24" i="232"/>
  <c r="C24" i="233"/>
  <c r="L23" i="232"/>
  <c r="L23" i="233"/>
  <c r="J23" i="232"/>
  <c r="J23" i="233"/>
  <c r="H23" i="232"/>
  <c r="H23" i="233"/>
  <c r="F23" i="232"/>
  <c r="F23" i="233"/>
  <c r="D23" i="232"/>
  <c r="D23" i="233"/>
  <c r="B23" i="232"/>
  <c r="B23" i="234" s="1"/>
  <c r="B23" i="233"/>
  <c r="K22" i="232"/>
  <c r="K22" i="233"/>
  <c r="I22" i="232"/>
  <c r="I22" i="233"/>
  <c r="G22" i="232"/>
  <c r="G22" i="233"/>
  <c r="E22" i="232"/>
  <c r="E22" i="233"/>
  <c r="C22" i="232"/>
  <c r="C22" i="233"/>
  <c r="L21" i="232"/>
  <c r="L21" i="233"/>
  <c r="J21" i="232"/>
  <c r="J21" i="233"/>
  <c r="H21" i="232"/>
  <c r="H21" i="233"/>
  <c r="F21" i="232"/>
  <c r="F21" i="233"/>
  <c r="D21" i="232"/>
  <c r="D21" i="233"/>
  <c r="B21" i="232"/>
  <c r="B21" i="234" s="1"/>
  <c r="B21" i="233"/>
  <c r="K20" i="232"/>
  <c r="K20" i="233"/>
  <c r="I20" i="232"/>
  <c r="I20" i="233"/>
  <c r="G20" i="232"/>
  <c r="G20" i="233"/>
  <c r="E20" i="232"/>
  <c r="E20" i="233"/>
  <c r="C20" i="232"/>
  <c r="C20" i="233"/>
  <c r="L19" i="232"/>
  <c r="L19" i="233"/>
  <c r="J19" i="232"/>
  <c r="J19" i="233"/>
  <c r="H19" i="232"/>
  <c r="H19" i="233"/>
  <c r="F19" i="232"/>
  <c r="F19" i="233"/>
  <c r="D19" i="232"/>
  <c r="D19" i="233"/>
  <c r="B19" i="232"/>
  <c r="B19" i="234" s="1"/>
  <c r="B19" i="233"/>
  <c r="K18" i="232"/>
  <c r="K18" i="233"/>
  <c r="I18" i="232"/>
  <c r="I18" i="233"/>
  <c r="G18" i="232"/>
  <c r="G18" i="233"/>
  <c r="E18" i="232"/>
  <c r="E18" i="233"/>
  <c r="C18" i="232"/>
  <c r="C18" i="233"/>
  <c r="L17" i="232"/>
  <c r="L17" i="233"/>
  <c r="J17" i="232"/>
  <c r="J17" i="233"/>
  <c r="H17" i="232"/>
  <c r="H17" i="233"/>
  <c r="F17" i="232"/>
  <c r="F17" i="233"/>
  <c r="D17" i="232"/>
  <c r="D17" i="233"/>
  <c r="B17" i="232"/>
  <c r="B17" i="234" s="1"/>
  <c r="B17" i="233"/>
  <c r="K16" i="232"/>
  <c r="K16" i="233"/>
  <c r="I16" i="232"/>
  <c r="I16" i="233"/>
  <c r="G16" i="232"/>
  <c r="G16" i="233"/>
  <c r="E16" i="232"/>
  <c r="E16" i="233"/>
  <c r="C16" i="232"/>
  <c r="C16" i="233"/>
  <c r="L15" i="232"/>
  <c r="L15" i="233"/>
  <c r="J15" i="232"/>
  <c r="J15" i="233"/>
  <c r="H15" i="232"/>
  <c r="H15" i="233"/>
  <c r="F15" i="232"/>
  <c r="F15" i="233"/>
  <c r="D15" i="232"/>
  <c r="D15" i="233"/>
  <c r="B15" i="232"/>
  <c r="B15" i="234" s="1"/>
  <c r="B15" i="233"/>
  <c r="K14" i="232"/>
  <c r="K14" i="233"/>
  <c r="I14" i="232"/>
  <c r="I14" i="233"/>
  <c r="G14" i="232"/>
  <c r="G14" i="233"/>
  <c r="E14" i="232"/>
  <c r="E14" i="233"/>
  <c r="C14" i="232"/>
  <c r="C14" i="233"/>
  <c r="L13" i="232"/>
  <c r="L13" i="233"/>
  <c r="J13" i="232"/>
  <c r="J13" i="233"/>
  <c r="H13" i="232"/>
  <c r="H13" i="233"/>
  <c r="F13" i="232"/>
  <c r="F13" i="233"/>
  <c r="D13" i="232"/>
  <c r="D13" i="233"/>
  <c r="B13" i="232"/>
  <c r="B13" i="233"/>
  <c r="K12" i="232"/>
  <c r="K12" i="233"/>
  <c r="I12" i="232"/>
  <c r="I12" i="233"/>
  <c r="G12" i="232"/>
  <c r="G12" i="233"/>
  <c r="E12" i="232"/>
  <c r="E12" i="233"/>
  <c r="C12" i="232"/>
  <c r="C12" i="233"/>
  <c r="L11" i="232"/>
  <c r="L11" i="233"/>
  <c r="J11" i="232"/>
  <c r="J11" i="233"/>
  <c r="H11" i="232"/>
  <c r="H11" i="233"/>
  <c r="F11" i="232"/>
  <c r="F11" i="233"/>
  <c r="D11" i="232"/>
  <c r="D11" i="233"/>
  <c r="B11" i="232"/>
  <c r="B11" i="234" s="1"/>
  <c r="B11" i="233"/>
  <c r="K10" i="232"/>
  <c r="K10" i="233"/>
  <c r="I10" i="232"/>
  <c r="I10" i="233"/>
  <c r="G10" i="232"/>
  <c r="G10" i="233"/>
  <c r="E10" i="232"/>
  <c r="E10" i="233"/>
  <c r="C10" i="232"/>
  <c r="C10" i="233"/>
  <c r="L9" i="232"/>
  <c r="L9" i="233"/>
  <c r="J9" i="232"/>
  <c r="J9" i="233"/>
  <c r="H9" i="232"/>
  <c r="H9" i="233"/>
  <c r="F9" i="232"/>
  <c r="F9" i="233"/>
  <c r="D9" i="232"/>
  <c r="D9" i="233"/>
  <c r="B9" i="232"/>
  <c r="B9" i="234" s="1"/>
  <c r="B9" i="233"/>
  <c r="K8" i="232"/>
  <c r="K8" i="233"/>
  <c r="I8" i="232"/>
  <c r="I8" i="233"/>
  <c r="G8" i="232"/>
  <c r="G8" i="233"/>
  <c r="E8" i="232"/>
  <c r="E8" i="233"/>
  <c r="C8" i="232"/>
  <c r="C8" i="233"/>
  <c r="L7" i="232"/>
  <c r="L7" i="233"/>
  <c r="J7" i="232"/>
  <c r="J7" i="233"/>
  <c r="H7" i="232"/>
  <c r="H7" i="233"/>
  <c r="F7" i="232"/>
  <c r="F7" i="233"/>
  <c r="D7" i="232"/>
  <c r="D7" i="233"/>
  <c r="B7" i="232"/>
  <c r="B7" i="234" s="1"/>
  <c r="B7" i="233"/>
  <c r="K6" i="232"/>
  <c r="K6" i="233"/>
  <c r="I6" i="232"/>
  <c r="I6" i="233"/>
  <c r="G6" i="232"/>
  <c r="G6" i="233"/>
  <c r="E6" i="232"/>
  <c r="E6" i="233"/>
  <c r="C6" i="232"/>
  <c r="C6" i="233"/>
  <c r="L5" i="232"/>
  <c r="L5" i="233"/>
  <c r="J5" i="232"/>
  <c r="J5" i="233"/>
  <c r="H5" i="232"/>
  <c r="H5" i="233"/>
  <c r="F5" i="232"/>
  <c r="F5" i="233"/>
  <c r="D5" i="232"/>
  <c r="D5" i="233"/>
  <c r="B5" i="232"/>
  <c r="B5" i="233"/>
  <c r="K32" i="470"/>
  <c r="I32"/>
  <c r="G32"/>
  <c r="E32"/>
  <c r="C32"/>
  <c r="K30" i="226"/>
  <c r="I30"/>
  <c r="G30"/>
  <c r="E30"/>
  <c r="C30"/>
  <c r="K28"/>
  <c r="K76" s="1"/>
  <c r="K105" s="1"/>
  <c r="I28"/>
  <c r="I76" s="1"/>
  <c r="I105" s="1"/>
  <c r="G28"/>
  <c r="G76" s="1"/>
  <c r="G105" s="1"/>
  <c r="E28"/>
  <c r="E76" s="1"/>
  <c r="E105" s="1"/>
  <c r="C28"/>
  <c r="K26"/>
  <c r="K74" s="1"/>
  <c r="K103" s="1"/>
  <c r="I26"/>
  <c r="I74" s="1"/>
  <c r="I103" s="1"/>
  <c r="G26"/>
  <c r="G74" s="1"/>
  <c r="G103" s="1"/>
  <c r="E26"/>
  <c r="E74" s="1"/>
  <c r="E103" s="1"/>
  <c r="C26"/>
  <c r="K24"/>
  <c r="I24"/>
  <c r="G24"/>
  <c r="E24"/>
  <c r="C24"/>
  <c r="K22"/>
  <c r="K70" s="1"/>
  <c r="K99" s="1"/>
  <c r="I22"/>
  <c r="I70" s="1"/>
  <c r="I99" s="1"/>
  <c r="G22"/>
  <c r="G70" s="1"/>
  <c r="G99" s="1"/>
  <c r="E22"/>
  <c r="E70" s="1"/>
  <c r="E99" s="1"/>
  <c r="C22"/>
  <c r="K20"/>
  <c r="K68" s="1"/>
  <c r="K97" s="1"/>
  <c r="I20"/>
  <c r="I68" s="1"/>
  <c r="I97" s="1"/>
  <c r="G20"/>
  <c r="G68" s="1"/>
  <c r="G97" s="1"/>
  <c r="E20"/>
  <c r="E68" s="1"/>
  <c r="E97" s="1"/>
  <c r="C20"/>
  <c r="K18"/>
  <c r="K66" s="1"/>
  <c r="K95" s="1"/>
  <c r="I18"/>
  <c r="I66" s="1"/>
  <c r="I95" s="1"/>
  <c r="G18"/>
  <c r="G66" s="1"/>
  <c r="G95" s="1"/>
  <c r="E18"/>
  <c r="E66" s="1"/>
  <c r="E95" s="1"/>
  <c r="C18"/>
  <c r="K16"/>
  <c r="K64" s="1"/>
  <c r="K93" s="1"/>
  <c r="I16"/>
  <c r="I64" s="1"/>
  <c r="I93" s="1"/>
  <c r="G16"/>
  <c r="G64" s="1"/>
  <c r="G93" s="1"/>
  <c r="E16"/>
  <c r="E64" s="1"/>
  <c r="E93" s="1"/>
  <c r="C16"/>
  <c r="K14"/>
  <c r="K62" s="1"/>
  <c r="K91" s="1"/>
  <c r="I14"/>
  <c r="I62" s="1"/>
  <c r="I91" s="1"/>
  <c r="G14"/>
  <c r="G62" s="1"/>
  <c r="G91" s="1"/>
  <c r="E14"/>
  <c r="E62" s="1"/>
  <c r="E91" s="1"/>
  <c r="C14"/>
  <c r="K12"/>
  <c r="K60" s="1"/>
  <c r="K89" s="1"/>
  <c r="I12"/>
  <c r="I60" s="1"/>
  <c r="I89" s="1"/>
  <c r="G12"/>
  <c r="G60" s="1"/>
  <c r="G89" s="1"/>
  <c r="E12"/>
  <c r="E60" s="1"/>
  <c r="E89" s="1"/>
  <c r="C12"/>
  <c r="K10"/>
  <c r="K58" s="1"/>
  <c r="K87" s="1"/>
  <c r="I10"/>
  <c r="I58" s="1"/>
  <c r="I87" s="1"/>
  <c r="G10"/>
  <c r="G58" s="1"/>
  <c r="G87" s="1"/>
  <c r="E10"/>
  <c r="E58" s="1"/>
  <c r="E87" s="1"/>
  <c r="C10"/>
  <c r="K8"/>
  <c r="K56" s="1"/>
  <c r="K85" s="1"/>
  <c r="I8"/>
  <c r="I56" s="1"/>
  <c r="I85" s="1"/>
  <c r="G8"/>
  <c r="G56" s="1"/>
  <c r="G85" s="1"/>
  <c r="E8"/>
  <c r="E56" s="1"/>
  <c r="E85" s="1"/>
  <c r="C8"/>
  <c r="K6"/>
  <c r="K54" s="1"/>
  <c r="K83" s="1"/>
  <c r="I6"/>
  <c r="I54" s="1"/>
  <c r="I83" s="1"/>
  <c r="G6"/>
  <c r="G54" s="1"/>
  <c r="G83" s="1"/>
  <c r="E6"/>
  <c r="E54" s="1"/>
  <c r="E83" s="1"/>
  <c r="C6"/>
  <c r="C23" i="232"/>
  <c r="C23" i="233"/>
  <c r="L22" i="232"/>
  <c r="L22" i="233"/>
  <c r="J22" i="232"/>
  <c r="J22" i="233"/>
  <c r="H22" i="232"/>
  <c r="H22" i="233"/>
  <c r="F22" i="232"/>
  <c r="F22" i="233"/>
  <c r="D22" i="232"/>
  <c r="D22" i="233"/>
  <c r="B22" i="232"/>
  <c r="B22" i="234" s="1"/>
  <c r="B22" i="233"/>
  <c r="K21" i="232"/>
  <c r="K21" i="233"/>
  <c r="K71" s="1"/>
  <c r="K98" s="1"/>
  <c r="I21" i="232"/>
  <c r="I21" i="233"/>
  <c r="I71" s="1"/>
  <c r="I98" s="1"/>
  <c r="G21" i="232"/>
  <c r="G21" i="233"/>
  <c r="G71" s="1"/>
  <c r="G98" s="1"/>
  <c r="E21" i="232"/>
  <c r="E21" i="233"/>
  <c r="E71" s="1"/>
  <c r="E98" s="1"/>
  <c r="C21" i="232"/>
  <c r="C21" i="233"/>
  <c r="L20" i="232"/>
  <c r="L20" i="233"/>
  <c r="J20" i="232"/>
  <c r="J20" i="233"/>
  <c r="H20" i="232"/>
  <c r="H20" i="233"/>
  <c r="F20" i="232"/>
  <c r="F20" i="233"/>
  <c r="D20" i="232"/>
  <c r="D20" i="233"/>
  <c r="B20" i="232"/>
  <c r="B20" i="234" s="1"/>
  <c r="B20" i="233"/>
  <c r="K19" i="232"/>
  <c r="K19" i="233"/>
  <c r="K69" s="1"/>
  <c r="K96" s="1"/>
  <c r="I19" i="232"/>
  <c r="I19" i="233"/>
  <c r="I69" s="1"/>
  <c r="I96" s="1"/>
  <c r="G19" i="232"/>
  <c r="G19" i="233"/>
  <c r="G69" s="1"/>
  <c r="G96" s="1"/>
  <c r="E19" i="232"/>
  <c r="E19" i="233"/>
  <c r="E69" s="1"/>
  <c r="E96" s="1"/>
  <c r="C19" i="232"/>
  <c r="C19" i="233"/>
  <c r="L18" i="232"/>
  <c r="L18" i="233"/>
  <c r="J18" i="232"/>
  <c r="J18" i="233"/>
  <c r="H18" i="232"/>
  <c r="H18" i="233"/>
  <c r="F18" i="232"/>
  <c r="F18" i="233"/>
  <c r="D18" i="232"/>
  <c r="D18" i="233"/>
  <c r="B18" i="232"/>
  <c r="B18" i="234" s="1"/>
  <c r="B18" i="233"/>
  <c r="K17" i="232"/>
  <c r="K17" i="233"/>
  <c r="K67" s="1"/>
  <c r="K94" s="1"/>
  <c r="I17" i="232"/>
  <c r="I17" i="233"/>
  <c r="I67" s="1"/>
  <c r="I94" s="1"/>
  <c r="G17" i="232"/>
  <c r="G17" i="233"/>
  <c r="G67" s="1"/>
  <c r="G94" s="1"/>
  <c r="E17" i="232"/>
  <c r="E17" i="233"/>
  <c r="E67" s="1"/>
  <c r="E94" s="1"/>
  <c r="C17" i="232"/>
  <c r="C17" i="233"/>
  <c r="L16" i="232"/>
  <c r="L16" i="233"/>
  <c r="J16" i="232"/>
  <c r="J16" i="233"/>
  <c r="H16" i="232"/>
  <c r="H16" i="233"/>
  <c r="F16" i="232"/>
  <c r="F16" i="233"/>
  <c r="D16" i="232"/>
  <c r="D16" i="233"/>
  <c r="B16" i="232"/>
  <c r="B16" i="234" s="1"/>
  <c r="B16" i="233"/>
  <c r="K15" i="232"/>
  <c r="K15" i="233"/>
  <c r="K65" s="1"/>
  <c r="K92" s="1"/>
  <c r="I15" i="232"/>
  <c r="I15" i="233"/>
  <c r="I65" s="1"/>
  <c r="I92" s="1"/>
  <c r="G15" i="232"/>
  <c r="G15" i="233"/>
  <c r="G65" s="1"/>
  <c r="G92" s="1"/>
  <c r="E15" i="232"/>
  <c r="E15" i="233"/>
  <c r="E65" s="1"/>
  <c r="E92" s="1"/>
  <c r="C15" i="232"/>
  <c r="C15" i="233"/>
  <c r="L14" i="232"/>
  <c r="L14" i="233"/>
  <c r="J14" i="232"/>
  <c r="J14" i="233"/>
  <c r="H14" i="232"/>
  <c r="H14" i="233"/>
  <c r="F14" i="232"/>
  <c r="F14" i="233"/>
  <c r="D14" i="232"/>
  <c r="D14" i="233"/>
  <c r="B14" i="232"/>
  <c r="B14" i="234" s="1"/>
  <c r="B14" i="233"/>
  <c r="K13" i="232"/>
  <c r="K13" i="233"/>
  <c r="I13" i="232"/>
  <c r="I13" i="233"/>
  <c r="G13" i="232"/>
  <c r="G13" i="233"/>
  <c r="E13" i="232"/>
  <c r="E13" i="233"/>
  <c r="C13" i="232"/>
  <c r="C13" i="233"/>
  <c r="L12" i="232"/>
  <c r="L12" i="233"/>
  <c r="J12" i="232"/>
  <c r="J12" i="233"/>
  <c r="H12" i="232"/>
  <c r="H12" i="233"/>
  <c r="F12" i="232"/>
  <c r="F12" i="233"/>
  <c r="D12" i="232"/>
  <c r="D12" i="233"/>
  <c r="B12" i="232"/>
  <c r="B12" i="234" s="1"/>
  <c r="B12" i="233"/>
  <c r="K11" i="232"/>
  <c r="K11" i="233"/>
  <c r="K61" s="1"/>
  <c r="K88" s="1"/>
  <c r="I11" i="232"/>
  <c r="I11" i="233"/>
  <c r="I61" s="1"/>
  <c r="I88" s="1"/>
  <c r="G11" i="232"/>
  <c r="G11" i="233"/>
  <c r="G61" s="1"/>
  <c r="G88" s="1"/>
  <c r="E11" i="232"/>
  <c r="E11" i="233"/>
  <c r="E61" s="1"/>
  <c r="E88" s="1"/>
  <c r="C11" i="232"/>
  <c r="C11" i="233"/>
  <c r="L10" i="232"/>
  <c r="L10" i="233"/>
  <c r="J10" i="232"/>
  <c r="J10" i="233"/>
  <c r="H10" i="232"/>
  <c r="H10" i="233"/>
  <c r="F10" i="232"/>
  <c r="F10" i="233"/>
  <c r="D10" i="232"/>
  <c r="D10" i="233"/>
  <c r="B10" i="232"/>
  <c r="B10" i="234" s="1"/>
  <c r="B10" i="233"/>
  <c r="K9" i="232"/>
  <c r="K9" i="233"/>
  <c r="K59" s="1"/>
  <c r="K86" s="1"/>
  <c r="I9" i="232"/>
  <c r="I9" i="233"/>
  <c r="I59" s="1"/>
  <c r="I86" s="1"/>
  <c r="G9" i="232"/>
  <c r="G9" i="233"/>
  <c r="G59" s="1"/>
  <c r="G86" s="1"/>
  <c r="E9" i="232"/>
  <c r="E9" i="233"/>
  <c r="E59" s="1"/>
  <c r="E86" s="1"/>
  <c r="C9" i="232"/>
  <c r="C9" i="233"/>
  <c r="L8" i="232"/>
  <c r="L8" i="233"/>
  <c r="J8" i="232"/>
  <c r="J8" i="233"/>
  <c r="H8" i="232"/>
  <c r="H8" i="233"/>
  <c r="F8" i="232"/>
  <c r="F8" i="233"/>
  <c r="D8" i="232"/>
  <c r="D8" i="233"/>
  <c r="B8" i="232"/>
  <c r="B8" i="234" s="1"/>
  <c r="B8" i="233"/>
  <c r="K7" i="232"/>
  <c r="K7" i="233"/>
  <c r="K57" s="1"/>
  <c r="K84" s="1"/>
  <c r="I7" i="232"/>
  <c r="I7" i="233"/>
  <c r="I57" s="1"/>
  <c r="I84" s="1"/>
  <c r="G7" i="232"/>
  <c r="G7" i="233"/>
  <c r="G57" s="1"/>
  <c r="G84" s="1"/>
  <c r="E7" i="232"/>
  <c r="E7" i="233"/>
  <c r="E57" s="1"/>
  <c r="E84" s="1"/>
  <c r="C7" i="232"/>
  <c r="C7" i="233"/>
  <c r="L6" i="232"/>
  <c r="L6" i="233"/>
  <c r="J6" i="232"/>
  <c r="J6" i="233"/>
  <c r="H6" i="232"/>
  <c r="H6" i="233"/>
  <c r="F6" i="232"/>
  <c r="F6" i="233"/>
  <c r="D6" i="232"/>
  <c r="D6" i="233"/>
  <c r="B6" i="232"/>
  <c r="B6" i="234" s="1"/>
  <c r="B6" i="233"/>
  <c r="K5" i="232"/>
  <c r="K5" i="233"/>
  <c r="K55" s="1"/>
  <c r="K82" s="1"/>
  <c r="I5" i="232"/>
  <c r="I5" i="233"/>
  <c r="I55" s="1"/>
  <c r="I82" s="1"/>
  <c r="G5" i="232"/>
  <c r="G5" i="233"/>
  <c r="G55" s="1"/>
  <c r="G82" s="1"/>
  <c r="E5" i="232"/>
  <c r="E5" i="233"/>
  <c r="E55" s="1"/>
  <c r="E82" s="1"/>
  <c r="C5" i="232"/>
  <c r="C5" i="233"/>
  <c r="K32" i="232"/>
  <c r="K32" i="233"/>
  <c r="I32" i="232"/>
  <c r="I32" i="233"/>
  <c r="G32" i="232"/>
  <c r="G32" i="233"/>
  <c r="E32" i="232"/>
  <c r="E32" i="233"/>
  <c r="C32" i="232"/>
  <c r="C32" i="233"/>
  <c r="L31" i="232"/>
  <c r="L31" i="233"/>
  <c r="J31" i="232"/>
  <c r="J31" i="233"/>
  <c r="H31" i="232"/>
  <c r="H31" i="233"/>
  <c r="F31" i="232"/>
  <c r="F31" i="233"/>
  <c r="D31" i="232"/>
  <c r="D31" i="233"/>
  <c r="B31" i="229"/>
  <c r="B31" i="228"/>
  <c r="B31" i="235"/>
  <c r="K30" i="228"/>
  <c r="K30" i="235"/>
  <c r="K30" i="229"/>
  <c r="I30"/>
  <c r="I30" i="228"/>
  <c r="I30" i="235"/>
  <c r="G30" i="228"/>
  <c r="G30" i="235"/>
  <c r="G30" i="229"/>
  <c r="E30"/>
  <c r="E30" i="228"/>
  <c r="E30" i="235"/>
  <c r="C30" i="228"/>
  <c r="C30" i="235"/>
  <c r="C30" i="229"/>
  <c r="L29"/>
  <c r="L29" i="228"/>
  <c r="L29" i="235"/>
  <c r="J29" i="228"/>
  <c r="J29" i="235"/>
  <c r="J29" i="229"/>
  <c r="H29"/>
  <c r="H29" i="228"/>
  <c r="H29" i="235"/>
  <c r="F29" i="228"/>
  <c r="F29" i="235"/>
  <c r="F29" i="229"/>
  <c r="D29"/>
  <c r="D29" i="228"/>
  <c r="D29" i="235"/>
  <c r="B29" i="228"/>
  <c r="B29" i="235"/>
  <c r="B29" i="229"/>
  <c r="M29" i="469"/>
  <c r="M45" s="1"/>
  <c r="B29" i="470"/>
  <c r="K28" i="229"/>
  <c r="K78" s="1"/>
  <c r="K105" s="1"/>
  <c r="K28" i="228"/>
  <c r="K28" i="235"/>
  <c r="I28" i="228"/>
  <c r="I28" i="235"/>
  <c r="I28" i="229"/>
  <c r="G28"/>
  <c r="G78" s="1"/>
  <c r="G105" s="1"/>
  <c r="G28" i="228"/>
  <c r="G28" i="235"/>
  <c r="E28" i="228"/>
  <c r="E28" i="235"/>
  <c r="E28" i="229"/>
  <c r="C28"/>
  <c r="C28" i="228"/>
  <c r="C28" i="235"/>
  <c r="L27" i="228"/>
  <c r="L27" i="235"/>
  <c r="L27" i="229"/>
  <c r="J27"/>
  <c r="J27" i="228"/>
  <c r="J27" i="235"/>
  <c r="H27" i="228"/>
  <c r="H27" i="235"/>
  <c r="H27" i="229"/>
  <c r="F27"/>
  <c r="F27" i="228"/>
  <c r="F27" i="235"/>
  <c r="D27" i="228"/>
  <c r="D27" i="235"/>
  <c r="D27" i="229"/>
  <c r="B27"/>
  <c r="B27" i="228"/>
  <c r="B27" i="230" s="1"/>
  <c r="B27" i="235"/>
  <c r="M27" i="469"/>
  <c r="B27" i="470"/>
  <c r="K26" i="228"/>
  <c r="K26" i="235"/>
  <c r="K26" i="229"/>
  <c r="K76" s="1"/>
  <c r="K103" s="1"/>
  <c r="I26"/>
  <c r="I76" s="1"/>
  <c r="I103" s="1"/>
  <c r="I26" i="228"/>
  <c r="I26" i="235"/>
  <c r="G26" i="228"/>
  <c r="G26" i="235"/>
  <c r="G26" i="229"/>
  <c r="G76" s="1"/>
  <c r="G103" s="1"/>
  <c r="E26"/>
  <c r="E76" s="1"/>
  <c r="E103" s="1"/>
  <c r="E26" i="228"/>
  <c r="E26" i="235"/>
  <c r="C26" i="228"/>
  <c r="C26" i="235"/>
  <c r="C26" i="229"/>
  <c r="L25"/>
  <c r="L25" i="228"/>
  <c r="L25" i="235"/>
  <c r="J25" i="228"/>
  <c r="J25" i="235"/>
  <c r="J25" i="229"/>
  <c r="H25"/>
  <c r="H25" i="228"/>
  <c r="H25" i="235"/>
  <c r="F25" i="228"/>
  <c r="F25" i="235"/>
  <c r="F25" i="229"/>
  <c r="D25"/>
  <c r="D25" i="228"/>
  <c r="D25" i="235"/>
  <c r="B25" i="228"/>
  <c r="B25" i="230" s="1"/>
  <c r="B25" i="235"/>
  <c r="B25" i="229"/>
  <c r="K24"/>
  <c r="K24" i="228"/>
  <c r="K24" i="235"/>
  <c r="K35" s="1"/>
  <c r="I24" i="228"/>
  <c r="I24" i="235"/>
  <c r="I35" s="1"/>
  <c r="I24" i="229"/>
  <c r="G24"/>
  <c r="G24" i="228"/>
  <c r="G24" i="235"/>
  <c r="G35" s="1"/>
  <c r="E24" i="228"/>
  <c r="E24" i="235"/>
  <c r="E35" s="1"/>
  <c r="E24" i="229"/>
  <c r="C24"/>
  <c r="C24" i="228"/>
  <c r="C24" i="235"/>
  <c r="C35" s="1"/>
  <c r="L23" i="229"/>
  <c r="L23" i="235"/>
  <c r="L23" i="228"/>
  <c r="J23" i="229"/>
  <c r="J23" i="228"/>
  <c r="J23" i="235"/>
  <c r="H23" i="229"/>
  <c r="H23" i="235"/>
  <c r="H23" i="228"/>
  <c r="F23" i="229"/>
  <c r="F23" i="228"/>
  <c r="F23" i="235"/>
  <c r="D23" i="229"/>
  <c r="D23" i="235"/>
  <c r="D23" i="228"/>
  <c r="B23" i="229"/>
  <c r="B23" i="228"/>
  <c r="B23" i="230" s="1"/>
  <c r="B23" i="235"/>
  <c r="K22" i="229"/>
  <c r="K72" s="1"/>
  <c r="K99" s="1"/>
  <c r="K22" i="235"/>
  <c r="K22" i="228"/>
  <c r="I22" i="229"/>
  <c r="I72" s="1"/>
  <c r="I99" s="1"/>
  <c r="I22" i="228"/>
  <c r="I22" i="235"/>
  <c r="G22" i="229"/>
  <c r="G72" s="1"/>
  <c r="G99" s="1"/>
  <c r="G22" i="235"/>
  <c r="G22" i="228"/>
  <c r="E22" i="229"/>
  <c r="E72" s="1"/>
  <c r="E99" s="1"/>
  <c r="E22" i="228"/>
  <c r="E22" i="235"/>
  <c r="C22" i="229"/>
  <c r="C22" i="235"/>
  <c r="C22" i="228"/>
  <c r="L21" i="229"/>
  <c r="L21" i="228"/>
  <c r="L21" i="235"/>
  <c r="J21" i="229"/>
  <c r="J21" i="235"/>
  <c r="J21" i="228"/>
  <c r="H21" i="229"/>
  <c r="H21" i="228"/>
  <c r="H21" i="235"/>
  <c r="F21" i="229"/>
  <c r="F21" i="235"/>
  <c r="F21" i="228"/>
  <c r="D21" i="229"/>
  <c r="D21" i="228"/>
  <c r="D21" i="235"/>
  <c r="B21" i="229"/>
  <c r="B21" i="235"/>
  <c r="B21" i="228"/>
  <c r="B21" i="230" s="1"/>
  <c r="K20" i="229"/>
  <c r="K70" s="1"/>
  <c r="K97" s="1"/>
  <c r="K20" i="228"/>
  <c r="K20" i="235"/>
  <c r="I20" i="229"/>
  <c r="I70" s="1"/>
  <c r="I97" s="1"/>
  <c r="I20" i="235"/>
  <c r="I20" i="228"/>
  <c r="G20" i="229"/>
  <c r="G70" s="1"/>
  <c r="G97" s="1"/>
  <c r="G20" i="228"/>
  <c r="G20" i="235"/>
  <c r="E20" i="229"/>
  <c r="E70" s="1"/>
  <c r="E97" s="1"/>
  <c r="E20" i="235"/>
  <c r="E20" i="228"/>
  <c r="C20" i="229"/>
  <c r="C20" i="228"/>
  <c r="C20" i="235"/>
  <c r="L19" i="229"/>
  <c r="L19" i="235"/>
  <c r="L19" i="228"/>
  <c r="J19" i="229"/>
  <c r="J19" i="228"/>
  <c r="J19" i="235"/>
  <c r="H19" i="229"/>
  <c r="H19" i="235"/>
  <c r="H19" i="228"/>
  <c r="F19" i="229"/>
  <c r="F19" i="228"/>
  <c r="F19" i="235"/>
  <c r="D19" i="229"/>
  <c r="D19" i="235"/>
  <c r="D19" i="228"/>
  <c r="B19" i="229"/>
  <c r="B19" i="228"/>
  <c r="B19" i="230" s="1"/>
  <c r="B19" i="235"/>
  <c r="K18" i="229"/>
  <c r="K18" i="235"/>
  <c r="K18" i="228"/>
  <c r="I18" i="229"/>
  <c r="I68" s="1"/>
  <c r="I95" s="1"/>
  <c r="I18" i="228"/>
  <c r="I18" i="235"/>
  <c r="G18" i="229"/>
  <c r="G18" i="235"/>
  <c r="G18" i="228"/>
  <c r="E18" i="229"/>
  <c r="E68" s="1"/>
  <c r="E95" s="1"/>
  <c r="E18" i="228"/>
  <c r="E18" i="235"/>
  <c r="C18" i="229"/>
  <c r="C18" i="235"/>
  <c r="C18" i="228"/>
  <c r="L17" i="229"/>
  <c r="L17" i="228"/>
  <c r="L17" i="235"/>
  <c r="J17" i="229"/>
  <c r="J17" i="235"/>
  <c r="J17" i="228"/>
  <c r="H17" i="229"/>
  <c r="H17" i="228"/>
  <c r="H17" i="235"/>
  <c r="F17" i="229"/>
  <c r="F17" i="235"/>
  <c r="F17" i="228"/>
  <c r="D17" i="229"/>
  <c r="D17" i="228"/>
  <c r="D17" i="235"/>
  <c r="B17" i="229"/>
  <c r="B17" i="235"/>
  <c r="B17" i="228"/>
  <c r="B17" i="230" s="1"/>
  <c r="K16" i="229"/>
  <c r="K66" s="1"/>
  <c r="K93" s="1"/>
  <c r="K16" i="228"/>
  <c r="K16" i="235"/>
  <c r="I16" i="229"/>
  <c r="I66" s="1"/>
  <c r="I93" s="1"/>
  <c r="I16" i="235"/>
  <c r="I16" i="228"/>
  <c r="G16" i="229"/>
  <c r="G66" s="1"/>
  <c r="G93" s="1"/>
  <c r="G16" i="228"/>
  <c r="G16" i="235"/>
  <c r="E16" i="229"/>
  <c r="E66" s="1"/>
  <c r="E93" s="1"/>
  <c r="E16" i="235"/>
  <c r="E16" i="228"/>
  <c r="C16" i="229"/>
  <c r="C16" i="228"/>
  <c r="C16" i="235"/>
  <c r="L15" i="229"/>
  <c r="L15" i="235"/>
  <c r="L15" i="228"/>
  <c r="J15" i="229"/>
  <c r="J15" i="228"/>
  <c r="J15" i="235"/>
  <c r="H15" i="229"/>
  <c r="H15" i="235"/>
  <c r="H15" i="228"/>
  <c r="F15" i="229"/>
  <c r="F15" i="228"/>
  <c r="F15" i="235"/>
  <c r="D15" i="229"/>
  <c r="D15" i="235"/>
  <c r="D15" i="228"/>
  <c r="B15" i="229"/>
  <c r="B15" i="228"/>
  <c r="B15" i="230" s="1"/>
  <c r="B15" i="235"/>
  <c r="K14" i="229"/>
  <c r="K14" i="235"/>
  <c r="K14" i="228"/>
  <c r="I14" i="229"/>
  <c r="I64" s="1"/>
  <c r="I91" s="1"/>
  <c r="I14" i="228"/>
  <c r="I14" i="235"/>
  <c r="G14" i="229"/>
  <c r="G14" i="235"/>
  <c r="G14" i="228"/>
  <c r="E14" i="229"/>
  <c r="E64" s="1"/>
  <c r="E91" s="1"/>
  <c r="E14" i="228"/>
  <c r="E14" i="235"/>
  <c r="C14" i="229"/>
  <c r="C14" i="235"/>
  <c r="C14" i="228"/>
  <c r="L13" i="229"/>
  <c r="L13" i="228"/>
  <c r="L13" i="235"/>
  <c r="J13" i="229"/>
  <c r="J13" i="235"/>
  <c r="J13" i="228"/>
  <c r="H13" i="229"/>
  <c r="H13" i="228"/>
  <c r="H13" i="235"/>
  <c r="F13" i="229"/>
  <c r="F13" i="235"/>
  <c r="F13" i="228"/>
  <c r="D13" i="229"/>
  <c r="D13" i="228"/>
  <c r="D13" i="235"/>
  <c r="B13" i="229"/>
  <c r="B13" i="235"/>
  <c r="B13" i="228"/>
  <c r="K12" i="229"/>
  <c r="K62" s="1"/>
  <c r="K89" s="1"/>
  <c r="K12" i="228"/>
  <c r="K12" i="235"/>
  <c r="I12" i="229"/>
  <c r="I62" s="1"/>
  <c r="I89" s="1"/>
  <c r="I12" i="235"/>
  <c r="I12" i="228"/>
  <c r="G12" i="229"/>
  <c r="G62" s="1"/>
  <c r="G89" s="1"/>
  <c r="G12" i="228"/>
  <c r="G12" i="235"/>
  <c r="E12" i="229"/>
  <c r="E62" s="1"/>
  <c r="E89" s="1"/>
  <c r="E12" i="235"/>
  <c r="E12" i="228"/>
  <c r="C12" i="229"/>
  <c r="C12" i="228"/>
  <c r="C12" i="235"/>
  <c r="L11" i="229"/>
  <c r="L11" i="235"/>
  <c r="L11" i="228"/>
  <c r="J11" i="229"/>
  <c r="J11" i="228"/>
  <c r="J11" i="235"/>
  <c r="H11" i="229"/>
  <c r="H11" i="235"/>
  <c r="H11" i="228"/>
  <c r="F11" i="229"/>
  <c r="F11" i="228"/>
  <c r="F11" i="235"/>
  <c r="D11" i="229"/>
  <c r="D11" i="235"/>
  <c r="D11" i="228"/>
  <c r="B11" i="229"/>
  <c r="B11" i="228"/>
  <c r="B11" i="230" s="1"/>
  <c r="B11" i="235"/>
  <c r="K10" i="229"/>
  <c r="K10" i="235"/>
  <c r="K10" i="228"/>
  <c r="I10" i="229"/>
  <c r="I60" s="1"/>
  <c r="I87" s="1"/>
  <c r="I10" i="228"/>
  <c r="I10" i="235"/>
  <c r="G10" i="229"/>
  <c r="G10" i="235"/>
  <c r="G10" i="228"/>
  <c r="E10" i="229"/>
  <c r="E60" s="1"/>
  <c r="E87" s="1"/>
  <c r="E10" i="228"/>
  <c r="E10" i="235"/>
  <c r="C10" i="229"/>
  <c r="C10" i="235"/>
  <c r="C10" i="228"/>
  <c r="L9" i="229"/>
  <c r="L9" i="228"/>
  <c r="L9" i="235"/>
  <c r="J9" i="229"/>
  <c r="J9" i="235"/>
  <c r="J9" i="228"/>
  <c r="H9" i="229"/>
  <c r="H9" i="228"/>
  <c r="H9" i="235"/>
  <c r="F9" i="229"/>
  <c r="F9" i="235"/>
  <c r="F9" i="228"/>
  <c r="D9" i="229"/>
  <c r="D9" i="228"/>
  <c r="D9" i="235"/>
  <c r="B9" i="229"/>
  <c r="B9" i="235"/>
  <c r="B9" i="228"/>
  <c r="B9" i="230" s="1"/>
  <c r="K8" i="229"/>
  <c r="K58" s="1"/>
  <c r="K85" s="1"/>
  <c r="K8" i="228"/>
  <c r="K8" i="235"/>
  <c r="I8" i="229"/>
  <c r="I58" s="1"/>
  <c r="I85" s="1"/>
  <c r="I8" i="235"/>
  <c r="I8" i="228"/>
  <c r="G8" i="229"/>
  <c r="G58" s="1"/>
  <c r="G85" s="1"/>
  <c r="G8" i="228"/>
  <c r="G8" i="235"/>
  <c r="E8" i="229"/>
  <c r="E58" s="1"/>
  <c r="E85" s="1"/>
  <c r="E8" i="235"/>
  <c r="E8" i="228"/>
  <c r="C8" i="229"/>
  <c r="C8" i="228"/>
  <c r="C8" i="235"/>
  <c r="L7" i="229"/>
  <c r="L7" i="235"/>
  <c r="L7" i="228"/>
  <c r="J7" i="229"/>
  <c r="J7" i="228"/>
  <c r="J7" i="235"/>
  <c r="H7" i="229"/>
  <c r="H7" i="235"/>
  <c r="H7" i="228"/>
  <c r="F7" i="229"/>
  <c r="F7" i="228"/>
  <c r="F7" i="235"/>
  <c r="D7" i="229"/>
  <c r="D7" i="235"/>
  <c r="D7" i="228"/>
  <c r="B7" i="229"/>
  <c r="B7" i="228"/>
  <c r="B7" i="230" s="1"/>
  <c r="B7" i="235"/>
  <c r="K6" i="229"/>
  <c r="K6" i="235"/>
  <c r="K6" i="228"/>
  <c r="I6" i="229"/>
  <c r="I56" s="1"/>
  <c r="I83" s="1"/>
  <c r="I6" i="228"/>
  <c r="I6" i="235"/>
  <c r="G6" i="229"/>
  <c r="G6" i="235"/>
  <c r="G6" i="228"/>
  <c r="E6" i="229"/>
  <c r="E56" s="1"/>
  <c r="E83" s="1"/>
  <c r="E6" i="228"/>
  <c r="E6" i="235"/>
  <c r="C6" i="229"/>
  <c r="C6" i="235"/>
  <c r="C6" i="228"/>
  <c r="L5" i="229"/>
  <c r="L5" i="228"/>
  <c r="L5" i="235"/>
  <c r="J5" i="229"/>
  <c r="J5" i="235"/>
  <c r="J5" i="228"/>
  <c r="H5" i="229"/>
  <c r="H5" i="228"/>
  <c r="H5" i="235"/>
  <c r="F5" i="229"/>
  <c r="F5" i="235"/>
  <c r="F5" i="228"/>
  <c r="D5" i="229"/>
  <c r="D5" i="228"/>
  <c r="D5" i="235"/>
  <c r="B5" i="229"/>
  <c r="B5" i="235"/>
  <c r="B5" i="228"/>
  <c r="B5" i="230" s="1"/>
  <c r="K32" i="226"/>
  <c r="I32"/>
  <c r="G32"/>
  <c r="E32"/>
  <c r="C32"/>
  <c r="L31"/>
  <c r="J31"/>
  <c r="H31"/>
  <c r="F31"/>
  <c r="D31"/>
  <c r="K30" i="470"/>
  <c r="I30"/>
  <c r="G30"/>
  <c r="E30"/>
  <c r="C30"/>
  <c r="K28"/>
  <c r="K76" s="1"/>
  <c r="K105" s="1"/>
  <c r="I28"/>
  <c r="I76" s="1"/>
  <c r="I105" s="1"/>
  <c r="G28"/>
  <c r="G76" s="1"/>
  <c r="G105" s="1"/>
  <c r="E28"/>
  <c r="E76" s="1"/>
  <c r="E105" s="1"/>
  <c r="C28"/>
  <c r="K26"/>
  <c r="K74" s="1"/>
  <c r="K103" s="1"/>
  <c r="I26"/>
  <c r="I74" s="1"/>
  <c r="I103" s="1"/>
  <c r="G26"/>
  <c r="G74" s="1"/>
  <c r="G103" s="1"/>
  <c r="E26"/>
  <c r="E74" s="1"/>
  <c r="E103" s="1"/>
  <c r="C26"/>
  <c r="K24"/>
  <c r="I24"/>
  <c r="G24"/>
  <c r="E24"/>
  <c r="C24"/>
  <c r="K22"/>
  <c r="K70" s="1"/>
  <c r="K99" s="1"/>
  <c r="I22"/>
  <c r="I70" s="1"/>
  <c r="I99" s="1"/>
  <c r="G22"/>
  <c r="G70" s="1"/>
  <c r="G99" s="1"/>
  <c r="E22"/>
  <c r="E70" s="1"/>
  <c r="E99" s="1"/>
  <c r="C22"/>
  <c r="K20"/>
  <c r="K68" s="1"/>
  <c r="K97" s="1"/>
  <c r="I20"/>
  <c r="I68" s="1"/>
  <c r="I97" s="1"/>
  <c r="G20"/>
  <c r="G68" s="1"/>
  <c r="G97" s="1"/>
  <c r="E20"/>
  <c r="E68" s="1"/>
  <c r="E97" s="1"/>
  <c r="C20"/>
  <c r="K18"/>
  <c r="K66" s="1"/>
  <c r="K95" s="1"/>
  <c r="I18"/>
  <c r="I66" s="1"/>
  <c r="I95" s="1"/>
  <c r="G18"/>
  <c r="G66" s="1"/>
  <c r="G95" s="1"/>
  <c r="E18"/>
  <c r="E66" s="1"/>
  <c r="E95" s="1"/>
  <c r="C18"/>
  <c r="K16"/>
  <c r="K64" s="1"/>
  <c r="K93" s="1"/>
  <c r="I16"/>
  <c r="I64" s="1"/>
  <c r="I93" s="1"/>
  <c r="G16"/>
  <c r="G64" s="1"/>
  <c r="G93" s="1"/>
  <c r="E16"/>
  <c r="E64" s="1"/>
  <c r="E93" s="1"/>
  <c r="C16"/>
  <c r="K14"/>
  <c r="K62" s="1"/>
  <c r="K91" s="1"/>
  <c r="I14"/>
  <c r="I62" s="1"/>
  <c r="I91" s="1"/>
  <c r="G14"/>
  <c r="G62" s="1"/>
  <c r="G91" s="1"/>
  <c r="E14"/>
  <c r="E62" s="1"/>
  <c r="E91" s="1"/>
  <c r="C14"/>
  <c r="K12"/>
  <c r="K60" s="1"/>
  <c r="K89" s="1"/>
  <c r="I12"/>
  <c r="I60" s="1"/>
  <c r="I89" s="1"/>
  <c r="G12"/>
  <c r="G60" s="1"/>
  <c r="G89" s="1"/>
  <c r="E12"/>
  <c r="E60" s="1"/>
  <c r="E89" s="1"/>
  <c r="C12"/>
  <c r="K10"/>
  <c r="K58" s="1"/>
  <c r="K87" s="1"/>
  <c r="I10"/>
  <c r="I58" s="1"/>
  <c r="I87" s="1"/>
  <c r="G10"/>
  <c r="G58" s="1"/>
  <c r="G87" s="1"/>
  <c r="E10"/>
  <c r="E58" s="1"/>
  <c r="E87" s="1"/>
  <c r="C10"/>
  <c r="K8"/>
  <c r="K56" s="1"/>
  <c r="K85" s="1"/>
  <c r="I8"/>
  <c r="I56" s="1"/>
  <c r="I85" s="1"/>
  <c r="G8"/>
  <c r="G56" s="1"/>
  <c r="G85" s="1"/>
  <c r="E8"/>
  <c r="E56" s="1"/>
  <c r="E85" s="1"/>
  <c r="C8"/>
  <c r="K6"/>
  <c r="K54" s="1"/>
  <c r="K83" s="1"/>
  <c r="I6"/>
  <c r="I54" s="1"/>
  <c r="I83" s="1"/>
  <c r="G6"/>
  <c r="G54" s="1"/>
  <c r="G83" s="1"/>
  <c r="E6"/>
  <c r="E54" s="1"/>
  <c r="E83" s="1"/>
  <c r="C6"/>
  <c r="W8" i="353"/>
  <c r="W9" i="354"/>
  <c r="W9" i="353"/>
  <c r="W8" i="354"/>
  <c r="W6" i="353"/>
  <c r="W7" i="354"/>
  <c r="W7" i="353"/>
  <c r="N13" i="225"/>
  <c r="O13" s="1"/>
  <c r="N19" i="469"/>
  <c r="O19" s="1"/>
  <c r="N11"/>
  <c r="O11" s="1"/>
  <c r="N8" i="227"/>
  <c r="O8" s="1"/>
  <c r="N17" i="231"/>
  <c r="O17" s="1"/>
  <c r="N13"/>
  <c r="O13" s="1"/>
  <c r="N9"/>
  <c r="O9" s="1"/>
  <c r="N5"/>
  <c r="O5" s="1"/>
  <c r="N11" i="225"/>
  <c r="O11" s="1"/>
  <c r="N25" i="469"/>
  <c r="O25" s="1"/>
  <c r="N17"/>
  <c r="O17" s="1"/>
  <c r="N9"/>
  <c r="O9" s="1"/>
  <c r="N10" i="227"/>
  <c r="O10" s="1"/>
  <c r="N6"/>
  <c r="O6" s="1"/>
  <c r="N15" i="231"/>
  <c r="O15" s="1"/>
  <c r="N11"/>
  <c r="O11" s="1"/>
  <c r="N7"/>
  <c r="O7" s="1"/>
  <c r="S36" i="222"/>
  <c r="G39" i="430"/>
  <c r="G40"/>
  <c r="H41"/>
  <c r="F40"/>
  <c r="N22" i="231"/>
  <c r="O22" s="1"/>
  <c r="N18"/>
  <c r="O18" s="1"/>
  <c r="N14"/>
  <c r="O14" s="1"/>
  <c r="N10"/>
  <c r="O10" s="1"/>
  <c r="N6"/>
  <c r="O6" s="1"/>
  <c r="N29"/>
  <c r="N27"/>
  <c r="O27" s="1"/>
  <c r="N25"/>
  <c r="O25" s="1"/>
  <c r="N23"/>
  <c r="O23" s="1"/>
  <c r="N21"/>
  <c r="O21" s="1"/>
  <c r="N19"/>
  <c r="O19" s="1"/>
  <c r="Q36"/>
  <c r="Q41"/>
  <c r="P29"/>
  <c r="Q34"/>
  <c r="N24"/>
  <c r="N16"/>
  <c r="O16" s="1"/>
  <c r="N8"/>
  <c r="O8" s="1"/>
  <c r="Q47" i="227"/>
  <c r="Q36"/>
  <c r="Q44"/>
  <c r="P29"/>
  <c r="Q34"/>
  <c r="P13"/>
  <c r="P34" s="1"/>
  <c r="N28"/>
  <c r="N24"/>
  <c r="N20"/>
  <c r="O20" s="1"/>
  <c r="N16"/>
  <c r="O16" s="1"/>
  <c r="N12"/>
  <c r="O12" s="1"/>
  <c r="N29"/>
  <c r="N27"/>
  <c r="O27" s="1"/>
  <c r="N25"/>
  <c r="O25" s="1"/>
  <c r="N23"/>
  <c r="O23" s="1"/>
  <c r="N21"/>
  <c r="O21" s="1"/>
  <c r="N19"/>
  <c r="O19" s="1"/>
  <c r="N17"/>
  <c r="O17" s="1"/>
  <c r="N15"/>
  <c r="O15" s="1"/>
  <c r="N13"/>
  <c r="N11"/>
  <c r="O11" s="1"/>
  <c r="N7"/>
  <c r="O7" s="1"/>
  <c r="Q46"/>
  <c r="P37"/>
  <c r="P46"/>
  <c r="P35"/>
  <c r="P38"/>
  <c r="N26"/>
  <c r="O26" s="1"/>
  <c r="N22"/>
  <c r="O22" s="1"/>
  <c r="N18"/>
  <c r="O18" s="1"/>
  <c r="N14"/>
  <c r="O14" s="1"/>
  <c r="N9"/>
  <c r="O9" s="1"/>
  <c r="N5"/>
  <c r="O5" s="1"/>
  <c r="Q35"/>
  <c r="Q37"/>
  <c r="M42" i="469"/>
  <c r="Q40"/>
  <c r="Q35"/>
  <c r="P28"/>
  <c r="Q34"/>
  <c r="P13"/>
  <c r="P34" s="1"/>
  <c r="P24"/>
  <c r="Q39"/>
  <c r="N24"/>
  <c r="N20"/>
  <c r="O20" s="1"/>
  <c r="N16"/>
  <c r="O16" s="1"/>
  <c r="N12"/>
  <c r="O12" s="1"/>
  <c r="N8"/>
  <c r="O8" s="1"/>
  <c r="Q45"/>
  <c r="Q42"/>
  <c r="Q36"/>
  <c r="P29"/>
  <c r="N29"/>
  <c r="N28"/>
  <c r="N27"/>
  <c r="O27" s="1"/>
  <c r="N26"/>
  <c r="O26" s="1"/>
  <c r="N22"/>
  <c r="O22" s="1"/>
  <c r="N18"/>
  <c r="O18" s="1"/>
  <c r="N14"/>
  <c r="O14" s="1"/>
  <c r="N10"/>
  <c r="O10" s="1"/>
  <c r="N6"/>
  <c r="O6" s="1"/>
  <c r="Q37" i="226"/>
  <c r="Q36"/>
  <c r="P27"/>
  <c r="P23"/>
  <c r="Q42" i="225"/>
  <c r="Q36"/>
  <c r="P29"/>
  <c r="Q45"/>
  <c r="P5"/>
  <c r="P45" s="1"/>
  <c r="N29"/>
  <c r="N28"/>
  <c r="N27"/>
  <c r="O27" s="1"/>
  <c r="N26"/>
  <c r="O26" s="1"/>
  <c r="N22"/>
  <c r="O22" s="1"/>
  <c r="N18"/>
  <c r="O18" s="1"/>
  <c r="N14"/>
  <c r="O14" s="1"/>
  <c r="N10"/>
  <c r="O10" s="1"/>
  <c r="N25"/>
  <c r="O25" s="1"/>
  <c r="N9"/>
  <c r="O9" s="1"/>
  <c r="N7"/>
  <c r="O7" s="1"/>
  <c r="N5"/>
  <c r="M42"/>
  <c r="Q40"/>
  <c r="Q35"/>
  <c r="P28"/>
  <c r="Q34"/>
  <c r="P13"/>
  <c r="P24"/>
  <c r="Q39"/>
  <c r="N24"/>
  <c r="N20"/>
  <c r="O20" s="1"/>
  <c r="N16"/>
  <c r="O16" s="1"/>
  <c r="N12"/>
  <c r="O12" s="1"/>
  <c r="N8"/>
  <c r="O8" s="1"/>
  <c r="N23"/>
  <c r="O23" s="1"/>
  <c r="N21"/>
  <c r="O21" s="1"/>
  <c r="N19"/>
  <c r="O19" s="1"/>
  <c r="N17"/>
  <c r="O17" s="1"/>
  <c r="N21" i="469" l="1"/>
  <c r="O21" s="1"/>
  <c r="N6" i="225"/>
  <c r="O6" s="1"/>
  <c r="P28" i="231"/>
  <c r="N12"/>
  <c r="O12" s="1"/>
  <c r="O34"/>
  <c r="N20"/>
  <c r="O20" s="1"/>
  <c r="N28"/>
  <c r="N5" i="469"/>
  <c r="O5" s="1"/>
  <c r="N7"/>
  <c r="O7" s="1"/>
  <c r="N13"/>
  <c r="O13" s="1"/>
  <c r="O34" s="1"/>
  <c r="N15"/>
  <c r="O15" s="1"/>
  <c r="N23"/>
  <c r="O23" s="1"/>
  <c r="D79" i="470"/>
  <c r="D108" s="1"/>
  <c r="D39"/>
  <c r="D43"/>
  <c r="F79"/>
  <c r="F108" s="1"/>
  <c r="F39"/>
  <c r="F43"/>
  <c r="H79"/>
  <c r="H108" s="1"/>
  <c r="H39"/>
  <c r="H43"/>
  <c r="J79"/>
  <c r="J108" s="1"/>
  <c r="J39"/>
  <c r="J43"/>
  <c r="L79"/>
  <c r="L108" s="1"/>
  <c r="L39"/>
  <c r="L43"/>
  <c r="C53"/>
  <c r="C82" s="1"/>
  <c r="Q5"/>
  <c r="P5" s="1"/>
  <c r="P43" s="1"/>
  <c r="C43"/>
  <c r="G53"/>
  <c r="G82" s="1"/>
  <c r="G43"/>
  <c r="K53"/>
  <c r="K82" s="1"/>
  <c r="K43"/>
  <c r="C57"/>
  <c r="C86" s="1"/>
  <c r="N9" s="1"/>
  <c r="O9" s="1"/>
  <c r="Q9"/>
  <c r="P9" s="1"/>
  <c r="C61"/>
  <c r="C90" s="1"/>
  <c r="C34"/>
  <c r="Q13"/>
  <c r="P13" s="1"/>
  <c r="P34" s="1"/>
  <c r="G61"/>
  <c r="G90" s="1"/>
  <c r="G34"/>
  <c r="K61"/>
  <c r="K90" s="1"/>
  <c r="K34"/>
  <c r="C65"/>
  <c r="C94" s="1"/>
  <c r="N17" s="1"/>
  <c r="O17" s="1"/>
  <c r="Q17"/>
  <c r="P17" s="1"/>
  <c r="C69"/>
  <c r="C98" s="1"/>
  <c r="N21" s="1"/>
  <c r="O21" s="1"/>
  <c r="Q21"/>
  <c r="P21" s="1"/>
  <c r="C73"/>
  <c r="C102" s="1"/>
  <c r="N25" s="1"/>
  <c r="O25" s="1"/>
  <c r="Q25"/>
  <c r="P25" s="1"/>
  <c r="C77"/>
  <c r="C106" s="1"/>
  <c r="N29" s="1"/>
  <c r="O29" s="1"/>
  <c r="Q29"/>
  <c r="F78" i="226"/>
  <c r="F107" s="1"/>
  <c r="F38"/>
  <c r="F42"/>
  <c r="H78"/>
  <c r="H107" s="1"/>
  <c r="H42"/>
  <c r="H38"/>
  <c r="J78"/>
  <c r="J107" s="1"/>
  <c r="J38"/>
  <c r="J42"/>
  <c r="L78"/>
  <c r="L107" s="1"/>
  <c r="L42"/>
  <c r="L38"/>
  <c r="C61"/>
  <c r="C90" s="1"/>
  <c r="C34"/>
  <c r="Q13"/>
  <c r="P13" s="1"/>
  <c r="P34" s="1"/>
  <c r="E61"/>
  <c r="E90" s="1"/>
  <c r="E34"/>
  <c r="I61"/>
  <c r="I90" s="1"/>
  <c r="I34"/>
  <c r="C55" i="470"/>
  <c r="C84" s="1"/>
  <c r="N7" s="1"/>
  <c r="O7" s="1"/>
  <c r="Q7"/>
  <c r="P7" s="1"/>
  <c r="C59"/>
  <c r="C88" s="1"/>
  <c r="N11" s="1"/>
  <c r="O11" s="1"/>
  <c r="Q11"/>
  <c r="P11" s="1"/>
  <c r="E61"/>
  <c r="E90" s="1"/>
  <c r="E34"/>
  <c r="I61"/>
  <c r="I90" s="1"/>
  <c r="I34"/>
  <c r="C63"/>
  <c r="C92" s="1"/>
  <c r="N15" s="1"/>
  <c r="O15" s="1"/>
  <c r="Q15"/>
  <c r="P15" s="1"/>
  <c r="C67"/>
  <c r="C96" s="1"/>
  <c r="N19" s="1"/>
  <c r="O19" s="1"/>
  <c r="Q19"/>
  <c r="P19" s="1"/>
  <c r="C71"/>
  <c r="C100" s="1"/>
  <c r="N23" s="1"/>
  <c r="O23" s="1"/>
  <c r="Q23"/>
  <c r="P23" s="1"/>
  <c r="C75"/>
  <c r="C104" s="1"/>
  <c r="N27" s="1"/>
  <c r="O27" s="1"/>
  <c r="Q27"/>
  <c r="F53"/>
  <c r="F82" s="1"/>
  <c r="F34"/>
  <c r="F44"/>
  <c r="J53"/>
  <c r="J82" s="1"/>
  <c r="J34"/>
  <c r="J44"/>
  <c r="F72" i="226"/>
  <c r="F101" s="1"/>
  <c r="F35"/>
  <c r="F37"/>
  <c r="F40"/>
  <c r="J72"/>
  <c r="J101" s="1"/>
  <c r="J35"/>
  <c r="J37"/>
  <c r="J40"/>
  <c r="E77"/>
  <c r="E106" s="1"/>
  <c r="N29" s="1"/>
  <c r="O29" s="1"/>
  <c r="Q29"/>
  <c r="E79" i="470"/>
  <c r="E108" s="1"/>
  <c r="E43"/>
  <c r="I79"/>
  <c r="I108" s="1"/>
  <c r="I43"/>
  <c r="M36" i="469"/>
  <c r="Q45" i="231"/>
  <c r="P13"/>
  <c r="P34" s="1"/>
  <c r="Q46"/>
  <c r="Q35"/>
  <c r="G56" i="229"/>
  <c r="G83" s="1"/>
  <c r="K56"/>
  <c r="K83" s="1"/>
  <c r="G60"/>
  <c r="G87" s="1"/>
  <c r="K60"/>
  <c r="K87" s="1"/>
  <c r="G64"/>
  <c r="G91" s="1"/>
  <c r="K64"/>
  <c r="K91" s="1"/>
  <c r="D65"/>
  <c r="D92" s="1"/>
  <c r="G68"/>
  <c r="G95" s="1"/>
  <c r="K68"/>
  <c r="K95" s="1"/>
  <c r="D69"/>
  <c r="D96" s="1"/>
  <c r="D73"/>
  <c r="D100" s="1"/>
  <c r="D77"/>
  <c r="D104" s="1"/>
  <c r="H77"/>
  <c r="H104" s="1"/>
  <c r="E78"/>
  <c r="E105" s="1"/>
  <c r="I78"/>
  <c r="I105" s="1"/>
  <c r="C80" i="228"/>
  <c r="C110" s="1"/>
  <c r="E80"/>
  <c r="E110" s="1"/>
  <c r="G80"/>
  <c r="G110" s="1"/>
  <c r="I80"/>
  <c r="I110" s="1"/>
  <c r="K80"/>
  <c r="K110" s="1"/>
  <c r="E76" i="233"/>
  <c r="E103" s="1"/>
  <c r="G76"/>
  <c r="G103" s="1"/>
  <c r="I76"/>
  <c r="I103" s="1"/>
  <c r="K76"/>
  <c r="K103" s="1"/>
  <c r="E78"/>
  <c r="E105" s="1"/>
  <c r="G78"/>
  <c r="G105" s="1"/>
  <c r="I78"/>
  <c r="I105" s="1"/>
  <c r="K78"/>
  <c r="K105" s="1"/>
  <c r="C82" i="228"/>
  <c r="C112" s="1"/>
  <c r="E82"/>
  <c r="E112" s="1"/>
  <c r="G82"/>
  <c r="G112" s="1"/>
  <c r="I82"/>
  <c r="I112" s="1"/>
  <c r="K82"/>
  <c r="K112" s="1"/>
  <c r="D81"/>
  <c r="D111" s="1"/>
  <c r="F81"/>
  <c r="F111" s="1"/>
  <c r="H81"/>
  <c r="H111" s="1"/>
  <c r="J81"/>
  <c r="J111" s="1"/>
  <c r="L81"/>
  <c r="L111" s="1"/>
  <c r="N34" i="231"/>
  <c r="C81" i="228"/>
  <c r="C111" s="1"/>
  <c r="E81"/>
  <c r="E111" s="1"/>
  <c r="G81"/>
  <c r="G111" s="1"/>
  <c r="I81"/>
  <c r="I111" s="1"/>
  <c r="K81"/>
  <c r="K111" s="1"/>
  <c r="D82"/>
  <c r="D112" s="1"/>
  <c r="F82"/>
  <c r="F112" s="1"/>
  <c r="H82"/>
  <c r="H112" s="1"/>
  <c r="J82"/>
  <c r="J112" s="1"/>
  <c r="L82"/>
  <c r="L112" s="1"/>
  <c r="H69" i="229"/>
  <c r="H96" s="1"/>
  <c r="H73"/>
  <c r="H100" s="1"/>
  <c r="L73"/>
  <c r="L100" s="1"/>
  <c r="L77"/>
  <c r="L104" s="1"/>
  <c r="D58"/>
  <c r="D85" s="1"/>
  <c r="D66"/>
  <c r="D93" s="1"/>
  <c r="D70"/>
  <c r="D97" s="1"/>
  <c r="D78" i="226"/>
  <c r="D107" s="1"/>
  <c r="D38"/>
  <c r="D42"/>
  <c r="H58" i="229"/>
  <c r="H85" s="1"/>
  <c r="L58"/>
  <c r="L85" s="1"/>
  <c r="D62"/>
  <c r="D89" s="1"/>
  <c r="H62"/>
  <c r="H89" s="1"/>
  <c r="L62"/>
  <c r="L89" s="1"/>
  <c r="H66"/>
  <c r="H93" s="1"/>
  <c r="D61"/>
  <c r="D88" s="1"/>
  <c r="H61"/>
  <c r="H88" s="1"/>
  <c r="H65"/>
  <c r="H92" s="1"/>
  <c r="L65"/>
  <c r="L92" s="1"/>
  <c r="L69"/>
  <c r="L96" s="1"/>
  <c r="C56" i="470"/>
  <c r="C85" s="1"/>
  <c r="N8" s="1"/>
  <c r="O8" s="1"/>
  <c r="Q8"/>
  <c r="P8" s="1"/>
  <c r="C60"/>
  <c r="C89" s="1"/>
  <c r="N12" s="1"/>
  <c r="O12" s="1"/>
  <c r="Q12"/>
  <c r="C64"/>
  <c r="C93" s="1"/>
  <c r="N16" s="1"/>
  <c r="O16" s="1"/>
  <c r="Q16"/>
  <c r="P16" s="1"/>
  <c r="C68"/>
  <c r="C97" s="1"/>
  <c r="N20" s="1"/>
  <c r="O20" s="1"/>
  <c r="Q20"/>
  <c r="P20" s="1"/>
  <c r="C72"/>
  <c r="C101" s="1"/>
  <c r="C35"/>
  <c r="C37"/>
  <c r="C39"/>
  <c r="Q24"/>
  <c r="P24" s="1"/>
  <c r="G72"/>
  <c r="G101" s="1"/>
  <c r="G35"/>
  <c r="G37"/>
  <c r="G39"/>
  <c r="K72"/>
  <c r="K101" s="1"/>
  <c r="K35"/>
  <c r="K37"/>
  <c r="K39"/>
  <c r="C76"/>
  <c r="C105" s="1"/>
  <c r="N28" s="1"/>
  <c r="O28" s="1"/>
  <c r="Q28"/>
  <c r="E78"/>
  <c r="E107" s="1"/>
  <c r="E38"/>
  <c r="E42"/>
  <c r="I78"/>
  <c r="I107" s="1"/>
  <c r="I38"/>
  <c r="I42"/>
  <c r="D79" i="226"/>
  <c r="D108" s="1"/>
  <c r="D39"/>
  <c r="D43"/>
  <c r="H79"/>
  <c r="H108" s="1"/>
  <c r="H39"/>
  <c r="H43"/>
  <c r="L79"/>
  <c r="L108" s="1"/>
  <c r="L39"/>
  <c r="L43"/>
  <c r="E80"/>
  <c r="E109" s="1"/>
  <c r="E36"/>
  <c r="E40"/>
  <c r="E44"/>
  <c r="I80"/>
  <c r="I109" s="1"/>
  <c r="I36"/>
  <c r="I40"/>
  <c r="I44"/>
  <c r="D5" i="230"/>
  <c r="D56" s="1"/>
  <c r="D85" s="1"/>
  <c r="D55" i="228"/>
  <c r="D85" s="1"/>
  <c r="F5" i="230"/>
  <c r="F56" s="1"/>
  <c r="F85" s="1"/>
  <c r="F55" i="228"/>
  <c r="F85" s="1"/>
  <c r="H5" i="230"/>
  <c r="H56" s="1"/>
  <c r="H85" s="1"/>
  <c r="H55" i="228"/>
  <c r="H85" s="1"/>
  <c r="J5" i="230"/>
  <c r="J56" s="1"/>
  <c r="J85" s="1"/>
  <c r="J55" i="228"/>
  <c r="J85" s="1"/>
  <c r="L5" i="230"/>
  <c r="L56" s="1"/>
  <c r="L85" s="1"/>
  <c r="L55" i="228"/>
  <c r="L85" s="1"/>
  <c r="C6" i="230"/>
  <c r="Q6" i="228"/>
  <c r="P6" s="1"/>
  <c r="C56"/>
  <c r="C86" s="1"/>
  <c r="Q6" i="229"/>
  <c r="P6" s="1"/>
  <c r="C56"/>
  <c r="C83" s="1"/>
  <c r="E6" i="230"/>
  <c r="E57" s="1"/>
  <c r="E86" s="1"/>
  <c r="E56" i="228"/>
  <c r="E86" s="1"/>
  <c r="G6" i="230"/>
  <c r="G57" s="1"/>
  <c r="G86" s="1"/>
  <c r="G56" i="228"/>
  <c r="G86" s="1"/>
  <c r="I6" i="230"/>
  <c r="I57" s="1"/>
  <c r="I86" s="1"/>
  <c r="I56" i="228"/>
  <c r="I86" s="1"/>
  <c r="K6" i="230"/>
  <c r="K57" s="1"/>
  <c r="K86" s="1"/>
  <c r="K56" i="228"/>
  <c r="K86" s="1"/>
  <c r="D7" i="230"/>
  <c r="D58" s="1"/>
  <c r="D87" s="1"/>
  <c r="D57" i="228"/>
  <c r="D87" s="1"/>
  <c r="F7" i="230"/>
  <c r="F58" s="1"/>
  <c r="F87" s="1"/>
  <c r="F57" i="228"/>
  <c r="F87" s="1"/>
  <c r="H7" i="230"/>
  <c r="H58" s="1"/>
  <c r="H87" s="1"/>
  <c r="H57" i="228"/>
  <c r="H87" s="1"/>
  <c r="J7" i="230"/>
  <c r="J58" s="1"/>
  <c r="J87" s="1"/>
  <c r="J57" i="228"/>
  <c r="J87" s="1"/>
  <c r="L7" i="230"/>
  <c r="L58" s="1"/>
  <c r="L87" s="1"/>
  <c r="L57" i="228"/>
  <c r="L87" s="1"/>
  <c r="C8" i="230"/>
  <c r="C58" i="228"/>
  <c r="C88" s="1"/>
  <c r="Q8"/>
  <c r="P8" s="1"/>
  <c r="E8" i="230"/>
  <c r="E59" s="1"/>
  <c r="E88" s="1"/>
  <c r="E58" i="228"/>
  <c r="E88" s="1"/>
  <c r="G8" i="230"/>
  <c r="G59" s="1"/>
  <c r="G88" s="1"/>
  <c r="G58" i="228"/>
  <c r="G88" s="1"/>
  <c r="I8" i="230"/>
  <c r="I59" s="1"/>
  <c r="I88" s="1"/>
  <c r="I58" i="228"/>
  <c r="I88" s="1"/>
  <c r="K8" i="230"/>
  <c r="K59" s="1"/>
  <c r="K88" s="1"/>
  <c r="K58" i="228"/>
  <c r="K88" s="1"/>
  <c r="D9" i="230"/>
  <c r="D60" s="1"/>
  <c r="D89" s="1"/>
  <c r="D59" i="228"/>
  <c r="D89" s="1"/>
  <c r="F9" i="230"/>
  <c r="F60" s="1"/>
  <c r="F89" s="1"/>
  <c r="F59" i="228"/>
  <c r="F89" s="1"/>
  <c r="H9" i="230"/>
  <c r="H60" s="1"/>
  <c r="H89" s="1"/>
  <c r="H59" i="228"/>
  <c r="H89" s="1"/>
  <c r="J9" i="230"/>
  <c r="J60" s="1"/>
  <c r="J89" s="1"/>
  <c r="J59" i="228"/>
  <c r="J89" s="1"/>
  <c r="L9" i="230"/>
  <c r="L60" s="1"/>
  <c r="L89" s="1"/>
  <c r="L59" i="228"/>
  <c r="L89" s="1"/>
  <c r="C10" i="230"/>
  <c r="Q10" i="228"/>
  <c r="P10" s="1"/>
  <c r="C60"/>
  <c r="C90" s="1"/>
  <c r="Q10" i="229"/>
  <c r="P10" s="1"/>
  <c r="C60"/>
  <c r="C87" s="1"/>
  <c r="E10" i="230"/>
  <c r="E61" s="1"/>
  <c r="E90" s="1"/>
  <c r="E60" i="228"/>
  <c r="E90" s="1"/>
  <c r="G10" i="230"/>
  <c r="G61" s="1"/>
  <c r="G90" s="1"/>
  <c r="G60" i="228"/>
  <c r="G90" s="1"/>
  <c r="I10" i="230"/>
  <c r="I61" s="1"/>
  <c r="I90" s="1"/>
  <c r="I60" i="228"/>
  <c r="I90" s="1"/>
  <c r="K10" i="230"/>
  <c r="K61" s="1"/>
  <c r="K90" s="1"/>
  <c r="K60" i="228"/>
  <c r="K90" s="1"/>
  <c r="D11" i="230"/>
  <c r="D62" s="1"/>
  <c r="D91" s="1"/>
  <c r="D61" i="228"/>
  <c r="D91" s="1"/>
  <c r="F11" i="230"/>
  <c r="F62" s="1"/>
  <c r="F91" s="1"/>
  <c r="F61" i="228"/>
  <c r="F91" s="1"/>
  <c r="H11" i="230"/>
  <c r="H62" s="1"/>
  <c r="H91" s="1"/>
  <c r="H61" i="228"/>
  <c r="H91" s="1"/>
  <c r="J11" i="230"/>
  <c r="J62" s="1"/>
  <c r="J91" s="1"/>
  <c r="J61" i="228"/>
  <c r="J91" s="1"/>
  <c r="L11" i="230"/>
  <c r="L62" s="1"/>
  <c r="L91" s="1"/>
  <c r="L61" i="228"/>
  <c r="L91" s="1"/>
  <c r="C12" i="230"/>
  <c r="C62" i="228"/>
  <c r="C92" s="1"/>
  <c r="Q12"/>
  <c r="P12" s="1"/>
  <c r="E12" i="230"/>
  <c r="E63" s="1"/>
  <c r="E92" s="1"/>
  <c r="E62" i="228"/>
  <c r="E92" s="1"/>
  <c r="G12" i="230"/>
  <c r="G63" s="1"/>
  <c r="G92" s="1"/>
  <c r="G62" i="228"/>
  <c r="G92" s="1"/>
  <c r="I12" i="230"/>
  <c r="I63" s="1"/>
  <c r="I92" s="1"/>
  <c r="I62" i="228"/>
  <c r="I92" s="1"/>
  <c r="K12" i="230"/>
  <c r="K63" s="1"/>
  <c r="K92" s="1"/>
  <c r="K62" i="228"/>
  <c r="K92" s="1"/>
  <c r="B13" i="230"/>
  <c r="B34" s="1"/>
  <c r="B34" i="228"/>
  <c r="D13" i="230"/>
  <c r="D63" i="228"/>
  <c r="D93" s="1"/>
  <c r="D34"/>
  <c r="F13" i="230"/>
  <c r="F63" i="228"/>
  <c r="F93" s="1"/>
  <c r="F34"/>
  <c r="F34" i="229"/>
  <c r="F63"/>
  <c r="F90" s="1"/>
  <c r="H13" i="230"/>
  <c r="H63" i="228"/>
  <c r="H93" s="1"/>
  <c r="H34"/>
  <c r="J13" i="230"/>
  <c r="J63" i="228"/>
  <c r="J93" s="1"/>
  <c r="J34"/>
  <c r="J34" i="229"/>
  <c r="J63"/>
  <c r="J90" s="1"/>
  <c r="L13" i="230"/>
  <c r="L63" i="228"/>
  <c r="L93" s="1"/>
  <c r="L34"/>
  <c r="C14" i="230"/>
  <c r="C64" i="228"/>
  <c r="C94" s="1"/>
  <c r="Q14"/>
  <c r="P14" s="1"/>
  <c r="Q14" i="229"/>
  <c r="P14" s="1"/>
  <c r="C64"/>
  <c r="C91" s="1"/>
  <c r="E14" i="230"/>
  <c r="E65" s="1"/>
  <c r="E94" s="1"/>
  <c r="E64" i="228"/>
  <c r="E94" s="1"/>
  <c r="G14" i="230"/>
  <c r="G65" s="1"/>
  <c r="G94" s="1"/>
  <c r="G64" i="228"/>
  <c r="G94" s="1"/>
  <c r="I14" i="230"/>
  <c r="I65" s="1"/>
  <c r="I94" s="1"/>
  <c r="I64" i="228"/>
  <c r="I94" s="1"/>
  <c r="K14" i="230"/>
  <c r="K65" s="1"/>
  <c r="K94" s="1"/>
  <c r="K64" i="228"/>
  <c r="K94" s="1"/>
  <c r="D15" i="230"/>
  <c r="D66" s="1"/>
  <c r="D95" s="1"/>
  <c r="D65" i="228"/>
  <c r="D95" s="1"/>
  <c r="F15" i="230"/>
  <c r="F66" s="1"/>
  <c r="F95" s="1"/>
  <c r="F65" i="228"/>
  <c r="F95" s="1"/>
  <c r="H15" i="230"/>
  <c r="H66" s="1"/>
  <c r="H95" s="1"/>
  <c r="H65" i="228"/>
  <c r="H95" s="1"/>
  <c r="J15" i="230"/>
  <c r="J66" s="1"/>
  <c r="J95" s="1"/>
  <c r="J65" i="228"/>
  <c r="J95" s="1"/>
  <c r="L15" i="230"/>
  <c r="L66" s="1"/>
  <c r="L95" s="1"/>
  <c r="L65" i="228"/>
  <c r="L95" s="1"/>
  <c r="C16" i="230"/>
  <c r="C66" i="228"/>
  <c r="C96" s="1"/>
  <c r="Q16"/>
  <c r="P16" s="1"/>
  <c r="E16" i="230"/>
  <c r="E67" s="1"/>
  <c r="E96" s="1"/>
  <c r="E66" i="228"/>
  <c r="E96" s="1"/>
  <c r="G16" i="230"/>
  <c r="G67" s="1"/>
  <c r="G96" s="1"/>
  <c r="G66" i="228"/>
  <c r="G96" s="1"/>
  <c r="I16" i="230"/>
  <c r="I67" s="1"/>
  <c r="I96" s="1"/>
  <c r="I66" i="228"/>
  <c r="I96" s="1"/>
  <c r="K16" i="230"/>
  <c r="K67" s="1"/>
  <c r="K96" s="1"/>
  <c r="K66" i="228"/>
  <c r="K96" s="1"/>
  <c r="D17" i="230"/>
  <c r="D68" s="1"/>
  <c r="D97" s="1"/>
  <c r="D67" i="228"/>
  <c r="D97" s="1"/>
  <c r="F17" i="230"/>
  <c r="F68" s="1"/>
  <c r="F97" s="1"/>
  <c r="F67" i="228"/>
  <c r="F97" s="1"/>
  <c r="H17" i="230"/>
  <c r="H68" s="1"/>
  <c r="H97" s="1"/>
  <c r="H67" i="228"/>
  <c r="H97" s="1"/>
  <c r="J17" i="230"/>
  <c r="J68" s="1"/>
  <c r="J97" s="1"/>
  <c r="J67" i="228"/>
  <c r="J97" s="1"/>
  <c r="L17" i="230"/>
  <c r="L68" s="1"/>
  <c r="L97" s="1"/>
  <c r="L67" i="228"/>
  <c r="L97" s="1"/>
  <c r="C18" i="230"/>
  <c r="C68" i="228"/>
  <c r="C98" s="1"/>
  <c r="Q18"/>
  <c r="P18" s="1"/>
  <c r="Q18" i="229"/>
  <c r="P18" s="1"/>
  <c r="C68"/>
  <c r="C95" s="1"/>
  <c r="E18" i="230"/>
  <c r="E69" s="1"/>
  <c r="E98" s="1"/>
  <c r="E68" i="228"/>
  <c r="E98" s="1"/>
  <c r="G18" i="230"/>
  <c r="G69" s="1"/>
  <c r="G98" s="1"/>
  <c r="G68" i="228"/>
  <c r="G98" s="1"/>
  <c r="I18" i="230"/>
  <c r="I69" s="1"/>
  <c r="I98" s="1"/>
  <c r="I68" i="228"/>
  <c r="I98" s="1"/>
  <c r="K18" i="230"/>
  <c r="K69" s="1"/>
  <c r="K98" s="1"/>
  <c r="K68" i="228"/>
  <c r="K98" s="1"/>
  <c r="D19" i="230"/>
  <c r="D70" s="1"/>
  <c r="D99" s="1"/>
  <c r="D69" i="228"/>
  <c r="D99" s="1"/>
  <c r="F19" i="230"/>
  <c r="F70" s="1"/>
  <c r="F99" s="1"/>
  <c r="F69" i="228"/>
  <c r="F99" s="1"/>
  <c r="H19" i="230"/>
  <c r="H70" s="1"/>
  <c r="H99" s="1"/>
  <c r="H69" i="228"/>
  <c r="H99" s="1"/>
  <c r="J19" i="230"/>
  <c r="J70" s="1"/>
  <c r="J99" s="1"/>
  <c r="J69" i="228"/>
  <c r="J99" s="1"/>
  <c r="L19" i="230"/>
  <c r="L70" s="1"/>
  <c r="L99" s="1"/>
  <c r="L69" i="228"/>
  <c r="L99" s="1"/>
  <c r="C20" i="230"/>
  <c r="C70" i="228"/>
  <c r="C100" s="1"/>
  <c r="Q20"/>
  <c r="P20" s="1"/>
  <c r="E20" i="230"/>
  <c r="E71" s="1"/>
  <c r="E100" s="1"/>
  <c r="E70" i="228"/>
  <c r="E100" s="1"/>
  <c r="G20" i="230"/>
  <c r="G71" s="1"/>
  <c r="G100" s="1"/>
  <c r="G70" i="228"/>
  <c r="G100" s="1"/>
  <c r="I20" i="230"/>
  <c r="I71" s="1"/>
  <c r="I100" s="1"/>
  <c r="I70" i="228"/>
  <c r="I100" s="1"/>
  <c r="K20" i="230"/>
  <c r="K71" s="1"/>
  <c r="K100" s="1"/>
  <c r="K70" i="228"/>
  <c r="K100" s="1"/>
  <c r="D21" i="230"/>
  <c r="D72" s="1"/>
  <c r="D101" s="1"/>
  <c r="D71" i="228"/>
  <c r="D101" s="1"/>
  <c r="F21" i="230"/>
  <c r="F72" s="1"/>
  <c r="F101" s="1"/>
  <c r="F71" i="228"/>
  <c r="F101" s="1"/>
  <c r="H21" i="230"/>
  <c r="H72" s="1"/>
  <c r="H101" s="1"/>
  <c r="H71" i="228"/>
  <c r="H101" s="1"/>
  <c r="J21" i="230"/>
  <c r="J72" s="1"/>
  <c r="J101" s="1"/>
  <c r="J71" i="228"/>
  <c r="J101" s="1"/>
  <c r="L21" i="230"/>
  <c r="L72" s="1"/>
  <c r="L101" s="1"/>
  <c r="L71" i="228"/>
  <c r="L101" s="1"/>
  <c r="C22" i="230"/>
  <c r="C72" i="228"/>
  <c r="C102" s="1"/>
  <c r="Q22"/>
  <c r="P22" s="1"/>
  <c r="Q22" i="229"/>
  <c r="P22" s="1"/>
  <c r="C72"/>
  <c r="C99" s="1"/>
  <c r="E22" i="230"/>
  <c r="E73" s="1"/>
  <c r="E102" s="1"/>
  <c r="E72" i="228"/>
  <c r="E102" s="1"/>
  <c r="G22" i="230"/>
  <c r="G73" s="1"/>
  <c r="G102" s="1"/>
  <c r="G72" i="228"/>
  <c r="G102" s="1"/>
  <c r="I22" i="230"/>
  <c r="I73" s="1"/>
  <c r="I102" s="1"/>
  <c r="I72" i="228"/>
  <c r="I102" s="1"/>
  <c r="K22" i="230"/>
  <c r="K73" s="1"/>
  <c r="K102" s="1"/>
  <c r="K72" i="228"/>
  <c r="K102" s="1"/>
  <c r="D23" i="230"/>
  <c r="D74" s="1"/>
  <c r="D103" s="1"/>
  <c r="D73" i="228"/>
  <c r="D103" s="1"/>
  <c r="F23" i="230"/>
  <c r="F74" s="1"/>
  <c r="F103" s="1"/>
  <c r="F73" i="228"/>
  <c r="F103" s="1"/>
  <c r="H23" i="230"/>
  <c r="H74" s="1"/>
  <c r="H103" s="1"/>
  <c r="H73" i="228"/>
  <c r="H103" s="1"/>
  <c r="J23" i="230"/>
  <c r="J74" s="1"/>
  <c r="J103" s="1"/>
  <c r="J73" i="228"/>
  <c r="J103" s="1"/>
  <c r="L23" i="230"/>
  <c r="L74" s="1"/>
  <c r="L103" s="1"/>
  <c r="L73" i="228"/>
  <c r="L103" s="1"/>
  <c r="C24" i="230"/>
  <c r="C74" i="228"/>
  <c r="C104" s="1"/>
  <c r="C35"/>
  <c r="Q24"/>
  <c r="E74" i="229"/>
  <c r="E101" s="1"/>
  <c r="E35"/>
  <c r="E24" i="230"/>
  <c r="E74" i="228"/>
  <c r="E104" s="1"/>
  <c r="E35"/>
  <c r="G24" i="230"/>
  <c r="G74" i="228"/>
  <c r="G104" s="1"/>
  <c r="G35"/>
  <c r="I74" i="229"/>
  <c r="I101" s="1"/>
  <c r="I35"/>
  <c r="I24" i="230"/>
  <c r="I74" i="228"/>
  <c r="I104" s="1"/>
  <c r="I35"/>
  <c r="K24" i="230"/>
  <c r="K74" i="228"/>
  <c r="K104" s="1"/>
  <c r="K35"/>
  <c r="D25" i="230"/>
  <c r="D76" s="1"/>
  <c r="D105" s="1"/>
  <c r="D75" i="228"/>
  <c r="D105" s="1"/>
  <c r="F25" i="230"/>
  <c r="F76" s="1"/>
  <c r="F105" s="1"/>
  <c r="F75" i="228"/>
  <c r="F105" s="1"/>
  <c r="H25" i="230"/>
  <c r="H76" s="1"/>
  <c r="H105" s="1"/>
  <c r="H75" i="228"/>
  <c r="H105" s="1"/>
  <c r="J25" i="230"/>
  <c r="J76" s="1"/>
  <c r="J105" s="1"/>
  <c r="J75" i="228"/>
  <c r="J105" s="1"/>
  <c r="L25" i="230"/>
  <c r="L76" s="1"/>
  <c r="L105" s="1"/>
  <c r="L75" i="228"/>
  <c r="L105" s="1"/>
  <c r="Q26" i="229"/>
  <c r="P26" s="1"/>
  <c r="C76"/>
  <c r="C103" s="1"/>
  <c r="C26" i="230"/>
  <c r="C76" i="228"/>
  <c r="C106" s="1"/>
  <c r="Q26"/>
  <c r="P26" s="1"/>
  <c r="E26" i="230"/>
  <c r="E77" s="1"/>
  <c r="E106" s="1"/>
  <c r="E76" i="228"/>
  <c r="E106" s="1"/>
  <c r="G26" i="230"/>
  <c r="G77" s="1"/>
  <c r="G106" s="1"/>
  <c r="G76" i="228"/>
  <c r="G106" s="1"/>
  <c r="I26" i="230"/>
  <c r="I77" s="1"/>
  <c r="I106" s="1"/>
  <c r="I76" i="228"/>
  <c r="I106" s="1"/>
  <c r="K26" i="230"/>
  <c r="K77" s="1"/>
  <c r="K106" s="1"/>
  <c r="K76" i="228"/>
  <c r="K106" s="1"/>
  <c r="D27" i="230"/>
  <c r="D78" s="1"/>
  <c r="D107" s="1"/>
  <c r="D77" i="228"/>
  <c r="D107" s="1"/>
  <c r="F27" i="230"/>
  <c r="F78" s="1"/>
  <c r="F107" s="1"/>
  <c r="F77" i="228"/>
  <c r="F107" s="1"/>
  <c r="H27" i="230"/>
  <c r="H78" s="1"/>
  <c r="H107" s="1"/>
  <c r="H77" i="228"/>
  <c r="H107" s="1"/>
  <c r="J27" i="230"/>
  <c r="J78" s="1"/>
  <c r="J107" s="1"/>
  <c r="J77" i="228"/>
  <c r="J107" s="1"/>
  <c r="L27" i="230"/>
  <c r="L78" s="1"/>
  <c r="L107" s="1"/>
  <c r="L77" i="228"/>
  <c r="L107" s="1"/>
  <c r="C28" i="230"/>
  <c r="C78" i="228"/>
  <c r="C108" s="1"/>
  <c r="Q28"/>
  <c r="E28" i="230"/>
  <c r="E79" s="1"/>
  <c r="E108" s="1"/>
  <c r="E78" i="228"/>
  <c r="E108" s="1"/>
  <c r="G28" i="230"/>
  <c r="G79" s="1"/>
  <c r="G108" s="1"/>
  <c r="G78" i="228"/>
  <c r="G108" s="1"/>
  <c r="I28" i="230"/>
  <c r="I79" s="1"/>
  <c r="I108" s="1"/>
  <c r="I78" i="228"/>
  <c r="I108" s="1"/>
  <c r="K28" i="230"/>
  <c r="K79" s="1"/>
  <c r="K108" s="1"/>
  <c r="K78" i="228"/>
  <c r="K108" s="1"/>
  <c r="B45" i="229"/>
  <c r="B36"/>
  <c r="B40"/>
  <c r="B29" i="230"/>
  <c r="B45" i="228"/>
  <c r="B36"/>
  <c r="B40"/>
  <c r="D29" i="230"/>
  <c r="D36" i="228"/>
  <c r="D40"/>
  <c r="D79"/>
  <c r="D109" s="1"/>
  <c r="D45"/>
  <c r="F45" i="229"/>
  <c r="F79"/>
  <c r="F106" s="1"/>
  <c r="F36"/>
  <c r="F40"/>
  <c r="F29" i="230"/>
  <c r="F79" i="228"/>
  <c r="F109" s="1"/>
  <c r="F45"/>
  <c r="F36"/>
  <c r="F40"/>
  <c r="H29" i="230"/>
  <c r="H36" i="228"/>
  <c r="H40"/>
  <c r="H79"/>
  <c r="H109" s="1"/>
  <c r="H45"/>
  <c r="J45" i="229"/>
  <c r="J79"/>
  <c r="J106" s="1"/>
  <c r="J36"/>
  <c r="J40"/>
  <c r="J29" i="230"/>
  <c r="J79" i="228"/>
  <c r="J109" s="1"/>
  <c r="J45"/>
  <c r="J36"/>
  <c r="J40"/>
  <c r="L29" i="230"/>
  <c r="L36" i="228"/>
  <c r="L40"/>
  <c r="L79"/>
  <c r="L109" s="1"/>
  <c r="L45"/>
  <c r="C46" i="229"/>
  <c r="C37"/>
  <c r="C41"/>
  <c r="C30" i="230"/>
  <c r="C46" i="228"/>
  <c r="C37"/>
  <c r="C41"/>
  <c r="E30" i="230"/>
  <c r="E46" i="228"/>
  <c r="E37"/>
  <c r="E41"/>
  <c r="G46" i="229"/>
  <c r="G37"/>
  <c r="G41"/>
  <c r="G30" i="230"/>
  <c r="G46" i="228"/>
  <c r="G37"/>
  <c r="G41"/>
  <c r="I30" i="230"/>
  <c r="I46" i="228"/>
  <c r="I37"/>
  <c r="I41"/>
  <c r="K46" i="229"/>
  <c r="K37"/>
  <c r="K41"/>
  <c r="K30" i="230"/>
  <c r="K46" i="228"/>
  <c r="K37"/>
  <c r="K41"/>
  <c r="B31" i="230"/>
  <c r="B47" i="228"/>
  <c r="B38"/>
  <c r="B42"/>
  <c r="D47" i="233"/>
  <c r="D38"/>
  <c r="D42"/>
  <c r="F47"/>
  <c r="F38"/>
  <c r="F42"/>
  <c r="H47"/>
  <c r="H38"/>
  <c r="H42"/>
  <c r="J47"/>
  <c r="J38"/>
  <c r="J42"/>
  <c r="L47"/>
  <c r="L38"/>
  <c r="L42"/>
  <c r="C48"/>
  <c r="C39"/>
  <c r="C43"/>
  <c r="E48"/>
  <c r="E39"/>
  <c r="E43"/>
  <c r="G48"/>
  <c r="G39"/>
  <c r="G43"/>
  <c r="I48"/>
  <c r="I39"/>
  <c r="I43"/>
  <c r="K48"/>
  <c r="K39"/>
  <c r="K43"/>
  <c r="F55" i="229"/>
  <c r="F82" s="1"/>
  <c r="J55"/>
  <c r="J82" s="1"/>
  <c r="D57"/>
  <c r="D84" s="1"/>
  <c r="H57"/>
  <c r="H84" s="1"/>
  <c r="L57"/>
  <c r="L84" s="1"/>
  <c r="F59"/>
  <c r="F86" s="1"/>
  <c r="J59"/>
  <c r="J86" s="1"/>
  <c r="L61"/>
  <c r="L88" s="1"/>
  <c r="B34"/>
  <c r="F67"/>
  <c r="F94" s="1"/>
  <c r="J67"/>
  <c r="J94" s="1"/>
  <c r="F71"/>
  <c r="F98" s="1"/>
  <c r="J71"/>
  <c r="J98" s="1"/>
  <c r="F75"/>
  <c r="F102" s="1"/>
  <c r="J75"/>
  <c r="J102" s="1"/>
  <c r="C54" i="470"/>
  <c r="C83" s="1"/>
  <c r="N6" s="1"/>
  <c r="O6" s="1"/>
  <c r="Q6"/>
  <c r="P6" s="1"/>
  <c r="C58"/>
  <c r="C87" s="1"/>
  <c r="N10" s="1"/>
  <c r="O10" s="1"/>
  <c r="Q10"/>
  <c r="P10" s="1"/>
  <c r="C62"/>
  <c r="C91" s="1"/>
  <c r="N14" s="1"/>
  <c r="O14" s="1"/>
  <c r="Q14"/>
  <c r="P14" s="1"/>
  <c r="C66"/>
  <c r="C95" s="1"/>
  <c r="N18" s="1"/>
  <c r="O18" s="1"/>
  <c r="Q18"/>
  <c r="P18" s="1"/>
  <c r="C70"/>
  <c r="C99" s="1"/>
  <c r="N22" s="1"/>
  <c r="O22" s="1"/>
  <c r="Q22"/>
  <c r="P22" s="1"/>
  <c r="E72"/>
  <c r="E101" s="1"/>
  <c r="E35"/>
  <c r="E37"/>
  <c r="E39"/>
  <c r="I72"/>
  <c r="I101" s="1"/>
  <c r="I35"/>
  <c r="I37"/>
  <c r="I39"/>
  <c r="C74"/>
  <c r="C103" s="1"/>
  <c r="N26" s="1"/>
  <c r="O26" s="1"/>
  <c r="Q26"/>
  <c r="P26" s="1"/>
  <c r="C78"/>
  <c r="C107" s="1"/>
  <c r="C42"/>
  <c r="C38"/>
  <c r="G78"/>
  <c r="G107" s="1"/>
  <c r="G42"/>
  <c r="G38"/>
  <c r="K78"/>
  <c r="K107" s="1"/>
  <c r="K42"/>
  <c r="K38"/>
  <c r="F79" i="226"/>
  <c r="F108" s="1"/>
  <c r="F43"/>
  <c r="F39"/>
  <c r="J79"/>
  <c r="J108" s="1"/>
  <c r="J43"/>
  <c r="J39"/>
  <c r="C80"/>
  <c r="C109" s="1"/>
  <c r="C44"/>
  <c r="C36"/>
  <c r="C40"/>
  <c r="G80"/>
  <c r="G109" s="1"/>
  <c r="G44"/>
  <c r="G36"/>
  <c r="G40"/>
  <c r="K80"/>
  <c r="K109" s="1"/>
  <c r="K44"/>
  <c r="K36"/>
  <c r="K40"/>
  <c r="Q8" i="229"/>
  <c r="P8" s="1"/>
  <c r="C58"/>
  <c r="C85" s="1"/>
  <c r="Q12"/>
  <c r="P12" s="1"/>
  <c r="C62"/>
  <c r="C89" s="1"/>
  <c r="D63"/>
  <c r="D90" s="1"/>
  <c r="D34"/>
  <c r="H63"/>
  <c r="H90" s="1"/>
  <c r="H34"/>
  <c r="L63"/>
  <c r="L90" s="1"/>
  <c r="L34"/>
  <c r="Q16"/>
  <c r="P16" s="1"/>
  <c r="C66"/>
  <c r="C93" s="1"/>
  <c r="Q20"/>
  <c r="P20" s="1"/>
  <c r="C70"/>
  <c r="C97" s="1"/>
  <c r="Q24"/>
  <c r="C35"/>
  <c r="C74"/>
  <c r="C101" s="1"/>
  <c r="G35"/>
  <c r="G74"/>
  <c r="G101" s="1"/>
  <c r="K35"/>
  <c r="K74"/>
  <c r="K101" s="1"/>
  <c r="D55"/>
  <c r="D82" s="1"/>
  <c r="H55"/>
  <c r="H82" s="1"/>
  <c r="L55"/>
  <c r="L82" s="1"/>
  <c r="F57"/>
  <c r="F84" s="1"/>
  <c r="J57"/>
  <c r="J84" s="1"/>
  <c r="D59"/>
  <c r="D86" s="1"/>
  <c r="H59"/>
  <c r="H86" s="1"/>
  <c r="L59"/>
  <c r="L86" s="1"/>
  <c r="F61"/>
  <c r="F88" s="1"/>
  <c r="J61"/>
  <c r="J88" s="1"/>
  <c r="B34" i="235"/>
  <c r="D34"/>
  <c r="F34"/>
  <c r="H34"/>
  <c r="J34"/>
  <c r="L34"/>
  <c r="F65" i="229"/>
  <c r="F92" s="1"/>
  <c r="J65"/>
  <c r="J92" s="1"/>
  <c r="D67"/>
  <c r="D94" s="1"/>
  <c r="H67"/>
  <c r="H94" s="1"/>
  <c r="L67"/>
  <c r="L94" s="1"/>
  <c r="F69"/>
  <c r="F96" s="1"/>
  <c r="J69"/>
  <c r="J96" s="1"/>
  <c r="D71"/>
  <c r="D98" s="1"/>
  <c r="H71"/>
  <c r="H98" s="1"/>
  <c r="L71"/>
  <c r="L98" s="1"/>
  <c r="F73"/>
  <c r="F100" s="1"/>
  <c r="J73"/>
  <c r="J100" s="1"/>
  <c r="D75"/>
  <c r="D102" s="1"/>
  <c r="H75"/>
  <c r="H102" s="1"/>
  <c r="L75"/>
  <c r="L102" s="1"/>
  <c r="Q5" i="233"/>
  <c r="P5" s="1"/>
  <c r="C55"/>
  <c r="C82" s="1"/>
  <c r="Q7"/>
  <c r="P7" s="1"/>
  <c r="C57"/>
  <c r="C84" s="1"/>
  <c r="C59"/>
  <c r="C86" s="1"/>
  <c r="Q9"/>
  <c r="P9" s="1"/>
  <c r="C61"/>
  <c r="C88" s="1"/>
  <c r="Q11"/>
  <c r="P11" s="1"/>
  <c r="Q13"/>
  <c r="C63"/>
  <c r="C90" s="1"/>
  <c r="C34"/>
  <c r="E34"/>
  <c r="E63"/>
  <c r="E90" s="1"/>
  <c r="G63"/>
  <c r="G90" s="1"/>
  <c r="G34"/>
  <c r="I34"/>
  <c r="I63"/>
  <c r="I90" s="1"/>
  <c r="K63"/>
  <c r="K90" s="1"/>
  <c r="K34"/>
  <c r="Q15"/>
  <c r="P15" s="1"/>
  <c r="C65"/>
  <c r="C92" s="1"/>
  <c r="C67"/>
  <c r="C94" s="1"/>
  <c r="Q17"/>
  <c r="P17" s="1"/>
  <c r="Q19"/>
  <c r="P19" s="1"/>
  <c r="C69"/>
  <c r="C96" s="1"/>
  <c r="C71"/>
  <c r="C98" s="1"/>
  <c r="Q21"/>
  <c r="P21" s="1"/>
  <c r="Q23"/>
  <c r="P23" s="1"/>
  <c r="C73"/>
  <c r="C100" s="1"/>
  <c r="Q6" i="226"/>
  <c r="P6" s="1"/>
  <c r="C54"/>
  <c r="C83" s="1"/>
  <c r="N6" s="1"/>
  <c r="O6" s="1"/>
  <c r="C58"/>
  <c r="C87" s="1"/>
  <c r="N10" s="1"/>
  <c r="O10" s="1"/>
  <c r="Q10"/>
  <c r="P10" s="1"/>
  <c r="C62"/>
  <c r="C91" s="1"/>
  <c r="N14" s="1"/>
  <c r="O14" s="1"/>
  <c r="Q14"/>
  <c r="P14" s="1"/>
  <c r="C66"/>
  <c r="C95" s="1"/>
  <c r="N18" s="1"/>
  <c r="O18" s="1"/>
  <c r="Q18"/>
  <c r="P18" s="1"/>
  <c r="C70"/>
  <c r="C99" s="1"/>
  <c r="N22" s="1"/>
  <c r="O22" s="1"/>
  <c r="Q22"/>
  <c r="P22" s="1"/>
  <c r="E72"/>
  <c r="E101" s="1"/>
  <c r="E35"/>
  <c r="E37"/>
  <c r="E39"/>
  <c r="I72"/>
  <c r="I101" s="1"/>
  <c r="I35"/>
  <c r="I37"/>
  <c r="I39"/>
  <c r="C74"/>
  <c r="C103" s="1"/>
  <c r="N26" s="1"/>
  <c r="O26" s="1"/>
  <c r="Q26"/>
  <c r="P26" s="1"/>
  <c r="C78"/>
  <c r="C107" s="1"/>
  <c r="C42"/>
  <c r="C38"/>
  <c r="G78"/>
  <c r="G107" s="1"/>
  <c r="G42"/>
  <c r="G38"/>
  <c r="K78"/>
  <c r="K107" s="1"/>
  <c r="K42"/>
  <c r="K38"/>
  <c r="E80" i="470"/>
  <c r="E109" s="1"/>
  <c r="E36"/>
  <c r="E40"/>
  <c r="E44"/>
  <c r="I80"/>
  <c r="I109" s="1"/>
  <c r="I36"/>
  <c r="I40"/>
  <c r="I44"/>
  <c r="Q6" i="233"/>
  <c r="P6" s="1"/>
  <c r="C56"/>
  <c r="C83" s="1"/>
  <c r="C58"/>
  <c r="C85" s="1"/>
  <c r="Q8"/>
  <c r="P8" s="1"/>
  <c r="Q10"/>
  <c r="P10" s="1"/>
  <c r="C60"/>
  <c r="C87" s="1"/>
  <c r="C62"/>
  <c r="C89" s="1"/>
  <c r="Q12"/>
  <c r="P12" s="1"/>
  <c r="D34"/>
  <c r="D63"/>
  <c r="D90" s="1"/>
  <c r="F63"/>
  <c r="F90" s="1"/>
  <c r="F34"/>
  <c r="H34"/>
  <c r="H63"/>
  <c r="H90" s="1"/>
  <c r="J63"/>
  <c r="J90" s="1"/>
  <c r="J34"/>
  <c r="L34"/>
  <c r="L63"/>
  <c r="L90" s="1"/>
  <c r="Q14"/>
  <c r="P14" s="1"/>
  <c r="C64"/>
  <c r="C91" s="1"/>
  <c r="C66"/>
  <c r="C93" s="1"/>
  <c r="Q16"/>
  <c r="P16" s="1"/>
  <c r="Q18"/>
  <c r="P18" s="1"/>
  <c r="C68"/>
  <c r="C95" s="1"/>
  <c r="C70"/>
  <c r="C97" s="1"/>
  <c r="Q20"/>
  <c r="P20" s="1"/>
  <c r="C72"/>
  <c r="C99" s="1"/>
  <c r="Q22"/>
  <c r="P22" s="1"/>
  <c r="C74"/>
  <c r="C101" s="1"/>
  <c r="C35"/>
  <c r="Q24"/>
  <c r="E74"/>
  <c r="E101" s="1"/>
  <c r="E35"/>
  <c r="G74"/>
  <c r="G101" s="1"/>
  <c r="G35"/>
  <c r="I35"/>
  <c r="I74"/>
  <c r="I101" s="1"/>
  <c r="K74"/>
  <c r="K101" s="1"/>
  <c r="K35"/>
  <c r="Q26"/>
  <c r="P26" s="1"/>
  <c r="C76"/>
  <c r="C103" s="1"/>
  <c r="C78"/>
  <c r="C105" s="1"/>
  <c r="Q28"/>
  <c r="B36"/>
  <c r="B40"/>
  <c r="B45"/>
  <c r="D79"/>
  <c r="D106" s="1"/>
  <c r="D45"/>
  <c r="D36"/>
  <c r="D40"/>
  <c r="F36"/>
  <c r="F40"/>
  <c r="F79"/>
  <c r="F106" s="1"/>
  <c r="F45"/>
  <c r="H79"/>
  <c r="H106" s="1"/>
  <c r="H45"/>
  <c r="H36"/>
  <c r="H40"/>
  <c r="J36"/>
  <c r="J40"/>
  <c r="J79"/>
  <c r="J106" s="1"/>
  <c r="J45"/>
  <c r="L79"/>
  <c r="L106" s="1"/>
  <c r="L45"/>
  <c r="L36"/>
  <c r="L40"/>
  <c r="C46"/>
  <c r="C37"/>
  <c r="C41"/>
  <c r="E46"/>
  <c r="E37"/>
  <c r="E41"/>
  <c r="G46"/>
  <c r="G37"/>
  <c r="G41"/>
  <c r="I46"/>
  <c r="I37"/>
  <c r="I41"/>
  <c r="K46"/>
  <c r="K37"/>
  <c r="K41"/>
  <c r="B47"/>
  <c r="B38"/>
  <c r="B42"/>
  <c r="D47" i="229"/>
  <c r="D38"/>
  <c r="D42"/>
  <c r="D31" i="230"/>
  <c r="D47" i="228"/>
  <c r="D38"/>
  <c r="D42"/>
  <c r="F31" i="230"/>
  <c r="F47" i="228"/>
  <c r="F38"/>
  <c r="F42"/>
  <c r="H47" i="229"/>
  <c r="H38"/>
  <c r="H42"/>
  <c r="H31" i="230"/>
  <c r="H47" i="228"/>
  <c r="H38"/>
  <c r="H42"/>
  <c r="J31" i="230"/>
  <c r="J47" i="228"/>
  <c r="J38"/>
  <c r="J42"/>
  <c r="L47" i="229"/>
  <c r="L38"/>
  <c r="L42"/>
  <c r="L31" i="230"/>
  <c r="L47" i="228"/>
  <c r="L38"/>
  <c r="L42"/>
  <c r="C32" i="230"/>
  <c r="C48" i="228"/>
  <c r="C39"/>
  <c r="C43"/>
  <c r="E48" i="229"/>
  <c r="E39"/>
  <c r="E43"/>
  <c r="E32" i="230"/>
  <c r="E48" i="228"/>
  <c r="E39"/>
  <c r="E43"/>
  <c r="G32" i="230"/>
  <c r="G48" i="228"/>
  <c r="G39"/>
  <c r="G43"/>
  <c r="I48" i="229"/>
  <c r="I39"/>
  <c r="I43"/>
  <c r="I32" i="230"/>
  <c r="I48" i="228"/>
  <c r="I39"/>
  <c r="I43"/>
  <c r="K32" i="230"/>
  <c r="K48" i="228"/>
  <c r="K39"/>
  <c r="K43"/>
  <c r="C5" i="230"/>
  <c r="C55" i="228"/>
  <c r="C85" s="1"/>
  <c r="Q5"/>
  <c r="P5" s="1"/>
  <c r="C55" i="229"/>
  <c r="C82" s="1"/>
  <c r="Q5"/>
  <c r="P5" s="1"/>
  <c r="E5" i="230"/>
  <c r="E56" s="1"/>
  <c r="E85" s="1"/>
  <c r="E55" i="228"/>
  <c r="E85" s="1"/>
  <c r="G5" i="230"/>
  <c r="G56" s="1"/>
  <c r="G85" s="1"/>
  <c r="G55" i="228"/>
  <c r="G85" s="1"/>
  <c r="I5" i="230"/>
  <c r="I56" s="1"/>
  <c r="I85" s="1"/>
  <c r="I55" i="228"/>
  <c r="I85" s="1"/>
  <c r="K5" i="230"/>
  <c r="K56" s="1"/>
  <c r="K85" s="1"/>
  <c r="K55" i="228"/>
  <c r="K85" s="1"/>
  <c r="D6" i="230"/>
  <c r="D57" s="1"/>
  <c r="D86" s="1"/>
  <c r="D56" i="228"/>
  <c r="D86" s="1"/>
  <c r="F6" i="230"/>
  <c r="F57" s="1"/>
  <c r="F86" s="1"/>
  <c r="F56" i="228"/>
  <c r="F86" s="1"/>
  <c r="H6" i="230"/>
  <c r="H57" s="1"/>
  <c r="H86" s="1"/>
  <c r="H56" i="228"/>
  <c r="H86" s="1"/>
  <c r="J6" i="230"/>
  <c r="J57" s="1"/>
  <c r="J86" s="1"/>
  <c r="J56" i="228"/>
  <c r="J86" s="1"/>
  <c r="L6" i="230"/>
  <c r="L57" s="1"/>
  <c r="L86" s="1"/>
  <c r="L56" i="228"/>
  <c r="L86" s="1"/>
  <c r="C7" i="230"/>
  <c r="Q7" i="228"/>
  <c r="P7" s="1"/>
  <c r="C57"/>
  <c r="C87" s="1"/>
  <c r="E7" i="230"/>
  <c r="E58" s="1"/>
  <c r="E87" s="1"/>
  <c r="E57" i="228"/>
  <c r="E87" s="1"/>
  <c r="G7" i="230"/>
  <c r="G58" s="1"/>
  <c r="G87" s="1"/>
  <c r="G57" i="228"/>
  <c r="G87" s="1"/>
  <c r="I7" i="230"/>
  <c r="I58" s="1"/>
  <c r="I87" s="1"/>
  <c r="I57" i="228"/>
  <c r="I87" s="1"/>
  <c r="K7" i="230"/>
  <c r="K58" s="1"/>
  <c r="K87" s="1"/>
  <c r="K57" i="228"/>
  <c r="K87" s="1"/>
  <c r="D8" i="230"/>
  <c r="D59" s="1"/>
  <c r="D88" s="1"/>
  <c r="D58" i="228"/>
  <c r="D88" s="1"/>
  <c r="F8" i="230"/>
  <c r="F59" s="1"/>
  <c r="F88" s="1"/>
  <c r="F58" i="228"/>
  <c r="F88" s="1"/>
  <c r="H8" i="230"/>
  <c r="H59" s="1"/>
  <c r="H88" s="1"/>
  <c r="H58" i="228"/>
  <c r="H88" s="1"/>
  <c r="J8" i="230"/>
  <c r="J59" s="1"/>
  <c r="J88" s="1"/>
  <c r="J58" i="228"/>
  <c r="J88" s="1"/>
  <c r="L8" i="230"/>
  <c r="L59" s="1"/>
  <c r="L88" s="1"/>
  <c r="L58" i="228"/>
  <c r="L88" s="1"/>
  <c r="C9" i="230"/>
  <c r="Q9" i="228"/>
  <c r="P9" s="1"/>
  <c r="C59"/>
  <c r="C89" s="1"/>
  <c r="C59" i="229"/>
  <c r="C86" s="1"/>
  <c r="Q9"/>
  <c r="P9" s="1"/>
  <c r="E9" i="230"/>
  <c r="E60" s="1"/>
  <c r="E89" s="1"/>
  <c r="E59" i="228"/>
  <c r="E89" s="1"/>
  <c r="G9" i="230"/>
  <c r="G60" s="1"/>
  <c r="G89" s="1"/>
  <c r="G59" i="228"/>
  <c r="G89" s="1"/>
  <c r="I9" i="230"/>
  <c r="I60" s="1"/>
  <c r="I89" s="1"/>
  <c r="I59" i="228"/>
  <c r="I89" s="1"/>
  <c r="K9" i="230"/>
  <c r="K60" s="1"/>
  <c r="K89" s="1"/>
  <c r="K59" i="228"/>
  <c r="K89" s="1"/>
  <c r="D10" i="230"/>
  <c r="D61" s="1"/>
  <c r="D90" s="1"/>
  <c r="D60" i="228"/>
  <c r="D90" s="1"/>
  <c r="F10" i="230"/>
  <c r="F61" s="1"/>
  <c r="F90" s="1"/>
  <c r="F60" i="228"/>
  <c r="F90" s="1"/>
  <c r="H10" i="230"/>
  <c r="H61" s="1"/>
  <c r="H90" s="1"/>
  <c r="H60" i="228"/>
  <c r="H90" s="1"/>
  <c r="J10" i="230"/>
  <c r="J61" s="1"/>
  <c r="J90" s="1"/>
  <c r="J60" i="228"/>
  <c r="J90" s="1"/>
  <c r="L10" i="230"/>
  <c r="L61" s="1"/>
  <c r="L90" s="1"/>
  <c r="L60" i="228"/>
  <c r="L90" s="1"/>
  <c r="C11" i="230"/>
  <c r="C61" i="228"/>
  <c r="C91" s="1"/>
  <c r="Q11"/>
  <c r="P11" s="1"/>
  <c r="E11" i="230"/>
  <c r="E62" s="1"/>
  <c r="E91" s="1"/>
  <c r="E61" i="228"/>
  <c r="E91" s="1"/>
  <c r="G11" i="230"/>
  <c r="G62" s="1"/>
  <c r="G91" s="1"/>
  <c r="G61" i="228"/>
  <c r="G91" s="1"/>
  <c r="I11" i="230"/>
  <c r="I62" s="1"/>
  <c r="I91" s="1"/>
  <c r="I61" i="228"/>
  <c r="I91" s="1"/>
  <c r="K11" i="230"/>
  <c r="K62" s="1"/>
  <c r="K91" s="1"/>
  <c r="K61" i="228"/>
  <c r="K91" s="1"/>
  <c r="D12" i="230"/>
  <c r="D63" s="1"/>
  <c r="D92" s="1"/>
  <c r="D62" i="228"/>
  <c r="D92" s="1"/>
  <c r="F12" i="230"/>
  <c r="F63" s="1"/>
  <c r="F92" s="1"/>
  <c r="F62" i="228"/>
  <c r="F92" s="1"/>
  <c r="H12" i="230"/>
  <c r="H63" s="1"/>
  <c r="H92" s="1"/>
  <c r="H62" i="228"/>
  <c r="H92" s="1"/>
  <c r="J12" i="230"/>
  <c r="J63" s="1"/>
  <c r="J92" s="1"/>
  <c r="J62" i="228"/>
  <c r="J92" s="1"/>
  <c r="L12" i="230"/>
  <c r="L63" s="1"/>
  <c r="L92" s="1"/>
  <c r="L62" i="228"/>
  <c r="L92" s="1"/>
  <c r="C13" i="230"/>
  <c r="Q13" i="228"/>
  <c r="C34"/>
  <c r="C63"/>
  <c r="C93" s="1"/>
  <c r="C63" i="229"/>
  <c r="C90" s="1"/>
  <c r="C34"/>
  <c r="Q13"/>
  <c r="E13" i="230"/>
  <c r="E63" i="228"/>
  <c r="E93" s="1"/>
  <c r="E34"/>
  <c r="G13" i="230"/>
  <c r="G34" i="228"/>
  <c r="G63"/>
  <c r="G93" s="1"/>
  <c r="G63" i="229"/>
  <c r="G90" s="1"/>
  <c r="G34"/>
  <c r="I13" i="230"/>
  <c r="I63" i="228"/>
  <c r="I93" s="1"/>
  <c r="I34"/>
  <c r="K13" i="230"/>
  <c r="K34" i="228"/>
  <c r="K63"/>
  <c r="K93" s="1"/>
  <c r="K63" i="229"/>
  <c r="K90" s="1"/>
  <c r="K34"/>
  <c r="D14" i="230"/>
  <c r="D65" s="1"/>
  <c r="D94" s="1"/>
  <c r="D64" i="228"/>
  <c r="D94" s="1"/>
  <c r="F14" i="230"/>
  <c r="F65" s="1"/>
  <c r="F94" s="1"/>
  <c r="F64" i="228"/>
  <c r="F94" s="1"/>
  <c r="H14" i="230"/>
  <c r="H65" s="1"/>
  <c r="H94" s="1"/>
  <c r="H64" i="228"/>
  <c r="H94" s="1"/>
  <c r="J14" i="230"/>
  <c r="J65" s="1"/>
  <c r="J94" s="1"/>
  <c r="J64" i="228"/>
  <c r="J94" s="1"/>
  <c r="L14" i="230"/>
  <c r="L65" s="1"/>
  <c r="L94" s="1"/>
  <c r="L64" i="228"/>
  <c r="L94" s="1"/>
  <c r="C15" i="230"/>
  <c r="C65" i="228"/>
  <c r="C95" s="1"/>
  <c r="Q15"/>
  <c r="P15" s="1"/>
  <c r="E15" i="230"/>
  <c r="E66" s="1"/>
  <c r="E95" s="1"/>
  <c r="E65" i="228"/>
  <c r="E95" s="1"/>
  <c r="G15" i="230"/>
  <c r="G66" s="1"/>
  <c r="G95" s="1"/>
  <c r="G65" i="228"/>
  <c r="G95" s="1"/>
  <c r="I15" i="230"/>
  <c r="I66" s="1"/>
  <c r="I95" s="1"/>
  <c r="I65" i="228"/>
  <c r="I95" s="1"/>
  <c r="K15" i="230"/>
  <c r="K66" s="1"/>
  <c r="K95" s="1"/>
  <c r="K65" i="228"/>
  <c r="K95" s="1"/>
  <c r="D16" i="230"/>
  <c r="D67" s="1"/>
  <c r="D96" s="1"/>
  <c r="D66" i="228"/>
  <c r="D96" s="1"/>
  <c r="F16" i="230"/>
  <c r="F67" s="1"/>
  <c r="F96" s="1"/>
  <c r="F66" i="228"/>
  <c r="F96" s="1"/>
  <c r="H16" i="230"/>
  <c r="H67" s="1"/>
  <c r="H96" s="1"/>
  <c r="H66" i="228"/>
  <c r="H96" s="1"/>
  <c r="J16" i="230"/>
  <c r="J67" s="1"/>
  <c r="J96" s="1"/>
  <c r="J66" i="228"/>
  <c r="J96" s="1"/>
  <c r="L16" i="230"/>
  <c r="L67" s="1"/>
  <c r="L96" s="1"/>
  <c r="L66" i="228"/>
  <c r="L96" s="1"/>
  <c r="C17" i="230"/>
  <c r="C67" i="228"/>
  <c r="C97" s="1"/>
  <c r="Q17"/>
  <c r="P17" s="1"/>
  <c r="C67" i="229"/>
  <c r="C94" s="1"/>
  <c r="Q17"/>
  <c r="P17" s="1"/>
  <c r="E17" i="230"/>
  <c r="E68" s="1"/>
  <c r="E97" s="1"/>
  <c r="E67" i="228"/>
  <c r="E97" s="1"/>
  <c r="G17" i="230"/>
  <c r="G68" s="1"/>
  <c r="G97" s="1"/>
  <c r="G67" i="228"/>
  <c r="G97" s="1"/>
  <c r="I17" i="230"/>
  <c r="I68" s="1"/>
  <c r="I97" s="1"/>
  <c r="I67" i="228"/>
  <c r="I97" s="1"/>
  <c r="K17" i="230"/>
  <c r="K68" s="1"/>
  <c r="K97" s="1"/>
  <c r="K67" i="228"/>
  <c r="K97" s="1"/>
  <c r="D18" i="230"/>
  <c r="D69" s="1"/>
  <c r="D98" s="1"/>
  <c r="D68" i="228"/>
  <c r="D98" s="1"/>
  <c r="F18" i="230"/>
  <c r="F69" s="1"/>
  <c r="F98" s="1"/>
  <c r="F68" i="228"/>
  <c r="F98" s="1"/>
  <c r="H18" i="230"/>
  <c r="H69" s="1"/>
  <c r="H98" s="1"/>
  <c r="H68" i="228"/>
  <c r="H98" s="1"/>
  <c r="J18" i="230"/>
  <c r="J69" s="1"/>
  <c r="J98" s="1"/>
  <c r="J68" i="228"/>
  <c r="J98" s="1"/>
  <c r="L18" i="230"/>
  <c r="L69" s="1"/>
  <c r="L98" s="1"/>
  <c r="L68" i="228"/>
  <c r="L98" s="1"/>
  <c r="C19" i="230"/>
  <c r="Q19" i="228"/>
  <c r="P19" s="1"/>
  <c r="C69"/>
  <c r="C99" s="1"/>
  <c r="E19" i="230"/>
  <c r="E70" s="1"/>
  <c r="E99" s="1"/>
  <c r="E69" i="228"/>
  <c r="E99" s="1"/>
  <c r="G19" i="230"/>
  <c r="G70" s="1"/>
  <c r="G99" s="1"/>
  <c r="G69" i="228"/>
  <c r="G99" s="1"/>
  <c r="I19" i="230"/>
  <c r="I70" s="1"/>
  <c r="I99" s="1"/>
  <c r="I69" i="228"/>
  <c r="I99" s="1"/>
  <c r="K19" i="230"/>
  <c r="K70" s="1"/>
  <c r="K99" s="1"/>
  <c r="K69" i="228"/>
  <c r="K99" s="1"/>
  <c r="D20" i="230"/>
  <c r="D71" s="1"/>
  <c r="D100" s="1"/>
  <c r="D70" i="228"/>
  <c r="D100" s="1"/>
  <c r="F20" i="230"/>
  <c r="F71" s="1"/>
  <c r="F100" s="1"/>
  <c r="F70" i="228"/>
  <c r="F100" s="1"/>
  <c r="H20" i="230"/>
  <c r="H71" s="1"/>
  <c r="H100" s="1"/>
  <c r="H70" i="228"/>
  <c r="H100" s="1"/>
  <c r="J20" i="230"/>
  <c r="J71" s="1"/>
  <c r="J100" s="1"/>
  <c r="J70" i="228"/>
  <c r="J100" s="1"/>
  <c r="L20" i="230"/>
  <c r="L71" s="1"/>
  <c r="L100" s="1"/>
  <c r="L70" i="228"/>
  <c r="L100" s="1"/>
  <c r="D78" i="470"/>
  <c r="D107" s="1"/>
  <c r="D38"/>
  <c r="D42"/>
  <c r="H78"/>
  <c r="H107" s="1"/>
  <c r="H38"/>
  <c r="H42"/>
  <c r="L78"/>
  <c r="L107" s="1"/>
  <c r="L38"/>
  <c r="L42"/>
  <c r="E23" i="234"/>
  <c r="E73" s="1"/>
  <c r="E102" s="1"/>
  <c r="E73" i="232"/>
  <c r="E100" s="1"/>
  <c r="G23" i="234"/>
  <c r="G73" s="1"/>
  <c r="G102" s="1"/>
  <c r="G73" i="232"/>
  <c r="G100" s="1"/>
  <c r="I23" i="234"/>
  <c r="I73" s="1"/>
  <c r="I102" s="1"/>
  <c r="I73" i="232"/>
  <c r="I100" s="1"/>
  <c r="K23" i="234"/>
  <c r="K73" s="1"/>
  <c r="K102" s="1"/>
  <c r="K73" i="232"/>
  <c r="K100" s="1"/>
  <c r="B24" i="234"/>
  <c r="B35" i="232"/>
  <c r="D24" i="234"/>
  <c r="D74" i="232"/>
  <c r="D101" s="1"/>
  <c r="D35"/>
  <c r="F24" i="234"/>
  <c r="F35" i="232"/>
  <c r="F74"/>
  <c r="F101" s="1"/>
  <c r="H24" i="234"/>
  <c r="H74" i="232"/>
  <c r="H101" s="1"/>
  <c r="H35"/>
  <c r="J24" i="234"/>
  <c r="J35" i="232"/>
  <c r="J74"/>
  <c r="J101" s="1"/>
  <c r="L24" i="234"/>
  <c r="L74" i="232"/>
  <c r="L101" s="1"/>
  <c r="L35"/>
  <c r="C25" i="234"/>
  <c r="Q25" i="232"/>
  <c r="P25" s="1"/>
  <c r="C75"/>
  <c r="C102" s="1"/>
  <c r="E25" i="234"/>
  <c r="E75" s="1"/>
  <c r="E104" s="1"/>
  <c r="E75" i="232"/>
  <c r="E102" s="1"/>
  <c r="G25" i="234"/>
  <c r="G75" s="1"/>
  <c r="G104" s="1"/>
  <c r="G75" i="232"/>
  <c r="G102" s="1"/>
  <c r="I25" i="234"/>
  <c r="I75" s="1"/>
  <c r="I104" s="1"/>
  <c r="I75" i="232"/>
  <c r="I102" s="1"/>
  <c r="K25" i="234"/>
  <c r="K75" s="1"/>
  <c r="K104" s="1"/>
  <c r="K75" i="232"/>
  <c r="K102" s="1"/>
  <c r="D26" i="234"/>
  <c r="D76" s="1"/>
  <c r="D105" s="1"/>
  <c r="D76" i="232"/>
  <c r="D103" s="1"/>
  <c r="F26" i="234"/>
  <c r="F76" s="1"/>
  <c r="F105" s="1"/>
  <c r="F76" i="232"/>
  <c r="F103" s="1"/>
  <c r="H26" i="234"/>
  <c r="H76" s="1"/>
  <c r="H105" s="1"/>
  <c r="H76" i="232"/>
  <c r="H103" s="1"/>
  <c r="J26" i="234"/>
  <c r="J76" s="1"/>
  <c r="J105" s="1"/>
  <c r="J76" i="232"/>
  <c r="J103" s="1"/>
  <c r="L26" i="234"/>
  <c r="L76" s="1"/>
  <c r="L105" s="1"/>
  <c r="L76" i="232"/>
  <c r="L103" s="1"/>
  <c r="C27" i="234"/>
  <c r="C77" i="232"/>
  <c r="C104" s="1"/>
  <c r="Q27"/>
  <c r="P27" s="1"/>
  <c r="E27" i="234"/>
  <c r="E77" s="1"/>
  <c r="E106" s="1"/>
  <c r="E77" i="232"/>
  <c r="E104" s="1"/>
  <c r="G27" i="234"/>
  <c r="G77" s="1"/>
  <c r="G106" s="1"/>
  <c r="G77" i="232"/>
  <c r="G104" s="1"/>
  <c r="I27" i="234"/>
  <c r="I77" s="1"/>
  <c r="I106" s="1"/>
  <c r="I77" i="232"/>
  <c r="I104" s="1"/>
  <c r="K27" i="234"/>
  <c r="K77" s="1"/>
  <c r="K106" s="1"/>
  <c r="K77" i="232"/>
  <c r="K104" s="1"/>
  <c r="M35" i="225"/>
  <c r="M40"/>
  <c r="D28" i="234"/>
  <c r="D78" s="1"/>
  <c r="D107" s="1"/>
  <c r="D78" i="232"/>
  <c r="D105" s="1"/>
  <c r="F28" i="234"/>
  <c r="F78" s="1"/>
  <c r="F107" s="1"/>
  <c r="F78" i="232"/>
  <c r="F105" s="1"/>
  <c r="H28" i="234"/>
  <c r="H78" s="1"/>
  <c r="H107" s="1"/>
  <c r="H78" i="232"/>
  <c r="H105" s="1"/>
  <c r="J28" i="234"/>
  <c r="J78" s="1"/>
  <c r="J107" s="1"/>
  <c r="J78" i="232"/>
  <c r="J105" s="1"/>
  <c r="L28" i="234"/>
  <c r="L78" s="1"/>
  <c r="L107" s="1"/>
  <c r="L78" i="232"/>
  <c r="L105" s="1"/>
  <c r="C29" i="234"/>
  <c r="C36" i="232"/>
  <c r="C40"/>
  <c r="C45"/>
  <c r="Q29"/>
  <c r="C79"/>
  <c r="C106" s="1"/>
  <c r="E29" i="234"/>
  <c r="E79" i="232"/>
  <c r="E106" s="1"/>
  <c r="E36"/>
  <c r="E40"/>
  <c r="E45"/>
  <c r="G29" i="234"/>
  <c r="G36" i="232"/>
  <c r="G40"/>
  <c r="G45"/>
  <c r="G79"/>
  <c r="G106" s="1"/>
  <c r="I29" i="234"/>
  <c r="I79" i="232"/>
  <c r="I106" s="1"/>
  <c r="I36"/>
  <c r="I40"/>
  <c r="I45"/>
  <c r="K29" i="234"/>
  <c r="K36" i="232"/>
  <c r="K40"/>
  <c r="K45"/>
  <c r="K79"/>
  <c r="K106" s="1"/>
  <c r="B30" i="234"/>
  <c r="B46" i="232"/>
  <c r="B37"/>
  <c r="B41"/>
  <c r="D47" i="235"/>
  <c r="D46"/>
  <c r="D37"/>
  <c r="D41"/>
  <c r="F37"/>
  <c r="F41"/>
  <c r="F47"/>
  <c r="F46"/>
  <c r="F46" i="229"/>
  <c r="F37"/>
  <c r="F41"/>
  <c r="H47" i="235"/>
  <c r="H46"/>
  <c r="H37"/>
  <c r="H41"/>
  <c r="J37"/>
  <c r="J41"/>
  <c r="J47"/>
  <c r="J46"/>
  <c r="J46" i="229"/>
  <c r="J37"/>
  <c r="J41"/>
  <c r="L47" i="235"/>
  <c r="L46"/>
  <c r="L37"/>
  <c r="L41"/>
  <c r="C38"/>
  <c r="C42"/>
  <c r="C38" i="229"/>
  <c r="C42"/>
  <c r="C47"/>
  <c r="E42" i="235"/>
  <c r="E38"/>
  <c r="G38"/>
  <c r="G42"/>
  <c r="G38" i="229"/>
  <c r="G42"/>
  <c r="G47"/>
  <c r="I42" i="235"/>
  <c r="I38"/>
  <c r="K38"/>
  <c r="K42"/>
  <c r="K38" i="229"/>
  <c r="K42"/>
  <c r="K47"/>
  <c r="B48" i="235"/>
  <c r="B43"/>
  <c r="B39"/>
  <c r="D39"/>
  <c r="D48"/>
  <c r="D43"/>
  <c r="D48" i="229"/>
  <c r="D39"/>
  <c r="D43"/>
  <c r="F48" i="235"/>
  <c r="F43"/>
  <c r="F39"/>
  <c r="H39"/>
  <c r="H48"/>
  <c r="H43"/>
  <c r="H48" i="229"/>
  <c r="H39"/>
  <c r="H43"/>
  <c r="J48" i="235"/>
  <c r="J43"/>
  <c r="J39"/>
  <c r="L39"/>
  <c r="L48"/>
  <c r="L43"/>
  <c r="L48" i="229"/>
  <c r="L39"/>
  <c r="L43"/>
  <c r="C73"/>
  <c r="C100" s="1"/>
  <c r="Q23"/>
  <c r="P23" s="1"/>
  <c r="D35"/>
  <c r="D74"/>
  <c r="D101" s="1"/>
  <c r="H35"/>
  <c r="H74"/>
  <c r="H101" s="1"/>
  <c r="L35"/>
  <c r="L74"/>
  <c r="L101" s="1"/>
  <c r="C77"/>
  <c r="C104" s="1"/>
  <c r="Q27"/>
  <c r="P27" s="1"/>
  <c r="M35" i="469"/>
  <c r="M40"/>
  <c r="C45" i="235"/>
  <c r="C36"/>
  <c r="C40"/>
  <c r="E36"/>
  <c r="E40"/>
  <c r="E45"/>
  <c r="E36" i="229"/>
  <c r="E79"/>
  <c r="E106" s="1"/>
  <c r="E40"/>
  <c r="E45"/>
  <c r="G45" i="235"/>
  <c r="G36"/>
  <c r="G40"/>
  <c r="I36"/>
  <c r="I40"/>
  <c r="I45"/>
  <c r="I36" i="229"/>
  <c r="I79"/>
  <c r="I106" s="1"/>
  <c r="I40"/>
  <c r="I45"/>
  <c r="K45" i="235"/>
  <c r="K36"/>
  <c r="K40"/>
  <c r="B37"/>
  <c r="B41"/>
  <c r="B46"/>
  <c r="B46" i="229"/>
  <c r="B37"/>
  <c r="B41"/>
  <c r="D30" i="234"/>
  <c r="D37" i="232"/>
  <c r="D41"/>
  <c r="D46"/>
  <c r="F30" i="234"/>
  <c r="F46" i="232"/>
  <c r="F37"/>
  <c r="F41"/>
  <c r="H30" i="234"/>
  <c r="H37" i="232"/>
  <c r="H41"/>
  <c r="H46"/>
  <c r="J30" i="234"/>
  <c r="J46" i="232"/>
  <c r="J37"/>
  <c r="J41"/>
  <c r="L30" i="234"/>
  <c r="L37" i="232"/>
  <c r="L41"/>
  <c r="L46"/>
  <c r="C31" i="234"/>
  <c r="C47" i="232"/>
  <c r="C38"/>
  <c r="C42"/>
  <c r="E31" i="234"/>
  <c r="E38" i="232"/>
  <c r="E42"/>
  <c r="E47"/>
  <c r="G31" i="234"/>
  <c r="G47" i="232"/>
  <c r="G38"/>
  <c r="G42"/>
  <c r="I31" i="234"/>
  <c r="I38" i="232"/>
  <c r="I42"/>
  <c r="I47"/>
  <c r="K31" i="234"/>
  <c r="K47" i="232"/>
  <c r="K38"/>
  <c r="K42"/>
  <c r="B32" i="234"/>
  <c r="B48" i="232"/>
  <c r="B39"/>
  <c r="B43"/>
  <c r="D32" i="234"/>
  <c r="D48" i="232"/>
  <c r="D39"/>
  <c r="D43"/>
  <c r="F32" i="234"/>
  <c r="F48" i="232"/>
  <c r="F39"/>
  <c r="F43"/>
  <c r="H32" i="234"/>
  <c r="H48" i="232"/>
  <c r="H39"/>
  <c r="H43"/>
  <c r="J32" i="234"/>
  <c r="J48" i="232"/>
  <c r="J39"/>
  <c r="J43"/>
  <c r="L32" i="234"/>
  <c r="L48" i="232"/>
  <c r="L39"/>
  <c r="L43"/>
  <c r="D56" i="233"/>
  <c r="D83" s="1"/>
  <c r="F56"/>
  <c r="F83" s="1"/>
  <c r="H56"/>
  <c r="H83" s="1"/>
  <c r="J56"/>
  <c r="J83" s="1"/>
  <c r="L56"/>
  <c r="L83" s="1"/>
  <c r="D58"/>
  <c r="D85" s="1"/>
  <c r="F58"/>
  <c r="F85" s="1"/>
  <c r="H58"/>
  <c r="H85" s="1"/>
  <c r="J58"/>
  <c r="J85" s="1"/>
  <c r="L58"/>
  <c r="L85" s="1"/>
  <c r="D60"/>
  <c r="D87" s="1"/>
  <c r="F60"/>
  <c r="F87" s="1"/>
  <c r="H60"/>
  <c r="H87" s="1"/>
  <c r="J60"/>
  <c r="J87" s="1"/>
  <c r="L60"/>
  <c r="L87" s="1"/>
  <c r="D62"/>
  <c r="D89" s="1"/>
  <c r="F62"/>
  <c r="F89" s="1"/>
  <c r="H62"/>
  <c r="H89" s="1"/>
  <c r="J62"/>
  <c r="J89" s="1"/>
  <c r="L62"/>
  <c r="L89" s="1"/>
  <c r="D64"/>
  <c r="D91" s="1"/>
  <c r="F64"/>
  <c r="F91" s="1"/>
  <c r="H64"/>
  <c r="H91" s="1"/>
  <c r="J64"/>
  <c r="J91" s="1"/>
  <c r="L64"/>
  <c r="L91" s="1"/>
  <c r="D66"/>
  <c r="D93" s="1"/>
  <c r="F66"/>
  <c r="F93" s="1"/>
  <c r="H66"/>
  <c r="H93" s="1"/>
  <c r="J66"/>
  <c r="J93" s="1"/>
  <c r="L66"/>
  <c r="L93" s="1"/>
  <c r="D68"/>
  <c r="D95" s="1"/>
  <c r="F68"/>
  <c r="F95" s="1"/>
  <c r="H68"/>
  <c r="H95" s="1"/>
  <c r="J68"/>
  <c r="J95" s="1"/>
  <c r="L68"/>
  <c r="L95" s="1"/>
  <c r="D70"/>
  <c r="D97" s="1"/>
  <c r="F70"/>
  <c r="F97" s="1"/>
  <c r="H70"/>
  <c r="H97" s="1"/>
  <c r="J70"/>
  <c r="J97" s="1"/>
  <c r="L70"/>
  <c r="L97" s="1"/>
  <c r="D72"/>
  <c r="D99" s="1"/>
  <c r="F72"/>
  <c r="F99" s="1"/>
  <c r="H72"/>
  <c r="H99" s="1"/>
  <c r="J72"/>
  <c r="J99" s="1"/>
  <c r="L72"/>
  <c r="L99" s="1"/>
  <c r="D55"/>
  <c r="D82" s="1"/>
  <c r="F55"/>
  <c r="F82" s="1"/>
  <c r="H55"/>
  <c r="H82" s="1"/>
  <c r="J55"/>
  <c r="J82" s="1"/>
  <c r="L55"/>
  <c r="L82" s="1"/>
  <c r="E56"/>
  <c r="E83" s="1"/>
  <c r="G56"/>
  <c r="G83" s="1"/>
  <c r="I56"/>
  <c r="I83" s="1"/>
  <c r="K56"/>
  <c r="K83" s="1"/>
  <c r="D57"/>
  <c r="D84" s="1"/>
  <c r="F57"/>
  <c r="F84" s="1"/>
  <c r="H57"/>
  <c r="H84" s="1"/>
  <c r="J57"/>
  <c r="J84" s="1"/>
  <c r="L57"/>
  <c r="L84" s="1"/>
  <c r="E58"/>
  <c r="E85" s="1"/>
  <c r="G58"/>
  <c r="G85" s="1"/>
  <c r="I58"/>
  <c r="I85" s="1"/>
  <c r="K58"/>
  <c r="K85" s="1"/>
  <c r="D59"/>
  <c r="D86" s="1"/>
  <c r="F59"/>
  <c r="F86" s="1"/>
  <c r="H59"/>
  <c r="H86" s="1"/>
  <c r="J59"/>
  <c r="J86" s="1"/>
  <c r="L59"/>
  <c r="L86" s="1"/>
  <c r="E60"/>
  <c r="E87" s="1"/>
  <c r="G60"/>
  <c r="G87" s="1"/>
  <c r="I60"/>
  <c r="I87" s="1"/>
  <c r="K60"/>
  <c r="K87" s="1"/>
  <c r="D61"/>
  <c r="D88" s="1"/>
  <c r="F61"/>
  <c r="F88" s="1"/>
  <c r="H61"/>
  <c r="H88" s="1"/>
  <c r="J61"/>
  <c r="J88" s="1"/>
  <c r="L61"/>
  <c r="L88" s="1"/>
  <c r="E62"/>
  <c r="E89" s="1"/>
  <c r="G62"/>
  <c r="G89" s="1"/>
  <c r="I62"/>
  <c r="I89" s="1"/>
  <c r="K62"/>
  <c r="K89" s="1"/>
  <c r="B34"/>
  <c r="E64"/>
  <c r="E91" s="1"/>
  <c r="G64"/>
  <c r="G91" s="1"/>
  <c r="I64"/>
  <c r="I91" s="1"/>
  <c r="K64"/>
  <c r="K91" s="1"/>
  <c r="D65"/>
  <c r="D92" s="1"/>
  <c r="F65"/>
  <c r="F92" s="1"/>
  <c r="H65"/>
  <c r="H92" s="1"/>
  <c r="J65"/>
  <c r="J92" s="1"/>
  <c r="L65"/>
  <c r="L92" s="1"/>
  <c r="E66"/>
  <c r="E93" s="1"/>
  <c r="G66"/>
  <c r="G93" s="1"/>
  <c r="I66"/>
  <c r="I93" s="1"/>
  <c r="K66"/>
  <c r="K93" s="1"/>
  <c r="D67"/>
  <c r="D94" s="1"/>
  <c r="F67"/>
  <c r="F94" s="1"/>
  <c r="H67"/>
  <c r="H94" s="1"/>
  <c r="J67"/>
  <c r="J94" s="1"/>
  <c r="L67"/>
  <c r="L94" s="1"/>
  <c r="E68"/>
  <c r="E95" s="1"/>
  <c r="G68"/>
  <c r="G95" s="1"/>
  <c r="I68"/>
  <c r="I95" s="1"/>
  <c r="K68"/>
  <c r="K95" s="1"/>
  <c r="D69"/>
  <c r="D96" s="1"/>
  <c r="F69"/>
  <c r="F96" s="1"/>
  <c r="H69"/>
  <c r="H96" s="1"/>
  <c r="J69"/>
  <c r="J96" s="1"/>
  <c r="L69"/>
  <c r="L96" s="1"/>
  <c r="E70"/>
  <c r="E97" s="1"/>
  <c r="G70"/>
  <c r="G97" s="1"/>
  <c r="I70"/>
  <c r="I97" s="1"/>
  <c r="K70"/>
  <c r="K97" s="1"/>
  <c r="D71"/>
  <c r="D98" s="1"/>
  <c r="F71"/>
  <c r="F98" s="1"/>
  <c r="H71"/>
  <c r="H98" s="1"/>
  <c r="J71"/>
  <c r="J98" s="1"/>
  <c r="L71"/>
  <c r="L98" s="1"/>
  <c r="E72"/>
  <c r="E99" s="1"/>
  <c r="G72"/>
  <c r="G99" s="1"/>
  <c r="I72"/>
  <c r="I99" s="1"/>
  <c r="K72"/>
  <c r="K99" s="1"/>
  <c r="D73"/>
  <c r="D100" s="1"/>
  <c r="F73"/>
  <c r="F100" s="1"/>
  <c r="H73"/>
  <c r="H100" s="1"/>
  <c r="J73"/>
  <c r="J100" s="1"/>
  <c r="L73"/>
  <c r="L100" s="1"/>
  <c r="D75"/>
  <c r="D102" s="1"/>
  <c r="F75"/>
  <c r="F102" s="1"/>
  <c r="H75"/>
  <c r="H102" s="1"/>
  <c r="J75"/>
  <c r="J102" s="1"/>
  <c r="L75"/>
  <c r="L102" s="1"/>
  <c r="D77"/>
  <c r="D104" s="1"/>
  <c r="F77"/>
  <c r="F104" s="1"/>
  <c r="H77"/>
  <c r="H104" s="1"/>
  <c r="J77"/>
  <c r="J104" s="1"/>
  <c r="L77"/>
  <c r="L104" s="1"/>
  <c r="G55" i="229"/>
  <c r="G82" s="1"/>
  <c r="K55"/>
  <c r="K82" s="1"/>
  <c r="D56"/>
  <c r="D83" s="1"/>
  <c r="H56"/>
  <c r="H83" s="1"/>
  <c r="L56"/>
  <c r="L83" s="1"/>
  <c r="E57"/>
  <c r="E84" s="1"/>
  <c r="I57"/>
  <c r="I84" s="1"/>
  <c r="F58"/>
  <c r="F85" s="1"/>
  <c r="J58"/>
  <c r="J85" s="1"/>
  <c r="G59"/>
  <c r="G86" s="1"/>
  <c r="K59"/>
  <c r="K86" s="1"/>
  <c r="D60"/>
  <c r="D87" s="1"/>
  <c r="H60"/>
  <c r="H87" s="1"/>
  <c r="L60"/>
  <c r="L87" s="1"/>
  <c r="E61"/>
  <c r="E88" s="1"/>
  <c r="I61"/>
  <c r="I88" s="1"/>
  <c r="F62"/>
  <c r="F89" s="1"/>
  <c r="J62"/>
  <c r="J89" s="1"/>
  <c r="D64"/>
  <c r="D91" s="1"/>
  <c r="H64"/>
  <c r="H91" s="1"/>
  <c r="L64"/>
  <c r="L91" s="1"/>
  <c r="E65"/>
  <c r="E92" s="1"/>
  <c r="I65"/>
  <c r="I92" s="1"/>
  <c r="F66"/>
  <c r="F93" s="1"/>
  <c r="J66"/>
  <c r="J93" s="1"/>
  <c r="G67"/>
  <c r="G94" s="1"/>
  <c r="K67"/>
  <c r="K94" s="1"/>
  <c r="D68"/>
  <c r="D95" s="1"/>
  <c r="H68"/>
  <c r="H95" s="1"/>
  <c r="L68"/>
  <c r="L95" s="1"/>
  <c r="E69"/>
  <c r="E96" s="1"/>
  <c r="I69"/>
  <c r="I96" s="1"/>
  <c r="F70"/>
  <c r="F97" s="1"/>
  <c r="J70"/>
  <c r="J97" s="1"/>
  <c r="E71"/>
  <c r="E98" s="1"/>
  <c r="I71"/>
  <c r="I98" s="1"/>
  <c r="F72"/>
  <c r="F99" s="1"/>
  <c r="J72"/>
  <c r="J99" s="1"/>
  <c r="G73"/>
  <c r="G100" s="1"/>
  <c r="K73"/>
  <c r="K100" s="1"/>
  <c r="B35" i="235"/>
  <c r="D35"/>
  <c r="F35"/>
  <c r="H35"/>
  <c r="J35"/>
  <c r="L35"/>
  <c r="E75" i="229"/>
  <c r="E102" s="1"/>
  <c r="I75"/>
  <c r="I102" s="1"/>
  <c r="F76"/>
  <c r="F103" s="1"/>
  <c r="J76"/>
  <c r="J103" s="1"/>
  <c r="G77"/>
  <c r="G104" s="1"/>
  <c r="K77"/>
  <c r="K104" s="1"/>
  <c r="D78"/>
  <c r="D105" s="1"/>
  <c r="H78"/>
  <c r="H105" s="1"/>
  <c r="L78"/>
  <c r="L105" s="1"/>
  <c r="Q28"/>
  <c r="C78"/>
  <c r="C105" s="1"/>
  <c r="B36" i="235"/>
  <c r="B40"/>
  <c r="B45"/>
  <c r="D45"/>
  <c r="D36"/>
  <c r="D40"/>
  <c r="D79" i="229"/>
  <c r="D106" s="1"/>
  <c r="D36"/>
  <c r="D40"/>
  <c r="D45"/>
  <c r="F36" i="235"/>
  <c r="F40"/>
  <c r="F45"/>
  <c r="H45"/>
  <c r="H36"/>
  <c r="H40"/>
  <c r="H79" i="229"/>
  <c r="H106" s="1"/>
  <c r="H36"/>
  <c r="H40"/>
  <c r="H45"/>
  <c r="J36" i="235"/>
  <c r="J40"/>
  <c r="J45"/>
  <c r="L45"/>
  <c r="L36"/>
  <c r="L40"/>
  <c r="L79" i="229"/>
  <c r="L106" s="1"/>
  <c r="L36"/>
  <c r="L40"/>
  <c r="L45"/>
  <c r="C37" i="235"/>
  <c r="C41"/>
  <c r="C46"/>
  <c r="C47"/>
  <c r="E46"/>
  <c r="E47"/>
  <c r="E37"/>
  <c r="E41"/>
  <c r="E46" i="229"/>
  <c r="E37"/>
  <c r="E41"/>
  <c r="G37" i="235"/>
  <c r="G41"/>
  <c r="G46"/>
  <c r="G47"/>
  <c r="I46"/>
  <c r="I47"/>
  <c r="I37"/>
  <c r="I41"/>
  <c r="I46" i="229"/>
  <c r="I37"/>
  <c r="I41"/>
  <c r="K37" i="235"/>
  <c r="K41"/>
  <c r="K46"/>
  <c r="K47"/>
  <c r="B47"/>
  <c r="B38"/>
  <c r="B42"/>
  <c r="B47" i="229"/>
  <c r="R38" s="1"/>
  <c r="B38"/>
  <c r="B42"/>
  <c r="D31" i="234"/>
  <c r="D47" i="232"/>
  <c r="D38"/>
  <c r="D42"/>
  <c r="F31" i="234"/>
  <c r="F47" i="232"/>
  <c r="F38"/>
  <c r="F42"/>
  <c r="H31" i="234"/>
  <c r="H47" i="232"/>
  <c r="H38"/>
  <c r="H42"/>
  <c r="J31" i="234"/>
  <c r="J47" i="232"/>
  <c r="J38"/>
  <c r="J42"/>
  <c r="L31" i="234"/>
  <c r="L47" i="232"/>
  <c r="L38"/>
  <c r="L42"/>
  <c r="C32" i="234"/>
  <c r="C48" i="232"/>
  <c r="C39"/>
  <c r="C43"/>
  <c r="E32" i="234"/>
  <c r="E48" i="232"/>
  <c r="E39"/>
  <c r="E43"/>
  <c r="G32" i="234"/>
  <c r="G48" i="232"/>
  <c r="G39"/>
  <c r="G43"/>
  <c r="I32" i="234"/>
  <c r="I48" i="232"/>
  <c r="I39"/>
  <c r="I43"/>
  <c r="K32" i="234"/>
  <c r="K48" i="232"/>
  <c r="K39"/>
  <c r="K43"/>
  <c r="C5" i="234"/>
  <c r="C32" i="272"/>
  <c r="C32" i="273" s="1"/>
  <c r="Q5" i="232"/>
  <c r="P5" s="1"/>
  <c r="C55"/>
  <c r="C82" s="1"/>
  <c r="E5" i="234"/>
  <c r="E32" i="272"/>
  <c r="E32" i="273" s="1"/>
  <c r="E55" i="232"/>
  <c r="E82" s="1"/>
  <c r="G5" i="234"/>
  <c r="G32" i="272"/>
  <c r="G32" i="273" s="1"/>
  <c r="G55" i="232"/>
  <c r="G82" s="1"/>
  <c r="I5" i="234"/>
  <c r="I32" i="272"/>
  <c r="I32" i="273" s="1"/>
  <c r="I55" i="232"/>
  <c r="I82" s="1"/>
  <c r="K5" i="234"/>
  <c r="K32" i="272"/>
  <c r="K32" i="273" s="1"/>
  <c r="K55" i="232"/>
  <c r="K82" s="1"/>
  <c r="D6" i="234"/>
  <c r="D56" s="1"/>
  <c r="D85" s="1"/>
  <c r="D56" i="232"/>
  <c r="D83" s="1"/>
  <c r="F6" i="234"/>
  <c r="F56" s="1"/>
  <c r="F85" s="1"/>
  <c r="F56" i="232"/>
  <c r="F83" s="1"/>
  <c r="H6" i="234"/>
  <c r="H56" s="1"/>
  <c r="H85" s="1"/>
  <c r="H56" i="232"/>
  <c r="H83" s="1"/>
  <c r="J6" i="234"/>
  <c r="J56" s="1"/>
  <c r="J85" s="1"/>
  <c r="J56" i="232"/>
  <c r="J83" s="1"/>
  <c r="L6" i="234"/>
  <c r="L56" s="1"/>
  <c r="L85" s="1"/>
  <c r="L56" i="232"/>
  <c r="L83" s="1"/>
  <c r="C7" i="234"/>
  <c r="C57" i="232"/>
  <c r="C84" s="1"/>
  <c r="Q7"/>
  <c r="P7" s="1"/>
  <c r="E7" i="234"/>
  <c r="E57" s="1"/>
  <c r="E86" s="1"/>
  <c r="E57" i="232"/>
  <c r="E84" s="1"/>
  <c r="G7" i="234"/>
  <c r="G57" s="1"/>
  <c r="G86" s="1"/>
  <c r="G57" i="232"/>
  <c r="G84" s="1"/>
  <c r="I7" i="234"/>
  <c r="I57" s="1"/>
  <c r="I86" s="1"/>
  <c r="I57" i="232"/>
  <c r="I84" s="1"/>
  <c r="K7" i="234"/>
  <c r="K57" s="1"/>
  <c r="K86" s="1"/>
  <c r="K57" i="232"/>
  <c r="K84" s="1"/>
  <c r="D8" i="234"/>
  <c r="D58" s="1"/>
  <c r="D87" s="1"/>
  <c r="D58" i="232"/>
  <c r="D85" s="1"/>
  <c r="F8" i="234"/>
  <c r="F58" s="1"/>
  <c r="F87" s="1"/>
  <c r="F58" i="232"/>
  <c r="F85" s="1"/>
  <c r="H8" i="234"/>
  <c r="H58" s="1"/>
  <c r="H87" s="1"/>
  <c r="H58" i="232"/>
  <c r="H85" s="1"/>
  <c r="J8" i="234"/>
  <c r="J58" s="1"/>
  <c r="J87" s="1"/>
  <c r="J58" i="232"/>
  <c r="J85" s="1"/>
  <c r="L8" i="234"/>
  <c r="L58" s="1"/>
  <c r="L87" s="1"/>
  <c r="L58" i="232"/>
  <c r="L85" s="1"/>
  <c r="C9" i="234"/>
  <c r="Q9" i="232"/>
  <c r="P9" s="1"/>
  <c r="C59"/>
  <c r="C86" s="1"/>
  <c r="E9" i="234"/>
  <c r="E59" s="1"/>
  <c r="E88" s="1"/>
  <c r="E59" i="232"/>
  <c r="E86" s="1"/>
  <c r="G9" i="234"/>
  <c r="G59" s="1"/>
  <c r="G88" s="1"/>
  <c r="G59" i="232"/>
  <c r="G86" s="1"/>
  <c r="I9" i="234"/>
  <c r="I59" s="1"/>
  <c r="I88" s="1"/>
  <c r="I59" i="232"/>
  <c r="I86" s="1"/>
  <c r="K9" i="234"/>
  <c r="K59" s="1"/>
  <c r="K88" s="1"/>
  <c r="K59" i="232"/>
  <c r="K86" s="1"/>
  <c r="D10" i="234"/>
  <c r="D60" s="1"/>
  <c r="D89" s="1"/>
  <c r="D60" i="232"/>
  <c r="D87" s="1"/>
  <c r="F10" i="234"/>
  <c r="F60" s="1"/>
  <c r="F89" s="1"/>
  <c r="F60" i="232"/>
  <c r="F87" s="1"/>
  <c r="H10" i="234"/>
  <c r="H60" s="1"/>
  <c r="H89" s="1"/>
  <c r="H60" i="232"/>
  <c r="H87" s="1"/>
  <c r="J10" i="234"/>
  <c r="J60" s="1"/>
  <c r="J89" s="1"/>
  <c r="J60" i="232"/>
  <c r="J87" s="1"/>
  <c r="L10" i="234"/>
  <c r="L60" s="1"/>
  <c r="L89" s="1"/>
  <c r="L60" i="232"/>
  <c r="L87" s="1"/>
  <c r="C11" i="234"/>
  <c r="C61" i="232"/>
  <c r="C88" s="1"/>
  <c r="Q11"/>
  <c r="P11" s="1"/>
  <c r="E11" i="234"/>
  <c r="E61" s="1"/>
  <c r="E90" s="1"/>
  <c r="E61" i="232"/>
  <c r="E88" s="1"/>
  <c r="G11" i="234"/>
  <c r="G61" s="1"/>
  <c r="G90" s="1"/>
  <c r="G61" i="232"/>
  <c r="G88" s="1"/>
  <c r="I11" i="234"/>
  <c r="I61" s="1"/>
  <c r="I90" s="1"/>
  <c r="I61" i="232"/>
  <c r="I88" s="1"/>
  <c r="K11" i="234"/>
  <c r="K61" s="1"/>
  <c r="K90" s="1"/>
  <c r="K61" i="232"/>
  <c r="K88" s="1"/>
  <c r="D12" i="234"/>
  <c r="D62" s="1"/>
  <c r="D91" s="1"/>
  <c r="D62" i="232"/>
  <c r="D89" s="1"/>
  <c r="F12" i="234"/>
  <c r="F62" s="1"/>
  <c r="F91" s="1"/>
  <c r="F62" i="232"/>
  <c r="F89" s="1"/>
  <c r="H12" i="234"/>
  <c r="H62" s="1"/>
  <c r="H91" s="1"/>
  <c r="H62" i="232"/>
  <c r="H89" s="1"/>
  <c r="J12" i="234"/>
  <c r="J62" s="1"/>
  <c r="J91" s="1"/>
  <c r="J62" i="232"/>
  <c r="J89" s="1"/>
  <c r="L12" i="234"/>
  <c r="L62" s="1"/>
  <c r="L91" s="1"/>
  <c r="L62" i="232"/>
  <c r="L89" s="1"/>
  <c r="C13" i="234"/>
  <c r="C34" i="232"/>
  <c r="Q13"/>
  <c r="C63"/>
  <c r="C90" s="1"/>
  <c r="E13" i="234"/>
  <c r="E63" i="232"/>
  <c r="E90" s="1"/>
  <c r="E34"/>
  <c r="G13" i="234"/>
  <c r="G34" i="232"/>
  <c r="G63"/>
  <c r="G90" s="1"/>
  <c r="I13" i="234"/>
  <c r="I63" i="232"/>
  <c r="I90" s="1"/>
  <c r="I34"/>
  <c r="K13" i="234"/>
  <c r="K34" i="232"/>
  <c r="K63"/>
  <c r="K90" s="1"/>
  <c r="D14" i="234"/>
  <c r="D64" s="1"/>
  <c r="D93" s="1"/>
  <c r="D64" i="232"/>
  <c r="D91" s="1"/>
  <c r="F14" i="234"/>
  <c r="F64" s="1"/>
  <c r="F93" s="1"/>
  <c r="F64" i="232"/>
  <c r="F91" s="1"/>
  <c r="H14" i="234"/>
  <c r="H64" s="1"/>
  <c r="H93" s="1"/>
  <c r="H64" i="232"/>
  <c r="H91" s="1"/>
  <c r="J14" i="234"/>
  <c r="J64" s="1"/>
  <c r="J93" s="1"/>
  <c r="J64" i="232"/>
  <c r="J91" s="1"/>
  <c r="L14" i="234"/>
  <c r="L64" s="1"/>
  <c r="L93" s="1"/>
  <c r="L64" i="232"/>
  <c r="L91" s="1"/>
  <c r="C15" i="234"/>
  <c r="C65" i="232"/>
  <c r="C92" s="1"/>
  <c r="Q15"/>
  <c r="P15" s="1"/>
  <c r="E15" i="234"/>
  <c r="E65" s="1"/>
  <c r="E94" s="1"/>
  <c r="E65" i="232"/>
  <c r="E92" s="1"/>
  <c r="G15" i="234"/>
  <c r="G65" s="1"/>
  <c r="G94" s="1"/>
  <c r="G65" i="232"/>
  <c r="G92" s="1"/>
  <c r="I15" i="234"/>
  <c r="I65" s="1"/>
  <c r="I94" s="1"/>
  <c r="I65" i="232"/>
  <c r="I92" s="1"/>
  <c r="K15" i="234"/>
  <c r="K65" s="1"/>
  <c r="K94" s="1"/>
  <c r="K65" i="232"/>
  <c r="K92" s="1"/>
  <c r="D16" i="234"/>
  <c r="D66" s="1"/>
  <c r="D95" s="1"/>
  <c r="D66" i="232"/>
  <c r="D93" s="1"/>
  <c r="F16" i="234"/>
  <c r="F66" s="1"/>
  <c r="F95" s="1"/>
  <c r="F66" i="232"/>
  <c r="F93" s="1"/>
  <c r="H16" i="234"/>
  <c r="H66" s="1"/>
  <c r="H95" s="1"/>
  <c r="H66" i="232"/>
  <c r="H93" s="1"/>
  <c r="J16" i="234"/>
  <c r="J66" s="1"/>
  <c r="J95" s="1"/>
  <c r="J66" i="232"/>
  <c r="J93" s="1"/>
  <c r="L16" i="234"/>
  <c r="L66" s="1"/>
  <c r="L95" s="1"/>
  <c r="L66" i="232"/>
  <c r="L93" s="1"/>
  <c r="C17" i="234"/>
  <c r="Q17" i="232"/>
  <c r="P17" s="1"/>
  <c r="C67"/>
  <c r="C94" s="1"/>
  <c r="E17" i="234"/>
  <c r="E67" s="1"/>
  <c r="E96" s="1"/>
  <c r="E67" i="232"/>
  <c r="E94" s="1"/>
  <c r="G17" i="234"/>
  <c r="G67" s="1"/>
  <c r="G96" s="1"/>
  <c r="G67" i="232"/>
  <c r="G94" s="1"/>
  <c r="I17" i="234"/>
  <c r="I67" s="1"/>
  <c r="I96" s="1"/>
  <c r="I67" i="232"/>
  <c r="I94" s="1"/>
  <c r="K17" i="234"/>
  <c r="K67" s="1"/>
  <c r="K96" s="1"/>
  <c r="K67" i="232"/>
  <c r="K94" s="1"/>
  <c r="D18" i="234"/>
  <c r="D68" s="1"/>
  <c r="D97" s="1"/>
  <c r="D68" i="232"/>
  <c r="D95" s="1"/>
  <c r="F18" i="234"/>
  <c r="F68" s="1"/>
  <c r="F97" s="1"/>
  <c r="F68" i="232"/>
  <c r="F95" s="1"/>
  <c r="H18" i="234"/>
  <c r="H68" s="1"/>
  <c r="H97" s="1"/>
  <c r="H68" i="232"/>
  <c r="H95" s="1"/>
  <c r="J18" i="234"/>
  <c r="J68" s="1"/>
  <c r="J97" s="1"/>
  <c r="J68" i="232"/>
  <c r="J95" s="1"/>
  <c r="L18" i="234"/>
  <c r="L68" s="1"/>
  <c r="L97" s="1"/>
  <c r="L68" i="232"/>
  <c r="L95" s="1"/>
  <c r="C19" i="234"/>
  <c r="C69" i="232"/>
  <c r="C96" s="1"/>
  <c r="Q19"/>
  <c r="P19" s="1"/>
  <c r="E19" i="234"/>
  <c r="E69" s="1"/>
  <c r="E98" s="1"/>
  <c r="E69" i="232"/>
  <c r="E96" s="1"/>
  <c r="G19" i="234"/>
  <c r="G69" s="1"/>
  <c r="G98" s="1"/>
  <c r="G69" i="232"/>
  <c r="G96" s="1"/>
  <c r="I19" i="234"/>
  <c r="I69" s="1"/>
  <c r="I98" s="1"/>
  <c r="I69" i="232"/>
  <c r="I96" s="1"/>
  <c r="K19" i="234"/>
  <c r="K69" s="1"/>
  <c r="K98" s="1"/>
  <c r="K69" i="232"/>
  <c r="K96" s="1"/>
  <c r="D20" i="234"/>
  <c r="D70" s="1"/>
  <c r="D99" s="1"/>
  <c r="D70" i="232"/>
  <c r="D97" s="1"/>
  <c r="F20" i="234"/>
  <c r="F70" s="1"/>
  <c r="F99" s="1"/>
  <c r="F70" i="232"/>
  <c r="F97" s="1"/>
  <c r="H20" i="234"/>
  <c r="H70" s="1"/>
  <c r="H99" s="1"/>
  <c r="H70" i="232"/>
  <c r="H97" s="1"/>
  <c r="J20" i="234"/>
  <c r="J70" s="1"/>
  <c r="J99" s="1"/>
  <c r="J70" i="232"/>
  <c r="J97" s="1"/>
  <c r="L20" i="234"/>
  <c r="L70" s="1"/>
  <c r="L99" s="1"/>
  <c r="L70" i="232"/>
  <c r="L97" s="1"/>
  <c r="C21" i="234"/>
  <c r="Q21" i="232"/>
  <c r="P21" s="1"/>
  <c r="C71"/>
  <c r="C98" s="1"/>
  <c r="E21" i="234"/>
  <c r="E71" s="1"/>
  <c r="E100" s="1"/>
  <c r="E71" i="232"/>
  <c r="E98" s="1"/>
  <c r="G21" i="234"/>
  <c r="G71" s="1"/>
  <c r="G100" s="1"/>
  <c r="G71" i="232"/>
  <c r="G98" s="1"/>
  <c r="I21" i="234"/>
  <c r="I71" s="1"/>
  <c r="I100" s="1"/>
  <c r="I71" i="232"/>
  <c r="I98" s="1"/>
  <c r="K21" i="234"/>
  <c r="K71" s="1"/>
  <c r="K100" s="1"/>
  <c r="K71" i="232"/>
  <c r="K98" s="1"/>
  <c r="D22" i="234"/>
  <c r="D72" s="1"/>
  <c r="D101" s="1"/>
  <c r="D72" i="232"/>
  <c r="D99" s="1"/>
  <c r="F22" i="234"/>
  <c r="F72" s="1"/>
  <c r="F101" s="1"/>
  <c r="F72" i="232"/>
  <c r="F99" s="1"/>
  <c r="H22" i="234"/>
  <c r="H72" s="1"/>
  <c r="H101" s="1"/>
  <c r="H72" i="232"/>
  <c r="H99" s="1"/>
  <c r="J22" i="234"/>
  <c r="J72" s="1"/>
  <c r="J101" s="1"/>
  <c r="J72" i="232"/>
  <c r="J99" s="1"/>
  <c r="L22" i="234"/>
  <c r="L72" s="1"/>
  <c r="L101" s="1"/>
  <c r="L72" i="232"/>
  <c r="L99" s="1"/>
  <c r="C23" i="234"/>
  <c r="C73" i="232"/>
  <c r="C100" s="1"/>
  <c r="Q23"/>
  <c r="P23" s="1"/>
  <c r="Q8" i="226"/>
  <c r="P8" s="1"/>
  <c r="C56"/>
  <c r="C85" s="1"/>
  <c r="N8" s="1"/>
  <c r="O8" s="1"/>
  <c r="C60"/>
  <c r="C89" s="1"/>
  <c r="N12" s="1"/>
  <c r="O12" s="1"/>
  <c r="Q12"/>
  <c r="C64"/>
  <c r="C93" s="1"/>
  <c r="N16" s="1"/>
  <c r="O16" s="1"/>
  <c r="Q16"/>
  <c r="P16" s="1"/>
  <c r="C68"/>
  <c r="C97" s="1"/>
  <c r="N20" s="1"/>
  <c r="O20" s="1"/>
  <c r="Q20"/>
  <c r="P20" s="1"/>
  <c r="C72"/>
  <c r="C101" s="1"/>
  <c r="C35"/>
  <c r="C37"/>
  <c r="C39"/>
  <c r="Q24"/>
  <c r="P24" s="1"/>
  <c r="G72"/>
  <c r="G101" s="1"/>
  <c r="G35"/>
  <c r="G37"/>
  <c r="G39"/>
  <c r="K72"/>
  <c r="K101" s="1"/>
  <c r="K35"/>
  <c r="K37"/>
  <c r="K39"/>
  <c r="C76"/>
  <c r="C105" s="1"/>
  <c r="N28" s="1"/>
  <c r="O28" s="1"/>
  <c r="Q28"/>
  <c r="E78"/>
  <c r="E107" s="1"/>
  <c r="E38"/>
  <c r="E42"/>
  <c r="I78"/>
  <c r="I107" s="1"/>
  <c r="I38"/>
  <c r="I42"/>
  <c r="C80" i="470"/>
  <c r="C109" s="1"/>
  <c r="C44"/>
  <c r="C36"/>
  <c r="C40"/>
  <c r="G80"/>
  <c r="G109" s="1"/>
  <c r="G44"/>
  <c r="G36"/>
  <c r="G40"/>
  <c r="K80"/>
  <c r="K109" s="1"/>
  <c r="K44"/>
  <c r="K36"/>
  <c r="K40"/>
  <c r="B5" i="234"/>
  <c r="B32" i="272"/>
  <c r="D5" i="234"/>
  <c r="D55" s="1"/>
  <c r="D84" s="1"/>
  <c r="D32" i="272"/>
  <c r="D32" i="273" s="1"/>
  <c r="D55" i="232"/>
  <c r="D82" s="1"/>
  <c r="F5" i="234"/>
  <c r="F55" i="232"/>
  <c r="F82" s="1"/>
  <c r="F32" i="272"/>
  <c r="F32" i="273" s="1"/>
  <c r="H5" i="234"/>
  <c r="H55" s="1"/>
  <c r="H84" s="1"/>
  <c r="H32" i="272"/>
  <c r="H32" i="273" s="1"/>
  <c r="H55" i="232"/>
  <c r="H82" s="1"/>
  <c r="J5" i="234"/>
  <c r="J55" i="232"/>
  <c r="J82" s="1"/>
  <c r="J32" i="272"/>
  <c r="J32" i="273" s="1"/>
  <c r="L5" i="234"/>
  <c r="L55" s="1"/>
  <c r="L84" s="1"/>
  <c r="L32" i="272"/>
  <c r="L32" i="273" s="1"/>
  <c r="L55" i="232"/>
  <c r="L82" s="1"/>
  <c r="C6" i="234"/>
  <c r="C56" i="232"/>
  <c r="C83" s="1"/>
  <c r="Q6"/>
  <c r="P6" s="1"/>
  <c r="E6" i="234"/>
  <c r="E56" s="1"/>
  <c r="E85" s="1"/>
  <c r="E56" i="232"/>
  <c r="E83" s="1"/>
  <c r="G6" i="234"/>
  <c r="G56" s="1"/>
  <c r="G85" s="1"/>
  <c r="G56" i="232"/>
  <c r="G83" s="1"/>
  <c r="I6" i="234"/>
  <c r="I56" s="1"/>
  <c r="I85" s="1"/>
  <c r="I56" i="232"/>
  <c r="I83" s="1"/>
  <c r="K6" i="234"/>
  <c r="K56" s="1"/>
  <c r="K85" s="1"/>
  <c r="K56" i="232"/>
  <c r="K83" s="1"/>
  <c r="D7" i="234"/>
  <c r="D57" s="1"/>
  <c r="D86" s="1"/>
  <c r="D57" i="232"/>
  <c r="D84" s="1"/>
  <c r="F7" i="234"/>
  <c r="F57" s="1"/>
  <c r="F86" s="1"/>
  <c r="F57" i="232"/>
  <c r="F84" s="1"/>
  <c r="H7" i="234"/>
  <c r="H57" s="1"/>
  <c r="H86" s="1"/>
  <c r="H57" i="232"/>
  <c r="H84" s="1"/>
  <c r="J7" i="234"/>
  <c r="J57" s="1"/>
  <c r="J86" s="1"/>
  <c r="J57" i="232"/>
  <c r="J84" s="1"/>
  <c r="L7" i="234"/>
  <c r="L57" s="1"/>
  <c r="L86" s="1"/>
  <c r="L57" i="232"/>
  <c r="L84" s="1"/>
  <c r="C8" i="234"/>
  <c r="C58" i="232"/>
  <c r="C85" s="1"/>
  <c r="Q8"/>
  <c r="P8" s="1"/>
  <c r="E8" i="234"/>
  <c r="E58" s="1"/>
  <c r="E87" s="1"/>
  <c r="E58" i="232"/>
  <c r="E85" s="1"/>
  <c r="G8" i="234"/>
  <c r="G58" s="1"/>
  <c r="G87" s="1"/>
  <c r="G58" i="232"/>
  <c r="G85" s="1"/>
  <c r="I8" i="234"/>
  <c r="I58" s="1"/>
  <c r="I87" s="1"/>
  <c r="I58" i="232"/>
  <c r="I85" s="1"/>
  <c r="K8" i="234"/>
  <c r="K58" s="1"/>
  <c r="K87" s="1"/>
  <c r="K58" i="232"/>
  <c r="K85" s="1"/>
  <c r="D9" i="234"/>
  <c r="D59" s="1"/>
  <c r="D88" s="1"/>
  <c r="D59" i="232"/>
  <c r="D86" s="1"/>
  <c r="F9" i="234"/>
  <c r="F59" s="1"/>
  <c r="F88" s="1"/>
  <c r="F59" i="232"/>
  <c r="F86" s="1"/>
  <c r="H9" i="234"/>
  <c r="H59" s="1"/>
  <c r="H88" s="1"/>
  <c r="H59" i="232"/>
  <c r="H86" s="1"/>
  <c r="J9" i="234"/>
  <c r="J59" s="1"/>
  <c r="J88" s="1"/>
  <c r="J59" i="232"/>
  <c r="J86" s="1"/>
  <c r="L9" i="234"/>
  <c r="L59" s="1"/>
  <c r="L88" s="1"/>
  <c r="L59" i="232"/>
  <c r="L86" s="1"/>
  <c r="C10" i="234"/>
  <c r="Q10" i="232"/>
  <c r="P10" s="1"/>
  <c r="C60"/>
  <c r="C87" s="1"/>
  <c r="E10" i="234"/>
  <c r="E60" s="1"/>
  <c r="E89" s="1"/>
  <c r="E60" i="232"/>
  <c r="E87" s="1"/>
  <c r="G10" i="234"/>
  <c r="G60" s="1"/>
  <c r="G89" s="1"/>
  <c r="G60" i="232"/>
  <c r="G87" s="1"/>
  <c r="I10" i="234"/>
  <c r="I60" s="1"/>
  <c r="I89" s="1"/>
  <c r="I60" i="232"/>
  <c r="I87" s="1"/>
  <c r="K10" i="234"/>
  <c r="K60" s="1"/>
  <c r="K89" s="1"/>
  <c r="K60" i="232"/>
  <c r="K87" s="1"/>
  <c r="D11" i="234"/>
  <c r="D61" s="1"/>
  <c r="D90" s="1"/>
  <c r="D61" i="232"/>
  <c r="D88" s="1"/>
  <c r="F11" i="234"/>
  <c r="F61" s="1"/>
  <c r="F90" s="1"/>
  <c r="F61" i="232"/>
  <c r="F88" s="1"/>
  <c r="H11" i="234"/>
  <c r="H61" s="1"/>
  <c r="H90" s="1"/>
  <c r="H61" i="232"/>
  <c r="H88" s="1"/>
  <c r="J11" i="234"/>
  <c r="J61" s="1"/>
  <c r="J90" s="1"/>
  <c r="J61" i="232"/>
  <c r="J88" s="1"/>
  <c r="L11" i="234"/>
  <c r="L61" s="1"/>
  <c r="L90" s="1"/>
  <c r="L61" i="232"/>
  <c r="L88" s="1"/>
  <c r="C12" i="234"/>
  <c r="Q12" i="232"/>
  <c r="P12" s="1"/>
  <c r="C62"/>
  <c r="C89" s="1"/>
  <c r="E12" i="234"/>
  <c r="E62" s="1"/>
  <c r="E91" s="1"/>
  <c r="E62" i="232"/>
  <c r="E89" s="1"/>
  <c r="G12" i="234"/>
  <c r="G62" s="1"/>
  <c r="G91" s="1"/>
  <c r="G62" i="232"/>
  <c r="G89" s="1"/>
  <c r="I12" i="234"/>
  <c r="I62" s="1"/>
  <c r="I91" s="1"/>
  <c r="I62" i="232"/>
  <c r="I89" s="1"/>
  <c r="K12" i="234"/>
  <c r="K62" s="1"/>
  <c r="K91" s="1"/>
  <c r="K62" i="232"/>
  <c r="K89" s="1"/>
  <c r="B13" i="234"/>
  <c r="B34" i="232"/>
  <c r="D13" i="234"/>
  <c r="D63" i="232"/>
  <c r="D90" s="1"/>
  <c r="D34"/>
  <c r="F13" i="234"/>
  <c r="F63" i="232"/>
  <c r="F90" s="1"/>
  <c r="F34"/>
  <c r="H13" i="234"/>
  <c r="H63" i="232"/>
  <c r="H90" s="1"/>
  <c r="H34"/>
  <c r="J13" i="234"/>
  <c r="J63" i="232"/>
  <c r="J90" s="1"/>
  <c r="J34"/>
  <c r="L13" i="234"/>
  <c r="L63" i="232"/>
  <c r="L90" s="1"/>
  <c r="L34"/>
  <c r="C14" i="234"/>
  <c r="Q14" i="232"/>
  <c r="P14" s="1"/>
  <c r="C64"/>
  <c r="C91" s="1"/>
  <c r="E14" i="234"/>
  <c r="E64" s="1"/>
  <c r="E93" s="1"/>
  <c r="E64" i="232"/>
  <c r="E91" s="1"/>
  <c r="G14" i="234"/>
  <c r="G64" s="1"/>
  <c r="G93" s="1"/>
  <c r="G64" i="232"/>
  <c r="G91" s="1"/>
  <c r="I14" i="234"/>
  <c r="I64" s="1"/>
  <c r="I93" s="1"/>
  <c r="I64" i="232"/>
  <c r="I91" s="1"/>
  <c r="K14" i="234"/>
  <c r="K64" s="1"/>
  <c r="K93" s="1"/>
  <c r="K64" i="232"/>
  <c r="K91" s="1"/>
  <c r="D15" i="234"/>
  <c r="D65" s="1"/>
  <c r="D94" s="1"/>
  <c r="D65" i="232"/>
  <c r="D92" s="1"/>
  <c r="F15" i="234"/>
  <c r="F65" s="1"/>
  <c r="F94" s="1"/>
  <c r="F65" i="232"/>
  <c r="F92" s="1"/>
  <c r="H15" i="234"/>
  <c r="H65" s="1"/>
  <c r="H94" s="1"/>
  <c r="H65" i="232"/>
  <c r="H92" s="1"/>
  <c r="J15" i="234"/>
  <c r="J65" s="1"/>
  <c r="J94" s="1"/>
  <c r="J65" i="232"/>
  <c r="J92" s="1"/>
  <c r="L15" i="234"/>
  <c r="L65" s="1"/>
  <c r="L94" s="1"/>
  <c r="L65" i="232"/>
  <c r="L92" s="1"/>
  <c r="C16" i="234"/>
  <c r="Q16" i="232"/>
  <c r="P16" s="1"/>
  <c r="C66"/>
  <c r="C93" s="1"/>
  <c r="E16" i="234"/>
  <c r="E66" s="1"/>
  <c r="E95" s="1"/>
  <c r="E66" i="232"/>
  <c r="E93" s="1"/>
  <c r="G16" i="234"/>
  <c r="G66" s="1"/>
  <c r="G95" s="1"/>
  <c r="G66" i="232"/>
  <c r="G93" s="1"/>
  <c r="I16" i="234"/>
  <c r="I66" s="1"/>
  <c r="I95" s="1"/>
  <c r="I66" i="232"/>
  <c r="I93" s="1"/>
  <c r="K16" i="234"/>
  <c r="K66" s="1"/>
  <c r="K95" s="1"/>
  <c r="K66" i="232"/>
  <c r="K93" s="1"/>
  <c r="D17" i="234"/>
  <c r="D67" s="1"/>
  <c r="D96" s="1"/>
  <c r="D67" i="232"/>
  <c r="D94" s="1"/>
  <c r="F17" i="234"/>
  <c r="F67" s="1"/>
  <c r="F96" s="1"/>
  <c r="F67" i="232"/>
  <c r="F94" s="1"/>
  <c r="H17" i="234"/>
  <c r="H67" s="1"/>
  <c r="H96" s="1"/>
  <c r="H67" i="232"/>
  <c r="H94" s="1"/>
  <c r="J17" i="234"/>
  <c r="J67" s="1"/>
  <c r="J96" s="1"/>
  <c r="J67" i="232"/>
  <c r="J94" s="1"/>
  <c r="L17" i="234"/>
  <c r="L67" s="1"/>
  <c r="L96" s="1"/>
  <c r="L67" i="232"/>
  <c r="L94" s="1"/>
  <c r="C18" i="234"/>
  <c r="Q18" i="232"/>
  <c r="P18" s="1"/>
  <c r="C68"/>
  <c r="C95" s="1"/>
  <c r="E18" i="234"/>
  <c r="E68" s="1"/>
  <c r="E97" s="1"/>
  <c r="E68" i="232"/>
  <c r="E95" s="1"/>
  <c r="G18" i="234"/>
  <c r="G68" s="1"/>
  <c r="G97" s="1"/>
  <c r="G68" i="232"/>
  <c r="G95" s="1"/>
  <c r="I18" i="234"/>
  <c r="I68" s="1"/>
  <c r="I97" s="1"/>
  <c r="I68" i="232"/>
  <c r="I95" s="1"/>
  <c r="K18" i="234"/>
  <c r="K68" s="1"/>
  <c r="K97" s="1"/>
  <c r="K68" i="232"/>
  <c r="K95" s="1"/>
  <c r="D19" i="234"/>
  <c r="D69" s="1"/>
  <c r="D98" s="1"/>
  <c r="D69" i="232"/>
  <c r="D96" s="1"/>
  <c r="F19" i="234"/>
  <c r="F69" s="1"/>
  <c r="F98" s="1"/>
  <c r="F69" i="232"/>
  <c r="F96" s="1"/>
  <c r="H19" i="234"/>
  <c r="H69" s="1"/>
  <c r="H98" s="1"/>
  <c r="H69" i="232"/>
  <c r="H96" s="1"/>
  <c r="J19" i="234"/>
  <c r="J69" s="1"/>
  <c r="J98" s="1"/>
  <c r="J69" i="232"/>
  <c r="J96" s="1"/>
  <c r="L19" i="234"/>
  <c r="L69" s="1"/>
  <c r="L98" s="1"/>
  <c r="L69" i="232"/>
  <c r="L96" s="1"/>
  <c r="C20" i="234"/>
  <c r="Q20" i="232"/>
  <c r="P20" s="1"/>
  <c r="C70"/>
  <c r="C97" s="1"/>
  <c r="E20" i="234"/>
  <c r="E70" s="1"/>
  <c r="E99" s="1"/>
  <c r="E70" i="232"/>
  <c r="E97" s="1"/>
  <c r="G20" i="234"/>
  <c r="G70" s="1"/>
  <c r="G99" s="1"/>
  <c r="G70" i="232"/>
  <c r="G97" s="1"/>
  <c r="I20" i="234"/>
  <c r="I70" s="1"/>
  <c r="I99" s="1"/>
  <c r="I70" i="232"/>
  <c r="I97" s="1"/>
  <c r="K20" i="234"/>
  <c r="K70" s="1"/>
  <c r="K99" s="1"/>
  <c r="K70" i="232"/>
  <c r="K97" s="1"/>
  <c r="D21" i="234"/>
  <c r="D71" s="1"/>
  <c r="D100" s="1"/>
  <c r="D71" i="232"/>
  <c r="D98" s="1"/>
  <c r="F21" i="234"/>
  <c r="F71" s="1"/>
  <c r="F100" s="1"/>
  <c r="F71" i="232"/>
  <c r="F98" s="1"/>
  <c r="H21" i="234"/>
  <c r="H71" s="1"/>
  <c r="H100" s="1"/>
  <c r="H71" i="232"/>
  <c r="H98" s="1"/>
  <c r="J21" i="234"/>
  <c r="J71" s="1"/>
  <c r="J100" s="1"/>
  <c r="J71" i="232"/>
  <c r="J98" s="1"/>
  <c r="L21" i="234"/>
  <c r="L71" s="1"/>
  <c r="L100" s="1"/>
  <c r="L71" i="232"/>
  <c r="L98" s="1"/>
  <c r="C22" i="234"/>
  <c r="Q22" i="232"/>
  <c r="P22" s="1"/>
  <c r="C72"/>
  <c r="C99" s="1"/>
  <c r="E22" i="234"/>
  <c r="E72" s="1"/>
  <c r="E101" s="1"/>
  <c r="E72" i="232"/>
  <c r="E99" s="1"/>
  <c r="G22" i="234"/>
  <c r="G72" s="1"/>
  <c r="G101" s="1"/>
  <c r="G72" i="232"/>
  <c r="G99" s="1"/>
  <c r="I22" i="234"/>
  <c r="I72" s="1"/>
  <c r="I101" s="1"/>
  <c r="I72" i="232"/>
  <c r="I99" s="1"/>
  <c r="K22" i="234"/>
  <c r="K72" s="1"/>
  <c r="K101" s="1"/>
  <c r="K72" i="232"/>
  <c r="K99" s="1"/>
  <c r="D23" i="234"/>
  <c r="D73" s="1"/>
  <c r="D102" s="1"/>
  <c r="D73" i="232"/>
  <c r="D100" s="1"/>
  <c r="F23" i="234"/>
  <c r="F73" s="1"/>
  <c r="F102" s="1"/>
  <c r="F73" i="232"/>
  <c r="F100" s="1"/>
  <c r="H23" i="234"/>
  <c r="H73" s="1"/>
  <c r="H102" s="1"/>
  <c r="H73" i="232"/>
  <c r="H100" s="1"/>
  <c r="J23" i="234"/>
  <c r="J73" s="1"/>
  <c r="J102" s="1"/>
  <c r="J73" i="232"/>
  <c r="J100" s="1"/>
  <c r="L23" i="234"/>
  <c r="L73" s="1"/>
  <c r="L102" s="1"/>
  <c r="L73" i="232"/>
  <c r="L100" s="1"/>
  <c r="C24" i="234"/>
  <c r="Q24" i="232"/>
  <c r="C74"/>
  <c r="C101" s="1"/>
  <c r="C35"/>
  <c r="E24" i="234"/>
  <c r="E74" i="232"/>
  <c r="E101" s="1"/>
  <c r="E35"/>
  <c r="G24" i="234"/>
  <c r="G74" i="232"/>
  <c r="G101" s="1"/>
  <c r="G35"/>
  <c r="I24" i="234"/>
  <c r="I74" i="232"/>
  <c r="I101" s="1"/>
  <c r="I35"/>
  <c r="K24" i="234"/>
  <c r="K74" i="232"/>
  <c r="K101" s="1"/>
  <c r="K35"/>
  <c r="D25" i="234"/>
  <c r="D75" s="1"/>
  <c r="D104" s="1"/>
  <c r="D75" i="232"/>
  <c r="D102" s="1"/>
  <c r="F25" i="234"/>
  <c r="F75" s="1"/>
  <c r="F104" s="1"/>
  <c r="F75" i="232"/>
  <c r="F102" s="1"/>
  <c r="H25" i="234"/>
  <c r="H75" s="1"/>
  <c r="H104" s="1"/>
  <c r="H75" i="232"/>
  <c r="H102" s="1"/>
  <c r="J25" i="234"/>
  <c r="J75" s="1"/>
  <c r="J104" s="1"/>
  <c r="J75" i="232"/>
  <c r="J102" s="1"/>
  <c r="L25" i="234"/>
  <c r="L75" s="1"/>
  <c r="L104" s="1"/>
  <c r="L75" i="232"/>
  <c r="L102" s="1"/>
  <c r="C26" i="234"/>
  <c r="Q26" i="232"/>
  <c r="P26" s="1"/>
  <c r="C76"/>
  <c r="C103" s="1"/>
  <c r="E26" i="234"/>
  <c r="E76" s="1"/>
  <c r="E105" s="1"/>
  <c r="E76" i="232"/>
  <c r="E103" s="1"/>
  <c r="G26" i="234"/>
  <c r="G76" s="1"/>
  <c r="G105" s="1"/>
  <c r="G76" i="232"/>
  <c r="G103" s="1"/>
  <c r="I26" i="234"/>
  <c r="I76" s="1"/>
  <c r="I105" s="1"/>
  <c r="I76" i="232"/>
  <c r="I103" s="1"/>
  <c r="K26" i="234"/>
  <c r="K76" s="1"/>
  <c r="K105" s="1"/>
  <c r="K76" i="232"/>
  <c r="K103" s="1"/>
  <c r="D27" i="234"/>
  <c r="D77" s="1"/>
  <c r="D106" s="1"/>
  <c r="D77" i="232"/>
  <c r="D104" s="1"/>
  <c r="F27" i="234"/>
  <c r="F77" s="1"/>
  <c r="F106" s="1"/>
  <c r="F77" i="232"/>
  <c r="F104" s="1"/>
  <c r="H27" i="234"/>
  <c r="H77" s="1"/>
  <c r="H106" s="1"/>
  <c r="H77" i="232"/>
  <c r="H104" s="1"/>
  <c r="J27" i="234"/>
  <c r="J77" s="1"/>
  <c r="J106" s="1"/>
  <c r="J77" i="232"/>
  <c r="J104" s="1"/>
  <c r="L27" i="234"/>
  <c r="L77" s="1"/>
  <c r="L106" s="1"/>
  <c r="L77" i="232"/>
  <c r="L104" s="1"/>
  <c r="C28" i="234"/>
  <c r="Q28" i="232"/>
  <c r="C78"/>
  <c r="C105" s="1"/>
  <c r="E28" i="234"/>
  <c r="E78" s="1"/>
  <c r="E107" s="1"/>
  <c r="E78" i="232"/>
  <c r="E105" s="1"/>
  <c r="G28" i="234"/>
  <c r="G78" s="1"/>
  <c r="G107" s="1"/>
  <c r="G78" i="232"/>
  <c r="G105" s="1"/>
  <c r="I28" i="234"/>
  <c r="I78" s="1"/>
  <c r="I107" s="1"/>
  <c r="I78" i="232"/>
  <c r="I105" s="1"/>
  <c r="K28" i="234"/>
  <c r="K78" s="1"/>
  <c r="K107" s="1"/>
  <c r="K78" i="232"/>
  <c r="K105" s="1"/>
  <c r="B29" i="234"/>
  <c r="B45" i="232"/>
  <c r="B36"/>
  <c r="B40"/>
  <c r="D29" i="234"/>
  <c r="D36" i="232"/>
  <c r="D40"/>
  <c r="D79"/>
  <c r="D106" s="1"/>
  <c r="D45"/>
  <c r="F29" i="234"/>
  <c r="F79" i="232"/>
  <c r="F106" s="1"/>
  <c r="F45"/>
  <c r="F36"/>
  <c r="F40"/>
  <c r="H29" i="234"/>
  <c r="H36" i="232"/>
  <c r="H40"/>
  <c r="H79"/>
  <c r="H106" s="1"/>
  <c r="H45"/>
  <c r="J29" i="234"/>
  <c r="J79" i="232"/>
  <c r="J106" s="1"/>
  <c r="J45"/>
  <c r="J36"/>
  <c r="J40"/>
  <c r="L29" i="234"/>
  <c r="L36" i="232"/>
  <c r="L40"/>
  <c r="L79"/>
  <c r="L106" s="1"/>
  <c r="L45"/>
  <c r="C30" i="234"/>
  <c r="C46" i="232"/>
  <c r="C37"/>
  <c r="C41"/>
  <c r="E30" i="234"/>
  <c r="E46" i="232"/>
  <c r="E37"/>
  <c r="E41"/>
  <c r="G30" i="234"/>
  <c r="G46" i="232"/>
  <c r="G37"/>
  <c r="G41"/>
  <c r="I30" i="234"/>
  <c r="I46" i="232"/>
  <c r="I37"/>
  <c r="I41"/>
  <c r="K30" i="234"/>
  <c r="K46" i="232"/>
  <c r="K37"/>
  <c r="K41"/>
  <c r="B31" i="234"/>
  <c r="B47" i="232"/>
  <c r="B38"/>
  <c r="B42"/>
  <c r="D38" i="235"/>
  <c r="D42"/>
  <c r="F42"/>
  <c r="F38"/>
  <c r="F47" i="229"/>
  <c r="F38"/>
  <c r="F42"/>
  <c r="H38" i="235"/>
  <c r="H42"/>
  <c r="J42"/>
  <c r="J38"/>
  <c r="J47" i="229"/>
  <c r="J38"/>
  <c r="J42"/>
  <c r="L38" i="235"/>
  <c r="L42"/>
  <c r="C48"/>
  <c r="C43"/>
  <c r="C39"/>
  <c r="C48" i="229"/>
  <c r="C39"/>
  <c r="C43"/>
  <c r="E39" i="235"/>
  <c r="E48"/>
  <c r="E43"/>
  <c r="G48"/>
  <c r="G43"/>
  <c r="G39"/>
  <c r="G48" i="229"/>
  <c r="G39"/>
  <c r="G43"/>
  <c r="I39" i="235"/>
  <c r="I48"/>
  <c r="I43"/>
  <c r="K48"/>
  <c r="K43"/>
  <c r="K39"/>
  <c r="K48" i="229"/>
  <c r="K39"/>
  <c r="K43"/>
  <c r="C57"/>
  <c r="C84" s="1"/>
  <c r="Q7"/>
  <c r="P7" s="1"/>
  <c r="C61"/>
  <c r="C88" s="1"/>
  <c r="Q11"/>
  <c r="P11" s="1"/>
  <c r="E34"/>
  <c r="E63"/>
  <c r="E90" s="1"/>
  <c r="I34"/>
  <c r="I63"/>
  <c r="I90" s="1"/>
  <c r="C65"/>
  <c r="C92" s="1"/>
  <c r="Q15"/>
  <c r="P15" s="1"/>
  <c r="C69"/>
  <c r="C96" s="1"/>
  <c r="Q19"/>
  <c r="P19" s="1"/>
  <c r="F78" i="470"/>
  <c r="F107" s="1"/>
  <c r="F42"/>
  <c r="F38"/>
  <c r="J78"/>
  <c r="J107" s="1"/>
  <c r="J42"/>
  <c r="J38"/>
  <c r="D74" i="233"/>
  <c r="D101" s="1"/>
  <c r="D35"/>
  <c r="F74"/>
  <c r="F101" s="1"/>
  <c r="F35"/>
  <c r="H74"/>
  <c r="H101" s="1"/>
  <c r="H35"/>
  <c r="J74"/>
  <c r="J101" s="1"/>
  <c r="J35"/>
  <c r="L74"/>
  <c r="L101" s="1"/>
  <c r="L35"/>
  <c r="Q25"/>
  <c r="P25" s="1"/>
  <c r="C75"/>
  <c r="C102" s="1"/>
  <c r="Q27"/>
  <c r="P27" s="1"/>
  <c r="C77"/>
  <c r="C104" s="1"/>
  <c r="Q29"/>
  <c r="C79"/>
  <c r="C106" s="1"/>
  <c r="C36"/>
  <c r="C40"/>
  <c r="C45"/>
  <c r="E36"/>
  <c r="E40"/>
  <c r="E45"/>
  <c r="E79"/>
  <c r="E106" s="1"/>
  <c r="G79"/>
  <c r="G106" s="1"/>
  <c r="G36"/>
  <c r="G40"/>
  <c r="G45"/>
  <c r="I36"/>
  <c r="I40"/>
  <c r="I45"/>
  <c r="I79"/>
  <c r="I106" s="1"/>
  <c r="K79"/>
  <c r="K106" s="1"/>
  <c r="K36"/>
  <c r="K40"/>
  <c r="K45"/>
  <c r="B46"/>
  <c r="B37"/>
  <c r="B41"/>
  <c r="D46" i="229"/>
  <c r="D41"/>
  <c r="D37"/>
  <c r="D30" i="230"/>
  <c r="D37" i="228"/>
  <c r="D41"/>
  <c r="D46"/>
  <c r="F30" i="230"/>
  <c r="F46" i="228"/>
  <c r="F37"/>
  <c r="F41"/>
  <c r="H46" i="229"/>
  <c r="H41"/>
  <c r="H37"/>
  <c r="H30" i="230"/>
  <c r="H37" i="228"/>
  <c r="H41"/>
  <c r="H46"/>
  <c r="J30" i="230"/>
  <c r="J46" i="228"/>
  <c r="J37"/>
  <c r="J41"/>
  <c r="L46" i="229"/>
  <c r="L41"/>
  <c r="L37"/>
  <c r="L30" i="230"/>
  <c r="L37" i="228"/>
  <c r="L41"/>
  <c r="L46"/>
  <c r="C31" i="230"/>
  <c r="C47" i="228"/>
  <c r="C38"/>
  <c r="C42"/>
  <c r="E38" i="229"/>
  <c r="E42"/>
  <c r="E47"/>
  <c r="E31" i="230"/>
  <c r="E38" i="228"/>
  <c r="E42"/>
  <c r="E47"/>
  <c r="G31" i="230"/>
  <c r="G47" i="228"/>
  <c r="G38"/>
  <c r="G42"/>
  <c r="I38" i="229"/>
  <c r="I42"/>
  <c r="I47"/>
  <c r="I31" i="230"/>
  <c r="I38" i="228"/>
  <c r="I42"/>
  <c r="I47"/>
  <c r="K31" i="230"/>
  <c r="K47" i="228"/>
  <c r="K38"/>
  <c r="K42"/>
  <c r="B39" i="229"/>
  <c r="B43"/>
  <c r="B48"/>
  <c r="B32" i="230"/>
  <c r="B48" i="228"/>
  <c r="B39"/>
  <c r="B43"/>
  <c r="D32" i="230"/>
  <c r="D48" i="228"/>
  <c r="D39"/>
  <c r="D43"/>
  <c r="F39" i="229"/>
  <c r="F43"/>
  <c r="F48"/>
  <c r="F32" i="230"/>
  <c r="F48" i="228"/>
  <c r="F39"/>
  <c r="F43"/>
  <c r="H32" i="230"/>
  <c r="H48" i="228"/>
  <c r="H39"/>
  <c r="H43"/>
  <c r="J39" i="229"/>
  <c r="J43"/>
  <c r="J48"/>
  <c r="J32" i="230"/>
  <c r="J48" i="228"/>
  <c r="J39"/>
  <c r="J43"/>
  <c r="L32" i="230"/>
  <c r="L48" i="228"/>
  <c r="L39"/>
  <c r="L43"/>
  <c r="C21" i="230"/>
  <c r="Q21" i="228"/>
  <c r="P21" s="1"/>
  <c r="C71"/>
  <c r="C101" s="1"/>
  <c r="C71" i="229"/>
  <c r="C98" s="1"/>
  <c r="Q21"/>
  <c r="P21" s="1"/>
  <c r="E21" i="230"/>
  <c r="E72" s="1"/>
  <c r="E101" s="1"/>
  <c r="E71" i="228"/>
  <c r="E101" s="1"/>
  <c r="G21" i="230"/>
  <c r="G72" s="1"/>
  <c r="G101" s="1"/>
  <c r="G71" i="228"/>
  <c r="G101" s="1"/>
  <c r="I21" i="230"/>
  <c r="I72" s="1"/>
  <c r="I101" s="1"/>
  <c r="I71" i="228"/>
  <c r="I101" s="1"/>
  <c r="K21" i="230"/>
  <c r="K72" s="1"/>
  <c r="K101" s="1"/>
  <c r="K71" i="228"/>
  <c r="K101" s="1"/>
  <c r="D22" i="230"/>
  <c r="D73" s="1"/>
  <c r="D102" s="1"/>
  <c r="D72" i="228"/>
  <c r="D102" s="1"/>
  <c r="F22" i="230"/>
  <c r="F73" s="1"/>
  <c r="F102" s="1"/>
  <c r="F72" i="228"/>
  <c r="F102" s="1"/>
  <c r="H22" i="230"/>
  <c r="H73" s="1"/>
  <c r="H102" s="1"/>
  <c r="H72" i="228"/>
  <c r="H102" s="1"/>
  <c r="J22" i="230"/>
  <c r="J73" s="1"/>
  <c r="J102" s="1"/>
  <c r="J72" i="228"/>
  <c r="J102" s="1"/>
  <c r="L22" i="230"/>
  <c r="L73" s="1"/>
  <c r="L102" s="1"/>
  <c r="L72" i="228"/>
  <c r="L102" s="1"/>
  <c r="C23" i="230"/>
  <c r="Q23" i="228"/>
  <c r="P23" s="1"/>
  <c r="C73"/>
  <c r="C103" s="1"/>
  <c r="E23" i="230"/>
  <c r="E74" s="1"/>
  <c r="E103" s="1"/>
  <c r="E73" i="228"/>
  <c r="E103" s="1"/>
  <c r="G23" i="230"/>
  <c r="G74" s="1"/>
  <c r="G103" s="1"/>
  <c r="G73" i="228"/>
  <c r="G103" s="1"/>
  <c r="I23" i="230"/>
  <c r="I74" s="1"/>
  <c r="I103" s="1"/>
  <c r="I73" i="228"/>
  <c r="I103" s="1"/>
  <c r="K23" i="230"/>
  <c r="K74" s="1"/>
  <c r="K103" s="1"/>
  <c r="K73" i="228"/>
  <c r="K103" s="1"/>
  <c r="B24" i="230"/>
  <c r="B35" s="1"/>
  <c r="B35" i="228"/>
  <c r="D24" i="230"/>
  <c r="D74" i="228"/>
  <c r="D104" s="1"/>
  <c r="D35"/>
  <c r="F74" i="229"/>
  <c r="F101" s="1"/>
  <c r="F35"/>
  <c r="F24" i="230"/>
  <c r="F74" i="228"/>
  <c r="F104" s="1"/>
  <c r="F35"/>
  <c r="H24" i="230"/>
  <c r="H74" i="228"/>
  <c r="H104" s="1"/>
  <c r="H35"/>
  <c r="J74" i="229"/>
  <c r="J101" s="1"/>
  <c r="J35"/>
  <c r="J24" i="230"/>
  <c r="J74" i="228"/>
  <c r="J104" s="1"/>
  <c r="J35"/>
  <c r="L24" i="230"/>
  <c r="L74" i="228"/>
  <c r="L104" s="1"/>
  <c r="L35"/>
  <c r="C75" i="229"/>
  <c r="C102" s="1"/>
  <c r="Q25"/>
  <c r="P25" s="1"/>
  <c r="C25" i="230"/>
  <c r="Q25" i="228"/>
  <c r="P25" s="1"/>
  <c r="C75"/>
  <c r="C105" s="1"/>
  <c r="E25" i="230"/>
  <c r="E76" s="1"/>
  <c r="E105" s="1"/>
  <c r="E75" i="228"/>
  <c r="E105" s="1"/>
  <c r="G25" i="230"/>
  <c r="G76" s="1"/>
  <c r="G105" s="1"/>
  <c r="G75" i="228"/>
  <c r="G105" s="1"/>
  <c r="I25" i="230"/>
  <c r="I76" s="1"/>
  <c r="I105" s="1"/>
  <c r="I75" i="228"/>
  <c r="I105" s="1"/>
  <c r="K25" i="230"/>
  <c r="K76" s="1"/>
  <c r="K105" s="1"/>
  <c r="K75" i="228"/>
  <c r="K105" s="1"/>
  <c r="D26" i="230"/>
  <c r="D77" s="1"/>
  <c r="D106" s="1"/>
  <c r="D76" i="228"/>
  <c r="D106" s="1"/>
  <c r="F26" i="230"/>
  <c r="F77" s="1"/>
  <c r="F106" s="1"/>
  <c r="F76" i="228"/>
  <c r="F106" s="1"/>
  <c r="H26" i="230"/>
  <c r="H77" s="1"/>
  <c r="H106" s="1"/>
  <c r="H76" i="228"/>
  <c r="H106" s="1"/>
  <c r="J26" i="230"/>
  <c r="J77" s="1"/>
  <c r="J106" s="1"/>
  <c r="J76" i="228"/>
  <c r="J106" s="1"/>
  <c r="L26" i="230"/>
  <c r="L77" s="1"/>
  <c r="L106" s="1"/>
  <c r="L76" i="228"/>
  <c r="L106" s="1"/>
  <c r="C27" i="230"/>
  <c r="Q27" i="228"/>
  <c r="P27" s="1"/>
  <c r="C77"/>
  <c r="C107" s="1"/>
  <c r="E27" i="230"/>
  <c r="E78" s="1"/>
  <c r="E107" s="1"/>
  <c r="E77" i="228"/>
  <c r="E107" s="1"/>
  <c r="G27" i="230"/>
  <c r="G78" s="1"/>
  <c r="G107" s="1"/>
  <c r="G77" i="228"/>
  <c r="G107" s="1"/>
  <c r="I27" i="230"/>
  <c r="I78" s="1"/>
  <c r="I107" s="1"/>
  <c r="I77" i="228"/>
  <c r="I107" s="1"/>
  <c r="K27" i="230"/>
  <c r="K78" s="1"/>
  <c r="K107" s="1"/>
  <c r="K77" i="228"/>
  <c r="K107" s="1"/>
  <c r="D28" i="230"/>
  <c r="D79" s="1"/>
  <c r="D108" s="1"/>
  <c r="D78" i="228"/>
  <c r="D108" s="1"/>
  <c r="F28" i="230"/>
  <c r="F79" s="1"/>
  <c r="F108" s="1"/>
  <c r="F78" i="228"/>
  <c r="F108" s="1"/>
  <c r="H28" i="230"/>
  <c r="H79" s="1"/>
  <c r="H108" s="1"/>
  <c r="H78" i="228"/>
  <c r="H108" s="1"/>
  <c r="J28" i="230"/>
  <c r="J79" s="1"/>
  <c r="J108" s="1"/>
  <c r="J78" i="228"/>
  <c r="J108" s="1"/>
  <c r="L28" i="230"/>
  <c r="L79" s="1"/>
  <c r="L108" s="1"/>
  <c r="L78" i="228"/>
  <c r="L108" s="1"/>
  <c r="C79" i="229"/>
  <c r="C106" s="1"/>
  <c r="C40"/>
  <c r="C45"/>
  <c r="C36"/>
  <c r="Q29"/>
  <c r="C29" i="230"/>
  <c r="Q29" i="228"/>
  <c r="C36"/>
  <c r="C40"/>
  <c r="C45"/>
  <c r="C79"/>
  <c r="C109" s="1"/>
  <c r="E29" i="230"/>
  <c r="E79" i="228"/>
  <c r="E109" s="1"/>
  <c r="E36"/>
  <c r="E40"/>
  <c r="E45"/>
  <c r="G79" i="229"/>
  <c r="G106" s="1"/>
  <c r="G40"/>
  <c r="G45"/>
  <c r="G36"/>
  <c r="G29" i="230"/>
  <c r="G36" i="228"/>
  <c r="G40"/>
  <c r="G45"/>
  <c r="G79"/>
  <c r="G109" s="1"/>
  <c r="I29" i="230"/>
  <c r="I79" i="228"/>
  <c r="I109" s="1"/>
  <c r="I36"/>
  <c r="I40"/>
  <c r="I45"/>
  <c r="K79" i="229"/>
  <c r="K106" s="1"/>
  <c r="K40"/>
  <c r="K45"/>
  <c r="K36"/>
  <c r="K29" i="230"/>
  <c r="K36" i="228"/>
  <c r="K40"/>
  <c r="K45"/>
  <c r="K79"/>
  <c r="K109" s="1"/>
  <c r="B30" i="230"/>
  <c r="B46" i="228"/>
  <c r="B37"/>
  <c r="B41"/>
  <c r="D46" i="233"/>
  <c r="D37"/>
  <c r="D41"/>
  <c r="F46"/>
  <c r="F37"/>
  <c r="F41"/>
  <c r="H46"/>
  <c r="H37"/>
  <c r="H41"/>
  <c r="J46"/>
  <c r="J37"/>
  <c r="J41"/>
  <c r="L46"/>
  <c r="L37"/>
  <c r="L41"/>
  <c r="C47"/>
  <c r="C38"/>
  <c r="C42"/>
  <c r="E47"/>
  <c r="E38"/>
  <c r="E42"/>
  <c r="G47"/>
  <c r="G38"/>
  <c r="G42"/>
  <c r="I47"/>
  <c r="I38"/>
  <c r="I42"/>
  <c r="K47"/>
  <c r="K38"/>
  <c r="K42"/>
  <c r="B48"/>
  <c r="B39"/>
  <c r="B43"/>
  <c r="D48"/>
  <c r="D39"/>
  <c r="D43"/>
  <c r="F48"/>
  <c r="F39"/>
  <c r="F43"/>
  <c r="H48"/>
  <c r="H39"/>
  <c r="H43"/>
  <c r="J48"/>
  <c r="J39"/>
  <c r="J43"/>
  <c r="L48"/>
  <c r="L39"/>
  <c r="L43"/>
  <c r="F77" i="229"/>
  <c r="F104" s="1"/>
  <c r="J77"/>
  <c r="J104" s="1"/>
  <c r="E55"/>
  <c r="E82" s="1"/>
  <c r="I55"/>
  <c r="I82" s="1"/>
  <c r="F56"/>
  <c r="F83" s="1"/>
  <c r="J56"/>
  <c r="J83" s="1"/>
  <c r="G57"/>
  <c r="G84" s="1"/>
  <c r="K57"/>
  <c r="K84" s="1"/>
  <c r="E59"/>
  <c r="E86" s="1"/>
  <c r="I59"/>
  <c r="I86" s="1"/>
  <c r="F60"/>
  <c r="F87" s="1"/>
  <c r="J60"/>
  <c r="J87" s="1"/>
  <c r="G61"/>
  <c r="G88" s="1"/>
  <c r="K61"/>
  <c r="K88" s="1"/>
  <c r="C34" i="235"/>
  <c r="E34"/>
  <c r="G34"/>
  <c r="I34"/>
  <c r="K34"/>
  <c r="F64" i="229"/>
  <c r="F91" s="1"/>
  <c r="J64"/>
  <c r="J91" s="1"/>
  <c r="G65"/>
  <c r="G92" s="1"/>
  <c r="K65"/>
  <c r="K92" s="1"/>
  <c r="L66"/>
  <c r="L93" s="1"/>
  <c r="E67"/>
  <c r="E94" s="1"/>
  <c r="I67"/>
  <c r="I94" s="1"/>
  <c r="F68"/>
  <c r="F95" s="1"/>
  <c r="J68"/>
  <c r="J95" s="1"/>
  <c r="G69"/>
  <c r="G96" s="1"/>
  <c r="K69"/>
  <c r="K96" s="1"/>
  <c r="H70"/>
  <c r="H97" s="1"/>
  <c r="L70"/>
  <c r="L97" s="1"/>
  <c r="E73" i="233"/>
  <c r="E100" s="1"/>
  <c r="G73"/>
  <c r="G100" s="1"/>
  <c r="I73"/>
  <c r="I100" s="1"/>
  <c r="K73"/>
  <c r="K100" s="1"/>
  <c r="B35"/>
  <c r="E75"/>
  <c r="E102" s="1"/>
  <c r="G75"/>
  <c r="G102" s="1"/>
  <c r="I75"/>
  <c r="I102" s="1"/>
  <c r="K75"/>
  <c r="K102" s="1"/>
  <c r="D76"/>
  <c r="D103" s="1"/>
  <c r="F76"/>
  <c r="F103" s="1"/>
  <c r="H76"/>
  <c r="H103" s="1"/>
  <c r="J76"/>
  <c r="J103" s="1"/>
  <c r="L76"/>
  <c r="L103" s="1"/>
  <c r="E77"/>
  <c r="E104" s="1"/>
  <c r="G77"/>
  <c r="G104" s="1"/>
  <c r="I77"/>
  <c r="I104" s="1"/>
  <c r="K77"/>
  <c r="K104" s="1"/>
  <c r="D78"/>
  <c r="D105" s="1"/>
  <c r="F78"/>
  <c r="F105" s="1"/>
  <c r="H78"/>
  <c r="H105" s="1"/>
  <c r="J78"/>
  <c r="J105" s="1"/>
  <c r="L78"/>
  <c r="L105" s="1"/>
  <c r="G71" i="229"/>
  <c r="G98" s="1"/>
  <c r="K71"/>
  <c r="K98" s="1"/>
  <c r="D72"/>
  <c r="D99" s="1"/>
  <c r="H72"/>
  <c r="H99" s="1"/>
  <c r="L72"/>
  <c r="L99" s="1"/>
  <c r="E73"/>
  <c r="E100" s="1"/>
  <c r="I73"/>
  <c r="I100" s="1"/>
  <c r="B35"/>
  <c r="G75"/>
  <c r="G102" s="1"/>
  <c r="K75"/>
  <c r="K102" s="1"/>
  <c r="D76"/>
  <c r="D103" s="1"/>
  <c r="H76"/>
  <c r="H103" s="1"/>
  <c r="L76"/>
  <c r="L103" s="1"/>
  <c r="E77"/>
  <c r="E104" s="1"/>
  <c r="I77"/>
  <c r="I104" s="1"/>
  <c r="F78"/>
  <c r="F105" s="1"/>
  <c r="J78"/>
  <c r="J105" s="1"/>
  <c r="P37" i="231"/>
  <c r="P34" i="225"/>
  <c r="W7" i="342"/>
  <c r="W6"/>
  <c r="W6" i="340"/>
  <c r="W9" i="342"/>
  <c r="W9" i="340"/>
  <c r="W9" i="343" s="1"/>
  <c r="W8" i="342"/>
  <c r="W8" i="340"/>
  <c r="W8" i="343" s="1"/>
  <c r="N35" i="231"/>
  <c r="N45"/>
  <c r="N40"/>
  <c r="O28"/>
  <c r="P46"/>
  <c r="P41"/>
  <c r="P36"/>
  <c r="N46"/>
  <c r="N41"/>
  <c r="O29"/>
  <c r="N36"/>
  <c r="N37"/>
  <c r="O24"/>
  <c r="O37" s="1"/>
  <c r="N46" i="227"/>
  <c r="N35"/>
  <c r="N38"/>
  <c r="O28"/>
  <c r="O13"/>
  <c r="O34" s="1"/>
  <c r="N34"/>
  <c r="N44"/>
  <c r="O29"/>
  <c r="N47"/>
  <c r="N36"/>
  <c r="N37"/>
  <c r="O24"/>
  <c r="P44"/>
  <c r="P47"/>
  <c r="P36"/>
  <c r="N40" i="469"/>
  <c r="N35"/>
  <c r="O28"/>
  <c r="P45"/>
  <c r="P36"/>
  <c r="P42"/>
  <c r="N39"/>
  <c r="O24"/>
  <c r="P39"/>
  <c r="N45"/>
  <c r="N36"/>
  <c r="O29"/>
  <c r="N42"/>
  <c r="P40"/>
  <c r="P35"/>
  <c r="N39" i="225"/>
  <c r="O24"/>
  <c r="O39" s="1"/>
  <c r="N45"/>
  <c r="O5"/>
  <c r="O45" s="1"/>
  <c r="N40"/>
  <c r="N35"/>
  <c r="O28"/>
  <c r="P36"/>
  <c r="P42"/>
  <c r="P39"/>
  <c r="N34"/>
  <c r="P40"/>
  <c r="P35"/>
  <c r="N36"/>
  <c r="O29"/>
  <c r="N42"/>
  <c r="P45" i="231" l="1"/>
  <c r="P40"/>
  <c r="P35"/>
  <c r="W6" i="343"/>
  <c r="W7" i="340"/>
  <c r="W7" i="343" s="1"/>
  <c r="B32" i="273"/>
  <c r="N34" i="469"/>
  <c r="Q39" i="470"/>
  <c r="Q43"/>
  <c r="P29"/>
  <c r="Q39" i="226"/>
  <c r="Q43"/>
  <c r="P29"/>
  <c r="Q37" i="470"/>
  <c r="P27"/>
  <c r="Q36"/>
  <c r="N13"/>
  <c r="N31"/>
  <c r="O39" i="469"/>
  <c r="B34" i="234"/>
  <c r="N8" i="232"/>
  <c r="O8" s="1"/>
  <c r="J55" i="234"/>
  <c r="J84" s="1"/>
  <c r="F55"/>
  <c r="F84" s="1"/>
  <c r="R37" i="229"/>
  <c r="N13" i="226"/>
  <c r="N5" i="470"/>
  <c r="O5" s="1"/>
  <c r="I80" i="230"/>
  <c r="I109" s="1"/>
  <c r="I36"/>
  <c r="I40"/>
  <c r="I45"/>
  <c r="C80"/>
  <c r="C109" s="1"/>
  <c r="C36"/>
  <c r="C40"/>
  <c r="C45"/>
  <c r="Q29"/>
  <c r="C78"/>
  <c r="C107" s="1"/>
  <c r="N27" s="1"/>
  <c r="O27" s="1"/>
  <c r="Q27"/>
  <c r="P27" s="1"/>
  <c r="L75"/>
  <c r="L104" s="1"/>
  <c r="L35"/>
  <c r="H75"/>
  <c r="H104" s="1"/>
  <c r="H35"/>
  <c r="C72"/>
  <c r="C101" s="1"/>
  <c r="N21" s="1"/>
  <c r="O21" s="1"/>
  <c r="Q21"/>
  <c r="P21" s="1"/>
  <c r="L83"/>
  <c r="L112" s="1"/>
  <c r="L39"/>
  <c r="L43"/>
  <c r="L48"/>
  <c r="J83"/>
  <c r="J112" s="1"/>
  <c r="J39"/>
  <c r="J43"/>
  <c r="J48"/>
  <c r="K82"/>
  <c r="K111" s="1"/>
  <c r="K47"/>
  <c r="K38"/>
  <c r="K42"/>
  <c r="I38"/>
  <c r="I42"/>
  <c r="I82"/>
  <c r="I111" s="1"/>
  <c r="I47"/>
  <c r="C82"/>
  <c r="C111" s="1"/>
  <c r="C47"/>
  <c r="C38"/>
  <c r="C42"/>
  <c r="L81"/>
  <c r="L110" s="1"/>
  <c r="L37"/>
  <c r="L41"/>
  <c r="L46"/>
  <c r="D45" i="234"/>
  <c r="D79"/>
  <c r="D108" s="1"/>
  <c r="D36"/>
  <c r="D40"/>
  <c r="B45"/>
  <c r="B36"/>
  <c r="B40"/>
  <c r="K36" i="230"/>
  <c r="K40"/>
  <c r="K45"/>
  <c r="K80"/>
  <c r="K109" s="1"/>
  <c r="G36"/>
  <c r="G40"/>
  <c r="G45"/>
  <c r="G80"/>
  <c r="G109" s="1"/>
  <c r="P29" i="228"/>
  <c r="Q40"/>
  <c r="Q44"/>
  <c r="Q47"/>
  <c r="Q40" i="229"/>
  <c r="P29"/>
  <c r="Q47"/>
  <c r="Q44"/>
  <c r="C76" i="230"/>
  <c r="C105" s="1"/>
  <c r="N25" s="1"/>
  <c r="O25" s="1"/>
  <c r="Q25"/>
  <c r="P25" s="1"/>
  <c r="J75"/>
  <c r="J104" s="1"/>
  <c r="J35"/>
  <c r="F75"/>
  <c r="F104" s="1"/>
  <c r="F35"/>
  <c r="C74"/>
  <c r="C103" s="1"/>
  <c r="N23" s="1"/>
  <c r="O23" s="1"/>
  <c r="Q23"/>
  <c r="P23" s="1"/>
  <c r="H83"/>
  <c r="H112" s="1"/>
  <c r="H39"/>
  <c r="H43"/>
  <c r="H48"/>
  <c r="F83"/>
  <c r="F112" s="1"/>
  <c r="F39"/>
  <c r="F43"/>
  <c r="F48"/>
  <c r="B39"/>
  <c r="B43"/>
  <c r="B48"/>
  <c r="G82"/>
  <c r="G111" s="1"/>
  <c r="G47"/>
  <c r="G38"/>
  <c r="G42"/>
  <c r="E38"/>
  <c r="E42"/>
  <c r="E82"/>
  <c r="E111" s="1"/>
  <c r="E47"/>
  <c r="J46"/>
  <c r="J81"/>
  <c r="J110" s="1"/>
  <c r="J37"/>
  <c r="J41"/>
  <c r="H81"/>
  <c r="H110" s="1"/>
  <c r="H37"/>
  <c r="H41"/>
  <c r="H46"/>
  <c r="P29" i="233"/>
  <c r="Q40"/>
  <c r="Q47"/>
  <c r="Q44"/>
  <c r="B47" i="234"/>
  <c r="B38"/>
  <c r="B42"/>
  <c r="K37"/>
  <c r="K41"/>
  <c r="K80"/>
  <c r="K109" s="1"/>
  <c r="K46"/>
  <c r="I80"/>
  <c r="I109" s="1"/>
  <c r="I46"/>
  <c r="I37"/>
  <c r="I41"/>
  <c r="G37"/>
  <c r="G41"/>
  <c r="G80"/>
  <c r="G109" s="1"/>
  <c r="G46"/>
  <c r="E80"/>
  <c r="E109" s="1"/>
  <c r="E46"/>
  <c r="E37"/>
  <c r="E41"/>
  <c r="C37"/>
  <c r="C41"/>
  <c r="C80"/>
  <c r="C109" s="1"/>
  <c r="C46"/>
  <c r="J79"/>
  <c r="J108" s="1"/>
  <c r="J36"/>
  <c r="J40"/>
  <c r="J45"/>
  <c r="F79"/>
  <c r="F108" s="1"/>
  <c r="F36"/>
  <c r="F40"/>
  <c r="F45"/>
  <c r="C78"/>
  <c r="C107" s="1"/>
  <c r="N28" s="1"/>
  <c r="O28" s="1"/>
  <c r="Q28"/>
  <c r="K74"/>
  <c r="K103" s="1"/>
  <c r="K35"/>
  <c r="G74"/>
  <c r="G103" s="1"/>
  <c r="G35"/>
  <c r="P24" i="232"/>
  <c r="Q37"/>
  <c r="Q22" i="234"/>
  <c r="P22" s="1"/>
  <c r="C72"/>
  <c r="C101" s="1"/>
  <c r="N22" s="1"/>
  <c r="O22" s="1"/>
  <c r="C68"/>
  <c r="C97" s="1"/>
  <c r="N18" s="1"/>
  <c r="O18" s="1"/>
  <c r="Q18"/>
  <c r="P18" s="1"/>
  <c r="C64"/>
  <c r="C93" s="1"/>
  <c r="N14" s="1"/>
  <c r="O14" s="1"/>
  <c r="Q14"/>
  <c r="P14" s="1"/>
  <c r="J63"/>
  <c r="J92" s="1"/>
  <c r="J34"/>
  <c r="F63"/>
  <c r="F92" s="1"/>
  <c r="F34"/>
  <c r="Q12"/>
  <c r="P12" s="1"/>
  <c r="C62"/>
  <c r="C91" s="1"/>
  <c r="N12" s="1"/>
  <c r="O12" s="1"/>
  <c r="C58"/>
  <c r="C87" s="1"/>
  <c r="N8" s="1"/>
  <c r="O8" s="1"/>
  <c r="Q8"/>
  <c r="P8" s="1"/>
  <c r="Q35" i="226"/>
  <c r="P12"/>
  <c r="Q34"/>
  <c r="C73" i="234"/>
  <c r="C102" s="1"/>
  <c r="N23" s="1"/>
  <c r="O23" s="1"/>
  <c r="Q23"/>
  <c r="P23" s="1"/>
  <c r="C69"/>
  <c r="C98" s="1"/>
  <c r="N19" s="1"/>
  <c r="O19" s="1"/>
  <c r="Q19"/>
  <c r="P19" s="1"/>
  <c r="C65"/>
  <c r="C94" s="1"/>
  <c r="N15" s="1"/>
  <c r="O15" s="1"/>
  <c r="Q15"/>
  <c r="P15" s="1"/>
  <c r="I63"/>
  <c r="I92" s="1"/>
  <c r="I34"/>
  <c r="E63"/>
  <c r="E92" s="1"/>
  <c r="E34"/>
  <c r="P13" i="232"/>
  <c r="P34" s="1"/>
  <c r="Q34"/>
  <c r="C63" i="234"/>
  <c r="C92" s="1"/>
  <c r="C34"/>
  <c r="Q13"/>
  <c r="Q9"/>
  <c r="P9" s="1"/>
  <c r="C59"/>
  <c r="C88" s="1"/>
  <c r="N9" s="1"/>
  <c r="O9" s="1"/>
  <c r="K82"/>
  <c r="K111" s="1"/>
  <c r="K39"/>
  <c r="K43"/>
  <c r="K48"/>
  <c r="G82"/>
  <c r="G111" s="1"/>
  <c r="G39"/>
  <c r="G43"/>
  <c r="G48"/>
  <c r="C82"/>
  <c r="C111" s="1"/>
  <c r="C39"/>
  <c r="C43"/>
  <c r="C48"/>
  <c r="L81"/>
  <c r="L110" s="1"/>
  <c r="L38"/>
  <c r="L42"/>
  <c r="L47"/>
  <c r="J81"/>
  <c r="J110" s="1"/>
  <c r="J38"/>
  <c r="J42"/>
  <c r="J47"/>
  <c r="H81"/>
  <c r="H110" s="1"/>
  <c r="H38"/>
  <c r="H42"/>
  <c r="H47"/>
  <c r="F81"/>
  <c r="F110" s="1"/>
  <c r="F38"/>
  <c r="F42"/>
  <c r="F47"/>
  <c r="D81"/>
  <c r="D110" s="1"/>
  <c r="D38"/>
  <c r="D42"/>
  <c r="D47"/>
  <c r="Q42" i="229"/>
  <c r="P28"/>
  <c r="Q46"/>
  <c r="Q35"/>
  <c r="L82" i="234"/>
  <c r="L111" s="1"/>
  <c r="L39"/>
  <c r="L43"/>
  <c r="L48"/>
  <c r="J82"/>
  <c r="J111" s="1"/>
  <c r="J39"/>
  <c r="J43"/>
  <c r="J48"/>
  <c r="H82"/>
  <c r="H111" s="1"/>
  <c r="H39"/>
  <c r="H43"/>
  <c r="H48"/>
  <c r="F82"/>
  <c r="F111" s="1"/>
  <c r="F39"/>
  <c r="F43"/>
  <c r="F48"/>
  <c r="D82"/>
  <c r="D111" s="1"/>
  <c r="D39"/>
  <c r="D43"/>
  <c r="D48"/>
  <c r="B37"/>
  <c r="B41"/>
  <c r="B46"/>
  <c r="I36"/>
  <c r="I40"/>
  <c r="I45"/>
  <c r="I79"/>
  <c r="I108" s="1"/>
  <c r="E36"/>
  <c r="E40"/>
  <c r="E45"/>
  <c r="E79"/>
  <c r="E108" s="1"/>
  <c r="Q46" i="232"/>
  <c r="P29"/>
  <c r="Q36"/>
  <c r="Q41"/>
  <c r="C79" i="234"/>
  <c r="C108" s="1"/>
  <c r="Q29"/>
  <c r="C36"/>
  <c r="C40"/>
  <c r="C45"/>
  <c r="C75"/>
  <c r="C104" s="1"/>
  <c r="N25" s="1"/>
  <c r="O25" s="1"/>
  <c r="Q25"/>
  <c r="P25" s="1"/>
  <c r="J74"/>
  <c r="J103" s="1"/>
  <c r="J35"/>
  <c r="F74"/>
  <c r="F103" s="1"/>
  <c r="F35"/>
  <c r="C68" i="230"/>
  <c r="C97" s="1"/>
  <c r="N17" s="1"/>
  <c r="O17" s="1"/>
  <c r="Q17"/>
  <c r="P17" s="1"/>
  <c r="K64"/>
  <c r="K93" s="1"/>
  <c r="K34"/>
  <c r="G64"/>
  <c r="G93" s="1"/>
  <c r="G34"/>
  <c r="P13" i="229"/>
  <c r="P34" s="1"/>
  <c r="Q34"/>
  <c r="C64" i="230"/>
  <c r="C93" s="1"/>
  <c r="C34"/>
  <c r="Q13"/>
  <c r="C60"/>
  <c r="C89" s="1"/>
  <c r="N9" s="1"/>
  <c r="O9" s="1"/>
  <c r="Q9"/>
  <c r="P9" s="1"/>
  <c r="Q5"/>
  <c r="P5" s="1"/>
  <c r="C56"/>
  <c r="C85" s="1"/>
  <c r="N5" s="1"/>
  <c r="O5" s="1"/>
  <c r="K83"/>
  <c r="K112" s="1"/>
  <c r="K39"/>
  <c r="K43"/>
  <c r="K48"/>
  <c r="I83"/>
  <c r="I112" s="1"/>
  <c r="I39"/>
  <c r="I43"/>
  <c r="I48"/>
  <c r="C83"/>
  <c r="C112" s="1"/>
  <c r="C39"/>
  <c r="C43"/>
  <c r="C48"/>
  <c r="L82"/>
  <c r="L111" s="1"/>
  <c r="L38"/>
  <c r="L42"/>
  <c r="L47"/>
  <c r="F82"/>
  <c r="F111" s="1"/>
  <c r="F38"/>
  <c r="F42"/>
  <c r="F47"/>
  <c r="D82"/>
  <c r="D111" s="1"/>
  <c r="D38"/>
  <c r="D42"/>
  <c r="D47"/>
  <c r="I37"/>
  <c r="I41"/>
  <c r="I81"/>
  <c r="I110" s="1"/>
  <c r="I46"/>
  <c r="G81"/>
  <c r="G110" s="1"/>
  <c r="G46"/>
  <c r="G37"/>
  <c r="G41"/>
  <c r="J45"/>
  <c r="J80"/>
  <c r="J109" s="1"/>
  <c r="J36"/>
  <c r="J40"/>
  <c r="F45"/>
  <c r="F80"/>
  <c r="F109" s="1"/>
  <c r="F36"/>
  <c r="F40"/>
  <c r="C77"/>
  <c r="C106" s="1"/>
  <c r="N26" s="1"/>
  <c r="O26" s="1"/>
  <c r="Q26"/>
  <c r="P26" s="1"/>
  <c r="I75"/>
  <c r="I104" s="1"/>
  <c r="I35"/>
  <c r="E75"/>
  <c r="E104" s="1"/>
  <c r="E35"/>
  <c r="Q24"/>
  <c r="C35"/>
  <c r="C75"/>
  <c r="C104" s="1"/>
  <c r="Q20"/>
  <c r="P20" s="1"/>
  <c r="C71"/>
  <c r="C100" s="1"/>
  <c r="N20" s="1"/>
  <c r="O20" s="1"/>
  <c r="Q16"/>
  <c r="P16" s="1"/>
  <c r="C67"/>
  <c r="C96" s="1"/>
  <c r="N16" s="1"/>
  <c r="O16" s="1"/>
  <c r="L64"/>
  <c r="L93" s="1"/>
  <c r="L34"/>
  <c r="H64"/>
  <c r="H93" s="1"/>
  <c r="H34"/>
  <c r="D64"/>
  <c r="D93" s="1"/>
  <c r="D34"/>
  <c r="C61"/>
  <c r="C90" s="1"/>
  <c r="N10" s="1"/>
  <c r="O10" s="1"/>
  <c r="Q10"/>
  <c r="P10" s="1"/>
  <c r="Q6"/>
  <c r="P6" s="1"/>
  <c r="C57"/>
  <c r="C86" s="1"/>
  <c r="N6" s="1"/>
  <c r="O6" s="1"/>
  <c r="P28" i="470"/>
  <c r="Q38"/>
  <c r="Q42"/>
  <c r="P35"/>
  <c r="P39"/>
  <c r="N21" i="228"/>
  <c r="O21" s="1"/>
  <c r="N27" i="233"/>
  <c r="O27" s="1"/>
  <c r="N29" i="228"/>
  <c r="N29" i="229"/>
  <c r="N25" i="228"/>
  <c r="O25" s="1"/>
  <c r="N25" i="229"/>
  <c r="O25" s="1"/>
  <c r="N23" i="228"/>
  <c r="O23" s="1"/>
  <c r="N21" i="229"/>
  <c r="O21" s="1"/>
  <c r="N19"/>
  <c r="O19" s="1"/>
  <c r="N15"/>
  <c r="O15" s="1"/>
  <c r="N11"/>
  <c r="O11" s="1"/>
  <c r="N7"/>
  <c r="O7" s="1"/>
  <c r="N28" i="232"/>
  <c r="N22"/>
  <c r="O22" s="1"/>
  <c r="N18"/>
  <c r="O18" s="1"/>
  <c r="N14"/>
  <c r="O14" s="1"/>
  <c r="N12"/>
  <c r="O12" s="1"/>
  <c r="N6"/>
  <c r="O6" s="1"/>
  <c r="N32" i="470"/>
  <c r="N11" i="232"/>
  <c r="O11" s="1"/>
  <c r="N9"/>
  <c r="O9" s="1"/>
  <c r="N7"/>
  <c r="O7" s="1"/>
  <c r="K55" i="234"/>
  <c r="K84" s="1"/>
  <c r="G55"/>
  <c r="G84" s="1"/>
  <c r="N5" i="232"/>
  <c r="O5" s="1"/>
  <c r="N27" i="229"/>
  <c r="O27" s="1"/>
  <c r="N23"/>
  <c r="O23" s="1"/>
  <c r="N27" i="232"/>
  <c r="O27" s="1"/>
  <c r="N25"/>
  <c r="O25" s="1"/>
  <c r="N15" i="228"/>
  <c r="O15" s="1"/>
  <c r="N13" i="229"/>
  <c r="N11" i="228"/>
  <c r="O11" s="1"/>
  <c r="N9"/>
  <c r="O9" s="1"/>
  <c r="N28" i="233"/>
  <c r="N18"/>
  <c r="O18" s="1"/>
  <c r="N14"/>
  <c r="O14" s="1"/>
  <c r="N10"/>
  <c r="O10" s="1"/>
  <c r="N6"/>
  <c r="O6" s="1"/>
  <c r="N30" i="226"/>
  <c r="N21" i="233"/>
  <c r="O21" s="1"/>
  <c r="N17"/>
  <c r="O17" s="1"/>
  <c r="N13"/>
  <c r="N7"/>
  <c r="O7" s="1"/>
  <c r="N5"/>
  <c r="O5" s="1"/>
  <c r="N20" i="229"/>
  <c r="O20" s="1"/>
  <c r="N16"/>
  <c r="O16" s="1"/>
  <c r="N12"/>
  <c r="O12" s="1"/>
  <c r="N8"/>
  <c r="O8" s="1"/>
  <c r="N30" i="470"/>
  <c r="N28" i="228"/>
  <c r="N22"/>
  <c r="O22" s="1"/>
  <c r="N18"/>
  <c r="O18" s="1"/>
  <c r="N14"/>
  <c r="O14" s="1"/>
  <c r="N12"/>
  <c r="O12" s="1"/>
  <c r="N10" i="229"/>
  <c r="O10" s="1"/>
  <c r="N10" i="228"/>
  <c r="O10" s="1"/>
  <c r="N8"/>
  <c r="O8" s="1"/>
  <c r="N6" i="229"/>
  <c r="O6" s="1"/>
  <c r="N6" i="228"/>
  <c r="O6" s="1"/>
  <c r="N24" i="470"/>
  <c r="B46" i="230"/>
  <c r="B37"/>
  <c r="B41"/>
  <c r="E80"/>
  <c r="E109" s="1"/>
  <c r="E36"/>
  <c r="E40"/>
  <c r="E45"/>
  <c r="D75"/>
  <c r="D104" s="1"/>
  <c r="D35"/>
  <c r="D83"/>
  <c r="D112" s="1"/>
  <c r="D39"/>
  <c r="D43"/>
  <c r="D48"/>
  <c r="F46"/>
  <c r="F81"/>
  <c r="F110" s="1"/>
  <c r="F37"/>
  <c r="F41"/>
  <c r="D81"/>
  <c r="D110" s="1"/>
  <c r="D37"/>
  <c r="D41"/>
  <c r="D46"/>
  <c r="L45" i="234"/>
  <c r="L79"/>
  <c r="L108" s="1"/>
  <c r="L36"/>
  <c r="L40"/>
  <c r="H45"/>
  <c r="H79"/>
  <c r="H108" s="1"/>
  <c r="H36"/>
  <c r="H40"/>
  <c r="P28" i="232"/>
  <c r="Q40"/>
  <c r="Q45"/>
  <c r="Q35"/>
  <c r="Q26" i="234"/>
  <c r="P26" s="1"/>
  <c r="C76"/>
  <c r="C105" s="1"/>
  <c r="N26" s="1"/>
  <c r="O26" s="1"/>
  <c r="I35"/>
  <c r="I74"/>
  <c r="I103" s="1"/>
  <c r="E35"/>
  <c r="E74"/>
  <c r="E103" s="1"/>
  <c r="Q24"/>
  <c r="P24" s="1"/>
  <c r="C74"/>
  <c r="C103" s="1"/>
  <c r="C35"/>
  <c r="C70"/>
  <c r="C99" s="1"/>
  <c r="N20" s="1"/>
  <c r="O20" s="1"/>
  <c r="Q20"/>
  <c r="P20" s="1"/>
  <c r="Q16"/>
  <c r="P16" s="1"/>
  <c r="C66"/>
  <c r="C95" s="1"/>
  <c r="N16" s="1"/>
  <c r="O16" s="1"/>
  <c r="L63"/>
  <c r="L92" s="1"/>
  <c r="L34"/>
  <c r="H63"/>
  <c r="H92" s="1"/>
  <c r="H34"/>
  <c r="D63"/>
  <c r="D92" s="1"/>
  <c r="D34"/>
  <c r="Q10"/>
  <c r="P10" s="1"/>
  <c r="C60"/>
  <c r="C89" s="1"/>
  <c r="N10" s="1"/>
  <c r="O10" s="1"/>
  <c r="C56"/>
  <c r="C85" s="1"/>
  <c r="N6" s="1"/>
  <c r="O6" s="1"/>
  <c r="Q6"/>
  <c r="P6" s="1"/>
  <c r="Q42" i="226"/>
  <c r="P28"/>
  <c r="Q38"/>
  <c r="P35"/>
  <c r="P39"/>
  <c r="Q21" i="234"/>
  <c r="P21" s="1"/>
  <c r="C71"/>
  <c r="C100" s="1"/>
  <c r="N21" s="1"/>
  <c r="O21" s="1"/>
  <c r="C67"/>
  <c r="C96" s="1"/>
  <c r="N17" s="1"/>
  <c r="O17" s="1"/>
  <c r="Q17"/>
  <c r="P17" s="1"/>
  <c r="K63"/>
  <c r="K92" s="1"/>
  <c r="K34"/>
  <c r="G63"/>
  <c r="G92" s="1"/>
  <c r="G34"/>
  <c r="C61"/>
  <c r="C90" s="1"/>
  <c r="N11" s="1"/>
  <c r="O11" s="1"/>
  <c r="Q11"/>
  <c r="P11" s="1"/>
  <c r="Q7"/>
  <c r="P7" s="1"/>
  <c r="C57"/>
  <c r="C86" s="1"/>
  <c r="N7" s="1"/>
  <c r="O7" s="1"/>
  <c r="C55"/>
  <c r="C84" s="1"/>
  <c r="Q5"/>
  <c r="P5" s="1"/>
  <c r="I82"/>
  <c r="I111" s="1"/>
  <c r="I39"/>
  <c r="I43"/>
  <c r="I48"/>
  <c r="E82"/>
  <c r="E111" s="1"/>
  <c r="E39"/>
  <c r="E43"/>
  <c r="E48"/>
  <c r="B48"/>
  <c r="B39"/>
  <c r="B43"/>
  <c r="K38"/>
  <c r="K42"/>
  <c r="K81"/>
  <c r="K110" s="1"/>
  <c r="K47"/>
  <c r="I81"/>
  <c r="I110" s="1"/>
  <c r="I47"/>
  <c r="I38"/>
  <c r="I42"/>
  <c r="G38"/>
  <c r="G42"/>
  <c r="G81"/>
  <c r="G110" s="1"/>
  <c r="G47"/>
  <c r="E81"/>
  <c r="E110" s="1"/>
  <c r="E47"/>
  <c r="E38"/>
  <c r="E42"/>
  <c r="C81"/>
  <c r="C110" s="1"/>
  <c r="N31" s="1"/>
  <c r="C38"/>
  <c r="C42"/>
  <c r="C47"/>
  <c r="L46"/>
  <c r="L80"/>
  <c r="L109" s="1"/>
  <c r="L37"/>
  <c r="L41"/>
  <c r="J80"/>
  <c r="J109" s="1"/>
  <c r="J37"/>
  <c r="J41"/>
  <c r="J46"/>
  <c r="H46"/>
  <c r="H80"/>
  <c r="H109" s="1"/>
  <c r="H37"/>
  <c r="H41"/>
  <c r="F80"/>
  <c r="F109" s="1"/>
  <c r="F37"/>
  <c r="F41"/>
  <c r="F46"/>
  <c r="D46"/>
  <c r="D80"/>
  <c r="D109" s="1"/>
  <c r="D37"/>
  <c r="D41"/>
  <c r="K79"/>
  <c r="K108" s="1"/>
  <c r="K36"/>
  <c r="K40"/>
  <c r="K45"/>
  <c r="G79"/>
  <c r="G108" s="1"/>
  <c r="G36"/>
  <c r="G40"/>
  <c r="G45"/>
  <c r="C77"/>
  <c r="C106" s="1"/>
  <c r="N27" s="1"/>
  <c r="O27" s="1"/>
  <c r="Q27"/>
  <c r="P27" s="1"/>
  <c r="L35"/>
  <c r="L74"/>
  <c r="L103" s="1"/>
  <c r="H35"/>
  <c r="H74"/>
  <c r="H103" s="1"/>
  <c r="D35"/>
  <c r="D74"/>
  <c r="D103" s="1"/>
  <c r="C70" i="230"/>
  <c r="C99" s="1"/>
  <c r="N19" s="1"/>
  <c r="O19" s="1"/>
  <c r="Q19"/>
  <c r="P19" s="1"/>
  <c r="C66"/>
  <c r="C95" s="1"/>
  <c r="N15" s="1"/>
  <c r="O15" s="1"/>
  <c r="Q15"/>
  <c r="P15" s="1"/>
  <c r="I64"/>
  <c r="I93" s="1"/>
  <c r="I34"/>
  <c r="E64"/>
  <c r="E93" s="1"/>
  <c r="E34"/>
  <c r="P13" i="228"/>
  <c r="P34" s="1"/>
  <c r="Q34"/>
  <c r="C62" i="230"/>
  <c r="C91" s="1"/>
  <c r="N11" s="1"/>
  <c r="O11" s="1"/>
  <c r="Q11"/>
  <c r="P11" s="1"/>
  <c r="C58"/>
  <c r="C87" s="1"/>
  <c r="N7" s="1"/>
  <c r="O7" s="1"/>
  <c r="Q7"/>
  <c r="P7" s="1"/>
  <c r="G83"/>
  <c r="G112" s="1"/>
  <c r="G39"/>
  <c r="G43"/>
  <c r="G48"/>
  <c r="E83"/>
  <c r="E112" s="1"/>
  <c r="E39"/>
  <c r="E43"/>
  <c r="E48"/>
  <c r="J82"/>
  <c r="J111" s="1"/>
  <c r="J38"/>
  <c r="J42"/>
  <c r="J47"/>
  <c r="H82"/>
  <c r="H111" s="1"/>
  <c r="H38"/>
  <c r="H42"/>
  <c r="H47"/>
  <c r="Q46" i="233"/>
  <c r="Q38"/>
  <c r="Q42"/>
  <c r="P28"/>
  <c r="Q41"/>
  <c r="P24"/>
  <c r="Q34"/>
  <c r="P13"/>
  <c r="P34" s="1"/>
  <c r="P24" i="229"/>
  <c r="P41" s="1"/>
  <c r="Q41"/>
  <c r="B47" i="230"/>
  <c r="B38"/>
  <c r="B42"/>
  <c r="K81"/>
  <c r="K110" s="1"/>
  <c r="K46"/>
  <c r="K37"/>
  <c r="K41"/>
  <c r="E37"/>
  <c r="E41"/>
  <c r="E81"/>
  <c r="E110" s="1"/>
  <c r="E46"/>
  <c r="C81"/>
  <c r="C110" s="1"/>
  <c r="C46"/>
  <c r="C37"/>
  <c r="C41"/>
  <c r="L80"/>
  <c r="L109" s="1"/>
  <c r="L36"/>
  <c r="L40"/>
  <c r="L45"/>
  <c r="H80"/>
  <c r="H109" s="1"/>
  <c r="H36"/>
  <c r="H40"/>
  <c r="H45"/>
  <c r="D80"/>
  <c r="D109" s="1"/>
  <c r="D36"/>
  <c r="D40"/>
  <c r="D45"/>
  <c r="B45"/>
  <c r="B36"/>
  <c r="B40"/>
  <c r="Q46" i="228"/>
  <c r="Q42"/>
  <c r="Q35"/>
  <c r="P28"/>
  <c r="Q28" i="230"/>
  <c r="C79"/>
  <c r="C108" s="1"/>
  <c r="N28" s="1"/>
  <c r="O28" s="1"/>
  <c r="K35"/>
  <c r="K75"/>
  <c r="K104" s="1"/>
  <c r="G35"/>
  <c r="G75"/>
  <c r="G104" s="1"/>
  <c r="Q41" i="228"/>
  <c r="P24"/>
  <c r="C73" i="230"/>
  <c r="C102" s="1"/>
  <c r="N22" s="1"/>
  <c r="O22" s="1"/>
  <c r="Q22"/>
  <c r="P22" s="1"/>
  <c r="C69"/>
  <c r="C98" s="1"/>
  <c r="N18" s="1"/>
  <c r="O18" s="1"/>
  <c r="Q18"/>
  <c r="P18" s="1"/>
  <c r="C65"/>
  <c r="C94" s="1"/>
  <c r="N14" s="1"/>
  <c r="O14" s="1"/>
  <c r="Q14"/>
  <c r="P14" s="1"/>
  <c r="J34"/>
  <c r="J64"/>
  <c r="J93" s="1"/>
  <c r="F34"/>
  <c r="F64"/>
  <c r="F93" s="1"/>
  <c r="Q12"/>
  <c r="P12" s="1"/>
  <c r="C63"/>
  <c r="C92" s="1"/>
  <c r="N12" s="1"/>
  <c r="O12" s="1"/>
  <c r="C59"/>
  <c r="C88" s="1"/>
  <c r="N8" s="1"/>
  <c r="O8" s="1"/>
  <c r="Q8"/>
  <c r="P8" s="1"/>
  <c r="Q35" i="470"/>
  <c r="Q34"/>
  <c r="P12"/>
  <c r="N27" i="228"/>
  <c r="O27" s="1"/>
  <c r="N29" i="233"/>
  <c r="N25"/>
  <c r="O25" s="1"/>
  <c r="N26" i="232"/>
  <c r="O26" s="1"/>
  <c r="N24"/>
  <c r="N20"/>
  <c r="O20" s="1"/>
  <c r="N16"/>
  <c r="O16" s="1"/>
  <c r="N10"/>
  <c r="O10" s="1"/>
  <c r="N24" i="226"/>
  <c r="N23" i="232"/>
  <c r="O23" s="1"/>
  <c r="N21"/>
  <c r="O21" s="1"/>
  <c r="N19"/>
  <c r="O19" s="1"/>
  <c r="N17"/>
  <c r="O17" s="1"/>
  <c r="N15"/>
  <c r="O15" s="1"/>
  <c r="N13"/>
  <c r="I55" i="234"/>
  <c r="I84" s="1"/>
  <c r="E55"/>
  <c r="E84" s="1"/>
  <c r="N28" i="229"/>
  <c r="N29" i="232"/>
  <c r="B35" i="234"/>
  <c r="N19" i="228"/>
  <c r="O19" s="1"/>
  <c r="N17" i="229"/>
  <c r="O17" s="1"/>
  <c r="N17" i="228"/>
  <c r="O17" s="1"/>
  <c r="N13"/>
  <c r="N9" i="229"/>
  <c r="O9" s="1"/>
  <c r="N7" i="228"/>
  <c r="O7" s="1"/>
  <c r="N5" i="229"/>
  <c r="O5" s="1"/>
  <c r="N5" i="228"/>
  <c r="O5" s="1"/>
  <c r="N26" i="233"/>
  <c r="O26" s="1"/>
  <c r="N24"/>
  <c r="O24" s="1"/>
  <c r="N22"/>
  <c r="O22" s="1"/>
  <c r="N20"/>
  <c r="O20" s="1"/>
  <c r="N16"/>
  <c r="O16" s="1"/>
  <c r="N12"/>
  <c r="O12" s="1"/>
  <c r="N8"/>
  <c r="O8" s="1"/>
  <c r="N23"/>
  <c r="O23" s="1"/>
  <c r="N19"/>
  <c r="O19" s="1"/>
  <c r="N15"/>
  <c r="O15" s="1"/>
  <c r="N11"/>
  <c r="O11" s="1"/>
  <c r="N9"/>
  <c r="O9" s="1"/>
  <c r="N24" i="229"/>
  <c r="N32" i="226"/>
  <c r="N26" i="228"/>
  <c r="O26" s="1"/>
  <c r="N26" i="229"/>
  <c r="O26" s="1"/>
  <c r="N24" i="228"/>
  <c r="N22" i="229"/>
  <c r="O22" s="1"/>
  <c r="N20" i="228"/>
  <c r="O20" s="1"/>
  <c r="N18" i="229"/>
  <c r="O18" s="1"/>
  <c r="N16" i="228"/>
  <c r="O16" s="1"/>
  <c r="N14" i="229"/>
  <c r="O14" s="1"/>
  <c r="N31" i="226"/>
  <c r="O37" i="227"/>
  <c r="O34" i="225"/>
  <c r="O36" i="231"/>
  <c r="O46"/>
  <c r="O41"/>
  <c r="O45"/>
  <c r="O40"/>
  <c r="O35"/>
  <c r="O47" i="227"/>
  <c r="O36"/>
  <c r="O44"/>
  <c r="O38"/>
  <c r="O46"/>
  <c r="O35"/>
  <c r="O40" i="469"/>
  <c r="O35"/>
  <c r="O45"/>
  <c r="O42"/>
  <c r="O36"/>
  <c r="O42" i="225"/>
  <c r="O36"/>
  <c r="O40"/>
  <c r="O35"/>
  <c r="O31" i="470" l="1"/>
  <c r="O43" s="1"/>
  <c r="N43"/>
  <c r="P38"/>
  <c r="P42"/>
  <c r="O13" i="226"/>
  <c r="O34" s="1"/>
  <c r="N34"/>
  <c r="O13" i="470"/>
  <c r="O34" s="1"/>
  <c r="N34"/>
  <c r="P42" i="226"/>
  <c r="P38"/>
  <c r="P41" i="228"/>
  <c r="N30" i="230"/>
  <c r="N37" s="1"/>
  <c r="N39" i="226"/>
  <c r="O31"/>
  <c r="N43"/>
  <c r="O24" i="228"/>
  <c r="N41"/>
  <c r="N41" i="229"/>
  <c r="O24"/>
  <c r="N36" i="232"/>
  <c r="N46"/>
  <c r="O29"/>
  <c r="N41"/>
  <c r="N34"/>
  <c r="O13"/>
  <c r="O34" s="1"/>
  <c r="N37" i="226"/>
  <c r="N35"/>
  <c r="O24"/>
  <c r="N37" i="232"/>
  <c r="O24"/>
  <c r="P46" i="228"/>
  <c r="P42"/>
  <c r="P35"/>
  <c r="N46" i="230"/>
  <c r="O30"/>
  <c r="P44" i="233"/>
  <c r="P41"/>
  <c r="P38"/>
  <c r="P42"/>
  <c r="P46"/>
  <c r="P36" i="226"/>
  <c r="P37"/>
  <c r="P35" i="232"/>
  <c r="P40"/>
  <c r="P45"/>
  <c r="N35" i="470"/>
  <c r="N37"/>
  <c r="N39"/>
  <c r="O24"/>
  <c r="O28" i="228"/>
  <c r="N42"/>
  <c r="N46"/>
  <c r="N35"/>
  <c r="N41" i="233"/>
  <c r="N34"/>
  <c r="O13"/>
  <c r="N38"/>
  <c r="N42"/>
  <c r="O28"/>
  <c r="N46"/>
  <c r="O29" i="229"/>
  <c r="N44"/>
  <c r="N47"/>
  <c r="N40"/>
  <c r="P37" i="470"/>
  <c r="P36"/>
  <c r="P13" i="230"/>
  <c r="P34" s="1"/>
  <c r="Q34"/>
  <c r="Q47" i="234"/>
  <c r="Q44"/>
  <c r="Q40"/>
  <c r="P29"/>
  <c r="P41" i="232"/>
  <c r="P46"/>
  <c r="P36"/>
  <c r="P47" i="228"/>
  <c r="P40"/>
  <c r="P44"/>
  <c r="Q40" i="230"/>
  <c r="P29"/>
  <c r="Q47"/>
  <c r="Q44"/>
  <c r="N5" i="234"/>
  <c r="O5" s="1"/>
  <c r="N13" i="230"/>
  <c r="N32" i="234"/>
  <c r="P37" i="232"/>
  <c r="N30" i="234"/>
  <c r="N29" i="230"/>
  <c r="O32" i="226"/>
  <c r="N40"/>
  <c r="N36"/>
  <c r="N44"/>
  <c r="O13" i="228"/>
  <c r="O34" s="1"/>
  <c r="N34"/>
  <c r="N42" i="229"/>
  <c r="N35"/>
  <c r="O28"/>
  <c r="N46"/>
  <c r="N40" i="233"/>
  <c r="N47"/>
  <c r="N44"/>
  <c r="O29"/>
  <c r="Q42" i="230"/>
  <c r="P28"/>
  <c r="Q35"/>
  <c r="Q46"/>
  <c r="O31" i="234"/>
  <c r="N38" i="470"/>
  <c r="O30"/>
  <c r="N42"/>
  <c r="N42" i="226"/>
  <c r="O30"/>
  <c r="N38"/>
  <c r="O13" i="229"/>
  <c r="O34" s="1"/>
  <c r="N34"/>
  <c r="N40" i="470"/>
  <c r="O32"/>
  <c r="N36"/>
  <c r="N44"/>
  <c r="N45" i="232"/>
  <c r="N35"/>
  <c r="N40"/>
  <c r="O28"/>
  <c r="O29" i="228"/>
  <c r="N47"/>
  <c r="N44"/>
  <c r="N40"/>
  <c r="P24" i="230"/>
  <c r="Q41"/>
  <c r="P35" i="229"/>
  <c r="P46"/>
  <c r="P42"/>
  <c r="Q41" i="234"/>
  <c r="Q34"/>
  <c r="P13"/>
  <c r="P34" s="1"/>
  <c r="Q42"/>
  <c r="P28"/>
  <c r="Q46"/>
  <c r="Q35"/>
  <c r="P47" i="233"/>
  <c r="P40"/>
  <c r="P40" i="229"/>
  <c r="P47"/>
  <c r="P44"/>
  <c r="N24" i="234"/>
  <c r="N24" i="230"/>
  <c r="N32"/>
  <c r="N29" i="234"/>
  <c r="N13"/>
  <c r="N31" i="230"/>
  <c r="J37" i="440"/>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9"/>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8"/>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7"/>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6"/>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5"/>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4"/>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3"/>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2"/>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J37" i="431"/>
  <c r="I37"/>
  <c r="H37"/>
  <c r="G37"/>
  <c r="F37"/>
  <c r="E36"/>
  <c r="D36"/>
  <c r="C36"/>
  <c r="B36"/>
  <c r="E35"/>
  <c r="D35"/>
  <c r="C35"/>
  <c r="B35"/>
  <c r="E34"/>
  <c r="D34"/>
  <c r="C34"/>
  <c r="B34"/>
  <c r="E33"/>
  <c r="D33"/>
  <c r="C33"/>
  <c r="B33"/>
  <c r="E32"/>
  <c r="D32"/>
  <c r="C32"/>
  <c r="B32"/>
  <c r="E31"/>
  <c r="D31"/>
  <c r="C31"/>
  <c r="B31"/>
  <c r="E30"/>
  <c r="D30"/>
  <c r="C30"/>
  <c r="B30"/>
  <c r="E29"/>
  <c r="D29"/>
  <c r="C29"/>
  <c r="B29"/>
  <c r="E28"/>
  <c r="D28"/>
  <c r="C28"/>
  <c r="B28"/>
  <c r="E27"/>
  <c r="D27"/>
  <c r="C27"/>
  <c r="B27"/>
  <c r="E26"/>
  <c r="D26"/>
  <c r="C26"/>
  <c r="B26"/>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4"/>
  <c r="D14"/>
  <c r="C14"/>
  <c r="B14"/>
  <c r="E13"/>
  <c r="D13"/>
  <c r="C13"/>
  <c r="B13"/>
  <c r="E12"/>
  <c r="D12"/>
  <c r="C12"/>
  <c r="B12"/>
  <c r="E11"/>
  <c r="D11"/>
  <c r="C11"/>
  <c r="B11"/>
  <c r="E10"/>
  <c r="E40" s="1"/>
  <c r="D10"/>
  <c r="C10"/>
  <c r="C40" s="1"/>
  <c r="B10"/>
  <c r="E9"/>
  <c r="D9"/>
  <c r="C9"/>
  <c r="B9"/>
  <c r="E8"/>
  <c r="D8"/>
  <c r="C8"/>
  <c r="B8"/>
  <c r="E7"/>
  <c r="D7"/>
  <c r="C7"/>
  <c r="B7"/>
  <c r="E6"/>
  <c r="D6"/>
  <c r="C6"/>
  <c r="B6"/>
  <c r="E5"/>
  <c r="D5"/>
  <c r="D39" s="1"/>
  <c r="C5"/>
  <c r="C39" s="1"/>
  <c r="B5"/>
  <c r="B39" s="1"/>
  <c r="N38" i="234" l="1"/>
  <c r="P41" i="230"/>
  <c r="N47" i="234"/>
  <c r="O37" i="232"/>
  <c r="O13" i="234"/>
  <c r="O34" s="1"/>
  <c r="N34"/>
  <c r="N39" i="230"/>
  <c r="N43"/>
  <c r="O32"/>
  <c r="N48"/>
  <c r="O24" i="234"/>
  <c r="O35" s="1"/>
  <c r="N35"/>
  <c r="P46"/>
  <c r="P42"/>
  <c r="P35"/>
  <c r="O40" i="232"/>
  <c r="O45"/>
  <c r="O35"/>
  <c r="O40" i="470"/>
  <c r="O44"/>
  <c r="O36"/>
  <c r="O42"/>
  <c r="O38"/>
  <c r="P35" i="230"/>
  <c r="P46"/>
  <c r="P42"/>
  <c r="O47" i="233"/>
  <c r="O44"/>
  <c r="O40"/>
  <c r="N45" i="230"/>
  <c r="N36"/>
  <c r="O29"/>
  <c r="N40"/>
  <c r="N34"/>
  <c r="O13"/>
  <c r="O34" s="1"/>
  <c r="O47" i="229"/>
  <c r="O44"/>
  <c r="O40"/>
  <c r="O46" i="233"/>
  <c r="O38"/>
  <c r="O42"/>
  <c r="O37" i="470"/>
  <c r="O35"/>
  <c r="O39"/>
  <c r="O46" i="230"/>
  <c r="O37"/>
  <c r="N42" i="234"/>
  <c r="O41" i="229"/>
  <c r="O31" i="230"/>
  <c r="N47"/>
  <c r="N38"/>
  <c r="N42"/>
  <c r="O29" i="234"/>
  <c r="N45"/>
  <c r="N36"/>
  <c r="N40"/>
  <c r="O24" i="230"/>
  <c r="O35" s="1"/>
  <c r="N35"/>
  <c r="O47" i="228"/>
  <c r="O44"/>
  <c r="O40"/>
  <c r="O42" i="226"/>
  <c r="O38"/>
  <c r="O47" i="234"/>
  <c r="O42"/>
  <c r="O38"/>
  <c r="O46" i="229"/>
  <c r="O42"/>
  <c r="O35"/>
  <c r="O44" i="226"/>
  <c r="O36"/>
  <c r="O40"/>
  <c r="N46" i="234"/>
  <c r="N41"/>
  <c r="O30"/>
  <c r="N37"/>
  <c r="N39"/>
  <c r="N43"/>
  <c r="O32"/>
  <c r="N48"/>
  <c r="P47" i="230"/>
  <c r="P44"/>
  <c r="P40"/>
  <c r="P44" i="234"/>
  <c r="P47"/>
  <c r="P40"/>
  <c r="O34" i="233"/>
  <c r="O41"/>
  <c r="O46" i="228"/>
  <c r="O42"/>
  <c r="O35"/>
  <c r="O35" i="226"/>
  <c r="O37"/>
  <c r="O36" i="232"/>
  <c r="O41"/>
  <c r="O46"/>
  <c r="O43" i="226"/>
  <c r="O39"/>
  <c r="P41" i="234"/>
  <c r="N41" i="230"/>
  <c r="O41" i="228"/>
  <c r="F6" i="432"/>
  <c r="J6"/>
  <c r="G7"/>
  <c r="J7"/>
  <c r="F8"/>
  <c r="J8"/>
  <c r="G9"/>
  <c r="J9"/>
  <c r="F10"/>
  <c r="J10"/>
  <c r="G11"/>
  <c r="J11"/>
  <c r="F12"/>
  <c r="J12"/>
  <c r="G13"/>
  <c r="J13"/>
  <c r="F14"/>
  <c r="J14"/>
  <c r="G15"/>
  <c r="J15"/>
  <c r="F16"/>
  <c r="J16"/>
  <c r="G17"/>
  <c r="J17"/>
  <c r="F18"/>
  <c r="J18"/>
  <c r="G19"/>
  <c r="J19"/>
  <c r="F20"/>
  <c r="J20"/>
  <c r="G21"/>
  <c r="J21"/>
  <c r="F22"/>
  <c r="J22"/>
  <c r="G23"/>
  <c r="J23"/>
  <c r="F24"/>
  <c r="J24"/>
  <c r="G25"/>
  <c r="J25"/>
  <c r="F26"/>
  <c r="J26"/>
  <c r="G27"/>
  <c r="J27"/>
  <c r="F28"/>
  <c r="J28"/>
  <c r="G29"/>
  <c r="J29"/>
  <c r="F30"/>
  <c r="J30"/>
  <c r="G31"/>
  <c r="J31"/>
  <c r="F32"/>
  <c r="J32"/>
  <c r="G33"/>
  <c r="J33"/>
  <c r="F34"/>
  <c r="J34"/>
  <c r="G35"/>
  <c r="J35"/>
  <c r="F36"/>
  <c r="J36"/>
  <c r="F6" i="434"/>
  <c r="J6"/>
  <c r="G7"/>
  <c r="J7"/>
  <c r="F8"/>
  <c r="J8"/>
  <c r="G9"/>
  <c r="J9"/>
  <c r="F10"/>
  <c r="J10"/>
  <c r="J40" s="1"/>
  <c r="G11"/>
  <c r="J11"/>
  <c r="F12"/>
  <c r="J12"/>
  <c r="G13"/>
  <c r="J13"/>
  <c r="F14"/>
  <c r="J14"/>
  <c r="G15"/>
  <c r="J15"/>
  <c r="F16"/>
  <c r="J16"/>
  <c r="G17"/>
  <c r="J17"/>
  <c r="F18"/>
  <c r="J18"/>
  <c r="G19"/>
  <c r="J19"/>
  <c r="F20"/>
  <c r="J20"/>
  <c r="G21"/>
  <c r="J21"/>
  <c r="F22"/>
  <c r="J22"/>
  <c r="G23"/>
  <c r="J23"/>
  <c r="F24"/>
  <c r="J24"/>
  <c r="G25"/>
  <c r="J25"/>
  <c r="F26"/>
  <c r="J26"/>
  <c r="G27"/>
  <c r="J27"/>
  <c r="F28"/>
  <c r="J28"/>
  <c r="G29"/>
  <c r="J29"/>
  <c r="F30"/>
  <c r="J30"/>
  <c r="G31"/>
  <c r="J31"/>
  <c r="F32"/>
  <c r="J32"/>
  <c r="F33"/>
  <c r="J33"/>
  <c r="F34"/>
  <c r="J34"/>
  <c r="F35"/>
  <c r="J35"/>
  <c r="F36"/>
  <c r="J36"/>
  <c r="F6" i="436"/>
  <c r="J6"/>
  <c r="G7"/>
  <c r="J7"/>
  <c r="F8"/>
  <c r="J8"/>
  <c r="G9"/>
  <c r="J9"/>
  <c r="F10"/>
  <c r="J10"/>
  <c r="J40" s="1"/>
  <c r="G11"/>
  <c r="J11"/>
  <c r="F12"/>
  <c r="J12"/>
  <c r="G13"/>
  <c r="J13"/>
  <c r="F14"/>
  <c r="J14"/>
  <c r="G15"/>
  <c r="J15"/>
  <c r="F16"/>
  <c r="J16"/>
  <c r="G17"/>
  <c r="J17"/>
  <c r="F18"/>
  <c r="J18"/>
  <c r="G19"/>
  <c r="J19"/>
  <c r="F20"/>
  <c r="J20"/>
  <c r="G21"/>
  <c r="J21"/>
  <c r="F22"/>
  <c r="J22"/>
  <c r="G23"/>
  <c r="J23"/>
  <c r="F24"/>
  <c r="J24"/>
  <c r="F25"/>
  <c r="J25"/>
  <c r="F26"/>
  <c r="J26"/>
  <c r="F27"/>
  <c r="J27"/>
  <c r="F28"/>
  <c r="J28"/>
  <c r="G29"/>
  <c r="J29"/>
  <c r="F30"/>
  <c r="J30"/>
  <c r="G31"/>
  <c r="J31"/>
  <c r="F32"/>
  <c r="J32"/>
  <c r="F33"/>
  <c r="J33"/>
  <c r="F34"/>
  <c r="J34"/>
  <c r="F35"/>
  <c r="J35"/>
  <c r="F36"/>
  <c r="J36"/>
  <c r="F6" i="438"/>
  <c r="J6"/>
  <c r="F7"/>
  <c r="J7"/>
  <c r="F8"/>
  <c r="J8"/>
  <c r="G9"/>
  <c r="J9"/>
  <c r="F10"/>
  <c r="J10"/>
  <c r="G11"/>
  <c r="J11"/>
  <c r="F12"/>
  <c r="J12"/>
  <c r="G13"/>
  <c r="J13"/>
  <c r="F14"/>
  <c r="J14"/>
  <c r="G15"/>
  <c r="J15"/>
  <c r="F16"/>
  <c r="J16"/>
  <c r="G17"/>
  <c r="J17"/>
  <c r="F18"/>
  <c r="J18"/>
  <c r="G19"/>
  <c r="J19"/>
  <c r="F20"/>
  <c r="J20"/>
  <c r="G21"/>
  <c r="J21"/>
  <c r="F22"/>
  <c r="J22"/>
  <c r="G23"/>
  <c r="J23"/>
  <c r="F24"/>
  <c r="J24"/>
  <c r="F25"/>
  <c r="J25"/>
  <c r="F26"/>
  <c r="J26"/>
  <c r="F27"/>
  <c r="J27"/>
  <c r="F28"/>
  <c r="J28"/>
  <c r="F29"/>
  <c r="J29"/>
  <c r="F30"/>
  <c r="J30"/>
  <c r="F31"/>
  <c r="J31"/>
  <c r="F32"/>
  <c r="J32"/>
  <c r="F33"/>
  <c r="J33"/>
  <c r="F34"/>
  <c r="J34"/>
  <c r="F35"/>
  <c r="J35"/>
  <c r="F36"/>
  <c r="J36"/>
  <c r="F6" i="440"/>
  <c r="J6"/>
  <c r="F7"/>
  <c r="J7"/>
  <c r="F8"/>
  <c r="J8"/>
  <c r="G9"/>
  <c r="J9"/>
  <c r="F10"/>
  <c r="J10"/>
  <c r="J40" s="1"/>
  <c r="G11"/>
  <c r="J11"/>
  <c r="F12"/>
  <c r="J12"/>
  <c r="G13"/>
  <c r="J13"/>
  <c r="F14"/>
  <c r="J14"/>
  <c r="F15"/>
  <c r="J15"/>
  <c r="F16"/>
  <c r="J16"/>
  <c r="F17"/>
  <c r="J17"/>
  <c r="F18"/>
  <c r="J18"/>
  <c r="F19"/>
  <c r="J19"/>
  <c r="F20"/>
  <c r="J20"/>
  <c r="F21"/>
  <c r="J21"/>
  <c r="F22"/>
  <c r="J22"/>
  <c r="F23"/>
  <c r="J23"/>
  <c r="F24"/>
  <c r="J24"/>
  <c r="F25"/>
  <c r="J25"/>
  <c r="F26"/>
  <c r="J26"/>
  <c r="F27"/>
  <c r="J27"/>
  <c r="F28"/>
  <c r="J28"/>
  <c r="F29"/>
  <c r="J29"/>
  <c r="F30"/>
  <c r="J32"/>
  <c r="F33"/>
  <c r="J30"/>
  <c r="F31"/>
  <c r="J31"/>
  <c r="F32"/>
  <c r="J33"/>
  <c r="F34"/>
  <c r="J34"/>
  <c r="F35"/>
  <c r="J35"/>
  <c r="F36"/>
  <c r="J36"/>
  <c r="I5" i="433"/>
  <c r="I6"/>
  <c r="I7"/>
  <c r="I8"/>
  <c r="I9"/>
  <c r="I11"/>
  <c r="I12"/>
  <c r="I13"/>
  <c r="I14"/>
  <c r="I15"/>
  <c r="I16"/>
  <c r="I17"/>
  <c r="I18"/>
  <c r="I19"/>
  <c r="I20"/>
  <c r="I21"/>
  <c r="I22"/>
  <c r="I23"/>
  <c r="I24"/>
  <c r="I25"/>
  <c r="I26"/>
  <c r="I27"/>
  <c r="I28"/>
  <c r="I29"/>
  <c r="I30"/>
  <c r="I31"/>
  <c r="I32"/>
  <c r="I33"/>
  <c r="I34"/>
  <c r="I35"/>
  <c r="I36"/>
  <c r="I5" i="435"/>
  <c r="I39" s="1"/>
  <c r="I6"/>
  <c r="I7"/>
  <c r="I8"/>
  <c r="I9"/>
  <c r="I11"/>
  <c r="I12"/>
  <c r="I13"/>
  <c r="I14"/>
  <c r="I15"/>
  <c r="I16"/>
  <c r="I17"/>
  <c r="I18"/>
  <c r="I19"/>
  <c r="I20"/>
  <c r="I21"/>
  <c r="I22"/>
  <c r="I23"/>
  <c r="I24"/>
  <c r="I25"/>
  <c r="I26"/>
  <c r="I27"/>
  <c r="I28"/>
  <c r="I29"/>
  <c r="I30"/>
  <c r="I31"/>
  <c r="I32"/>
  <c r="I33"/>
  <c r="I34"/>
  <c r="I35"/>
  <c r="I36"/>
  <c r="I5" i="437"/>
  <c r="I6"/>
  <c r="I7"/>
  <c r="I8"/>
  <c r="I9"/>
  <c r="I11"/>
  <c r="I12"/>
  <c r="I13"/>
  <c r="I14"/>
  <c r="I15"/>
  <c r="I16"/>
  <c r="I17"/>
  <c r="I18"/>
  <c r="I19"/>
  <c r="I20"/>
  <c r="I21"/>
  <c r="I22"/>
  <c r="I23"/>
  <c r="I24"/>
  <c r="I25"/>
  <c r="I26"/>
  <c r="I27"/>
  <c r="I28"/>
  <c r="I29"/>
  <c r="I30"/>
  <c r="I31"/>
  <c r="I32"/>
  <c r="I33"/>
  <c r="I34"/>
  <c r="I35"/>
  <c r="I36"/>
  <c r="I5" i="439"/>
  <c r="I39" s="1"/>
  <c r="I6"/>
  <c r="I7"/>
  <c r="I8"/>
  <c r="I9"/>
  <c r="I11"/>
  <c r="I12"/>
  <c r="I13"/>
  <c r="I14"/>
  <c r="I15"/>
  <c r="I16"/>
  <c r="I17"/>
  <c r="I18"/>
  <c r="I19"/>
  <c r="I20"/>
  <c r="I21"/>
  <c r="I22"/>
  <c r="I23"/>
  <c r="I24"/>
  <c r="I25"/>
  <c r="I26"/>
  <c r="I27"/>
  <c r="I28"/>
  <c r="I29"/>
  <c r="I30"/>
  <c r="I31"/>
  <c r="I32"/>
  <c r="I33"/>
  <c r="I34"/>
  <c r="I35"/>
  <c r="I36"/>
  <c r="F6" i="431"/>
  <c r="J6"/>
  <c r="G7"/>
  <c r="J7"/>
  <c r="F8"/>
  <c r="J8"/>
  <c r="G9"/>
  <c r="J9"/>
  <c r="F10"/>
  <c r="J10"/>
  <c r="G11"/>
  <c r="J11"/>
  <c r="F12"/>
  <c r="J12"/>
  <c r="G13"/>
  <c r="J13"/>
  <c r="F14"/>
  <c r="J14"/>
  <c r="G15"/>
  <c r="J15"/>
  <c r="F16"/>
  <c r="J16"/>
  <c r="G17"/>
  <c r="J17"/>
  <c r="F18"/>
  <c r="J18"/>
  <c r="G19"/>
  <c r="J19"/>
  <c r="F20"/>
  <c r="J20"/>
  <c r="G21"/>
  <c r="J21"/>
  <c r="F22"/>
  <c r="J22"/>
  <c r="G23"/>
  <c r="J23"/>
  <c r="F24"/>
  <c r="J24"/>
  <c r="G25"/>
  <c r="J25"/>
  <c r="F26"/>
  <c r="J26"/>
  <c r="G27"/>
  <c r="J27"/>
  <c r="F28"/>
  <c r="J28"/>
  <c r="G29"/>
  <c r="J29"/>
  <c r="F30"/>
  <c r="J30"/>
  <c r="G31"/>
  <c r="J31"/>
  <c r="F32"/>
  <c r="J32"/>
  <c r="G33"/>
  <c r="J33"/>
  <c r="F34"/>
  <c r="J34"/>
  <c r="G35"/>
  <c r="J35"/>
  <c r="F36"/>
  <c r="J36"/>
  <c r="I5" i="432"/>
  <c r="I6"/>
  <c r="I7"/>
  <c r="I8"/>
  <c r="I9"/>
  <c r="I11"/>
  <c r="I12"/>
  <c r="I13"/>
  <c r="I14"/>
  <c r="I15"/>
  <c r="I16"/>
  <c r="I17"/>
  <c r="I18"/>
  <c r="I19"/>
  <c r="I20"/>
  <c r="I21"/>
  <c r="I22"/>
  <c r="I23"/>
  <c r="I24"/>
  <c r="I25"/>
  <c r="I26"/>
  <c r="I27"/>
  <c r="I28"/>
  <c r="I29"/>
  <c r="I30"/>
  <c r="I31"/>
  <c r="I32"/>
  <c r="I33"/>
  <c r="I34"/>
  <c r="I35"/>
  <c r="I36"/>
  <c r="F6" i="433"/>
  <c r="J6"/>
  <c r="G7"/>
  <c r="J7"/>
  <c r="F8"/>
  <c r="J8"/>
  <c r="G9"/>
  <c r="J9"/>
  <c r="F10"/>
  <c r="F40" s="1"/>
  <c r="J10"/>
  <c r="G11"/>
  <c r="J11"/>
  <c r="F12"/>
  <c r="J12"/>
  <c r="G13"/>
  <c r="J13"/>
  <c r="F14"/>
  <c r="J14"/>
  <c r="G15"/>
  <c r="J15"/>
  <c r="F16"/>
  <c r="J16"/>
  <c r="G17"/>
  <c r="J17"/>
  <c r="F18"/>
  <c r="J18"/>
  <c r="G19"/>
  <c r="J19"/>
  <c r="F20"/>
  <c r="J20"/>
  <c r="G21"/>
  <c r="J21"/>
  <c r="F22"/>
  <c r="J22"/>
  <c r="G23"/>
  <c r="J23"/>
  <c r="F24"/>
  <c r="J24"/>
  <c r="G25"/>
  <c r="J25"/>
  <c r="F26"/>
  <c r="J26"/>
  <c r="G27"/>
  <c r="J27"/>
  <c r="F28"/>
  <c r="J28"/>
  <c r="G29"/>
  <c r="J29"/>
  <c r="F30"/>
  <c r="J30"/>
  <c r="G31"/>
  <c r="J31"/>
  <c r="F32"/>
  <c r="J32"/>
  <c r="F33"/>
  <c r="J33"/>
  <c r="F34"/>
  <c r="J34"/>
  <c r="F35"/>
  <c r="J35"/>
  <c r="F36"/>
  <c r="J36"/>
  <c r="I5" i="434"/>
  <c r="I39" s="1"/>
  <c r="I6"/>
  <c r="I7"/>
  <c r="I8"/>
  <c r="I9"/>
  <c r="I11"/>
  <c r="I12"/>
  <c r="I13"/>
  <c r="I14"/>
  <c r="I15"/>
  <c r="I16"/>
  <c r="I17"/>
  <c r="I18"/>
  <c r="I19"/>
  <c r="I20"/>
  <c r="I21"/>
  <c r="I22"/>
  <c r="I23"/>
  <c r="I24"/>
  <c r="I25"/>
  <c r="I26"/>
  <c r="I27"/>
  <c r="I28"/>
  <c r="I29"/>
  <c r="I30"/>
  <c r="I31"/>
  <c r="I32"/>
  <c r="I33"/>
  <c r="I34"/>
  <c r="I35"/>
  <c r="I36"/>
  <c r="F6" i="435"/>
  <c r="J6"/>
  <c r="G7"/>
  <c r="J7"/>
  <c r="F8"/>
  <c r="J8"/>
  <c r="G9"/>
  <c r="J9"/>
  <c r="F10"/>
  <c r="J10"/>
  <c r="J40" s="1"/>
  <c r="G11"/>
  <c r="J11"/>
  <c r="F12"/>
  <c r="J12"/>
  <c r="G13"/>
  <c r="J13"/>
  <c r="F14"/>
  <c r="J14"/>
  <c r="G15"/>
  <c r="J15"/>
  <c r="F16"/>
  <c r="J16"/>
  <c r="G17"/>
  <c r="J17"/>
  <c r="F18"/>
  <c r="J18"/>
  <c r="G19"/>
  <c r="J19"/>
  <c r="F20"/>
  <c r="J20"/>
  <c r="G21"/>
  <c r="J21"/>
  <c r="F22"/>
  <c r="J22"/>
  <c r="F23"/>
  <c r="J23"/>
  <c r="F24"/>
  <c r="J24"/>
  <c r="F25"/>
  <c r="J25"/>
  <c r="F26"/>
  <c r="J26"/>
  <c r="F27"/>
  <c r="J27"/>
  <c r="F28"/>
  <c r="J28"/>
  <c r="G29"/>
  <c r="J29"/>
  <c r="F30"/>
  <c r="J30"/>
  <c r="G31"/>
  <c r="J31"/>
  <c r="F32"/>
  <c r="J32"/>
  <c r="G33"/>
  <c r="J33"/>
  <c r="F34"/>
  <c r="J34"/>
  <c r="G35"/>
  <c r="J35"/>
  <c r="F36"/>
  <c r="J36"/>
  <c r="I5" i="436"/>
  <c r="I6"/>
  <c r="I7"/>
  <c r="I8"/>
  <c r="I9"/>
  <c r="I11"/>
  <c r="I12"/>
  <c r="I13"/>
  <c r="I14"/>
  <c r="I15"/>
  <c r="I16"/>
  <c r="I17"/>
  <c r="I18"/>
  <c r="I19"/>
  <c r="I20"/>
  <c r="I21"/>
  <c r="I22"/>
  <c r="I23"/>
  <c r="I24"/>
  <c r="I25"/>
  <c r="I26"/>
  <c r="I27"/>
  <c r="I28"/>
  <c r="I29"/>
  <c r="I30"/>
  <c r="I31"/>
  <c r="I32"/>
  <c r="I33"/>
  <c r="I34"/>
  <c r="I35"/>
  <c r="I36"/>
  <c r="F6" i="437"/>
  <c r="J6"/>
  <c r="F7"/>
  <c r="J7"/>
  <c r="F8"/>
  <c r="J8"/>
  <c r="F9"/>
  <c r="J9"/>
  <c r="F10"/>
  <c r="J10"/>
  <c r="F11"/>
  <c r="J11"/>
  <c r="F12"/>
  <c r="J12"/>
  <c r="F13"/>
  <c r="J13"/>
  <c r="F14"/>
  <c r="J14"/>
  <c r="F15"/>
  <c r="J15"/>
  <c r="F16"/>
  <c r="J16"/>
  <c r="F17"/>
  <c r="J17"/>
  <c r="F18"/>
  <c r="J18"/>
  <c r="F19"/>
  <c r="J19"/>
  <c r="F20"/>
  <c r="J20"/>
  <c r="F21"/>
  <c r="J21"/>
  <c r="F22"/>
  <c r="J22"/>
  <c r="F23"/>
  <c r="J23"/>
  <c r="F24"/>
  <c r="J24"/>
  <c r="F25"/>
  <c r="J25"/>
  <c r="F26"/>
  <c r="J26"/>
  <c r="F27"/>
  <c r="J27"/>
  <c r="F28"/>
  <c r="J28"/>
  <c r="F29"/>
  <c r="J29"/>
  <c r="F30"/>
  <c r="J30"/>
  <c r="F31"/>
  <c r="J31"/>
  <c r="F32"/>
  <c r="J32"/>
  <c r="F33"/>
  <c r="J33"/>
  <c r="F34"/>
  <c r="J34"/>
  <c r="F35"/>
  <c r="J35"/>
  <c r="F36"/>
  <c r="J36"/>
  <c r="I5" i="438"/>
  <c r="I6"/>
  <c r="I7"/>
  <c r="I8"/>
  <c r="I9"/>
  <c r="I11"/>
  <c r="I12"/>
  <c r="I13"/>
  <c r="I14"/>
  <c r="I15"/>
  <c r="I16"/>
  <c r="I17"/>
  <c r="I18"/>
  <c r="I19"/>
  <c r="I20"/>
  <c r="I21"/>
  <c r="I22"/>
  <c r="I23"/>
  <c r="I24"/>
  <c r="I25"/>
  <c r="I26"/>
  <c r="I27"/>
  <c r="I28"/>
  <c r="I29"/>
  <c r="I30"/>
  <c r="I31"/>
  <c r="I32"/>
  <c r="I33"/>
  <c r="I34"/>
  <c r="I35"/>
  <c r="I36"/>
  <c r="F6" i="439"/>
  <c r="J6"/>
  <c r="G7"/>
  <c r="J7"/>
  <c r="F8"/>
  <c r="J8"/>
  <c r="G9"/>
  <c r="J9"/>
  <c r="F10"/>
  <c r="J10"/>
  <c r="J40" s="1"/>
  <c r="G11"/>
  <c r="J11"/>
  <c r="F12"/>
  <c r="J12"/>
  <c r="G13"/>
  <c r="J13"/>
  <c r="F14"/>
  <c r="J14"/>
  <c r="G15"/>
  <c r="J15"/>
  <c r="F16"/>
  <c r="J16"/>
  <c r="G17"/>
  <c r="J17"/>
  <c r="F18"/>
  <c r="J18"/>
  <c r="G19"/>
  <c r="J19"/>
  <c r="F20"/>
  <c r="J20"/>
  <c r="G21"/>
  <c r="J21"/>
  <c r="F22"/>
  <c r="J22"/>
  <c r="G23"/>
  <c r="J23"/>
  <c r="F24"/>
  <c r="J24"/>
  <c r="G25"/>
  <c r="J25"/>
  <c r="F26"/>
  <c r="J26"/>
  <c r="F27"/>
  <c r="J27"/>
  <c r="F28"/>
  <c r="J28"/>
  <c r="F29"/>
  <c r="J29"/>
  <c r="F30"/>
  <c r="J30"/>
  <c r="G31"/>
  <c r="J31"/>
  <c r="F32"/>
  <c r="J32"/>
  <c r="F33"/>
  <c r="J33"/>
  <c r="F34"/>
  <c r="J34"/>
  <c r="F35"/>
  <c r="J35"/>
  <c r="F36"/>
  <c r="J36"/>
  <c r="I5" i="440"/>
  <c r="I6"/>
  <c r="I7"/>
  <c r="I8"/>
  <c r="I9"/>
  <c r="I11"/>
  <c r="I12"/>
  <c r="I13"/>
  <c r="I14"/>
  <c r="I15"/>
  <c r="I16"/>
  <c r="I17"/>
  <c r="I18"/>
  <c r="I19"/>
  <c r="I20"/>
  <c r="I21"/>
  <c r="I22"/>
  <c r="I23"/>
  <c r="I24"/>
  <c r="I25"/>
  <c r="I26"/>
  <c r="I27"/>
  <c r="I28"/>
  <c r="I29"/>
  <c r="I30"/>
  <c r="I31"/>
  <c r="I32"/>
  <c r="I33"/>
  <c r="I34"/>
  <c r="I35"/>
  <c r="I36"/>
  <c r="F5"/>
  <c r="F39" s="1"/>
  <c r="H5"/>
  <c r="H39" s="1"/>
  <c r="J5"/>
  <c r="J39" s="1"/>
  <c r="G6"/>
  <c r="H7"/>
  <c r="G8"/>
  <c r="F9"/>
  <c r="H9"/>
  <c r="G10"/>
  <c r="G40" s="1"/>
  <c r="I10"/>
  <c r="I40" s="1"/>
  <c r="F11"/>
  <c r="H11"/>
  <c r="G12"/>
  <c r="F13"/>
  <c r="H13"/>
  <c r="G14"/>
  <c r="H15"/>
  <c r="G16"/>
  <c r="H17"/>
  <c r="G18"/>
  <c r="H19"/>
  <c r="G20"/>
  <c r="H21"/>
  <c r="G22"/>
  <c r="H23"/>
  <c r="G24"/>
  <c r="H25"/>
  <c r="G26"/>
  <c r="H27"/>
  <c r="G28"/>
  <c r="H29"/>
  <c r="G30"/>
  <c r="H31"/>
  <c r="G32"/>
  <c r="H33"/>
  <c r="G34"/>
  <c r="H35"/>
  <c r="G36"/>
  <c r="E39"/>
  <c r="I39"/>
  <c r="B40"/>
  <c r="D40"/>
  <c r="F40"/>
  <c r="G5"/>
  <c r="G39" s="1"/>
  <c r="H6"/>
  <c r="G7"/>
  <c r="H8"/>
  <c r="H10"/>
  <c r="H40" s="1"/>
  <c r="H12"/>
  <c r="H14"/>
  <c r="G15"/>
  <c r="H16"/>
  <c r="G17"/>
  <c r="H18"/>
  <c r="G19"/>
  <c r="H20"/>
  <c r="G21"/>
  <c r="H22"/>
  <c r="G23"/>
  <c r="H24"/>
  <c r="G25"/>
  <c r="H26"/>
  <c r="G27"/>
  <c r="H28"/>
  <c r="G29"/>
  <c r="H30"/>
  <c r="G31"/>
  <c r="H32"/>
  <c r="G33"/>
  <c r="H34"/>
  <c r="G35"/>
  <c r="H36"/>
  <c r="F5" i="439"/>
  <c r="F39" s="1"/>
  <c r="H5"/>
  <c r="H39" s="1"/>
  <c r="J5"/>
  <c r="J39" s="1"/>
  <c r="G6"/>
  <c r="F7"/>
  <c r="H7"/>
  <c r="G8"/>
  <c r="F9"/>
  <c r="H9"/>
  <c r="G10"/>
  <c r="G40" s="1"/>
  <c r="I10"/>
  <c r="I40" s="1"/>
  <c r="F11"/>
  <c r="H11"/>
  <c r="G12"/>
  <c r="F13"/>
  <c r="H13"/>
  <c r="G14"/>
  <c r="F15"/>
  <c r="H15"/>
  <c r="G16"/>
  <c r="F17"/>
  <c r="H17"/>
  <c r="G18"/>
  <c r="F19"/>
  <c r="H19"/>
  <c r="G20"/>
  <c r="F21"/>
  <c r="H21"/>
  <c r="G22"/>
  <c r="F23"/>
  <c r="H23"/>
  <c r="G24"/>
  <c r="F25"/>
  <c r="H25"/>
  <c r="G26"/>
  <c r="H27"/>
  <c r="G28"/>
  <c r="H29"/>
  <c r="G30"/>
  <c r="F31"/>
  <c r="H31"/>
  <c r="G32"/>
  <c r="H33"/>
  <c r="G34"/>
  <c r="H35"/>
  <c r="G36"/>
  <c r="E39"/>
  <c r="B40"/>
  <c r="D40"/>
  <c r="F40"/>
  <c r="G5"/>
  <c r="G39" s="1"/>
  <c r="H6"/>
  <c r="H8"/>
  <c r="H10"/>
  <c r="H40" s="1"/>
  <c r="H12"/>
  <c r="H14"/>
  <c r="H16"/>
  <c r="H18"/>
  <c r="H20"/>
  <c r="H22"/>
  <c r="H24"/>
  <c r="H26"/>
  <c r="G27"/>
  <c r="H28"/>
  <c r="G29"/>
  <c r="H30"/>
  <c r="H32"/>
  <c r="G33"/>
  <c r="H34"/>
  <c r="G35"/>
  <c r="H36"/>
  <c r="F5" i="438"/>
  <c r="F39" s="1"/>
  <c r="H5"/>
  <c r="H39" s="1"/>
  <c r="J5"/>
  <c r="J39" s="1"/>
  <c r="G6"/>
  <c r="H7"/>
  <c r="G8"/>
  <c r="F9"/>
  <c r="H9"/>
  <c r="G10"/>
  <c r="G40" s="1"/>
  <c r="I10"/>
  <c r="I40" s="1"/>
  <c r="F11"/>
  <c r="H11"/>
  <c r="G12"/>
  <c r="F13"/>
  <c r="H13"/>
  <c r="G14"/>
  <c r="F15"/>
  <c r="H15"/>
  <c r="G16"/>
  <c r="F17"/>
  <c r="H17"/>
  <c r="G18"/>
  <c r="F19"/>
  <c r="H19"/>
  <c r="G20"/>
  <c r="F21"/>
  <c r="H21"/>
  <c r="G22"/>
  <c r="F23"/>
  <c r="H23"/>
  <c r="G24"/>
  <c r="H25"/>
  <c r="G26"/>
  <c r="H27"/>
  <c r="G28"/>
  <c r="H29"/>
  <c r="G30"/>
  <c r="H31"/>
  <c r="G32"/>
  <c r="H33"/>
  <c r="G34"/>
  <c r="H35"/>
  <c r="G36"/>
  <c r="E39"/>
  <c r="I39"/>
  <c r="B40"/>
  <c r="D40"/>
  <c r="F40"/>
  <c r="J40"/>
  <c r="G5"/>
  <c r="G39" s="1"/>
  <c r="H6"/>
  <c r="G7"/>
  <c r="H8"/>
  <c r="H10"/>
  <c r="H40" s="1"/>
  <c r="H12"/>
  <c r="H14"/>
  <c r="H16"/>
  <c r="H18"/>
  <c r="H20"/>
  <c r="H22"/>
  <c r="H24"/>
  <c r="G25"/>
  <c r="H26"/>
  <c r="G27"/>
  <c r="H28"/>
  <c r="G29"/>
  <c r="H30"/>
  <c r="G31"/>
  <c r="H32"/>
  <c r="G33"/>
  <c r="H34"/>
  <c r="G35"/>
  <c r="H36"/>
  <c r="F5" i="437"/>
  <c r="F39" s="1"/>
  <c r="H5"/>
  <c r="H39" s="1"/>
  <c r="J5"/>
  <c r="J39" s="1"/>
  <c r="G6"/>
  <c r="H7"/>
  <c r="G8"/>
  <c r="H9"/>
  <c r="G10"/>
  <c r="G40" s="1"/>
  <c r="I10"/>
  <c r="I40" s="1"/>
  <c r="H11"/>
  <c r="G12"/>
  <c r="H13"/>
  <c r="G14"/>
  <c r="H15"/>
  <c r="G16"/>
  <c r="H17"/>
  <c r="G18"/>
  <c r="H19"/>
  <c r="G20"/>
  <c r="H21"/>
  <c r="G22"/>
  <c r="H23"/>
  <c r="G24"/>
  <c r="H25"/>
  <c r="G26"/>
  <c r="H27"/>
  <c r="G28"/>
  <c r="H29"/>
  <c r="G30"/>
  <c r="H31"/>
  <c r="G32"/>
  <c r="H33"/>
  <c r="G34"/>
  <c r="H35"/>
  <c r="G36"/>
  <c r="E39"/>
  <c r="I39"/>
  <c r="B40"/>
  <c r="D40"/>
  <c r="F40"/>
  <c r="J40"/>
  <c r="G5"/>
  <c r="G39" s="1"/>
  <c r="H6"/>
  <c r="G7"/>
  <c r="H8"/>
  <c r="G9"/>
  <c r="H10"/>
  <c r="H40" s="1"/>
  <c r="G11"/>
  <c r="H12"/>
  <c r="G13"/>
  <c r="H14"/>
  <c r="G15"/>
  <c r="H16"/>
  <c r="G17"/>
  <c r="H18"/>
  <c r="G19"/>
  <c r="H20"/>
  <c r="G21"/>
  <c r="H22"/>
  <c r="G23"/>
  <c r="H24"/>
  <c r="G25"/>
  <c r="H26"/>
  <c r="G27"/>
  <c r="H28"/>
  <c r="G29"/>
  <c r="H30"/>
  <c r="G31"/>
  <c r="H32"/>
  <c r="G33"/>
  <c r="H34"/>
  <c r="G35"/>
  <c r="H36"/>
  <c r="F5" i="436"/>
  <c r="F39" s="1"/>
  <c r="H5"/>
  <c r="H39" s="1"/>
  <c r="J5"/>
  <c r="J39" s="1"/>
  <c r="G6"/>
  <c r="F7"/>
  <c r="H7"/>
  <c r="G8"/>
  <c r="F9"/>
  <c r="H9"/>
  <c r="G10"/>
  <c r="G40" s="1"/>
  <c r="I10"/>
  <c r="I40" s="1"/>
  <c r="F11"/>
  <c r="H11"/>
  <c r="G12"/>
  <c r="F13"/>
  <c r="H13"/>
  <c r="G14"/>
  <c r="F15"/>
  <c r="H15"/>
  <c r="G16"/>
  <c r="F17"/>
  <c r="H17"/>
  <c r="G18"/>
  <c r="F19"/>
  <c r="H19"/>
  <c r="G20"/>
  <c r="F21"/>
  <c r="H21"/>
  <c r="G22"/>
  <c r="F23"/>
  <c r="H23"/>
  <c r="G24"/>
  <c r="H25"/>
  <c r="G26"/>
  <c r="H27"/>
  <c r="G28"/>
  <c r="F29"/>
  <c r="H29"/>
  <c r="G30"/>
  <c r="F31"/>
  <c r="H31"/>
  <c r="G32"/>
  <c r="H33"/>
  <c r="G34"/>
  <c r="H35"/>
  <c r="G36"/>
  <c r="E39"/>
  <c r="I39"/>
  <c r="B40"/>
  <c r="D40"/>
  <c r="F40"/>
  <c r="G5"/>
  <c r="G39" s="1"/>
  <c r="H6"/>
  <c r="H8"/>
  <c r="H10"/>
  <c r="H40" s="1"/>
  <c r="H12"/>
  <c r="H14"/>
  <c r="H16"/>
  <c r="H18"/>
  <c r="H20"/>
  <c r="H22"/>
  <c r="H24"/>
  <c r="G25"/>
  <c r="H26"/>
  <c r="G27"/>
  <c r="H28"/>
  <c r="H30"/>
  <c r="H32"/>
  <c r="G33"/>
  <c r="H34"/>
  <c r="G35"/>
  <c r="H36"/>
  <c r="F5" i="435"/>
  <c r="F39" s="1"/>
  <c r="H5"/>
  <c r="H39" s="1"/>
  <c r="J5"/>
  <c r="J39" s="1"/>
  <c r="G6"/>
  <c r="F7"/>
  <c r="H7"/>
  <c r="G8"/>
  <c r="F9"/>
  <c r="H9"/>
  <c r="G10"/>
  <c r="G40" s="1"/>
  <c r="I10"/>
  <c r="I40" s="1"/>
  <c r="F11"/>
  <c r="H11"/>
  <c r="G12"/>
  <c r="F13"/>
  <c r="H13"/>
  <c r="G14"/>
  <c r="F15"/>
  <c r="H15"/>
  <c r="G16"/>
  <c r="F17"/>
  <c r="H17"/>
  <c r="G18"/>
  <c r="F19"/>
  <c r="H19"/>
  <c r="G20"/>
  <c r="F21"/>
  <c r="H21"/>
  <c r="G22"/>
  <c r="H23"/>
  <c r="G24"/>
  <c r="H25"/>
  <c r="G26"/>
  <c r="H27"/>
  <c r="G28"/>
  <c r="F29"/>
  <c r="H29"/>
  <c r="G30"/>
  <c r="F31"/>
  <c r="H31"/>
  <c r="G32"/>
  <c r="F33"/>
  <c r="H33"/>
  <c r="G34"/>
  <c r="F35"/>
  <c r="H35"/>
  <c r="G36"/>
  <c r="E39"/>
  <c r="B40"/>
  <c r="D40"/>
  <c r="F40"/>
  <c r="G5"/>
  <c r="G39" s="1"/>
  <c r="H6"/>
  <c r="H8"/>
  <c r="H10"/>
  <c r="H40" s="1"/>
  <c r="H12"/>
  <c r="H14"/>
  <c r="H16"/>
  <c r="H18"/>
  <c r="H20"/>
  <c r="H22"/>
  <c r="G23"/>
  <c r="H24"/>
  <c r="G25"/>
  <c r="H26"/>
  <c r="G27"/>
  <c r="H28"/>
  <c r="H30"/>
  <c r="H32"/>
  <c r="H34"/>
  <c r="H36"/>
  <c r="F5" i="434"/>
  <c r="F39" s="1"/>
  <c r="H5"/>
  <c r="H39" s="1"/>
  <c r="J5"/>
  <c r="J39" s="1"/>
  <c r="G6"/>
  <c r="F7"/>
  <c r="H7"/>
  <c r="G8"/>
  <c r="F9"/>
  <c r="H9"/>
  <c r="G10"/>
  <c r="G40" s="1"/>
  <c r="I10"/>
  <c r="I40" s="1"/>
  <c r="F11"/>
  <c r="H11"/>
  <c r="G12"/>
  <c r="F13"/>
  <c r="H13"/>
  <c r="G14"/>
  <c r="F15"/>
  <c r="H15"/>
  <c r="G16"/>
  <c r="F17"/>
  <c r="H17"/>
  <c r="G18"/>
  <c r="F19"/>
  <c r="H19"/>
  <c r="G20"/>
  <c r="F21"/>
  <c r="H21"/>
  <c r="G22"/>
  <c r="F23"/>
  <c r="H23"/>
  <c r="G24"/>
  <c r="F25"/>
  <c r="H25"/>
  <c r="G26"/>
  <c r="F27"/>
  <c r="H27"/>
  <c r="G28"/>
  <c r="F29"/>
  <c r="H29"/>
  <c r="G30"/>
  <c r="F31"/>
  <c r="H31"/>
  <c r="G32"/>
  <c r="H33"/>
  <c r="G34"/>
  <c r="H35"/>
  <c r="G36"/>
  <c r="E39"/>
  <c r="B40"/>
  <c r="D40"/>
  <c r="F40"/>
  <c r="G5"/>
  <c r="G39" s="1"/>
  <c r="H6"/>
  <c r="H8"/>
  <c r="H10"/>
  <c r="H40" s="1"/>
  <c r="H12"/>
  <c r="H14"/>
  <c r="H16"/>
  <c r="H18"/>
  <c r="H20"/>
  <c r="H22"/>
  <c r="H24"/>
  <c r="H26"/>
  <c r="H28"/>
  <c r="H30"/>
  <c r="H32"/>
  <c r="G33"/>
  <c r="H34"/>
  <c r="G35"/>
  <c r="H36"/>
  <c r="F5" i="433"/>
  <c r="F39" s="1"/>
  <c r="H5"/>
  <c r="H39" s="1"/>
  <c r="J5"/>
  <c r="J39" s="1"/>
  <c r="G6"/>
  <c r="F7"/>
  <c r="H7"/>
  <c r="G8"/>
  <c r="F9"/>
  <c r="H9"/>
  <c r="G10"/>
  <c r="G40" s="1"/>
  <c r="I10"/>
  <c r="I40" s="1"/>
  <c r="F11"/>
  <c r="H11"/>
  <c r="G12"/>
  <c r="F13"/>
  <c r="H13"/>
  <c r="G14"/>
  <c r="F15"/>
  <c r="H15"/>
  <c r="G16"/>
  <c r="F17"/>
  <c r="H17"/>
  <c r="G18"/>
  <c r="F19"/>
  <c r="H19"/>
  <c r="G20"/>
  <c r="F21"/>
  <c r="H21"/>
  <c r="G22"/>
  <c r="F23"/>
  <c r="H23"/>
  <c r="G24"/>
  <c r="F25"/>
  <c r="H25"/>
  <c r="G26"/>
  <c r="F27"/>
  <c r="H27"/>
  <c r="G28"/>
  <c r="F29"/>
  <c r="H29"/>
  <c r="G30"/>
  <c r="F31"/>
  <c r="H31"/>
  <c r="G32"/>
  <c r="H33"/>
  <c r="G34"/>
  <c r="H35"/>
  <c r="G36"/>
  <c r="E39"/>
  <c r="I39"/>
  <c r="B40"/>
  <c r="D40"/>
  <c r="J40"/>
  <c r="G5"/>
  <c r="G39" s="1"/>
  <c r="H6"/>
  <c r="H8"/>
  <c r="H10"/>
  <c r="H40" s="1"/>
  <c r="H12"/>
  <c r="H14"/>
  <c r="H16"/>
  <c r="H18"/>
  <c r="H20"/>
  <c r="H22"/>
  <c r="H24"/>
  <c r="H26"/>
  <c r="H28"/>
  <c r="H30"/>
  <c r="H32"/>
  <c r="G33"/>
  <c r="H34"/>
  <c r="G35"/>
  <c r="H36"/>
  <c r="I5" i="431"/>
  <c r="I39" s="1"/>
  <c r="I6"/>
  <c r="I7"/>
  <c r="I8"/>
  <c r="I9"/>
  <c r="I11"/>
  <c r="I12"/>
  <c r="I13"/>
  <c r="I14"/>
  <c r="I15"/>
  <c r="I16"/>
  <c r="I17"/>
  <c r="I18"/>
  <c r="I19"/>
  <c r="I20"/>
  <c r="I21"/>
  <c r="I22"/>
  <c r="I23"/>
  <c r="I24"/>
  <c r="I25"/>
  <c r="I26"/>
  <c r="I27"/>
  <c r="I28"/>
  <c r="I29"/>
  <c r="I30"/>
  <c r="I31"/>
  <c r="I32"/>
  <c r="I33"/>
  <c r="I34"/>
  <c r="I35"/>
  <c r="I36"/>
  <c r="F5" i="432"/>
  <c r="F39" s="1"/>
  <c r="H5"/>
  <c r="H39" s="1"/>
  <c r="J5"/>
  <c r="J39" s="1"/>
  <c r="G6"/>
  <c r="F7"/>
  <c r="H7"/>
  <c r="G8"/>
  <c r="F9"/>
  <c r="H9"/>
  <c r="G10"/>
  <c r="G40" s="1"/>
  <c r="I10"/>
  <c r="I40" s="1"/>
  <c r="F11"/>
  <c r="H11"/>
  <c r="G12"/>
  <c r="F13"/>
  <c r="H13"/>
  <c r="G14"/>
  <c r="F15"/>
  <c r="H15"/>
  <c r="G16"/>
  <c r="F17"/>
  <c r="H17"/>
  <c r="G18"/>
  <c r="F19"/>
  <c r="H19"/>
  <c r="G20"/>
  <c r="F21"/>
  <c r="H21"/>
  <c r="G22"/>
  <c r="F23"/>
  <c r="H23"/>
  <c r="G24"/>
  <c r="F25"/>
  <c r="H25"/>
  <c r="G26"/>
  <c r="F27"/>
  <c r="H27"/>
  <c r="G28"/>
  <c r="F29"/>
  <c r="H29"/>
  <c r="G30"/>
  <c r="F31"/>
  <c r="H31"/>
  <c r="G32"/>
  <c r="F33"/>
  <c r="H33"/>
  <c r="G34"/>
  <c r="F35"/>
  <c r="H35"/>
  <c r="G36"/>
  <c r="E39"/>
  <c r="I39"/>
  <c r="B40"/>
  <c r="D40"/>
  <c r="F40"/>
  <c r="J40"/>
  <c r="G5"/>
  <c r="G39" s="1"/>
  <c r="H6"/>
  <c r="H8"/>
  <c r="H10"/>
  <c r="H40" s="1"/>
  <c r="H12"/>
  <c r="H14"/>
  <c r="H16"/>
  <c r="H18"/>
  <c r="H20"/>
  <c r="H22"/>
  <c r="H24"/>
  <c r="H26"/>
  <c r="H28"/>
  <c r="H30"/>
  <c r="H32"/>
  <c r="H34"/>
  <c r="H36"/>
  <c r="F5" i="431"/>
  <c r="F39" s="1"/>
  <c r="H5"/>
  <c r="H39" s="1"/>
  <c r="J5"/>
  <c r="J39" s="1"/>
  <c r="G6"/>
  <c r="F7"/>
  <c r="H7"/>
  <c r="G8"/>
  <c r="F9"/>
  <c r="H9"/>
  <c r="G10"/>
  <c r="G40" s="1"/>
  <c r="I10"/>
  <c r="I40" s="1"/>
  <c r="F11"/>
  <c r="H11"/>
  <c r="G12"/>
  <c r="F13"/>
  <c r="H13"/>
  <c r="G14"/>
  <c r="F15"/>
  <c r="H15"/>
  <c r="G16"/>
  <c r="F17"/>
  <c r="H17"/>
  <c r="G18"/>
  <c r="F19"/>
  <c r="H19"/>
  <c r="G20"/>
  <c r="F21"/>
  <c r="H21"/>
  <c r="G22"/>
  <c r="F23"/>
  <c r="H23"/>
  <c r="G24"/>
  <c r="F25"/>
  <c r="H25"/>
  <c r="G26"/>
  <c r="F27"/>
  <c r="H27"/>
  <c r="G28"/>
  <c r="F29"/>
  <c r="H29"/>
  <c r="G30"/>
  <c r="F31"/>
  <c r="H31"/>
  <c r="G32"/>
  <c r="F33"/>
  <c r="H33"/>
  <c r="G34"/>
  <c r="F35"/>
  <c r="H35"/>
  <c r="G36"/>
  <c r="E39"/>
  <c r="B40"/>
  <c r="D40"/>
  <c r="F40"/>
  <c r="J40"/>
  <c r="G5"/>
  <c r="G39" s="1"/>
  <c r="H6"/>
  <c r="H8"/>
  <c r="H10"/>
  <c r="H40" s="1"/>
  <c r="H12"/>
  <c r="H14"/>
  <c r="H16"/>
  <c r="H18"/>
  <c r="H20"/>
  <c r="H22"/>
  <c r="H24"/>
  <c r="H26"/>
  <c r="H28"/>
  <c r="H30"/>
  <c r="H32"/>
  <c r="H34"/>
  <c r="H36"/>
  <c r="O43" i="230" l="1"/>
  <c r="O48"/>
  <c r="O39"/>
  <c r="O41"/>
  <c r="O48" i="234"/>
  <c r="O39"/>
  <c r="O43"/>
  <c r="O41"/>
  <c r="O46"/>
  <c r="O37"/>
  <c r="O45"/>
  <c r="O36"/>
  <c r="O40"/>
  <c r="O38" i="230"/>
  <c r="O47"/>
  <c r="O42"/>
  <c r="O45"/>
  <c r="O40"/>
  <c r="O36"/>
  <c r="D7" i="443"/>
  <c r="K18"/>
  <c r="H18"/>
  <c r="D8"/>
  <c r="E8"/>
  <c r="D9"/>
  <c r="E9"/>
  <c r="D10"/>
  <c r="E10"/>
  <c r="D11"/>
  <c r="E11"/>
  <c r="D12"/>
  <c r="E12"/>
  <c r="D13"/>
  <c r="E13"/>
  <c r="D14"/>
  <c r="E14"/>
  <c r="D15"/>
  <c r="E15"/>
  <c r="D16"/>
  <c r="E16"/>
  <c r="D17"/>
  <c r="E17"/>
  <c r="D18"/>
  <c r="E18"/>
  <c r="B41" i="441"/>
  <c r="B40"/>
  <c r="J41"/>
  <c r="I41"/>
  <c r="H41"/>
  <c r="G41"/>
  <c r="F41"/>
  <c r="D41"/>
  <c r="C41"/>
  <c r="J40"/>
  <c r="I40"/>
  <c r="H40"/>
  <c r="G40"/>
  <c r="F40"/>
  <c r="D40"/>
  <c r="C40"/>
  <c r="K38"/>
  <c r="E38"/>
  <c r="CN44" i="427"/>
  <c r="CM44"/>
  <c r="CL44"/>
  <c r="CK44"/>
  <c r="CJ44"/>
  <c r="CI44"/>
  <c r="CH44"/>
  <c r="CG44"/>
  <c r="CF44"/>
  <c r="CE44"/>
  <c r="CD44"/>
  <c r="CB44"/>
  <c r="BZ44"/>
  <c r="BX44"/>
  <c r="BV44"/>
  <c r="BU44"/>
  <c r="BS44"/>
  <c r="BQ44"/>
  <c r="BO44"/>
  <c r="BM44"/>
  <c r="BL44"/>
  <c r="BJ44"/>
  <c r="BH44"/>
  <c r="BF44"/>
  <c r="BD44"/>
  <c r="BC44"/>
  <c r="BA44"/>
  <c r="AY44"/>
  <c r="AW44"/>
  <c r="AU44"/>
  <c r="AT44"/>
  <c r="AR44"/>
  <c r="AP44"/>
  <c r="AN44"/>
  <c r="AL44"/>
  <c r="AK44"/>
  <c r="AI44"/>
  <c r="AG44"/>
  <c r="AE44"/>
  <c r="J44"/>
  <c r="H44"/>
  <c r="C56" i="426"/>
  <c r="C55"/>
  <c r="AS47"/>
  <c r="AR47"/>
  <c r="AQ47"/>
  <c r="AP47"/>
  <c r="AO47"/>
  <c r="AN47"/>
  <c r="AM47"/>
  <c r="AL47"/>
  <c r="AK47"/>
  <c r="AJ47"/>
  <c r="AI47"/>
  <c r="AH47"/>
  <c r="AG47"/>
  <c r="AF47"/>
  <c r="AE47"/>
  <c r="AD47"/>
  <c r="AC47"/>
  <c r="AB47"/>
  <c r="AA47"/>
  <c r="Z47"/>
  <c r="Y47"/>
  <c r="X47"/>
  <c r="W47"/>
  <c r="V47"/>
  <c r="U47"/>
  <c r="T47"/>
  <c r="S47"/>
  <c r="R47"/>
  <c r="Q47"/>
  <c r="P47"/>
  <c r="O47"/>
  <c r="N47"/>
  <c r="E47"/>
  <c r="I47"/>
  <c r="M47"/>
  <c r="L47"/>
  <c r="K47"/>
  <c r="J47"/>
  <c r="H47"/>
  <c r="G47"/>
  <c r="F47"/>
  <c r="D47"/>
  <c r="C47"/>
  <c r="B47"/>
  <c r="F51" i="425"/>
  <c r="F50"/>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B45" i="424"/>
  <c r="E75"/>
  <c r="C51"/>
  <c r="C50"/>
  <c r="W45"/>
  <c r="V45"/>
  <c r="U45"/>
  <c r="T45"/>
  <c r="S45"/>
  <c r="R45"/>
  <c r="Q45"/>
  <c r="P45"/>
  <c r="O45"/>
  <c r="N45"/>
  <c r="M45"/>
  <c r="L45"/>
  <c r="K45"/>
  <c r="J45"/>
  <c r="F45"/>
  <c r="I45"/>
  <c r="H45"/>
  <c r="G45"/>
  <c r="E45"/>
  <c r="D45"/>
  <c r="C45"/>
  <c r="BZ47" i="423"/>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D47"/>
  <c r="C47"/>
  <c r="B47"/>
  <c r="G54"/>
  <c r="G53"/>
  <c r="D53"/>
  <c r="C38" i="349"/>
  <c r="B38"/>
  <c r="C35"/>
  <c r="B35"/>
  <c r="D31"/>
  <c r="E31"/>
  <c r="G31"/>
  <c r="B32" i="348"/>
  <c r="C32"/>
  <c r="D32"/>
  <c r="E32"/>
  <c r="F32"/>
  <c r="G32"/>
  <c r="H32"/>
  <c r="J32"/>
  <c r="K32"/>
  <c r="L32"/>
  <c r="M32"/>
  <c r="M37" i="345"/>
  <c r="L37"/>
  <c r="K37"/>
  <c r="J37"/>
  <c r="H37"/>
  <c r="G37"/>
  <c r="F37"/>
  <c r="E37"/>
  <c r="D37"/>
  <c r="C37"/>
  <c r="B37"/>
  <c r="C34"/>
  <c r="D34"/>
  <c r="E34"/>
  <c r="F34"/>
  <c r="G34"/>
  <c r="H34"/>
  <c r="J34"/>
  <c r="K34"/>
  <c r="L34"/>
  <c r="M34"/>
  <c r="B34"/>
  <c r="I32"/>
  <c r="I32" i="348" s="1"/>
  <c r="N32" i="345"/>
  <c r="N32" i="348" s="1"/>
  <c r="O32" i="345"/>
  <c r="F31" i="349" s="1"/>
  <c r="B34" i="344"/>
  <c r="B37"/>
  <c r="L37"/>
  <c r="K37"/>
  <c r="J37"/>
  <c r="I37"/>
  <c r="H37"/>
  <c r="G37"/>
  <c r="F37"/>
  <c r="E37"/>
  <c r="D37"/>
  <c r="C37"/>
  <c r="L34"/>
  <c r="K34"/>
  <c r="J34"/>
  <c r="I34"/>
  <c r="H34"/>
  <c r="G34"/>
  <c r="F34"/>
  <c r="E34"/>
  <c r="D34"/>
  <c r="C34"/>
  <c r="B38"/>
  <c r="B27" i="338"/>
  <c r="C27"/>
  <c r="D27"/>
  <c r="E27"/>
  <c r="F27"/>
  <c r="G27"/>
  <c r="H27"/>
  <c r="I27"/>
  <c r="J27"/>
  <c r="K27"/>
  <c r="L27"/>
  <c r="C34" i="337"/>
  <c r="D34"/>
  <c r="E34"/>
  <c r="F34"/>
  <c r="G34"/>
  <c r="H34"/>
  <c r="I34"/>
  <c r="J34"/>
  <c r="K34"/>
  <c r="L34"/>
  <c r="B34"/>
  <c r="B33"/>
  <c r="B32"/>
  <c r="C32"/>
  <c r="D32"/>
  <c r="E32"/>
  <c r="F32"/>
  <c r="G32"/>
  <c r="H32"/>
  <c r="I32"/>
  <c r="J32"/>
  <c r="K32"/>
  <c r="L32"/>
  <c r="B31"/>
  <c r="C46" i="336"/>
  <c r="D46"/>
  <c r="E46"/>
  <c r="F46"/>
  <c r="B46"/>
  <c r="B45"/>
  <c r="C44"/>
  <c r="D44"/>
  <c r="E44"/>
  <c r="F44"/>
  <c r="B44"/>
  <c r="B43"/>
  <c r="H38"/>
  <c r="I38"/>
  <c r="J38"/>
  <c r="K38"/>
  <c r="L38"/>
  <c r="X19" i="327"/>
  <c r="X12"/>
  <c r="X11"/>
  <c r="X9"/>
  <c r="X5"/>
  <c r="V5"/>
  <c r="X30"/>
  <c r="X28"/>
  <c r="X26"/>
  <c r="X24"/>
  <c r="X23"/>
  <c r="X22"/>
  <c r="X21"/>
  <c r="X20"/>
  <c r="X18"/>
  <c r="X17"/>
  <c r="X16"/>
  <c r="X15"/>
  <c r="X14"/>
  <c r="X13"/>
  <c r="V30"/>
  <c r="V28"/>
  <c r="V26"/>
  <c r="V24"/>
  <c r="V23"/>
  <c r="V22"/>
  <c r="V21"/>
  <c r="V20"/>
  <c r="V19"/>
  <c r="V18"/>
  <c r="V17"/>
  <c r="V16"/>
  <c r="V15"/>
  <c r="V14"/>
  <c r="V13"/>
  <c r="V12"/>
  <c r="V11"/>
  <c r="V9"/>
  <c r="S7"/>
  <c r="R7"/>
  <c r="S6"/>
  <c r="I6"/>
  <c r="C32" i="253"/>
  <c r="D32"/>
  <c r="E32"/>
  <c r="E31" i="303" s="1"/>
  <c r="E31" i="304" s="1"/>
  <c r="F32" i="253"/>
  <c r="G32"/>
  <c r="G31" i="303" s="1"/>
  <c r="G31" i="304" s="1"/>
  <c r="H32" i="253"/>
  <c r="I32"/>
  <c r="I31" i="303" s="1"/>
  <c r="I31" i="304" s="1"/>
  <c r="J32" i="253"/>
  <c r="K32"/>
  <c r="K31" i="303" s="1"/>
  <c r="K31" i="304" s="1"/>
  <c r="L32" i="253"/>
  <c r="C5"/>
  <c r="P7" i="2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6"/>
  <c r="C6" s="1"/>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6"/>
  <c r="B6" s="1"/>
  <c r="M5" i="482"/>
  <c r="F63" i="27" l="1"/>
  <c r="F52" i="425"/>
  <c r="C42" i="253"/>
  <c r="X6" i="327"/>
  <c r="L38" i="441"/>
  <c r="B38" i="442" s="1"/>
  <c r="D31" i="303"/>
  <c r="D31" i="304" s="1"/>
  <c r="F31" i="303"/>
  <c r="F31" i="304" s="1"/>
  <c r="H31" i="303"/>
  <c r="H31" i="304" s="1"/>
  <c r="J31" i="303"/>
  <c r="J31" i="304" s="1"/>
  <c r="L31" i="303"/>
  <c r="L31" i="304" s="1"/>
  <c r="G55" i="423"/>
  <c r="I38" i="442"/>
  <c r="E38"/>
  <c r="F58" i="27"/>
  <c r="B32" i="253"/>
  <c r="C37"/>
  <c r="C31" i="303"/>
  <c r="C31" i="304" s="1"/>
  <c r="L38" i="442"/>
  <c r="H38"/>
  <c r="D38"/>
  <c r="A222" i="302"/>
  <c r="A221"/>
  <c r="A213"/>
  <c r="Q7" i="327"/>
  <c r="P7"/>
  <c r="O7"/>
  <c r="N7"/>
  <c r="M7"/>
  <c r="L7"/>
  <c r="V7" s="1"/>
  <c r="K7"/>
  <c r="J7"/>
  <c r="I7"/>
  <c r="X7" s="1"/>
  <c r="R6"/>
  <c r="Q6"/>
  <c r="P6"/>
  <c r="O6"/>
  <c r="N6"/>
  <c r="M6"/>
  <c r="L6"/>
  <c r="V6" s="1"/>
  <c r="K6"/>
  <c r="J6"/>
  <c r="A220" i="302"/>
  <c r="A219"/>
  <c r="B12" i="484"/>
  <c r="C12"/>
  <c r="D12"/>
  <c r="E12"/>
  <c r="F12"/>
  <c r="G12"/>
  <c r="H12"/>
  <c r="I12"/>
  <c r="J12"/>
  <c r="K12"/>
  <c r="L12"/>
  <c r="B13"/>
  <c r="C13"/>
  <c r="D13"/>
  <c r="E13"/>
  <c r="F13"/>
  <c r="G13"/>
  <c r="H13"/>
  <c r="I13"/>
  <c r="J13"/>
  <c r="K13"/>
  <c r="L13"/>
  <c r="L13" i="485"/>
  <c r="K13"/>
  <c r="J13"/>
  <c r="I13"/>
  <c r="H13"/>
  <c r="G13"/>
  <c r="F13"/>
  <c r="E13"/>
  <c r="D13"/>
  <c r="C13"/>
  <c r="B13"/>
  <c r="L12"/>
  <c r="K12"/>
  <c r="J12"/>
  <c r="I12"/>
  <c r="H12"/>
  <c r="G12"/>
  <c r="F12"/>
  <c r="E12"/>
  <c r="D12"/>
  <c r="C12"/>
  <c r="B12"/>
  <c r="A218" i="302"/>
  <c r="A217"/>
  <c r="A216"/>
  <c r="A215"/>
  <c r="F5" i="483"/>
  <c r="K5"/>
  <c r="K6"/>
  <c r="F8"/>
  <c r="K8"/>
  <c r="F9"/>
  <c r="K9"/>
  <c r="F10"/>
  <c r="K10"/>
  <c r="F11"/>
  <c r="K11"/>
  <c r="F12"/>
  <c r="K12"/>
  <c r="F13"/>
  <c r="K13"/>
  <c r="F14"/>
  <c r="K14"/>
  <c r="F15"/>
  <c r="K15"/>
  <c r="F5" i="482"/>
  <c r="K5"/>
  <c r="K6"/>
  <c r="F8"/>
  <c r="K8"/>
  <c r="F9"/>
  <c r="K9"/>
  <c r="F10"/>
  <c r="K10"/>
  <c r="F11"/>
  <c r="K11"/>
  <c r="F12"/>
  <c r="K12"/>
  <c r="F13"/>
  <c r="K13"/>
  <c r="F14"/>
  <c r="K14"/>
  <c r="F15"/>
  <c r="K15"/>
  <c r="B19" i="481"/>
  <c r="C19"/>
  <c r="D19"/>
  <c r="E19"/>
  <c r="F19"/>
  <c r="G19"/>
  <c r="H19"/>
  <c r="I19"/>
  <c r="J19"/>
  <c r="K19"/>
  <c r="L19"/>
  <c r="B20"/>
  <c r="C20"/>
  <c r="D20"/>
  <c r="E20"/>
  <c r="F20"/>
  <c r="G20"/>
  <c r="H20"/>
  <c r="I20"/>
  <c r="J20"/>
  <c r="K20"/>
  <c r="L20"/>
  <c r="B22"/>
  <c r="C22"/>
  <c r="D22"/>
  <c r="E22"/>
  <c r="F22"/>
  <c r="G22"/>
  <c r="H22"/>
  <c r="I22"/>
  <c r="J22"/>
  <c r="K22"/>
  <c r="L22"/>
  <c r="B23"/>
  <c r="C23"/>
  <c r="D23"/>
  <c r="E23"/>
  <c r="F23"/>
  <c r="G23"/>
  <c r="H23"/>
  <c r="I23"/>
  <c r="J23"/>
  <c r="K23"/>
  <c r="L23"/>
  <c r="B25"/>
  <c r="C25"/>
  <c r="D25"/>
  <c r="E25"/>
  <c r="F25"/>
  <c r="G25"/>
  <c r="H25"/>
  <c r="I25"/>
  <c r="J25"/>
  <c r="K25"/>
  <c r="L25"/>
  <c r="B26"/>
  <c r="C26"/>
  <c r="D26"/>
  <c r="E26"/>
  <c r="F26"/>
  <c r="G26"/>
  <c r="H26"/>
  <c r="I26"/>
  <c r="J26"/>
  <c r="K26"/>
  <c r="L26"/>
  <c r="K38" i="480"/>
  <c r="J38"/>
  <c r="I38"/>
  <c r="H38"/>
  <c r="G38"/>
  <c r="F38"/>
  <c r="E38"/>
  <c r="D38"/>
  <c r="C38"/>
  <c r="K36"/>
  <c r="J36"/>
  <c r="I36"/>
  <c r="H36"/>
  <c r="G36"/>
  <c r="F36"/>
  <c r="E36"/>
  <c r="D36"/>
  <c r="C36"/>
  <c r="K35"/>
  <c r="J35"/>
  <c r="I35"/>
  <c r="H35"/>
  <c r="G35"/>
  <c r="F35"/>
  <c r="E35"/>
  <c r="D35"/>
  <c r="C35"/>
  <c r="K34"/>
  <c r="J34"/>
  <c r="I34"/>
  <c r="H34"/>
  <c r="G34"/>
  <c r="F34"/>
  <c r="E34"/>
  <c r="D34"/>
  <c r="C34"/>
  <c r="K33"/>
  <c r="J33"/>
  <c r="I33"/>
  <c r="H33"/>
  <c r="G33"/>
  <c r="F33"/>
  <c r="E33"/>
  <c r="D33"/>
  <c r="C33"/>
  <c r="A17" i="302"/>
  <c r="A16"/>
  <c r="A15"/>
  <c r="A13"/>
  <c r="B38" i="480"/>
  <c r="B36"/>
  <c r="B35"/>
  <c r="B34"/>
  <c r="B33"/>
  <c r="A21" i="302"/>
  <c r="A20"/>
  <c r="F38" i="442" l="1"/>
  <c r="J38"/>
  <c r="C38"/>
  <c r="G38"/>
  <c r="K38"/>
  <c r="B31" i="303"/>
  <c r="B31" i="304" s="1"/>
  <c r="U6" i="327"/>
  <c r="U7"/>
  <c r="V26" i="340"/>
  <c r="V28"/>
  <c r="V29"/>
  <c r="V31"/>
  <c r="V33"/>
  <c r="V34"/>
  <c r="V36"/>
  <c r="V38"/>
  <c r="V39"/>
  <c r="V41"/>
  <c r="V43"/>
  <c r="V44"/>
  <c r="V46"/>
  <c r="V48"/>
  <c r="V49"/>
  <c r="V51"/>
  <c r="V53"/>
  <c r="V54"/>
  <c r="V56"/>
  <c r="V58"/>
  <c r="V59"/>
  <c r="V61"/>
  <c r="V63"/>
  <c r="V64"/>
  <c r="V21"/>
  <c r="V23"/>
  <c r="V24"/>
  <c r="V16"/>
  <c r="V18"/>
  <c r="V19"/>
  <c r="U64"/>
  <c r="T64"/>
  <c r="S64"/>
  <c r="R64"/>
  <c r="Q64"/>
  <c r="P64"/>
  <c r="O64"/>
  <c r="N64"/>
  <c r="M64"/>
  <c r="L64"/>
  <c r="K64"/>
  <c r="J64"/>
  <c r="I64"/>
  <c r="H64"/>
  <c r="G64"/>
  <c r="F64"/>
  <c r="E64"/>
  <c r="D64"/>
  <c r="U63"/>
  <c r="T63"/>
  <c r="S63"/>
  <c r="R63"/>
  <c r="Q63"/>
  <c r="P63"/>
  <c r="O63"/>
  <c r="N63"/>
  <c r="M63"/>
  <c r="L63"/>
  <c r="K63"/>
  <c r="J63"/>
  <c r="I63"/>
  <c r="H63"/>
  <c r="G63"/>
  <c r="F63"/>
  <c r="E63"/>
  <c r="D63"/>
  <c r="U61"/>
  <c r="T61"/>
  <c r="S61"/>
  <c r="R61"/>
  <c r="Q61"/>
  <c r="P61"/>
  <c r="O61"/>
  <c r="N61"/>
  <c r="M61"/>
  <c r="L61"/>
  <c r="K61"/>
  <c r="J61"/>
  <c r="J62" s="1"/>
  <c r="I61"/>
  <c r="H61"/>
  <c r="G61"/>
  <c r="F61"/>
  <c r="E61"/>
  <c r="D61"/>
  <c r="U59"/>
  <c r="T59"/>
  <c r="S59"/>
  <c r="R59"/>
  <c r="Q59"/>
  <c r="P59"/>
  <c r="O59"/>
  <c r="N59"/>
  <c r="M59"/>
  <c r="L59"/>
  <c r="K59"/>
  <c r="J59"/>
  <c r="I59"/>
  <c r="H59"/>
  <c r="G59"/>
  <c r="F59"/>
  <c r="E59"/>
  <c r="D59"/>
  <c r="U58"/>
  <c r="T58"/>
  <c r="S58"/>
  <c r="R58"/>
  <c r="Q58"/>
  <c r="P58"/>
  <c r="O58"/>
  <c r="N58"/>
  <c r="M58"/>
  <c r="L58"/>
  <c r="K58"/>
  <c r="J58"/>
  <c r="I58"/>
  <c r="H58"/>
  <c r="G58"/>
  <c r="F58"/>
  <c r="E58"/>
  <c r="D58"/>
  <c r="U56"/>
  <c r="T56"/>
  <c r="S56"/>
  <c r="R56"/>
  <c r="Q56"/>
  <c r="P56"/>
  <c r="O56"/>
  <c r="N56"/>
  <c r="M56"/>
  <c r="L56"/>
  <c r="K56"/>
  <c r="J56"/>
  <c r="J57" s="1"/>
  <c r="I56"/>
  <c r="H56"/>
  <c r="G56"/>
  <c r="F56"/>
  <c r="E56"/>
  <c r="D56"/>
  <c r="U54"/>
  <c r="T54"/>
  <c r="S54"/>
  <c r="R54"/>
  <c r="Q54"/>
  <c r="P54"/>
  <c r="O54"/>
  <c r="N54"/>
  <c r="M54"/>
  <c r="L54"/>
  <c r="K54"/>
  <c r="J54"/>
  <c r="I54"/>
  <c r="H54"/>
  <c r="G54"/>
  <c r="F54"/>
  <c r="E54"/>
  <c r="D54"/>
  <c r="U53"/>
  <c r="T53"/>
  <c r="S53"/>
  <c r="R53"/>
  <c r="Q53"/>
  <c r="P53"/>
  <c r="O53"/>
  <c r="N53"/>
  <c r="M53"/>
  <c r="L53"/>
  <c r="K53"/>
  <c r="J53"/>
  <c r="I53"/>
  <c r="H53"/>
  <c r="G53"/>
  <c r="F53"/>
  <c r="E53"/>
  <c r="D53"/>
  <c r="U51"/>
  <c r="T51"/>
  <c r="S51"/>
  <c r="R51"/>
  <c r="Q51"/>
  <c r="P51"/>
  <c r="O51"/>
  <c r="N51"/>
  <c r="M51"/>
  <c r="L51"/>
  <c r="K51"/>
  <c r="J51"/>
  <c r="J52" s="1"/>
  <c r="I51"/>
  <c r="H51"/>
  <c r="G51"/>
  <c r="F51"/>
  <c r="E51"/>
  <c r="D51"/>
  <c r="U49"/>
  <c r="T49"/>
  <c r="S49"/>
  <c r="R49"/>
  <c r="Q49"/>
  <c r="P49"/>
  <c r="O49"/>
  <c r="N49"/>
  <c r="M49"/>
  <c r="L49"/>
  <c r="K49"/>
  <c r="J49"/>
  <c r="I49"/>
  <c r="H49"/>
  <c r="G49"/>
  <c r="F49"/>
  <c r="E49"/>
  <c r="D49"/>
  <c r="U48"/>
  <c r="T48"/>
  <c r="S48"/>
  <c r="R48"/>
  <c r="Q48"/>
  <c r="P48"/>
  <c r="O48"/>
  <c r="N48"/>
  <c r="M48"/>
  <c r="L48"/>
  <c r="K48"/>
  <c r="J48"/>
  <c r="I48"/>
  <c r="H48"/>
  <c r="G48"/>
  <c r="F48"/>
  <c r="E48"/>
  <c r="D48"/>
  <c r="U46"/>
  <c r="T46"/>
  <c r="S46"/>
  <c r="R46"/>
  <c r="Q46"/>
  <c r="P46"/>
  <c r="O46"/>
  <c r="N46"/>
  <c r="M46"/>
  <c r="L46"/>
  <c r="K46"/>
  <c r="J46"/>
  <c r="J47" s="1"/>
  <c r="I46"/>
  <c r="H46"/>
  <c r="G46"/>
  <c r="F46"/>
  <c r="E46"/>
  <c r="D46"/>
  <c r="U44"/>
  <c r="T44"/>
  <c r="S44"/>
  <c r="R44"/>
  <c r="Q44"/>
  <c r="P44"/>
  <c r="O44"/>
  <c r="N44"/>
  <c r="M44"/>
  <c r="L44"/>
  <c r="K44"/>
  <c r="J44"/>
  <c r="I44"/>
  <c r="H44"/>
  <c r="G44"/>
  <c r="F44"/>
  <c r="E44"/>
  <c r="D44"/>
  <c r="U43"/>
  <c r="T43"/>
  <c r="S43"/>
  <c r="R43"/>
  <c r="Q43"/>
  <c r="P43"/>
  <c r="O43"/>
  <c r="N43"/>
  <c r="M43"/>
  <c r="L43"/>
  <c r="K43"/>
  <c r="J43"/>
  <c r="I43"/>
  <c r="H43"/>
  <c r="G43"/>
  <c r="F43"/>
  <c r="E43"/>
  <c r="D43"/>
  <c r="U41"/>
  <c r="T41"/>
  <c r="S41"/>
  <c r="R41"/>
  <c r="Q41"/>
  <c r="P41"/>
  <c r="O41"/>
  <c r="N41"/>
  <c r="M41"/>
  <c r="L41"/>
  <c r="K41"/>
  <c r="J41"/>
  <c r="J42" s="1"/>
  <c r="I41"/>
  <c r="H41"/>
  <c r="G41"/>
  <c r="F41"/>
  <c r="E41"/>
  <c r="D41"/>
  <c r="U39"/>
  <c r="T39"/>
  <c r="S39"/>
  <c r="R39"/>
  <c r="Q39"/>
  <c r="P39"/>
  <c r="O39"/>
  <c r="N39"/>
  <c r="M39"/>
  <c r="L39"/>
  <c r="K39"/>
  <c r="J39"/>
  <c r="I39"/>
  <c r="H39"/>
  <c r="G39"/>
  <c r="F39"/>
  <c r="E39"/>
  <c r="D39"/>
  <c r="U38"/>
  <c r="T38"/>
  <c r="S38"/>
  <c r="R38"/>
  <c r="Q38"/>
  <c r="P38"/>
  <c r="O38"/>
  <c r="N38"/>
  <c r="M38"/>
  <c r="L38"/>
  <c r="K38"/>
  <c r="J38"/>
  <c r="I38"/>
  <c r="H38"/>
  <c r="G38"/>
  <c r="F38"/>
  <c r="E38"/>
  <c r="D38"/>
  <c r="U36"/>
  <c r="T36"/>
  <c r="S36"/>
  <c r="R36"/>
  <c r="Q36"/>
  <c r="P36"/>
  <c r="O36"/>
  <c r="N36"/>
  <c r="M36"/>
  <c r="L36"/>
  <c r="K36"/>
  <c r="J36"/>
  <c r="J37" s="1"/>
  <c r="I36"/>
  <c r="H36"/>
  <c r="G36"/>
  <c r="F36"/>
  <c r="E36"/>
  <c r="D36"/>
  <c r="U34"/>
  <c r="T34"/>
  <c r="S34"/>
  <c r="R34"/>
  <c r="Q34"/>
  <c r="P34"/>
  <c r="O34"/>
  <c r="N34"/>
  <c r="M34"/>
  <c r="L34"/>
  <c r="K34"/>
  <c r="J34"/>
  <c r="I34"/>
  <c r="H34"/>
  <c r="G34"/>
  <c r="F34"/>
  <c r="E34"/>
  <c r="D34"/>
  <c r="U33"/>
  <c r="T33"/>
  <c r="S33"/>
  <c r="R33"/>
  <c r="Q33"/>
  <c r="P33"/>
  <c r="O33"/>
  <c r="N33"/>
  <c r="M33"/>
  <c r="L33"/>
  <c r="K33"/>
  <c r="J33"/>
  <c r="I33"/>
  <c r="H33"/>
  <c r="G33"/>
  <c r="F33"/>
  <c r="E33"/>
  <c r="D33"/>
  <c r="U31"/>
  <c r="T31"/>
  <c r="S31"/>
  <c r="R31"/>
  <c r="Q31"/>
  <c r="P31"/>
  <c r="O31"/>
  <c r="N31"/>
  <c r="M31"/>
  <c r="L31"/>
  <c r="K31"/>
  <c r="J31"/>
  <c r="J32" s="1"/>
  <c r="I31"/>
  <c r="H31"/>
  <c r="G31"/>
  <c r="F31"/>
  <c r="E31"/>
  <c r="D31"/>
  <c r="U29"/>
  <c r="T29"/>
  <c r="S29"/>
  <c r="R29"/>
  <c r="Q29"/>
  <c r="P29"/>
  <c r="O29"/>
  <c r="N29"/>
  <c r="M29"/>
  <c r="L29"/>
  <c r="K29"/>
  <c r="J29"/>
  <c r="I29"/>
  <c r="H29"/>
  <c r="G29"/>
  <c r="F29"/>
  <c r="E29"/>
  <c r="D29"/>
  <c r="U28"/>
  <c r="T28"/>
  <c r="S28"/>
  <c r="R28"/>
  <c r="Q28"/>
  <c r="P28"/>
  <c r="O28"/>
  <c r="N28"/>
  <c r="M28"/>
  <c r="L28"/>
  <c r="K28"/>
  <c r="J28"/>
  <c r="I28"/>
  <c r="H28"/>
  <c r="G28"/>
  <c r="F28"/>
  <c r="E28"/>
  <c r="D28"/>
  <c r="U26"/>
  <c r="T26"/>
  <c r="S26"/>
  <c r="R26"/>
  <c r="Q26"/>
  <c r="P26"/>
  <c r="O26"/>
  <c r="N26"/>
  <c r="M26"/>
  <c r="L26"/>
  <c r="K26"/>
  <c r="J26"/>
  <c r="J27" s="1"/>
  <c r="I26"/>
  <c r="H26"/>
  <c r="G26"/>
  <c r="F26"/>
  <c r="E26"/>
  <c r="D26"/>
  <c r="U24"/>
  <c r="T24"/>
  <c r="S24"/>
  <c r="R24"/>
  <c r="Q24"/>
  <c r="P24"/>
  <c r="O24"/>
  <c r="N24"/>
  <c r="M24"/>
  <c r="L24"/>
  <c r="K24"/>
  <c r="J24"/>
  <c r="I24"/>
  <c r="H24"/>
  <c r="G24"/>
  <c r="F24"/>
  <c r="E24"/>
  <c r="D24"/>
  <c r="U23"/>
  <c r="T23"/>
  <c r="S23"/>
  <c r="R23"/>
  <c r="Q23"/>
  <c r="P23"/>
  <c r="O23"/>
  <c r="N23"/>
  <c r="M23"/>
  <c r="L23"/>
  <c r="K23"/>
  <c r="J23"/>
  <c r="I23"/>
  <c r="H23"/>
  <c r="G23"/>
  <c r="F23"/>
  <c r="E23"/>
  <c r="D23"/>
  <c r="U21"/>
  <c r="T21"/>
  <c r="S21"/>
  <c r="R21"/>
  <c r="Q21"/>
  <c r="P21"/>
  <c r="O21"/>
  <c r="N21"/>
  <c r="M21"/>
  <c r="L21"/>
  <c r="K21"/>
  <c r="J21"/>
  <c r="J22" s="1"/>
  <c r="I21"/>
  <c r="H21"/>
  <c r="G21"/>
  <c r="F21"/>
  <c r="E21"/>
  <c r="D21"/>
  <c r="U19"/>
  <c r="T19"/>
  <c r="S19"/>
  <c r="R19"/>
  <c r="Q19"/>
  <c r="P19"/>
  <c r="O19"/>
  <c r="N19"/>
  <c r="M19"/>
  <c r="L19"/>
  <c r="K19"/>
  <c r="J19"/>
  <c r="I19"/>
  <c r="H19"/>
  <c r="G19"/>
  <c r="F19"/>
  <c r="E19"/>
  <c r="D19"/>
  <c r="U18"/>
  <c r="T18"/>
  <c r="S18"/>
  <c r="R18"/>
  <c r="Q18"/>
  <c r="P18"/>
  <c r="O18"/>
  <c r="N18"/>
  <c r="M18"/>
  <c r="L18"/>
  <c r="K18"/>
  <c r="J18"/>
  <c r="I18"/>
  <c r="H18"/>
  <c r="G18"/>
  <c r="F18"/>
  <c r="E18"/>
  <c r="D18"/>
  <c r="U16"/>
  <c r="T16"/>
  <c r="S16"/>
  <c r="R16"/>
  <c r="Q16"/>
  <c r="P16"/>
  <c r="O16"/>
  <c r="N16"/>
  <c r="M16"/>
  <c r="L16"/>
  <c r="K16"/>
  <c r="J16"/>
  <c r="J17" s="1"/>
  <c r="I16"/>
  <c r="H16"/>
  <c r="G16"/>
  <c r="F16"/>
  <c r="E16"/>
  <c r="D16"/>
  <c r="I14"/>
  <c r="H14"/>
  <c r="G14"/>
  <c r="F14"/>
  <c r="E14"/>
  <c r="I13"/>
  <c r="H13"/>
  <c r="G13"/>
  <c r="F13"/>
  <c r="E13"/>
  <c r="I11"/>
  <c r="H11"/>
  <c r="G11"/>
  <c r="F11"/>
  <c r="E11"/>
  <c r="E12" i="343" s="1"/>
  <c r="I9" i="340"/>
  <c r="H9"/>
  <c r="G9"/>
  <c r="F9"/>
  <c r="E9"/>
  <c r="I8"/>
  <c r="H8"/>
  <c r="G8"/>
  <c r="F8"/>
  <c r="E8"/>
  <c r="E6"/>
  <c r="E7" s="1"/>
  <c r="E7" i="343" s="1"/>
  <c r="F6" i="340"/>
  <c r="F7" s="1"/>
  <c r="F7" i="343" s="1"/>
  <c r="G6" i="340"/>
  <c r="G7" s="1"/>
  <c r="G7" i="343" s="1"/>
  <c r="H6" i="340"/>
  <c r="H7" s="1"/>
  <c r="H7" i="343" s="1"/>
  <c r="I6" i="340"/>
  <c r="I7" s="1"/>
  <c r="Z64" i="354"/>
  <c r="Y64"/>
  <c r="Z63"/>
  <c r="Y63"/>
  <c r="Z62"/>
  <c r="Z61"/>
  <c r="Y61"/>
  <c r="Z59"/>
  <c r="Y59"/>
  <c r="Z58"/>
  <c r="Y58"/>
  <c r="Z57"/>
  <c r="Z56"/>
  <c r="Y56"/>
  <c r="Z54"/>
  <c r="Y54"/>
  <c r="Z53"/>
  <c r="Y53"/>
  <c r="Z52"/>
  <c r="Z51"/>
  <c r="Y51"/>
  <c r="Z49"/>
  <c r="Y49"/>
  <c r="Z48"/>
  <c r="Y48"/>
  <c r="Z47"/>
  <c r="Z46"/>
  <c r="Y46"/>
  <c r="Z44"/>
  <c r="Y44"/>
  <c r="Z43"/>
  <c r="Y43"/>
  <c r="Z42"/>
  <c r="Z41"/>
  <c r="Y41"/>
  <c r="Z39"/>
  <c r="Y39"/>
  <c r="Z38"/>
  <c r="Y38"/>
  <c r="Z37"/>
  <c r="Z36"/>
  <c r="Y36"/>
  <c r="Z34"/>
  <c r="Y34"/>
  <c r="Z33"/>
  <c r="Y33"/>
  <c r="Z32"/>
  <c r="Z31"/>
  <c r="Y31"/>
  <c r="Z29"/>
  <c r="Y29"/>
  <c r="Z28"/>
  <c r="Y28"/>
  <c r="Z27"/>
  <c r="Z26"/>
  <c r="Y26"/>
  <c r="Z24"/>
  <c r="Y24"/>
  <c r="Z23"/>
  <c r="Y23"/>
  <c r="Z22"/>
  <c r="Z21"/>
  <c r="Y21"/>
  <c r="Z19"/>
  <c r="Y19"/>
  <c r="Z18"/>
  <c r="Y18"/>
  <c r="Z17"/>
  <c r="Z16"/>
  <c r="Y16"/>
  <c r="Z64" i="353"/>
  <c r="Y64"/>
  <c r="Z63"/>
  <c r="Y63"/>
  <c r="Z62"/>
  <c r="Z61"/>
  <c r="Y61"/>
  <c r="Z59"/>
  <c r="Y59"/>
  <c r="Z58"/>
  <c r="Y58"/>
  <c r="Z57"/>
  <c r="Z56"/>
  <c r="Y56"/>
  <c r="Z54"/>
  <c r="Y54"/>
  <c r="Z53"/>
  <c r="Y53"/>
  <c r="Z52"/>
  <c r="Z51"/>
  <c r="Y51"/>
  <c r="Z49"/>
  <c r="Y49"/>
  <c r="Z48"/>
  <c r="Y48"/>
  <c r="Z47"/>
  <c r="Z46"/>
  <c r="Y46"/>
  <c r="Z44"/>
  <c r="Y44"/>
  <c r="Z43"/>
  <c r="Y43"/>
  <c r="Z42"/>
  <c r="Z41"/>
  <c r="Y41"/>
  <c r="Z39"/>
  <c r="Y39"/>
  <c r="Z38"/>
  <c r="Y38"/>
  <c r="Z37"/>
  <c r="Z36"/>
  <c r="Y36"/>
  <c r="Z34"/>
  <c r="Y34"/>
  <c r="Z33"/>
  <c r="Y33"/>
  <c r="Z32"/>
  <c r="Z31"/>
  <c r="Y31"/>
  <c r="Z29"/>
  <c r="Y29"/>
  <c r="Z28"/>
  <c r="Y28"/>
  <c r="Z27"/>
  <c r="Z26"/>
  <c r="Y26"/>
  <c r="Z24"/>
  <c r="Y24"/>
  <c r="Z23"/>
  <c r="Y23"/>
  <c r="Z22"/>
  <c r="Z21"/>
  <c r="Y21"/>
  <c r="Z19"/>
  <c r="Y19"/>
  <c r="Z18"/>
  <c r="Y18"/>
  <c r="Z17"/>
  <c r="Z16"/>
  <c r="Y16"/>
  <c r="M5" i="468"/>
  <c r="M6"/>
  <c r="M7"/>
  <c r="M8"/>
  <c r="M9"/>
  <c r="M10"/>
  <c r="M11"/>
  <c r="M12"/>
  <c r="M13"/>
  <c r="M14"/>
  <c r="M15"/>
  <c r="M16"/>
  <c r="M17"/>
  <c r="M4"/>
  <c r="C19"/>
  <c r="D19"/>
  <c r="M12" i="353" s="1"/>
  <c r="E19" i="468"/>
  <c r="F19"/>
  <c r="G19"/>
  <c r="H19"/>
  <c r="I19"/>
  <c r="J19"/>
  <c r="K19"/>
  <c r="L19"/>
  <c r="B19"/>
  <c r="K12" i="353" l="1"/>
  <c r="K14" i="354"/>
  <c r="K13"/>
  <c r="V14"/>
  <c r="V13"/>
  <c r="V12"/>
  <c r="V11"/>
  <c r="V11" i="353"/>
  <c r="V14"/>
  <c r="V13"/>
  <c r="V12"/>
  <c r="U12"/>
  <c r="U14" i="354"/>
  <c r="U13"/>
  <c r="T12" i="353"/>
  <c r="T14" i="354"/>
  <c r="T13"/>
  <c r="S12" i="353"/>
  <c r="S14" i="354"/>
  <c r="S13"/>
  <c r="R12" i="353"/>
  <c r="R14" i="354"/>
  <c r="R13"/>
  <c r="Q12" i="353"/>
  <c r="Q14" i="354"/>
  <c r="Q13"/>
  <c r="P12" i="353"/>
  <c r="P14" i="354"/>
  <c r="P13"/>
  <c r="O12" i="353"/>
  <c r="O14" i="354"/>
  <c r="O13"/>
  <c r="N12" i="353"/>
  <c r="N14" i="354"/>
  <c r="N13"/>
  <c r="M14"/>
  <c r="M13"/>
  <c r="L12" i="353"/>
  <c r="L14" i="354"/>
  <c r="L13"/>
  <c r="M19" i="468"/>
  <c r="E12" i="353" s="1"/>
  <c r="K11"/>
  <c r="K14"/>
  <c r="K13"/>
  <c r="U14"/>
  <c r="T14"/>
  <c r="S14"/>
  <c r="R14"/>
  <c r="Q14"/>
  <c r="P14"/>
  <c r="O14"/>
  <c r="N14"/>
  <c r="M14"/>
  <c r="L14"/>
  <c r="U13"/>
  <c r="T13"/>
  <c r="S13"/>
  <c r="R13"/>
  <c r="Q13"/>
  <c r="P13"/>
  <c r="O13"/>
  <c r="N13"/>
  <c r="M13"/>
  <c r="L13"/>
  <c r="U11"/>
  <c r="T11"/>
  <c r="S11"/>
  <c r="R11"/>
  <c r="Q11"/>
  <c r="P11"/>
  <c r="O11"/>
  <c r="N11"/>
  <c r="M11"/>
  <c r="L11"/>
  <c r="G11" i="354"/>
  <c r="K11"/>
  <c r="L11"/>
  <c r="M11"/>
  <c r="N11"/>
  <c r="O11"/>
  <c r="P11"/>
  <c r="Q11"/>
  <c r="R11"/>
  <c r="S11"/>
  <c r="T11"/>
  <c r="U11"/>
  <c r="H12"/>
  <c r="K12"/>
  <c r="L12"/>
  <c r="M12"/>
  <c r="N12"/>
  <c r="O12"/>
  <c r="P12"/>
  <c r="Q12"/>
  <c r="R12"/>
  <c r="S12"/>
  <c r="T12"/>
  <c r="U12"/>
  <c r="K4" i="331"/>
  <c r="G13" i="353" l="1"/>
  <c r="E14"/>
  <c r="D13" i="354"/>
  <c r="J12"/>
  <c r="F12"/>
  <c r="I11"/>
  <c r="E11"/>
  <c r="Z11" s="1"/>
  <c r="E13" i="353"/>
  <c r="I13"/>
  <c r="G14"/>
  <c r="I14"/>
  <c r="D11"/>
  <c r="W11"/>
  <c r="W12" i="354"/>
  <c r="W12" i="353"/>
  <c r="AA12" s="1"/>
  <c r="W11" i="354"/>
  <c r="AB12" i="353"/>
  <c r="W13"/>
  <c r="W14" i="354"/>
  <c r="W14" i="353"/>
  <c r="AB14" s="1"/>
  <c r="W13" i="354"/>
  <c r="D13" i="353"/>
  <c r="F11"/>
  <c r="H11"/>
  <c r="J11"/>
  <c r="I12" i="354"/>
  <c r="G12"/>
  <c r="E12"/>
  <c r="Z12" s="1"/>
  <c r="J11"/>
  <c r="H11"/>
  <c r="F11"/>
  <c r="D11"/>
  <c r="F13" i="353"/>
  <c r="H13"/>
  <c r="J13"/>
  <c r="F14"/>
  <c r="H14"/>
  <c r="J14"/>
  <c r="D14"/>
  <c r="G11"/>
  <c r="I11"/>
  <c r="E11"/>
  <c r="D19" i="342"/>
  <c r="D18"/>
  <c r="D16"/>
  <c r="D24"/>
  <c r="D23"/>
  <c r="D21"/>
  <c r="D29"/>
  <c r="D28"/>
  <c r="D26"/>
  <c r="D34"/>
  <c r="D33"/>
  <c r="D31"/>
  <c r="D39"/>
  <c r="D38"/>
  <c r="D36"/>
  <c r="D44"/>
  <c r="D43"/>
  <c r="D41"/>
  <c r="D49"/>
  <c r="D48"/>
  <c r="D46"/>
  <c r="D54"/>
  <c r="D53"/>
  <c r="D51"/>
  <c r="D59"/>
  <c r="D58"/>
  <c r="D56"/>
  <c r="E19"/>
  <c r="E18"/>
  <c r="E17"/>
  <c r="E16"/>
  <c r="Y16" s="1"/>
  <c r="E24"/>
  <c r="Y24" s="1"/>
  <c r="E23"/>
  <c r="Y23" s="1"/>
  <c r="E22"/>
  <c r="E21"/>
  <c r="E29"/>
  <c r="E28"/>
  <c r="E27"/>
  <c r="E26"/>
  <c r="Y26" s="1"/>
  <c r="E39"/>
  <c r="E38"/>
  <c r="E37"/>
  <c r="E36"/>
  <c r="Y36" s="1"/>
  <c r="E44"/>
  <c r="Y44" s="1"/>
  <c r="E43"/>
  <c r="Y43" s="1"/>
  <c r="E42"/>
  <c r="E41"/>
  <c r="E54"/>
  <c r="Y54" s="1"/>
  <c r="E53"/>
  <c r="Y53" s="1"/>
  <c r="E52"/>
  <c r="E51"/>
  <c r="E59"/>
  <c r="E58"/>
  <c r="E57"/>
  <c r="E56"/>
  <c r="Y56" s="1"/>
  <c r="E64"/>
  <c r="E63"/>
  <c r="E62"/>
  <c r="E61"/>
  <c r="F19"/>
  <c r="F18"/>
  <c r="F17"/>
  <c r="F16"/>
  <c r="F24"/>
  <c r="F23"/>
  <c r="F22"/>
  <c r="F21"/>
  <c r="F29"/>
  <c r="F28"/>
  <c r="F27"/>
  <c r="F26"/>
  <c r="F34"/>
  <c r="F33"/>
  <c r="F32"/>
  <c r="F31"/>
  <c r="F39"/>
  <c r="F38"/>
  <c r="F37"/>
  <c r="F36"/>
  <c r="F44"/>
  <c r="F43"/>
  <c r="F42"/>
  <c r="F41"/>
  <c r="F54"/>
  <c r="F53"/>
  <c r="F52"/>
  <c r="F51"/>
  <c r="F59"/>
  <c r="F58"/>
  <c r="F57"/>
  <c r="F56"/>
  <c r="F64"/>
  <c r="F63"/>
  <c r="F62"/>
  <c r="F61"/>
  <c r="G19"/>
  <c r="G18"/>
  <c r="G17"/>
  <c r="G16"/>
  <c r="G24"/>
  <c r="G23"/>
  <c r="G22"/>
  <c r="G21"/>
  <c r="G29"/>
  <c r="G28"/>
  <c r="G27"/>
  <c r="G26"/>
  <c r="G34"/>
  <c r="G33"/>
  <c r="G32"/>
  <c r="G31"/>
  <c r="G39"/>
  <c r="G38"/>
  <c r="G37"/>
  <c r="G36"/>
  <c r="G44"/>
  <c r="G43"/>
  <c r="G42"/>
  <c r="G41"/>
  <c r="G49"/>
  <c r="G48"/>
  <c r="G47"/>
  <c r="G46"/>
  <c r="G59"/>
  <c r="G58"/>
  <c r="G57"/>
  <c r="G56"/>
  <c r="G64"/>
  <c r="G63"/>
  <c r="G62"/>
  <c r="G61"/>
  <c r="H19"/>
  <c r="H18"/>
  <c r="H17"/>
  <c r="H16"/>
  <c r="H24"/>
  <c r="H23"/>
  <c r="H22"/>
  <c r="H21"/>
  <c r="H29"/>
  <c r="H28"/>
  <c r="H27"/>
  <c r="H26"/>
  <c r="H34"/>
  <c r="H33"/>
  <c r="H32"/>
  <c r="H31"/>
  <c r="H39"/>
  <c r="H38"/>
  <c r="H37"/>
  <c r="H36"/>
  <c r="H44"/>
  <c r="H43"/>
  <c r="H42"/>
  <c r="H41"/>
  <c r="H49"/>
  <c r="H48"/>
  <c r="H47"/>
  <c r="H46"/>
  <c r="H59"/>
  <c r="H58"/>
  <c r="H57"/>
  <c r="H56"/>
  <c r="H64"/>
  <c r="H63"/>
  <c r="H62"/>
  <c r="H61"/>
  <c r="I19"/>
  <c r="I18"/>
  <c r="I17"/>
  <c r="I16"/>
  <c r="I24"/>
  <c r="I23"/>
  <c r="I22"/>
  <c r="I21"/>
  <c r="I29"/>
  <c r="I28"/>
  <c r="I27"/>
  <c r="I26"/>
  <c r="I34"/>
  <c r="I33"/>
  <c r="I32"/>
  <c r="I31"/>
  <c r="I39"/>
  <c r="I38"/>
  <c r="I37"/>
  <c r="I36"/>
  <c r="I44"/>
  <c r="I43"/>
  <c r="I42"/>
  <c r="I41"/>
  <c r="I49"/>
  <c r="I48"/>
  <c r="I47"/>
  <c r="I46"/>
  <c r="I54"/>
  <c r="I53"/>
  <c r="I52"/>
  <c r="I51"/>
  <c r="I59"/>
  <c r="I58"/>
  <c r="I57"/>
  <c r="I56"/>
  <c r="I64"/>
  <c r="I63"/>
  <c r="I62"/>
  <c r="I61"/>
  <c r="J19"/>
  <c r="J18"/>
  <c r="J17"/>
  <c r="J16"/>
  <c r="J24"/>
  <c r="J23"/>
  <c r="J22"/>
  <c r="J21"/>
  <c r="J29"/>
  <c r="J28"/>
  <c r="J27"/>
  <c r="J26"/>
  <c r="J34"/>
  <c r="J33"/>
  <c r="J32"/>
  <c r="J31"/>
  <c r="J39"/>
  <c r="J38"/>
  <c r="J37"/>
  <c r="J36"/>
  <c r="J44"/>
  <c r="J43"/>
  <c r="J42"/>
  <c r="J41"/>
  <c r="J49"/>
  <c r="J48"/>
  <c r="J47"/>
  <c r="J46"/>
  <c r="J54"/>
  <c r="J53"/>
  <c r="J52"/>
  <c r="J51"/>
  <c r="J59"/>
  <c r="J58"/>
  <c r="J57"/>
  <c r="J56"/>
  <c r="J64"/>
  <c r="J63"/>
  <c r="J62"/>
  <c r="J61"/>
  <c r="K19"/>
  <c r="K18"/>
  <c r="K17"/>
  <c r="K16"/>
  <c r="K24"/>
  <c r="K23"/>
  <c r="K22"/>
  <c r="K21"/>
  <c r="K29"/>
  <c r="K28"/>
  <c r="K27"/>
  <c r="K26"/>
  <c r="K34"/>
  <c r="K33"/>
  <c r="K32"/>
  <c r="K31"/>
  <c r="K39"/>
  <c r="K38"/>
  <c r="K37"/>
  <c r="K36"/>
  <c r="K44"/>
  <c r="K43"/>
  <c r="K42"/>
  <c r="K41"/>
  <c r="K49"/>
  <c r="K48"/>
  <c r="K47"/>
  <c r="K46"/>
  <c r="K54"/>
  <c r="K53"/>
  <c r="K52"/>
  <c r="K51"/>
  <c r="K59"/>
  <c r="K58"/>
  <c r="K57"/>
  <c r="K56"/>
  <c r="L19"/>
  <c r="L18"/>
  <c r="L17"/>
  <c r="L16"/>
  <c r="L24"/>
  <c r="L23"/>
  <c r="L22"/>
  <c r="L21"/>
  <c r="L29"/>
  <c r="L28"/>
  <c r="L27"/>
  <c r="L26"/>
  <c r="L39"/>
  <c r="L38"/>
  <c r="L37"/>
  <c r="L36"/>
  <c r="L44"/>
  <c r="L43"/>
  <c r="L42"/>
  <c r="L41"/>
  <c r="L49"/>
  <c r="L48"/>
  <c r="L47"/>
  <c r="L46"/>
  <c r="L54"/>
  <c r="L53"/>
  <c r="L52"/>
  <c r="L51"/>
  <c r="L59"/>
  <c r="L58"/>
  <c r="L57"/>
  <c r="L56"/>
  <c r="L64"/>
  <c r="L63"/>
  <c r="L62"/>
  <c r="L61"/>
  <c r="M19"/>
  <c r="M18"/>
  <c r="M17"/>
  <c r="M16"/>
  <c r="M24"/>
  <c r="M23"/>
  <c r="M22"/>
  <c r="M21"/>
  <c r="M29"/>
  <c r="M28"/>
  <c r="M27"/>
  <c r="M26"/>
  <c r="M34"/>
  <c r="M33"/>
  <c r="M32"/>
  <c r="M31"/>
  <c r="M39"/>
  <c r="M38"/>
  <c r="M37"/>
  <c r="M36"/>
  <c r="M44"/>
  <c r="M43"/>
  <c r="M42"/>
  <c r="M41"/>
  <c r="M49"/>
  <c r="M48"/>
  <c r="M47"/>
  <c r="M46"/>
  <c r="M54"/>
  <c r="M53"/>
  <c r="M52"/>
  <c r="M51"/>
  <c r="M59"/>
  <c r="M58"/>
  <c r="M57"/>
  <c r="M56"/>
  <c r="M64"/>
  <c r="M63"/>
  <c r="M62"/>
  <c r="M61"/>
  <c r="N19"/>
  <c r="N18"/>
  <c r="N17"/>
  <c r="N16"/>
  <c r="N24"/>
  <c r="N23"/>
  <c r="N22"/>
  <c r="N21"/>
  <c r="N29"/>
  <c r="N28"/>
  <c r="N27"/>
  <c r="N26"/>
  <c r="N34"/>
  <c r="N33"/>
  <c r="N32"/>
  <c r="N31"/>
  <c r="N39"/>
  <c r="N38"/>
  <c r="N37"/>
  <c r="N36"/>
  <c r="N44"/>
  <c r="N43"/>
  <c r="N42"/>
  <c r="N41"/>
  <c r="N49"/>
  <c r="N48"/>
  <c r="N47"/>
  <c r="N46"/>
  <c r="N54"/>
  <c r="N53"/>
  <c r="N52"/>
  <c r="N51"/>
  <c r="N59"/>
  <c r="N58"/>
  <c r="N57"/>
  <c r="N56"/>
  <c r="N64"/>
  <c r="N63"/>
  <c r="N62"/>
  <c r="N61"/>
  <c r="O19"/>
  <c r="O18"/>
  <c r="O17"/>
  <c r="O16"/>
  <c r="O24"/>
  <c r="O23"/>
  <c r="O22"/>
  <c r="O21"/>
  <c r="O29"/>
  <c r="O28"/>
  <c r="O27"/>
  <c r="O26"/>
  <c r="O34"/>
  <c r="O33"/>
  <c r="O32"/>
  <c r="O31"/>
  <c r="O39"/>
  <c r="O38"/>
  <c r="O37"/>
  <c r="O36"/>
  <c r="O44"/>
  <c r="O43"/>
  <c r="O42"/>
  <c r="O41"/>
  <c r="O49"/>
  <c r="O48"/>
  <c r="O47"/>
  <c r="O46"/>
  <c r="O54"/>
  <c r="O53"/>
  <c r="O52"/>
  <c r="O51"/>
  <c r="O64"/>
  <c r="O63"/>
  <c r="O62"/>
  <c r="O61"/>
  <c r="P19"/>
  <c r="P18"/>
  <c r="P17"/>
  <c r="P16"/>
  <c r="P24"/>
  <c r="P23"/>
  <c r="P22"/>
  <c r="P21"/>
  <c r="P29"/>
  <c r="P28"/>
  <c r="P27"/>
  <c r="P26"/>
  <c r="P34"/>
  <c r="AB34" s="1"/>
  <c r="P33"/>
  <c r="AB33" s="1"/>
  <c r="P32"/>
  <c r="AB32" s="1"/>
  <c r="P31"/>
  <c r="AB31" s="1"/>
  <c r="P39"/>
  <c r="P38"/>
  <c r="P37"/>
  <c r="P36"/>
  <c r="P44"/>
  <c r="P43"/>
  <c r="P42"/>
  <c r="P41"/>
  <c r="P49"/>
  <c r="AB49" s="1"/>
  <c r="P48"/>
  <c r="AB48" s="1"/>
  <c r="P47"/>
  <c r="AB47" s="1"/>
  <c r="P46"/>
  <c r="AB46" s="1"/>
  <c r="P54"/>
  <c r="P53"/>
  <c r="P52"/>
  <c r="P51"/>
  <c r="P59"/>
  <c r="P58"/>
  <c r="P57"/>
  <c r="P56"/>
  <c r="P64"/>
  <c r="P63"/>
  <c r="P62"/>
  <c r="P61"/>
  <c r="Q19"/>
  <c r="Q18"/>
  <c r="Q17"/>
  <c r="Q16"/>
  <c r="Q24"/>
  <c r="Q23"/>
  <c r="Q22"/>
  <c r="Q21"/>
  <c r="Q29"/>
  <c r="Q28"/>
  <c r="Q27"/>
  <c r="Q26"/>
  <c r="Q34"/>
  <c r="Q33"/>
  <c r="Q32"/>
  <c r="Q31"/>
  <c r="Q39"/>
  <c r="Q38"/>
  <c r="Q37"/>
  <c r="Q36"/>
  <c r="Q44"/>
  <c r="Q43"/>
  <c r="Q42"/>
  <c r="Q41"/>
  <c r="Q49"/>
  <c r="Q48"/>
  <c r="Q47"/>
  <c r="Q46"/>
  <c r="Q54"/>
  <c r="Q53"/>
  <c r="Q52"/>
  <c r="Q51"/>
  <c r="Q59"/>
  <c r="Q58"/>
  <c r="Q57"/>
  <c r="Q56"/>
  <c r="Q64"/>
  <c r="Q63"/>
  <c r="Q62"/>
  <c r="Q61"/>
  <c r="R24"/>
  <c r="R23"/>
  <c r="R22"/>
  <c r="R21"/>
  <c r="R29"/>
  <c r="R28"/>
  <c r="R27"/>
  <c r="R26"/>
  <c r="R34"/>
  <c r="R33"/>
  <c r="R32"/>
  <c r="R31"/>
  <c r="R39"/>
  <c r="R38"/>
  <c r="R37"/>
  <c r="R36"/>
  <c r="R44"/>
  <c r="R43"/>
  <c r="R42"/>
  <c r="R41"/>
  <c r="R49"/>
  <c r="R48"/>
  <c r="R47"/>
  <c r="R46"/>
  <c r="R59"/>
  <c r="R58"/>
  <c r="R57"/>
  <c r="R56"/>
  <c r="R64"/>
  <c r="R63"/>
  <c r="R62"/>
  <c r="R61"/>
  <c r="S19"/>
  <c r="S18"/>
  <c r="S17"/>
  <c r="S16"/>
  <c r="S24"/>
  <c r="S23"/>
  <c r="S22"/>
  <c r="S21"/>
  <c r="S29"/>
  <c r="S28"/>
  <c r="S27"/>
  <c r="S26"/>
  <c r="S34"/>
  <c r="S33"/>
  <c r="S32"/>
  <c r="S31"/>
  <c r="S39"/>
  <c r="S38"/>
  <c r="S37"/>
  <c r="S36"/>
  <c r="S44"/>
  <c r="S43"/>
  <c r="S42"/>
  <c r="S41"/>
  <c r="S49"/>
  <c r="S48"/>
  <c r="S47"/>
  <c r="S46"/>
  <c r="S54"/>
  <c r="S53"/>
  <c r="S52"/>
  <c r="S51"/>
  <c r="S59"/>
  <c r="S58"/>
  <c r="S57"/>
  <c r="S56"/>
  <c r="S64"/>
  <c r="S63"/>
  <c r="S62"/>
  <c r="S61"/>
  <c r="T19"/>
  <c r="T18"/>
  <c r="T17"/>
  <c r="T16"/>
  <c r="T24"/>
  <c r="T23"/>
  <c r="T22"/>
  <c r="T21"/>
  <c r="T29"/>
  <c r="T28"/>
  <c r="T27"/>
  <c r="T26"/>
  <c r="T34"/>
  <c r="T33"/>
  <c r="T32"/>
  <c r="T31"/>
  <c r="T39"/>
  <c r="T38"/>
  <c r="T37"/>
  <c r="T36"/>
  <c r="T44"/>
  <c r="T43"/>
  <c r="T42"/>
  <c r="T41"/>
  <c r="T49"/>
  <c r="T48"/>
  <c r="T47"/>
  <c r="T46"/>
  <c r="T54"/>
  <c r="T53"/>
  <c r="T52"/>
  <c r="T51"/>
  <c r="T59"/>
  <c r="T58"/>
  <c r="T57"/>
  <c r="T56"/>
  <c r="T64"/>
  <c r="T63"/>
  <c r="T62"/>
  <c r="T61"/>
  <c r="V19"/>
  <c r="U19"/>
  <c r="V18"/>
  <c r="U18"/>
  <c r="V17"/>
  <c r="U17"/>
  <c r="V16"/>
  <c r="U16"/>
  <c r="V24"/>
  <c r="U24"/>
  <c r="V23"/>
  <c r="U23"/>
  <c r="V22"/>
  <c r="U22"/>
  <c r="V21"/>
  <c r="U21"/>
  <c r="V29"/>
  <c r="U29"/>
  <c r="V28"/>
  <c r="U28"/>
  <c r="V27"/>
  <c r="U27"/>
  <c r="V26"/>
  <c r="U26"/>
  <c r="V34"/>
  <c r="U34"/>
  <c r="V33"/>
  <c r="U33"/>
  <c r="V32"/>
  <c r="U32"/>
  <c r="V31"/>
  <c r="U31"/>
  <c r="V39"/>
  <c r="U39"/>
  <c r="V38"/>
  <c r="U38"/>
  <c r="V37"/>
  <c r="U37"/>
  <c r="V36"/>
  <c r="U36"/>
  <c r="V44"/>
  <c r="U44"/>
  <c r="V43"/>
  <c r="U43"/>
  <c r="V42"/>
  <c r="U42"/>
  <c r="V41"/>
  <c r="U41"/>
  <c r="V49"/>
  <c r="U49"/>
  <c r="V48"/>
  <c r="U48"/>
  <c r="V47"/>
  <c r="U47"/>
  <c r="V46"/>
  <c r="U46"/>
  <c r="V54"/>
  <c r="U54"/>
  <c r="V53"/>
  <c r="U53"/>
  <c r="V52"/>
  <c r="U52"/>
  <c r="V51"/>
  <c r="U51"/>
  <c r="V59"/>
  <c r="U59"/>
  <c r="V58"/>
  <c r="U58"/>
  <c r="V57"/>
  <c r="U57"/>
  <c r="V56"/>
  <c r="U56"/>
  <c r="V64"/>
  <c r="U64"/>
  <c r="V63"/>
  <c r="U63"/>
  <c r="V62"/>
  <c r="U62"/>
  <c r="V61"/>
  <c r="U61"/>
  <c r="L13" i="340"/>
  <c r="M13"/>
  <c r="N13"/>
  <c r="O13"/>
  <c r="Q13"/>
  <c r="R13"/>
  <c r="S13"/>
  <c r="T13"/>
  <c r="U13"/>
  <c r="L14"/>
  <c r="M14"/>
  <c r="N14"/>
  <c r="O14"/>
  <c r="Q14"/>
  <c r="R14"/>
  <c r="S14"/>
  <c r="T14"/>
  <c r="U14"/>
  <c r="K13"/>
  <c r="K14"/>
  <c r="Y13" i="353"/>
  <c r="Y14"/>
  <c r="V13" i="340"/>
  <c r="V14"/>
  <c r="V11"/>
  <c r="V26" i="343"/>
  <c r="V27"/>
  <c r="V28"/>
  <c r="V29"/>
  <c r="V31"/>
  <c r="V32"/>
  <c r="V33"/>
  <c r="V34"/>
  <c r="V36"/>
  <c r="V37"/>
  <c r="V38"/>
  <c r="V39"/>
  <c r="V41"/>
  <c r="V42"/>
  <c r="V43"/>
  <c r="V44"/>
  <c r="V46"/>
  <c r="V47"/>
  <c r="V48"/>
  <c r="V49"/>
  <c r="V51"/>
  <c r="V52"/>
  <c r="V53"/>
  <c r="V54"/>
  <c r="V56"/>
  <c r="V57"/>
  <c r="V58"/>
  <c r="V59"/>
  <c r="V61"/>
  <c r="V62"/>
  <c r="V63"/>
  <c r="V64"/>
  <c r="V21"/>
  <c r="V22"/>
  <c r="V23"/>
  <c r="V24"/>
  <c r="V16"/>
  <c r="V17"/>
  <c r="V18"/>
  <c r="V19"/>
  <c r="U64"/>
  <c r="T64"/>
  <c r="S64"/>
  <c r="R64"/>
  <c r="Q64"/>
  <c r="P64"/>
  <c r="AB64" s="1"/>
  <c r="O64"/>
  <c r="N64"/>
  <c r="M64"/>
  <c r="L64"/>
  <c r="J64"/>
  <c r="I64"/>
  <c r="H64"/>
  <c r="G64"/>
  <c r="F64"/>
  <c r="E64"/>
  <c r="U63"/>
  <c r="T63"/>
  <c r="S63"/>
  <c r="R63"/>
  <c r="Q63"/>
  <c r="P63"/>
  <c r="AB63" s="1"/>
  <c r="O63"/>
  <c r="N63"/>
  <c r="M63"/>
  <c r="L63"/>
  <c r="J63"/>
  <c r="I63"/>
  <c r="H63"/>
  <c r="G63"/>
  <c r="F63"/>
  <c r="E63"/>
  <c r="U62"/>
  <c r="T62"/>
  <c r="S62"/>
  <c r="R62"/>
  <c r="Q62"/>
  <c r="P62"/>
  <c r="AB62" s="1"/>
  <c r="O62"/>
  <c r="N62"/>
  <c r="M62"/>
  <c r="L62"/>
  <c r="J62"/>
  <c r="I62"/>
  <c r="H62"/>
  <c r="G62"/>
  <c r="F62"/>
  <c r="E62"/>
  <c r="U61"/>
  <c r="T61"/>
  <c r="S61"/>
  <c r="R61"/>
  <c r="Q61"/>
  <c r="P61"/>
  <c r="AB61" s="1"/>
  <c r="O61"/>
  <c r="N61"/>
  <c r="M61"/>
  <c r="L61"/>
  <c r="J61"/>
  <c r="I61"/>
  <c r="H61"/>
  <c r="G61"/>
  <c r="F61"/>
  <c r="E61"/>
  <c r="U59"/>
  <c r="T59"/>
  <c r="S59"/>
  <c r="R59"/>
  <c r="Q59"/>
  <c r="P59"/>
  <c r="AB59" s="1"/>
  <c r="N59"/>
  <c r="M59"/>
  <c r="L59"/>
  <c r="K59"/>
  <c r="J59"/>
  <c r="I59"/>
  <c r="H59"/>
  <c r="G59"/>
  <c r="F59"/>
  <c r="E59"/>
  <c r="D59"/>
  <c r="U58"/>
  <c r="T58"/>
  <c r="S58"/>
  <c r="R58"/>
  <c r="Q58"/>
  <c r="P58"/>
  <c r="AB58" s="1"/>
  <c r="N58"/>
  <c r="M58"/>
  <c r="L58"/>
  <c r="K58"/>
  <c r="J58"/>
  <c r="I58"/>
  <c r="H58"/>
  <c r="G58"/>
  <c r="F58"/>
  <c r="E58"/>
  <c r="D58"/>
  <c r="U57"/>
  <c r="T57"/>
  <c r="S57"/>
  <c r="R57"/>
  <c r="Q57"/>
  <c r="P57"/>
  <c r="AB57" s="1"/>
  <c r="N57"/>
  <c r="M57"/>
  <c r="L57"/>
  <c r="K57"/>
  <c r="J57"/>
  <c r="I57"/>
  <c r="H57"/>
  <c r="G57"/>
  <c r="F57"/>
  <c r="E57"/>
  <c r="U56"/>
  <c r="T56"/>
  <c r="S56"/>
  <c r="R56"/>
  <c r="Q56"/>
  <c r="P56"/>
  <c r="AB56" s="1"/>
  <c r="N56"/>
  <c r="M56"/>
  <c r="L56"/>
  <c r="K56"/>
  <c r="J56"/>
  <c r="I56"/>
  <c r="H56"/>
  <c r="G56"/>
  <c r="F56"/>
  <c r="E56"/>
  <c r="D56"/>
  <c r="U54"/>
  <c r="T54"/>
  <c r="S54"/>
  <c r="Q54"/>
  <c r="P54"/>
  <c r="AB54" s="1"/>
  <c r="O54"/>
  <c r="N54"/>
  <c r="M54"/>
  <c r="L54"/>
  <c r="K54"/>
  <c r="J54"/>
  <c r="I54"/>
  <c r="F54"/>
  <c r="E54"/>
  <c r="D54"/>
  <c r="U53"/>
  <c r="T53"/>
  <c r="S53"/>
  <c r="Q53"/>
  <c r="P53"/>
  <c r="AB53" s="1"/>
  <c r="O53"/>
  <c r="N53"/>
  <c r="M53"/>
  <c r="L53"/>
  <c r="K53"/>
  <c r="J53"/>
  <c r="I53"/>
  <c r="F53"/>
  <c r="E53"/>
  <c r="D53"/>
  <c r="U52"/>
  <c r="T52"/>
  <c r="S52"/>
  <c r="Q52"/>
  <c r="P52"/>
  <c r="AB52" s="1"/>
  <c r="O52"/>
  <c r="N52"/>
  <c r="M52"/>
  <c r="L52"/>
  <c r="K52"/>
  <c r="J52"/>
  <c r="I52"/>
  <c r="F52"/>
  <c r="E52"/>
  <c r="U51"/>
  <c r="T51"/>
  <c r="S51"/>
  <c r="Q51"/>
  <c r="P51"/>
  <c r="AB51" s="1"/>
  <c r="O51"/>
  <c r="N51"/>
  <c r="M51"/>
  <c r="L51"/>
  <c r="K51"/>
  <c r="J51"/>
  <c r="I51"/>
  <c r="F51"/>
  <c r="E51"/>
  <c r="D51"/>
  <c r="U49"/>
  <c r="T49"/>
  <c r="S49"/>
  <c r="R49"/>
  <c r="Q49"/>
  <c r="P49"/>
  <c r="AB49" s="1"/>
  <c r="O49"/>
  <c r="N49"/>
  <c r="M49"/>
  <c r="L49"/>
  <c r="K49"/>
  <c r="J49"/>
  <c r="I49"/>
  <c r="H49"/>
  <c r="G49"/>
  <c r="D49"/>
  <c r="U48"/>
  <c r="T48"/>
  <c r="S48"/>
  <c r="R48"/>
  <c r="Q48"/>
  <c r="P48"/>
  <c r="AB48" s="1"/>
  <c r="O48"/>
  <c r="N48"/>
  <c r="M48"/>
  <c r="L48"/>
  <c r="K48"/>
  <c r="J48"/>
  <c r="I48"/>
  <c r="H48"/>
  <c r="G48"/>
  <c r="D48"/>
  <c r="U47"/>
  <c r="T47"/>
  <c r="S47"/>
  <c r="R47"/>
  <c r="Q47"/>
  <c r="P47"/>
  <c r="AB47" s="1"/>
  <c r="O47"/>
  <c r="N47"/>
  <c r="M47"/>
  <c r="L47"/>
  <c r="K47"/>
  <c r="J47"/>
  <c r="I47"/>
  <c r="H47"/>
  <c r="G47"/>
  <c r="U46"/>
  <c r="T46"/>
  <c r="S46"/>
  <c r="R46"/>
  <c r="Q46"/>
  <c r="P46"/>
  <c r="AB46" s="1"/>
  <c r="O46"/>
  <c r="N46"/>
  <c r="M46"/>
  <c r="L46"/>
  <c r="K46"/>
  <c r="J46"/>
  <c r="I46"/>
  <c r="H46"/>
  <c r="G46"/>
  <c r="D46"/>
  <c r="U44"/>
  <c r="T44"/>
  <c r="S44"/>
  <c r="R44"/>
  <c r="Q44"/>
  <c r="P44"/>
  <c r="AB44" s="1"/>
  <c r="O44"/>
  <c r="N44"/>
  <c r="M44"/>
  <c r="L44"/>
  <c r="K44"/>
  <c r="J44"/>
  <c r="I44"/>
  <c r="H44"/>
  <c r="G44"/>
  <c r="F44"/>
  <c r="E44"/>
  <c r="D44"/>
  <c r="U43"/>
  <c r="T43"/>
  <c r="S43"/>
  <c r="R43"/>
  <c r="Q43"/>
  <c r="P43"/>
  <c r="AB43" s="1"/>
  <c r="O43"/>
  <c r="N43"/>
  <c r="M43"/>
  <c r="L43"/>
  <c r="K43"/>
  <c r="J43"/>
  <c r="I43"/>
  <c r="H43"/>
  <c r="G43"/>
  <c r="F43"/>
  <c r="E43"/>
  <c r="D43"/>
  <c r="U42"/>
  <c r="T42"/>
  <c r="S42"/>
  <c r="R42"/>
  <c r="Q42"/>
  <c r="P42"/>
  <c r="AB42" s="1"/>
  <c r="O42"/>
  <c r="N42"/>
  <c r="M42"/>
  <c r="L42"/>
  <c r="K42"/>
  <c r="J42"/>
  <c r="I42"/>
  <c r="H42"/>
  <c r="G42"/>
  <c r="F42"/>
  <c r="E42"/>
  <c r="U41"/>
  <c r="T41"/>
  <c r="S41"/>
  <c r="R41"/>
  <c r="Q41"/>
  <c r="P41"/>
  <c r="AB41" s="1"/>
  <c r="O41"/>
  <c r="N41"/>
  <c r="M41"/>
  <c r="L41"/>
  <c r="K41"/>
  <c r="J41"/>
  <c r="I41"/>
  <c r="H41"/>
  <c r="G41"/>
  <c r="F41"/>
  <c r="E41"/>
  <c r="D41"/>
  <c r="U39"/>
  <c r="T39"/>
  <c r="S39"/>
  <c r="R39"/>
  <c r="Q39"/>
  <c r="P39"/>
  <c r="AB39" s="1"/>
  <c r="O39"/>
  <c r="N39"/>
  <c r="M39"/>
  <c r="L39"/>
  <c r="K39"/>
  <c r="J39"/>
  <c r="I39"/>
  <c r="H39"/>
  <c r="G39"/>
  <c r="F39"/>
  <c r="E39"/>
  <c r="D39"/>
  <c r="U38"/>
  <c r="T38"/>
  <c r="S38"/>
  <c r="R38"/>
  <c r="Q38"/>
  <c r="P38"/>
  <c r="AB38" s="1"/>
  <c r="O38"/>
  <c r="N38"/>
  <c r="M38"/>
  <c r="L38"/>
  <c r="K38"/>
  <c r="J38"/>
  <c r="I38"/>
  <c r="H38"/>
  <c r="G38"/>
  <c r="F38"/>
  <c r="E38"/>
  <c r="D38"/>
  <c r="U37"/>
  <c r="T37"/>
  <c r="S37"/>
  <c r="R37"/>
  <c r="Q37"/>
  <c r="P37"/>
  <c r="AB37" s="1"/>
  <c r="O37"/>
  <c r="N37"/>
  <c r="M37"/>
  <c r="L37"/>
  <c r="K37"/>
  <c r="J37"/>
  <c r="I37"/>
  <c r="H37"/>
  <c r="G37"/>
  <c r="F37"/>
  <c r="E37"/>
  <c r="U36"/>
  <c r="T36"/>
  <c r="S36"/>
  <c r="R36"/>
  <c r="Q36"/>
  <c r="P36"/>
  <c r="AB36" s="1"/>
  <c r="O36"/>
  <c r="N36"/>
  <c r="M36"/>
  <c r="L36"/>
  <c r="K36"/>
  <c r="J36"/>
  <c r="I36"/>
  <c r="H36"/>
  <c r="G36"/>
  <c r="F36"/>
  <c r="E36"/>
  <c r="D36"/>
  <c r="U34"/>
  <c r="T34"/>
  <c r="S34"/>
  <c r="R34"/>
  <c r="Q34"/>
  <c r="P34"/>
  <c r="AB34" s="1"/>
  <c r="O34"/>
  <c r="N34"/>
  <c r="M34"/>
  <c r="K34"/>
  <c r="J34"/>
  <c r="I34"/>
  <c r="H34"/>
  <c r="G34"/>
  <c r="F34"/>
  <c r="D34"/>
  <c r="U33"/>
  <c r="T33"/>
  <c r="S33"/>
  <c r="R33"/>
  <c r="Q33"/>
  <c r="P33"/>
  <c r="AB33" s="1"/>
  <c r="O33"/>
  <c r="N33"/>
  <c r="M33"/>
  <c r="K33"/>
  <c r="J33"/>
  <c r="I33"/>
  <c r="H33"/>
  <c r="G33"/>
  <c r="F33"/>
  <c r="D33"/>
  <c r="U32"/>
  <c r="T32"/>
  <c r="S32"/>
  <c r="R32"/>
  <c r="Q32"/>
  <c r="P32"/>
  <c r="AB32" s="1"/>
  <c r="O32"/>
  <c r="N32"/>
  <c r="M32"/>
  <c r="K32"/>
  <c r="J32"/>
  <c r="I32"/>
  <c r="H32"/>
  <c r="G32"/>
  <c r="F32"/>
  <c r="U31"/>
  <c r="T31"/>
  <c r="S31"/>
  <c r="R31"/>
  <c r="Q31"/>
  <c r="P31"/>
  <c r="AB31" s="1"/>
  <c r="O31"/>
  <c r="N31"/>
  <c r="M31"/>
  <c r="K31"/>
  <c r="J31"/>
  <c r="I31"/>
  <c r="H31"/>
  <c r="G31"/>
  <c r="F31"/>
  <c r="D31"/>
  <c r="U29"/>
  <c r="T29"/>
  <c r="S29"/>
  <c r="R29"/>
  <c r="Q29"/>
  <c r="P29"/>
  <c r="AB29" s="1"/>
  <c r="O29"/>
  <c r="N29"/>
  <c r="M29"/>
  <c r="L29"/>
  <c r="K29"/>
  <c r="J29"/>
  <c r="I29"/>
  <c r="H29"/>
  <c r="G29"/>
  <c r="F29"/>
  <c r="E29"/>
  <c r="D29"/>
  <c r="U28"/>
  <c r="T28"/>
  <c r="S28"/>
  <c r="R28"/>
  <c r="Q28"/>
  <c r="P28"/>
  <c r="AB28" s="1"/>
  <c r="O28"/>
  <c r="N28"/>
  <c r="M28"/>
  <c r="L28"/>
  <c r="K28"/>
  <c r="J28"/>
  <c r="I28"/>
  <c r="H28"/>
  <c r="G28"/>
  <c r="F28"/>
  <c r="E28"/>
  <c r="D28"/>
  <c r="U27"/>
  <c r="T27"/>
  <c r="S27"/>
  <c r="R27"/>
  <c r="Q27"/>
  <c r="P27"/>
  <c r="AB27" s="1"/>
  <c r="O27"/>
  <c r="N27"/>
  <c r="M27"/>
  <c r="L27"/>
  <c r="K27"/>
  <c r="J27"/>
  <c r="I27"/>
  <c r="H27"/>
  <c r="G27"/>
  <c r="F27"/>
  <c r="E27"/>
  <c r="U26"/>
  <c r="T26"/>
  <c r="S26"/>
  <c r="R26"/>
  <c r="Q26"/>
  <c r="P26"/>
  <c r="AB26" s="1"/>
  <c r="O26"/>
  <c r="N26"/>
  <c r="M26"/>
  <c r="L26"/>
  <c r="K26"/>
  <c r="J26"/>
  <c r="I26"/>
  <c r="H26"/>
  <c r="G26"/>
  <c r="F26"/>
  <c r="E26"/>
  <c r="D26"/>
  <c r="U24"/>
  <c r="T24"/>
  <c r="S24"/>
  <c r="R24"/>
  <c r="Q24"/>
  <c r="P24"/>
  <c r="AB24" s="1"/>
  <c r="O24"/>
  <c r="N24"/>
  <c r="M24"/>
  <c r="L24"/>
  <c r="K24"/>
  <c r="J24"/>
  <c r="I24"/>
  <c r="H24"/>
  <c r="G24"/>
  <c r="F24"/>
  <c r="E24"/>
  <c r="D24"/>
  <c r="U23"/>
  <c r="T23"/>
  <c r="S23"/>
  <c r="R23"/>
  <c r="Q23"/>
  <c r="P23"/>
  <c r="AB23" s="1"/>
  <c r="O23"/>
  <c r="N23"/>
  <c r="M23"/>
  <c r="L23"/>
  <c r="K23"/>
  <c r="J23"/>
  <c r="I23"/>
  <c r="H23"/>
  <c r="G23"/>
  <c r="F23"/>
  <c r="E23"/>
  <c r="D23"/>
  <c r="U22"/>
  <c r="T22"/>
  <c r="S22"/>
  <c r="R22"/>
  <c r="Q22"/>
  <c r="P22"/>
  <c r="AB22" s="1"/>
  <c r="O22"/>
  <c r="N22"/>
  <c r="M22"/>
  <c r="L22"/>
  <c r="K22"/>
  <c r="J22"/>
  <c r="I22"/>
  <c r="H22"/>
  <c r="G22"/>
  <c r="F22"/>
  <c r="E22"/>
  <c r="U21"/>
  <c r="T21"/>
  <c r="S21"/>
  <c r="R21"/>
  <c r="Q21"/>
  <c r="P21"/>
  <c r="AB21" s="1"/>
  <c r="O21"/>
  <c r="N21"/>
  <c r="M21"/>
  <c r="L21"/>
  <c r="K21"/>
  <c r="J21"/>
  <c r="I21"/>
  <c r="H21"/>
  <c r="G21"/>
  <c r="F21"/>
  <c r="E21"/>
  <c r="D21"/>
  <c r="U19"/>
  <c r="T19"/>
  <c r="S19"/>
  <c r="Q19"/>
  <c r="P19"/>
  <c r="AB19" s="1"/>
  <c r="O19"/>
  <c r="N19"/>
  <c r="M19"/>
  <c r="L19"/>
  <c r="K19"/>
  <c r="J19"/>
  <c r="I19"/>
  <c r="H19"/>
  <c r="G19"/>
  <c r="F19"/>
  <c r="E19"/>
  <c r="D19"/>
  <c r="U18"/>
  <c r="T18"/>
  <c r="S18"/>
  <c r="Q18"/>
  <c r="P18"/>
  <c r="AB18" s="1"/>
  <c r="O18"/>
  <c r="N18"/>
  <c r="M18"/>
  <c r="L18"/>
  <c r="K18"/>
  <c r="J18"/>
  <c r="I18"/>
  <c r="H18"/>
  <c r="G18"/>
  <c r="F18"/>
  <c r="E18"/>
  <c r="D18"/>
  <c r="U17"/>
  <c r="T17"/>
  <c r="S17"/>
  <c r="Q17"/>
  <c r="P17"/>
  <c r="AB17" s="1"/>
  <c r="O17"/>
  <c r="N17"/>
  <c r="M17"/>
  <c r="L17"/>
  <c r="K17"/>
  <c r="J17"/>
  <c r="I17"/>
  <c r="H17"/>
  <c r="G17"/>
  <c r="F17"/>
  <c r="E17"/>
  <c r="U16"/>
  <c r="T16"/>
  <c r="S16"/>
  <c r="Q16"/>
  <c r="P16"/>
  <c r="AB16" s="1"/>
  <c r="O16"/>
  <c r="N16"/>
  <c r="M16"/>
  <c r="L16"/>
  <c r="K16"/>
  <c r="J16"/>
  <c r="I16"/>
  <c r="H16"/>
  <c r="G16"/>
  <c r="F16"/>
  <c r="E16"/>
  <c r="D16"/>
  <c r="P11" i="340"/>
  <c r="Z11" i="353"/>
  <c r="P13" i="340"/>
  <c r="Z13" i="353"/>
  <c r="P14" i="340"/>
  <c r="Z14" i="353"/>
  <c r="Z12"/>
  <c r="D11" i="340"/>
  <c r="L11"/>
  <c r="M11"/>
  <c r="N11"/>
  <c r="O11"/>
  <c r="Q11"/>
  <c r="R11"/>
  <c r="S11"/>
  <c r="T11"/>
  <c r="U11"/>
  <c r="K11"/>
  <c r="D13"/>
  <c r="J11"/>
  <c r="J12" s="1"/>
  <c r="Y11" i="353"/>
  <c r="E13" i="354"/>
  <c r="Y13" s="1"/>
  <c r="F13"/>
  <c r="G13"/>
  <c r="H13"/>
  <c r="I13"/>
  <c r="J13"/>
  <c r="J13" i="340" s="1"/>
  <c r="D14" i="354"/>
  <c r="E14"/>
  <c r="Z14" s="1"/>
  <c r="F14"/>
  <c r="G14"/>
  <c r="H14"/>
  <c r="I14"/>
  <c r="J14"/>
  <c r="J14" i="340" s="1"/>
  <c r="J12" i="353"/>
  <c r="I12"/>
  <c r="H12"/>
  <c r="G12"/>
  <c r="F12"/>
  <c r="Y11" i="354" l="1"/>
  <c r="AD12" i="353"/>
  <c r="Y58" i="342"/>
  <c r="Y51"/>
  <c r="Y41"/>
  <c r="AD16" i="343"/>
  <c r="AA16"/>
  <c r="AD19"/>
  <c r="AA19"/>
  <c r="AA23"/>
  <c r="AD23"/>
  <c r="AD24"/>
  <c r="AA24"/>
  <c r="AD26"/>
  <c r="AA26"/>
  <c r="AA27"/>
  <c r="AD27"/>
  <c r="AA33"/>
  <c r="AD33"/>
  <c r="AD34"/>
  <c r="AA34"/>
  <c r="AD36"/>
  <c r="AA36"/>
  <c r="AA37"/>
  <c r="AD37"/>
  <c r="AA43"/>
  <c r="AD43"/>
  <c r="AD44"/>
  <c r="AA44"/>
  <c r="AD46"/>
  <c r="AA46"/>
  <c r="AA52"/>
  <c r="AD52"/>
  <c r="AA53"/>
  <c r="AD53"/>
  <c r="AD56"/>
  <c r="AA56"/>
  <c r="AD59"/>
  <c r="AA59"/>
  <c r="AA17"/>
  <c r="AD17"/>
  <c r="AA18"/>
  <c r="AD18"/>
  <c r="AD21"/>
  <c r="AA21"/>
  <c r="AA22"/>
  <c r="AD22"/>
  <c r="AA28"/>
  <c r="AD28"/>
  <c r="AD29"/>
  <c r="AA29"/>
  <c r="AD31"/>
  <c r="AA31"/>
  <c r="AA38"/>
  <c r="AD38"/>
  <c r="AD39"/>
  <c r="AA39"/>
  <c r="AD41"/>
  <c r="AA41"/>
  <c r="AA42"/>
  <c r="AD42"/>
  <c r="AA48"/>
  <c r="AD48"/>
  <c r="AD49"/>
  <c r="AA49"/>
  <c r="AD51"/>
  <c r="AA51"/>
  <c r="AD54"/>
  <c r="AA54"/>
  <c r="AA57"/>
  <c r="AD57"/>
  <c r="AA58"/>
  <c r="AD58"/>
  <c r="AA62"/>
  <c r="AD62"/>
  <c r="Y59" i="342"/>
  <c r="Y39"/>
  <c r="Y29"/>
  <c r="Y19"/>
  <c r="Z62"/>
  <c r="AB62"/>
  <c r="Z64"/>
  <c r="AB64"/>
  <c r="Z57"/>
  <c r="AB57"/>
  <c r="Z59"/>
  <c r="AB59"/>
  <c r="Z52"/>
  <c r="AB52"/>
  <c r="Z54"/>
  <c r="AB54"/>
  <c r="Z42"/>
  <c r="AB42"/>
  <c r="Z44"/>
  <c r="AB44"/>
  <c r="Z37"/>
  <c r="AB37"/>
  <c r="Z39"/>
  <c r="AB39"/>
  <c r="Z27"/>
  <c r="AB27"/>
  <c r="Z29"/>
  <c r="AB29"/>
  <c r="Z22"/>
  <c r="AB22"/>
  <c r="Z24"/>
  <c r="AB24"/>
  <c r="Z17"/>
  <c r="AB17"/>
  <c r="Z19"/>
  <c r="AB19"/>
  <c r="AA62"/>
  <c r="AD62"/>
  <c r="AD57"/>
  <c r="AA57"/>
  <c r="AA52"/>
  <c r="AD52"/>
  <c r="AA42"/>
  <c r="AD42"/>
  <c r="AD37"/>
  <c r="AA37"/>
  <c r="AA27"/>
  <c r="AD27"/>
  <c r="AA22"/>
  <c r="AD22"/>
  <c r="AD17"/>
  <c r="AA17"/>
  <c r="AA58"/>
  <c r="AD58"/>
  <c r="AA51"/>
  <c r="AD51"/>
  <c r="AD54"/>
  <c r="AA54"/>
  <c r="AD48"/>
  <c r="AA48"/>
  <c r="AA41"/>
  <c r="AD41"/>
  <c r="AD44"/>
  <c r="AA44"/>
  <c r="AA38"/>
  <c r="AD38"/>
  <c r="AA31"/>
  <c r="AD31"/>
  <c r="AD34"/>
  <c r="AA34"/>
  <c r="AD28"/>
  <c r="AA28"/>
  <c r="AA21"/>
  <c r="AD21"/>
  <c r="AD24"/>
  <c r="AA24"/>
  <c r="AA18"/>
  <c r="AD18"/>
  <c r="AA13" i="354"/>
  <c r="AB13"/>
  <c r="AA14"/>
  <c r="AB14"/>
  <c r="W12" i="342"/>
  <c r="AA11" i="353"/>
  <c r="W11" i="342"/>
  <c r="W11" i="340"/>
  <c r="AD11" i="353"/>
  <c r="AB11"/>
  <c r="Z61" i="342"/>
  <c r="AB61"/>
  <c r="Z63"/>
  <c r="AB63"/>
  <c r="Z56"/>
  <c r="AB56"/>
  <c r="Z58"/>
  <c r="AB58"/>
  <c r="Z51"/>
  <c r="AB51"/>
  <c r="Z53"/>
  <c r="AB53"/>
  <c r="Z41"/>
  <c r="AB41"/>
  <c r="Z43"/>
  <c r="AB43"/>
  <c r="Z36"/>
  <c r="AB36"/>
  <c r="Z38"/>
  <c r="AB38"/>
  <c r="Z26"/>
  <c r="AB26"/>
  <c r="Z28"/>
  <c r="AB28"/>
  <c r="Z21"/>
  <c r="AB21"/>
  <c r="Z23"/>
  <c r="AB23"/>
  <c r="Z16"/>
  <c r="AB16"/>
  <c r="Z18"/>
  <c r="AB18"/>
  <c r="AD56"/>
  <c r="AA56"/>
  <c r="AA59"/>
  <c r="AD59"/>
  <c r="AD53"/>
  <c r="AA53"/>
  <c r="AA46"/>
  <c r="AD46"/>
  <c r="AD49"/>
  <c r="AA49"/>
  <c r="AD43"/>
  <c r="AA43"/>
  <c r="AD36"/>
  <c r="AA36"/>
  <c r="AA39"/>
  <c r="AD39"/>
  <c r="AD33"/>
  <c r="AA33"/>
  <c r="AA26"/>
  <c r="AD26"/>
  <c r="AD29"/>
  <c r="AA29"/>
  <c r="AD23"/>
  <c r="AA23"/>
  <c r="AD16"/>
  <c r="AA16"/>
  <c r="AA19"/>
  <c r="AD19"/>
  <c r="W14"/>
  <c r="W14" i="340"/>
  <c r="W14" i="343" s="1"/>
  <c r="W13" i="342"/>
  <c r="W13" i="340"/>
  <c r="W13" i="343" s="1"/>
  <c r="AA11" i="354"/>
  <c r="AB11"/>
  <c r="AA12"/>
  <c r="AB12"/>
  <c r="AB13" i="353"/>
  <c r="AA14"/>
  <c r="AD14"/>
  <c r="AA13"/>
  <c r="AD13"/>
  <c r="Z13" i="354"/>
  <c r="Y14"/>
  <c r="Y38" i="342"/>
  <c r="Y28"/>
  <c r="Y21"/>
  <c r="Y18"/>
  <c r="Y16" i="343"/>
  <c r="Z16"/>
  <c r="Z17"/>
  <c r="Y18"/>
  <c r="Z18"/>
  <c r="Y19"/>
  <c r="Z19"/>
  <c r="Y21"/>
  <c r="Z21"/>
  <c r="Z22"/>
  <c r="Y23"/>
  <c r="Z23"/>
  <c r="Y24"/>
  <c r="Z24"/>
  <c r="Y26"/>
  <c r="Z26"/>
  <c r="Z27"/>
  <c r="Y28"/>
  <c r="Z28"/>
  <c r="Y29"/>
  <c r="Z29"/>
  <c r="Y36"/>
  <c r="Z36"/>
  <c r="Z37"/>
  <c r="Y38"/>
  <c r="Z38"/>
  <c r="Y39"/>
  <c r="Z39"/>
  <c r="Y41"/>
  <c r="Z41"/>
  <c r="Z42"/>
  <c r="Y43"/>
  <c r="Z43"/>
  <c r="Y44"/>
  <c r="Z44"/>
  <c r="Y51"/>
  <c r="Z51"/>
  <c r="Z52"/>
  <c r="Y53"/>
  <c r="Z53"/>
  <c r="Y54"/>
  <c r="Z54"/>
  <c r="Y56"/>
  <c r="Z56"/>
  <c r="Z57"/>
  <c r="Y58"/>
  <c r="Z58"/>
  <c r="Y59"/>
  <c r="Z59"/>
  <c r="Z61"/>
  <c r="Z62"/>
  <c r="Z63"/>
  <c r="Z64"/>
  <c r="D14" i="340"/>
  <c r="W11" i="343" l="1"/>
  <c r="W12" s="1"/>
  <c r="S21" i="458" l="1"/>
  <c r="S20"/>
  <c r="M20"/>
  <c r="D20" s="1"/>
  <c r="S19"/>
  <c r="M19"/>
  <c r="D19" s="1"/>
  <c r="S18"/>
  <c r="M18"/>
  <c r="D18" s="1"/>
  <c r="S17"/>
  <c r="M17"/>
  <c r="D17" s="1"/>
  <c r="S16"/>
  <c r="M16"/>
  <c r="D16" s="1"/>
  <c r="C29"/>
  <c r="S15"/>
  <c r="M15"/>
  <c r="D15" s="1"/>
  <c r="S14"/>
  <c r="M14"/>
  <c r="D14" s="1"/>
  <c r="S13"/>
  <c r="M13"/>
  <c r="D13" s="1"/>
  <c r="S12"/>
  <c r="M12"/>
  <c r="D12" s="1"/>
  <c r="S11"/>
  <c r="M11"/>
  <c r="D11" s="1"/>
  <c r="S10"/>
  <c r="M10"/>
  <c r="D10" s="1"/>
  <c r="S9"/>
  <c r="M9"/>
  <c r="D9" s="1"/>
  <c r="S8"/>
  <c r="M8"/>
  <c r="D8" s="1"/>
  <c r="S7"/>
  <c r="M7"/>
  <c r="D7" s="1"/>
  <c r="S6"/>
  <c r="M6"/>
  <c r="D6" s="1"/>
  <c r="S5"/>
  <c r="M5"/>
  <c r="D5" s="1"/>
  <c r="A5"/>
  <c r="S4"/>
  <c r="M4"/>
  <c r="C4"/>
  <c r="C31" l="1"/>
  <c r="C35"/>
  <c r="C34"/>
  <c r="C27"/>
  <c r="C28"/>
  <c r="C30"/>
  <c r="J35" i="457" l="1"/>
  <c r="D35"/>
  <c r="C35"/>
  <c r="J34"/>
  <c r="D34"/>
  <c r="C34"/>
  <c r="H11" l="1"/>
  <c r="I10"/>
  <c r="I9"/>
  <c r="I38"/>
  <c r="B18" i="444"/>
  <c r="B17"/>
  <c r="B16"/>
  <c r="B15"/>
  <c r="B14"/>
  <c r="B13"/>
  <c r="B12"/>
  <c r="B11"/>
  <c r="B10"/>
  <c r="B9"/>
  <c r="B8"/>
  <c r="B7"/>
  <c r="B6"/>
  <c r="E5"/>
  <c r="B5"/>
  <c r="K17" i="443"/>
  <c r="H17"/>
  <c r="K16"/>
  <c r="H16"/>
  <c r="K15"/>
  <c r="H15"/>
  <c r="K14"/>
  <c r="H14"/>
  <c r="K13"/>
  <c r="H13"/>
  <c r="K12"/>
  <c r="H12"/>
  <c r="K11"/>
  <c r="H11"/>
  <c r="K10"/>
  <c r="H10"/>
  <c r="K9"/>
  <c r="H9"/>
  <c r="K8"/>
  <c r="H8"/>
  <c r="K7"/>
  <c r="H7"/>
  <c r="E7"/>
  <c r="K37" i="441"/>
  <c r="E37"/>
  <c r="K36"/>
  <c r="E36"/>
  <c r="K35"/>
  <c r="E35"/>
  <c r="K34"/>
  <c r="E34"/>
  <c r="K33"/>
  <c r="E33"/>
  <c r="K32"/>
  <c r="E32"/>
  <c r="K31"/>
  <c r="E31"/>
  <c r="K30"/>
  <c r="E30"/>
  <c r="K29"/>
  <c r="E29"/>
  <c r="K28"/>
  <c r="E28"/>
  <c r="K27"/>
  <c r="E27"/>
  <c r="K26"/>
  <c r="E26"/>
  <c r="K25"/>
  <c r="E25"/>
  <c r="K24"/>
  <c r="E24"/>
  <c r="K23"/>
  <c r="E23"/>
  <c r="K22"/>
  <c r="E22"/>
  <c r="K21"/>
  <c r="E21"/>
  <c r="K20"/>
  <c r="E20"/>
  <c r="K19"/>
  <c r="E19"/>
  <c r="K18"/>
  <c r="E18"/>
  <c r="K17"/>
  <c r="E17"/>
  <c r="K16"/>
  <c r="E16"/>
  <c r="K15"/>
  <c r="E15"/>
  <c r="K14"/>
  <c r="E14"/>
  <c r="K13"/>
  <c r="E13"/>
  <c r="K12"/>
  <c r="E12"/>
  <c r="K11"/>
  <c r="K41" s="1"/>
  <c r="E11"/>
  <c r="E41" s="1"/>
  <c r="K10"/>
  <c r="E10"/>
  <c r="K9"/>
  <c r="E9"/>
  <c r="K8"/>
  <c r="E8"/>
  <c r="K7"/>
  <c r="E7"/>
  <c r="K6"/>
  <c r="K40" s="1"/>
  <c r="E6"/>
  <c r="E40" s="1"/>
  <c r="CM14" i="427"/>
  <c r="CL14"/>
  <c r="CK14"/>
  <c r="CJ14"/>
  <c r="CH14"/>
  <c r="CG14"/>
  <c r="CF14"/>
  <c r="CE14"/>
  <c r="CB14"/>
  <c r="BZ14"/>
  <c r="BX14"/>
  <c r="BV14"/>
  <c r="BS14"/>
  <c r="BQ14"/>
  <c r="BO14"/>
  <c r="BM14"/>
  <c r="BJ14"/>
  <c r="BH14"/>
  <c r="BF14"/>
  <c r="BD14"/>
  <c r="BA14"/>
  <c r="AY14"/>
  <c r="AW14"/>
  <c r="AU14"/>
  <c r="AR14"/>
  <c r="AP14"/>
  <c r="AN14"/>
  <c r="AL14"/>
  <c r="AI14"/>
  <c r="AG14"/>
  <c r="AE14"/>
  <c r="AC14"/>
  <c r="Z14"/>
  <c r="X14"/>
  <c r="V14"/>
  <c r="T14"/>
  <c r="Q14"/>
  <c r="O14"/>
  <c r="M14"/>
  <c r="K14"/>
  <c r="H14"/>
  <c r="F14"/>
  <c r="D14"/>
  <c r="B14"/>
  <c r="CM13"/>
  <c r="CL13"/>
  <c r="CK13"/>
  <c r="CJ13"/>
  <c r="CH13"/>
  <c r="CG13"/>
  <c r="CF13"/>
  <c r="CE13"/>
  <c r="CB13"/>
  <c r="BZ13"/>
  <c r="BX13"/>
  <c r="BV13"/>
  <c r="BS13"/>
  <c r="BQ13"/>
  <c r="BO13"/>
  <c r="BM13"/>
  <c r="BJ13"/>
  <c r="BH13"/>
  <c r="BF13"/>
  <c r="BD13"/>
  <c r="BA13"/>
  <c r="AY13"/>
  <c r="AW13"/>
  <c r="AU13"/>
  <c r="AR13"/>
  <c r="AP13"/>
  <c r="AN13"/>
  <c r="AL13"/>
  <c r="AI13"/>
  <c r="AG13"/>
  <c r="AE13"/>
  <c r="AC13"/>
  <c r="Z13"/>
  <c r="X13"/>
  <c r="V13"/>
  <c r="T13"/>
  <c r="Q13"/>
  <c r="O13"/>
  <c r="M13"/>
  <c r="K13"/>
  <c r="H13"/>
  <c r="F13"/>
  <c r="D13"/>
  <c r="B13"/>
  <c r="CM12"/>
  <c r="CL12"/>
  <c r="CK12"/>
  <c r="CJ12"/>
  <c r="CH12"/>
  <c r="CG12"/>
  <c r="CF12"/>
  <c r="CE12"/>
  <c r="CB12"/>
  <c r="BZ12"/>
  <c r="BX12"/>
  <c r="BV12"/>
  <c r="BS12"/>
  <c r="BQ12"/>
  <c r="BO12"/>
  <c r="BM12"/>
  <c r="BJ12"/>
  <c r="BH12"/>
  <c r="BF12"/>
  <c r="BD12"/>
  <c r="BA12"/>
  <c r="AY12"/>
  <c r="AW12"/>
  <c r="AU12"/>
  <c r="AR12"/>
  <c r="AP12"/>
  <c r="AN12"/>
  <c r="AL12"/>
  <c r="AI12"/>
  <c r="AG12"/>
  <c r="AE12"/>
  <c r="AC12"/>
  <c r="Z12"/>
  <c r="X12"/>
  <c r="V12"/>
  <c r="T12"/>
  <c r="Q12"/>
  <c r="O12"/>
  <c r="M12"/>
  <c r="K12"/>
  <c r="H12"/>
  <c r="F12"/>
  <c r="D12"/>
  <c r="B12"/>
  <c r="CM11"/>
  <c r="CL11"/>
  <c r="CK11"/>
  <c r="CJ11"/>
  <c r="CH11"/>
  <c r="CG11"/>
  <c r="CF11"/>
  <c r="CE11"/>
  <c r="CB11"/>
  <c r="BZ11"/>
  <c r="BX11"/>
  <c r="BV11"/>
  <c r="BS11"/>
  <c r="BQ11"/>
  <c r="BO11"/>
  <c r="BM11"/>
  <c r="BJ11"/>
  <c r="BH11"/>
  <c r="BF11"/>
  <c r="BD11"/>
  <c r="BA11"/>
  <c r="AY11"/>
  <c r="AW11"/>
  <c r="AU11"/>
  <c r="AR11"/>
  <c r="AP11"/>
  <c r="AN11"/>
  <c r="AL11"/>
  <c r="AI11"/>
  <c r="AG11"/>
  <c r="AE11"/>
  <c r="AC11"/>
  <c r="Z11"/>
  <c r="X11"/>
  <c r="V11"/>
  <c r="T11"/>
  <c r="Q11"/>
  <c r="O11"/>
  <c r="M11"/>
  <c r="K11"/>
  <c r="H11"/>
  <c r="F11"/>
  <c r="D11"/>
  <c r="B11"/>
  <c r="CM10"/>
  <c r="CL10"/>
  <c r="CK10"/>
  <c r="CJ10"/>
  <c r="CH10"/>
  <c r="CG10"/>
  <c r="CF10"/>
  <c r="CE10"/>
  <c r="CB10"/>
  <c r="BZ10"/>
  <c r="BX10"/>
  <c r="BV10"/>
  <c r="BS10"/>
  <c r="BQ10"/>
  <c r="BO10"/>
  <c r="BM10"/>
  <c r="BJ10"/>
  <c r="BH10"/>
  <c r="BF10"/>
  <c r="BD10"/>
  <c r="BA10"/>
  <c r="AY10"/>
  <c r="AW10"/>
  <c r="AU10"/>
  <c r="AR10"/>
  <c r="AP10"/>
  <c r="AN10"/>
  <c r="AL10"/>
  <c r="AI10"/>
  <c r="AG10"/>
  <c r="AE10"/>
  <c r="AC10"/>
  <c r="Z10"/>
  <c r="X10"/>
  <c r="V10"/>
  <c r="T10"/>
  <c r="Q10"/>
  <c r="O10"/>
  <c r="M10"/>
  <c r="K10"/>
  <c r="H10"/>
  <c r="F10"/>
  <c r="D10"/>
  <c r="B10"/>
  <c r="CM9"/>
  <c r="CL9"/>
  <c r="CK9"/>
  <c r="CJ9"/>
  <c r="CH9"/>
  <c r="CG9"/>
  <c r="CF9"/>
  <c r="CE9"/>
  <c r="CB9"/>
  <c r="BZ9"/>
  <c r="BX9"/>
  <c r="BV9"/>
  <c r="BS9"/>
  <c r="BQ9"/>
  <c r="BO9"/>
  <c r="BM9"/>
  <c r="BJ9"/>
  <c r="BH9"/>
  <c r="BF9"/>
  <c r="BD9"/>
  <c r="BA9"/>
  <c r="AY9"/>
  <c r="AW9"/>
  <c r="AU9"/>
  <c r="AR9"/>
  <c r="AP9"/>
  <c r="AN9"/>
  <c r="AL9"/>
  <c r="AI9"/>
  <c r="AG9"/>
  <c r="AE9"/>
  <c r="AC9"/>
  <c r="Z9"/>
  <c r="X9"/>
  <c r="V9"/>
  <c r="T9"/>
  <c r="Q9"/>
  <c r="O9"/>
  <c r="M9"/>
  <c r="K9"/>
  <c r="H9"/>
  <c r="F9"/>
  <c r="D9"/>
  <c r="B9"/>
  <c r="CM8"/>
  <c r="CL8"/>
  <c r="CK8"/>
  <c r="CJ8"/>
  <c r="CH8"/>
  <c r="CG8"/>
  <c r="CF8"/>
  <c r="CE8"/>
  <c r="CB8"/>
  <c r="BZ8"/>
  <c r="BX8"/>
  <c r="BV8"/>
  <c r="BS8"/>
  <c r="BQ8"/>
  <c r="BO8"/>
  <c r="BM8"/>
  <c r="BJ8"/>
  <c r="BH8"/>
  <c r="BF8"/>
  <c r="BD8"/>
  <c r="BA8"/>
  <c r="AY8"/>
  <c r="AW8"/>
  <c r="AU8"/>
  <c r="AR8"/>
  <c r="AP8"/>
  <c r="AN8"/>
  <c r="AL8"/>
  <c r="AI8"/>
  <c r="AG8"/>
  <c r="AE8"/>
  <c r="AC8"/>
  <c r="Z8"/>
  <c r="X8"/>
  <c r="V8"/>
  <c r="T8"/>
  <c r="Q8"/>
  <c r="O8"/>
  <c r="M8"/>
  <c r="K8"/>
  <c r="H8"/>
  <c r="F8"/>
  <c r="D8"/>
  <c r="B8"/>
  <c r="CM7"/>
  <c r="CL7"/>
  <c r="CK7"/>
  <c r="CJ7"/>
  <c r="CH7"/>
  <c r="CG7"/>
  <c r="CF7"/>
  <c r="CE7"/>
  <c r="CB7"/>
  <c r="BZ7"/>
  <c r="BX7"/>
  <c r="BV7"/>
  <c r="BS7"/>
  <c r="BQ7"/>
  <c r="BO7"/>
  <c r="BM7"/>
  <c r="BJ7"/>
  <c r="BH7"/>
  <c r="BF7"/>
  <c r="BD7"/>
  <c r="BA7"/>
  <c r="AY7"/>
  <c r="AW7"/>
  <c r="AU7"/>
  <c r="AR7"/>
  <c r="AP7"/>
  <c r="AN7"/>
  <c r="AL7"/>
  <c r="AI7"/>
  <c r="AG7"/>
  <c r="AE7"/>
  <c r="AC7"/>
  <c r="Z7"/>
  <c r="X7"/>
  <c r="V7"/>
  <c r="T7"/>
  <c r="Q7"/>
  <c r="O7"/>
  <c r="M7"/>
  <c r="K7"/>
  <c r="H7"/>
  <c r="F7"/>
  <c r="D7"/>
  <c r="B7"/>
  <c r="CM6"/>
  <c r="CL6"/>
  <c r="CK6"/>
  <c r="CJ6"/>
  <c r="CH6"/>
  <c r="CG6"/>
  <c r="CF6"/>
  <c r="CE6"/>
  <c r="CB6"/>
  <c r="BZ6"/>
  <c r="BX6"/>
  <c r="BV6"/>
  <c r="BS6"/>
  <c r="BQ6"/>
  <c r="BO6"/>
  <c r="BM6"/>
  <c r="BJ6"/>
  <c r="BH6"/>
  <c r="BF6"/>
  <c r="BD6"/>
  <c r="BA6"/>
  <c r="AY6"/>
  <c r="AW6"/>
  <c r="AU6"/>
  <c r="AR6"/>
  <c r="AP6"/>
  <c r="AN6"/>
  <c r="AL6"/>
  <c r="AI6"/>
  <c r="AG6"/>
  <c r="AE6"/>
  <c r="AC6"/>
  <c r="Z6"/>
  <c r="X6"/>
  <c r="V6"/>
  <c r="T6"/>
  <c r="Q6"/>
  <c r="O6"/>
  <c r="M6"/>
  <c r="K6"/>
  <c r="H6"/>
  <c r="F6"/>
  <c r="D6"/>
  <c r="B6"/>
  <c r="CM5"/>
  <c r="CL5"/>
  <c r="CK5"/>
  <c r="CJ5"/>
  <c r="CH5"/>
  <c r="CG5"/>
  <c r="CF5"/>
  <c r="CE5"/>
  <c r="CB5"/>
  <c r="BZ5"/>
  <c r="BX5"/>
  <c r="BV5"/>
  <c r="BS5"/>
  <c r="BQ5"/>
  <c r="BO5"/>
  <c r="BM5"/>
  <c r="BJ5"/>
  <c r="BH5"/>
  <c r="BF5"/>
  <c r="BD5"/>
  <c r="BA5"/>
  <c r="AY5"/>
  <c r="AW5"/>
  <c r="AU5"/>
  <c r="AR5"/>
  <c r="AP5"/>
  <c r="AN5"/>
  <c r="AL5"/>
  <c r="AI5"/>
  <c r="AG5"/>
  <c r="AE5"/>
  <c r="AC5"/>
  <c r="Z5"/>
  <c r="X5"/>
  <c r="V5"/>
  <c r="T5"/>
  <c r="Q5"/>
  <c r="O5"/>
  <c r="M5"/>
  <c r="K5"/>
  <c r="H5"/>
  <c r="F5"/>
  <c r="D5"/>
  <c r="B5"/>
  <c r="H20" i="458" l="1"/>
  <c r="H16"/>
  <c r="H12"/>
  <c r="H8"/>
  <c r="H21"/>
  <c r="H17"/>
  <c r="H13"/>
  <c r="H9"/>
  <c r="H5"/>
  <c r="H22"/>
  <c r="H18"/>
  <c r="H14"/>
  <c r="H10"/>
  <c r="H6"/>
  <c r="H23"/>
  <c r="H19"/>
  <c r="H15"/>
  <c r="H11"/>
  <c r="H7"/>
  <c r="H4"/>
  <c r="H44" i="457"/>
  <c r="H41"/>
  <c r="H39"/>
  <c r="H24" i="458"/>
  <c r="H43" i="457"/>
  <c r="H40"/>
  <c r="H38"/>
  <c r="H37"/>
  <c r="H36"/>
  <c r="R4" i="458"/>
  <c r="I41" i="457"/>
  <c r="I44"/>
  <c r="I40"/>
  <c r="I43"/>
  <c r="R23" i="458"/>
  <c r="I23" s="1"/>
  <c r="R24"/>
  <c r="I24" s="1"/>
  <c r="I39" i="457"/>
  <c r="I36"/>
  <c r="I37"/>
  <c r="R22" i="458"/>
  <c r="I22" s="1"/>
  <c r="L6" i="441"/>
  <c r="L40" s="1"/>
  <c r="L7"/>
  <c r="L8"/>
  <c r="L9"/>
  <c r="L10"/>
  <c r="L11"/>
  <c r="L41" s="1"/>
  <c r="L12"/>
  <c r="L13"/>
  <c r="L14"/>
  <c r="L15"/>
  <c r="L16"/>
  <c r="L17"/>
  <c r="L18"/>
  <c r="L19"/>
  <c r="L20"/>
  <c r="L21"/>
  <c r="L22"/>
  <c r="L23"/>
  <c r="L24"/>
  <c r="L25"/>
  <c r="L26"/>
  <c r="L27"/>
  <c r="L28"/>
  <c r="L29"/>
  <c r="L30"/>
  <c r="L31"/>
  <c r="L32"/>
  <c r="L33"/>
  <c r="L34"/>
  <c r="L35"/>
  <c r="L36"/>
  <c r="L37"/>
  <c r="J5" i="427"/>
  <c r="S5"/>
  <c r="AB5"/>
  <c r="AK5"/>
  <c r="AT5"/>
  <c r="BC5"/>
  <c r="BL5"/>
  <c r="BU5"/>
  <c r="CD5"/>
  <c r="CI5"/>
  <c r="CN5"/>
  <c r="J6"/>
  <c r="S6"/>
  <c r="AB6"/>
  <c r="AK6"/>
  <c r="AT6"/>
  <c r="BC6"/>
  <c r="BL6"/>
  <c r="BU6"/>
  <c r="CD6"/>
  <c r="CI6"/>
  <c r="CN6"/>
  <c r="J7"/>
  <c r="S7"/>
  <c r="AB7"/>
  <c r="AK7"/>
  <c r="AT7"/>
  <c r="BC7"/>
  <c r="BL7"/>
  <c r="BU7"/>
  <c r="CD7"/>
  <c r="CI7"/>
  <c r="CN7"/>
  <c r="J8"/>
  <c r="S8"/>
  <c r="AB8"/>
  <c r="AK8"/>
  <c r="AT8"/>
  <c r="BC8"/>
  <c r="BL8"/>
  <c r="BU8"/>
  <c r="CD8"/>
  <c r="CI8"/>
  <c r="CN8"/>
  <c r="J9"/>
  <c r="S9"/>
  <c r="AB9"/>
  <c r="AK9"/>
  <c r="AT9"/>
  <c r="BC9"/>
  <c r="BL9"/>
  <c r="BU9"/>
  <c r="CD9"/>
  <c r="CI9"/>
  <c r="CN9"/>
  <c r="J10"/>
  <c r="S10"/>
  <c r="AB10"/>
  <c r="AK10"/>
  <c r="AT10"/>
  <c r="BC10"/>
  <c r="BL10"/>
  <c r="BU10"/>
  <c r="CD10"/>
  <c r="CI10"/>
  <c r="CN10"/>
  <c r="J11"/>
  <c r="S11"/>
  <c r="AB11"/>
  <c r="AK11"/>
  <c r="AT11"/>
  <c r="BC11"/>
  <c r="BL11"/>
  <c r="BU11"/>
  <c r="CD11"/>
  <c r="CI11"/>
  <c r="CN11"/>
  <c r="J12"/>
  <c r="S12"/>
  <c r="AB12"/>
  <c r="AK12"/>
  <c r="AT12"/>
  <c r="BC12"/>
  <c r="BL12"/>
  <c r="BU12"/>
  <c r="CD12"/>
  <c r="CI12"/>
  <c r="CN12"/>
  <c r="J13"/>
  <c r="S13"/>
  <c r="AB13"/>
  <c r="AK13"/>
  <c r="AT13"/>
  <c r="BC13"/>
  <c r="BL13"/>
  <c r="BU13"/>
  <c r="CD13"/>
  <c r="CI13"/>
  <c r="CN13"/>
  <c r="J14"/>
  <c r="S14"/>
  <c r="AB14"/>
  <c r="AK14"/>
  <c r="AT14"/>
  <c r="BC14"/>
  <c r="BL14"/>
  <c r="BU14"/>
  <c r="CD14"/>
  <c r="CI14"/>
  <c r="CN14"/>
  <c r="E4" i="457"/>
  <c r="D5" i="444"/>
  <c r="D6"/>
  <c r="E6"/>
  <c r="D7"/>
  <c r="E7"/>
  <c r="D8"/>
  <c r="E8"/>
  <c r="D9"/>
  <c r="E9"/>
  <c r="D10"/>
  <c r="E10"/>
  <c r="D11"/>
  <c r="E11"/>
  <c r="D12"/>
  <c r="E12"/>
  <c r="D13"/>
  <c r="E13"/>
  <c r="D14"/>
  <c r="E14"/>
  <c r="D15"/>
  <c r="E15"/>
  <c r="D16"/>
  <c r="E16"/>
  <c r="D17"/>
  <c r="E17"/>
  <c r="D18"/>
  <c r="E18"/>
  <c r="H35" i="457"/>
  <c r="R16" i="458"/>
  <c r="I16" s="1"/>
  <c r="I35" i="457"/>
  <c r="R5" i="458"/>
  <c r="I5" s="1"/>
  <c r="R6"/>
  <c r="I6" s="1"/>
  <c r="R7"/>
  <c r="I7" s="1"/>
  <c r="R8"/>
  <c r="I8" s="1"/>
  <c r="R9"/>
  <c r="I9" s="1"/>
  <c r="R10"/>
  <c r="I10" s="1"/>
  <c r="R11"/>
  <c r="I11" s="1"/>
  <c r="R12"/>
  <c r="I12" s="1"/>
  <c r="R13"/>
  <c r="I13" s="1"/>
  <c r="R14"/>
  <c r="I14" s="1"/>
  <c r="R15"/>
  <c r="I15" s="1"/>
  <c r="R17"/>
  <c r="I17" s="1"/>
  <c r="R18"/>
  <c r="I18" s="1"/>
  <c r="R19"/>
  <c r="I19" s="1"/>
  <c r="R20"/>
  <c r="I20" s="1"/>
  <c r="R21"/>
  <c r="I21" s="1"/>
  <c r="AR17" i="426"/>
  <c r="AN17"/>
  <c r="AJ17"/>
  <c r="AF17"/>
  <c r="AB17"/>
  <c r="X17"/>
  <c r="T17"/>
  <c r="P17"/>
  <c r="L17"/>
  <c r="H17"/>
  <c r="D17"/>
  <c r="AR16"/>
  <c r="AN16"/>
  <c r="AJ16"/>
  <c r="AF16"/>
  <c r="AB16"/>
  <c r="X16"/>
  <c r="T16"/>
  <c r="P16"/>
  <c r="L16"/>
  <c r="H16"/>
  <c r="D16"/>
  <c r="AR15"/>
  <c r="AN15"/>
  <c r="AJ15"/>
  <c r="AF15"/>
  <c r="AB15"/>
  <c r="X15"/>
  <c r="T15"/>
  <c r="P15"/>
  <c r="L15"/>
  <c r="H15"/>
  <c r="D15"/>
  <c r="AR14"/>
  <c r="AN14"/>
  <c r="AJ14"/>
  <c r="AF14"/>
  <c r="AB14"/>
  <c r="X14"/>
  <c r="T14"/>
  <c r="P14"/>
  <c r="L14"/>
  <c r="H14"/>
  <c r="D14"/>
  <c r="AR13"/>
  <c r="AN13"/>
  <c r="AJ13"/>
  <c r="AF13"/>
  <c r="AB13"/>
  <c r="X13"/>
  <c r="T13"/>
  <c r="P13"/>
  <c r="L13"/>
  <c r="H13"/>
  <c r="D13"/>
  <c r="AR12"/>
  <c r="AN12"/>
  <c r="AJ12"/>
  <c r="AF12"/>
  <c r="AB12"/>
  <c r="X12"/>
  <c r="T12"/>
  <c r="P12"/>
  <c r="L12"/>
  <c r="H12"/>
  <c r="D12"/>
  <c r="AR11"/>
  <c r="AN11"/>
  <c r="AJ11"/>
  <c r="AF11"/>
  <c r="AB11"/>
  <c r="X11"/>
  <c r="T11"/>
  <c r="P11"/>
  <c r="L11"/>
  <c r="H11"/>
  <c r="D11"/>
  <c r="AR10"/>
  <c r="AN10"/>
  <c r="AJ10"/>
  <c r="AF10"/>
  <c r="AB10"/>
  <c r="X10"/>
  <c r="T10"/>
  <c r="P10"/>
  <c r="L10"/>
  <c r="H10"/>
  <c r="D10"/>
  <c r="AR9"/>
  <c r="AN9"/>
  <c r="AJ9"/>
  <c r="AF9"/>
  <c r="AB9"/>
  <c r="X9"/>
  <c r="T9"/>
  <c r="P9"/>
  <c r="L9"/>
  <c r="H9"/>
  <c r="D9"/>
  <c r="AR8"/>
  <c r="AN8"/>
  <c r="AJ8"/>
  <c r="AF8"/>
  <c r="AB8"/>
  <c r="X8"/>
  <c r="T8"/>
  <c r="P8"/>
  <c r="L8"/>
  <c r="H8"/>
  <c r="D8"/>
  <c r="I27" i="458" l="1"/>
  <c r="I31"/>
  <c r="I35"/>
  <c r="I29"/>
  <c r="H35"/>
  <c r="H29"/>
  <c r="H31"/>
  <c r="E37" i="457"/>
  <c r="E36"/>
  <c r="E41"/>
  <c r="E43"/>
  <c r="E40"/>
  <c r="E24" i="458"/>
  <c r="E44" i="457"/>
  <c r="E39"/>
  <c r="E38"/>
  <c r="L37" i="442"/>
  <c r="J37"/>
  <c r="I37"/>
  <c r="H37"/>
  <c r="G37"/>
  <c r="F37"/>
  <c r="D37"/>
  <c r="C37"/>
  <c r="B37"/>
  <c r="L36"/>
  <c r="J36"/>
  <c r="I36"/>
  <c r="H36"/>
  <c r="G36"/>
  <c r="F36"/>
  <c r="D36"/>
  <c r="C36"/>
  <c r="B36"/>
  <c r="L35"/>
  <c r="J35"/>
  <c r="I35"/>
  <c r="H35"/>
  <c r="G35"/>
  <c r="F35"/>
  <c r="D35"/>
  <c r="C35"/>
  <c r="B35"/>
  <c r="L34"/>
  <c r="J34"/>
  <c r="I34"/>
  <c r="H34"/>
  <c r="G34"/>
  <c r="F34"/>
  <c r="D34"/>
  <c r="C34"/>
  <c r="B34"/>
  <c r="L33"/>
  <c r="J33"/>
  <c r="I33"/>
  <c r="H33"/>
  <c r="G33"/>
  <c r="F33"/>
  <c r="D33"/>
  <c r="C33"/>
  <c r="B33"/>
  <c r="L32"/>
  <c r="J32"/>
  <c r="I32"/>
  <c r="H32"/>
  <c r="G32"/>
  <c r="F32"/>
  <c r="D32"/>
  <c r="C32"/>
  <c r="B32"/>
  <c r="L31"/>
  <c r="J31"/>
  <c r="I31"/>
  <c r="H31"/>
  <c r="G31"/>
  <c r="F31"/>
  <c r="D31"/>
  <c r="C31"/>
  <c r="B31"/>
  <c r="L30"/>
  <c r="J30"/>
  <c r="I30"/>
  <c r="H30"/>
  <c r="G30"/>
  <c r="F30"/>
  <c r="D30"/>
  <c r="C30"/>
  <c r="B30"/>
  <c r="L29"/>
  <c r="J29"/>
  <c r="I29"/>
  <c r="H29"/>
  <c r="G29"/>
  <c r="F29"/>
  <c r="D29"/>
  <c r="C29"/>
  <c r="B29"/>
  <c r="L28"/>
  <c r="J28"/>
  <c r="I28"/>
  <c r="H28"/>
  <c r="G28"/>
  <c r="F28"/>
  <c r="D28"/>
  <c r="C28"/>
  <c r="B28"/>
  <c r="L27"/>
  <c r="J27"/>
  <c r="I27"/>
  <c r="H27"/>
  <c r="G27"/>
  <c r="F27"/>
  <c r="D27"/>
  <c r="C27"/>
  <c r="B27"/>
  <c r="L26"/>
  <c r="J26"/>
  <c r="I26"/>
  <c r="H26"/>
  <c r="G26"/>
  <c r="F26"/>
  <c r="D26"/>
  <c r="C26"/>
  <c r="B26"/>
  <c r="L25"/>
  <c r="J25"/>
  <c r="I25"/>
  <c r="H25"/>
  <c r="G25"/>
  <c r="F25"/>
  <c r="D25"/>
  <c r="C25"/>
  <c r="B25"/>
  <c r="L24"/>
  <c r="J24"/>
  <c r="I24"/>
  <c r="H24"/>
  <c r="G24"/>
  <c r="F24"/>
  <c r="D24"/>
  <c r="C24"/>
  <c r="B24"/>
  <c r="L23"/>
  <c r="J23"/>
  <c r="I23"/>
  <c r="H23"/>
  <c r="G23"/>
  <c r="F23"/>
  <c r="D23"/>
  <c r="C23"/>
  <c r="B23"/>
  <c r="L22"/>
  <c r="J22"/>
  <c r="I22"/>
  <c r="H22"/>
  <c r="G22"/>
  <c r="F22"/>
  <c r="D22"/>
  <c r="C22"/>
  <c r="B22"/>
  <c r="L21"/>
  <c r="J21"/>
  <c r="I21"/>
  <c r="H21"/>
  <c r="G21"/>
  <c r="F21"/>
  <c r="D21"/>
  <c r="C21"/>
  <c r="B21"/>
  <c r="L20"/>
  <c r="J20"/>
  <c r="I20"/>
  <c r="H20"/>
  <c r="G20"/>
  <c r="F20"/>
  <c r="D20"/>
  <c r="C20"/>
  <c r="B20"/>
  <c r="L19"/>
  <c r="J19"/>
  <c r="I19"/>
  <c r="H19"/>
  <c r="G19"/>
  <c r="F19"/>
  <c r="D19"/>
  <c r="C19"/>
  <c r="B19"/>
  <c r="L18"/>
  <c r="J18"/>
  <c r="I18"/>
  <c r="H18"/>
  <c r="G18"/>
  <c r="F18"/>
  <c r="D18"/>
  <c r="C18"/>
  <c r="B18"/>
  <c r="L17"/>
  <c r="J17"/>
  <c r="I17"/>
  <c r="H17"/>
  <c r="G17"/>
  <c r="F17"/>
  <c r="D17"/>
  <c r="C17"/>
  <c r="B17"/>
  <c r="L16"/>
  <c r="J16"/>
  <c r="I16"/>
  <c r="H16"/>
  <c r="G16"/>
  <c r="F16"/>
  <c r="D16"/>
  <c r="C16"/>
  <c r="B16"/>
  <c r="L15"/>
  <c r="J15"/>
  <c r="I15"/>
  <c r="H15"/>
  <c r="G15"/>
  <c r="F15"/>
  <c r="D15"/>
  <c r="C15"/>
  <c r="B15"/>
  <c r="L14"/>
  <c r="J14"/>
  <c r="I14"/>
  <c r="H14"/>
  <c r="G14"/>
  <c r="F14"/>
  <c r="D14"/>
  <c r="C14"/>
  <c r="B14"/>
  <c r="L13"/>
  <c r="J13"/>
  <c r="I13"/>
  <c r="H13"/>
  <c r="G13"/>
  <c r="F13"/>
  <c r="D13"/>
  <c r="C13"/>
  <c r="B13"/>
  <c r="L12"/>
  <c r="J12"/>
  <c r="I12"/>
  <c r="H12"/>
  <c r="G12"/>
  <c r="F12"/>
  <c r="D12"/>
  <c r="C12"/>
  <c r="B12"/>
  <c r="L11"/>
  <c r="L41" s="1"/>
  <c r="J11"/>
  <c r="J41" s="1"/>
  <c r="I11"/>
  <c r="I41" s="1"/>
  <c r="H11"/>
  <c r="H41" s="1"/>
  <c r="G11"/>
  <c r="G41" s="1"/>
  <c r="F11"/>
  <c r="F41" s="1"/>
  <c r="D11"/>
  <c r="D41" s="1"/>
  <c r="C11"/>
  <c r="C41" s="1"/>
  <c r="B11"/>
  <c r="B41" s="1"/>
  <c r="L10"/>
  <c r="J10"/>
  <c r="I10"/>
  <c r="H10"/>
  <c r="G10"/>
  <c r="F10"/>
  <c r="D10"/>
  <c r="C10"/>
  <c r="B10"/>
  <c r="L9"/>
  <c r="J9"/>
  <c r="I9"/>
  <c r="H9"/>
  <c r="G9"/>
  <c r="F9"/>
  <c r="D9"/>
  <c r="C9"/>
  <c r="B9"/>
  <c r="L8"/>
  <c r="J8"/>
  <c r="I8"/>
  <c r="H8"/>
  <c r="G8"/>
  <c r="F8"/>
  <c r="D8"/>
  <c r="C8"/>
  <c r="B8"/>
  <c r="L7"/>
  <c r="J7"/>
  <c r="I7"/>
  <c r="H7"/>
  <c r="G7"/>
  <c r="F7"/>
  <c r="D7"/>
  <c r="C7"/>
  <c r="B7"/>
  <c r="L6"/>
  <c r="L40" s="1"/>
  <c r="J6"/>
  <c r="J40" s="1"/>
  <c r="I6"/>
  <c r="I40" s="1"/>
  <c r="H6"/>
  <c r="H40" s="1"/>
  <c r="G6"/>
  <c r="G40" s="1"/>
  <c r="F6"/>
  <c r="F40" s="1"/>
  <c r="D6"/>
  <c r="D40" s="1"/>
  <c r="C6"/>
  <c r="C40" s="1"/>
  <c r="B6"/>
  <c r="B40" s="1"/>
  <c r="K37"/>
  <c r="E37"/>
  <c r="K36"/>
  <c r="E36"/>
  <c r="K35"/>
  <c r="E35"/>
  <c r="K34"/>
  <c r="E34"/>
  <c r="K33"/>
  <c r="E33"/>
  <c r="K32"/>
  <c r="E32"/>
  <c r="K31"/>
  <c r="E31"/>
  <c r="K30"/>
  <c r="E30"/>
  <c r="K29"/>
  <c r="E29"/>
  <c r="K28"/>
  <c r="E28"/>
  <c r="K27"/>
  <c r="E27"/>
  <c r="K26"/>
  <c r="E26"/>
  <c r="K25"/>
  <c r="E25"/>
  <c r="K24"/>
  <c r="E24"/>
  <c r="K23"/>
  <c r="E23"/>
  <c r="K22"/>
  <c r="E22"/>
  <c r="K21"/>
  <c r="E21"/>
  <c r="K20"/>
  <c r="E20"/>
  <c r="K19"/>
  <c r="E19"/>
  <c r="K18"/>
  <c r="E18"/>
  <c r="K17"/>
  <c r="E17"/>
  <c r="K16"/>
  <c r="E16"/>
  <c r="K15"/>
  <c r="E15"/>
  <c r="K14"/>
  <c r="E14"/>
  <c r="K13"/>
  <c r="E13"/>
  <c r="K12"/>
  <c r="E12"/>
  <c r="K11"/>
  <c r="K41" s="1"/>
  <c r="E11"/>
  <c r="E41" s="1"/>
  <c r="K10"/>
  <c r="E10"/>
  <c r="K9"/>
  <c r="E9"/>
  <c r="K8"/>
  <c r="E8"/>
  <c r="K7"/>
  <c r="E7"/>
  <c r="K6"/>
  <c r="K40" s="1"/>
  <c r="E6"/>
  <c r="E40" s="1"/>
  <c r="A6" i="458"/>
  <c r="A7" s="1"/>
  <c r="A8" s="1"/>
  <c r="A9" s="1"/>
  <c r="A10" s="1"/>
  <c r="A11" s="1"/>
  <c r="A12" s="1"/>
  <c r="A13" s="1"/>
  <c r="A14" s="1"/>
  <c r="A15" s="1"/>
  <c r="A16" s="1"/>
  <c r="A17" s="1"/>
  <c r="A18" s="1"/>
  <c r="A19" s="1"/>
  <c r="A20" s="1"/>
  <c r="A21" s="1"/>
  <c r="I34"/>
  <c r="I30"/>
  <c r="I28"/>
  <c r="H34"/>
  <c r="H30"/>
  <c r="H28"/>
  <c r="E35" i="457"/>
  <c r="E4" i="458"/>
  <c r="D4" s="1"/>
  <c r="H27"/>
  <c r="E34" i="457"/>
  <c r="BB17" i="425"/>
  <c r="BA17"/>
  <c r="AZ17"/>
  <c r="AW17"/>
  <c r="AV17"/>
  <c r="AU17"/>
  <c r="AR17"/>
  <c r="AQ17"/>
  <c r="AP17"/>
  <c r="AM17"/>
  <c r="AL17"/>
  <c r="AK17"/>
  <c r="AH17"/>
  <c r="AG17"/>
  <c r="AF17"/>
  <c r="AC17"/>
  <c r="AB17"/>
  <c r="AA17"/>
  <c r="X17"/>
  <c r="W17"/>
  <c r="V17"/>
  <c r="S17"/>
  <c r="R17"/>
  <c r="Q17"/>
  <c r="N17"/>
  <c r="M17"/>
  <c r="L17"/>
  <c r="I17"/>
  <c r="H17"/>
  <c r="G17"/>
  <c r="D17"/>
  <c r="C17"/>
  <c r="B17"/>
  <c r="BB16"/>
  <c r="BA16"/>
  <c r="AZ16"/>
  <c r="AW16"/>
  <c r="AV16"/>
  <c r="AU16"/>
  <c r="AR16"/>
  <c r="AQ16"/>
  <c r="AP16"/>
  <c r="AM16"/>
  <c r="AL16"/>
  <c r="AK16"/>
  <c r="AH16"/>
  <c r="AG16"/>
  <c r="AF16"/>
  <c r="AC16"/>
  <c r="AB16"/>
  <c r="AA16"/>
  <c r="X16"/>
  <c r="W16"/>
  <c r="V16"/>
  <c r="S16"/>
  <c r="R16"/>
  <c r="Q16"/>
  <c r="N16"/>
  <c r="M16"/>
  <c r="L16"/>
  <c r="I16"/>
  <c r="H16"/>
  <c r="G16"/>
  <c r="D16"/>
  <c r="C16"/>
  <c r="B16"/>
  <c r="BB15"/>
  <c r="BA15"/>
  <c r="AZ15"/>
  <c r="AW15"/>
  <c r="AV15"/>
  <c r="AU15"/>
  <c r="AR15"/>
  <c r="AQ15"/>
  <c r="AP15"/>
  <c r="AM15"/>
  <c r="AL15"/>
  <c r="AK15"/>
  <c r="AH15"/>
  <c r="AG15"/>
  <c r="AF15"/>
  <c r="AC15"/>
  <c r="AB15"/>
  <c r="AA15"/>
  <c r="X15"/>
  <c r="W15"/>
  <c r="V15"/>
  <c r="S15"/>
  <c r="R15"/>
  <c r="Q15"/>
  <c r="N15"/>
  <c r="M15"/>
  <c r="L15"/>
  <c r="I15"/>
  <c r="H15"/>
  <c r="G15"/>
  <c r="D15"/>
  <c r="C15"/>
  <c r="B15"/>
  <c r="BB14"/>
  <c r="BA14"/>
  <c r="AZ14"/>
  <c r="AW14"/>
  <c r="AV14"/>
  <c r="AU14"/>
  <c r="AR14"/>
  <c r="AQ14"/>
  <c r="AP14"/>
  <c r="AM14"/>
  <c r="AL14"/>
  <c r="AK14"/>
  <c r="AH14"/>
  <c r="AG14"/>
  <c r="AF14"/>
  <c r="AC14"/>
  <c r="AB14"/>
  <c r="AA14"/>
  <c r="X14"/>
  <c r="W14"/>
  <c r="V14"/>
  <c r="S14"/>
  <c r="R14"/>
  <c r="Q14"/>
  <c r="N14"/>
  <c r="M14"/>
  <c r="L14"/>
  <c r="I14"/>
  <c r="H14"/>
  <c r="G14"/>
  <c r="D14"/>
  <c r="C14"/>
  <c r="B14"/>
  <c r="BB13"/>
  <c r="BA13"/>
  <c r="AZ13"/>
  <c r="AW13"/>
  <c r="AV13"/>
  <c r="AU13"/>
  <c r="AR13"/>
  <c r="AQ13"/>
  <c r="AP13"/>
  <c r="AM13"/>
  <c r="AL13"/>
  <c r="AK13"/>
  <c r="AH13"/>
  <c r="AG13"/>
  <c r="AF13"/>
  <c r="AC13"/>
  <c r="AB13"/>
  <c r="AA13"/>
  <c r="X13"/>
  <c r="W13"/>
  <c r="V13"/>
  <c r="S13"/>
  <c r="R13"/>
  <c r="Q13"/>
  <c r="N13"/>
  <c r="M13"/>
  <c r="L13"/>
  <c r="I13"/>
  <c r="H13"/>
  <c r="G13"/>
  <c r="D13"/>
  <c r="C13"/>
  <c r="B13"/>
  <c r="BB12"/>
  <c r="BA12"/>
  <c r="AZ12"/>
  <c r="AW12"/>
  <c r="AV12"/>
  <c r="AU12"/>
  <c r="AR12"/>
  <c r="AQ12"/>
  <c r="AP12"/>
  <c r="AM12"/>
  <c r="AL12"/>
  <c r="AK12"/>
  <c r="AH12"/>
  <c r="AG12"/>
  <c r="AF12"/>
  <c r="AC12"/>
  <c r="AB12"/>
  <c r="AA12"/>
  <c r="X12"/>
  <c r="W12"/>
  <c r="V12"/>
  <c r="S12"/>
  <c r="R12"/>
  <c r="Q12"/>
  <c r="N12"/>
  <c r="M12"/>
  <c r="L12"/>
  <c r="I12"/>
  <c r="H12"/>
  <c r="G12"/>
  <c r="D12"/>
  <c r="C12"/>
  <c r="B12"/>
  <c r="BB11"/>
  <c r="BA11"/>
  <c r="AZ11"/>
  <c r="AW11"/>
  <c r="AV11"/>
  <c r="AU11"/>
  <c r="AR11"/>
  <c r="AQ11"/>
  <c r="AP11"/>
  <c r="AM11"/>
  <c r="AL11"/>
  <c r="AK11"/>
  <c r="AH11"/>
  <c r="AG11"/>
  <c r="AF11"/>
  <c r="AC11"/>
  <c r="AB11"/>
  <c r="AA11"/>
  <c r="X11"/>
  <c r="W11"/>
  <c r="V11"/>
  <c r="S11"/>
  <c r="R11"/>
  <c r="Q11"/>
  <c r="N11"/>
  <c r="M11"/>
  <c r="L11"/>
  <c r="I11"/>
  <c r="H11"/>
  <c r="G11"/>
  <c r="D11"/>
  <c r="C11"/>
  <c r="B11"/>
  <c r="BB10"/>
  <c r="BA10"/>
  <c r="AZ10"/>
  <c r="AW10"/>
  <c r="AV10"/>
  <c r="AU10"/>
  <c r="AR10"/>
  <c r="AQ10"/>
  <c r="AP10"/>
  <c r="AM10"/>
  <c r="AL10"/>
  <c r="AK10"/>
  <c r="AH10"/>
  <c r="AG10"/>
  <c r="AF10"/>
  <c r="AC10"/>
  <c r="AB10"/>
  <c r="AA10"/>
  <c r="X10"/>
  <c r="W10"/>
  <c r="V10"/>
  <c r="S10"/>
  <c r="R10"/>
  <c r="Q10"/>
  <c r="N10"/>
  <c r="M10"/>
  <c r="L10"/>
  <c r="I10"/>
  <c r="H10"/>
  <c r="G10"/>
  <c r="D10"/>
  <c r="C10"/>
  <c r="B10"/>
  <c r="BB9"/>
  <c r="BA9"/>
  <c r="AZ9"/>
  <c r="AW9"/>
  <c r="AV9"/>
  <c r="AU9"/>
  <c r="AR9"/>
  <c r="AQ9"/>
  <c r="AP9"/>
  <c r="AM9"/>
  <c r="AL9"/>
  <c r="AK9"/>
  <c r="AH9"/>
  <c r="AG9"/>
  <c r="AF9"/>
  <c r="AC9"/>
  <c r="AB9"/>
  <c r="AA9"/>
  <c r="X9"/>
  <c r="W9"/>
  <c r="V9"/>
  <c r="S9"/>
  <c r="R9"/>
  <c r="Q9"/>
  <c r="N9"/>
  <c r="M9"/>
  <c r="L9"/>
  <c r="I9"/>
  <c r="H9"/>
  <c r="G9"/>
  <c r="D9"/>
  <c r="C9"/>
  <c r="B9"/>
  <c r="BB8"/>
  <c r="BA8"/>
  <c r="AZ8"/>
  <c r="AW8"/>
  <c r="AV8"/>
  <c r="AU8"/>
  <c r="AR8"/>
  <c r="AQ8"/>
  <c r="AP8"/>
  <c r="AM8"/>
  <c r="AL8"/>
  <c r="AK8"/>
  <c r="AH8"/>
  <c r="AG8"/>
  <c r="AF8"/>
  <c r="AC8"/>
  <c r="AB8"/>
  <c r="AA8"/>
  <c r="X8"/>
  <c r="W8"/>
  <c r="V8"/>
  <c r="S8"/>
  <c r="R8"/>
  <c r="Q8"/>
  <c r="N8"/>
  <c r="M8"/>
  <c r="L8"/>
  <c r="I8"/>
  <c r="H8"/>
  <c r="G8"/>
  <c r="D8"/>
  <c r="C8"/>
  <c r="B8"/>
  <c r="D49" i="424"/>
  <c r="V15"/>
  <c r="T15"/>
  <c r="R15"/>
  <c r="P15"/>
  <c r="N15"/>
  <c r="L15"/>
  <c r="J15"/>
  <c r="H15"/>
  <c r="F15"/>
  <c r="D15"/>
  <c r="B15"/>
  <c r="V14"/>
  <c r="T14"/>
  <c r="R14"/>
  <c r="P14"/>
  <c r="N14"/>
  <c r="L14"/>
  <c r="J14"/>
  <c r="H14"/>
  <c r="F14"/>
  <c r="D14"/>
  <c r="B14"/>
  <c r="V13"/>
  <c r="T13"/>
  <c r="R13"/>
  <c r="P13"/>
  <c r="N13"/>
  <c r="L13"/>
  <c r="J13"/>
  <c r="H13"/>
  <c r="F13"/>
  <c r="D13"/>
  <c r="B13"/>
  <c r="V12"/>
  <c r="T12"/>
  <c r="R12"/>
  <c r="P12"/>
  <c r="N12"/>
  <c r="L12"/>
  <c r="J12"/>
  <c r="H12"/>
  <c r="F12"/>
  <c r="D12"/>
  <c r="B12"/>
  <c r="V11"/>
  <c r="T11"/>
  <c r="R11"/>
  <c r="P11"/>
  <c r="N11"/>
  <c r="L11"/>
  <c r="J11"/>
  <c r="H11"/>
  <c r="F11"/>
  <c r="D11"/>
  <c r="B11"/>
  <c r="V10"/>
  <c r="T10"/>
  <c r="R10"/>
  <c r="P10"/>
  <c r="N10"/>
  <c r="L10"/>
  <c r="J10"/>
  <c r="H10"/>
  <c r="F10"/>
  <c r="D10"/>
  <c r="B10"/>
  <c r="V9"/>
  <c r="T9"/>
  <c r="R9"/>
  <c r="P9"/>
  <c r="N9"/>
  <c r="L9"/>
  <c r="J9"/>
  <c r="H9"/>
  <c r="F9"/>
  <c r="D9"/>
  <c r="B9"/>
  <c r="V8"/>
  <c r="T8"/>
  <c r="R8"/>
  <c r="P8"/>
  <c r="N8"/>
  <c r="L8"/>
  <c r="J8"/>
  <c r="H8"/>
  <c r="F8"/>
  <c r="D8"/>
  <c r="B8"/>
  <c r="V7"/>
  <c r="T7"/>
  <c r="R7"/>
  <c r="P7"/>
  <c r="N7"/>
  <c r="L7"/>
  <c r="J7"/>
  <c r="H7"/>
  <c r="F7"/>
  <c r="D7"/>
  <c r="B7"/>
  <c r="V6"/>
  <c r="T6"/>
  <c r="R6"/>
  <c r="P6"/>
  <c r="N6"/>
  <c r="L6"/>
  <c r="J6"/>
  <c r="H6"/>
  <c r="F6"/>
  <c r="D6"/>
  <c r="B6"/>
  <c r="BW17" i="423"/>
  <c r="BV17"/>
  <c r="BT17"/>
  <c r="BP17"/>
  <c r="BO17"/>
  <c r="BM17"/>
  <c r="BI17"/>
  <c r="BH17"/>
  <c r="BF17"/>
  <c r="BB17"/>
  <c r="BA17"/>
  <c r="AY17"/>
  <c r="AU17"/>
  <c r="AT17"/>
  <c r="AR17"/>
  <c r="AN17"/>
  <c r="AM17"/>
  <c r="AK17"/>
  <c r="AG17"/>
  <c r="AF17"/>
  <c r="AD17"/>
  <c r="Z17"/>
  <c r="Y17"/>
  <c r="W17"/>
  <c r="S17"/>
  <c r="R17"/>
  <c r="P17"/>
  <c r="L17"/>
  <c r="K17"/>
  <c r="I17"/>
  <c r="E17"/>
  <c r="D17"/>
  <c r="B17"/>
  <c r="BW16"/>
  <c r="BV16"/>
  <c r="BT16"/>
  <c r="BP16"/>
  <c r="BO16"/>
  <c r="BM16"/>
  <c r="BI16"/>
  <c r="BH16"/>
  <c r="BF16"/>
  <c r="BB16"/>
  <c r="BA16"/>
  <c r="AY16"/>
  <c r="AU16"/>
  <c r="AT16"/>
  <c r="AR16"/>
  <c r="AN16"/>
  <c r="AM16"/>
  <c r="AK16"/>
  <c r="AG16"/>
  <c r="AF16"/>
  <c r="AD16"/>
  <c r="Z16"/>
  <c r="Y16"/>
  <c r="W16"/>
  <c r="S16"/>
  <c r="R16"/>
  <c r="P16"/>
  <c r="L16"/>
  <c r="K16"/>
  <c r="I16"/>
  <c r="E16"/>
  <c r="D16"/>
  <c r="B16"/>
  <c r="BW15"/>
  <c r="BV15"/>
  <c r="BT15"/>
  <c r="BP15"/>
  <c r="BO15"/>
  <c r="BM15"/>
  <c r="BI15"/>
  <c r="BH15"/>
  <c r="BF15"/>
  <c r="BB15"/>
  <c r="BA15"/>
  <c r="AY15"/>
  <c r="AU15"/>
  <c r="AT15"/>
  <c r="AR15"/>
  <c r="AN15"/>
  <c r="AM15"/>
  <c r="AK15"/>
  <c r="AG15"/>
  <c r="AF15"/>
  <c r="AD15"/>
  <c r="Z15"/>
  <c r="Y15"/>
  <c r="W15"/>
  <c r="S15"/>
  <c r="R15"/>
  <c r="P15"/>
  <c r="L15"/>
  <c r="K15"/>
  <c r="I15"/>
  <c r="E15"/>
  <c r="D15"/>
  <c r="B15"/>
  <c r="BW14"/>
  <c r="BV14"/>
  <c r="BT14"/>
  <c r="BP14"/>
  <c r="BO14"/>
  <c r="BM14"/>
  <c r="BI14"/>
  <c r="BH14"/>
  <c r="BF14"/>
  <c r="BB14"/>
  <c r="BA14"/>
  <c r="AY14"/>
  <c r="AU14"/>
  <c r="AT14"/>
  <c r="AR14"/>
  <c r="AN14"/>
  <c r="AM14"/>
  <c r="AK14"/>
  <c r="AG14"/>
  <c r="AF14"/>
  <c r="AD14"/>
  <c r="Z14"/>
  <c r="Y14"/>
  <c r="W14"/>
  <c r="S14"/>
  <c r="R14"/>
  <c r="P14"/>
  <c r="L14"/>
  <c r="K14"/>
  <c r="I14"/>
  <c r="E14"/>
  <c r="D14"/>
  <c r="B14"/>
  <c r="BW13"/>
  <c r="BV13"/>
  <c r="BT13"/>
  <c r="BP13"/>
  <c r="BO13"/>
  <c r="BM13"/>
  <c r="BI13"/>
  <c r="BH13"/>
  <c r="BF13"/>
  <c r="BB13"/>
  <c r="BA13"/>
  <c r="AY13"/>
  <c r="AU13"/>
  <c r="AT13"/>
  <c r="AR13"/>
  <c r="AN13"/>
  <c r="AM13"/>
  <c r="AK13"/>
  <c r="AG13"/>
  <c r="AF13"/>
  <c r="AD13"/>
  <c r="Z13"/>
  <c r="Y13"/>
  <c r="W13"/>
  <c r="S13"/>
  <c r="R13"/>
  <c r="P13"/>
  <c r="L13"/>
  <c r="K13"/>
  <c r="I13"/>
  <c r="E13"/>
  <c r="D13"/>
  <c r="B13"/>
  <c r="BW12"/>
  <c r="BV12"/>
  <c r="BT12"/>
  <c r="BP12"/>
  <c r="BO12"/>
  <c r="BM12"/>
  <c r="BI12"/>
  <c r="BH12"/>
  <c r="BF12"/>
  <c r="BB12"/>
  <c r="BA12"/>
  <c r="AY12"/>
  <c r="AU12"/>
  <c r="AT12"/>
  <c r="AR12"/>
  <c r="AN12"/>
  <c r="AM12"/>
  <c r="AK12"/>
  <c r="AG12"/>
  <c r="AF12"/>
  <c r="AD12"/>
  <c r="Z12"/>
  <c r="Y12"/>
  <c r="W12"/>
  <c r="S12"/>
  <c r="R12"/>
  <c r="P12"/>
  <c r="L12"/>
  <c r="K12"/>
  <c r="I12"/>
  <c r="E12"/>
  <c r="D12"/>
  <c r="B12"/>
  <c r="BW11"/>
  <c r="BV11"/>
  <c r="BT11"/>
  <c r="BP11"/>
  <c r="BO11"/>
  <c r="BM11"/>
  <c r="BI11"/>
  <c r="BH11"/>
  <c r="BF11"/>
  <c r="BB11"/>
  <c r="BA11"/>
  <c r="AY11"/>
  <c r="AU11"/>
  <c r="AT11"/>
  <c r="AR11"/>
  <c r="AN11"/>
  <c r="AM11"/>
  <c r="AK11"/>
  <c r="AG11"/>
  <c r="AF11"/>
  <c r="AD11"/>
  <c r="Z11"/>
  <c r="Y11"/>
  <c r="W11"/>
  <c r="S11"/>
  <c r="R11"/>
  <c r="P11"/>
  <c r="L11"/>
  <c r="K11"/>
  <c r="I11"/>
  <c r="E11"/>
  <c r="D11"/>
  <c r="B11"/>
  <c r="BW10"/>
  <c r="BV10"/>
  <c r="BT10"/>
  <c r="BP10"/>
  <c r="BO10"/>
  <c r="BM10"/>
  <c r="BI10"/>
  <c r="BH10"/>
  <c r="BF10"/>
  <c r="BB10"/>
  <c r="BA10"/>
  <c r="AY10"/>
  <c r="AU10"/>
  <c r="AT10"/>
  <c r="AR10"/>
  <c r="AN10"/>
  <c r="AM10"/>
  <c r="AK10"/>
  <c r="AG10"/>
  <c r="AF10"/>
  <c r="AD10"/>
  <c r="Z10"/>
  <c r="Y10"/>
  <c r="W10"/>
  <c r="S10"/>
  <c r="R10"/>
  <c r="P10"/>
  <c r="L10"/>
  <c r="K10"/>
  <c r="I10"/>
  <c r="E10"/>
  <c r="D10"/>
  <c r="B10"/>
  <c r="BW9"/>
  <c r="BV9"/>
  <c r="BT9"/>
  <c r="BP9"/>
  <c r="BO9"/>
  <c r="BM9"/>
  <c r="BI9"/>
  <c r="BH9"/>
  <c r="BF9"/>
  <c r="BB9"/>
  <c r="BA9"/>
  <c r="AY9"/>
  <c r="AU9"/>
  <c r="AT9"/>
  <c r="AR9"/>
  <c r="AN9"/>
  <c r="AM9"/>
  <c r="AK9"/>
  <c r="AG9"/>
  <c r="AF9"/>
  <c r="AD9"/>
  <c r="Z9"/>
  <c r="Y9"/>
  <c r="W9"/>
  <c r="S9"/>
  <c r="R9"/>
  <c r="P9"/>
  <c r="L9"/>
  <c r="K9"/>
  <c r="I9"/>
  <c r="E9"/>
  <c r="D9"/>
  <c r="B9"/>
  <c r="BW8"/>
  <c r="BV8"/>
  <c r="BT8"/>
  <c r="BP8"/>
  <c r="BO8"/>
  <c r="BM8"/>
  <c r="BI8"/>
  <c r="BH8"/>
  <c r="BF8"/>
  <c r="BB8"/>
  <c r="BA8"/>
  <c r="AY8"/>
  <c r="AU8"/>
  <c r="AT8"/>
  <c r="AR8"/>
  <c r="AN8"/>
  <c r="AM8"/>
  <c r="AK8"/>
  <c r="AG8"/>
  <c r="AF8"/>
  <c r="AD8"/>
  <c r="Z8"/>
  <c r="Y8"/>
  <c r="W8"/>
  <c r="S8"/>
  <c r="R8"/>
  <c r="P8"/>
  <c r="L8"/>
  <c r="K8"/>
  <c r="I8"/>
  <c r="E8"/>
  <c r="D8"/>
  <c r="B8"/>
  <c r="M46" i="352"/>
  <c r="L46"/>
  <c r="K46"/>
  <c r="J46"/>
  <c r="I46"/>
  <c r="H46"/>
  <c r="G46"/>
  <c r="F46"/>
  <c r="E46"/>
  <c r="D46"/>
  <c r="C46"/>
  <c r="B46"/>
  <c r="M45"/>
  <c r="L45"/>
  <c r="K45"/>
  <c r="J45"/>
  <c r="I45"/>
  <c r="H45"/>
  <c r="G45"/>
  <c r="F45"/>
  <c r="E45"/>
  <c r="D45"/>
  <c r="C45"/>
  <c r="B45"/>
  <c r="K32" i="351"/>
  <c r="J32"/>
  <c r="O36" i="350"/>
  <c r="O35"/>
  <c r="O34"/>
  <c r="O33"/>
  <c r="O32"/>
  <c r="G32"/>
  <c r="E32"/>
  <c r="G30"/>
  <c r="E30"/>
  <c r="G29"/>
  <c r="E29"/>
  <c r="G28"/>
  <c r="E28"/>
  <c r="G27"/>
  <c r="E27"/>
  <c r="G26"/>
  <c r="P31" s="1"/>
  <c r="E26"/>
  <c r="G25"/>
  <c r="E25"/>
  <c r="G24"/>
  <c r="E24"/>
  <c r="G23"/>
  <c r="P30" s="1"/>
  <c r="E23"/>
  <c r="G22"/>
  <c r="E22"/>
  <c r="C37" i="349"/>
  <c r="B37"/>
  <c r="C36"/>
  <c r="B36"/>
  <c r="G30"/>
  <c r="E30"/>
  <c r="D30"/>
  <c r="G29"/>
  <c r="E29"/>
  <c r="D29"/>
  <c r="G28"/>
  <c r="E28"/>
  <c r="D28"/>
  <c r="G27"/>
  <c r="E27"/>
  <c r="D27"/>
  <c r="G26"/>
  <c r="E26"/>
  <c r="D26"/>
  <c r="G25"/>
  <c r="E25"/>
  <c r="D25"/>
  <c r="G24"/>
  <c r="E24"/>
  <c r="D24"/>
  <c r="G23"/>
  <c r="G38" s="1"/>
  <c r="E23"/>
  <c r="E38" s="1"/>
  <c r="D23"/>
  <c r="D38" s="1"/>
  <c r="G22"/>
  <c r="E22"/>
  <c r="D22"/>
  <c r="G21"/>
  <c r="E21"/>
  <c r="D21"/>
  <c r="G20"/>
  <c r="E20"/>
  <c r="D20"/>
  <c r="G19"/>
  <c r="E19"/>
  <c r="D19"/>
  <c r="G18"/>
  <c r="E18"/>
  <c r="D18"/>
  <c r="G17"/>
  <c r="E17"/>
  <c r="D17"/>
  <c r="G16"/>
  <c r="E16"/>
  <c r="D16"/>
  <c r="G15"/>
  <c r="E15"/>
  <c r="D15"/>
  <c r="G14"/>
  <c r="E14"/>
  <c r="D14"/>
  <c r="G13"/>
  <c r="E13"/>
  <c r="D13"/>
  <c r="G12"/>
  <c r="E12"/>
  <c r="D12"/>
  <c r="G11"/>
  <c r="E11"/>
  <c r="D11"/>
  <c r="G10"/>
  <c r="E10"/>
  <c r="D10"/>
  <c r="G9"/>
  <c r="E9"/>
  <c r="D9"/>
  <c r="G8"/>
  <c r="E8"/>
  <c r="D8"/>
  <c r="G7"/>
  <c r="E7"/>
  <c r="D7"/>
  <c r="G6"/>
  <c r="E6"/>
  <c r="D6"/>
  <c r="G5"/>
  <c r="E5"/>
  <c r="D5"/>
  <c r="G4"/>
  <c r="E4"/>
  <c r="D4"/>
  <c r="M31" i="348"/>
  <c r="L31"/>
  <c r="K31"/>
  <c r="J31"/>
  <c r="H31"/>
  <c r="G31"/>
  <c r="F31"/>
  <c r="E31"/>
  <c r="D31"/>
  <c r="C31"/>
  <c r="B31"/>
  <c r="M30"/>
  <c r="L30"/>
  <c r="K30"/>
  <c r="J30"/>
  <c r="H30"/>
  <c r="G30"/>
  <c r="F30"/>
  <c r="E30"/>
  <c r="D30"/>
  <c r="C30"/>
  <c r="B30"/>
  <c r="M29"/>
  <c r="L29"/>
  <c r="K29"/>
  <c r="J29"/>
  <c r="H29"/>
  <c r="G29"/>
  <c r="F29"/>
  <c r="E29"/>
  <c r="D29"/>
  <c r="C29"/>
  <c r="B29"/>
  <c r="M28"/>
  <c r="L28"/>
  <c r="K28"/>
  <c r="J28"/>
  <c r="H28"/>
  <c r="G28"/>
  <c r="F28"/>
  <c r="E28"/>
  <c r="D28"/>
  <c r="C28"/>
  <c r="B28"/>
  <c r="M27"/>
  <c r="L27"/>
  <c r="K27"/>
  <c r="J27"/>
  <c r="H27"/>
  <c r="G27"/>
  <c r="F27"/>
  <c r="E27"/>
  <c r="D27"/>
  <c r="C27"/>
  <c r="B27"/>
  <c r="M26"/>
  <c r="L26"/>
  <c r="K26"/>
  <c r="J26"/>
  <c r="H26"/>
  <c r="G26"/>
  <c r="F26"/>
  <c r="E26"/>
  <c r="D26"/>
  <c r="C26"/>
  <c r="B26"/>
  <c r="M25"/>
  <c r="L25"/>
  <c r="K25"/>
  <c r="J25"/>
  <c r="H25"/>
  <c r="G25"/>
  <c r="F25"/>
  <c r="E25"/>
  <c r="D25"/>
  <c r="C25"/>
  <c r="B25"/>
  <c r="M24"/>
  <c r="M37" s="1"/>
  <c r="L24"/>
  <c r="L37" s="1"/>
  <c r="K24"/>
  <c r="K37" s="1"/>
  <c r="J24"/>
  <c r="J37" s="1"/>
  <c r="H24"/>
  <c r="H37" s="1"/>
  <c r="G24"/>
  <c r="G37" s="1"/>
  <c r="F24"/>
  <c r="F37" s="1"/>
  <c r="E24"/>
  <c r="E37" s="1"/>
  <c r="D24"/>
  <c r="D37" s="1"/>
  <c r="C24"/>
  <c r="C37" s="1"/>
  <c r="B24"/>
  <c r="B37" s="1"/>
  <c r="M23"/>
  <c r="L23"/>
  <c r="K23"/>
  <c r="J23"/>
  <c r="H23"/>
  <c r="G23"/>
  <c r="F23"/>
  <c r="E23"/>
  <c r="D23"/>
  <c r="C23"/>
  <c r="B23"/>
  <c r="M22"/>
  <c r="L22"/>
  <c r="K22"/>
  <c r="J22"/>
  <c r="H22"/>
  <c r="G22"/>
  <c r="F22"/>
  <c r="E22"/>
  <c r="D22"/>
  <c r="C22"/>
  <c r="B22"/>
  <c r="M21"/>
  <c r="L21"/>
  <c r="K21"/>
  <c r="J21"/>
  <c r="H21"/>
  <c r="G21"/>
  <c r="F21"/>
  <c r="E21"/>
  <c r="D21"/>
  <c r="C21"/>
  <c r="B21"/>
  <c r="M20"/>
  <c r="L20"/>
  <c r="K20"/>
  <c r="J20"/>
  <c r="H20"/>
  <c r="G20"/>
  <c r="F20"/>
  <c r="E20"/>
  <c r="D20"/>
  <c r="C20"/>
  <c r="B20"/>
  <c r="M19"/>
  <c r="L19"/>
  <c r="K19"/>
  <c r="J19"/>
  <c r="H19"/>
  <c r="G19"/>
  <c r="F19"/>
  <c r="E19"/>
  <c r="D19"/>
  <c r="C19"/>
  <c r="B19"/>
  <c r="M18"/>
  <c r="L18"/>
  <c r="K18"/>
  <c r="J18"/>
  <c r="H18"/>
  <c r="G18"/>
  <c r="F18"/>
  <c r="E18"/>
  <c r="D18"/>
  <c r="C18"/>
  <c r="B18"/>
  <c r="M17"/>
  <c r="L17"/>
  <c r="K17"/>
  <c r="J17"/>
  <c r="H17"/>
  <c r="G17"/>
  <c r="F17"/>
  <c r="E17"/>
  <c r="D17"/>
  <c r="C17"/>
  <c r="B17"/>
  <c r="M16"/>
  <c r="L16"/>
  <c r="K16"/>
  <c r="J16"/>
  <c r="H16"/>
  <c r="G16"/>
  <c r="F16"/>
  <c r="E16"/>
  <c r="D16"/>
  <c r="C16"/>
  <c r="B16"/>
  <c r="M15"/>
  <c r="L15"/>
  <c r="K15"/>
  <c r="J15"/>
  <c r="H15"/>
  <c r="G15"/>
  <c r="F15"/>
  <c r="E15"/>
  <c r="D15"/>
  <c r="C15"/>
  <c r="B15"/>
  <c r="M14"/>
  <c r="L14"/>
  <c r="K14"/>
  <c r="J14"/>
  <c r="H14"/>
  <c r="G14"/>
  <c r="F14"/>
  <c r="E14"/>
  <c r="D14"/>
  <c r="C14"/>
  <c r="B14"/>
  <c r="M13"/>
  <c r="L13"/>
  <c r="K13"/>
  <c r="J13"/>
  <c r="H13"/>
  <c r="G13"/>
  <c r="F13"/>
  <c r="E13"/>
  <c r="D13"/>
  <c r="C13"/>
  <c r="B13"/>
  <c r="M12"/>
  <c r="L12"/>
  <c r="K12"/>
  <c r="J12"/>
  <c r="H12"/>
  <c r="G12"/>
  <c r="F12"/>
  <c r="E12"/>
  <c r="D12"/>
  <c r="C12"/>
  <c r="B12"/>
  <c r="M11"/>
  <c r="L11"/>
  <c r="K11"/>
  <c r="J11"/>
  <c r="H11"/>
  <c r="G11"/>
  <c r="F11"/>
  <c r="E11"/>
  <c r="D11"/>
  <c r="C11"/>
  <c r="B11"/>
  <c r="M10"/>
  <c r="L10"/>
  <c r="K10"/>
  <c r="J10"/>
  <c r="H10"/>
  <c r="G10"/>
  <c r="F10"/>
  <c r="E10"/>
  <c r="D10"/>
  <c r="C10"/>
  <c r="B10"/>
  <c r="M9"/>
  <c r="L9"/>
  <c r="K9"/>
  <c r="J9"/>
  <c r="H9"/>
  <c r="G9"/>
  <c r="F9"/>
  <c r="E9"/>
  <c r="D9"/>
  <c r="C9"/>
  <c r="B9"/>
  <c r="M8"/>
  <c r="L8"/>
  <c r="K8"/>
  <c r="J8"/>
  <c r="H8"/>
  <c r="G8"/>
  <c r="F8"/>
  <c r="E8"/>
  <c r="D8"/>
  <c r="C8"/>
  <c r="B8"/>
  <c r="M7"/>
  <c r="L7"/>
  <c r="K7"/>
  <c r="J7"/>
  <c r="H7"/>
  <c r="G7"/>
  <c r="F7"/>
  <c r="E7"/>
  <c r="D7"/>
  <c r="C7"/>
  <c r="B7"/>
  <c r="M6"/>
  <c r="L6"/>
  <c r="K6"/>
  <c r="J6"/>
  <c r="H6"/>
  <c r="G6"/>
  <c r="F6"/>
  <c r="E6"/>
  <c r="D6"/>
  <c r="C6"/>
  <c r="B6"/>
  <c r="M5"/>
  <c r="M34" s="1"/>
  <c r="L5"/>
  <c r="L34" s="1"/>
  <c r="K5"/>
  <c r="K34" s="1"/>
  <c r="J5"/>
  <c r="J34" s="1"/>
  <c r="H5"/>
  <c r="H34" s="1"/>
  <c r="G5"/>
  <c r="G34" s="1"/>
  <c r="F5"/>
  <c r="F34" s="1"/>
  <c r="E5"/>
  <c r="E34" s="1"/>
  <c r="D5"/>
  <c r="D34" s="1"/>
  <c r="C5"/>
  <c r="C34" s="1"/>
  <c r="B5"/>
  <c r="B34" s="1"/>
  <c r="B70" i="347"/>
  <c r="C71" s="1"/>
  <c r="B72" s="1"/>
  <c r="C72" s="1"/>
  <c r="B69"/>
  <c r="B68"/>
  <c r="B67"/>
  <c r="B66"/>
  <c r="B65"/>
  <c r="B64"/>
  <c r="B63"/>
  <c r="B62"/>
  <c r="B61"/>
  <c r="B60"/>
  <c r="B59"/>
  <c r="B58"/>
  <c r="B57"/>
  <c r="B56"/>
  <c r="B55"/>
  <c r="B54"/>
  <c r="B53"/>
  <c r="B52"/>
  <c r="B51"/>
  <c r="B50"/>
  <c r="B49"/>
  <c r="B48"/>
  <c r="B47"/>
  <c r="B46"/>
  <c r="B45"/>
  <c r="B71" i="346"/>
  <c r="B70"/>
  <c r="B69"/>
  <c r="B68"/>
  <c r="B67"/>
  <c r="B66"/>
  <c r="B65"/>
  <c r="C72" s="1"/>
  <c r="B64"/>
  <c r="B63"/>
  <c r="B62"/>
  <c r="B61"/>
  <c r="B60"/>
  <c r="B59"/>
  <c r="B58"/>
  <c r="B57"/>
  <c r="B56"/>
  <c r="B55"/>
  <c r="B54"/>
  <c r="B53"/>
  <c r="B52"/>
  <c r="B51"/>
  <c r="B50"/>
  <c r="B49"/>
  <c r="B48"/>
  <c r="B47"/>
  <c r="B46"/>
  <c r="B45"/>
  <c r="M36" i="345"/>
  <c r="L36"/>
  <c r="K36"/>
  <c r="J36"/>
  <c r="H36"/>
  <c r="G36"/>
  <c r="F36"/>
  <c r="E36"/>
  <c r="D36"/>
  <c r="C36"/>
  <c r="B36"/>
  <c r="M35"/>
  <c r="L35"/>
  <c r="K35"/>
  <c r="J35"/>
  <c r="H35"/>
  <c r="G35"/>
  <c r="F35"/>
  <c r="E35"/>
  <c r="D35"/>
  <c r="C35"/>
  <c r="B35"/>
  <c r="O31"/>
  <c r="F30" i="349" s="1"/>
  <c r="N31" i="345"/>
  <c r="N31" i="348" s="1"/>
  <c r="I31" i="345"/>
  <c r="I31" i="348" s="1"/>
  <c r="O30" i="345"/>
  <c r="N30"/>
  <c r="I30"/>
  <c r="O29"/>
  <c r="N29"/>
  <c r="I29"/>
  <c r="O28"/>
  <c r="N28"/>
  <c r="I28"/>
  <c r="O27"/>
  <c r="N27"/>
  <c r="I27"/>
  <c r="O26"/>
  <c r="N26"/>
  <c r="I26"/>
  <c r="O25"/>
  <c r="N25"/>
  <c r="I25"/>
  <c r="O24"/>
  <c r="O37" s="1"/>
  <c r="N24"/>
  <c r="N37" s="1"/>
  <c r="I24"/>
  <c r="I37" s="1"/>
  <c r="O23"/>
  <c r="N23"/>
  <c r="I23"/>
  <c r="O22"/>
  <c r="N22"/>
  <c r="I22"/>
  <c r="O21"/>
  <c r="N21"/>
  <c r="I21"/>
  <c r="O20"/>
  <c r="N20"/>
  <c r="I20"/>
  <c r="O19"/>
  <c r="N19"/>
  <c r="I19"/>
  <c r="O18"/>
  <c r="N18"/>
  <c r="I18"/>
  <c r="O17"/>
  <c r="N17"/>
  <c r="I17"/>
  <c r="O16"/>
  <c r="N16"/>
  <c r="I16"/>
  <c r="O15"/>
  <c r="N15"/>
  <c r="I15"/>
  <c r="O14"/>
  <c r="N14"/>
  <c r="I14"/>
  <c r="O13"/>
  <c r="N13"/>
  <c r="I13"/>
  <c r="O12"/>
  <c r="N12"/>
  <c r="I12"/>
  <c r="O11"/>
  <c r="N11"/>
  <c r="I11"/>
  <c r="O10"/>
  <c r="N10"/>
  <c r="I10"/>
  <c r="O9"/>
  <c r="N9"/>
  <c r="I9"/>
  <c r="O8"/>
  <c r="N8"/>
  <c r="I8"/>
  <c r="O7"/>
  <c r="N7"/>
  <c r="I7"/>
  <c r="O6"/>
  <c r="N6"/>
  <c r="I6"/>
  <c r="O5"/>
  <c r="O34" s="1"/>
  <c r="N5"/>
  <c r="I5"/>
  <c r="I34" s="1"/>
  <c r="L36" i="344"/>
  <c r="K36"/>
  <c r="J36"/>
  <c r="I36"/>
  <c r="H36"/>
  <c r="G36"/>
  <c r="F36"/>
  <c r="E36"/>
  <c r="D36"/>
  <c r="C36"/>
  <c r="B36"/>
  <c r="L35"/>
  <c r="K35"/>
  <c r="J35"/>
  <c r="I35"/>
  <c r="H35"/>
  <c r="G35"/>
  <c r="F35"/>
  <c r="E35"/>
  <c r="D35"/>
  <c r="C35"/>
  <c r="B35"/>
  <c r="L26" i="338"/>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L34" s="1"/>
  <c r="K19"/>
  <c r="K34" s="1"/>
  <c r="J19"/>
  <c r="J34" s="1"/>
  <c r="I19"/>
  <c r="I34" s="1"/>
  <c r="H19"/>
  <c r="H34" s="1"/>
  <c r="G19"/>
  <c r="G34" s="1"/>
  <c r="F19"/>
  <c r="F34" s="1"/>
  <c r="E19"/>
  <c r="E34" s="1"/>
  <c r="D19"/>
  <c r="D34" s="1"/>
  <c r="C19"/>
  <c r="C34" s="1"/>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L32" s="1"/>
  <c r="K6"/>
  <c r="K32" s="1"/>
  <c r="J6"/>
  <c r="J32" s="1"/>
  <c r="I6"/>
  <c r="I32" s="1"/>
  <c r="H6"/>
  <c r="H32" s="1"/>
  <c r="G6"/>
  <c r="G32" s="1"/>
  <c r="F6"/>
  <c r="F32" s="1"/>
  <c r="E6"/>
  <c r="E32" s="1"/>
  <c r="D6"/>
  <c r="D32" s="1"/>
  <c r="C6"/>
  <c r="C32" s="1"/>
  <c r="B6"/>
  <c r="L33" i="337"/>
  <c r="K33"/>
  <c r="J33"/>
  <c r="I33"/>
  <c r="H33"/>
  <c r="G33"/>
  <c r="F33"/>
  <c r="E33"/>
  <c r="D33"/>
  <c r="C33"/>
  <c r="L31"/>
  <c r="K31"/>
  <c r="J31"/>
  <c r="I31"/>
  <c r="H31"/>
  <c r="G31"/>
  <c r="F31"/>
  <c r="E31"/>
  <c r="D31"/>
  <c r="C31"/>
  <c r="L30"/>
  <c r="K30"/>
  <c r="J30"/>
  <c r="I30"/>
  <c r="H30"/>
  <c r="G30"/>
  <c r="F30"/>
  <c r="E30"/>
  <c r="D30"/>
  <c r="C30"/>
  <c r="B30"/>
  <c r="L29"/>
  <c r="K29"/>
  <c r="J29"/>
  <c r="I29"/>
  <c r="H29"/>
  <c r="G29"/>
  <c r="F29"/>
  <c r="E29"/>
  <c r="D29"/>
  <c r="C29"/>
  <c r="B29"/>
  <c r="F45" i="336"/>
  <c r="E45"/>
  <c r="D45"/>
  <c r="C45"/>
  <c r="F43"/>
  <c r="E43"/>
  <c r="D43"/>
  <c r="C43"/>
  <c r="F42"/>
  <c r="E42"/>
  <c r="D42"/>
  <c r="C42"/>
  <c r="B42"/>
  <c r="F41"/>
  <c r="E41"/>
  <c r="D41"/>
  <c r="C41"/>
  <c r="B41"/>
  <c r="F40"/>
  <c r="E40"/>
  <c r="D40"/>
  <c r="C40"/>
  <c r="B40"/>
  <c r="L37"/>
  <c r="K37"/>
  <c r="J37"/>
  <c r="I37"/>
  <c r="H37"/>
  <c r="L36"/>
  <c r="K36"/>
  <c r="J36"/>
  <c r="I36"/>
  <c r="H36"/>
  <c r="L35"/>
  <c r="K35"/>
  <c r="J35"/>
  <c r="I35"/>
  <c r="H35"/>
  <c r="L34"/>
  <c r="K34"/>
  <c r="J34"/>
  <c r="I34"/>
  <c r="H34"/>
  <c r="L33"/>
  <c r="K33"/>
  <c r="J33"/>
  <c r="I33"/>
  <c r="H33"/>
  <c r="L32"/>
  <c r="K32"/>
  <c r="J32"/>
  <c r="I32"/>
  <c r="H32"/>
  <c r="L31"/>
  <c r="K31"/>
  <c r="J31"/>
  <c r="I31"/>
  <c r="H31"/>
  <c r="L30"/>
  <c r="L46" s="1"/>
  <c r="K30"/>
  <c r="K46" s="1"/>
  <c r="J30"/>
  <c r="J46" s="1"/>
  <c r="I30"/>
  <c r="I46" s="1"/>
  <c r="H30"/>
  <c r="H46" s="1"/>
  <c r="L29"/>
  <c r="K29"/>
  <c r="J29"/>
  <c r="I29"/>
  <c r="H29"/>
  <c r="L28"/>
  <c r="K28"/>
  <c r="J28"/>
  <c r="I28"/>
  <c r="H28"/>
  <c r="L27"/>
  <c r="K27"/>
  <c r="J27"/>
  <c r="I27"/>
  <c r="H27"/>
  <c r="L26"/>
  <c r="K26"/>
  <c r="J26"/>
  <c r="I26"/>
  <c r="H26"/>
  <c r="L25"/>
  <c r="K25"/>
  <c r="J25"/>
  <c r="I25"/>
  <c r="H25"/>
  <c r="L24"/>
  <c r="K24"/>
  <c r="J24"/>
  <c r="I24"/>
  <c r="H24"/>
  <c r="L23"/>
  <c r="K23"/>
  <c r="J23"/>
  <c r="I23"/>
  <c r="H23"/>
  <c r="L22"/>
  <c r="K22"/>
  <c r="J22"/>
  <c r="I22"/>
  <c r="H22"/>
  <c r="L21"/>
  <c r="K21"/>
  <c r="J21"/>
  <c r="I21"/>
  <c r="H21"/>
  <c r="L20"/>
  <c r="K20"/>
  <c r="J20"/>
  <c r="I20"/>
  <c r="H20"/>
  <c r="L19"/>
  <c r="K19"/>
  <c r="J19"/>
  <c r="I19"/>
  <c r="H19"/>
  <c r="L18"/>
  <c r="K18"/>
  <c r="J18"/>
  <c r="I18"/>
  <c r="H18"/>
  <c r="L17"/>
  <c r="K17"/>
  <c r="J17"/>
  <c r="I17"/>
  <c r="H17"/>
  <c r="L16"/>
  <c r="K16"/>
  <c r="J16"/>
  <c r="I16"/>
  <c r="H16"/>
  <c r="L15"/>
  <c r="K15"/>
  <c r="J15"/>
  <c r="I15"/>
  <c r="H15"/>
  <c r="L14"/>
  <c r="K14"/>
  <c r="J14"/>
  <c r="I14"/>
  <c r="H14"/>
  <c r="L13"/>
  <c r="K13"/>
  <c r="J13"/>
  <c r="I13"/>
  <c r="H13"/>
  <c r="L12"/>
  <c r="K12"/>
  <c r="J12"/>
  <c r="I12"/>
  <c r="H12"/>
  <c r="L11"/>
  <c r="L44" s="1"/>
  <c r="K11"/>
  <c r="K44" s="1"/>
  <c r="J11"/>
  <c r="J44" s="1"/>
  <c r="I11"/>
  <c r="I44" s="1"/>
  <c r="H11"/>
  <c r="L10"/>
  <c r="K10"/>
  <c r="J10"/>
  <c r="I10"/>
  <c r="H10"/>
  <c r="L9"/>
  <c r="K9"/>
  <c r="J9"/>
  <c r="I9"/>
  <c r="H9"/>
  <c r="L8"/>
  <c r="K8"/>
  <c r="J8"/>
  <c r="I8"/>
  <c r="H8"/>
  <c r="L7"/>
  <c r="K7"/>
  <c r="J7"/>
  <c r="I7"/>
  <c r="H7"/>
  <c r="L6"/>
  <c r="K6"/>
  <c r="J6"/>
  <c r="I6"/>
  <c r="H6"/>
  <c r="H52" i="335"/>
  <c r="H51"/>
  <c r="H50"/>
  <c r="H48"/>
  <c r="H47"/>
  <c r="H46"/>
  <c r="H44"/>
  <c r="H43"/>
  <c r="H42"/>
  <c r="H40"/>
  <c r="H39"/>
  <c r="H38"/>
  <c r="H36"/>
  <c r="H35"/>
  <c r="H34"/>
  <c r="H32"/>
  <c r="H31"/>
  <c r="H30"/>
  <c r="H28"/>
  <c r="H27"/>
  <c r="H26"/>
  <c r="H24"/>
  <c r="H23"/>
  <c r="H22"/>
  <c r="H20"/>
  <c r="H19"/>
  <c r="H18"/>
  <c r="H16"/>
  <c r="H15"/>
  <c r="H14"/>
  <c r="H9"/>
  <c r="H8"/>
  <c r="H7"/>
  <c r="U30" i="327"/>
  <c r="U28"/>
  <c r="U26"/>
  <c r="U24"/>
  <c r="U23"/>
  <c r="U22"/>
  <c r="U21"/>
  <c r="U20"/>
  <c r="U19"/>
  <c r="U18"/>
  <c r="U17"/>
  <c r="U16"/>
  <c r="U15"/>
  <c r="U14"/>
  <c r="U13"/>
  <c r="U12"/>
  <c r="U11"/>
  <c r="U9"/>
  <c r="U5"/>
  <c r="E39" i="219"/>
  <c r="D39"/>
  <c r="C39"/>
  <c r="B39"/>
  <c r="E38"/>
  <c r="D38"/>
  <c r="C38"/>
  <c r="B38"/>
  <c r="F34"/>
  <c r="F33"/>
  <c r="F32"/>
  <c r="F31"/>
  <c r="F30"/>
  <c r="F29"/>
  <c r="F28"/>
  <c r="F27"/>
  <c r="F26"/>
  <c r="F25"/>
  <c r="F24"/>
  <c r="F23"/>
  <c r="F22"/>
  <c r="F21"/>
  <c r="F20"/>
  <c r="F19"/>
  <c r="F18"/>
  <c r="F17"/>
  <c r="F16"/>
  <c r="F15"/>
  <c r="F14"/>
  <c r="F13"/>
  <c r="F12"/>
  <c r="F11"/>
  <c r="F10"/>
  <c r="F9"/>
  <c r="F8"/>
  <c r="F7"/>
  <c r="F6"/>
  <c r="F5"/>
  <c r="F4"/>
  <c r="AD63" i="149"/>
  <c r="AC63"/>
  <c r="AA63"/>
  <c r="Z63"/>
  <c r="J62"/>
  <c r="I62"/>
  <c r="H62"/>
  <c r="G62"/>
  <c r="F62"/>
  <c r="E62"/>
  <c r="D62"/>
  <c r="C62"/>
  <c r="B62"/>
  <c r="AD61"/>
  <c r="AC61"/>
  <c r="AA61"/>
  <c r="Z61"/>
  <c r="J61"/>
  <c r="I61"/>
  <c r="H61"/>
  <c r="G61"/>
  <c r="F61"/>
  <c r="E61"/>
  <c r="D61"/>
  <c r="C61"/>
  <c r="B61"/>
  <c r="AD60"/>
  <c r="AC60"/>
  <c r="AA60"/>
  <c r="Z60"/>
  <c r="J60"/>
  <c r="I60"/>
  <c r="H60"/>
  <c r="G60"/>
  <c r="F60"/>
  <c r="E60"/>
  <c r="D60"/>
  <c r="C60"/>
  <c r="B60"/>
  <c r="AD59"/>
  <c r="AC59"/>
  <c r="AA59"/>
  <c r="Z59"/>
  <c r="J59"/>
  <c r="I59"/>
  <c r="H59"/>
  <c r="G59"/>
  <c r="F59"/>
  <c r="E59"/>
  <c r="D59"/>
  <c r="C59"/>
  <c r="B59"/>
  <c r="AD58"/>
  <c r="AC58"/>
  <c r="AA58"/>
  <c r="Z58"/>
  <c r="J58"/>
  <c r="I58"/>
  <c r="H58"/>
  <c r="G58"/>
  <c r="F58"/>
  <c r="E58"/>
  <c r="D58"/>
  <c r="C58"/>
  <c r="B58"/>
  <c r="J57"/>
  <c r="I57"/>
  <c r="H57"/>
  <c r="G57"/>
  <c r="F57"/>
  <c r="E57"/>
  <c r="D57"/>
  <c r="C57"/>
  <c r="B57"/>
  <c r="AD56"/>
  <c r="AC56"/>
  <c r="AA56"/>
  <c r="Z56"/>
  <c r="J56"/>
  <c r="I56"/>
  <c r="H56"/>
  <c r="G56"/>
  <c r="F56"/>
  <c r="E56"/>
  <c r="D56"/>
  <c r="C56"/>
  <c r="B56"/>
  <c r="AD55"/>
  <c r="AC55"/>
  <c r="AA55"/>
  <c r="Z55"/>
  <c r="I55"/>
  <c r="H55"/>
  <c r="G55"/>
  <c r="F55"/>
  <c r="E55"/>
  <c r="D55"/>
  <c r="C55"/>
  <c r="B55"/>
  <c r="AD54"/>
  <c r="AC54"/>
  <c r="AA54"/>
  <c r="Z54"/>
  <c r="I54"/>
  <c r="H54"/>
  <c r="G54"/>
  <c r="F54"/>
  <c r="E54"/>
  <c r="D54"/>
  <c r="C54"/>
  <c r="B54"/>
  <c r="N49"/>
  <c r="N48"/>
  <c r="AG47"/>
  <c r="AF47"/>
  <c r="AE47"/>
  <c r="AB47"/>
  <c r="N47"/>
  <c r="AG46"/>
  <c r="AF46"/>
  <c r="AE46"/>
  <c r="AB46"/>
  <c r="N46"/>
  <c r="AG45"/>
  <c r="AF45"/>
  <c r="AE45"/>
  <c r="AB45"/>
  <c r="N45"/>
  <c r="AG44"/>
  <c r="AF44"/>
  <c r="AE44"/>
  <c r="AB44"/>
  <c r="AG43"/>
  <c r="AF43"/>
  <c r="AE43"/>
  <c r="AB43"/>
  <c r="AG42"/>
  <c r="AF42"/>
  <c r="AE42"/>
  <c r="AB42"/>
  <c r="AG41"/>
  <c r="AF41"/>
  <c r="AE41"/>
  <c r="AB41"/>
  <c r="AG40"/>
  <c r="AF40"/>
  <c r="AE40"/>
  <c r="AB40"/>
  <c r="AG39"/>
  <c r="AF39"/>
  <c r="AE39"/>
  <c r="AB39"/>
  <c r="AG38"/>
  <c r="AF38"/>
  <c r="AE38"/>
  <c r="AB38"/>
  <c r="AG37"/>
  <c r="AF37"/>
  <c r="AE37"/>
  <c r="AB37"/>
  <c r="AG36"/>
  <c r="AF36"/>
  <c r="AE36"/>
  <c r="AB36"/>
  <c r="AG35"/>
  <c r="AF35"/>
  <c r="AE35"/>
  <c r="AB35"/>
  <c r="AG34"/>
  <c r="AF34"/>
  <c r="AE34"/>
  <c r="AB34"/>
  <c r="AG33"/>
  <c r="AF33"/>
  <c r="AE33"/>
  <c r="AB33"/>
  <c r="AG32"/>
  <c r="AF32"/>
  <c r="AE32"/>
  <c r="AB32"/>
  <c r="AG31"/>
  <c r="AF31"/>
  <c r="AE31"/>
  <c r="AB31"/>
  <c r="AG30"/>
  <c r="AF30"/>
  <c r="AE30"/>
  <c r="AB30"/>
  <c r="AG29"/>
  <c r="AF29"/>
  <c r="AE29"/>
  <c r="AB29"/>
  <c r="AG28"/>
  <c r="AF28"/>
  <c r="AE28"/>
  <c r="AB28"/>
  <c r="AG27"/>
  <c r="AF27"/>
  <c r="AE27"/>
  <c r="AB27"/>
  <c r="AG26"/>
  <c r="AF26"/>
  <c r="AE26"/>
  <c r="AB26"/>
  <c r="AG25"/>
  <c r="AF25"/>
  <c r="AE25"/>
  <c r="AB25"/>
  <c r="AG24"/>
  <c r="AF24"/>
  <c r="AE24"/>
  <c r="AB24"/>
  <c r="AG23"/>
  <c r="AF23"/>
  <c r="AE23"/>
  <c r="AB23"/>
  <c r="AG22"/>
  <c r="AF22"/>
  <c r="AE22"/>
  <c r="AB22"/>
  <c r="AG21"/>
  <c r="AF21"/>
  <c r="AE21"/>
  <c r="AB21"/>
  <c r="AG20"/>
  <c r="AF20"/>
  <c r="AE20"/>
  <c r="AB20"/>
  <c r="AG19"/>
  <c r="AF19"/>
  <c r="AE19"/>
  <c r="AB19"/>
  <c r="AG18"/>
  <c r="AF18"/>
  <c r="AE18"/>
  <c r="AB18"/>
  <c r="AG17"/>
  <c r="AF17"/>
  <c r="AE17"/>
  <c r="AB17"/>
  <c r="AG16"/>
  <c r="AF16"/>
  <c r="AE16"/>
  <c r="AB16"/>
  <c r="AG15"/>
  <c r="AF15"/>
  <c r="AE15"/>
  <c r="AB15"/>
  <c r="AG14"/>
  <c r="AF14"/>
  <c r="AE14"/>
  <c r="AB14"/>
  <c r="AG13"/>
  <c r="AF13"/>
  <c r="AE13"/>
  <c r="AB13"/>
  <c r="AG12"/>
  <c r="AF12"/>
  <c r="AE12"/>
  <c r="AB12"/>
  <c r="AG11"/>
  <c r="AF11"/>
  <c r="AE11"/>
  <c r="AB11"/>
  <c r="AG10"/>
  <c r="AF10"/>
  <c r="AE10"/>
  <c r="AB10"/>
  <c r="AG9"/>
  <c r="AF9"/>
  <c r="AE9"/>
  <c r="AB9"/>
  <c r="AG8"/>
  <c r="AF8"/>
  <c r="AE8"/>
  <c r="AB8"/>
  <c r="AG7"/>
  <c r="AF7"/>
  <c r="AE7"/>
  <c r="AB7"/>
  <c r="AG6"/>
  <c r="AF6"/>
  <c r="AE6"/>
  <c r="AB6"/>
  <c r="AG5"/>
  <c r="AF5"/>
  <c r="AE5"/>
  <c r="AB5"/>
  <c r="I42" i="116"/>
  <c r="H42"/>
  <c r="G42"/>
  <c r="F42"/>
  <c r="E42"/>
  <c r="D42"/>
  <c r="C42"/>
  <c r="B42"/>
  <c r="I41"/>
  <c r="H41"/>
  <c r="G41"/>
  <c r="F41"/>
  <c r="E41"/>
  <c r="D41"/>
  <c r="C41"/>
  <c r="B41"/>
  <c r="I21"/>
  <c r="H21"/>
  <c r="G21"/>
  <c r="F21"/>
  <c r="E21"/>
  <c r="D21"/>
  <c r="C21"/>
  <c r="B21"/>
  <c r="I20"/>
  <c r="H20"/>
  <c r="G20"/>
  <c r="F20"/>
  <c r="E20"/>
  <c r="D20"/>
  <c r="C20"/>
  <c r="B20"/>
  <c r="A15" i="115"/>
  <c r="B32" i="338" l="1"/>
  <c r="B34"/>
  <c r="F40" i="219"/>
  <c r="F41"/>
  <c r="E31" i="458"/>
  <c r="E35"/>
  <c r="E29"/>
  <c r="D31"/>
  <c r="D35"/>
  <c r="H32" i="288"/>
  <c r="C45" i="346"/>
  <c r="M5" s="1"/>
  <c r="H44" i="336"/>
  <c r="H45"/>
  <c r="H43"/>
  <c r="N34" i="345"/>
  <c r="G32" i="349"/>
  <c r="G33"/>
  <c r="G35"/>
  <c r="C32" i="346"/>
  <c r="E32"/>
  <c r="G32"/>
  <c r="I32"/>
  <c r="K32"/>
  <c r="M32"/>
  <c r="O32"/>
  <c r="B32"/>
  <c r="D32"/>
  <c r="F32"/>
  <c r="H32"/>
  <c r="J32"/>
  <c r="L32"/>
  <c r="N32"/>
  <c r="C70" i="347"/>
  <c r="D32" i="349"/>
  <c r="D33"/>
  <c r="D35"/>
  <c r="E33"/>
  <c r="E35"/>
  <c r="E32"/>
  <c r="B33" i="338"/>
  <c r="B31"/>
  <c r="C5" i="346"/>
  <c r="F5"/>
  <c r="C46"/>
  <c r="I6" s="1"/>
  <c r="O38" i="350"/>
  <c r="F6" i="343"/>
  <c r="H6"/>
  <c r="K14" i="342"/>
  <c r="L13"/>
  <c r="O14"/>
  <c r="R13"/>
  <c r="G6" i="288"/>
  <c r="E6" i="343"/>
  <c r="D11" i="342"/>
  <c r="D13"/>
  <c r="D14"/>
  <c r="D13" i="343"/>
  <c r="D11"/>
  <c r="D14"/>
  <c r="D64" i="342"/>
  <c r="D63"/>
  <c r="D61"/>
  <c r="D61" i="343"/>
  <c r="D63"/>
  <c r="D64"/>
  <c r="E14"/>
  <c r="E34" i="342"/>
  <c r="E33"/>
  <c r="E32"/>
  <c r="E31"/>
  <c r="E31" i="343"/>
  <c r="E32"/>
  <c r="E33"/>
  <c r="E34"/>
  <c r="E49" i="342"/>
  <c r="E48"/>
  <c r="E47"/>
  <c r="E46"/>
  <c r="E46" i="343"/>
  <c r="E47"/>
  <c r="E48"/>
  <c r="E49"/>
  <c r="F9"/>
  <c r="F12"/>
  <c r="F14"/>
  <c r="F14" i="342"/>
  <c r="F12"/>
  <c r="F49"/>
  <c r="F48"/>
  <c r="F47"/>
  <c r="F46"/>
  <c r="F46" i="343"/>
  <c r="F47"/>
  <c r="F48"/>
  <c r="F49"/>
  <c r="G6"/>
  <c r="G8"/>
  <c r="G11"/>
  <c r="G13"/>
  <c r="G13" i="342"/>
  <c r="G11"/>
  <c r="G54"/>
  <c r="G53"/>
  <c r="G52"/>
  <c r="G51"/>
  <c r="G51" i="343"/>
  <c r="G52"/>
  <c r="G53"/>
  <c r="G54"/>
  <c r="H9"/>
  <c r="H12"/>
  <c r="H14"/>
  <c r="H14" i="342"/>
  <c r="H12"/>
  <c r="H54"/>
  <c r="H53"/>
  <c r="H52"/>
  <c r="H51"/>
  <c r="H51" i="343"/>
  <c r="H52"/>
  <c r="H53"/>
  <c r="H54"/>
  <c r="I6"/>
  <c r="I7"/>
  <c r="I8"/>
  <c r="I9"/>
  <c r="I11"/>
  <c r="I12"/>
  <c r="I13"/>
  <c r="I14"/>
  <c r="I13" i="342"/>
  <c r="I14"/>
  <c r="I11"/>
  <c r="I12"/>
  <c r="J13"/>
  <c r="J14"/>
  <c r="J11"/>
  <c r="J12"/>
  <c r="J14" i="343"/>
  <c r="J13"/>
  <c r="J11"/>
  <c r="J12"/>
  <c r="K13" i="342"/>
  <c r="K11"/>
  <c r="K12" i="343"/>
  <c r="K14"/>
  <c r="K64" i="342"/>
  <c r="K63"/>
  <c r="K62"/>
  <c r="K61"/>
  <c r="K61" i="343"/>
  <c r="K62"/>
  <c r="K63"/>
  <c r="K64"/>
  <c r="L14" i="342"/>
  <c r="L12"/>
  <c r="L11" i="343"/>
  <c r="L13"/>
  <c r="L34" i="342"/>
  <c r="L33"/>
  <c r="L32"/>
  <c r="L31"/>
  <c r="L31" i="343"/>
  <c r="L32"/>
  <c r="L33"/>
  <c r="L34"/>
  <c r="M13" i="342"/>
  <c r="M14"/>
  <c r="M11"/>
  <c r="M12"/>
  <c r="M12" i="343"/>
  <c r="M11"/>
  <c r="M14"/>
  <c r="M13"/>
  <c r="N13" i="342"/>
  <c r="N14"/>
  <c r="N11"/>
  <c r="N12"/>
  <c r="N12" i="343"/>
  <c r="N11"/>
  <c r="N14"/>
  <c r="N13"/>
  <c r="O13" i="342"/>
  <c r="O11"/>
  <c r="O12" i="343"/>
  <c r="O14"/>
  <c r="O59" i="342"/>
  <c r="O58"/>
  <c r="O57"/>
  <c r="O56"/>
  <c r="O56" i="343"/>
  <c r="O57"/>
  <c r="O58"/>
  <c r="O59"/>
  <c r="P11" i="342"/>
  <c r="AB11" s="1"/>
  <c r="P13"/>
  <c r="AB13" s="1"/>
  <c r="P14"/>
  <c r="AB14" s="1"/>
  <c r="P12"/>
  <c r="AB12" s="1"/>
  <c r="P12" i="343"/>
  <c r="AB12" s="1"/>
  <c r="P14"/>
  <c r="AB14" s="1"/>
  <c r="P13"/>
  <c r="AB13" s="1"/>
  <c r="P11"/>
  <c r="AB11" s="1"/>
  <c r="Q13" i="342"/>
  <c r="Q14"/>
  <c r="Q11"/>
  <c r="Q12"/>
  <c r="Q12" i="343"/>
  <c r="Q11"/>
  <c r="Q14"/>
  <c r="Q13"/>
  <c r="R14" i="342"/>
  <c r="R12"/>
  <c r="R11" i="343"/>
  <c r="R13"/>
  <c r="R19" i="342"/>
  <c r="R18"/>
  <c r="R17"/>
  <c r="R16"/>
  <c r="R16" i="343"/>
  <c r="R17"/>
  <c r="R18"/>
  <c r="R19"/>
  <c r="R54" i="342"/>
  <c r="R53"/>
  <c r="R52"/>
  <c r="R51"/>
  <c r="R51" i="343"/>
  <c r="R52"/>
  <c r="R53"/>
  <c r="R54"/>
  <c r="S13" i="342"/>
  <c r="S14"/>
  <c r="S11"/>
  <c r="S12"/>
  <c r="S12" i="343"/>
  <c r="S11"/>
  <c r="S14"/>
  <c r="S13"/>
  <c r="T13" i="342"/>
  <c r="T14"/>
  <c r="T11"/>
  <c r="T12"/>
  <c r="T12" i="343"/>
  <c r="T11"/>
  <c r="T14"/>
  <c r="T13"/>
  <c r="U13" i="342"/>
  <c r="U14"/>
  <c r="V12"/>
  <c r="V13"/>
  <c r="V14"/>
  <c r="V11"/>
  <c r="U11"/>
  <c r="U12"/>
  <c r="U12" i="343"/>
  <c r="U11"/>
  <c r="V11"/>
  <c r="V14"/>
  <c r="V13"/>
  <c r="V12"/>
  <c r="U14"/>
  <c r="U13"/>
  <c r="AB54" i="149"/>
  <c r="AE54"/>
  <c r="AF54"/>
  <c r="AG54"/>
  <c r="AB55"/>
  <c r="AE55"/>
  <c r="AF55"/>
  <c r="AG55"/>
  <c r="AB56"/>
  <c r="AE56"/>
  <c r="AF56"/>
  <c r="AG56"/>
  <c r="AB59"/>
  <c r="AE59"/>
  <c r="AF59"/>
  <c r="AG59"/>
  <c r="AB58"/>
  <c r="AE58"/>
  <c r="AF58"/>
  <c r="AG58"/>
  <c r="AB63"/>
  <c r="AE63"/>
  <c r="AF63"/>
  <c r="AG63"/>
  <c r="C46" i="288"/>
  <c r="B46" s="1"/>
  <c r="D46"/>
  <c r="E46"/>
  <c r="F46"/>
  <c r="C35"/>
  <c r="D35"/>
  <c r="E35"/>
  <c r="F35"/>
  <c r="C38"/>
  <c r="D38"/>
  <c r="E38"/>
  <c r="F38"/>
  <c r="C47"/>
  <c r="B47" s="1"/>
  <c r="D47"/>
  <c r="E47"/>
  <c r="F47"/>
  <c r="C48"/>
  <c r="D48"/>
  <c r="E48"/>
  <c r="F48"/>
  <c r="I40" i="336"/>
  <c r="J40"/>
  <c r="K40"/>
  <c r="L40"/>
  <c r="H41"/>
  <c r="I41"/>
  <c r="J41"/>
  <c r="K41"/>
  <c r="L41"/>
  <c r="I45"/>
  <c r="J45"/>
  <c r="K45"/>
  <c r="L45"/>
  <c r="I35" i="345"/>
  <c r="N35"/>
  <c r="O35"/>
  <c r="I36"/>
  <c r="N36"/>
  <c r="O36"/>
  <c r="G46" i="288"/>
  <c r="F4" i="457"/>
  <c r="O5" i="458"/>
  <c r="F5" s="1"/>
  <c r="O6"/>
  <c r="F6" s="1"/>
  <c r="O7"/>
  <c r="F7" s="1"/>
  <c r="O8"/>
  <c r="F8" s="1"/>
  <c r="O9"/>
  <c r="F9" s="1"/>
  <c r="O10"/>
  <c r="F10" s="1"/>
  <c r="O11"/>
  <c r="F11" s="1"/>
  <c r="O12"/>
  <c r="F12" s="1"/>
  <c r="O13"/>
  <c r="F13" s="1"/>
  <c r="O14"/>
  <c r="F14" s="1"/>
  <c r="O15"/>
  <c r="F15" s="1"/>
  <c r="O18"/>
  <c r="F18" s="1"/>
  <c r="O19"/>
  <c r="F19" s="1"/>
  <c r="O20"/>
  <c r="F20" s="1"/>
  <c r="O21"/>
  <c r="F21" s="1"/>
  <c r="O22"/>
  <c r="F22" s="1"/>
  <c r="G8" i="457"/>
  <c r="G9"/>
  <c r="G10"/>
  <c r="G11"/>
  <c r="F6" i="349"/>
  <c r="F7"/>
  <c r="F8"/>
  <c r="F9"/>
  <c r="F10"/>
  <c r="F12"/>
  <c r="F13"/>
  <c r="F14"/>
  <c r="F15"/>
  <c r="F16"/>
  <c r="F17"/>
  <c r="F18"/>
  <c r="F19"/>
  <c r="F20"/>
  <c r="F21"/>
  <c r="F22"/>
  <c r="F23"/>
  <c r="F38" s="1"/>
  <c r="F24"/>
  <c r="F25"/>
  <c r="F26"/>
  <c r="AB60" i="149"/>
  <c r="AE60"/>
  <c r="AF60"/>
  <c r="AG60"/>
  <c r="AB61"/>
  <c r="AE61"/>
  <c r="AF61"/>
  <c r="AG61"/>
  <c r="B35" i="288"/>
  <c r="C36"/>
  <c r="D36"/>
  <c r="E36"/>
  <c r="F36"/>
  <c r="B38"/>
  <c r="C39"/>
  <c r="D39"/>
  <c r="E39"/>
  <c r="F39"/>
  <c r="C42"/>
  <c r="D42"/>
  <c r="E42"/>
  <c r="F42"/>
  <c r="G33" i="219"/>
  <c r="F38"/>
  <c r="F39"/>
  <c r="H40" i="336"/>
  <c r="H42"/>
  <c r="I42"/>
  <c r="J42"/>
  <c r="K42"/>
  <c r="L42"/>
  <c r="I43"/>
  <c r="J43"/>
  <c r="K43"/>
  <c r="L43"/>
  <c r="I5" i="348"/>
  <c r="I34" s="1"/>
  <c r="N5"/>
  <c r="N34" s="1"/>
  <c r="I6"/>
  <c r="N6"/>
  <c r="I7"/>
  <c r="N7"/>
  <c r="I8"/>
  <c r="N8"/>
  <c r="I9"/>
  <c r="N9"/>
  <c r="I10"/>
  <c r="N10"/>
  <c r="I11"/>
  <c r="N11"/>
  <c r="I12"/>
  <c r="N12"/>
  <c r="I13"/>
  <c r="I35" s="1"/>
  <c r="N13"/>
  <c r="N35" s="1"/>
  <c r="I14"/>
  <c r="N14"/>
  <c r="I15"/>
  <c r="N15"/>
  <c r="I16"/>
  <c r="N16"/>
  <c r="I17"/>
  <c r="N17"/>
  <c r="I18"/>
  <c r="N18"/>
  <c r="I19"/>
  <c r="N19"/>
  <c r="I20"/>
  <c r="N20"/>
  <c r="I21"/>
  <c r="N21"/>
  <c r="I22"/>
  <c r="N22"/>
  <c r="I23"/>
  <c r="N23"/>
  <c r="I24"/>
  <c r="I37" s="1"/>
  <c r="N24"/>
  <c r="N37" s="1"/>
  <c r="I25"/>
  <c r="N25"/>
  <c r="I26"/>
  <c r="N26"/>
  <c r="I27"/>
  <c r="N27"/>
  <c r="I28"/>
  <c r="N28"/>
  <c r="I29"/>
  <c r="N29"/>
  <c r="I30"/>
  <c r="N30"/>
  <c r="F4" i="349"/>
  <c r="F5"/>
  <c r="F11"/>
  <c r="F27"/>
  <c r="F28"/>
  <c r="F29"/>
  <c r="G36"/>
  <c r="G37"/>
  <c r="E49" i="424"/>
  <c r="E50"/>
  <c r="E51"/>
  <c r="E52"/>
  <c r="E53"/>
  <c r="E54"/>
  <c r="E55"/>
  <c r="E56"/>
  <c r="E57"/>
  <c r="E58"/>
  <c r="E59"/>
  <c r="E60"/>
  <c r="E61"/>
  <c r="E62"/>
  <c r="E63"/>
  <c r="E64"/>
  <c r="E65"/>
  <c r="E66"/>
  <c r="E67"/>
  <c r="E68"/>
  <c r="E69"/>
  <c r="E70"/>
  <c r="E71"/>
  <c r="E72"/>
  <c r="E73"/>
  <c r="E74"/>
  <c r="D50"/>
  <c r="E28" i="458"/>
  <c r="E49" i="423"/>
  <c r="E48" i="424"/>
  <c r="B29" i="338"/>
  <c r="C29"/>
  <c r="D29"/>
  <c r="E29"/>
  <c r="F29"/>
  <c r="G29"/>
  <c r="H29"/>
  <c r="I29"/>
  <c r="J29"/>
  <c r="K29"/>
  <c r="L29"/>
  <c r="C33"/>
  <c r="D33"/>
  <c r="E33"/>
  <c r="F33"/>
  <c r="G33"/>
  <c r="H33"/>
  <c r="I33"/>
  <c r="J33"/>
  <c r="K33"/>
  <c r="L33"/>
  <c r="C67" i="346"/>
  <c r="N27" s="1"/>
  <c r="C68"/>
  <c r="N28" s="1"/>
  <c r="C69"/>
  <c r="N29" s="1"/>
  <c r="C70"/>
  <c r="O30" s="1"/>
  <c r="C71"/>
  <c r="N31" s="1"/>
  <c r="C46" i="347"/>
  <c r="C47"/>
  <c r="C48"/>
  <c r="C49"/>
  <c r="C50"/>
  <c r="C51"/>
  <c r="C52"/>
  <c r="C53"/>
  <c r="C54"/>
  <c r="C55"/>
  <c r="C56"/>
  <c r="C57"/>
  <c r="C58"/>
  <c r="C59"/>
  <c r="C60"/>
  <c r="C61"/>
  <c r="C62"/>
  <c r="C63"/>
  <c r="C64"/>
  <c r="C65"/>
  <c r="C66"/>
  <c r="C67"/>
  <c r="C68"/>
  <c r="C69"/>
  <c r="C35" i="348"/>
  <c r="D35"/>
  <c r="E35"/>
  <c r="F35"/>
  <c r="G35"/>
  <c r="H35"/>
  <c r="K35"/>
  <c r="L35"/>
  <c r="M35"/>
  <c r="C36"/>
  <c r="D36"/>
  <c r="E36"/>
  <c r="F36"/>
  <c r="G36"/>
  <c r="H36"/>
  <c r="K36"/>
  <c r="L36"/>
  <c r="M36"/>
  <c r="D36" i="349"/>
  <c r="E36"/>
  <c r="D37"/>
  <c r="E37"/>
  <c r="F37"/>
  <c r="M27" i="346"/>
  <c r="I27"/>
  <c r="E27"/>
  <c r="O28"/>
  <c r="O28" i="347" s="1"/>
  <c r="K28" i="346"/>
  <c r="I28"/>
  <c r="G28"/>
  <c r="E28"/>
  <c r="C28"/>
  <c r="M29"/>
  <c r="I29"/>
  <c r="E29"/>
  <c r="N30"/>
  <c r="N30" i="347" s="1"/>
  <c r="L30" i="346"/>
  <c r="L30" i="347" s="1"/>
  <c r="J30" i="346"/>
  <c r="J30" i="347" s="1"/>
  <c r="H30" i="346"/>
  <c r="H30" i="347" s="1"/>
  <c r="F30" i="346"/>
  <c r="F30" i="347" s="1"/>
  <c r="D30" i="346"/>
  <c r="D30" i="347" s="1"/>
  <c r="B30" i="346"/>
  <c r="M31"/>
  <c r="I31"/>
  <c r="E31"/>
  <c r="B30" i="338"/>
  <c r="C30"/>
  <c r="D30"/>
  <c r="E30"/>
  <c r="F30"/>
  <c r="G30"/>
  <c r="H30"/>
  <c r="I30"/>
  <c r="J30"/>
  <c r="K30"/>
  <c r="L30"/>
  <c r="C31"/>
  <c r="D31"/>
  <c r="E31"/>
  <c r="F31"/>
  <c r="G31"/>
  <c r="H31"/>
  <c r="I31"/>
  <c r="J31"/>
  <c r="K31"/>
  <c r="L31"/>
  <c r="D34" i="458"/>
  <c r="D30"/>
  <c r="D29"/>
  <c r="E27"/>
  <c r="C47" i="346"/>
  <c r="C48"/>
  <c r="C49"/>
  <c r="C50"/>
  <c r="C51"/>
  <c r="C52"/>
  <c r="C53"/>
  <c r="C54"/>
  <c r="C55"/>
  <c r="C56"/>
  <c r="C57"/>
  <c r="C58"/>
  <c r="C59"/>
  <c r="C60"/>
  <c r="C61"/>
  <c r="C62"/>
  <c r="C63"/>
  <c r="C64"/>
  <c r="C65"/>
  <c r="C66"/>
  <c r="B35" i="348"/>
  <c r="J35"/>
  <c r="B36"/>
  <c r="J36"/>
  <c r="E30" i="458"/>
  <c r="M28" i="346" l="1"/>
  <c r="G7" i="458"/>
  <c r="G11"/>
  <c r="G15"/>
  <c r="G19"/>
  <c r="G23"/>
  <c r="G8"/>
  <c r="G12"/>
  <c r="G16"/>
  <c r="G20"/>
  <c r="G5"/>
  <c r="G9"/>
  <c r="G13"/>
  <c r="G17"/>
  <c r="G21"/>
  <c r="G6"/>
  <c r="G10"/>
  <c r="G14"/>
  <c r="G18"/>
  <c r="G22"/>
  <c r="D67" i="347"/>
  <c r="C31" i="346"/>
  <c r="G31"/>
  <c r="K31"/>
  <c r="O31"/>
  <c r="P31" s="1"/>
  <c r="C29"/>
  <c r="G29"/>
  <c r="K29"/>
  <c r="O29"/>
  <c r="O29" i="347" s="1"/>
  <c r="C27" i="346"/>
  <c r="G27"/>
  <c r="K27"/>
  <c r="O27"/>
  <c r="O27" i="347" s="1"/>
  <c r="N36" i="348"/>
  <c r="L5" i="346"/>
  <c r="B5"/>
  <c r="B5" i="347" s="1"/>
  <c r="K5" i="346"/>
  <c r="K34" s="1"/>
  <c r="O5"/>
  <c r="O34" s="1"/>
  <c r="E5"/>
  <c r="C30"/>
  <c r="C30" i="347" s="1"/>
  <c r="E30" i="346"/>
  <c r="E30" i="347" s="1"/>
  <c r="G30" i="346"/>
  <c r="G30" i="347" s="1"/>
  <c r="I30" i="346"/>
  <c r="I30" i="347" s="1"/>
  <c r="K30" i="346"/>
  <c r="K30" i="347" s="1"/>
  <c r="M30" i="346"/>
  <c r="M30" i="347" s="1"/>
  <c r="B28" i="346"/>
  <c r="D28"/>
  <c r="F28"/>
  <c r="H28"/>
  <c r="J28"/>
  <c r="L28"/>
  <c r="I36" i="348"/>
  <c r="H5" i="346"/>
  <c r="H34" s="1"/>
  <c r="D5"/>
  <c r="D34" s="1"/>
  <c r="I5"/>
  <c r="I34" s="1"/>
  <c r="J5"/>
  <c r="J34" s="1"/>
  <c r="G5"/>
  <c r="G24" i="458"/>
  <c r="N5" i="346"/>
  <c r="G36" i="457"/>
  <c r="G37"/>
  <c r="G4" i="458"/>
  <c r="G40" i="457"/>
  <c r="G43"/>
  <c r="G41"/>
  <c r="G44"/>
  <c r="O16" i="458"/>
  <c r="F16" s="1"/>
  <c r="F37" i="457"/>
  <c r="F36"/>
  <c r="O4" i="458"/>
  <c r="F4" s="1"/>
  <c r="F44" i="457"/>
  <c r="O24" i="458"/>
  <c r="F24" s="1"/>
  <c r="O23"/>
  <c r="F23" s="1"/>
  <c r="F33" i="457"/>
  <c r="F41"/>
  <c r="F43"/>
  <c r="F40"/>
  <c r="F38"/>
  <c r="F39"/>
  <c r="G34" i="346"/>
  <c r="AA47" i="343"/>
  <c r="AD47"/>
  <c r="AA32"/>
  <c r="AD32"/>
  <c r="AA63"/>
  <c r="AD63"/>
  <c r="AA11"/>
  <c r="AD11"/>
  <c r="AD64"/>
  <c r="AA64"/>
  <c r="AD61"/>
  <c r="AA61"/>
  <c r="AA14"/>
  <c r="AD14"/>
  <c r="AA13"/>
  <c r="AD13"/>
  <c r="F34" i="346"/>
  <c r="M34"/>
  <c r="E34"/>
  <c r="AA61" i="342"/>
  <c r="AD61"/>
  <c r="AD64"/>
  <c r="AA64"/>
  <c r="AA14"/>
  <c r="AD14"/>
  <c r="AA11"/>
  <c r="AD11"/>
  <c r="G37" i="288"/>
  <c r="G43"/>
  <c r="G40"/>
  <c r="AA47" i="342"/>
  <c r="AD47"/>
  <c r="AA32"/>
  <c r="AD32"/>
  <c r="AD63"/>
  <c r="AA63"/>
  <c r="AA13"/>
  <c r="AD13"/>
  <c r="L34" i="346"/>
  <c r="L5" i="347"/>
  <c r="K5" s="1"/>
  <c r="J5" s="1"/>
  <c r="I5" s="1"/>
  <c r="H5" s="1"/>
  <c r="G5" s="1"/>
  <c r="F5" s="1"/>
  <c r="E5" s="1"/>
  <c r="D5" s="1"/>
  <c r="C5" s="1"/>
  <c r="P32" i="346"/>
  <c r="Y14" i="343"/>
  <c r="F35" i="349"/>
  <c r="F32"/>
  <c r="F33"/>
  <c r="K6" i="346"/>
  <c r="O30" i="347"/>
  <c r="P30" i="346"/>
  <c r="O5" i="347"/>
  <c r="C34" i="346"/>
  <c r="F36" i="349"/>
  <c r="E34" i="458"/>
  <c r="B31" i="346"/>
  <c r="D31"/>
  <c r="F31"/>
  <c r="H31"/>
  <c r="J31"/>
  <c r="L31"/>
  <c r="B29"/>
  <c r="B29" i="347" s="1"/>
  <c r="D29" i="346"/>
  <c r="F29"/>
  <c r="H29"/>
  <c r="J29"/>
  <c r="L29"/>
  <c r="B27"/>
  <c r="D27"/>
  <c r="F27"/>
  <c r="H27"/>
  <c r="J27"/>
  <c r="L27"/>
  <c r="G38" i="288"/>
  <c r="N6" i="346"/>
  <c r="N6" i="347" s="1"/>
  <c r="L6" i="346"/>
  <c r="M6"/>
  <c r="H6"/>
  <c r="F6"/>
  <c r="D6"/>
  <c r="B6"/>
  <c r="J6"/>
  <c r="G6"/>
  <c r="E6"/>
  <c r="C6"/>
  <c r="O6"/>
  <c r="O6" i="347" s="1"/>
  <c r="Z14" i="343"/>
  <c r="O13"/>
  <c r="O11"/>
  <c r="O12" i="342"/>
  <c r="K13" i="343"/>
  <c r="K11"/>
  <c r="K12" i="342"/>
  <c r="G12"/>
  <c r="G14"/>
  <c r="G14" i="343"/>
  <c r="G12"/>
  <c r="G9"/>
  <c r="E12" i="342"/>
  <c r="E9" i="343"/>
  <c r="E14" i="342"/>
  <c r="Y14" s="1"/>
  <c r="Z12" i="343"/>
  <c r="R14"/>
  <c r="R12"/>
  <c r="R11" i="342"/>
  <c r="L14" i="343"/>
  <c r="L12"/>
  <c r="L11" i="342"/>
  <c r="H11"/>
  <c r="H13"/>
  <c r="H13" i="343"/>
  <c r="H11"/>
  <c r="H8"/>
  <c r="F11" i="342"/>
  <c r="F13"/>
  <c r="F13" i="343"/>
  <c r="F11"/>
  <c r="F8"/>
  <c r="E11" i="342"/>
  <c r="Y11" s="1"/>
  <c r="E13"/>
  <c r="Y13" s="1"/>
  <c r="E13" i="343"/>
  <c r="Y13" s="1"/>
  <c r="E11"/>
  <c r="Y11" s="1"/>
  <c r="E8"/>
  <c r="G35" i="288"/>
  <c r="Y49" i="343"/>
  <c r="Z49"/>
  <c r="Y48"/>
  <c r="Z48"/>
  <c r="Z47"/>
  <c r="Y46"/>
  <c r="Z46"/>
  <c r="Y46" i="342"/>
  <c r="Z46"/>
  <c r="Z47"/>
  <c r="Y48"/>
  <c r="Z48"/>
  <c r="Y49"/>
  <c r="Z49"/>
  <c r="Y34" i="343"/>
  <c r="Z34"/>
  <c r="Y33"/>
  <c r="Z33"/>
  <c r="Z32"/>
  <c r="Y31"/>
  <c r="Z31"/>
  <c r="Y31" i="342"/>
  <c r="Z31"/>
  <c r="Z32"/>
  <c r="Y33"/>
  <c r="Z33"/>
  <c r="Y34"/>
  <c r="Z34"/>
  <c r="Y64" i="343"/>
  <c r="Y63"/>
  <c r="Y61"/>
  <c r="Y61" i="342"/>
  <c r="Y63"/>
  <c r="Y64"/>
  <c r="D51" i="424"/>
  <c r="G48" i="288"/>
  <c r="G42"/>
  <c r="G39"/>
  <c r="G36"/>
  <c r="G47"/>
  <c r="G30" i="458"/>
  <c r="G35" i="457"/>
  <c r="O17" i="458"/>
  <c r="F17" s="1"/>
  <c r="F35" i="457"/>
  <c r="C52" i="424"/>
  <c r="C53" s="1"/>
  <c r="C54" s="1"/>
  <c r="O26" i="346"/>
  <c r="O26" i="347" s="1"/>
  <c r="N26" i="346"/>
  <c r="M26"/>
  <c r="L26"/>
  <c r="K26"/>
  <c r="J26"/>
  <c r="I26"/>
  <c r="H26"/>
  <c r="G26"/>
  <c r="F26"/>
  <c r="E26"/>
  <c r="D26"/>
  <c r="C26"/>
  <c r="B26"/>
  <c r="O25"/>
  <c r="O25" i="347" s="1"/>
  <c r="N25" i="346"/>
  <c r="M25"/>
  <c r="L25"/>
  <c r="K25"/>
  <c r="J25"/>
  <c r="I25"/>
  <c r="H25"/>
  <c r="G25"/>
  <c r="F25"/>
  <c r="E25"/>
  <c r="D25"/>
  <c r="C25"/>
  <c r="B25"/>
  <c r="O24"/>
  <c r="O37" s="1"/>
  <c r="N24"/>
  <c r="M24"/>
  <c r="L24"/>
  <c r="K24"/>
  <c r="J24"/>
  <c r="I24"/>
  <c r="H24"/>
  <c r="G24"/>
  <c r="F24"/>
  <c r="E24"/>
  <c r="D24"/>
  <c r="C24"/>
  <c r="B24"/>
  <c r="B37" s="1"/>
  <c r="O23"/>
  <c r="O23" i="347" s="1"/>
  <c r="N23" i="346"/>
  <c r="M23"/>
  <c r="L23"/>
  <c r="K23"/>
  <c r="J23"/>
  <c r="I23"/>
  <c r="H23"/>
  <c r="G23"/>
  <c r="F23"/>
  <c r="E23"/>
  <c r="D23"/>
  <c r="C23"/>
  <c r="B23"/>
  <c r="B23" i="347" s="1"/>
  <c r="O22" i="346"/>
  <c r="O22" i="347" s="1"/>
  <c r="N22" i="346"/>
  <c r="M22"/>
  <c r="L22"/>
  <c r="K22"/>
  <c r="J22"/>
  <c r="I22"/>
  <c r="H22"/>
  <c r="G22"/>
  <c r="F22"/>
  <c r="E22"/>
  <c r="D22"/>
  <c r="C22"/>
  <c r="B22"/>
  <c r="O21"/>
  <c r="N21"/>
  <c r="M21"/>
  <c r="L21"/>
  <c r="K21"/>
  <c r="J21"/>
  <c r="I21"/>
  <c r="H21"/>
  <c r="G21"/>
  <c r="F21"/>
  <c r="E21"/>
  <c r="D21"/>
  <c r="C21"/>
  <c r="B21"/>
  <c r="O20"/>
  <c r="O20" i="347" s="1"/>
  <c r="N20" i="346"/>
  <c r="M20"/>
  <c r="L20"/>
  <c r="K20"/>
  <c r="J20"/>
  <c r="I20"/>
  <c r="H20"/>
  <c r="G20"/>
  <c r="F20"/>
  <c r="E20"/>
  <c r="D20"/>
  <c r="C20"/>
  <c r="B20"/>
  <c r="O19"/>
  <c r="O19" i="347" s="1"/>
  <c r="N19" i="346"/>
  <c r="M19"/>
  <c r="L19"/>
  <c r="K19"/>
  <c r="J19"/>
  <c r="I19"/>
  <c r="H19"/>
  <c r="G19"/>
  <c r="F19"/>
  <c r="E19"/>
  <c r="D19"/>
  <c r="C19"/>
  <c r="B19"/>
  <c r="O18"/>
  <c r="O18" i="347" s="1"/>
  <c r="N18" i="346"/>
  <c r="M18"/>
  <c r="L18"/>
  <c r="K18"/>
  <c r="J18"/>
  <c r="I18"/>
  <c r="H18"/>
  <c r="G18"/>
  <c r="F18"/>
  <c r="E18"/>
  <c r="D18"/>
  <c r="C18"/>
  <c r="B18"/>
  <c r="O17"/>
  <c r="O17" i="347" s="1"/>
  <c r="N17" i="346"/>
  <c r="M17"/>
  <c r="L17"/>
  <c r="K17"/>
  <c r="J17"/>
  <c r="I17"/>
  <c r="H17"/>
  <c r="G17"/>
  <c r="F17"/>
  <c r="E17"/>
  <c r="D17"/>
  <c r="C17"/>
  <c r="B17"/>
  <c r="O16"/>
  <c r="O16" i="347" s="1"/>
  <c r="N16" i="346"/>
  <c r="M16"/>
  <c r="L16"/>
  <c r="K16"/>
  <c r="J16"/>
  <c r="I16"/>
  <c r="H16"/>
  <c r="G16"/>
  <c r="F16"/>
  <c r="E16"/>
  <c r="D16"/>
  <c r="C16"/>
  <c r="B16"/>
  <c r="B16" i="347" s="1"/>
  <c r="O15" i="346"/>
  <c r="O15" i="347" s="1"/>
  <c r="N15" i="346"/>
  <c r="M15"/>
  <c r="L15"/>
  <c r="K15"/>
  <c r="J15"/>
  <c r="I15"/>
  <c r="H15"/>
  <c r="G15"/>
  <c r="F15"/>
  <c r="E15"/>
  <c r="D15"/>
  <c r="C15"/>
  <c r="B15"/>
  <c r="O14"/>
  <c r="O14" i="347" s="1"/>
  <c r="N14" i="346"/>
  <c r="M14"/>
  <c r="L14"/>
  <c r="K14"/>
  <c r="J14"/>
  <c r="I14"/>
  <c r="H14"/>
  <c r="G14"/>
  <c r="F14"/>
  <c r="E14"/>
  <c r="D14"/>
  <c r="C14"/>
  <c r="B14"/>
  <c r="O13"/>
  <c r="N13"/>
  <c r="M13"/>
  <c r="L13"/>
  <c r="K13"/>
  <c r="J13"/>
  <c r="I13"/>
  <c r="H13"/>
  <c r="G13"/>
  <c r="F13"/>
  <c r="E13"/>
  <c r="D13"/>
  <c r="C13"/>
  <c r="B13"/>
  <c r="O12"/>
  <c r="O12" i="347" s="1"/>
  <c r="N12" i="346"/>
  <c r="M12"/>
  <c r="L12"/>
  <c r="K12"/>
  <c r="J12"/>
  <c r="I12"/>
  <c r="H12"/>
  <c r="G12"/>
  <c r="F12"/>
  <c r="E12"/>
  <c r="D12"/>
  <c r="C12"/>
  <c r="B12"/>
  <c r="O11"/>
  <c r="O11" i="347" s="1"/>
  <c r="N11" i="346"/>
  <c r="M11"/>
  <c r="L11"/>
  <c r="K11"/>
  <c r="J11"/>
  <c r="I11"/>
  <c r="H11"/>
  <c r="G11"/>
  <c r="F11"/>
  <c r="E11"/>
  <c r="D11"/>
  <c r="C11"/>
  <c r="B11"/>
  <c r="O10"/>
  <c r="O10" i="347" s="1"/>
  <c r="N10" i="346"/>
  <c r="M10"/>
  <c r="L10"/>
  <c r="K10"/>
  <c r="J10"/>
  <c r="I10"/>
  <c r="H10"/>
  <c r="G10"/>
  <c r="F10"/>
  <c r="E10"/>
  <c r="D10"/>
  <c r="C10"/>
  <c r="B10"/>
  <c r="O9"/>
  <c r="O9" i="347" s="1"/>
  <c r="N9" i="346"/>
  <c r="M9"/>
  <c r="L9"/>
  <c r="K9"/>
  <c r="J9"/>
  <c r="I9"/>
  <c r="H9"/>
  <c r="G9"/>
  <c r="F9"/>
  <c r="E9"/>
  <c r="D9"/>
  <c r="C9"/>
  <c r="B9"/>
  <c r="O8"/>
  <c r="O8" i="347" s="1"/>
  <c r="N8" i="346"/>
  <c r="M8"/>
  <c r="L8"/>
  <c r="K8"/>
  <c r="J8"/>
  <c r="I8"/>
  <c r="H8"/>
  <c r="G8"/>
  <c r="F8"/>
  <c r="E8"/>
  <c r="D8"/>
  <c r="C8"/>
  <c r="B8"/>
  <c r="O7"/>
  <c r="O7" i="347" s="1"/>
  <c r="N7" i="346"/>
  <c r="M7"/>
  <c r="L7"/>
  <c r="K7"/>
  <c r="J7"/>
  <c r="I7"/>
  <c r="H7"/>
  <c r="G7"/>
  <c r="F7"/>
  <c r="E7"/>
  <c r="D7"/>
  <c r="C7"/>
  <c r="B7"/>
  <c r="D27" i="458"/>
  <c r="D28"/>
  <c r="B30" i="347"/>
  <c r="N29"/>
  <c r="M29" s="1"/>
  <c r="L29" s="1"/>
  <c r="K29" s="1"/>
  <c r="N28"/>
  <c r="M28" s="1"/>
  <c r="L28" s="1"/>
  <c r="K28" s="1"/>
  <c r="J28" s="1"/>
  <c r="I28" s="1"/>
  <c r="H28" s="1"/>
  <c r="G28" s="1"/>
  <c r="F28" s="1"/>
  <c r="E28" s="1"/>
  <c r="D28" s="1"/>
  <c r="C28" s="1"/>
  <c r="B28" s="1"/>
  <c r="N27"/>
  <c r="M27" s="1"/>
  <c r="L27" s="1"/>
  <c r="K27" s="1"/>
  <c r="H10" i="454"/>
  <c r="G10"/>
  <c r="E10"/>
  <c r="D10"/>
  <c r="H9"/>
  <c r="G9"/>
  <c r="E9"/>
  <c r="D9"/>
  <c r="H8"/>
  <c r="G8"/>
  <c r="E8"/>
  <c r="D8"/>
  <c r="H7"/>
  <c r="G7"/>
  <c r="E7"/>
  <c r="D7"/>
  <c r="H6"/>
  <c r="G6"/>
  <c r="D6"/>
  <c r="E5"/>
  <c r="D5"/>
  <c r="D11" i="453"/>
  <c r="D10"/>
  <c r="D9"/>
  <c r="D8"/>
  <c r="D7"/>
  <c r="D6"/>
  <c r="D5"/>
  <c r="D4"/>
  <c r="K14" i="331"/>
  <c r="J14"/>
  <c r="H14"/>
  <c r="K13"/>
  <c r="J13"/>
  <c r="H13"/>
  <c r="K12"/>
  <c r="J12"/>
  <c r="H12"/>
  <c r="K11"/>
  <c r="J11"/>
  <c r="H11"/>
  <c r="K10"/>
  <c r="J10"/>
  <c r="H10"/>
  <c r="K9"/>
  <c r="J9"/>
  <c r="H9"/>
  <c r="K8"/>
  <c r="J8"/>
  <c r="H8"/>
  <c r="K7"/>
  <c r="J7"/>
  <c r="H7"/>
  <c r="K6"/>
  <c r="J6"/>
  <c r="H6"/>
  <c r="K5"/>
  <c r="J5"/>
  <c r="L4"/>
  <c r="H16" i="330"/>
  <c r="G16"/>
  <c r="H15"/>
  <c r="G15"/>
  <c r="C20" i="118"/>
  <c r="B20"/>
  <c r="E10"/>
  <c r="D10"/>
  <c r="E9"/>
  <c r="D9"/>
  <c r="E8"/>
  <c r="D8"/>
  <c r="E7"/>
  <c r="D7"/>
  <c r="E6"/>
  <c r="D6"/>
  <c r="E5"/>
  <c r="D5"/>
  <c r="H80" i="356"/>
  <c r="G80"/>
  <c r="F80"/>
  <c r="H79"/>
  <c r="G79"/>
  <c r="F79"/>
  <c r="H78"/>
  <c r="G78"/>
  <c r="F78"/>
  <c r="O75"/>
  <c r="N75"/>
  <c r="M75"/>
  <c r="L75"/>
  <c r="K75"/>
  <c r="J75"/>
  <c r="I75"/>
  <c r="O74"/>
  <c r="N74"/>
  <c r="M74"/>
  <c r="L74"/>
  <c r="K74"/>
  <c r="J74"/>
  <c r="I74"/>
  <c r="O73"/>
  <c r="N73"/>
  <c r="M73"/>
  <c r="L73"/>
  <c r="K73"/>
  <c r="J73"/>
  <c r="I73"/>
  <c r="O70"/>
  <c r="R70" s="1"/>
  <c r="Q70" s="1"/>
  <c r="N70"/>
  <c r="M70"/>
  <c r="L70"/>
  <c r="K70"/>
  <c r="J70"/>
  <c r="I70"/>
  <c r="O69"/>
  <c r="R69" s="1"/>
  <c r="Q69" s="1"/>
  <c r="N69"/>
  <c r="M69"/>
  <c r="L69"/>
  <c r="K69"/>
  <c r="J69"/>
  <c r="I69"/>
  <c r="O68"/>
  <c r="R68" s="1"/>
  <c r="Q68" s="1"/>
  <c r="N68"/>
  <c r="M68"/>
  <c r="L68"/>
  <c r="K68"/>
  <c r="J68"/>
  <c r="I68"/>
  <c r="H65"/>
  <c r="G65"/>
  <c r="F65"/>
  <c r="H64"/>
  <c r="G64"/>
  <c r="F64"/>
  <c r="H63"/>
  <c r="G63"/>
  <c r="F63"/>
  <c r="H62"/>
  <c r="G62"/>
  <c r="F62"/>
  <c r="H61"/>
  <c r="G61"/>
  <c r="F61"/>
  <c r="O58"/>
  <c r="N58"/>
  <c r="M58"/>
  <c r="L58"/>
  <c r="K58"/>
  <c r="J58"/>
  <c r="I58"/>
  <c r="O57"/>
  <c r="N57"/>
  <c r="M57"/>
  <c r="L57"/>
  <c r="K57"/>
  <c r="J57"/>
  <c r="I57"/>
  <c r="O56"/>
  <c r="N56"/>
  <c r="M56"/>
  <c r="L56"/>
  <c r="K56"/>
  <c r="J56"/>
  <c r="I56"/>
  <c r="O55"/>
  <c r="N55"/>
  <c r="M55"/>
  <c r="L55"/>
  <c r="K55"/>
  <c r="J55"/>
  <c r="I55"/>
  <c r="O54"/>
  <c r="N54"/>
  <c r="M54"/>
  <c r="L54"/>
  <c r="K54"/>
  <c r="J54"/>
  <c r="I54"/>
  <c r="O51"/>
  <c r="R51" s="1"/>
  <c r="Q51" s="1"/>
  <c r="N51"/>
  <c r="M51"/>
  <c r="L51"/>
  <c r="K51"/>
  <c r="J51"/>
  <c r="I51"/>
  <c r="O50"/>
  <c r="R50" s="1"/>
  <c r="Q50" s="1"/>
  <c r="N50"/>
  <c r="M50"/>
  <c r="L50"/>
  <c r="K50"/>
  <c r="J50"/>
  <c r="I50"/>
  <c r="O49"/>
  <c r="R49" s="1"/>
  <c r="Q49" s="1"/>
  <c r="N49"/>
  <c r="M49"/>
  <c r="L49"/>
  <c r="K49"/>
  <c r="J49"/>
  <c r="I49"/>
  <c r="O48"/>
  <c r="R48" s="1"/>
  <c r="Q48" s="1"/>
  <c r="N48"/>
  <c r="M48"/>
  <c r="L48"/>
  <c r="K48"/>
  <c r="J48"/>
  <c r="I48"/>
  <c r="O47"/>
  <c r="R47" s="1"/>
  <c r="Q47" s="1"/>
  <c r="N47"/>
  <c r="M47"/>
  <c r="L47"/>
  <c r="K47"/>
  <c r="J47"/>
  <c r="I47"/>
  <c r="H44"/>
  <c r="G44"/>
  <c r="F44"/>
  <c r="H43"/>
  <c r="G43"/>
  <c r="F43"/>
  <c r="H42"/>
  <c r="G42"/>
  <c r="F42"/>
  <c r="H41"/>
  <c r="G41"/>
  <c r="F41"/>
  <c r="H40"/>
  <c r="G40"/>
  <c r="F40"/>
  <c r="O37"/>
  <c r="N37"/>
  <c r="M37"/>
  <c r="L37"/>
  <c r="K37"/>
  <c r="J37"/>
  <c r="I37"/>
  <c r="O36"/>
  <c r="N36"/>
  <c r="M36"/>
  <c r="L36"/>
  <c r="K36"/>
  <c r="J36"/>
  <c r="I36"/>
  <c r="O35"/>
  <c r="N35"/>
  <c r="M35"/>
  <c r="L35"/>
  <c r="K35"/>
  <c r="J35"/>
  <c r="I35"/>
  <c r="O34"/>
  <c r="N34"/>
  <c r="M34"/>
  <c r="L34"/>
  <c r="K34"/>
  <c r="J34"/>
  <c r="I34"/>
  <c r="O33"/>
  <c r="N33"/>
  <c r="M33"/>
  <c r="L33"/>
  <c r="K33"/>
  <c r="J33"/>
  <c r="I33"/>
  <c r="O30"/>
  <c r="R30" s="1"/>
  <c r="Q30" s="1"/>
  <c r="N30"/>
  <c r="M30"/>
  <c r="L30"/>
  <c r="K30"/>
  <c r="J30"/>
  <c r="I30"/>
  <c r="B30"/>
  <c r="O29"/>
  <c r="R29" s="1"/>
  <c r="Q29" s="1"/>
  <c r="N29"/>
  <c r="M29"/>
  <c r="L29"/>
  <c r="K29"/>
  <c r="J29"/>
  <c r="I29"/>
  <c r="O28"/>
  <c r="R28" s="1"/>
  <c r="Q28" s="1"/>
  <c r="N28"/>
  <c r="M28"/>
  <c r="L28"/>
  <c r="K28"/>
  <c r="J28"/>
  <c r="I28"/>
  <c r="O27"/>
  <c r="R27" s="1"/>
  <c r="Q27" s="1"/>
  <c r="N27"/>
  <c r="M27"/>
  <c r="L27"/>
  <c r="K27"/>
  <c r="J27"/>
  <c r="I27"/>
  <c r="O26"/>
  <c r="R26" s="1"/>
  <c r="Q26" s="1"/>
  <c r="N26"/>
  <c r="M26"/>
  <c r="L26"/>
  <c r="K26"/>
  <c r="J26"/>
  <c r="I26"/>
  <c r="H23"/>
  <c r="G23"/>
  <c r="F23"/>
  <c r="H22"/>
  <c r="G22"/>
  <c r="F22"/>
  <c r="H21"/>
  <c r="G21"/>
  <c r="F21"/>
  <c r="H20"/>
  <c r="G20"/>
  <c r="F20"/>
  <c r="H19"/>
  <c r="G19"/>
  <c r="F19"/>
  <c r="O16"/>
  <c r="N16"/>
  <c r="M16"/>
  <c r="L16"/>
  <c r="K16"/>
  <c r="J16"/>
  <c r="I16"/>
  <c r="O15"/>
  <c r="N15"/>
  <c r="M15"/>
  <c r="L15"/>
  <c r="K15"/>
  <c r="J15"/>
  <c r="I15"/>
  <c r="O14"/>
  <c r="N14"/>
  <c r="M14"/>
  <c r="L14"/>
  <c r="K14"/>
  <c r="J14"/>
  <c r="I14"/>
  <c r="O13"/>
  <c r="N13"/>
  <c r="M13"/>
  <c r="L13"/>
  <c r="K13"/>
  <c r="J13"/>
  <c r="I13"/>
  <c r="O12"/>
  <c r="N12"/>
  <c r="M12"/>
  <c r="L12"/>
  <c r="K12"/>
  <c r="J12"/>
  <c r="I12"/>
  <c r="O9"/>
  <c r="R9" s="1"/>
  <c r="Q9" s="1"/>
  <c r="N9"/>
  <c r="M9"/>
  <c r="L9"/>
  <c r="K9"/>
  <c r="J9"/>
  <c r="I9"/>
  <c r="O8"/>
  <c r="R8" s="1"/>
  <c r="Q8" s="1"/>
  <c r="N8"/>
  <c r="M8"/>
  <c r="L8"/>
  <c r="K8"/>
  <c r="J8"/>
  <c r="I8"/>
  <c r="O7"/>
  <c r="R7" s="1"/>
  <c r="Q7" s="1"/>
  <c r="N7"/>
  <c r="M7"/>
  <c r="L7"/>
  <c r="K7"/>
  <c r="J7"/>
  <c r="I7"/>
  <c r="O6"/>
  <c r="R6" s="1"/>
  <c r="Q6" s="1"/>
  <c r="N6"/>
  <c r="M6"/>
  <c r="L6"/>
  <c r="K6"/>
  <c r="J6"/>
  <c r="I6"/>
  <c r="O5"/>
  <c r="R5" s="1"/>
  <c r="Q5" s="1"/>
  <c r="N5"/>
  <c r="M5"/>
  <c r="L5"/>
  <c r="K5"/>
  <c r="J5"/>
  <c r="I5"/>
  <c r="L15" i="34"/>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AH51" i="324"/>
  <c r="AF51"/>
  <c r="AE51"/>
  <c r="AD51"/>
  <c r="AC51"/>
  <c r="AH50"/>
  <c r="AF50"/>
  <c r="AE50"/>
  <c r="AD50"/>
  <c r="AC50"/>
  <c r="AH49"/>
  <c r="AF49"/>
  <c r="AE49"/>
  <c r="AD49"/>
  <c r="AC49"/>
  <c r="AH48"/>
  <c r="AF48"/>
  <c r="AE48"/>
  <c r="AD48"/>
  <c r="AC48"/>
  <c r="AH47"/>
  <c r="AF47"/>
  <c r="AE47"/>
  <c r="AD47"/>
  <c r="AC47"/>
  <c r="AH46"/>
  <c r="AF46"/>
  <c r="AE46"/>
  <c r="AD46"/>
  <c r="AC46"/>
  <c r="AH43"/>
  <c r="AF43"/>
  <c r="AE43"/>
  <c r="AD43"/>
  <c r="AC43"/>
  <c r="AH42"/>
  <c r="AF42"/>
  <c r="AE42"/>
  <c r="AD42"/>
  <c r="AC42"/>
  <c r="AH40"/>
  <c r="AF40"/>
  <c r="AE40"/>
  <c r="AD40"/>
  <c r="AC40"/>
  <c r="AH39"/>
  <c r="AF39"/>
  <c r="AE39"/>
  <c r="AD39"/>
  <c r="AC39"/>
  <c r="AH37"/>
  <c r="AF37"/>
  <c r="AE37"/>
  <c r="AD37"/>
  <c r="AC37"/>
  <c r="AH35"/>
  <c r="AF35"/>
  <c r="AE35"/>
  <c r="AD35"/>
  <c r="AC35"/>
  <c r="AC33"/>
  <c r="AH32"/>
  <c r="AF32"/>
  <c r="AE32"/>
  <c r="AD32"/>
  <c r="AC32"/>
  <c r="AH31"/>
  <c r="AF31"/>
  <c r="AE31"/>
  <c r="AD31"/>
  <c r="AC31"/>
  <c r="AH30"/>
  <c r="AF30"/>
  <c r="AE30"/>
  <c r="AD30"/>
  <c r="AC30"/>
  <c r="AH29"/>
  <c r="AF29"/>
  <c r="AE29"/>
  <c r="AD29"/>
  <c r="AC29"/>
  <c r="AH28"/>
  <c r="AF28"/>
  <c r="AE28"/>
  <c r="AD28"/>
  <c r="AC28"/>
  <c r="AH26"/>
  <c r="AF26"/>
  <c r="AE26"/>
  <c r="AD26"/>
  <c r="AC26"/>
  <c r="AC24"/>
  <c r="AH23"/>
  <c r="AF23"/>
  <c r="AE23"/>
  <c r="AD23"/>
  <c r="AC23"/>
  <c r="AH22"/>
  <c r="AF22"/>
  <c r="AE22"/>
  <c r="AD22"/>
  <c r="AC22"/>
  <c r="AH21"/>
  <c r="AF21"/>
  <c r="AE21"/>
  <c r="AD21"/>
  <c r="AC21"/>
  <c r="AH20"/>
  <c r="AF20"/>
  <c r="AE20"/>
  <c r="AD20"/>
  <c r="AC20"/>
  <c r="AH18"/>
  <c r="AF18"/>
  <c r="AE18"/>
  <c r="AD18"/>
  <c r="AC18"/>
  <c r="AH17"/>
  <c r="AF17"/>
  <c r="AE17"/>
  <c r="AD17"/>
  <c r="AC17"/>
  <c r="AH16"/>
  <c r="AF16"/>
  <c r="AE16"/>
  <c r="AD16"/>
  <c r="AC16"/>
  <c r="AH15"/>
  <c r="AF15"/>
  <c r="AE15"/>
  <c r="AD15"/>
  <c r="AC15"/>
  <c r="AH13"/>
  <c r="AF13"/>
  <c r="AE13"/>
  <c r="AD13"/>
  <c r="AC13"/>
  <c r="AD11"/>
  <c r="AC11"/>
  <c r="AD10"/>
  <c r="AC10"/>
  <c r="AH9"/>
  <c r="AF9"/>
  <c r="AE9"/>
  <c r="AD9"/>
  <c r="AC9"/>
  <c r="AH7"/>
  <c r="L30" i="271"/>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30" i="31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L36" s="1"/>
  <c r="K24"/>
  <c r="K36" s="1"/>
  <c r="J24"/>
  <c r="J36" s="1"/>
  <c r="I24"/>
  <c r="I36" s="1"/>
  <c r="H24"/>
  <c r="H36" s="1"/>
  <c r="G24"/>
  <c r="G36" s="1"/>
  <c r="F24"/>
  <c r="F36" s="1"/>
  <c r="E24"/>
  <c r="E36" s="1"/>
  <c r="D24"/>
  <c r="D36" s="1"/>
  <c r="C24"/>
  <c r="C36" s="1"/>
  <c r="B24"/>
  <c r="B36" s="1"/>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30" i="269"/>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L36" s="1"/>
  <c r="K24"/>
  <c r="K36" s="1"/>
  <c r="J24"/>
  <c r="J36" s="1"/>
  <c r="I24"/>
  <c r="I36" s="1"/>
  <c r="H24"/>
  <c r="H36" s="1"/>
  <c r="G24"/>
  <c r="G36" s="1"/>
  <c r="F24"/>
  <c r="F36" s="1"/>
  <c r="E24"/>
  <c r="E36" s="1"/>
  <c r="D24"/>
  <c r="D36" s="1"/>
  <c r="C24"/>
  <c r="C36" s="1"/>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L35" s="1"/>
  <c r="K5"/>
  <c r="K35" s="1"/>
  <c r="J5"/>
  <c r="J35" s="1"/>
  <c r="I5"/>
  <c r="I35" s="1"/>
  <c r="H5"/>
  <c r="H35" s="1"/>
  <c r="G5"/>
  <c r="G35" s="1"/>
  <c r="F5"/>
  <c r="F35" s="1"/>
  <c r="E5"/>
  <c r="E35" s="1"/>
  <c r="D5"/>
  <c r="D35" s="1"/>
  <c r="C5"/>
  <c r="C35" s="1"/>
  <c r="B5"/>
  <c r="G34" i="458" l="1"/>
  <c r="J27" i="347"/>
  <c r="I27" s="1"/>
  <c r="H27" s="1"/>
  <c r="G27" s="1"/>
  <c r="F27" s="1"/>
  <c r="E27" s="1"/>
  <c r="D27" s="1"/>
  <c r="C27" s="1"/>
  <c r="B27" s="1"/>
  <c r="J29"/>
  <c r="I29" s="1"/>
  <c r="H29" s="1"/>
  <c r="G29" s="1"/>
  <c r="F29" s="1"/>
  <c r="E29" s="1"/>
  <c r="D29" s="1"/>
  <c r="C29" s="1"/>
  <c r="G27" i="458"/>
  <c r="F27" s="1"/>
  <c r="C38" i="310"/>
  <c r="C35"/>
  <c r="E38"/>
  <c r="E35"/>
  <c r="G38"/>
  <c r="G35"/>
  <c r="I38"/>
  <c r="I35"/>
  <c r="K38"/>
  <c r="K35"/>
  <c r="C38" i="271"/>
  <c r="C35"/>
  <c r="E38"/>
  <c r="E35"/>
  <c r="G38"/>
  <c r="G35"/>
  <c r="I38"/>
  <c r="I35"/>
  <c r="K38"/>
  <c r="K35"/>
  <c r="B34"/>
  <c r="B36"/>
  <c r="D34"/>
  <c r="D36"/>
  <c r="F34"/>
  <c r="F36"/>
  <c r="H34"/>
  <c r="H36"/>
  <c r="J34"/>
  <c r="J36"/>
  <c r="L34"/>
  <c r="L36"/>
  <c r="C33"/>
  <c r="E33"/>
  <c r="G33"/>
  <c r="I33"/>
  <c r="K33"/>
  <c r="B38" i="310"/>
  <c r="B35"/>
  <c r="D38"/>
  <c r="D35"/>
  <c r="F38"/>
  <c r="F35"/>
  <c r="H38"/>
  <c r="H35"/>
  <c r="J38"/>
  <c r="J35"/>
  <c r="L38"/>
  <c r="L35"/>
  <c r="B35" i="271"/>
  <c r="B38"/>
  <c r="D38"/>
  <c r="D35"/>
  <c r="F35"/>
  <c r="F38"/>
  <c r="H38"/>
  <c r="H35"/>
  <c r="J35"/>
  <c r="J38"/>
  <c r="L38"/>
  <c r="L35"/>
  <c r="C34"/>
  <c r="C36"/>
  <c r="E34"/>
  <c r="E36"/>
  <c r="G34"/>
  <c r="G36"/>
  <c r="I34"/>
  <c r="I36"/>
  <c r="K34"/>
  <c r="K36"/>
  <c r="B33"/>
  <c r="D33"/>
  <c r="F33"/>
  <c r="H33"/>
  <c r="J33"/>
  <c r="L33"/>
  <c r="N34" i="346"/>
  <c r="N5" i="347"/>
  <c r="M5" s="1"/>
  <c r="F35" i="458"/>
  <c r="F29"/>
  <c r="F31"/>
  <c r="G31"/>
  <c r="G35"/>
  <c r="G29"/>
  <c r="AA12" i="343"/>
  <c r="AD12"/>
  <c r="AC7"/>
  <c r="AD7"/>
  <c r="AA7"/>
  <c r="Z12" i="342"/>
  <c r="AA12"/>
  <c r="AD12"/>
  <c r="Z14"/>
  <c r="B31" i="347"/>
  <c r="O31"/>
  <c r="D31"/>
  <c r="F31"/>
  <c r="H31"/>
  <c r="J31"/>
  <c r="L31"/>
  <c r="N31"/>
  <c r="C31"/>
  <c r="E31"/>
  <c r="G31"/>
  <c r="I31"/>
  <c r="K31"/>
  <c r="M31"/>
  <c r="D24"/>
  <c r="D37" i="346"/>
  <c r="F24" i="347"/>
  <c r="F37" i="346"/>
  <c r="H24" i="347"/>
  <c r="H37" i="346"/>
  <c r="J24" i="347"/>
  <c r="J37" i="346"/>
  <c r="L24" i="347"/>
  <c r="L37" i="346"/>
  <c r="N24" i="347"/>
  <c r="N37" i="346"/>
  <c r="B34"/>
  <c r="C24" i="347"/>
  <c r="C37" i="346"/>
  <c r="E24" i="347"/>
  <c r="E37" i="346"/>
  <c r="G24" i="347"/>
  <c r="G37" i="346"/>
  <c r="I24" i="347"/>
  <c r="I37" i="346"/>
  <c r="K24" i="347"/>
  <c r="K37" i="346"/>
  <c r="M24" i="347"/>
  <c r="M37" i="346"/>
  <c r="M6" i="347"/>
  <c r="L6" s="1"/>
  <c r="K6" s="1"/>
  <c r="J6" s="1"/>
  <c r="I6" s="1"/>
  <c r="H6" s="1"/>
  <c r="G6" s="1"/>
  <c r="F6" s="1"/>
  <c r="E6" s="1"/>
  <c r="D6" s="1"/>
  <c r="C6" s="1"/>
  <c r="B6" s="1"/>
  <c r="Z11" i="342"/>
  <c r="Z13"/>
  <c r="Z13" i="343"/>
  <c r="Z11"/>
  <c r="I19" i="356"/>
  <c r="J19"/>
  <c r="K19"/>
  <c r="L19"/>
  <c r="M19"/>
  <c r="N19"/>
  <c r="O19"/>
  <c r="R19" s="1"/>
  <c r="I20"/>
  <c r="J20"/>
  <c r="K20"/>
  <c r="L20"/>
  <c r="M20"/>
  <c r="N20"/>
  <c r="O20"/>
  <c r="R20" s="1"/>
  <c r="I21"/>
  <c r="J21"/>
  <c r="K21"/>
  <c r="L21"/>
  <c r="M21"/>
  <c r="N21"/>
  <c r="O21"/>
  <c r="I22"/>
  <c r="J22"/>
  <c r="K22"/>
  <c r="L22"/>
  <c r="M22"/>
  <c r="N22"/>
  <c r="O22"/>
  <c r="I23"/>
  <c r="J23"/>
  <c r="K23"/>
  <c r="L23"/>
  <c r="M23"/>
  <c r="N23"/>
  <c r="O23"/>
  <c r="I40"/>
  <c r="J40"/>
  <c r="K40"/>
  <c r="L40"/>
  <c r="M40"/>
  <c r="N40"/>
  <c r="O40"/>
  <c r="Q40" s="1"/>
  <c r="I41"/>
  <c r="J41"/>
  <c r="K41"/>
  <c r="L41"/>
  <c r="M41"/>
  <c r="N41"/>
  <c r="O41"/>
  <c r="Q41" s="1"/>
  <c r="I42"/>
  <c r="J42"/>
  <c r="K42"/>
  <c r="L42"/>
  <c r="M42"/>
  <c r="N42"/>
  <c r="O42"/>
  <c r="Q42" s="1"/>
  <c r="I43"/>
  <c r="J43"/>
  <c r="K43"/>
  <c r="L43"/>
  <c r="M43"/>
  <c r="N43"/>
  <c r="O43"/>
  <c r="R43" s="1"/>
  <c r="I44"/>
  <c r="J44"/>
  <c r="K44"/>
  <c r="L44"/>
  <c r="M44"/>
  <c r="N44"/>
  <c r="O44"/>
  <c r="R44" s="1"/>
  <c r="I61"/>
  <c r="J61"/>
  <c r="K61"/>
  <c r="L61"/>
  <c r="M61"/>
  <c r="N61"/>
  <c r="O61"/>
  <c r="R61" s="1"/>
  <c r="I62"/>
  <c r="J62"/>
  <c r="K62"/>
  <c r="L62"/>
  <c r="M62"/>
  <c r="N62"/>
  <c r="O62"/>
  <c r="Q62" s="1"/>
  <c r="I63"/>
  <c r="J63"/>
  <c r="K63"/>
  <c r="L63"/>
  <c r="M63"/>
  <c r="N63"/>
  <c r="O63"/>
  <c r="R63" s="1"/>
  <c r="I64"/>
  <c r="J64"/>
  <c r="K64"/>
  <c r="L64"/>
  <c r="M64"/>
  <c r="N64"/>
  <c r="O64"/>
  <c r="R64" s="1"/>
  <c r="I65"/>
  <c r="J65"/>
  <c r="K65"/>
  <c r="L65"/>
  <c r="M65"/>
  <c r="N65"/>
  <c r="O65"/>
  <c r="R65" s="1"/>
  <c r="I78"/>
  <c r="J78"/>
  <c r="K78"/>
  <c r="L78"/>
  <c r="M78"/>
  <c r="N78"/>
  <c r="O78"/>
  <c r="Q78" s="1"/>
  <c r="I79"/>
  <c r="J79"/>
  <c r="K79"/>
  <c r="L79"/>
  <c r="M79"/>
  <c r="N79"/>
  <c r="O79"/>
  <c r="R79" s="1"/>
  <c r="I80"/>
  <c r="J80"/>
  <c r="K80"/>
  <c r="L80"/>
  <c r="M80"/>
  <c r="N80"/>
  <c r="O80"/>
  <c r="R80" s="1"/>
  <c r="F6" i="454"/>
  <c r="F7"/>
  <c r="F8"/>
  <c r="F9"/>
  <c r="F10"/>
  <c r="R41" i="356"/>
  <c r="F34" i="458"/>
  <c r="F30"/>
  <c r="F28"/>
  <c r="D52" i="424"/>
  <c r="B16" i="34"/>
  <c r="C16"/>
  <c r="D16"/>
  <c r="E16"/>
  <c r="F16"/>
  <c r="G16"/>
  <c r="H16"/>
  <c r="I16"/>
  <c r="J16"/>
  <c r="K16"/>
  <c r="L16"/>
  <c r="B17"/>
  <c r="C17"/>
  <c r="D17"/>
  <c r="E17"/>
  <c r="F17"/>
  <c r="G17"/>
  <c r="H17"/>
  <c r="I17"/>
  <c r="J17"/>
  <c r="K17"/>
  <c r="L17"/>
  <c r="Q12" i="356"/>
  <c r="R12"/>
  <c r="Q13"/>
  <c r="R13"/>
  <c r="Q14"/>
  <c r="R14"/>
  <c r="Q15"/>
  <c r="R15"/>
  <c r="Q16"/>
  <c r="R16"/>
  <c r="Q33"/>
  <c r="R33"/>
  <c r="Q34"/>
  <c r="R34"/>
  <c r="Q35"/>
  <c r="R35"/>
  <c r="Q36"/>
  <c r="R36"/>
  <c r="Q37"/>
  <c r="R37"/>
  <c r="Q54"/>
  <c r="R54"/>
  <c r="Q55"/>
  <c r="R55"/>
  <c r="Q56"/>
  <c r="R56"/>
  <c r="Q57"/>
  <c r="R57"/>
  <c r="Q58"/>
  <c r="R58"/>
  <c r="Q73"/>
  <c r="R73"/>
  <c r="Q74"/>
  <c r="R74"/>
  <c r="Q75"/>
  <c r="R75"/>
  <c r="L5" i="331"/>
  <c r="L6"/>
  <c r="L7"/>
  <c r="L8"/>
  <c r="L9"/>
  <c r="L10"/>
  <c r="L11"/>
  <c r="L12"/>
  <c r="L13"/>
  <c r="K16"/>
  <c r="G28" i="458"/>
  <c r="C55" i="424"/>
  <c r="C56" s="1"/>
  <c r="B33" i="269"/>
  <c r="C33"/>
  <c r="D33"/>
  <c r="E33"/>
  <c r="F33"/>
  <c r="G33"/>
  <c r="H33"/>
  <c r="I33"/>
  <c r="J33"/>
  <c r="K33"/>
  <c r="L33"/>
  <c r="B34"/>
  <c r="C34"/>
  <c r="D34"/>
  <c r="E34"/>
  <c r="F34"/>
  <c r="G34"/>
  <c r="H34"/>
  <c r="I34"/>
  <c r="J34"/>
  <c r="K34"/>
  <c r="L34"/>
  <c r="B36"/>
  <c r="B34" i="310"/>
  <c r="L33" s="1"/>
  <c r="K33" s="1"/>
  <c r="J33" s="1"/>
  <c r="I33" s="1"/>
  <c r="H33" s="1"/>
  <c r="G33" s="1"/>
  <c r="F33" s="1"/>
  <c r="E33" s="1"/>
  <c r="D33" s="1"/>
  <c r="C33" s="1"/>
  <c r="B33" s="1"/>
  <c r="C34"/>
  <c r="D34"/>
  <c r="E34"/>
  <c r="F34"/>
  <c r="G34"/>
  <c r="H34"/>
  <c r="I34"/>
  <c r="J34"/>
  <c r="K34"/>
  <c r="L34"/>
  <c r="N7" i="347"/>
  <c r="M7" s="1"/>
  <c r="L7" s="1"/>
  <c r="K7" s="1"/>
  <c r="J7" s="1"/>
  <c r="I7" s="1"/>
  <c r="H7" s="1"/>
  <c r="G7" s="1"/>
  <c r="F7" s="1"/>
  <c r="E7" s="1"/>
  <c r="D7" s="1"/>
  <c r="C7" s="1"/>
  <c r="B7" s="1"/>
  <c r="N8"/>
  <c r="M8" s="1"/>
  <c r="L8" s="1"/>
  <c r="K8" s="1"/>
  <c r="J8" s="1"/>
  <c r="I8" s="1"/>
  <c r="H8" s="1"/>
  <c r="G8" s="1"/>
  <c r="F8" s="1"/>
  <c r="E8" s="1"/>
  <c r="D8" s="1"/>
  <c r="C8" s="1"/>
  <c r="B8" s="1"/>
  <c r="N9"/>
  <c r="M9" s="1"/>
  <c r="L9" s="1"/>
  <c r="K9" s="1"/>
  <c r="J9" s="1"/>
  <c r="I9" s="1"/>
  <c r="H9" s="1"/>
  <c r="G9" s="1"/>
  <c r="F9" s="1"/>
  <c r="E9" s="1"/>
  <c r="D9" s="1"/>
  <c r="C9" s="1"/>
  <c r="B9" s="1"/>
  <c r="N10"/>
  <c r="M10" s="1"/>
  <c r="L10" s="1"/>
  <c r="K10" s="1"/>
  <c r="J10" s="1"/>
  <c r="I10" s="1"/>
  <c r="H10" s="1"/>
  <c r="G10" s="1"/>
  <c r="F10" s="1"/>
  <c r="E10" s="1"/>
  <c r="D10" s="1"/>
  <c r="C10" s="1"/>
  <c r="B10" s="1"/>
  <c r="N11"/>
  <c r="M11" s="1"/>
  <c r="L11" s="1"/>
  <c r="K11" s="1"/>
  <c r="J11" s="1"/>
  <c r="I11" s="1"/>
  <c r="H11" s="1"/>
  <c r="G11" s="1"/>
  <c r="F11" s="1"/>
  <c r="E11" s="1"/>
  <c r="D11" s="1"/>
  <c r="C11" s="1"/>
  <c r="B11" s="1"/>
  <c r="N12"/>
  <c r="M12" s="1"/>
  <c r="L12" s="1"/>
  <c r="K12" s="1"/>
  <c r="J12" s="1"/>
  <c r="I12" s="1"/>
  <c r="H12" s="1"/>
  <c r="G12" s="1"/>
  <c r="F12" s="1"/>
  <c r="E12" s="1"/>
  <c r="D12" s="1"/>
  <c r="C12" s="1"/>
  <c r="B12" s="1"/>
  <c r="B13"/>
  <c r="B35" s="1"/>
  <c r="B35" i="346"/>
  <c r="C13" i="347"/>
  <c r="C35" s="1"/>
  <c r="C35" i="346"/>
  <c r="D13" i="347"/>
  <c r="D35" s="1"/>
  <c r="D35" i="346"/>
  <c r="E13" i="347"/>
  <c r="E35" s="1"/>
  <c r="E35" i="346"/>
  <c r="F13" i="347"/>
  <c r="F35" s="1"/>
  <c r="F35" i="346"/>
  <c r="G13" i="347"/>
  <c r="G35" s="1"/>
  <c r="G35" i="346"/>
  <c r="H13" i="347"/>
  <c r="H35" s="1"/>
  <c r="H35" i="346"/>
  <c r="I13" i="347"/>
  <c r="I35" s="1"/>
  <c r="I35" i="346"/>
  <c r="J13" i="347"/>
  <c r="J35" s="1"/>
  <c r="J35" i="346"/>
  <c r="K13" i="347"/>
  <c r="K35" s="1"/>
  <c r="K35" i="346"/>
  <c r="L13" i="347"/>
  <c r="L35" s="1"/>
  <c r="L35" i="346"/>
  <c r="M13" i="347"/>
  <c r="M35" i="346"/>
  <c r="N13" i="347"/>
  <c r="N35" i="346"/>
  <c r="O13" i="347"/>
  <c r="O35" s="1"/>
  <c r="O35" i="346"/>
  <c r="N14" i="347"/>
  <c r="M14" s="1"/>
  <c r="L14" s="1"/>
  <c r="K14" s="1"/>
  <c r="J14" s="1"/>
  <c r="I14" s="1"/>
  <c r="H14" s="1"/>
  <c r="G14" s="1"/>
  <c r="F14" s="1"/>
  <c r="E14" s="1"/>
  <c r="D14" s="1"/>
  <c r="C14" s="1"/>
  <c r="B14" s="1"/>
  <c r="N15"/>
  <c r="M15" s="1"/>
  <c r="L15" s="1"/>
  <c r="K15" s="1"/>
  <c r="J15" s="1"/>
  <c r="I15" s="1"/>
  <c r="H15" s="1"/>
  <c r="G15" s="1"/>
  <c r="F15" s="1"/>
  <c r="E15" s="1"/>
  <c r="D15" s="1"/>
  <c r="C15" s="1"/>
  <c r="B15" s="1"/>
  <c r="N16"/>
  <c r="M16" s="1"/>
  <c r="L16" s="1"/>
  <c r="K16" s="1"/>
  <c r="J16" s="1"/>
  <c r="I16" s="1"/>
  <c r="H16" s="1"/>
  <c r="G16" s="1"/>
  <c r="F16" s="1"/>
  <c r="E16" s="1"/>
  <c r="D16" s="1"/>
  <c r="C16" s="1"/>
  <c r="N17"/>
  <c r="M17" s="1"/>
  <c r="L17" s="1"/>
  <c r="K17" s="1"/>
  <c r="J17" s="1"/>
  <c r="I17" s="1"/>
  <c r="H17" s="1"/>
  <c r="G17" s="1"/>
  <c r="F17" s="1"/>
  <c r="E17" s="1"/>
  <c r="D17" s="1"/>
  <c r="C17" s="1"/>
  <c r="B17" s="1"/>
  <c r="N18"/>
  <c r="M18" s="1"/>
  <c r="L18" s="1"/>
  <c r="K18" s="1"/>
  <c r="J18" s="1"/>
  <c r="I18" s="1"/>
  <c r="H18" s="1"/>
  <c r="G18" s="1"/>
  <c r="F18" s="1"/>
  <c r="E18" s="1"/>
  <c r="D18" s="1"/>
  <c r="C18" s="1"/>
  <c r="B18" s="1"/>
  <c r="N19"/>
  <c r="M19" s="1"/>
  <c r="L19" s="1"/>
  <c r="K19" s="1"/>
  <c r="J19" s="1"/>
  <c r="I19" s="1"/>
  <c r="H19" s="1"/>
  <c r="G19" s="1"/>
  <c r="F19" s="1"/>
  <c r="E19" s="1"/>
  <c r="D19" s="1"/>
  <c r="C19" s="1"/>
  <c r="B19" s="1"/>
  <c r="N20"/>
  <c r="M20" s="1"/>
  <c r="L20" s="1"/>
  <c r="K20" s="1"/>
  <c r="J20" s="1"/>
  <c r="I20" s="1"/>
  <c r="H20" s="1"/>
  <c r="G20" s="1"/>
  <c r="F20" s="1"/>
  <c r="E20" s="1"/>
  <c r="D20" s="1"/>
  <c r="C20" s="1"/>
  <c r="B20" s="1"/>
  <c r="O21"/>
  <c r="N22"/>
  <c r="M22" s="1"/>
  <c r="L22" s="1"/>
  <c r="K22" s="1"/>
  <c r="J22" s="1"/>
  <c r="I22" s="1"/>
  <c r="H22" s="1"/>
  <c r="G22" s="1"/>
  <c r="F22" s="1"/>
  <c r="E22" s="1"/>
  <c r="D22" s="1"/>
  <c r="C22" s="1"/>
  <c r="B22" s="1"/>
  <c r="N23"/>
  <c r="M23" s="1"/>
  <c r="L23" s="1"/>
  <c r="K23" s="1"/>
  <c r="J23" s="1"/>
  <c r="I23" s="1"/>
  <c r="H23" s="1"/>
  <c r="G23" s="1"/>
  <c r="F23" s="1"/>
  <c r="E23" s="1"/>
  <c r="D23" s="1"/>
  <c r="C23" s="1"/>
  <c r="B24"/>
  <c r="B36" s="1"/>
  <c r="O24"/>
  <c r="O36" s="1"/>
  <c r="O36" i="346"/>
  <c r="N36" s="1"/>
  <c r="M36" s="1"/>
  <c r="L36" s="1"/>
  <c r="K36" s="1"/>
  <c r="J36" s="1"/>
  <c r="I36" s="1"/>
  <c r="H36" s="1"/>
  <c r="G36" s="1"/>
  <c r="F36" s="1"/>
  <c r="E36" s="1"/>
  <c r="D36" s="1"/>
  <c r="C36" s="1"/>
  <c r="B36" s="1"/>
  <c r="N25" i="347"/>
  <c r="M25" s="1"/>
  <c r="L25" s="1"/>
  <c r="K25" s="1"/>
  <c r="J25" s="1"/>
  <c r="I25" s="1"/>
  <c r="H25" s="1"/>
  <c r="G25" s="1"/>
  <c r="F25" s="1"/>
  <c r="E25" s="1"/>
  <c r="D25" s="1"/>
  <c r="C25" s="1"/>
  <c r="B25" s="1"/>
  <c r="N26"/>
  <c r="M26" s="1"/>
  <c r="L26" s="1"/>
  <c r="K26" s="1"/>
  <c r="J26" s="1"/>
  <c r="I26" s="1"/>
  <c r="H26" s="1"/>
  <c r="G26" s="1"/>
  <c r="F26" s="1"/>
  <c r="E26" s="1"/>
  <c r="D26" s="1"/>
  <c r="C26" s="1"/>
  <c r="B26" s="1"/>
  <c r="B35" i="269"/>
  <c r="R23" i="356" l="1"/>
  <c r="Q22"/>
  <c r="R21"/>
  <c r="Q44"/>
  <c r="Q21"/>
  <c r="N35" i="347"/>
  <c r="M35"/>
  <c r="Q23" i="356"/>
  <c r="Q19"/>
  <c r="Q80"/>
  <c r="Q64"/>
  <c r="R22"/>
  <c r="Q20"/>
  <c r="R78"/>
  <c r="R62"/>
  <c r="R42"/>
  <c r="R40"/>
  <c r="Q65"/>
  <c r="Q63"/>
  <c r="Q61"/>
  <c r="Q43"/>
  <c r="O32" i="347"/>
  <c r="L32"/>
  <c r="D32"/>
  <c r="G32"/>
  <c r="N32"/>
  <c r="F32"/>
  <c r="M32"/>
  <c r="E32"/>
  <c r="H32"/>
  <c r="K32"/>
  <c r="C32"/>
  <c r="J32"/>
  <c r="B32"/>
  <c r="I32"/>
  <c r="M36"/>
  <c r="K36"/>
  <c r="I36"/>
  <c r="G36"/>
  <c r="E36"/>
  <c r="C36"/>
  <c r="N36"/>
  <c r="L36"/>
  <c r="J36"/>
  <c r="H36"/>
  <c r="F36"/>
  <c r="D36"/>
  <c r="Q79" i="356"/>
  <c r="D53" i="424"/>
  <c r="W15"/>
  <c r="U15"/>
  <c r="S15"/>
  <c r="Q15"/>
  <c r="O15"/>
  <c r="M15"/>
  <c r="K15"/>
  <c r="I15"/>
  <c r="G15"/>
  <c r="E15"/>
  <c r="C15"/>
  <c r="W14"/>
  <c r="U14"/>
  <c r="S14"/>
  <c r="Q14"/>
  <c r="O14"/>
  <c r="M14"/>
  <c r="K14"/>
  <c r="I14"/>
  <c r="G14"/>
  <c r="E14"/>
  <c r="C14"/>
  <c r="W13"/>
  <c r="U13"/>
  <c r="S13"/>
  <c r="Q13"/>
  <c r="O13"/>
  <c r="M13"/>
  <c r="K13"/>
  <c r="I13"/>
  <c r="G13"/>
  <c r="E13"/>
  <c r="C13"/>
  <c r="W12"/>
  <c r="U12"/>
  <c r="S12"/>
  <c r="Q12"/>
  <c r="O12"/>
  <c r="M12"/>
  <c r="K12"/>
  <c r="I12"/>
  <c r="G12"/>
  <c r="E12"/>
  <c r="C12"/>
  <c r="W11"/>
  <c r="U11"/>
  <c r="S11"/>
  <c r="Q11"/>
  <c r="O11"/>
  <c r="M11"/>
  <c r="K11"/>
  <c r="I11"/>
  <c r="G11"/>
  <c r="E11"/>
  <c r="C11"/>
  <c r="W10"/>
  <c r="U10"/>
  <c r="S10"/>
  <c r="Q10"/>
  <c r="O10"/>
  <c r="M10"/>
  <c r="K10"/>
  <c r="I10"/>
  <c r="G10"/>
  <c r="E10"/>
  <c r="C10"/>
  <c r="W9"/>
  <c r="U9"/>
  <c r="S9"/>
  <c r="Q9"/>
  <c r="O9"/>
  <c r="M9"/>
  <c r="K9"/>
  <c r="I9"/>
  <c r="G9"/>
  <c r="E9"/>
  <c r="C9"/>
  <c r="W8"/>
  <c r="U8"/>
  <c r="S8"/>
  <c r="Q8"/>
  <c r="O8"/>
  <c r="M8"/>
  <c r="K8"/>
  <c r="I8"/>
  <c r="G8"/>
  <c r="E8"/>
  <c r="C8"/>
  <c r="W7"/>
  <c r="U7"/>
  <c r="S7"/>
  <c r="Q7"/>
  <c r="O7"/>
  <c r="M7"/>
  <c r="K7"/>
  <c r="I7"/>
  <c r="G7"/>
  <c r="E7"/>
  <c r="C7"/>
  <c r="W6"/>
  <c r="U6"/>
  <c r="S6"/>
  <c r="Q6"/>
  <c r="O6"/>
  <c r="M6"/>
  <c r="K6"/>
  <c r="I6"/>
  <c r="G6"/>
  <c r="E6"/>
  <c r="C6"/>
  <c r="N21" i="347"/>
  <c r="M21" s="1"/>
  <c r="L21" s="1"/>
  <c r="K21" s="1"/>
  <c r="J21" s="1"/>
  <c r="I21" s="1"/>
  <c r="H21" s="1"/>
  <c r="G21" s="1"/>
  <c r="F21" s="1"/>
  <c r="E21" s="1"/>
  <c r="D21" s="1"/>
  <c r="C21" s="1"/>
  <c r="B21" s="1"/>
  <c r="I37" l="1"/>
  <c r="I34"/>
  <c r="J37"/>
  <c r="J34"/>
  <c r="K37"/>
  <c r="K34"/>
  <c r="E37"/>
  <c r="E34"/>
  <c r="F37"/>
  <c r="F34"/>
  <c r="G37"/>
  <c r="G34"/>
  <c r="L37"/>
  <c r="L34"/>
  <c r="B37"/>
  <c r="B34"/>
  <c r="C37"/>
  <c r="C34"/>
  <c r="H37"/>
  <c r="H34"/>
  <c r="M37"/>
  <c r="M34"/>
  <c r="N37"/>
  <c r="N34"/>
  <c r="D37"/>
  <c r="D34"/>
  <c r="O37"/>
  <c r="O34"/>
  <c r="D54" i="424"/>
  <c r="B24" i="457"/>
  <c r="B23"/>
  <c r="B22"/>
  <c r="B21"/>
  <c r="B20"/>
  <c r="B19"/>
  <c r="B18"/>
  <c r="B17"/>
  <c r="B16"/>
  <c r="B15"/>
  <c r="B14"/>
  <c r="B13"/>
  <c r="B12"/>
  <c r="B11"/>
  <c r="B10"/>
  <c r="B9"/>
  <c r="B8"/>
  <c r="B7"/>
  <c r="B6"/>
  <c r="B5"/>
  <c r="B4"/>
  <c r="B30" i="265"/>
  <c r="B29"/>
  <c r="B28"/>
  <c r="B27"/>
  <c r="B26"/>
  <c r="B25"/>
  <c r="B24"/>
  <c r="B23"/>
  <c r="B22"/>
  <c r="B21"/>
  <c r="B20"/>
  <c r="B19"/>
  <c r="B18"/>
  <c r="B17"/>
  <c r="B16"/>
  <c r="B15"/>
  <c r="B14"/>
  <c r="B13"/>
  <c r="B12"/>
  <c r="B11"/>
  <c r="B10"/>
  <c r="B9"/>
  <c r="B8"/>
  <c r="B7"/>
  <c r="B6"/>
  <c r="B30" i="264"/>
  <c r="B29"/>
  <c r="B28"/>
  <c r="B27"/>
  <c r="B26"/>
  <c r="B25"/>
  <c r="B24"/>
  <c r="B23"/>
  <c r="B22"/>
  <c r="B21"/>
  <c r="B20"/>
  <c r="B19"/>
  <c r="B18"/>
  <c r="B17"/>
  <c r="B16"/>
  <c r="B15"/>
  <c r="B14"/>
  <c r="B13"/>
  <c r="B12"/>
  <c r="B11"/>
  <c r="B10"/>
  <c r="B9"/>
  <c r="B8"/>
  <c r="B7"/>
  <c r="B6"/>
  <c r="B5"/>
  <c r="L30" i="26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L35" s="1"/>
  <c r="K5"/>
  <c r="K35" s="1"/>
  <c r="J5"/>
  <c r="J35" s="1"/>
  <c r="I5"/>
  <c r="I35" s="1"/>
  <c r="H5"/>
  <c r="H35" s="1"/>
  <c r="G5"/>
  <c r="G35" s="1"/>
  <c r="F5"/>
  <c r="F35" s="1"/>
  <c r="E5"/>
  <c r="E35" s="1"/>
  <c r="D5"/>
  <c r="D35" s="1"/>
  <c r="C5"/>
  <c r="C35" s="1"/>
  <c r="B5"/>
  <c r="L30" i="259"/>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C36" s="1"/>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L35" s="1"/>
  <c r="K5"/>
  <c r="K35" s="1"/>
  <c r="J5"/>
  <c r="J35" s="1"/>
  <c r="I5"/>
  <c r="I35" s="1"/>
  <c r="H5"/>
  <c r="H35" s="1"/>
  <c r="G5"/>
  <c r="G35" s="1"/>
  <c r="F5"/>
  <c r="F35" s="1"/>
  <c r="E5"/>
  <c r="E35" s="1"/>
  <c r="D5"/>
  <c r="D35" s="1"/>
  <c r="C5"/>
  <c r="C35" s="1"/>
  <c r="B5"/>
  <c r="L30" i="258"/>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L36" s="1"/>
  <c r="K24"/>
  <c r="K36" s="1"/>
  <c r="J24"/>
  <c r="J36" s="1"/>
  <c r="I24"/>
  <c r="I36" s="1"/>
  <c r="H24"/>
  <c r="H36" s="1"/>
  <c r="G24"/>
  <c r="G36" s="1"/>
  <c r="F24"/>
  <c r="F36" s="1"/>
  <c r="E24"/>
  <c r="E36" s="1"/>
  <c r="D24"/>
  <c r="D36" s="1"/>
  <c r="C24"/>
  <c r="C36" s="1"/>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L35" s="1"/>
  <c r="K5"/>
  <c r="K35" s="1"/>
  <c r="J5"/>
  <c r="J35" s="1"/>
  <c r="I5"/>
  <c r="I35" s="1"/>
  <c r="H5"/>
  <c r="H35" s="1"/>
  <c r="G5"/>
  <c r="G35" s="1"/>
  <c r="F5"/>
  <c r="F35" s="1"/>
  <c r="E5"/>
  <c r="E35" s="1"/>
  <c r="D5"/>
  <c r="D35" s="1"/>
  <c r="C5"/>
  <c r="C35" s="1"/>
  <c r="B5"/>
  <c r="C54" i="257"/>
  <c r="F53"/>
  <c r="C53"/>
  <c r="F52"/>
  <c r="C52"/>
  <c r="F51"/>
  <c r="C51"/>
  <c r="F50"/>
  <c r="B44" i="457" l="1"/>
  <c r="D34" i="259"/>
  <c r="D36"/>
  <c r="F34"/>
  <c r="F36"/>
  <c r="H34"/>
  <c r="H36"/>
  <c r="J34"/>
  <c r="J36"/>
  <c r="L34"/>
  <c r="L36"/>
  <c r="D34" i="260"/>
  <c r="D36"/>
  <c r="F34"/>
  <c r="F36"/>
  <c r="H34"/>
  <c r="H36"/>
  <c r="J34"/>
  <c r="J36"/>
  <c r="L34"/>
  <c r="L36"/>
  <c r="B34" i="264"/>
  <c r="B36"/>
  <c r="B34" i="265"/>
  <c r="B36"/>
  <c r="C33" i="259"/>
  <c r="E33"/>
  <c r="G33"/>
  <c r="I33"/>
  <c r="K33"/>
  <c r="C33" i="260"/>
  <c r="E33"/>
  <c r="G33"/>
  <c r="I33"/>
  <c r="K33"/>
  <c r="C34" i="259"/>
  <c r="E34"/>
  <c r="E36"/>
  <c r="G34"/>
  <c r="G36"/>
  <c r="I34"/>
  <c r="I36"/>
  <c r="K34"/>
  <c r="K36"/>
  <c r="C34" i="260"/>
  <c r="C36"/>
  <c r="E34"/>
  <c r="E36"/>
  <c r="G34"/>
  <c r="G36"/>
  <c r="I34"/>
  <c r="I36"/>
  <c r="K34"/>
  <c r="K36"/>
  <c r="B38" i="264"/>
  <c r="B35"/>
  <c r="D33" i="259"/>
  <c r="F33"/>
  <c r="H33"/>
  <c r="J33"/>
  <c r="L33"/>
  <c r="D33" i="260"/>
  <c r="F33"/>
  <c r="H33"/>
  <c r="J33"/>
  <c r="L33"/>
  <c r="B33" i="264"/>
  <c r="B40" i="457"/>
  <c r="K23" i="458"/>
  <c r="B23" s="1"/>
  <c r="J23" s="1"/>
  <c r="B43" i="457"/>
  <c r="B41"/>
  <c r="K24" i="458"/>
  <c r="B24" s="1"/>
  <c r="B36" i="457"/>
  <c r="B37"/>
  <c r="B38"/>
  <c r="B39"/>
  <c r="C5" i="264"/>
  <c r="D5"/>
  <c r="E5"/>
  <c r="F5"/>
  <c r="G5"/>
  <c r="H5"/>
  <c r="I5"/>
  <c r="J5"/>
  <c r="K5"/>
  <c r="L5"/>
  <c r="C6"/>
  <c r="D6"/>
  <c r="E6"/>
  <c r="F6"/>
  <c r="G6"/>
  <c r="H6"/>
  <c r="I6"/>
  <c r="J6"/>
  <c r="K6"/>
  <c r="L6"/>
  <c r="C7"/>
  <c r="D7"/>
  <c r="E7"/>
  <c r="F7"/>
  <c r="G7"/>
  <c r="H7"/>
  <c r="I7"/>
  <c r="J7"/>
  <c r="K7"/>
  <c r="L7"/>
  <c r="C8"/>
  <c r="D8"/>
  <c r="E8"/>
  <c r="F8"/>
  <c r="G8"/>
  <c r="H8"/>
  <c r="I8"/>
  <c r="J8"/>
  <c r="K8"/>
  <c r="L8"/>
  <c r="C9"/>
  <c r="D9"/>
  <c r="E9"/>
  <c r="F9"/>
  <c r="G9"/>
  <c r="H9"/>
  <c r="I9"/>
  <c r="J9"/>
  <c r="K9"/>
  <c r="L9"/>
  <c r="C10"/>
  <c r="D10"/>
  <c r="E10"/>
  <c r="F10"/>
  <c r="G10"/>
  <c r="H10"/>
  <c r="I10"/>
  <c r="J10"/>
  <c r="K10"/>
  <c r="L10"/>
  <c r="C11"/>
  <c r="D11"/>
  <c r="E11"/>
  <c r="F11"/>
  <c r="G11"/>
  <c r="H11"/>
  <c r="I11"/>
  <c r="J11"/>
  <c r="K11"/>
  <c r="L11"/>
  <c r="C12"/>
  <c r="D12"/>
  <c r="E12"/>
  <c r="F12"/>
  <c r="G12"/>
  <c r="H12"/>
  <c r="I12"/>
  <c r="J12"/>
  <c r="K12"/>
  <c r="L12"/>
  <c r="C13"/>
  <c r="C33" s="1"/>
  <c r="D13"/>
  <c r="D33" s="1"/>
  <c r="E13"/>
  <c r="E33" s="1"/>
  <c r="F13"/>
  <c r="F33" s="1"/>
  <c r="G13"/>
  <c r="G33" s="1"/>
  <c r="H13"/>
  <c r="H33" s="1"/>
  <c r="I13"/>
  <c r="I33" s="1"/>
  <c r="J13"/>
  <c r="J33" s="1"/>
  <c r="K13"/>
  <c r="K33" s="1"/>
  <c r="L13"/>
  <c r="L33" s="1"/>
  <c r="C14"/>
  <c r="D14"/>
  <c r="E14"/>
  <c r="F14"/>
  <c r="G14"/>
  <c r="H14"/>
  <c r="I14"/>
  <c r="J14"/>
  <c r="K14"/>
  <c r="L14"/>
  <c r="C15"/>
  <c r="D15"/>
  <c r="E15"/>
  <c r="F15"/>
  <c r="G15"/>
  <c r="H15"/>
  <c r="I15"/>
  <c r="J15"/>
  <c r="K15"/>
  <c r="L15"/>
  <c r="C16"/>
  <c r="D16"/>
  <c r="E16"/>
  <c r="F16"/>
  <c r="G16"/>
  <c r="H16"/>
  <c r="I16"/>
  <c r="J16"/>
  <c r="K16"/>
  <c r="L16"/>
  <c r="C17"/>
  <c r="D17"/>
  <c r="E17"/>
  <c r="F17"/>
  <c r="G17"/>
  <c r="H17"/>
  <c r="I17"/>
  <c r="J17"/>
  <c r="K17"/>
  <c r="L17"/>
  <c r="C18"/>
  <c r="D18"/>
  <c r="E18"/>
  <c r="F18"/>
  <c r="G18"/>
  <c r="H18"/>
  <c r="I18"/>
  <c r="J18"/>
  <c r="K18"/>
  <c r="L18"/>
  <c r="C19"/>
  <c r="D19"/>
  <c r="E19"/>
  <c r="F19"/>
  <c r="G19"/>
  <c r="H19"/>
  <c r="I19"/>
  <c r="J19"/>
  <c r="K19"/>
  <c r="L19"/>
  <c r="C20"/>
  <c r="D20"/>
  <c r="E20"/>
  <c r="F20"/>
  <c r="G20"/>
  <c r="H20"/>
  <c r="I20"/>
  <c r="J20"/>
  <c r="K20"/>
  <c r="L20"/>
  <c r="C21"/>
  <c r="D21"/>
  <c r="E21"/>
  <c r="F21"/>
  <c r="G21"/>
  <c r="H21"/>
  <c r="I21"/>
  <c r="J21"/>
  <c r="K21"/>
  <c r="L21"/>
  <c r="C22"/>
  <c r="D22"/>
  <c r="E22"/>
  <c r="F22"/>
  <c r="G22"/>
  <c r="H22"/>
  <c r="I22"/>
  <c r="J22"/>
  <c r="K22"/>
  <c r="L22"/>
  <c r="C23"/>
  <c r="D23"/>
  <c r="E23"/>
  <c r="F23"/>
  <c r="G23"/>
  <c r="H23"/>
  <c r="I23"/>
  <c r="J23"/>
  <c r="K23"/>
  <c r="L23"/>
  <c r="C24"/>
  <c r="D24"/>
  <c r="E24"/>
  <c r="F24"/>
  <c r="G24"/>
  <c r="H24"/>
  <c r="I24"/>
  <c r="J24"/>
  <c r="K24"/>
  <c r="L24"/>
  <c r="C25"/>
  <c r="D25"/>
  <c r="E25"/>
  <c r="F25"/>
  <c r="G25"/>
  <c r="H25"/>
  <c r="I25"/>
  <c r="J25"/>
  <c r="K25"/>
  <c r="L25"/>
  <c r="C26"/>
  <c r="D26"/>
  <c r="E26"/>
  <c r="F26"/>
  <c r="G26"/>
  <c r="H26"/>
  <c r="I26"/>
  <c r="J26"/>
  <c r="K26"/>
  <c r="L26"/>
  <c r="C27"/>
  <c r="D27"/>
  <c r="E27"/>
  <c r="F27"/>
  <c r="G27"/>
  <c r="H27"/>
  <c r="I27"/>
  <c r="J27"/>
  <c r="K27"/>
  <c r="L27"/>
  <c r="C28"/>
  <c r="D28"/>
  <c r="E28"/>
  <c r="F28"/>
  <c r="G28"/>
  <c r="H28"/>
  <c r="I28"/>
  <c r="J28"/>
  <c r="K28"/>
  <c r="L28"/>
  <c r="C29"/>
  <c r="D29"/>
  <c r="E29"/>
  <c r="F29"/>
  <c r="G29"/>
  <c r="H29"/>
  <c r="I29"/>
  <c r="J29"/>
  <c r="K29"/>
  <c r="L29"/>
  <c r="C30"/>
  <c r="D30"/>
  <c r="E30"/>
  <c r="F30"/>
  <c r="G30"/>
  <c r="H30"/>
  <c r="I30"/>
  <c r="J30"/>
  <c r="K30"/>
  <c r="C5" i="265"/>
  <c r="D5"/>
  <c r="E5"/>
  <c r="F5"/>
  <c r="G5"/>
  <c r="H5"/>
  <c r="I5"/>
  <c r="J5"/>
  <c r="K5"/>
  <c r="L5"/>
  <c r="C6"/>
  <c r="D6"/>
  <c r="E6"/>
  <c r="F6"/>
  <c r="G6"/>
  <c r="H6"/>
  <c r="I6"/>
  <c r="J6"/>
  <c r="K6"/>
  <c r="L6"/>
  <c r="C7"/>
  <c r="D7"/>
  <c r="E7"/>
  <c r="F7"/>
  <c r="G7"/>
  <c r="H7"/>
  <c r="I7"/>
  <c r="J7"/>
  <c r="K7"/>
  <c r="L7"/>
  <c r="C8"/>
  <c r="D8"/>
  <c r="E8"/>
  <c r="F8"/>
  <c r="G8"/>
  <c r="H8"/>
  <c r="I8"/>
  <c r="J8"/>
  <c r="K8"/>
  <c r="L8"/>
  <c r="C9"/>
  <c r="D9"/>
  <c r="E9"/>
  <c r="F9"/>
  <c r="G9"/>
  <c r="H9"/>
  <c r="I9"/>
  <c r="J9"/>
  <c r="K9"/>
  <c r="L9"/>
  <c r="C10"/>
  <c r="D10"/>
  <c r="E10"/>
  <c r="F10"/>
  <c r="G10"/>
  <c r="H10"/>
  <c r="I10"/>
  <c r="J10"/>
  <c r="K10"/>
  <c r="L10"/>
  <c r="C11"/>
  <c r="D11"/>
  <c r="E11"/>
  <c r="F11"/>
  <c r="G11"/>
  <c r="H11"/>
  <c r="I11"/>
  <c r="J11"/>
  <c r="K11"/>
  <c r="L11"/>
  <c r="C12"/>
  <c r="D12"/>
  <c r="E12"/>
  <c r="F12"/>
  <c r="G12"/>
  <c r="H12"/>
  <c r="I12"/>
  <c r="J12"/>
  <c r="K12"/>
  <c r="L12"/>
  <c r="C13"/>
  <c r="C33" s="1"/>
  <c r="D13"/>
  <c r="D33" s="1"/>
  <c r="E13"/>
  <c r="E33" s="1"/>
  <c r="F13"/>
  <c r="F33" s="1"/>
  <c r="G13"/>
  <c r="G33" s="1"/>
  <c r="H13"/>
  <c r="H33" s="1"/>
  <c r="I13"/>
  <c r="I33" s="1"/>
  <c r="J13"/>
  <c r="J33" s="1"/>
  <c r="K13"/>
  <c r="K33" s="1"/>
  <c r="L13"/>
  <c r="L33" s="1"/>
  <c r="C14"/>
  <c r="D14"/>
  <c r="E14"/>
  <c r="F14"/>
  <c r="G14"/>
  <c r="H14"/>
  <c r="I14"/>
  <c r="J14"/>
  <c r="K14"/>
  <c r="L14"/>
  <c r="C15"/>
  <c r="D15"/>
  <c r="E15"/>
  <c r="F15"/>
  <c r="G15"/>
  <c r="H15"/>
  <c r="I15"/>
  <c r="J15"/>
  <c r="K15"/>
  <c r="L15"/>
  <c r="C16"/>
  <c r="D16"/>
  <c r="E16"/>
  <c r="F16"/>
  <c r="G16"/>
  <c r="H16"/>
  <c r="I16"/>
  <c r="J16"/>
  <c r="K16"/>
  <c r="L16"/>
  <c r="C17"/>
  <c r="D17"/>
  <c r="E17"/>
  <c r="F17"/>
  <c r="G17"/>
  <c r="H17"/>
  <c r="I17"/>
  <c r="J17"/>
  <c r="K17"/>
  <c r="L17"/>
  <c r="C18"/>
  <c r="D18"/>
  <c r="E18"/>
  <c r="F18"/>
  <c r="G18"/>
  <c r="H18"/>
  <c r="I18"/>
  <c r="J18"/>
  <c r="K18"/>
  <c r="L18"/>
  <c r="C19"/>
  <c r="D19"/>
  <c r="E19"/>
  <c r="F19"/>
  <c r="G19"/>
  <c r="H19"/>
  <c r="I19"/>
  <c r="J19"/>
  <c r="K19"/>
  <c r="L19"/>
  <c r="C20"/>
  <c r="D20"/>
  <c r="E20"/>
  <c r="F20"/>
  <c r="G20"/>
  <c r="H20"/>
  <c r="I20"/>
  <c r="J20"/>
  <c r="K20"/>
  <c r="L20"/>
  <c r="C21"/>
  <c r="D21"/>
  <c r="E21"/>
  <c r="F21"/>
  <c r="G21"/>
  <c r="H21"/>
  <c r="I21"/>
  <c r="J21"/>
  <c r="K21"/>
  <c r="L21"/>
  <c r="C22"/>
  <c r="D22"/>
  <c r="E22"/>
  <c r="F22"/>
  <c r="G22"/>
  <c r="H22"/>
  <c r="I22"/>
  <c r="J22"/>
  <c r="K22"/>
  <c r="L22"/>
  <c r="C23"/>
  <c r="D23"/>
  <c r="E23"/>
  <c r="F23"/>
  <c r="G23"/>
  <c r="H23"/>
  <c r="I23"/>
  <c r="J23"/>
  <c r="K23"/>
  <c r="L23"/>
  <c r="C24"/>
  <c r="D24"/>
  <c r="E24"/>
  <c r="F24"/>
  <c r="G24"/>
  <c r="H24"/>
  <c r="I24"/>
  <c r="J24"/>
  <c r="K24"/>
  <c r="L24"/>
  <c r="C25"/>
  <c r="D25"/>
  <c r="E25"/>
  <c r="F25"/>
  <c r="G25"/>
  <c r="H25"/>
  <c r="I25"/>
  <c r="J25"/>
  <c r="K25"/>
  <c r="L25"/>
  <c r="C26"/>
  <c r="D26"/>
  <c r="E26"/>
  <c r="F26"/>
  <c r="G26"/>
  <c r="H26"/>
  <c r="I26"/>
  <c r="J26"/>
  <c r="K26"/>
  <c r="L26"/>
  <c r="C27"/>
  <c r="D27"/>
  <c r="E27"/>
  <c r="F27"/>
  <c r="G27"/>
  <c r="H27"/>
  <c r="I27"/>
  <c r="J27"/>
  <c r="K27"/>
  <c r="L27"/>
  <c r="C28"/>
  <c r="D28"/>
  <c r="E28"/>
  <c r="F28"/>
  <c r="G28"/>
  <c r="H28"/>
  <c r="I28"/>
  <c r="J28"/>
  <c r="K28"/>
  <c r="L28"/>
  <c r="C29"/>
  <c r="D29"/>
  <c r="E29"/>
  <c r="F29"/>
  <c r="G29"/>
  <c r="H29"/>
  <c r="I29"/>
  <c r="J29"/>
  <c r="K29"/>
  <c r="L29"/>
  <c r="C30"/>
  <c r="D30"/>
  <c r="B5" i="266"/>
  <c r="G4" i="457"/>
  <c r="B6" i="266"/>
  <c r="G5" i="457"/>
  <c r="B7" i="266"/>
  <c r="G6" i="457"/>
  <c r="B8" i="266"/>
  <c r="G7" i="457"/>
  <c r="B9" i="266"/>
  <c r="B10"/>
  <c r="B11"/>
  <c r="B12"/>
  <c r="B13"/>
  <c r="B33" s="1"/>
  <c r="K6" i="458"/>
  <c r="B6" s="1"/>
  <c r="B14" i="266"/>
  <c r="B15"/>
  <c r="K8" i="458"/>
  <c r="B8" s="1"/>
  <c r="B16" i="266"/>
  <c r="B17"/>
  <c r="K10" i="458"/>
  <c r="B10" s="1"/>
  <c r="B18" i="266"/>
  <c r="B19"/>
  <c r="K12" i="458"/>
  <c r="B12" s="1"/>
  <c r="B20" i="266"/>
  <c r="B21"/>
  <c r="K14" i="458"/>
  <c r="B14" s="1"/>
  <c r="B22" i="266"/>
  <c r="B23"/>
  <c r="B24"/>
  <c r="B25"/>
  <c r="K18" i="458"/>
  <c r="B18" s="1"/>
  <c r="B26" i="266"/>
  <c r="B27"/>
  <c r="K20" i="458"/>
  <c r="B20" s="1"/>
  <c r="B28" i="266"/>
  <c r="B29"/>
  <c r="B30"/>
  <c r="D55" i="424"/>
  <c r="E30" i="265"/>
  <c r="F30"/>
  <c r="G30"/>
  <c r="H30"/>
  <c r="I30"/>
  <c r="J30"/>
  <c r="K30"/>
  <c r="C5" i="266"/>
  <c r="D5"/>
  <c r="E5"/>
  <c r="F5"/>
  <c r="G5"/>
  <c r="H5"/>
  <c r="I5"/>
  <c r="J5"/>
  <c r="K5"/>
  <c r="L5"/>
  <c r="C6"/>
  <c r="D6"/>
  <c r="E6"/>
  <c r="F6"/>
  <c r="G6"/>
  <c r="H6"/>
  <c r="I6"/>
  <c r="J6"/>
  <c r="K6"/>
  <c r="L6"/>
  <c r="C7"/>
  <c r="D7"/>
  <c r="E7"/>
  <c r="F7"/>
  <c r="G7"/>
  <c r="H7"/>
  <c r="I7"/>
  <c r="J7"/>
  <c r="K7"/>
  <c r="L7"/>
  <c r="C8"/>
  <c r="D8"/>
  <c r="E8"/>
  <c r="F8"/>
  <c r="G8"/>
  <c r="H8"/>
  <c r="I8"/>
  <c r="J8"/>
  <c r="K8"/>
  <c r="L8"/>
  <c r="C9"/>
  <c r="D9"/>
  <c r="E9"/>
  <c r="F9"/>
  <c r="G9"/>
  <c r="H9"/>
  <c r="I9"/>
  <c r="J9"/>
  <c r="K9"/>
  <c r="L9"/>
  <c r="C10"/>
  <c r="D10"/>
  <c r="E10"/>
  <c r="F10"/>
  <c r="G10"/>
  <c r="H10"/>
  <c r="I10"/>
  <c r="J10"/>
  <c r="K10"/>
  <c r="L10"/>
  <c r="C11"/>
  <c r="D11"/>
  <c r="E11"/>
  <c r="F11"/>
  <c r="G11"/>
  <c r="H11"/>
  <c r="I11"/>
  <c r="J11"/>
  <c r="K11"/>
  <c r="L11"/>
  <c r="C12"/>
  <c r="D12"/>
  <c r="E12"/>
  <c r="F12"/>
  <c r="G12"/>
  <c r="H12"/>
  <c r="I12"/>
  <c r="J12"/>
  <c r="K12"/>
  <c r="L12"/>
  <c r="C13"/>
  <c r="C33" s="1"/>
  <c r="D13"/>
  <c r="D33" s="1"/>
  <c r="E13"/>
  <c r="E33" s="1"/>
  <c r="F13"/>
  <c r="F33" s="1"/>
  <c r="G13"/>
  <c r="G33" s="1"/>
  <c r="H13"/>
  <c r="H33" s="1"/>
  <c r="I13"/>
  <c r="I33" s="1"/>
  <c r="J13"/>
  <c r="J33" s="1"/>
  <c r="K13"/>
  <c r="K33" s="1"/>
  <c r="L13"/>
  <c r="L33" s="1"/>
  <c r="C14"/>
  <c r="D14"/>
  <c r="E14"/>
  <c r="F14"/>
  <c r="G14"/>
  <c r="H14"/>
  <c r="I14"/>
  <c r="J14"/>
  <c r="K14"/>
  <c r="L14"/>
  <c r="C15"/>
  <c r="D15"/>
  <c r="E15"/>
  <c r="F15"/>
  <c r="G15"/>
  <c r="H15"/>
  <c r="I15"/>
  <c r="J15"/>
  <c r="K15"/>
  <c r="L15"/>
  <c r="C16"/>
  <c r="D16"/>
  <c r="E16"/>
  <c r="F16"/>
  <c r="G16"/>
  <c r="H16"/>
  <c r="I16"/>
  <c r="J16"/>
  <c r="K16"/>
  <c r="L16"/>
  <c r="C17"/>
  <c r="D17"/>
  <c r="E17"/>
  <c r="F17"/>
  <c r="G17"/>
  <c r="H17"/>
  <c r="I17"/>
  <c r="J17"/>
  <c r="K17"/>
  <c r="L17"/>
  <c r="C18"/>
  <c r="D18"/>
  <c r="E18"/>
  <c r="F18"/>
  <c r="G18"/>
  <c r="H18"/>
  <c r="I18"/>
  <c r="J18"/>
  <c r="K18"/>
  <c r="L18"/>
  <c r="C19"/>
  <c r="D19"/>
  <c r="E19"/>
  <c r="F19"/>
  <c r="G19"/>
  <c r="H19"/>
  <c r="I19"/>
  <c r="J19"/>
  <c r="K19"/>
  <c r="L19"/>
  <c r="C20"/>
  <c r="D20"/>
  <c r="E20"/>
  <c r="F20"/>
  <c r="G20"/>
  <c r="H20"/>
  <c r="I20"/>
  <c r="J20"/>
  <c r="K20"/>
  <c r="L20"/>
  <c r="C21"/>
  <c r="D21"/>
  <c r="E21"/>
  <c r="F21"/>
  <c r="G21"/>
  <c r="H21"/>
  <c r="I21"/>
  <c r="J21"/>
  <c r="K21"/>
  <c r="L21"/>
  <c r="C22"/>
  <c r="D22"/>
  <c r="E22"/>
  <c r="F22"/>
  <c r="G22"/>
  <c r="H22"/>
  <c r="I22"/>
  <c r="J22"/>
  <c r="K22"/>
  <c r="L22"/>
  <c r="C23"/>
  <c r="D23"/>
  <c r="E23"/>
  <c r="F23"/>
  <c r="G23"/>
  <c r="H23"/>
  <c r="I23"/>
  <c r="J23"/>
  <c r="K23"/>
  <c r="L23"/>
  <c r="C24"/>
  <c r="D24"/>
  <c r="E24"/>
  <c r="F24"/>
  <c r="G24"/>
  <c r="H24"/>
  <c r="I24"/>
  <c r="J24"/>
  <c r="K24"/>
  <c r="L24"/>
  <c r="C25"/>
  <c r="D25"/>
  <c r="E25"/>
  <c r="F25"/>
  <c r="G25"/>
  <c r="H25"/>
  <c r="I25"/>
  <c r="J25"/>
  <c r="K25"/>
  <c r="L25"/>
  <c r="C26"/>
  <c r="D26"/>
  <c r="E26"/>
  <c r="F26"/>
  <c r="G26"/>
  <c r="H26"/>
  <c r="I26"/>
  <c r="J26"/>
  <c r="K26"/>
  <c r="L26"/>
  <c r="C27"/>
  <c r="D27"/>
  <c r="E27"/>
  <c r="F27"/>
  <c r="G27"/>
  <c r="H27"/>
  <c r="I27"/>
  <c r="J27"/>
  <c r="K27"/>
  <c r="L27"/>
  <c r="C28"/>
  <c r="D28"/>
  <c r="E28"/>
  <c r="F28"/>
  <c r="G28"/>
  <c r="H28"/>
  <c r="I28"/>
  <c r="J28"/>
  <c r="K28"/>
  <c r="L28"/>
  <c r="C29"/>
  <c r="D29"/>
  <c r="E29"/>
  <c r="F29"/>
  <c r="G29"/>
  <c r="H29"/>
  <c r="I29"/>
  <c r="J29"/>
  <c r="K29"/>
  <c r="L29"/>
  <c r="C30"/>
  <c r="D30"/>
  <c r="E30"/>
  <c r="F30"/>
  <c r="G30"/>
  <c r="H30"/>
  <c r="I30"/>
  <c r="J30"/>
  <c r="K30"/>
  <c r="L30"/>
  <c r="F51" i="263"/>
  <c r="C52"/>
  <c r="B5" i="265"/>
  <c r="C33" i="258"/>
  <c r="D33"/>
  <c r="E33"/>
  <c r="F33"/>
  <c r="G33"/>
  <c r="H33"/>
  <c r="I33"/>
  <c r="J33"/>
  <c r="K33"/>
  <c r="L33"/>
  <c r="C34"/>
  <c r="D34"/>
  <c r="E34"/>
  <c r="F34"/>
  <c r="G34"/>
  <c r="H34"/>
  <c r="I34"/>
  <c r="J34"/>
  <c r="K34"/>
  <c r="L34"/>
  <c r="C54" i="256"/>
  <c r="F53"/>
  <c r="E53"/>
  <c r="C53"/>
  <c r="F52"/>
  <c r="E52"/>
  <c r="C52"/>
  <c r="F51"/>
  <c r="E51"/>
  <c r="C51"/>
  <c r="F50"/>
  <c r="E50"/>
  <c r="C54" i="255"/>
  <c r="C53"/>
  <c r="C52"/>
  <c r="C51"/>
  <c r="L31" i="253"/>
  <c r="K31"/>
  <c r="K30" i="303" s="1"/>
  <c r="J31" i="253"/>
  <c r="J30" i="303" s="1"/>
  <c r="I31" i="253"/>
  <c r="I30" i="303" s="1"/>
  <c r="H31" i="253"/>
  <c r="H30" i="303" s="1"/>
  <c r="G31" i="253"/>
  <c r="G30" i="303" s="1"/>
  <c r="F31" i="253"/>
  <c r="F30" i="303" s="1"/>
  <c r="E31" i="253"/>
  <c r="E30" i="303" s="1"/>
  <c r="D31" i="253"/>
  <c r="D30" i="303" s="1"/>
  <c r="C31" i="253"/>
  <c r="L30"/>
  <c r="K30"/>
  <c r="J30"/>
  <c r="I30"/>
  <c r="H30"/>
  <c r="G30"/>
  <c r="F30"/>
  <c r="E30"/>
  <c r="D30"/>
  <c r="C30"/>
  <c r="L29"/>
  <c r="K29"/>
  <c r="J29"/>
  <c r="I29"/>
  <c r="H29"/>
  <c r="G29"/>
  <c r="F29"/>
  <c r="E29"/>
  <c r="D29"/>
  <c r="C29"/>
  <c r="L28"/>
  <c r="K28"/>
  <c r="J28"/>
  <c r="I28"/>
  <c r="H28"/>
  <c r="G28"/>
  <c r="F28"/>
  <c r="E28"/>
  <c r="D28"/>
  <c r="C28"/>
  <c r="L27"/>
  <c r="K27"/>
  <c r="J27"/>
  <c r="I27"/>
  <c r="H27"/>
  <c r="G27"/>
  <c r="F27"/>
  <c r="E27"/>
  <c r="D27"/>
  <c r="C27"/>
  <c r="L26"/>
  <c r="K26"/>
  <c r="J26"/>
  <c r="I26"/>
  <c r="H26"/>
  <c r="G26"/>
  <c r="F26"/>
  <c r="E26"/>
  <c r="D26"/>
  <c r="C26"/>
  <c r="L25"/>
  <c r="K25"/>
  <c r="J25"/>
  <c r="I25"/>
  <c r="H25"/>
  <c r="G25"/>
  <c r="F25"/>
  <c r="E25"/>
  <c r="D25"/>
  <c r="C25"/>
  <c r="L24"/>
  <c r="L38" s="1"/>
  <c r="K24"/>
  <c r="K38" s="1"/>
  <c r="J24"/>
  <c r="J38" s="1"/>
  <c r="I24"/>
  <c r="I38" s="1"/>
  <c r="H24"/>
  <c r="H38" s="1"/>
  <c r="G24"/>
  <c r="G38" s="1"/>
  <c r="F24"/>
  <c r="F38" s="1"/>
  <c r="E24"/>
  <c r="E38" s="1"/>
  <c r="D24"/>
  <c r="D38" s="1"/>
  <c r="C24"/>
  <c r="C38" s="1"/>
  <c r="L23"/>
  <c r="K23"/>
  <c r="J23"/>
  <c r="I23"/>
  <c r="H23"/>
  <c r="G23"/>
  <c r="F23"/>
  <c r="E23"/>
  <c r="D23"/>
  <c r="C23"/>
  <c r="L22"/>
  <c r="K22"/>
  <c r="J22"/>
  <c r="I22"/>
  <c r="H22"/>
  <c r="G22"/>
  <c r="F22"/>
  <c r="E22"/>
  <c r="D22"/>
  <c r="C22"/>
  <c r="L21"/>
  <c r="K21"/>
  <c r="J21"/>
  <c r="I21"/>
  <c r="H21"/>
  <c r="G21"/>
  <c r="F21"/>
  <c r="E21"/>
  <c r="D21"/>
  <c r="C21"/>
  <c r="L20"/>
  <c r="K20"/>
  <c r="J20"/>
  <c r="I20"/>
  <c r="H20"/>
  <c r="G20"/>
  <c r="F20"/>
  <c r="E20"/>
  <c r="D20"/>
  <c r="C20"/>
  <c r="L19"/>
  <c r="K19"/>
  <c r="J19"/>
  <c r="I19"/>
  <c r="H19"/>
  <c r="G19"/>
  <c r="F19"/>
  <c r="E19"/>
  <c r="D19"/>
  <c r="C19"/>
  <c r="L18"/>
  <c r="K18"/>
  <c r="J18"/>
  <c r="I18"/>
  <c r="H18"/>
  <c r="G18"/>
  <c r="F18"/>
  <c r="E18"/>
  <c r="D18"/>
  <c r="C18"/>
  <c r="L17"/>
  <c r="K17"/>
  <c r="J17"/>
  <c r="I17"/>
  <c r="H17"/>
  <c r="G17"/>
  <c r="F17"/>
  <c r="E17"/>
  <c r="D17"/>
  <c r="C17"/>
  <c r="L16"/>
  <c r="K16"/>
  <c r="J16"/>
  <c r="I16"/>
  <c r="H16"/>
  <c r="G16"/>
  <c r="F16"/>
  <c r="E16"/>
  <c r="D16"/>
  <c r="C16"/>
  <c r="L15"/>
  <c r="K15"/>
  <c r="J15"/>
  <c r="I15"/>
  <c r="H15"/>
  <c r="G15"/>
  <c r="F15"/>
  <c r="E15"/>
  <c r="D15"/>
  <c r="C15"/>
  <c r="L14"/>
  <c r="K14"/>
  <c r="J14"/>
  <c r="I14"/>
  <c r="H14"/>
  <c r="G14"/>
  <c r="F14"/>
  <c r="E14"/>
  <c r="D14"/>
  <c r="C14"/>
  <c r="L13"/>
  <c r="K13"/>
  <c r="J13"/>
  <c r="I13"/>
  <c r="H13"/>
  <c r="G13"/>
  <c r="F13"/>
  <c r="E13"/>
  <c r="D13"/>
  <c r="C13"/>
  <c r="L12"/>
  <c r="K12"/>
  <c r="J12"/>
  <c r="I12"/>
  <c r="H12"/>
  <c r="G12"/>
  <c r="F12"/>
  <c r="E12"/>
  <c r="D12"/>
  <c r="C12"/>
  <c r="L11"/>
  <c r="K11"/>
  <c r="J11"/>
  <c r="I11"/>
  <c r="H11"/>
  <c r="G11"/>
  <c r="F11"/>
  <c r="E11"/>
  <c r="D11"/>
  <c r="C11"/>
  <c r="L10"/>
  <c r="K10"/>
  <c r="J10"/>
  <c r="I10"/>
  <c r="H10"/>
  <c r="G10"/>
  <c r="F10"/>
  <c r="E10"/>
  <c r="D10"/>
  <c r="C10"/>
  <c r="L9"/>
  <c r="K9"/>
  <c r="J9"/>
  <c r="I9"/>
  <c r="H9"/>
  <c r="G9"/>
  <c r="F9"/>
  <c r="E9"/>
  <c r="D9"/>
  <c r="C9"/>
  <c r="L8"/>
  <c r="K8"/>
  <c r="J8"/>
  <c r="I8"/>
  <c r="H8"/>
  <c r="G8"/>
  <c r="F8"/>
  <c r="E8"/>
  <c r="D8"/>
  <c r="C8"/>
  <c r="L7"/>
  <c r="K7"/>
  <c r="J7"/>
  <c r="I7"/>
  <c r="H7"/>
  <c r="G7"/>
  <c r="F7"/>
  <c r="E7"/>
  <c r="D7"/>
  <c r="C7"/>
  <c r="L6"/>
  <c r="K6"/>
  <c r="J6"/>
  <c r="I6"/>
  <c r="H6"/>
  <c r="G6"/>
  <c r="F6"/>
  <c r="E6"/>
  <c r="D6"/>
  <c r="C6"/>
  <c r="L5"/>
  <c r="K5"/>
  <c r="J5"/>
  <c r="I5"/>
  <c r="H5"/>
  <c r="G5"/>
  <c r="F5"/>
  <c r="E5"/>
  <c r="D5"/>
  <c r="G49" i="27"/>
  <c r="E49"/>
  <c r="D49"/>
  <c r="C49"/>
  <c r="B49"/>
  <c r="B49" i="254" s="1"/>
  <c r="G48" i="27"/>
  <c r="E48"/>
  <c r="D48"/>
  <c r="C48"/>
  <c r="B48"/>
  <c r="B48" i="254" s="1"/>
  <c r="G47" i="27"/>
  <c r="E47"/>
  <c r="D47"/>
  <c r="C47"/>
  <c r="B47"/>
  <c r="B47" i="254" s="1"/>
  <c r="G46" i="27"/>
  <c r="E46"/>
  <c r="D46"/>
  <c r="C46"/>
  <c r="B46"/>
  <c r="B46" i="254" s="1"/>
  <c r="G45" i="27"/>
  <c r="G60" s="1"/>
  <c r="E45"/>
  <c r="D45"/>
  <c r="C45"/>
  <c r="B45"/>
  <c r="B45" i="254" s="1"/>
  <c r="G44" i="27"/>
  <c r="E44"/>
  <c r="D44"/>
  <c r="C44"/>
  <c r="B44"/>
  <c r="B44" i="254" s="1"/>
  <c r="G43" i="27"/>
  <c r="E43"/>
  <c r="D43"/>
  <c r="C43"/>
  <c r="B43"/>
  <c r="B43" i="254" s="1"/>
  <c r="G42" i="27"/>
  <c r="E42"/>
  <c r="D42"/>
  <c r="C42"/>
  <c r="B42"/>
  <c r="B42" i="254" s="1"/>
  <c r="G41" i="27"/>
  <c r="E41"/>
  <c r="D41"/>
  <c r="C41"/>
  <c r="B41"/>
  <c r="B41" i="254" s="1"/>
  <c r="G40" i="27"/>
  <c r="E40"/>
  <c r="D40"/>
  <c r="C40"/>
  <c r="B40"/>
  <c r="B40" i="254" s="1"/>
  <c r="G39" i="27"/>
  <c r="E39"/>
  <c r="D39"/>
  <c r="C39"/>
  <c r="B39"/>
  <c r="B39" i="254" s="1"/>
  <c r="G38" i="27"/>
  <c r="E38"/>
  <c r="D38"/>
  <c r="C38"/>
  <c r="B38"/>
  <c r="B38" i="254" s="1"/>
  <c r="G37" i="27"/>
  <c r="E37"/>
  <c r="D37"/>
  <c r="C37"/>
  <c r="B37"/>
  <c r="B37" i="254" s="1"/>
  <c r="G36" i="27"/>
  <c r="E36"/>
  <c r="D36"/>
  <c r="C36"/>
  <c r="B36"/>
  <c r="B36" i="254" s="1"/>
  <c r="G35" i="27"/>
  <c r="E35"/>
  <c r="D35"/>
  <c r="C35"/>
  <c r="B35"/>
  <c r="B35" i="254" s="1"/>
  <c r="G34" i="27"/>
  <c r="E34"/>
  <c r="D34"/>
  <c r="C34"/>
  <c r="B34"/>
  <c r="B34" i="254" s="1"/>
  <c r="G33" i="27"/>
  <c r="E33"/>
  <c r="D33"/>
  <c r="C33"/>
  <c r="B33"/>
  <c r="B33" i="254" s="1"/>
  <c r="G32" i="27"/>
  <c r="E32"/>
  <c r="D32"/>
  <c r="C32"/>
  <c r="B32"/>
  <c r="B32" i="254" s="1"/>
  <c r="G31" i="27"/>
  <c r="E31"/>
  <c r="D31"/>
  <c r="C31"/>
  <c r="B31"/>
  <c r="B31" i="254" s="1"/>
  <c r="G30" i="27"/>
  <c r="E30"/>
  <c r="D30"/>
  <c r="C30"/>
  <c r="B30"/>
  <c r="B30" i="254" s="1"/>
  <c r="G29" i="27"/>
  <c r="E29"/>
  <c r="D29"/>
  <c r="C29"/>
  <c r="B29"/>
  <c r="B29" i="254" s="1"/>
  <c r="G28" i="27"/>
  <c r="E28"/>
  <c r="D28"/>
  <c r="C28"/>
  <c r="B28"/>
  <c r="B28" i="254" s="1"/>
  <c r="G27" i="27"/>
  <c r="E27"/>
  <c r="D27"/>
  <c r="C27"/>
  <c r="B27"/>
  <c r="B27" i="254" s="1"/>
  <c r="G26" i="27"/>
  <c r="E26"/>
  <c r="D26"/>
  <c r="C26"/>
  <c r="B26"/>
  <c r="B26" i="254" s="1"/>
  <c r="G25" i="27"/>
  <c r="E25"/>
  <c r="D25"/>
  <c r="C25"/>
  <c r="B25"/>
  <c r="B25" i="254" s="1"/>
  <c r="G24" i="27"/>
  <c r="E24"/>
  <c r="D24"/>
  <c r="C24"/>
  <c r="B24"/>
  <c r="B24" i="254" s="1"/>
  <c r="G23" i="27"/>
  <c r="E23"/>
  <c r="D23"/>
  <c r="C23"/>
  <c r="B23"/>
  <c r="B23" i="254" s="1"/>
  <c r="G22" i="27"/>
  <c r="E22"/>
  <c r="D22"/>
  <c r="C22"/>
  <c r="B22"/>
  <c r="B22" i="254" s="1"/>
  <c r="G21" i="27"/>
  <c r="E21"/>
  <c r="D21"/>
  <c r="C21"/>
  <c r="B21"/>
  <c r="B21" i="254" s="1"/>
  <c r="G20" i="27"/>
  <c r="E20"/>
  <c r="D20"/>
  <c r="C20"/>
  <c r="B20"/>
  <c r="G19"/>
  <c r="E19"/>
  <c r="D19"/>
  <c r="C19"/>
  <c r="B19"/>
  <c r="G18"/>
  <c r="E18"/>
  <c r="D18"/>
  <c r="C18"/>
  <c r="B18"/>
  <c r="G17"/>
  <c r="E17"/>
  <c r="D17"/>
  <c r="C17"/>
  <c r="B17"/>
  <c r="G16"/>
  <c r="E16"/>
  <c r="D16"/>
  <c r="C16"/>
  <c r="B16"/>
  <c r="G15"/>
  <c r="E15"/>
  <c r="D15"/>
  <c r="C15"/>
  <c r="B15"/>
  <c r="G14"/>
  <c r="E14"/>
  <c r="D14"/>
  <c r="C14"/>
  <c r="B14"/>
  <c r="G13"/>
  <c r="E13"/>
  <c r="D13"/>
  <c r="C13"/>
  <c r="B13"/>
  <c r="G12"/>
  <c r="E12"/>
  <c r="D12"/>
  <c r="C12"/>
  <c r="B12"/>
  <c r="G11"/>
  <c r="E11"/>
  <c r="D11"/>
  <c r="C11"/>
  <c r="B11"/>
  <c r="G10"/>
  <c r="E10"/>
  <c r="D10"/>
  <c r="C10"/>
  <c r="B10"/>
  <c r="G9"/>
  <c r="E9"/>
  <c r="D9"/>
  <c r="C9"/>
  <c r="B9"/>
  <c r="G8"/>
  <c r="E8"/>
  <c r="D8"/>
  <c r="C8"/>
  <c r="B8"/>
  <c r="G7"/>
  <c r="E7"/>
  <c r="D7"/>
  <c r="C7"/>
  <c r="B7"/>
  <c r="G6"/>
  <c r="E6"/>
  <c r="D6"/>
  <c r="AH52" i="319"/>
  <c r="AL51" i="318"/>
  <c r="AK51"/>
  <c r="AL50"/>
  <c r="AK50"/>
  <c r="AL49"/>
  <c r="AK49"/>
  <c r="AL48"/>
  <c r="AK48"/>
  <c r="AL47"/>
  <c r="AK47"/>
  <c r="AL46"/>
  <c r="AK46"/>
  <c r="AL44"/>
  <c r="AK44"/>
  <c r="AL43"/>
  <c r="AK43"/>
  <c r="AL42"/>
  <c r="AK42"/>
  <c r="AL41"/>
  <c r="AK41"/>
  <c r="AL40"/>
  <c r="AK40"/>
  <c r="AL39"/>
  <c r="AK39"/>
  <c r="AL37"/>
  <c r="AK37"/>
  <c r="AL35"/>
  <c r="AK35"/>
  <c r="AL33"/>
  <c r="AK33"/>
  <c r="AL32"/>
  <c r="AK32"/>
  <c r="AL31"/>
  <c r="AK31"/>
  <c r="AL30"/>
  <c r="AK30"/>
  <c r="AL29"/>
  <c r="AK29"/>
  <c r="AL28"/>
  <c r="AK28"/>
  <c r="AL26"/>
  <c r="AK26"/>
  <c r="AL24"/>
  <c r="AK24"/>
  <c r="AL23"/>
  <c r="AK23"/>
  <c r="AL22"/>
  <c r="AK22"/>
  <c r="AL21"/>
  <c r="AK21"/>
  <c r="AL20"/>
  <c r="AK20"/>
  <c r="AL18"/>
  <c r="AK18"/>
  <c r="AL17"/>
  <c r="AK17"/>
  <c r="AL16"/>
  <c r="AK16"/>
  <c r="AL15"/>
  <c r="AK15"/>
  <c r="AL13"/>
  <c r="AK13"/>
  <c r="AL11"/>
  <c r="AK11"/>
  <c r="AL10"/>
  <c r="AK10"/>
  <c r="AL9"/>
  <c r="AK9"/>
  <c r="AL7"/>
  <c r="AK7"/>
  <c r="AL5"/>
  <c r="AK5"/>
  <c r="AL51" i="317"/>
  <c r="AK51"/>
  <c r="AL49"/>
  <c r="AK49"/>
  <c r="AL48"/>
  <c r="AK48"/>
  <c r="AL46"/>
  <c r="AK46"/>
  <c r="AL44"/>
  <c r="AK44"/>
  <c r="AL43"/>
  <c r="AK43"/>
  <c r="AL42"/>
  <c r="AK42"/>
  <c r="AL41"/>
  <c r="AK41"/>
  <c r="AL40"/>
  <c r="AK40"/>
  <c r="AL39"/>
  <c r="AK39"/>
  <c r="AL37"/>
  <c r="AK37"/>
  <c r="AL35"/>
  <c r="AK35"/>
  <c r="AL33"/>
  <c r="AK33"/>
  <c r="AL32"/>
  <c r="AK32"/>
  <c r="AL30"/>
  <c r="AK30"/>
  <c r="AL29"/>
  <c r="AK29"/>
  <c r="AL28"/>
  <c r="AK28"/>
  <c r="AL26"/>
  <c r="AK26"/>
  <c r="AL24"/>
  <c r="AK24"/>
  <c r="AL23"/>
  <c r="AK23"/>
  <c r="AL22"/>
  <c r="AK22"/>
  <c r="AL20"/>
  <c r="AK20"/>
  <c r="AL18"/>
  <c r="AK18"/>
  <c r="AL17"/>
  <c r="AK17"/>
  <c r="AL16"/>
  <c r="AK16"/>
  <c r="AL15"/>
  <c r="AK15"/>
  <c r="AL13"/>
  <c r="AK13"/>
  <c r="AL11"/>
  <c r="AK11"/>
  <c r="AL10"/>
  <c r="AK10"/>
  <c r="AL9"/>
  <c r="AK9"/>
  <c r="AL7"/>
  <c r="AK7"/>
  <c r="AL5"/>
  <c r="AK5"/>
  <c r="L30" i="252"/>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30" i="251"/>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30" i="25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Q28" i="249"/>
  <c r="P28" s="1"/>
  <c r="Q27"/>
  <c r="P27" s="1"/>
  <c r="Q26"/>
  <c r="P26" s="1"/>
  <c r="Q25"/>
  <c r="P25" s="1"/>
  <c r="Q24"/>
  <c r="P24" s="1"/>
  <c r="Q23"/>
  <c r="P23" s="1"/>
  <c r="Q22"/>
  <c r="P22" s="1"/>
  <c r="Q21"/>
  <c r="P21" s="1"/>
  <c r="Q20"/>
  <c r="P20" s="1"/>
  <c r="Q19"/>
  <c r="P19" s="1"/>
  <c r="Q18"/>
  <c r="P18" s="1"/>
  <c r="Q17"/>
  <c r="P17" s="1"/>
  <c r="Q16"/>
  <c r="P16" s="1"/>
  <c r="Q15"/>
  <c r="P15" s="1"/>
  <c r="Q14"/>
  <c r="P14" s="1"/>
  <c r="Q13"/>
  <c r="P13" s="1"/>
  <c r="Q12"/>
  <c r="P12" s="1"/>
  <c r="Q11"/>
  <c r="P11" s="1"/>
  <c r="Q10"/>
  <c r="P10" s="1"/>
  <c r="Q9"/>
  <c r="P9" s="1"/>
  <c r="Q8"/>
  <c r="P8" s="1"/>
  <c r="Q7"/>
  <c r="P7" s="1"/>
  <c r="Q6"/>
  <c r="P6" s="1"/>
  <c r="Q5"/>
  <c r="P5" s="1"/>
  <c r="L34" i="248"/>
  <c r="K34"/>
  <c r="J34"/>
  <c r="I34"/>
  <c r="H34"/>
  <c r="G34"/>
  <c r="F34"/>
  <c r="E34"/>
  <c r="D34"/>
  <c r="C34"/>
  <c r="B34"/>
  <c r="L33"/>
  <c r="K33"/>
  <c r="J33"/>
  <c r="I33"/>
  <c r="H33"/>
  <c r="G33"/>
  <c r="F33"/>
  <c r="E33"/>
  <c r="D33"/>
  <c r="C33"/>
  <c r="B33"/>
  <c r="Q28"/>
  <c r="P28" s="1"/>
  <c r="Q27"/>
  <c r="P27" s="1"/>
  <c r="Q26"/>
  <c r="P26" s="1"/>
  <c r="Q25"/>
  <c r="P25" s="1"/>
  <c r="Q24"/>
  <c r="P24" s="1"/>
  <c r="Q23"/>
  <c r="P23" s="1"/>
  <c r="Q22"/>
  <c r="P22" s="1"/>
  <c r="Q21"/>
  <c r="P21" s="1"/>
  <c r="Q20"/>
  <c r="P20" s="1"/>
  <c r="Q19"/>
  <c r="P19" s="1"/>
  <c r="Q18"/>
  <c r="P18" s="1"/>
  <c r="Q17"/>
  <c r="P17" s="1"/>
  <c r="Q16"/>
  <c r="P16" s="1"/>
  <c r="Q15"/>
  <c r="P15" s="1"/>
  <c r="Q14"/>
  <c r="P14" s="1"/>
  <c r="Q13"/>
  <c r="P13" s="1"/>
  <c r="Q12"/>
  <c r="P12" s="1"/>
  <c r="Q11"/>
  <c r="P11" s="1"/>
  <c r="Q10"/>
  <c r="P10" s="1"/>
  <c r="Q9"/>
  <c r="P9" s="1"/>
  <c r="Q8"/>
  <c r="P8" s="1"/>
  <c r="Q7"/>
  <c r="P7" s="1"/>
  <c r="Q6"/>
  <c r="P6" s="1"/>
  <c r="Q5"/>
  <c r="P5" s="1"/>
  <c r="L73" i="247"/>
  <c r="K73"/>
  <c r="J73"/>
  <c r="I73"/>
  <c r="H73"/>
  <c r="G73"/>
  <c r="F73"/>
  <c r="E73"/>
  <c r="D73"/>
  <c r="C73"/>
  <c r="L72"/>
  <c r="K72"/>
  <c r="J72"/>
  <c r="I72"/>
  <c r="H72"/>
  <c r="G72"/>
  <c r="F72"/>
  <c r="E72"/>
  <c r="D72"/>
  <c r="C72"/>
  <c r="L71"/>
  <c r="K71"/>
  <c r="J71"/>
  <c r="I71"/>
  <c r="H71"/>
  <c r="G71"/>
  <c r="F71"/>
  <c r="E71"/>
  <c r="D71"/>
  <c r="C71"/>
  <c r="L70"/>
  <c r="K70"/>
  <c r="J70"/>
  <c r="I70"/>
  <c r="H70"/>
  <c r="G70"/>
  <c r="F70"/>
  <c r="E70"/>
  <c r="D70"/>
  <c r="C70"/>
  <c r="L69"/>
  <c r="K69"/>
  <c r="J69"/>
  <c r="I69"/>
  <c r="H69"/>
  <c r="G69"/>
  <c r="F69"/>
  <c r="E69"/>
  <c r="D69"/>
  <c r="C69"/>
  <c r="L68"/>
  <c r="K68"/>
  <c r="J68"/>
  <c r="I68"/>
  <c r="H68"/>
  <c r="G68"/>
  <c r="F68"/>
  <c r="E68"/>
  <c r="D68"/>
  <c r="C68"/>
  <c r="L67"/>
  <c r="K67"/>
  <c r="J67"/>
  <c r="I67"/>
  <c r="H67"/>
  <c r="G67"/>
  <c r="F67"/>
  <c r="E67"/>
  <c r="D67"/>
  <c r="C67"/>
  <c r="L66"/>
  <c r="K66"/>
  <c r="J66"/>
  <c r="I66"/>
  <c r="H66"/>
  <c r="G66"/>
  <c r="F66"/>
  <c r="E66"/>
  <c r="D66"/>
  <c r="C66"/>
  <c r="L65"/>
  <c r="K65"/>
  <c r="J65"/>
  <c r="I65"/>
  <c r="H65"/>
  <c r="G65"/>
  <c r="F65"/>
  <c r="E65"/>
  <c r="D65"/>
  <c r="C65"/>
  <c r="L64"/>
  <c r="K64"/>
  <c r="J64"/>
  <c r="I64"/>
  <c r="H64"/>
  <c r="G64"/>
  <c r="F64"/>
  <c r="E64"/>
  <c r="D64"/>
  <c r="C64"/>
  <c r="L63"/>
  <c r="K63"/>
  <c r="J63"/>
  <c r="I63"/>
  <c r="H63"/>
  <c r="G63"/>
  <c r="F63"/>
  <c r="E63"/>
  <c r="D63"/>
  <c r="C63"/>
  <c r="L62"/>
  <c r="K62"/>
  <c r="J62"/>
  <c r="I62"/>
  <c r="H62"/>
  <c r="G62"/>
  <c r="F62"/>
  <c r="E62"/>
  <c r="D62"/>
  <c r="C62"/>
  <c r="L61"/>
  <c r="K61"/>
  <c r="J61"/>
  <c r="I61"/>
  <c r="H61"/>
  <c r="G61"/>
  <c r="F61"/>
  <c r="E61"/>
  <c r="D61"/>
  <c r="C61"/>
  <c r="L60"/>
  <c r="K60"/>
  <c r="J60"/>
  <c r="I60"/>
  <c r="H60"/>
  <c r="G60"/>
  <c r="F60"/>
  <c r="E60"/>
  <c r="D60"/>
  <c r="C60"/>
  <c r="L59"/>
  <c r="K59"/>
  <c r="J59"/>
  <c r="I59"/>
  <c r="H59"/>
  <c r="G59"/>
  <c r="F59"/>
  <c r="E59"/>
  <c r="D59"/>
  <c r="C59"/>
  <c r="L58"/>
  <c r="K58"/>
  <c r="J58"/>
  <c r="I58"/>
  <c r="H58"/>
  <c r="G58"/>
  <c r="F58"/>
  <c r="E58"/>
  <c r="D58"/>
  <c r="C58"/>
  <c r="L57"/>
  <c r="K57"/>
  <c r="J57"/>
  <c r="I57"/>
  <c r="H57"/>
  <c r="G57"/>
  <c r="F57"/>
  <c r="E57"/>
  <c r="D57"/>
  <c r="C57"/>
  <c r="L56"/>
  <c r="K56"/>
  <c r="J56"/>
  <c r="I56"/>
  <c r="H56"/>
  <c r="G56"/>
  <c r="F56"/>
  <c r="E56"/>
  <c r="D56"/>
  <c r="C56"/>
  <c r="L55"/>
  <c r="K55"/>
  <c r="J55"/>
  <c r="I55"/>
  <c r="H55"/>
  <c r="G55"/>
  <c r="F55"/>
  <c r="E55"/>
  <c r="D55"/>
  <c r="C55"/>
  <c r="L54"/>
  <c r="K54"/>
  <c r="J54"/>
  <c r="I54"/>
  <c r="H54"/>
  <c r="G54"/>
  <c r="F54"/>
  <c r="E54"/>
  <c r="D54"/>
  <c r="C54"/>
  <c r="L53"/>
  <c r="K53"/>
  <c r="J53"/>
  <c r="I53"/>
  <c r="H53"/>
  <c r="G53"/>
  <c r="F53"/>
  <c r="E53"/>
  <c r="D53"/>
  <c r="C53"/>
  <c r="L52"/>
  <c r="K52"/>
  <c r="J52"/>
  <c r="I52"/>
  <c r="H52"/>
  <c r="G52"/>
  <c r="F52"/>
  <c r="E52"/>
  <c r="D52"/>
  <c r="C52"/>
  <c r="L51"/>
  <c r="K51"/>
  <c r="J51"/>
  <c r="I51"/>
  <c r="H51"/>
  <c r="G51"/>
  <c r="F51"/>
  <c r="E51"/>
  <c r="D51"/>
  <c r="C51"/>
  <c r="L50"/>
  <c r="K50"/>
  <c r="J50"/>
  <c r="I50"/>
  <c r="H50"/>
  <c r="G50"/>
  <c r="F50"/>
  <c r="E50"/>
  <c r="D50"/>
  <c r="C50"/>
  <c r="L49"/>
  <c r="K49"/>
  <c r="J49"/>
  <c r="I49"/>
  <c r="H49"/>
  <c r="G49"/>
  <c r="F49"/>
  <c r="E49"/>
  <c r="D49"/>
  <c r="C49"/>
  <c r="L34"/>
  <c r="K34"/>
  <c r="J34"/>
  <c r="I34"/>
  <c r="H34"/>
  <c r="G34"/>
  <c r="F34"/>
  <c r="E34"/>
  <c r="D34"/>
  <c r="C34"/>
  <c r="B34"/>
  <c r="L33"/>
  <c r="K33"/>
  <c r="J33"/>
  <c r="I33"/>
  <c r="H33"/>
  <c r="G33"/>
  <c r="F33"/>
  <c r="E33"/>
  <c r="D33"/>
  <c r="C33"/>
  <c r="B33"/>
  <c r="Q28"/>
  <c r="P28" s="1"/>
  <c r="Q27"/>
  <c r="P27" s="1"/>
  <c r="Q26"/>
  <c r="P26" s="1"/>
  <c r="Q25"/>
  <c r="P25" s="1"/>
  <c r="Q24"/>
  <c r="P24" s="1"/>
  <c r="Q23"/>
  <c r="P23" s="1"/>
  <c r="Q22"/>
  <c r="P22" s="1"/>
  <c r="Q21"/>
  <c r="P21" s="1"/>
  <c r="Q20"/>
  <c r="P20" s="1"/>
  <c r="Q19"/>
  <c r="P19" s="1"/>
  <c r="Q18"/>
  <c r="P18" s="1"/>
  <c r="Q17"/>
  <c r="P17" s="1"/>
  <c r="Q16"/>
  <c r="P16" s="1"/>
  <c r="Q15"/>
  <c r="P15" s="1"/>
  <c r="Q14"/>
  <c r="P14" s="1"/>
  <c r="Q13"/>
  <c r="P13" s="1"/>
  <c r="Q12"/>
  <c r="P12" s="1"/>
  <c r="Q11"/>
  <c r="P11" s="1"/>
  <c r="Q10"/>
  <c r="P10" s="1"/>
  <c r="Q9"/>
  <c r="P9" s="1"/>
  <c r="Q8"/>
  <c r="P8" s="1"/>
  <c r="Q7"/>
  <c r="P7" s="1"/>
  <c r="Q6"/>
  <c r="P6" s="1"/>
  <c r="Q5"/>
  <c r="P5" s="1"/>
  <c r="AL51" i="314"/>
  <c r="AK51"/>
  <c r="AL50"/>
  <c r="AK50"/>
  <c r="AL49"/>
  <c r="AK49"/>
  <c r="AL48"/>
  <c r="AK48"/>
  <c r="AL47"/>
  <c r="AK47"/>
  <c r="AL46"/>
  <c r="AK46"/>
  <c r="AL44"/>
  <c r="AK44"/>
  <c r="AL43"/>
  <c r="AK43"/>
  <c r="AL42"/>
  <c r="AK42"/>
  <c r="AL41"/>
  <c r="AK41"/>
  <c r="AL40"/>
  <c r="AK40"/>
  <c r="AL39"/>
  <c r="AK39"/>
  <c r="AL37"/>
  <c r="AK37"/>
  <c r="AL35"/>
  <c r="AK35"/>
  <c r="AL33"/>
  <c r="AK33"/>
  <c r="AL32"/>
  <c r="AK32"/>
  <c r="AL31"/>
  <c r="AK31"/>
  <c r="AL30"/>
  <c r="AK30"/>
  <c r="AL29"/>
  <c r="AK29"/>
  <c r="AL28"/>
  <c r="AK28"/>
  <c r="AL26"/>
  <c r="AK26"/>
  <c r="AL24"/>
  <c r="AK24"/>
  <c r="AL23"/>
  <c r="AK23"/>
  <c r="AL22"/>
  <c r="AK22"/>
  <c r="AL21"/>
  <c r="AK21"/>
  <c r="AL20"/>
  <c r="AK20"/>
  <c r="AL18"/>
  <c r="AK18"/>
  <c r="AL17"/>
  <c r="AK17"/>
  <c r="AL16"/>
  <c r="AK16"/>
  <c r="AL15"/>
  <c r="AK15"/>
  <c r="AL13"/>
  <c r="AK13"/>
  <c r="AL11"/>
  <c r="AK11"/>
  <c r="AL10"/>
  <c r="AK10"/>
  <c r="AL9"/>
  <c r="AK9"/>
  <c r="AL7"/>
  <c r="AK7"/>
  <c r="AL5"/>
  <c r="G41" i="246"/>
  <c r="F41"/>
  <c r="E41"/>
  <c r="D41"/>
  <c r="C41"/>
  <c r="G38"/>
  <c r="F38"/>
  <c r="E38"/>
  <c r="D38"/>
  <c r="C38"/>
  <c r="G35"/>
  <c r="F35"/>
  <c r="E35"/>
  <c r="D35"/>
  <c r="C35"/>
  <c r="B35"/>
  <c r="G34"/>
  <c r="F34"/>
  <c r="E34"/>
  <c r="D34"/>
  <c r="C34"/>
  <c r="B34"/>
  <c r="L30" i="245"/>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30" i="244"/>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30" i="243"/>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L11"/>
  <c r="K11"/>
  <c r="J11"/>
  <c r="I11"/>
  <c r="H11"/>
  <c r="G11"/>
  <c r="F11"/>
  <c r="E11"/>
  <c r="D11"/>
  <c r="C11"/>
  <c r="B11"/>
  <c r="L10"/>
  <c r="K10"/>
  <c r="J10"/>
  <c r="I10"/>
  <c r="H10"/>
  <c r="G10"/>
  <c r="F10"/>
  <c r="E10"/>
  <c r="D10"/>
  <c r="C10"/>
  <c r="B10"/>
  <c r="L9"/>
  <c r="K9"/>
  <c r="J9"/>
  <c r="I9"/>
  <c r="H9"/>
  <c r="G9"/>
  <c r="F9"/>
  <c r="E9"/>
  <c r="D9"/>
  <c r="C9"/>
  <c r="B9"/>
  <c r="L8"/>
  <c r="K8"/>
  <c r="J8"/>
  <c r="I8"/>
  <c r="H8"/>
  <c r="G8"/>
  <c r="F8"/>
  <c r="E8"/>
  <c r="D8"/>
  <c r="C8"/>
  <c r="B8"/>
  <c r="L7"/>
  <c r="K7"/>
  <c r="J7"/>
  <c r="I7"/>
  <c r="H7"/>
  <c r="G7"/>
  <c r="F7"/>
  <c r="E7"/>
  <c r="D7"/>
  <c r="C7"/>
  <c r="B7"/>
  <c r="L6"/>
  <c r="K6"/>
  <c r="J6"/>
  <c r="I6"/>
  <c r="H6"/>
  <c r="G6"/>
  <c r="F6"/>
  <c r="E6"/>
  <c r="D6"/>
  <c r="C6"/>
  <c r="B6"/>
  <c r="L5"/>
  <c r="K5"/>
  <c r="J5"/>
  <c r="I5"/>
  <c r="H5"/>
  <c r="G5"/>
  <c r="F5"/>
  <c r="E5"/>
  <c r="D5"/>
  <c r="C5"/>
  <c r="B5"/>
  <c r="L75" i="242"/>
  <c r="K75"/>
  <c r="J75"/>
  <c r="I75"/>
  <c r="H75"/>
  <c r="G75"/>
  <c r="F75"/>
  <c r="E75"/>
  <c r="D75"/>
  <c r="C75"/>
  <c r="L74"/>
  <c r="K74"/>
  <c r="J74"/>
  <c r="I74"/>
  <c r="H74"/>
  <c r="G74"/>
  <c r="F74"/>
  <c r="E74"/>
  <c r="D74"/>
  <c r="C74"/>
  <c r="L73"/>
  <c r="K73"/>
  <c r="J73"/>
  <c r="I73"/>
  <c r="H73"/>
  <c r="G73"/>
  <c r="F73"/>
  <c r="E73"/>
  <c r="D73"/>
  <c r="C73"/>
  <c r="L72"/>
  <c r="K72"/>
  <c r="J72"/>
  <c r="I72"/>
  <c r="H72"/>
  <c r="G72"/>
  <c r="F72"/>
  <c r="E72"/>
  <c r="D72"/>
  <c r="C72"/>
  <c r="L71"/>
  <c r="K71"/>
  <c r="J71"/>
  <c r="I71"/>
  <c r="H71"/>
  <c r="G71"/>
  <c r="F71"/>
  <c r="E71"/>
  <c r="D71"/>
  <c r="C71"/>
  <c r="L70"/>
  <c r="K70"/>
  <c r="J70"/>
  <c r="I70"/>
  <c r="H70"/>
  <c r="G70"/>
  <c r="F70"/>
  <c r="E70"/>
  <c r="D70"/>
  <c r="C70"/>
  <c r="L69"/>
  <c r="K69"/>
  <c r="J69"/>
  <c r="I69"/>
  <c r="H69"/>
  <c r="G69"/>
  <c r="F69"/>
  <c r="E69"/>
  <c r="D69"/>
  <c r="C69"/>
  <c r="L68"/>
  <c r="K68"/>
  <c r="J68"/>
  <c r="I68"/>
  <c r="H68"/>
  <c r="G68"/>
  <c r="F68"/>
  <c r="E68"/>
  <c r="D68"/>
  <c r="C68"/>
  <c r="L67"/>
  <c r="K67"/>
  <c r="J67"/>
  <c r="I67"/>
  <c r="H67"/>
  <c r="G67"/>
  <c r="F67"/>
  <c r="E67"/>
  <c r="D67"/>
  <c r="C67"/>
  <c r="L66"/>
  <c r="K66"/>
  <c r="J66"/>
  <c r="I66"/>
  <c r="H66"/>
  <c r="G66"/>
  <c r="F66"/>
  <c r="E66"/>
  <c r="D66"/>
  <c r="C66"/>
  <c r="L65"/>
  <c r="K65"/>
  <c r="J65"/>
  <c r="I65"/>
  <c r="H65"/>
  <c r="G65"/>
  <c r="F65"/>
  <c r="E65"/>
  <c r="D65"/>
  <c r="C65"/>
  <c r="L64"/>
  <c r="K64"/>
  <c r="J64"/>
  <c r="I64"/>
  <c r="H64"/>
  <c r="G64"/>
  <c r="F64"/>
  <c r="E64"/>
  <c r="D64"/>
  <c r="C64"/>
  <c r="L63"/>
  <c r="K63"/>
  <c r="J63"/>
  <c r="I63"/>
  <c r="H63"/>
  <c r="G63"/>
  <c r="F63"/>
  <c r="E63"/>
  <c r="D63"/>
  <c r="C63"/>
  <c r="L62"/>
  <c r="K62"/>
  <c r="J62"/>
  <c r="I62"/>
  <c r="H62"/>
  <c r="G62"/>
  <c r="F62"/>
  <c r="E62"/>
  <c r="D62"/>
  <c r="C62"/>
  <c r="L61"/>
  <c r="K61"/>
  <c r="J61"/>
  <c r="I61"/>
  <c r="H61"/>
  <c r="G61"/>
  <c r="F61"/>
  <c r="E61"/>
  <c r="D61"/>
  <c r="C61"/>
  <c r="L60"/>
  <c r="K60"/>
  <c r="J60"/>
  <c r="I60"/>
  <c r="H60"/>
  <c r="G60"/>
  <c r="F60"/>
  <c r="E60"/>
  <c r="D60"/>
  <c r="C60"/>
  <c r="L59"/>
  <c r="K59"/>
  <c r="J59"/>
  <c r="I59"/>
  <c r="H59"/>
  <c r="G59"/>
  <c r="F59"/>
  <c r="E59"/>
  <c r="D59"/>
  <c r="C59"/>
  <c r="L58"/>
  <c r="K58"/>
  <c r="J58"/>
  <c r="I58"/>
  <c r="H58"/>
  <c r="G58"/>
  <c r="F58"/>
  <c r="E58"/>
  <c r="D58"/>
  <c r="C58"/>
  <c r="L57"/>
  <c r="K57"/>
  <c r="J57"/>
  <c r="I57"/>
  <c r="H57"/>
  <c r="G57"/>
  <c r="F57"/>
  <c r="E57"/>
  <c r="D57"/>
  <c r="C57"/>
  <c r="L56"/>
  <c r="K56"/>
  <c r="J56"/>
  <c r="I56"/>
  <c r="H56"/>
  <c r="G56"/>
  <c r="F56"/>
  <c r="E56"/>
  <c r="D56"/>
  <c r="C56"/>
  <c r="L55"/>
  <c r="K55"/>
  <c r="J55"/>
  <c r="I55"/>
  <c r="H55"/>
  <c r="G55"/>
  <c r="F55"/>
  <c r="E55"/>
  <c r="D55"/>
  <c r="C55"/>
  <c r="L54"/>
  <c r="K54"/>
  <c r="J54"/>
  <c r="I54"/>
  <c r="H54"/>
  <c r="G54"/>
  <c r="F54"/>
  <c r="E54"/>
  <c r="D54"/>
  <c r="C54"/>
  <c r="L53"/>
  <c r="K53"/>
  <c r="J53"/>
  <c r="I53"/>
  <c r="H53"/>
  <c r="G53"/>
  <c r="F53"/>
  <c r="E53"/>
  <c r="D53"/>
  <c r="C53"/>
  <c r="L52"/>
  <c r="K52"/>
  <c r="J52"/>
  <c r="I52"/>
  <c r="H52"/>
  <c r="G52"/>
  <c r="F52"/>
  <c r="E52"/>
  <c r="D52"/>
  <c r="C52"/>
  <c r="Q28"/>
  <c r="Q27"/>
  <c r="P27" s="1"/>
  <c r="Q26"/>
  <c r="P26" s="1"/>
  <c r="Q25"/>
  <c r="P25" s="1"/>
  <c r="Q24"/>
  <c r="Q23"/>
  <c r="P23" s="1"/>
  <c r="Q22"/>
  <c r="P22" s="1"/>
  <c r="Q21"/>
  <c r="P21" s="1"/>
  <c r="Q20"/>
  <c r="P20" s="1"/>
  <c r="Q19"/>
  <c r="P19" s="1"/>
  <c r="Q18"/>
  <c r="P18" s="1"/>
  <c r="Q17"/>
  <c r="P17" s="1"/>
  <c r="Q16"/>
  <c r="P16" s="1"/>
  <c r="Q15"/>
  <c r="P15" s="1"/>
  <c r="Q14"/>
  <c r="P14" s="1"/>
  <c r="Q13"/>
  <c r="Q12"/>
  <c r="P12" s="1"/>
  <c r="Q11"/>
  <c r="P11" s="1"/>
  <c r="Q10"/>
  <c r="P10" s="1"/>
  <c r="Q9"/>
  <c r="P9" s="1"/>
  <c r="Q8"/>
  <c r="P8" s="1"/>
  <c r="Q7"/>
  <c r="P7" s="1"/>
  <c r="Q6"/>
  <c r="P6" s="1"/>
  <c r="Q5"/>
  <c r="P5" s="1"/>
  <c r="L75" i="241"/>
  <c r="K75"/>
  <c r="J75"/>
  <c r="I75"/>
  <c r="H75"/>
  <c r="G75"/>
  <c r="F75"/>
  <c r="E75"/>
  <c r="D75"/>
  <c r="C75"/>
  <c r="L74"/>
  <c r="K74"/>
  <c r="J74"/>
  <c r="I74"/>
  <c r="H74"/>
  <c r="G74"/>
  <c r="F74"/>
  <c r="E74"/>
  <c r="D74"/>
  <c r="C74"/>
  <c r="L73"/>
  <c r="K73"/>
  <c r="J73"/>
  <c r="I73"/>
  <c r="H73"/>
  <c r="G73"/>
  <c r="F73"/>
  <c r="E73"/>
  <c r="D73"/>
  <c r="C73"/>
  <c r="L72"/>
  <c r="K72"/>
  <c r="J72"/>
  <c r="I72"/>
  <c r="H72"/>
  <c r="G72"/>
  <c r="F72"/>
  <c r="E72"/>
  <c r="D72"/>
  <c r="C72"/>
  <c r="L71"/>
  <c r="K71"/>
  <c r="J71"/>
  <c r="I71"/>
  <c r="H71"/>
  <c r="G71"/>
  <c r="F71"/>
  <c r="E71"/>
  <c r="D71"/>
  <c r="C71"/>
  <c r="L70"/>
  <c r="K70"/>
  <c r="J70"/>
  <c r="I70"/>
  <c r="H70"/>
  <c r="G70"/>
  <c r="F70"/>
  <c r="E70"/>
  <c r="D70"/>
  <c r="C70"/>
  <c r="L69"/>
  <c r="K69"/>
  <c r="J69"/>
  <c r="I69"/>
  <c r="H69"/>
  <c r="G69"/>
  <c r="F69"/>
  <c r="E69"/>
  <c r="D69"/>
  <c r="C69"/>
  <c r="L68"/>
  <c r="K68"/>
  <c r="J68"/>
  <c r="I68"/>
  <c r="H68"/>
  <c r="G68"/>
  <c r="F68"/>
  <c r="E68"/>
  <c r="D68"/>
  <c r="C68"/>
  <c r="L67"/>
  <c r="K67"/>
  <c r="J67"/>
  <c r="I67"/>
  <c r="H67"/>
  <c r="G67"/>
  <c r="F67"/>
  <c r="E67"/>
  <c r="D67"/>
  <c r="C67"/>
  <c r="L66"/>
  <c r="K66"/>
  <c r="J66"/>
  <c r="I66"/>
  <c r="H66"/>
  <c r="G66"/>
  <c r="F66"/>
  <c r="E66"/>
  <c r="D66"/>
  <c r="C66"/>
  <c r="L65"/>
  <c r="K65"/>
  <c r="J65"/>
  <c r="I65"/>
  <c r="H65"/>
  <c r="G65"/>
  <c r="F65"/>
  <c r="E65"/>
  <c r="D65"/>
  <c r="C65"/>
  <c r="L64"/>
  <c r="K64"/>
  <c r="J64"/>
  <c r="I64"/>
  <c r="H64"/>
  <c r="G64"/>
  <c r="F64"/>
  <c r="E64"/>
  <c r="D64"/>
  <c r="C64"/>
  <c r="L63"/>
  <c r="K63"/>
  <c r="J63"/>
  <c r="I63"/>
  <c r="H63"/>
  <c r="G63"/>
  <c r="F63"/>
  <c r="E63"/>
  <c r="D63"/>
  <c r="C63"/>
  <c r="L62"/>
  <c r="K62"/>
  <c r="J62"/>
  <c r="I62"/>
  <c r="H62"/>
  <c r="G62"/>
  <c r="F62"/>
  <c r="E62"/>
  <c r="D62"/>
  <c r="C62"/>
  <c r="L61"/>
  <c r="K61"/>
  <c r="J61"/>
  <c r="I61"/>
  <c r="H61"/>
  <c r="G61"/>
  <c r="F61"/>
  <c r="E61"/>
  <c r="D61"/>
  <c r="C61"/>
  <c r="L60"/>
  <c r="K60"/>
  <c r="J60"/>
  <c r="I60"/>
  <c r="H60"/>
  <c r="G60"/>
  <c r="F60"/>
  <c r="E60"/>
  <c r="D60"/>
  <c r="C60"/>
  <c r="L59"/>
  <c r="K59"/>
  <c r="J59"/>
  <c r="I59"/>
  <c r="H59"/>
  <c r="G59"/>
  <c r="F59"/>
  <c r="E59"/>
  <c r="D59"/>
  <c r="C59"/>
  <c r="L58"/>
  <c r="K58"/>
  <c r="J58"/>
  <c r="I58"/>
  <c r="H58"/>
  <c r="G58"/>
  <c r="F58"/>
  <c r="E58"/>
  <c r="D58"/>
  <c r="C58"/>
  <c r="L57"/>
  <c r="K57"/>
  <c r="J57"/>
  <c r="I57"/>
  <c r="H57"/>
  <c r="G57"/>
  <c r="F57"/>
  <c r="E57"/>
  <c r="D57"/>
  <c r="C57"/>
  <c r="L56"/>
  <c r="K56"/>
  <c r="J56"/>
  <c r="I56"/>
  <c r="H56"/>
  <c r="G56"/>
  <c r="F56"/>
  <c r="E56"/>
  <c r="D56"/>
  <c r="C56"/>
  <c r="L55"/>
  <c r="K55"/>
  <c r="J55"/>
  <c r="I55"/>
  <c r="H55"/>
  <c r="G55"/>
  <c r="F55"/>
  <c r="E55"/>
  <c r="D55"/>
  <c r="C55"/>
  <c r="L54"/>
  <c r="K54"/>
  <c r="J54"/>
  <c r="I54"/>
  <c r="H54"/>
  <c r="G54"/>
  <c r="F54"/>
  <c r="E54"/>
  <c r="D54"/>
  <c r="C54"/>
  <c r="L53"/>
  <c r="K53"/>
  <c r="J53"/>
  <c r="I53"/>
  <c r="H53"/>
  <c r="G53"/>
  <c r="F53"/>
  <c r="E53"/>
  <c r="D53"/>
  <c r="C53"/>
  <c r="L52"/>
  <c r="K52"/>
  <c r="J52"/>
  <c r="I52"/>
  <c r="H52"/>
  <c r="G52"/>
  <c r="F52"/>
  <c r="E52"/>
  <c r="D52"/>
  <c r="C52"/>
  <c r="Q28"/>
  <c r="Q27"/>
  <c r="P27" s="1"/>
  <c r="Q26"/>
  <c r="P26" s="1"/>
  <c r="Q25"/>
  <c r="P25" s="1"/>
  <c r="Q24"/>
  <c r="Q23"/>
  <c r="P23" s="1"/>
  <c r="Q22"/>
  <c r="P22" s="1"/>
  <c r="Q21"/>
  <c r="P21" s="1"/>
  <c r="Q20"/>
  <c r="P20" s="1"/>
  <c r="Q19"/>
  <c r="P19" s="1"/>
  <c r="Q18"/>
  <c r="P18" s="1"/>
  <c r="Q17"/>
  <c r="P17" s="1"/>
  <c r="Q16"/>
  <c r="P16" s="1"/>
  <c r="Q15"/>
  <c r="P15" s="1"/>
  <c r="Q14"/>
  <c r="P14" s="1"/>
  <c r="Q13"/>
  <c r="Q12"/>
  <c r="P12" s="1"/>
  <c r="Q11"/>
  <c r="P11" s="1"/>
  <c r="Q10"/>
  <c r="P10" s="1"/>
  <c r="Q9"/>
  <c r="P9" s="1"/>
  <c r="Q8"/>
  <c r="P8" s="1"/>
  <c r="Q7"/>
  <c r="P7" s="1"/>
  <c r="Q6"/>
  <c r="P6" s="1"/>
  <c r="Q5"/>
  <c r="P5" s="1"/>
  <c r="L75" i="240"/>
  <c r="K75"/>
  <c r="J75"/>
  <c r="I75"/>
  <c r="H75"/>
  <c r="G75"/>
  <c r="F75"/>
  <c r="E75"/>
  <c r="D75"/>
  <c r="C75"/>
  <c r="L74"/>
  <c r="K74"/>
  <c r="J74"/>
  <c r="I74"/>
  <c r="H74"/>
  <c r="G74"/>
  <c r="F74"/>
  <c r="E74"/>
  <c r="D74"/>
  <c r="C74"/>
  <c r="L73"/>
  <c r="K73"/>
  <c r="J73"/>
  <c r="I73"/>
  <c r="H73"/>
  <c r="G73"/>
  <c r="F73"/>
  <c r="E73"/>
  <c r="D73"/>
  <c r="C73"/>
  <c r="L72"/>
  <c r="K72"/>
  <c r="J72"/>
  <c r="I72"/>
  <c r="H72"/>
  <c r="G72"/>
  <c r="F72"/>
  <c r="E72"/>
  <c r="D72"/>
  <c r="C72"/>
  <c r="L71"/>
  <c r="K71"/>
  <c r="J71"/>
  <c r="I71"/>
  <c r="H71"/>
  <c r="G71"/>
  <c r="F71"/>
  <c r="E71"/>
  <c r="D71"/>
  <c r="C71"/>
  <c r="L70"/>
  <c r="K70"/>
  <c r="J70"/>
  <c r="I70"/>
  <c r="H70"/>
  <c r="G70"/>
  <c r="F70"/>
  <c r="E70"/>
  <c r="D70"/>
  <c r="C70"/>
  <c r="L69"/>
  <c r="K69"/>
  <c r="J69"/>
  <c r="I69"/>
  <c r="H69"/>
  <c r="G69"/>
  <c r="F69"/>
  <c r="E69"/>
  <c r="D69"/>
  <c r="C69"/>
  <c r="L68"/>
  <c r="K68"/>
  <c r="J68"/>
  <c r="I68"/>
  <c r="H68"/>
  <c r="G68"/>
  <c r="F68"/>
  <c r="E68"/>
  <c r="D68"/>
  <c r="C68"/>
  <c r="L67"/>
  <c r="K67"/>
  <c r="J67"/>
  <c r="I67"/>
  <c r="H67"/>
  <c r="G67"/>
  <c r="F67"/>
  <c r="E67"/>
  <c r="D67"/>
  <c r="C67"/>
  <c r="L66"/>
  <c r="K66"/>
  <c r="J66"/>
  <c r="I66"/>
  <c r="H66"/>
  <c r="G66"/>
  <c r="F66"/>
  <c r="E66"/>
  <c r="D66"/>
  <c r="C66"/>
  <c r="L65"/>
  <c r="K65"/>
  <c r="J65"/>
  <c r="I65"/>
  <c r="H65"/>
  <c r="G65"/>
  <c r="F65"/>
  <c r="E65"/>
  <c r="D65"/>
  <c r="C65"/>
  <c r="L64"/>
  <c r="K64"/>
  <c r="J64"/>
  <c r="I64"/>
  <c r="H64"/>
  <c r="G64"/>
  <c r="F64"/>
  <c r="E64"/>
  <c r="D64"/>
  <c r="C64"/>
  <c r="L63"/>
  <c r="K63"/>
  <c r="J63"/>
  <c r="I63"/>
  <c r="H63"/>
  <c r="G63"/>
  <c r="F63"/>
  <c r="E63"/>
  <c r="D63"/>
  <c r="C63"/>
  <c r="L62"/>
  <c r="K62"/>
  <c r="J62"/>
  <c r="I62"/>
  <c r="H62"/>
  <c r="G62"/>
  <c r="F62"/>
  <c r="E62"/>
  <c r="D62"/>
  <c r="C62"/>
  <c r="L61"/>
  <c r="K61"/>
  <c r="J61"/>
  <c r="I61"/>
  <c r="H61"/>
  <c r="G61"/>
  <c r="F61"/>
  <c r="E61"/>
  <c r="D61"/>
  <c r="C61"/>
  <c r="L60"/>
  <c r="K60"/>
  <c r="J60"/>
  <c r="I60"/>
  <c r="H60"/>
  <c r="G60"/>
  <c r="F60"/>
  <c r="E60"/>
  <c r="D60"/>
  <c r="C60"/>
  <c r="L59"/>
  <c r="K59"/>
  <c r="J59"/>
  <c r="I59"/>
  <c r="H59"/>
  <c r="G59"/>
  <c r="F59"/>
  <c r="E59"/>
  <c r="D59"/>
  <c r="C59"/>
  <c r="L58"/>
  <c r="K58"/>
  <c r="J58"/>
  <c r="I58"/>
  <c r="H58"/>
  <c r="G58"/>
  <c r="F58"/>
  <c r="E58"/>
  <c r="D58"/>
  <c r="C58"/>
  <c r="L57"/>
  <c r="K57"/>
  <c r="J57"/>
  <c r="I57"/>
  <c r="H57"/>
  <c r="G57"/>
  <c r="F57"/>
  <c r="E57"/>
  <c r="D57"/>
  <c r="C57"/>
  <c r="L56"/>
  <c r="K56"/>
  <c r="J56"/>
  <c r="I56"/>
  <c r="H56"/>
  <c r="G56"/>
  <c r="F56"/>
  <c r="E56"/>
  <c r="D56"/>
  <c r="C56"/>
  <c r="L55"/>
  <c r="K55"/>
  <c r="J55"/>
  <c r="I55"/>
  <c r="H55"/>
  <c r="G55"/>
  <c r="F55"/>
  <c r="E55"/>
  <c r="D55"/>
  <c r="C55"/>
  <c r="L54"/>
  <c r="K54"/>
  <c r="J54"/>
  <c r="I54"/>
  <c r="H54"/>
  <c r="G54"/>
  <c r="F54"/>
  <c r="E54"/>
  <c r="D54"/>
  <c r="C54"/>
  <c r="L53"/>
  <c r="K53"/>
  <c r="J53"/>
  <c r="I53"/>
  <c r="H53"/>
  <c r="G53"/>
  <c r="F53"/>
  <c r="E53"/>
  <c r="D53"/>
  <c r="C53"/>
  <c r="L52"/>
  <c r="K52"/>
  <c r="J52"/>
  <c r="I52"/>
  <c r="H52"/>
  <c r="G52"/>
  <c r="F52"/>
  <c r="E52"/>
  <c r="D52"/>
  <c r="C52"/>
  <c r="Q28"/>
  <c r="P28" s="1"/>
  <c r="Q27"/>
  <c r="P27" s="1"/>
  <c r="Q26"/>
  <c r="P26" s="1"/>
  <c r="Q25"/>
  <c r="P25" s="1"/>
  <c r="Q24"/>
  <c r="P24" s="1"/>
  <c r="Q23"/>
  <c r="P23" s="1"/>
  <c r="Q22"/>
  <c r="P22" s="1"/>
  <c r="Q21"/>
  <c r="P21" s="1"/>
  <c r="Q20"/>
  <c r="P20" s="1"/>
  <c r="Q19"/>
  <c r="P19" s="1"/>
  <c r="Q18"/>
  <c r="P18" s="1"/>
  <c r="Q17"/>
  <c r="P17" s="1"/>
  <c r="Q16"/>
  <c r="P16" s="1"/>
  <c r="Q15"/>
  <c r="P15" s="1"/>
  <c r="Q14"/>
  <c r="P14" s="1"/>
  <c r="Q13"/>
  <c r="P13" s="1"/>
  <c r="Q12"/>
  <c r="P12" s="1"/>
  <c r="Q11"/>
  <c r="P11" s="1"/>
  <c r="Q10"/>
  <c r="P10" s="1"/>
  <c r="Q9"/>
  <c r="P9" s="1"/>
  <c r="Q8"/>
  <c r="P8" s="1"/>
  <c r="Q7"/>
  <c r="P7" s="1"/>
  <c r="Q6"/>
  <c r="P6" s="1"/>
  <c r="Q5"/>
  <c r="P5" s="1"/>
  <c r="F11" i="320"/>
  <c r="F10"/>
  <c r="F9"/>
  <c r="F8"/>
  <c r="L40" i="236"/>
  <c r="K40"/>
  <c r="J40"/>
  <c r="I40"/>
  <c r="H40"/>
  <c r="G40"/>
  <c r="F40"/>
  <c r="E40"/>
  <c r="D40"/>
  <c r="C40"/>
  <c r="L37"/>
  <c r="K37"/>
  <c r="I37"/>
  <c r="H37"/>
  <c r="G37"/>
  <c r="F37"/>
  <c r="E37"/>
  <c r="D37"/>
  <c r="C37"/>
  <c r="L35"/>
  <c r="K35"/>
  <c r="J35"/>
  <c r="I35"/>
  <c r="H35"/>
  <c r="G35"/>
  <c r="F35"/>
  <c r="E35"/>
  <c r="D35"/>
  <c r="C35"/>
  <c r="L34"/>
  <c r="K34"/>
  <c r="J34"/>
  <c r="I34"/>
  <c r="H34"/>
  <c r="G34"/>
  <c r="F34"/>
  <c r="E34"/>
  <c r="D34"/>
  <c r="C34"/>
  <c r="B34"/>
  <c r="L33"/>
  <c r="K33"/>
  <c r="J33"/>
  <c r="I33"/>
  <c r="H33"/>
  <c r="G33"/>
  <c r="F33"/>
  <c r="E33"/>
  <c r="D33"/>
  <c r="C33"/>
  <c r="B33"/>
  <c r="C26" i="254" l="1"/>
  <c r="F6" i="31"/>
  <c r="E6"/>
  <c r="C27" i="254"/>
  <c r="F7" i="31"/>
  <c r="E7"/>
  <c r="C28" i="254"/>
  <c r="F8" i="31"/>
  <c r="E8"/>
  <c r="C29" i="254"/>
  <c r="F9" i="31"/>
  <c r="E9"/>
  <c r="B10"/>
  <c r="C10"/>
  <c r="C30" i="254"/>
  <c r="F10" i="31"/>
  <c r="E10"/>
  <c r="B11"/>
  <c r="C11"/>
  <c r="C31" i="254"/>
  <c r="F11" i="31"/>
  <c r="E11"/>
  <c r="B12"/>
  <c r="C12"/>
  <c r="C32" i="254"/>
  <c r="F12" i="31"/>
  <c r="E12"/>
  <c r="B13"/>
  <c r="C13"/>
  <c r="C33" i="254"/>
  <c r="F13" i="31"/>
  <c r="E13"/>
  <c r="B14"/>
  <c r="C14"/>
  <c r="C34" i="254"/>
  <c r="F14" i="31"/>
  <c r="E14"/>
  <c r="B15"/>
  <c r="C15"/>
  <c r="C35" i="254"/>
  <c r="F15" i="31"/>
  <c r="E15"/>
  <c r="B16"/>
  <c r="C16"/>
  <c r="C36" i="254"/>
  <c r="F16" i="31"/>
  <c r="E16"/>
  <c r="B17"/>
  <c r="C17"/>
  <c r="C37" i="254"/>
  <c r="F17" i="31"/>
  <c r="E17"/>
  <c r="B18"/>
  <c r="C18"/>
  <c r="C38" i="254"/>
  <c r="F18" i="31"/>
  <c r="E18"/>
  <c r="B19"/>
  <c r="C19"/>
  <c r="C39" i="254"/>
  <c r="F19" i="31"/>
  <c r="E19"/>
  <c r="B20"/>
  <c r="C20"/>
  <c r="C40" i="254"/>
  <c r="F20" i="31"/>
  <c r="E20"/>
  <c r="B21"/>
  <c r="C21"/>
  <c r="C41" i="254"/>
  <c r="F21" i="31"/>
  <c r="E21"/>
  <c r="B22"/>
  <c r="C22"/>
  <c r="C42" i="254"/>
  <c r="F22" i="31"/>
  <c r="E22"/>
  <c r="B23"/>
  <c r="C23"/>
  <c r="C43" i="254"/>
  <c r="F23" i="31"/>
  <c r="E23"/>
  <c r="B24"/>
  <c r="C24"/>
  <c r="C44" i="254"/>
  <c r="F24" i="31"/>
  <c r="E24"/>
  <c r="C60" i="27"/>
  <c r="B25" i="31"/>
  <c r="C25"/>
  <c r="C45" i="254"/>
  <c r="F25" i="31"/>
  <c r="E25"/>
  <c r="D60" i="27"/>
  <c r="D45" i="254"/>
  <c r="B26" i="31"/>
  <c r="C26"/>
  <c r="C46" i="254"/>
  <c r="F26" i="31"/>
  <c r="E26"/>
  <c r="B27"/>
  <c r="C27"/>
  <c r="C47" i="254"/>
  <c r="F27" i="31"/>
  <c r="E27"/>
  <c r="B28"/>
  <c r="C28"/>
  <c r="C48" i="254"/>
  <c r="F28" i="31"/>
  <c r="E28"/>
  <c r="B29"/>
  <c r="C29"/>
  <c r="C49" i="254"/>
  <c r="F29" i="31"/>
  <c r="E29"/>
  <c r="C21" i="254"/>
  <c r="D21"/>
  <c r="E21"/>
  <c r="C22"/>
  <c r="D22"/>
  <c r="E22"/>
  <c r="C23"/>
  <c r="D23"/>
  <c r="E23"/>
  <c r="C24"/>
  <c r="D24"/>
  <c r="E24"/>
  <c r="C25"/>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E45"/>
  <c r="D46"/>
  <c r="E46"/>
  <c r="D47"/>
  <c r="E47"/>
  <c r="D48"/>
  <c r="E48"/>
  <c r="D49"/>
  <c r="E49"/>
  <c r="L34" i="266"/>
  <c r="L36"/>
  <c r="J34"/>
  <c r="J36"/>
  <c r="H34"/>
  <c r="H36"/>
  <c r="F34"/>
  <c r="F36"/>
  <c r="D34"/>
  <c r="D36"/>
  <c r="L38"/>
  <c r="L35"/>
  <c r="J38"/>
  <c r="J35"/>
  <c r="H35"/>
  <c r="H38"/>
  <c r="F35"/>
  <c r="F38"/>
  <c r="D38"/>
  <c r="D35"/>
  <c r="B34"/>
  <c r="B36"/>
  <c r="K34" i="265"/>
  <c r="K36"/>
  <c r="I34"/>
  <c r="I36"/>
  <c r="G34"/>
  <c r="G36"/>
  <c r="E34"/>
  <c r="E36"/>
  <c r="C34"/>
  <c r="C36"/>
  <c r="K35"/>
  <c r="K38"/>
  <c r="I38"/>
  <c r="I35"/>
  <c r="G35"/>
  <c r="G38"/>
  <c r="E38"/>
  <c r="E35"/>
  <c r="C35"/>
  <c r="C38"/>
  <c r="L34" i="264"/>
  <c r="L36"/>
  <c r="J34"/>
  <c r="J36"/>
  <c r="H34"/>
  <c r="H36"/>
  <c r="F34"/>
  <c r="F36"/>
  <c r="D34"/>
  <c r="D36"/>
  <c r="L38"/>
  <c r="L35"/>
  <c r="J38"/>
  <c r="J35"/>
  <c r="H35"/>
  <c r="H38"/>
  <c r="F35"/>
  <c r="F38"/>
  <c r="D38"/>
  <c r="D35"/>
  <c r="B35" i="265"/>
  <c r="B38"/>
  <c r="K34" i="266"/>
  <c r="K36"/>
  <c r="I34"/>
  <c r="I36"/>
  <c r="G34"/>
  <c r="G36"/>
  <c r="E34"/>
  <c r="E36"/>
  <c r="C34"/>
  <c r="C36"/>
  <c r="K35"/>
  <c r="K38"/>
  <c r="I38"/>
  <c r="I35"/>
  <c r="G35"/>
  <c r="G38"/>
  <c r="E38"/>
  <c r="E35"/>
  <c r="C35"/>
  <c r="C38"/>
  <c r="B38"/>
  <c r="B35"/>
  <c r="L34" i="265"/>
  <c r="L36"/>
  <c r="J34"/>
  <c r="J36"/>
  <c r="H34"/>
  <c r="H36"/>
  <c r="F34"/>
  <c r="F36"/>
  <c r="D34"/>
  <c r="D36"/>
  <c r="L35"/>
  <c r="L38"/>
  <c r="J35"/>
  <c r="J38"/>
  <c r="H38"/>
  <c r="H35"/>
  <c r="F38"/>
  <c r="F35"/>
  <c r="D35"/>
  <c r="D38"/>
  <c r="K34" i="264"/>
  <c r="K36"/>
  <c r="I34"/>
  <c r="I36"/>
  <c r="G34"/>
  <c r="G36"/>
  <c r="E34"/>
  <c r="E36"/>
  <c r="C34"/>
  <c r="C36"/>
  <c r="K38"/>
  <c r="K35"/>
  <c r="I35"/>
  <c r="I38"/>
  <c r="G35"/>
  <c r="G38"/>
  <c r="E38"/>
  <c r="E35"/>
  <c r="C38"/>
  <c r="C35"/>
  <c r="B33" i="265"/>
  <c r="L30"/>
  <c r="C36" i="243"/>
  <c r="C41"/>
  <c r="E36"/>
  <c r="E41"/>
  <c r="G36"/>
  <c r="G41"/>
  <c r="I36"/>
  <c r="I41"/>
  <c r="K36"/>
  <c r="K41"/>
  <c r="B34"/>
  <c r="B38"/>
  <c r="D34"/>
  <c r="D38"/>
  <c r="F34"/>
  <c r="F38"/>
  <c r="H34"/>
  <c r="H38"/>
  <c r="J34"/>
  <c r="J38"/>
  <c r="L34"/>
  <c r="L38"/>
  <c r="B40"/>
  <c r="B37"/>
  <c r="B35"/>
  <c r="D40"/>
  <c r="D37"/>
  <c r="D35"/>
  <c r="F40"/>
  <c r="F37"/>
  <c r="F35"/>
  <c r="H40"/>
  <c r="H37"/>
  <c r="H35"/>
  <c r="J40"/>
  <c r="J37"/>
  <c r="J35"/>
  <c r="L40"/>
  <c r="L37"/>
  <c r="L35"/>
  <c r="C36" i="244"/>
  <c r="C41"/>
  <c r="E41"/>
  <c r="E36"/>
  <c r="G36"/>
  <c r="G41"/>
  <c r="I41"/>
  <c r="I36"/>
  <c r="K36"/>
  <c r="K41"/>
  <c r="B34"/>
  <c r="B38"/>
  <c r="D34"/>
  <c r="D38"/>
  <c r="F34"/>
  <c r="F38"/>
  <c r="H34"/>
  <c r="H38"/>
  <c r="J34"/>
  <c r="J38"/>
  <c r="L34"/>
  <c r="L38"/>
  <c r="B40"/>
  <c r="B37"/>
  <c r="B35"/>
  <c r="D40"/>
  <c r="D37"/>
  <c r="D35"/>
  <c r="F40"/>
  <c r="F37"/>
  <c r="F35"/>
  <c r="H40"/>
  <c r="H37"/>
  <c r="H35"/>
  <c r="J40"/>
  <c r="J37"/>
  <c r="J35"/>
  <c r="L40"/>
  <c r="L37"/>
  <c r="L35"/>
  <c r="C41" i="245"/>
  <c r="C36"/>
  <c r="E41"/>
  <c r="E36"/>
  <c r="G41"/>
  <c r="G36"/>
  <c r="I41"/>
  <c r="I36"/>
  <c r="K41"/>
  <c r="K36"/>
  <c r="B34"/>
  <c r="B38"/>
  <c r="D34"/>
  <c r="D38"/>
  <c r="F34"/>
  <c r="F38"/>
  <c r="H34"/>
  <c r="H38"/>
  <c r="J34"/>
  <c r="J38"/>
  <c r="L34"/>
  <c r="L38"/>
  <c r="B40"/>
  <c r="B37"/>
  <c r="B35"/>
  <c r="D40"/>
  <c r="D37"/>
  <c r="D35"/>
  <c r="F40"/>
  <c r="F37"/>
  <c r="F35"/>
  <c r="H40"/>
  <c r="H37"/>
  <c r="H35"/>
  <c r="J40"/>
  <c r="J37"/>
  <c r="J35"/>
  <c r="L40"/>
  <c r="L37"/>
  <c r="L35"/>
  <c r="C35" i="250"/>
  <c r="C38"/>
  <c r="E38"/>
  <c r="E35"/>
  <c r="G35"/>
  <c r="G38"/>
  <c r="I38"/>
  <c r="I35"/>
  <c r="K35"/>
  <c r="K38"/>
  <c r="B34"/>
  <c r="B36"/>
  <c r="D34"/>
  <c r="D36"/>
  <c r="F34"/>
  <c r="F36"/>
  <c r="H34"/>
  <c r="H36"/>
  <c r="J34"/>
  <c r="J36"/>
  <c r="L34"/>
  <c r="L36"/>
  <c r="C38" i="251"/>
  <c r="C35"/>
  <c r="E38"/>
  <c r="E35"/>
  <c r="G38"/>
  <c r="G35"/>
  <c r="I38"/>
  <c r="I35"/>
  <c r="K38"/>
  <c r="K35"/>
  <c r="B34"/>
  <c r="B36"/>
  <c r="D34"/>
  <c r="D36"/>
  <c r="F34"/>
  <c r="F36"/>
  <c r="H34"/>
  <c r="H36"/>
  <c r="J34"/>
  <c r="J36"/>
  <c r="L34"/>
  <c r="L36"/>
  <c r="C38" i="252"/>
  <c r="C35"/>
  <c r="E38"/>
  <c r="E35"/>
  <c r="G38"/>
  <c r="G35"/>
  <c r="I38"/>
  <c r="I35"/>
  <c r="K38"/>
  <c r="K35"/>
  <c r="B36"/>
  <c r="B34"/>
  <c r="D36"/>
  <c r="D34"/>
  <c r="F36"/>
  <c r="F34"/>
  <c r="H36"/>
  <c r="H34"/>
  <c r="J36"/>
  <c r="J34"/>
  <c r="L36"/>
  <c r="L34"/>
  <c r="C33" i="243"/>
  <c r="E33"/>
  <c r="G33"/>
  <c r="I33"/>
  <c r="K33"/>
  <c r="C33" i="244"/>
  <c r="E33"/>
  <c r="G33"/>
  <c r="I33"/>
  <c r="K33"/>
  <c r="C33" i="245"/>
  <c r="E33"/>
  <c r="G33"/>
  <c r="I33"/>
  <c r="K33"/>
  <c r="C33" i="250"/>
  <c r="E33"/>
  <c r="G33"/>
  <c r="I33"/>
  <c r="K33"/>
  <c r="C33" i="251"/>
  <c r="E33"/>
  <c r="G33"/>
  <c r="I33"/>
  <c r="K33"/>
  <c r="C33" i="252"/>
  <c r="E33"/>
  <c r="G33"/>
  <c r="I33"/>
  <c r="K33"/>
  <c r="B41" i="243"/>
  <c r="B36"/>
  <c r="D41"/>
  <c r="D36"/>
  <c r="F41"/>
  <c r="F36"/>
  <c r="H41"/>
  <c r="H36"/>
  <c r="J41"/>
  <c r="J36"/>
  <c r="L41"/>
  <c r="L36"/>
  <c r="C34"/>
  <c r="C38"/>
  <c r="E34"/>
  <c r="E38"/>
  <c r="G34"/>
  <c r="G38"/>
  <c r="I34"/>
  <c r="I38"/>
  <c r="K34"/>
  <c r="K38"/>
  <c r="C40"/>
  <c r="C37"/>
  <c r="C35"/>
  <c r="E40"/>
  <c r="E37"/>
  <c r="E35"/>
  <c r="G40"/>
  <c r="G37"/>
  <c r="G35"/>
  <c r="I40"/>
  <c r="I37"/>
  <c r="I35"/>
  <c r="K40"/>
  <c r="K37"/>
  <c r="K35"/>
  <c r="B36" i="244"/>
  <c r="B41"/>
  <c r="D41"/>
  <c r="D36"/>
  <c r="F36"/>
  <c r="F41"/>
  <c r="H41"/>
  <c r="H36"/>
  <c r="J36"/>
  <c r="J41"/>
  <c r="L41"/>
  <c r="L36"/>
  <c r="C34"/>
  <c r="C38"/>
  <c r="E34"/>
  <c r="E38"/>
  <c r="G34"/>
  <c r="G38"/>
  <c r="I34"/>
  <c r="I38"/>
  <c r="K34"/>
  <c r="K38"/>
  <c r="C40"/>
  <c r="C37"/>
  <c r="C35"/>
  <c r="E40"/>
  <c r="E37"/>
  <c r="E35"/>
  <c r="G40"/>
  <c r="G37"/>
  <c r="G35"/>
  <c r="I40"/>
  <c r="I37"/>
  <c r="I35"/>
  <c r="K40"/>
  <c r="K37"/>
  <c r="K35"/>
  <c r="B36" i="245"/>
  <c r="B41"/>
  <c r="D41"/>
  <c r="D36"/>
  <c r="F36"/>
  <c r="F41"/>
  <c r="H41"/>
  <c r="H36"/>
  <c r="J36"/>
  <c r="J41"/>
  <c r="L41"/>
  <c r="L36"/>
  <c r="C34"/>
  <c r="C38"/>
  <c r="E34"/>
  <c r="E38"/>
  <c r="G34"/>
  <c r="G38"/>
  <c r="I34"/>
  <c r="I38"/>
  <c r="K34"/>
  <c r="K38"/>
  <c r="C40"/>
  <c r="C37"/>
  <c r="C35"/>
  <c r="E40"/>
  <c r="E37"/>
  <c r="E35"/>
  <c r="G40"/>
  <c r="G37"/>
  <c r="G35"/>
  <c r="I40"/>
  <c r="I37"/>
  <c r="I35"/>
  <c r="K40"/>
  <c r="K37"/>
  <c r="K35"/>
  <c r="B38" i="250"/>
  <c r="B35"/>
  <c r="D35"/>
  <c r="D38"/>
  <c r="F38"/>
  <c r="F35"/>
  <c r="H35"/>
  <c r="H38"/>
  <c r="J38"/>
  <c r="J35"/>
  <c r="L35"/>
  <c r="L38"/>
  <c r="C34"/>
  <c r="C36"/>
  <c r="E34"/>
  <c r="E36"/>
  <c r="G34"/>
  <c r="G36"/>
  <c r="I34"/>
  <c r="I36"/>
  <c r="K34"/>
  <c r="K36"/>
  <c r="B38" i="251"/>
  <c r="B35"/>
  <c r="D35"/>
  <c r="D38"/>
  <c r="F38"/>
  <c r="F35"/>
  <c r="H35"/>
  <c r="H38"/>
  <c r="J38"/>
  <c r="J35"/>
  <c r="L35"/>
  <c r="L38"/>
  <c r="C34"/>
  <c r="C36"/>
  <c r="E34"/>
  <c r="E36"/>
  <c r="G34"/>
  <c r="G36"/>
  <c r="I34"/>
  <c r="I36"/>
  <c r="K34"/>
  <c r="K36"/>
  <c r="B38" i="252"/>
  <c r="B35"/>
  <c r="D38"/>
  <c r="D35"/>
  <c r="F38"/>
  <c r="F35"/>
  <c r="H38"/>
  <c r="H35"/>
  <c r="J38"/>
  <c r="J35"/>
  <c r="L38"/>
  <c r="L35"/>
  <c r="C34"/>
  <c r="C36"/>
  <c r="E34"/>
  <c r="E36"/>
  <c r="G34"/>
  <c r="G36"/>
  <c r="I34"/>
  <c r="I36"/>
  <c r="K34"/>
  <c r="K36"/>
  <c r="B33" i="243"/>
  <c r="D33"/>
  <c r="F33"/>
  <c r="H33"/>
  <c r="J33"/>
  <c r="L33"/>
  <c r="B33" i="244"/>
  <c r="D33"/>
  <c r="F33"/>
  <c r="H33"/>
  <c r="J33"/>
  <c r="L33"/>
  <c r="B33" i="245"/>
  <c r="D33"/>
  <c r="F33"/>
  <c r="H33"/>
  <c r="J33"/>
  <c r="L33"/>
  <c r="B33" i="250"/>
  <c r="D33"/>
  <c r="F33"/>
  <c r="H33"/>
  <c r="J33"/>
  <c r="L33"/>
  <c r="B33" i="251"/>
  <c r="D33"/>
  <c r="F33"/>
  <c r="H33"/>
  <c r="J33"/>
  <c r="L33"/>
  <c r="B33" i="252"/>
  <c r="D33"/>
  <c r="F33"/>
  <c r="H33"/>
  <c r="J33"/>
  <c r="L33"/>
  <c r="P24" i="242"/>
  <c r="Q34"/>
  <c r="P28"/>
  <c r="Q40"/>
  <c r="Q37"/>
  <c r="Q35"/>
  <c r="P13"/>
  <c r="P33" s="1"/>
  <c r="Q33"/>
  <c r="P24" i="241"/>
  <c r="Q34"/>
  <c r="P28"/>
  <c r="Q40"/>
  <c r="Q37"/>
  <c r="Q35"/>
  <c r="P13"/>
  <c r="P33" s="1"/>
  <c r="Q33"/>
  <c r="G39" i="457"/>
  <c r="G38"/>
  <c r="J24" i="458"/>
  <c r="B63" i="27"/>
  <c r="B57"/>
  <c r="B58"/>
  <c r="B62"/>
  <c r="D63"/>
  <c r="D58"/>
  <c r="G63"/>
  <c r="G58"/>
  <c r="D42" i="253"/>
  <c r="D37"/>
  <c r="F42"/>
  <c r="F37"/>
  <c r="H42"/>
  <c r="H37"/>
  <c r="J42"/>
  <c r="J37"/>
  <c r="L42"/>
  <c r="L37"/>
  <c r="C63" i="27"/>
  <c r="C58"/>
  <c r="E58"/>
  <c r="E63"/>
  <c r="B59"/>
  <c r="B60"/>
  <c r="E42" i="253"/>
  <c r="E37"/>
  <c r="G42"/>
  <c r="G37"/>
  <c r="I42"/>
  <c r="I37"/>
  <c r="K42"/>
  <c r="K37"/>
  <c r="B29"/>
  <c r="K21" i="458"/>
  <c r="B21" s="1"/>
  <c r="K19"/>
  <c r="B19" s="1"/>
  <c r="K17"/>
  <c r="B17" s="1"/>
  <c r="K15"/>
  <c r="B15" s="1"/>
  <c r="L30" i="264"/>
  <c r="B5" i="253"/>
  <c r="B9"/>
  <c r="B13"/>
  <c r="B21"/>
  <c r="B25"/>
  <c r="B27"/>
  <c r="B28"/>
  <c r="B11"/>
  <c r="B12"/>
  <c r="B17"/>
  <c r="B19"/>
  <c r="B20"/>
  <c r="B7"/>
  <c r="B8"/>
  <c r="B15"/>
  <c r="B16"/>
  <c r="B23"/>
  <c r="B24"/>
  <c r="B38" s="1"/>
  <c r="B31"/>
  <c r="B41" s="1"/>
  <c r="B6"/>
  <c r="B10"/>
  <c r="B14"/>
  <c r="B18"/>
  <c r="B22"/>
  <c r="B26"/>
  <c r="B30"/>
  <c r="K13" i="458"/>
  <c r="B13" s="1"/>
  <c r="K11"/>
  <c r="B11" s="1"/>
  <c r="K9"/>
  <c r="B9" s="1"/>
  <c r="K7"/>
  <c r="B7" s="1"/>
  <c r="K5"/>
  <c r="B5" s="1"/>
  <c r="J5" s="1"/>
  <c r="P33" i="240"/>
  <c r="Q33"/>
  <c r="P34"/>
  <c r="Q34"/>
  <c r="P40"/>
  <c r="Q40"/>
  <c r="P33" i="247"/>
  <c r="Q33"/>
  <c r="P34"/>
  <c r="Q34"/>
  <c r="P38"/>
  <c r="Q38"/>
  <c r="P33" i="248"/>
  <c r="Q33"/>
  <c r="P34"/>
  <c r="Q34"/>
  <c r="P38"/>
  <c r="Q38"/>
  <c r="P33" i="249"/>
  <c r="Q33"/>
  <c r="P34"/>
  <c r="Q34"/>
  <c r="P38"/>
  <c r="Q38"/>
  <c r="C6" i="254"/>
  <c r="D6"/>
  <c r="D55" s="1"/>
  <c r="E6"/>
  <c r="E55" s="1"/>
  <c r="C7"/>
  <c r="B7" s="1"/>
  <c r="D7"/>
  <c r="E7"/>
  <c r="C8"/>
  <c r="B8" s="1"/>
  <c r="D8"/>
  <c r="E8"/>
  <c r="C9"/>
  <c r="B9" s="1"/>
  <c r="D9"/>
  <c r="E9"/>
  <c r="C10"/>
  <c r="B10" s="1"/>
  <c r="D10"/>
  <c r="E10"/>
  <c r="C11"/>
  <c r="B11" s="1"/>
  <c r="D11"/>
  <c r="E11"/>
  <c r="C12"/>
  <c r="B12" s="1"/>
  <c r="D12"/>
  <c r="E12"/>
  <c r="C13"/>
  <c r="B13" s="1"/>
  <c r="D13"/>
  <c r="E13"/>
  <c r="C14"/>
  <c r="B14" s="1"/>
  <c r="D14"/>
  <c r="E14"/>
  <c r="C15"/>
  <c r="B15" s="1"/>
  <c r="D15"/>
  <c r="E15"/>
  <c r="C16"/>
  <c r="B16" s="1"/>
  <c r="D16"/>
  <c r="E16"/>
  <c r="C17"/>
  <c r="B17" s="1"/>
  <c r="D17"/>
  <c r="E17"/>
  <c r="C18"/>
  <c r="B18" s="1"/>
  <c r="D18"/>
  <c r="E18"/>
  <c r="C19"/>
  <c r="B19" s="1"/>
  <c r="D19"/>
  <c r="E19"/>
  <c r="C20"/>
  <c r="B20" s="1"/>
  <c r="D20"/>
  <c r="E20"/>
  <c r="D58"/>
  <c r="E58"/>
  <c r="B64" i="27"/>
  <c r="F64"/>
  <c r="G64"/>
  <c r="E74"/>
  <c r="E73" s="1"/>
  <c r="D60" i="254"/>
  <c r="E60"/>
  <c r="F56" i="27"/>
  <c r="G56"/>
  <c r="E75"/>
  <c r="C59" i="254"/>
  <c r="D59"/>
  <c r="F62" i="27"/>
  <c r="G62"/>
  <c r="C35" i="253"/>
  <c r="D35"/>
  <c r="E35"/>
  <c r="F35"/>
  <c r="G35"/>
  <c r="H35"/>
  <c r="I35"/>
  <c r="J35"/>
  <c r="K35"/>
  <c r="L35"/>
  <c r="C36"/>
  <c r="D36"/>
  <c r="E36"/>
  <c r="F36"/>
  <c r="G36"/>
  <c r="H36"/>
  <c r="I36"/>
  <c r="J36"/>
  <c r="K36"/>
  <c r="L36"/>
  <c r="B40"/>
  <c r="C40"/>
  <c r="D40"/>
  <c r="E40"/>
  <c r="F40"/>
  <c r="G40"/>
  <c r="H40"/>
  <c r="I40"/>
  <c r="J40"/>
  <c r="K40"/>
  <c r="L40"/>
  <c r="C41"/>
  <c r="C30" i="303"/>
  <c r="L41" i="253"/>
  <c r="D56" i="424"/>
  <c r="K22" i="458"/>
  <c r="B22" s="1"/>
  <c r="J20"/>
  <c r="J19"/>
  <c r="J18"/>
  <c r="K16"/>
  <c r="B35" i="457"/>
  <c r="J15" i="458"/>
  <c r="J14"/>
  <c r="J13"/>
  <c r="J12"/>
  <c r="J10"/>
  <c r="J9"/>
  <c r="J8"/>
  <c r="J6"/>
  <c r="K4"/>
  <c r="B4" s="1"/>
  <c r="G34" i="457"/>
  <c r="F34" s="1"/>
  <c r="B34"/>
  <c r="P35" i="240"/>
  <c r="Q35"/>
  <c r="P37"/>
  <c r="Q37"/>
  <c r="B42" i="241"/>
  <c r="L105" i="242"/>
  <c r="K105" s="1"/>
  <c r="J105" s="1"/>
  <c r="I105" s="1"/>
  <c r="H105" s="1"/>
  <c r="G105" s="1"/>
  <c r="F105" s="1"/>
  <c r="E105" s="1"/>
  <c r="D105" s="1"/>
  <c r="C105" s="1"/>
  <c r="P35" i="247"/>
  <c r="Q35"/>
  <c r="P36"/>
  <c r="Q36"/>
  <c r="P35" i="248"/>
  <c r="Q35"/>
  <c r="P36"/>
  <c r="Q36"/>
  <c r="P35" i="249"/>
  <c r="Q35"/>
  <c r="P36"/>
  <c r="Q36"/>
  <c r="L100"/>
  <c r="K100" s="1"/>
  <c r="J100" s="1"/>
  <c r="I100" s="1"/>
  <c r="H100" s="1"/>
  <c r="G100" s="1"/>
  <c r="F100" s="1"/>
  <c r="E100" s="1"/>
  <c r="D100" s="1"/>
  <c r="C100" s="1"/>
  <c r="L99" s="1"/>
  <c r="K99" s="1"/>
  <c r="J99" s="1"/>
  <c r="I99" s="1"/>
  <c r="H99" s="1"/>
  <c r="G99" s="1"/>
  <c r="F99" s="1"/>
  <c r="E99" s="1"/>
  <c r="D99" s="1"/>
  <c r="C99" s="1"/>
  <c r="L98" s="1"/>
  <c r="K98" s="1"/>
  <c r="J98" s="1"/>
  <c r="I98" s="1"/>
  <c r="H98" s="1"/>
  <c r="G98" s="1"/>
  <c r="F98" s="1"/>
  <c r="E98" s="1"/>
  <c r="D98" s="1"/>
  <c r="C98" s="1"/>
  <c r="L97" s="1"/>
  <c r="K97" s="1"/>
  <c r="J97" s="1"/>
  <c r="I97" s="1"/>
  <c r="H97" s="1"/>
  <c r="G97" s="1"/>
  <c r="F97" s="1"/>
  <c r="E97" s="1"/>
  <c r="D97" s="1"/>
  <c r="C97" s="1"/>
  <c r="L96" s="1"/>
  <c r="K96" s="1"/>
  <c r="J96" s="1"/>
  <c r="I96" s="1"/>
  <c r="H96" s="1"/>
  <c r="G96" s="1"/>
  <c r="F96" s="1"/>
  <c r="E96" s="1"/>
  <c r="D96" s="1"/>
  <c r="C96" s="1"/>
  <c r="L95" s="1"/>
  <c r="K95" s="1"/>
  <c r="J95" s="1"/>
  <c r="I95" s="1"/>
  <c r="H95" s="1"/>
  <c r="G95" s="1"/>
  <c r="F95" s="1"/>
  <c r="E95" s="1"/>
  <c r="D95" s="1"/>
  <c r="C95" s="1"/>
  <c r="L94" s="1"/>
  <c r="K94" s="1"/>
  <c r="J94" s="1"/>
  <c r="I94" s="1"/>
  <c r="H94" s="1"/>
  <c r="G94" s="1"/>
  <c r="F94" s="1"/>
  <c r="E94" s="1"/>
  <c r="D94" s="1"/>
  <c r="C94" s="1"/>
  <c r="L93" s="1"/>
  <c r="K93" s="1"/>
  <c r="J93" s="1"/>
  <c r="I93" s="1"/>
  <c r="H93" s="1"/>
  <c r="G93" s="1"/>
  <c r="F93" s="1"/>
  <c r="E93" s="1"/>
  <c r="D93" s="1"/>
  <c r="C93" s="1"/>
  <c r="L92" s="1"/>
  <c r="K92" s="1"/>
  <c r="J92" s="1"/>
  <c r="I92" s="1"/>
  <c r="H92" s="1"/>
  <c r="G92" s="1"/>
  <c r="F92" s="1"/>
  <c r="E92" s="1"/>
  <c r="D92" s="1"/>
  <c r="C92" s="1"/>
  <c r="L91" s="1"/>
  <c r="K91" s="1"/>
  <c r="J91" s="1"/>
  <c r="I91" s="1"/>
  <c r="H91" s="1"/>
  <c r="G91" s="1"/>
  <c r="F91" s="1"/>
  <c r="E91" s="1"/>
  <c r="D91" s="1"/>
  <c r="C91" s="1"/>
  <c r="L90" s="1"/>
  <c r="K90" s="1"/>
  <c r="J90" s="1"/>
  <c r="I90" s="1"/>
  <c r="H90" s="1"/>
  <c r="G90" s="1"/>
  <c r="F90" s="1"/>
  <c r="E90" s="1"/>
  <c r="D90" s="1"/>
  <c r="C90" s="1"/>
  <c r="L89" s="1"/>
  <c r="K89" s="1"/>
  <c r="J89" s="1"/>
  <c r="I89" s="1"/>
  <c r="H89" s="1"/>
  <c r="G89" s="1"/>
  <c r="F89" s="1"/>
  <c r="E89" s="1"/>
  <c r="D89" s="1"/>
  <c r="C89" s="1"/>
  <c r="L88" s="1"/>
  <c r="K88" s="1"/>
  <c r="J88" s="1"/>
  <c r="I88" s="1"/>
  <c r="H88" s="1"/>
  <c r="G88" s="1"/>
  <c r="F88" s="1"/>
  <c r="E88" s="1"/>
  <c r="D88" s="1"/>
  <c r="C88" s="1"/>
  <c r="L87" s="1"/>
  <c r="K87" s="1"/>
  <c r="J87" s="1"/>
  <c r="I87" s="1"/>
  <c r="H87" s="1"/>
  <c r="G87" s="1"/>
  <c r="F87" s="1"/>
  <c r="E87" s="1"/>
  <c r="D87" s="1"/>
  <c r="C87" s="1"/>
  <c r="L86" s="1"/>
  <c r="K86" s="1"/>
  <c r="J86" s="1"/>
  <c r="I86" s="1"/>
  <c r="H86" s="1"/>
  <c r="G86" s="1"/>
  <c r="F86" s="1"/>
  <c r="E86" s="1"/>
  <c r="D86" s="1"/>
  <c r="C86" s="1"/>
  <c r="L85" s="1"/>
  <c r="K85" s="1"/>
  <c r="J85" s="1"/>
  <c r="I85" s="1"/>
  <c r="H85" s="1"/>
  <c r="G85" s="1"/>
  <c r="F85" s="1"/>
  <c r="E85" s="1"/>
  <c r="D85" s="1"/>
  <c r="C85" s="1"/>
  <c r="L84" s="1"/>
  <c r="K84" s="1"/>
  <c r="J84" s="1"/>
  <c r="I84" s="1"/>
  <c r="H84" s="1"/>
  <c r="G84" s="1"/>
  <c r="F84" s="1"/>
  <c r="E84" s="1"/>
  <c r="D84" s="1"/>
  <c r="C84" s="1"/>
  <c r="L83" s="1"/>
  <c r="K83" s="1"/>
  <c r="J83" s="1"/>
  <c r="I83" s="1"/>
  <c r="H83" s="1"/>
  <c r="G83" s="1"/>
  <c r="F83" s="1"/>
  <c r="E83" s="1"/>
  <c r="D83" s="1"/>
  <c r="C83" s="1"/>
  <c r="L82" s="1"/>
  <c r="K82" s="1"/>
  <c r="J82" s="1"/>
  <c r="I82" s="1"/>
  <c r="H82" s="1"/>
  <c r="G82" s="1"/>
  <c r="F82" s="1"/>
  <c r="E82" s="1"/>
  <c r="D82" s="1"/>
  <c r="C82" s="1"/>
  <c r="L81" s="1"/>
  <c r="K81" s="1"/>
  <c r="J81" s="1"/>
  <c r="I81" s="1"/>
  <c r="H81" s="1"/>
  <c r="G81" s="1"/>
  <c r="F81" s="1"/>
  <c r="E81" s="1"/>
  <c r="D81" s="1"/>
  <c r="C81" s="1"/>
  <c r="L80" s="1"/>
  <c r="K80" s="1"/>
  <c r="J80" s="1"/>
  <c r="I80" s="1"/>
  <c r="H80" s="1"/>
  <c r="G80" s="1"/>
  <c r="F80" s="1"/>
  <c r="E80" s="1"/>
  <c r="D80" s="1"/>
  <c r="C80" s="1"/>
  <c r="L79" s="1"/>
  <c r="K79" s="1"/>
  <c r="J79" s="1"/>
  <c r="I79" s="1"/>
  <c r="H79" s="1"/>
  <c r="G79" s="1"/>
  <c r="F79" s="1"/>
  <c r="E79" s="1"/>
  <c r="D79" s="1"/>
  <c r="C79" s="1"/>
  <c r="L78" s="1"/>
  <c r="K78" s="1"/>
  <c r="J78" s="1"/>
  <c r="I78" s="1"/>
  <c r="H78" s="1"/>
  <c r="G78" s="1"/>
  <c r="F78" s="1"/>
  <c r="E78" s="1"/>
  <c r="D78" s="1"/>
  <c r="C78" s="1"/>
  <c r="L77" s="1"/>
  <c r="K77" s="1"/>
  <c r="J77" s="1"/>
  <c r="I77" s="1"/>
  <c r="H77" s="1"/>
  <c r="G77" s="1"/>
  <c r="F77" s="1"/>
  <c r="E77" s="1"/>
  <c r="D77" s="1"/>
  <c r="C77" s="1"/>
  <c r="L76" s="1"/>
  <c r="K76" s="1"/>
  <c r="J76" s="1"/>
  <c r="I76" s="1"/>
  <c r="H76" s="1"/>
  <c r="G76" s="1"/>
  <c r="F76" s="1"/>
  <c r="E76" s="1"/>
  <c r="D76" s="1"/>
  <c r="C76" s="1"/>
  <c r="B55" i="27"/>
  <c r="C55"/>
  <c r="D55"/>
  <c r="F55"/>
  <c r="G55"/>
  <c r="B56"/>
  <c r="C56"/>
  <c r="D56"/>
  <c r="C57"/>
  <c r="D57"/>
  <c r="F57"/>
  <c r="G57"/>
  <c r="C59"/>
  <c r="D59"/>
  <c r="F59"/>
  <c r="G59"/>
  <c r="C62"/>
  <c r="D62"/>
  <c r="C64"/>
  <c r="D64"/>
  <c r="E72"/>
  <c r="C6" i="31"/>
  <c r="C7"/>
  <c r="C8"/>
  <c r="C9"/>
  <c r="B34" i="253"/>
  <c r="C34"/>
  <c r="D34"/>
  <c r="E34"/>
  <c r="F34"/>
  <c r="G34"/>
  <c r="H34"/>
  <c r="I34"/>
  <c r="J34"/>
  <c r="K34"/>
  <c r="L34"/>
  <c r="D41"/>
  <c r="E41"/>
  <c r="F41"/>
  <c r="G41"/>
  <c r="H41"/>
  <c r="I41"/>
  <c r="J41"/>
  <c r="K41"/>
  <c r="C52" i="243"/>
  <c r="D52"/>
  <c r="E52"/>
  <c r="F52"/>
  <c r="G52"/>
  <c r="H52"/>
  <c r="I52"/>
  <c r="J52"/>
  <c r="K52"/>
  <c r="L52"/>
  <c r="C53"/>
  <c r="D53"/>
  <c r="E53"/>
  <c r="F53"/>
  <c r="G53"/>
  <c r="H53"/>
  <c r="I53"/>
  <c r="J53"/>
  <c r="K53"/>
  <c r="L53"/>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C74"/>
  <c r="D74"/>
  <c r="E74"/>
  <c r="F74"/>
  <c r="G74"/>
  <c r="H74"/>
  <c r="I74"/>
  <c r="J74"/>
  <c r="K74"/>
  <c r="L74"/>
  <c r="C75"/>
  <c r="D75"/>
  <c r="E75"/>
  <c r="F75"/>
  <c r="G75"/>
  <c r="H75"/>
  <c r="I75"/>
  <c r="J75"/>
  <c r="K75"/>
  <c r="L75"/>
  <c r="C76"/>
  <c r="D76"/>
  <c r="E76"/>
  <c r="F76"/>
  <c r="G76"/>
  <c r="H76"/>
  <c r="I76"/>
  <c r="J76"/>
  <c r="K76"/>
  <c r="L76"/>
  <c r="C77"/>
  <c r="D77"/>
  <c r="E77"/>
  <c r="F77"/>
  <c r="G77"/>
  <c r="H77"/>
  <c r="I77"/>
  <c r="J77"/>
  <c r="K77"/>
  <c r="L77"/>
  <c r="C52" i="244"/>
  <c r="D52"/>
  <c r="E52"/>
  <c r="F52"/>
  <c r="G52"/>
  <c r="H52"/>
  <c r="I52"/>
  <c r="J52"/>
  <c r="K52"/>
  <c r="L52"/>
  <c r="C53"/>
  <c r="D53"/>
  <c r="E53"/>
  <c r="F53"/>
  <c r="G53"/>
  <c r="H53"/>
  <c r="I53"/>
  <c r="J53"/>
  <c r="K53"/>
  <c r="L53"/>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C52" i="245"/>
  <c r="D52"/>
  <c r="E52"/>
  <c r="F52"/>
  <c r="G52"/>
  <c r="H52"/>
  <c r="I52"/>
  <c r="J52"/>
  <c r="K52"/>
  <c r="L52"/>
  <c r="C53"/>
  <c r="D53"/>
  <c r="E53"/>
  <c r="F53"/>
  <c r="G53"/>
  <c r="H53"/>
  <c r="I53"/>
  <c r="J53"/>
  <c r="K53"/>
  <c r="L53"/>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C74"/>
  <c r="D74"/>
  <c r="E74"/>
  <c r="F74"/>
  <c r="G74"/>
  <c r="H74"/>
  <c r="I74"/>
  <c r="J74"/>
  <c r="K74"/>
  <c r="L74"/>
  <c r="C75"/>
  <c r="D75"/>
  <c r="E75"/>
  <c r="F75"/>
  <c r="G75"/>
  <c r="H75"/>
  <c r="I75"/>
  <c r="J75"/>
  <c r="K75"/>
  <c r="L75"/>
  <c r="C76"/>
  <c r="D76"/>
  <c r="E76"/>
  <c r="F76"/>
  <c r="G76"/>
  <c r="H76"/>
  <c r="I76"/>
  <c r="J76"/>
  <c r="K76"/>
  <c r="L76"/>
  <c r="C77"/>
  <c r="D77"/>
  <c r="E77"/>
  <c r="F77"/>
  <c r="G77"/>
  <c r="H77"/>
  <c r="I77"/>
  <c r="J77"/>
  <c r="K77"/>
  <c r="L77"/>
  <c r="L106" s="1"/>
  <c r="C49" i="250"/>
  <c r="D49"/>
  <c r="E49"/>
  <c r="F49"/>
  <c r="G49"/>
  <c r="H49"/>
  <c r="I49"/>
  <c r="J49"/>
  <c r="K49"/>
  <c r="L49"/>
  <c r="C50"/>
  <c r="D50"/>
  <c r="E50"/>
  <c r="F50"/>
  <c r="G50"/>
  <c r="H50"/>
  <c r="I50"/>
  <c r="J50"/>
  <c r="K50"/>
  <c r="L50"/>
  <c r="C51"/>
  <c r="D51"/>
  <c r="E51"/>
  <c r="F51"/>
  <c r="G51"/>
  <c r="H51"/>
  <c r="I51"/>
  <c r="J51"/>
  <c r="K51"/>
  <c r="L51"/>
  <c r="C52"/>
  <c r="D52"/>
  <c r="E52"/>
  <c r="F52"/>
  <c r="G52"/>
  <c r="H52"/>
  <c r="I52"/>
  <c r="J52"/>
  <c r="K52"/>
  <c r="L52"/>
  <c r="C53"/>
  <c r="D53"/>
  <c r="E53"/>
  <c r="F53"/>
  <c r="G53"/>
  <c r="H53"/>
  <c r="I53"/>
  <c r="J53"/>
  <c r="K53"/>
  <c r="L53"/>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C74"/>
  <c r="D74"/>
  <c r="E74"/>
  <c r="F74"/>
  <c r="G74"/>
  <c r="H74"/>
  <c r="I74"/>
  <c r="J74"/>
  <c r="K74"/>
  <c r="L74"/>
  <c r="L102" s="1"/>
  <c r="C49" i="251"/>
  <c r="D49"/>
  <c r="E49"/>
  <c r="F49"/>
  <c r="G49"/>
  <c r="H49"/>
  <c r="I49"/>
  <c r="J49"/>
  <c r="K49"/>
  <c r="L49"/>
  <c r="C50"/>
  <c r="D50"/>
  <c r="E50"/>
  <c r="F50"/>
  <c r="G50"/>
  <c r="H50"/>
  <c r="I50"/>
  <c r="J50"/>
  <c r="K50"/>
  <c r="L50"/>
  <c r="C51"/>
  <c r="D51"/>
  <c r="E51"/>
  <c r="F51"/>
  <c r="G51"/>
  <c r="H51"/>
  <c r="I51"/>
  <c r="J51"/>
  <c r="K51"/>
  <c r="L51"/>
  <c r="C52"/>
  <c r="D52"/>
  <c r="E52"/>
  <c r="F52"/>
  <c r="G52"/>
  <c r="H52"/>
  <c r="I52"/>
  <c r="J52"/>
  <c r="K52"/>
  <c r="L52"/>
  <c r="C53"/>
  <c r="D53"/>
  <c r="E53"/>
  <c r="F53"/>
  <c r="G53"/>
  <c r="H53"/>
  <c r="I53"/>
  <c r="J53"/>
  <c r="K53"/>
  <c r="L53"/>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C74"/>
  <c r="D74"/>
  <c r="E74"/>
  <c r="F74"/>
  <c r="G74"/>
  <c r="H74"/>
  <c r="I74"/>
  <c r="J74"/>
  <c r="K74"/>
  <c r="L74"/>
  <c r="L102" s="1"/>
  <c r="C49" i="252"/>
  <c r="D49"/>
  <c r="E49"/>
  <c r="F49"/>
  <c r="G49"/>
  <c r="H49"/>
  <c r="I49"/>
  <c r="J49"/>
  <c r="K49"/>
  <c r="L49"/>
  <c r="C50"/>
  <c r="D50"/>
  <c r="E50"/>
  <c r="F50"/>
  <c r="G50"/>
  <c r="H50"/>
  <c r="I50"/>
  <c r="J50"/>
  <c r="K50"/>
  <c r="L50"/>
  <c r="C51"/>
  <c r="D51"/>
  <c r="E51"/>
  <c r="F51"/>
  <c r="G51"/>
  <c r="H51"/>
  <c r="I51"/>
  <c r="J51"/>
  <c r="K51"/>
  <c r="L51"/>
  <c r="C52"/>
  <c r="D52"/>
  <c r="E52"/>
  <c r="F52"/>
  <c r="G52"/>
  <c r="H52"/>
  <c r="I52"/>
  <c r="J52"/>
  <c r="K52"/>
  <c r="L52"/>
  <c r="C53"/>
  <c r="D53"/>
  <c r="E53"/>
  <c r="F53"/>
  <c r="G53"/>
  <c r="H53"/>
  <c r="I53"/>
  <c r="J53"/>
  <c r="K53"/>
  <c r="L53"/>
  <c r="C54"/>
  <c r="D54"/>
  <c r="E54"/>
  <c r="F54"/>
  <c r="G54"/>
  <c r="H54"/>
  <c r="I54"/>
  <c r="J54"/>
  <c r="K54"/>
  <c r="L54"/>
  <c r="C55"/>
  <c r="D55"/>
  <c r="E55"/>
  <c r="F55"/>
  <c r="G55"/>
  <c r="H55"/>
  <c r="I55"/>
  <c r="J55"/>
  <c r="K55"/>
  <c r="L55"/>
  <c r="C56"/>
  <c r="D56"/>
  <c r="E56"/>
  <c r="F56"/>
  <c r="G56"/>
  <c r="H56"/>
  <c r="I56"/>
  <c r="J56"/>
  <c r="K56"/>
  <c r="L56"/>
  <c r="C57"/>
  <c r="D57"/>
  <c r="E57"/>
  <c r="F57"/>
  <c r="G57"/>
  <c r="H57"/>
  <c r="I57"/>
  <c r="J57"/>
  <c r="K57"/>
  <c r="L57"/>
  <c r="C58"/>
  <c r="D58"/>
  <c r="E58"/>
  <c r="F58"/>
  <c r="G58"/>
  <c r="H58"/>
  <c r="I58"/>
  <c r="J58"/>
  <c r="K58"/>
  <c r="L58"/>
  <c r="C59"/>
  <c r="D59"/>
  <c r="E59"/>
  <c r="F59"/>
  <c r="G59"/>
  <c r="H59"/>
  <c r="I59"/>
  <c r="J59"/>
  <c r="K59"/>
  <c r="L59"/>
  <c r="C60"/>
  <c r="D60"/>
  <c r="E60"/>
  <c r="F60"/>
  <c r="G60"/>
  <c r="H60"/>
  <c r="I60"/>
  <c r="J60"/>
  <c r="K60"/>
  <c r="L60"/>
  <c r="C61"/>
  <c r="D61"/>
  <c r="E61"/>
  <c r="F61"/>
  <c r="G61"/>
  <c r="H61"/>
  <c r="I61"/>
  <c r="J61"/>
  <c r="K61"/>
  <c r="L61"/>
  <c r="C62"/>
  <c r="D62"/>
  <c r="E62"/>
  <c r="F62"/>
  <c r="G62"/>
  <c r="H62"/>
  <c r="I62"/>
  <c r="J62"/>
  <c r="K62"/>
  <c r="L62"/>
  <c r="C63"/>
  <c r="D63"/>
  <c r="E63"/>
  <c r="F63"/>
  <c r="G63"/>
  <c r="H63"/>
  <c r="I63"/>
  <c r="J63"/>
  <c r="K63"/>
  <c r="L63"/>
  <c r="C64"/>
  <c r="D64"/>
  <c r="E64"/>
  <c r="F64"/>
  <c r="G64"/>
  <c r="H64"/>
  <c r="I64"/>
  <c r="J64"/>
  <c r="K64"/>
  <c r="L64"/>
  <c r="C65"/>
  <c r="D65"/>
  <c r="E65"/>
  <c r="F65"/>
  <c r="G65"/>
  <c r="H65"/>
  <c r="I65"/>
  <c r="J65"/>
  <c r="K65"/>
  <c r="L65"/>
  <c r="C66"/>
  <c r="D66"/>
  <c r="E66"/>
  <c r="F66"/>
  <c r="G66"/>
  <c r="H66"/>
  <c r="I66"/>
  <c r="J66"/>
  <c r="K66"/>
  <c r="L66"/>
  <c r="C67"/>
  <c r="D67"/>
  <c r="E67"/>
  <c r="F67"/>
  <c r="G67"/>
  <c r="H67"/>
  <c r="I67"/>
  <c r="J67"/>
  <c r="K67"/>
  <c r="L67"/>
  <c r="C68"/>
  <c r="D68"/>
  <c r="E68"/>
  <c r="F68"/>
  <c r="G68"/>
  <c r="H68"/>
  <c r="I68"/>
  <c r="J68"/>
  <c r="K68"/>
  <c r="L68"/>
  <c r="C69"/>
  <c r="D69"/>
  <c r="E69"/>
  <c r="F69"/>
  <c r="G69"/>
  <c r="H69"/>
  <c r="I69"/>
  <c r="J69"/>
  <c r="K69"/>
  <c r="L69"/>
  <c r="C70"/>
  <c r="D70"/>
  <c r="E70"/>
  <c r="F70"/>
  <c r="G70"/>
  <c r="H70"/>
  <c r="I70"/>
  <c r="J70"/>
  <c r="K70"/>
  <c r="L70"/>
  <c r="C71"/>
  <c r="D71"/>
  <c r="E71"/>
  <c r="F71"/>
  <c r="G71"/>
  <c r="H71"/>
  <c r="I71"/>
  <c r="J71"/>
  <c r="K71"/>
  <c r="L71"/>
  <c r="C72"/>
  <c r="D72"/>
  <c r="E72"/>
  <c r="F72"/>
  <c r="G72"/>
  <c r="H72"/>
  <c r="I72"/>
  <c r="J72"/>
  <c r="K72"/>
  <c r="L72"/>
  <c r="C73"/>
  <c r="D73"/>
  <c r="E73"/>
  <c r="F73"/>
  <c r="G73"/>
  <c r="H73"/>
  <c r="I73"/>
  <c r="J73"/>
  <c r="K73"/>
  <c r="L73"/>
  <c r="C74"/>
  <c r="D74"/>
  <c r="E74"/>
  <c r="F74"/>
  <c r="G74"/>
  <c r="H74"/>
  <c r="I74"/>
  <c r="J74"/>
  <c r="K74"/>
  <c r="L74"/>
  <c r="L102" s="1"/>
  <c r="E57" i="254"/>
  <c r="E59"/>
  <c r="B31" i="272"/>
  <c r="B30"/>
  <c r="B30" i="273" s="1"/>
  <c r="B29" i="272"/>
  <c r="B28"/>
  <c r="B28" i="273" s="1"/>
  <c r="B27" i="272"/>
  <c r="B26"/>
  <c r="B26" i="273" s="1"/>
  <c r="B25" i="272"/>
  <c r="B24"/>
  <c r="B37" s="1"/>
  <c r="B23"/>
  <c r="B22"/>
  <c r="B22" i="273" s="1"/>
  <c r="B21" i="272"/>
  <c r="B20"/>
  <c r="B20" i="273" s="1"/>
  <c r="B19" i="272"/>
  <c r="B18"/>
  <c r="B18" i="273" s="1"/>
  <c r="B17" i="272"/>
  <c r="B16"/>
  <c r="B16" i="273" s="1"/>
  <c r="B15" i="272"/>
  <c r="B14"/>
  <c r="B14" i="273" s="1"/>
  <c r="B13" i="272"/>
  <c r="B12"/>
  <c r="B12" i="273" s="1"/>
  <c r="B11" i="272"/>
  <c r="B10"/>
  <c r="B10" i="273" s="1"/>
  <c r="B9" i="272"/>
  <c r="B8"/>
  <c r="B8" i="273" s="1"/>
  <c r="B7" i="272"/>
  <c r="B6"/>
  <c r="B6" i="273" s="1"/>
  <c r="B5" i="272"/>
  <c r="C31"/>
  <c r="C31" i="273" s="1"/>
  <c r="C30" i="272"/>
  <c r="C29"/>
  <c r="C28"/>
  <c r="C27"/>
  <c r="C26"/>
  <c r="C25"/>
  <c r="C24"/>
  <c r="C37" s="1"/>
  <c r="C23"/>
  <c r="C23" i="273" s="1"/>
  <c r="C22" i="272"/>
  <c r="C21"/>
  <c r="C21" i="273" s="1"/>
  <c r="C20" i="272"/>
  <c r="C19"/>
  <c r="C18"/>
  <c r="C17"/>
  <c r="C17" i="273" s="1"/>
  <c r="C16" i="272"/>
  <c r="C15"/>
  <c r="C15" i="273" s="1"/>
  <c r="C14" i="272"/>
  <c r="C13"/>
  <c r="C13" i="273" s="1"/>
  <c r="C12" i="272"/>
  <c r="C11"/>
  <c r="C11" i="273" s="1"/>
  <c r="C10" i="272"/>
  <c r="C9"/>
  <c r="C9" i="273" s="1"/>
  <c r="C8" i="272"/>
  <c r="C7"/>
  <c r="C7" i="273" s="1"/>
  <c r="C6" i="272"/>
  <c r="C5"/>
  <c r="D31"/>
  <c r="D30"/>
  <c r="D30" i="273" s="1"/>
  <c r="D29" i="272"/>
  <c r="D28"/>
  <c r="D28" i="273" s="1"/>
  <c r="D27" i="272"/>
  <c r="D26"/>
  <c r="D25"/>
  <c r="D24"/>
  <c r="D37" s="1"/>
  <c r="D23"/>
  <c r="D22"/>
  <c r="D22" i="273" s="1"/>
  <c r="D21" i="272"/>
  <c r="D20"/>
  <c r="D19"/>
  <c r="D18"/>
  <c r="D18" i="273" s="1"/>
  <c r="D17" i="272"/>
  <c r="D16"/>
  <c r="D16" i="273" s="1"/>
  <c r="D15" i="272"/>
  <c r="D14"/>
  <c r="D14" i="273" s="1"/>
  <c r="D13" i="272"/>
  <c r="D12"/>
  <c r="D12" i="273" s="1"/>
  <c r="D11" i="272"/>
  <c r="D10"/>
  <c r="D10" i="273" s="1"/>
  <c r="D9" i="272"/>
  <c r="D8"/>
  <c r="D8" i="273" s="1"/>
  <c r="D7" i="272"/>
  <c r="D6"/>
  <c r="D5"/>
  <c r="E31"/>
  <c r="E31" i="273" s="1"/>
  <c r="E30" i="272"/>
  <c r="E29"/>
  <c r="E28"/>
  <c r="E27"/>
  <c r="E26"/>
  <c r="E25"/>
  <c r="E24"/>
  <c r="E37" s="1"/>
  <c r="E23"/>
  <c r="E23" i="273" s="1"/>
  <c r="E22" i="272"/>
  <c r="E21"/>
  <c r="E21" i="273" s="1"/>
  <c r="E20" i="272"/>
  <c r="E19"/>
  <c r="E18"/>
  <c r="E17"/>
  <c r="E17" i="273" s="1"/>
  <c r="E16" i="272"/>
  <c r="E15"/>
  <c r="E15" i="273" s="1"/>
  <c r="E14" i="272"/>
  <c r="E13"/>
  <c r="E13" i="273" s="1"/>
  <c r="E12" i="272"/>
  <c r="E11"/>
  <c r="E11" i="273" s="1"/>
  <c r="E10" i="272"/>
  <c r="E9"/>
  <c r="E9" i="273" s="1"/>
  <c r="E8" i="272"/>
  <c r="E7"/>
  <c r="E7" i="273" s="1"/>
  <c r="E6" i="272"/>
  <c r="E5"/>
  <c r="F31"/>
  <c r="F30"/>
  <c r="F30" i="273" s="1"/>
  <c r="F29" i="272"/>
  <c r="F28"/>
  <c r="F28" i="273" s="1"/>
  <c r="F27" i="272"/>
  <c r="F26"/>
  <c r="F25"/>
  <c r="F24"/>
  <c r="F37" s="1"/>
  <c r="F23"/>
  <c r="F22"/>
  <c r="F22" i="273" s="1"/>
  <c r="F21" i="272"/>
  <c r="F20"/>
  <c r="F19"/>
  <c r="F18"/>
  <c r="F18" i="273" s="1"/>
  <c r="F17" i="272"/>
  <c r="F16"/>
  <c r="F16" i="273" s="1"/>
  <c r="F15" i="272"/>
  <c r="F14"/>
  <c r="F14" i="273" s="1"/>
  <c r="F13" i="272"/>
  <c r="F12"/>
  <c r="F12" i="273" s="1"/>
  <c r="F11" i="272"/>
  <c r="F10"/>
  <c r="F10" i="273" s="1"/>
  <c r="F9" i="272"/>
  <c r="F8"/>
  <c r="F8" i="273" s="1"/>
  <c r="F7" i="272"/>
  <c r="F6"/>
  <c r="F5"/>
  <c r="G31"/>
  <c r="G31" i="273" s="1"/>
  <c r="G30" i="272"/>
  <c r="G29"/>
  <c r="G28"/>
  <c r="G27"/>
  <c r="G26"/>
  <c r="G25"/>
  <c r="G24"/>
  <c r="G37" s="1"/>
  <c r="G23"/>
  <c r="G23" i="273" s="1"/>
  <c r="G22" i="272"/>
  <c r="G21"/>
  <c r="G21" i="273" s="1"/>
  <c r="G20" i="272"/>
  <c r="G19"/>
  <c r="G18"/>
  <c r="G17"/>
  <c r="G17" i="273" s="1"/>
  <c r="G16" i="272"/>
  <c r="G15"/>
  <c r="G15" i="273" s="1"/>
  <c r="G14" i="272"/>
  <c r="G13"/>
  <c r="G13" i="273" s="1"/>
  <c r="G12" i="272"/>
  <c r="G11"/>
  <c r="G11" i="273" s="1"/>
  <c r="G10" i="272"/>
  <c r="G9"/>
  <c r="G9" i="273" s="1"/>
  <c r="G8" i="272"/>
  <c r="G7"/>
  <c r="G7" i="273" s="1"/>
  <c r="G6" i="272"/>
  <c r="G5"/>
  <c r="H31"/>
  <c r="H30"/>
  <c r="H30" i="273" s="1"/>
  <c r="H29" i="272"/>
  <c r="H28"/>
  <c r="H28" i="273" s="1"/>
  <c r="H27" i="272"/>
  <c r="H26"/>
  <c r="H25"/>
  <c r="H24"/>
  <c r="H37" s="1"/>
  <c r="H23"/>
  <c r="H22"/>
  <c r="H22" i="273" s="1"/>
  <c r="H21" i="272"/>
  <c r="H20"/>
  <c r="H19"/>
  <c r="H18"/>
  <c r="H18" i="273" s="1"/>
  <c r="H17" i="272"/>
  <c r="H16"/>
  <c r="H16" i="273" s="1"/>
  <c r="H15" i="272"/>
  <c r="H14"/>
  <c r="H14" i="273" s="1"/>
  <c r="H13" i="272"/>
  <c r="H12"/>
  <c r="H12" i="273" s="1"/>
  <c r="H11" i="272"/>
  <c r="H10"/>
  <c r="H10" i="273" s="1"/>
  <c r="H9" i="272"/>
  <c r="H8"/>
  <c r="H8" i="273" s="1"/>
  <c r="H7" i="272"/>
  <c r="H6"/>
  <c r="H5"/>
  <c r="I31"/>
  <c r="I31" i="273" s="1"/>
  <c r="I30" i="272"/>
  <c r="I29"/>
  <c r="I28"/>
  <c r="I27"/>
  <c r="I26"/>
  <c r="I25"/>
  <c r="I24"/>
  <c r="I37" s="1"/>
  <c r="I23"/>
  <c r="I23" i="273" s="1"/>
  <c r="I22" i="272"/>
  <c r="I21"/>
  <c r="I21" i="273" s="1"/>
  <c r="I20" i="272"/>
  <c r="I19"/>
  <c r="I18"/>
  <c r="I17"/>
  <c r="I17" i="273" s="1"/>
  <c r="I16" i="272"/>
  <c r="I15"/>
  <c r="I15" i="273" s="1"/>
  <c r="I14" i="272"/>
  <c r="I13"/>
  <c r="I13" i="273" s="1"/>
  <c r="I12" i="272"/>
  <c r="I11"/>
  <c r="I11" i="273" s="1"/>
  <c r="I10" i="272"/>
  <c r="I9"/>
  <c r="I9" i="273" s="1"/>
  <c r="I8" i="272"/>
  <c r="I7"/>
  <c r="I7" i="273" s="1"/>
  <c r="I6" i="272"/>
  <c r="I5"/>
  <c r="J31"/>
  <c r="J30"/>
  <c r="J30" i="273" s="1"/>
  <c r="J29" i="272"/>
  <c r="J28"/>
  <c r="J28" i="273" s="1"/>
  <c r="J27" i="272"/>
  <c r="J26"/>
  <c r="J25"/>
  <c r="J24"/>
  <c r="J37" s="1"/>
  <c r="J23"/>
  <c r="J22"/>
  <c r="J22" i="273" s="1"/>
  <c r="J21" i="272"/>
  <c r="J20"/>
  <c r="J19"/>
  <c r="J18"/>
  <c r="J18" i="273" s="1"/>
  <c r="J17" i="272"/>
  <c r="J16"/>
  <c r="J16" i="273" s="1"/>
  <c r="J15" i="272"/>
  <c r="J14"/>
  <c r="J14" i="273" s="1"/>
  <c r="J13" i="272"/>
  <c r="J12"/>
  <c r="J12" i="273" s="1"/>
  <c r="J11" i="272"/>
  <c r="J10"/>
  <c r="J10" i="273" s="1"/>
  <c r="J9" i="272"/>
  <c r="J8"/>
  <c r="J8" i="273" s="1"/>
  <c r="J7" i="272"/>
  <c r="J6"/>
  <c r="J5"/>
  <c r="K31"/>
  <c r="K31" i="273" s="1"/>
  <c r="K30" i="272"/>
  <c r="K29"/>
  <c r="K28"/>
  <c r="K28" i="273" s="1"/>
  <c r="K27" i="272"/>
  <c r="K26"/>
  <c r="K26" i="273" s="1"/>
  <c r="K25" i="272"/>
  <c r="K24"/>
  <c r="K37" s="1"/>
  <c r="K23"/>
  <c r="K23" i="273" s="1"/>
  <c r="K22" i="272"/>
  <c r="K22" i="273" s="1"/>
  <c r="K21" i="272"/>
  <c r="K21" i="273" s="1"/>
  <c r="K20" i="272"/>
  <c r="K20" i="273" s="1"/>
  <c r="K19" i="272"/>
  <c r="K18"/>
  <c r="K18" i="273" s="1"/>
  <c r="K17" i="272"/>
  <c r="K17" i="273" s="1"/>
  <c r="K16" i="272"/>
  <c r="K16" i="273" s="1"/>
  <c r="K15" i="272"/>
  <c r="K15" i="273" s="1"/>
  <c r="K14" i="272"/>
  <c r="K13"/>
  <c r="K13" i="273" s="1"/>
  <c r="K12" i="272"/>
  <c r="K12" i="273" s="1"/>
  <c r="K11" i="272"/>
  <c r="K11" i="273" s="1"/>
  <c r="K10" i="272"/>
  <c r="K9"/>
  <c r="K9" i="273" s="1"/>
  <c r="K8" i="272"/>
  <c r="K8" i="273" s="1"/>
  <c r="K7" i="272"/>
  <c r="K7" i="273" s="1"/>
  <c r="K6" i="272"/>
  <c r="K6" i="273" s="1"/>
  <c r="K5" i="272"/>
  <c r="L30"/>
  <c r="L30" i="273" s="1"/>
  <c r="L29" i="272"/>
  <c r="L29" i="273" s="1"/>
  <c r="L28" i="272"/>
  <c r="L28" i="273" s="1"/>
  <c r="L27" i="272"/>
  <c r="L27" i="273" s="1"/>
  <c r="L26" i="272"/>
  <c r="L26" i="273" s="1"/>
  <c r="L25" i="272"/>
  <c r="L25" i="273" s="1"/>
  <c r="L24" i="272"/>
  <c r="L23"/>
  <c r="L23" i="273" s="1"/>
  <c r="L22" i="272"/>
  <c r="L22" i="273" s="1"/>
  <c r="L21" i="272"/>
  <c r="L21" i="273" s="1"/>
  <c r="L20" i="272"/>
  <c r="L20" i="273" s="1"/>
  <c r="L19" i="272"/>
  <c r="L19" i="273" s="1"/>
  <c r="L18" i="272"/>
  <c r="L18" i="273" s="1"/>
  <c r="L17" i="272"/>
  <c r="L17" i="273" s="1"/>
  <c r="L16" i="272"/>
  <c r="L16" i="273" s="1"/>
  <c r="L15" i="272"/>
  <c r="L15" i="273" s="1"/>
  <c r="L14" i="272"/>
  <c r="L14" i="273" s="1"/>
  <c r="L13" i="272"/>
  <c r="L13" i="273" s="1"/>
  <c r="L12" i="272"/>
  <c r="L12" i="273" s="1"/>
  <c r="L11" i="272"/>
  <c r="L11" i="273" s="1"/>
  <c r="L10" i="272"/>
  <c r="L10" i="273" s="1"/>
  <c r="L9" i="272"/>
  <c r="L9" i="273" s="1"/>
  <c r="L8" i="272"/>
  <c r="L8" i="273" s="1"/>
  <c r="L7" i="272"/>
  <c r="L7" i="273" s="1"/>
  <c r="L6" i="272"/>
  <c r="L6" i="273" s="1"/>
  <c r="L5" i="272"/>
  <c r="B7" i="273"/>
  <c r="B9"/>
  <c r="B11"/>
  <c r="B13"/>
  <c r="B15"/>
  <c r="B17"/>
  <c r="B19"/>
  <c r="B21"/>
  <c r="B23"/>
  <c r="B25"/>
  <c r="B27"/>
  <c r="B29"/>
  <c r="B31"/>
  <c r="C6"/>
  <c r="D6"/>
  <c r="E6"/>
  <c r="F6"/>
  <c r="G6"/>
  <c r="H6"/>
  <c r="I6"/>
  <c r="J6"/>
  <c r="D7"/>
  <c r="F7"/>
  <c r="H7"/>
  <c r="J7"/>
  <c r="C8"/>
  <c r="E8"/>
  <c r="G8"/>
  <c r="I8"/>
  <c r="D9"/>
  <c r="F9"/>
  <c r="H9"/>
  <c r="J9"/>
  <c r="C10"/>
  <c r="E10"/>
  <c r="G10"/>
  <c r="I10"/>
  <c r="K10"/>
  <c r="D11"/>
  <c r="F11"/>
  <c r="H11"/>
  <c r="J11"/>
  <c r="C12"/>
  <c r="E12"/>
  <c r="G12"/>
  <c r="I12"/>
  <c r="D13"/>
  <c r="F13"/>
  <c r="H13"/>
  <c r="J13"/>
  <c r="C14"/>
  <c r="E14"/>
  <c r="G14"/>
  <c r="I14"/>
  <c r="K14"/>
  <c r="D15"/>
  <c r="F15"/>
  <c r="H15"/>
  <c r="J15"/>
  <c r="C16"/>
  <c r="E16"/>
  <c r="G16"/>
  <c r="I16"/>
  <c r="D17"/>
  <c r="F17"/>
  <c r="H17"/>
  <c r="J17"/>
  <c r="C18"/>
  <c r="E18"/>
  <c r="G18"/>
  <c r="I18"/>
  <c r="C19"/>
  <c r="D19"/>
  <c r="E19"/>
  <c r="F19"/>
  <c r="G19"/>
  <c r="H19"/>
  <c r="I19"/>
  <c r="J19"/>
  <c r="K19"/>
  <c r="C20"/>
  <c r="D20"/>
  <c r="E20"/>
  <c r="F20"/>
  <c r="G20"/>
  <c r="H20"/>
  <c r="I20"/>
  <c r="J20"/>
  <c r="D21"/>
  <c r="F21"/>
  <c r="H21"/>
  <c r="J21"/>
  <c r="C22"/>
  <c r="E22"/>
  <c r="G22"/>
  <c r="I22"/>
  <c r="D23"/>
  <c r="F23"/>
  <c r="H23"/>
  <c r="J23"/>
  <c r="C24"/>
  <c r="C38" s="1"/>
  <c r="E24"/>
  <c r="E38" s="1"/>
  <c r="G24"/>
  <c r="G38" s="1"/>
  <c r="I24"/>
  <c r="I38" s="1"/>
  <c r="C25"/>
  <c r="D25"/>
  <c r="E25"/>
  <c r="F25"/>
  <c r="G25"/>
  <c r="H25"/>
  <c r="I25"/>
  <c r="J25"/>
  <c r="K25"/>
  <c r="C26"/>
  <c r="D26"/>
  <c r="E26"/>
  <c r="F26"/>
  <c r="G26"/>
  <c r="H26"/>
  <c r="I26"/>
  <c r="J26"/>
  <c r="C27"/>
  <c r="D27"/>
  <c r="E27"/>
  <c r="F27"/>
  <c r="G27"/>
  <c r="H27"/>
  <c r="I27"/>
  <c r="J27"/>
  <c r="K27"/>
  <c r="C28"/>
  <c r="E28"/>
  <c r="G28"/>
  <c r="I28"/>
  <c r="C29"/>
  <c r="D29"/>
  <c r="E29"/>
  <c r="F29"/>
  <c r="G29"/>
  <c r="H29"/>
  <c r="I29"/>
  <c r="J29"/>
  <c r="K29"/>
  <c r="C30"/>
  <c r="E30"/>
  <c r="G30"/>
  <c r="I30"/>
  <c r="K30"/>
  <c r="D31"/>
  <c r="F31"/>
  <c r="H31"/>
  <c r="J31"/>
  <c r="Q5" i="243"/>
  <c r="P5" s="1"/>
  <c r="Q6"/>
  <c r="P6" s="1"/>
  <c r="Q7"/>
  <c r="P7" s="1"/>
  <c r="Q8"/>
  <c r="P8" s="1"/>
  <c r="Q9"/>
  <c r="P9" s="1"/>
  <c r="Q10"/>
  <c r="P10" s="1"/>
  <c r="Q11"/>
  <c r="P11" s="1"/>
  <c r="Q12"/>
  <c r="P12" s="1"/>
  <c r="Q13"/>
  <c r="Q14"/>
  <c r="P14" s="1"/>
  <c r="Q15"/>
  <c r="P15" s="1"/>
  <c r="Q16"/>
  <c r="P16" s="1"/>
  <c r="Q17"/>
  <c r="P17" s="1"/>
  <c r="Q18"/>
  <c r="P18" s="1"/>
  <c r="Q19"/>
  <c r="P19" s="1"/>
  <c r="Q20"/>
  <c r="P20" s="1"/>
  <c r="Q21"/>
  <c r="P21" s="1"/>
  <c r="Q22"/>
  <c r="P22" s="1"/>
  <c r="Q23"/>
  <c r="P23" s="1"/>
  <c r="Q24"/>
  <c r="Q25"/>
  <c r="P25" s="1"/>
  <c r="Q26"/>
  <c r="P26" s="1"/>
  <c r="Q27"/>
  <c r="P27" s="1"/>
  <c r="Q28"/>
  <c r="L106"/>
  <c r="K106" s="1"/>
  <c r="J106" s="1"/>
  <c r="I106" s="1"/>
  <c r="H106" s="1"/>
  <c r="G106" s="1"/>
  <c r="F106" s="1"/>
  <c r="E106" s="1"/>
  <c r="D106" s="1"/>
  <c r="C106" s="1"/>
  <c r="Q5" i="244"/>
  <c r="P5" s="1"/>
  <c r="Q6"/>
  <c r="P6" s="1"/>
  <c r="Q7"/>
  <c r="P7" s="1"/>
  <c r="Q8"/>
  <c r="P8" s="1"/>
  <c r="Q9"/>
  <c r="P9" s="1"/>
  <c r="Q10"/>
  <c r="P10" s="1"/>
  <c r="Q11"/>
  <c r="P11" s="1"/>
  <c r="Q12"/>
  <c r="P12" s="1"/>
  <c r="Q13"/>
  <c r="Q33" s="1"/>
  <c r="Q14"/>
  <c r="P14" s="1"/>
  <c r="Q15"/>
  <c r="P15" s="1"/>
  <c r="Q16"/>
  <c r="P16" s="1"/>
  <c r="Q17"/>
  <c r="P17" s="1"/>
  <c r="Q18"/>
  <c r="P18" s="1"/>
  <c r="Q19"/>
  <c r="P19" s="1"/>
  <c r="Q20"/>
  <c r="P20" s="1"/>
  <c r="Q21"/>
  <c r="P21" s="1"/>
  <c r="Q22"/>
  <c r="P22" s="1"/>
  <c r="Q23"/>
  <c r="P23" s="1"/>
  <c r="H71"/>
  <c r="I71"/>
  <c r="J71"/>
  <c r="K71"/>
  <c r="L71"/>
  <c r="Q24"/>
  <c r="Q37" s="1"/>
  <c r="C72"/>
  <c r="D72"/>
  <c r="E72"/>
  <c r="F72"/>
  <c r="G72"/>
  <c r="H72"/>
  <c r="I72"/>
  <c r="J72"/>
  <c r="K72"/>
  <c r="L72"/>
  <c r="Q25"/>
  <c r="P25" s="1"/>
  <c r="C73"/>
  <c r="D73"/>
  <c r="E73"/>
  <c r="F73"/>
  <c r="G73"/>
  <c r="H73"/>
  <c r="I73"/>
  <c r="J73"/>
  <c r="K73"/>
  <c r="L73"/>
  <c r="Q26"/>
  <c r="P26" s="1"/>
  <c r="C74"/>
  <c r="D74"/>
  <c r="E74"/>
  <c r="F74"/>
  <c r="G74"/>
  <c r="H74"/>
  <c r="I74"/>
  <c r="J74"/>
  <c r="K74"/>
  <c r="L74"/>
  <c r="Q27"/>
  <c r="P27" s="1"/>
  <c r="C75"/>
  <c r="D75"/>
  <c r="E75"/>
  <c r="F75"/>
  <c r="G75"/>
  <c r="H75"/>
  <c r="I75"/>
  <c r="J75"/>
  <c r="K75"/>
  <c r="L75"/>
  <c r="Q28"/>
  <c r="C76"/>
  <c r="D76"/>
  <c r="E76"/>
  <c r="F76"/>
  <c r="G76"/>
  <c r="H76"/>
  <c r="I76"/>
  <c r="J76"/>
  <c r="K76"/>
  <c r="L76"/>
  <c r="C77"/>
  <c r="D77"/>
  <c r="E77"/>
  <c r="F77"/>
  <c r="G77"/>
  <c r="H77"/>
  <c r="I77"/>
  <c r="J77"/>
  <c r="K77"/>
  <c r="L77"/>
  <c r="L106" s="1"/>
  <c r="K106" i="245"/>
  <c r="K102" i="250"/>
  <c r="K102" i="251"/>
  <c r="J102" s="1"/>
  <c r="I102" s="1"/>
  <c r="H102" s="1"/>
  <c r="G102" s="1"/>
  <c r="F102" s="1"/>
  <c r="E102" s="1"/>
  <c r="D102" s="1"/>
  <c r="C102" s="1"/>
  <c r="L101" s="1"/>
  <c r="K101" s="1"/>
  <c r="J101" s="1"/>
  <c r="I101" s="1"/>
  <c r="H101" s="1"/>
  <c r="G101" s="1"/>
  <c r="F101" s="1"/>
  <c r="E101" s="1"/>
  <c r="D101" s="1"/>
  <c r="C101" s="1"/>
  <c r="K102" i="252"/>
  <c r="Q5" i="245"/>
  <c r="P5" s="1"/>
  <c r="Q6"/>
  <c r="P6" s="1"/>
  <c r="Q7"/>
  <c r="P7" s="1"/>
  <c r="Q8"/>
  <c r="P8" s="1"/>
  <c r="Q9"/>
  <c r="P9" s="1"/>
  <c r="Q10"/>
  <c r="P10" s="1"/>
  <c r="Q11"/>
  <c r="P11" s="1"/>
  <c r="Q12"/>
  <c r="P12" s="1"/>
  <c r="Q13"/>
  <c r="Q33" s="1"/>
  <c r="Q14"/>
  <c r="P14" s="1"/>
  <c r="Q15"/>
  <c r="P15" s="1"/>
  <c r="Q16"/>
  <c r="P16" s="1"/>
  <c r="Q17"/>
  <c r="P17" s="1"/>
  <c r="Q18"/>
  <c r="P18" s="1"/>
  <c r="Q19"/>
  <c r="P19" s="1"/>
  <c r="Q20"/>
  <c r="P20" s="1"/>
  <c r="Q21"/>
  <c r="P21" s="1"/>
  <c r="Q22"/>
  <c r="P22" s="1"/>
  <c r="Q23"/>
  <c r="P23" s="1"/>
  <c r="Q24"/>
  <c r="Q25"/>
  <c r="P25" s="1"/>
  <c r="Q26"/>
  <c r="P26" s="1"/>
  <c r="Q27"/>
  <c r="P27" s="1"/>
  <c r="Q28"/>
  <c r="Q5" i="250"/>
  <c r="P5" s="1"/>
  <c r="Q6"/>
  <c r="P6" s="1"/>
  <c r="Q7"/>
  <c r="P7" s="1"/>
  <c r="Q8"/>
  <c r="P8" s="1"/>
  <c r="Q9"/>
  <c r="P9" s="1"/>
  <c r="Q10"/>
  <c r="P10" s="1"/>
  <c r="Q11"/>
  <c r="P11" s="1"/>
  <c r="Q12"/>
  <c r="P12" s="1"/>
  <c r="Q13"/>
  <c r="Q14"/>
  <c r="P14" s="1"/>
  <c r="Q15"/>
  <c r="P15" s="1"/>
  <c r="Q16"/>
  <c r="P16" s="1"/>
  <c r="Q17"/>
  <c r="P17" s="1"/>
  <c r="Q18"/>
  <c r="P18" s="1"/>
  <c r="Q19"/>
  <c r="P19" s="1"/>
  <c r="Q20"/>
  <c r="P20" s="1"/>
  <c r="Q21"/>
  <c r="P21" s="1"/>
  <c r="Q22"/>
  <c r="P22" s="1"/>
  <c r="Q23"/>
  <c r="P23" s="1"/>
  <c r="Q24"/>
  <c r="Q25"/>
  <c r="P25" s="1"/>
  <c r="Q26"/>
  <c r="P26" s="1"/>
  <c r="Q27"/>
  <c r="P27" s="1"/>
  <c r="Q28"/>
  <c r="Q5" i="251"/>
  <c r="P5" s="1"/>
  <c r="Q6"/>
  <c r="P6" s="1"/>
  <c r="Q7"/>
  <c r="P7" s="1"/>
  <c r="Q8"/>
  <c r="P8" s="1"/>
  <c r="Q9"/>
  <c r="P9" s="1"/>
  <c r="Q10"/>
  <c r="P10" s="1"/>
  <c r="Q11"/>
  <c r="P11" s="1"/>
  <c r="Q12"/>
  <c r="P12" s="1"/>
  <c r="Q13"/>
  <c r="Q14"/>
  <c r="P14" s="1"/>
  <c r="Q15"/>
  <c r="P15" s="1"/>
  <c r="Q16"/>
  <c r="P16" s="1"/>
  <c r="Q17"/>
  <c r="P17" s="1"/>
  <c r="Q18"/>
  <c r="P18" s="1"/>
  <c r="Q19"/>
  <c r="P19" s="1"/>
  <c r="Q20"/>
  <c r="P20" s="1"/>
  <c r="Q21"/>
  <c r="P21" s="1"/>
  <c r="Q22"/>
  <c r="P22" s="1"/>
  <c r="Q23"/>
  <c r="P23" s="1"/>
  <c r="Q24"/>
  <c r="Q25"/>
  <c r="P25" s="1"/>
  <c r="Q26"/>
  <c r="P26" s="1"/>
  <c r="Q27"/>
  <c r="P27" s="1"/>
  <c r="Q28"/>
  <c r="Q5" i="252"/>
  <c r="P5" s="1"/>
  <c r="Q6"/>
  <c r="P6" s="1"/>
  <c r="Q7"/>
  <c r="P7" s="1"/>
  <c r="Q8"/>
  <c r="P8" s="1"/>
  <c r="Q9"/>
  <c r="P9" s="1"/>
  <c r="Q10"/>
  <c r="P10" s="1"/>
  <c r="Q11"/>
  <c r="P11" s="1"/>
  <c r="Q12"/>
  <c r="P12" s="1"/>
  <c r="Q13"/>
  <c r="Q14"/>
  <c r="P14" s="1"/>
  <c r="Q15"/>
  <c r="P15" s="1"/>
  <c r="Q16"/>
  <c r="P16" s="1"/>
  <c r="Q17"/>
  <c r="P17" s="1"/>
  <c r="Q18"/>
  <c r="P18" s="1"/>
  <c r="Q19"/>
  <c r="P19" s="1"/>
  <c r="Q20"/>
  <c r="P20" s="1"/>
  <c r="Q21"/>
  <c r="P21" s="1"/>
  <c r="Q22"/>
  <c r="P22" s="1"/>
  <c r="Q23"/>
  <c r="P23" s="1"/>
  <c r="Q24"/>
  <c r="Q25"/>
  <c r="P25" s="1"/>
  <c r="Q26"/>
  <c r="P26" s="1"/>
  <c r="Q27"/>
  <c r="P27" s="1"/>
  <c r="Q28"/>
  <c r="C35" i="31"/>
  <c r="C37"/>
  <c r="B16" i="458" l="1"/>
  <c r="B28" s="1"/>
  <c r="B30"/>
  <c r="J4"/>
  <c r="C41" i="31"/>
  <c r="C43"/>
  <c r="C36"/>
  <c r="J102" i="252"/>
  <c r="I102" s="1"/>
  <c r="H102" s="1"/>
  <c r="G102" s="1"/>
  <c r="F102" s="1"/>
  <c r="E102" s="1"/>
  <c r="D102" s="1"/>
  <c r="C102" s="1"/>
  <c r="L101" s="1"/>
  <c r="K101" s="1"/>
  <c r="J101" s="1"/>
  <c r="I101" s="1"/>
  <c r="H101" s="1"/>
  <c r="G101" s="1"/>
  <c r="F101" s="1"/>
  <c r="E101" s="1"/>
  <c r="D101" s="1"/>
  <c r="C101" s="1"/>
  <c r="N29" s="1"/>
  <c r="O29" s="1"/>
  <c r="J102" i="250"/>
  <c r="I102" s="1"/>
  <c r="H102" s="1"/>
  <c r="G102" s="1"/>
  <c r="F102" s="1"/>
  <c r="E102" s="1"/>
  <c r="D102" s="1"/>
  <c r="C102" s="1"/>
  <c r="J24" i="273"/>
  <c r="J38" s="1"/>
  <c r="H24"/>
  <c r="H38" s="1"/>
  <c r="F24"/>
  <c r="F38" s="1"/>
  <c r="D24"/>
  <c r="D38" s="1"/>
  <c r="B24"/>
  <c r="B38" s="1"/>
  <c r="D57" i="254"/>
  <c r="C57" s="1"/>
  <c r="E56" s="1"/>
  <c r="D56" s="1"/>
  <c r="C56" s="1"/>
  <c r="J11" i="458"/>
  <c r="J21"/>
  <c r="Q41" i="245"/>
  <c r="Q39"/>
  <c r="Q38"/>
  <c r="C44" i="31"/>
  <c r="C40"/>
  <c r="Q37" i="245"/>
  <c r="Q41" i="244"/>
  <c r="Q39"/>
  <c r="Q38"/>
  <c r="C45" i="31"/>
  <c r="C39"/>
  <c r="K24" i="273"/>
  <c r="K38" s="1"/>
  <c r="P40" i="242"/>
  <c r="P37"/>
  <c r="P35"/>
  <c r="P34"/>
  <c r="L104"/>
  <c r="K104" s="1"/>
  <c r="J104" s="1"/>
  <c r="I104" s="1"/>
  <c r="H104" s="1"/>
  <c r="G104" s="1"/>
  <c r="F104" s="1"/>
  <c r="E104" s="1"/>
  <c r="D104" s="1"/>
  <c r="C104" s="1"/>
  <c r="L103" s="1"/>
  <c r="K103" s="1"/>
  <c r="J103" s="1"/>
  <c r="I103" s="1"/>
  <c r="H103" s="1"/>
  <c r="G103" s="1"/>
  <c r="F103" s="1"/>
  <c r="E103" s="1"/>
  <c r="D103" s="1"/>
  <c r="C103" s="1"/>
  <c r="L102" s="1"/>
  <c r="K102" s="1"/>
  <c r="J102" s="1"/>
  <c r="I102" s="1"/>
  <c r="H102" s="1"/>
  <c r="G102" s="1"/>
  <c r="F102" s="1"/>
  <c r="E102" s="1"/>
  <c r="D102" s="1"/>
  <c r="C102" s="1"/>
  <c r="L101" s="1"/>
  <c r="K101" s="1"/>
  <c r="J101" s="1"/>
  <c r="I101" s="1"/>
  <c r="H101" s="1"/>
  <c r="G101" s="1"/>
  <c r="F101" s="1"/>
  <c r="E101" s="1"/>
  <c r="D101" s="1"/>
  <c r="C101" s="1"/>
  <c r="L100" s="1"/>
  <c r="K100" s="1"/>
  <c r="J100" s="1"/>
  <c r="I100" s="1"/>
  <c r="H100" s="1"/>
  <c r="G100" s="1"/>
  <c r="F100" s="1"/>
  <c r="E100" s="1"/>
  <c r="D100" s="1"/>
  <c r="C100" s="1"/>
  <c r="L99" s="1"/>
  <c r="K99" s="1"/>
  <c r="J99" s="1"/>
  <c r="I99" s="1"/>
  <c r="H99" s="1"/>
  <c r="G99" s="1"/>
  <c r="F99" s="1"/>
  <c r="E99" s="1"/>
  <c r="D99" s="1"/>
  <c r="C99" s="1"/>
  <c r="L98" s="1"/>
  <c r="K98" s="1"/>
  <c r="J98" s="1"/>
  <c r="I98" s="1"/>
  <c r="H98" s="1"/>
  <c r="G98" s="1"/>
  <c r="F98" s="1"/>
  <c r="E98" s="1"/>
  <c r="D98" s="1"/>
  <c r="C98" s="1"/>
  <c r="L97" s="1"/>
  <c r="K97" s="1"/>
  <c r="J97" s="1"/>
  <c r="I97" s="1"/>
  <c r="H97" s="1"/>
  <c r="G97" s="1"/>
  <c r="F97" s="1"/>
  <c r="E97" s="1"/>
  <c r="D97" s="1"/>
  <c r="C97" s="1"/>
  <c r="L96" s="1"/>
  <c r="K96" s="1"/>
  <c r="J96" s="1"/>
  <c r="I96" s="1"/>
  <c r="H96" s="1"/>
  <c r="G96" s="1"/>
  <c r="F96" s="1"/>
  <c r="E96" s="1"/>
  <c r="D96" s="1"/>
  <c r="C96" s="1"/>
  <c r="L95" s="1"/>
  <c r="K95" s="1"/>
  <c r="J95" s="1"/>
  <c r="I95" s="1"/>
  <c r="H95" s="1"/>
  <c r="G95" s="1"/>
  <c r="F95" s="1"/>
  <c r="E95" s="1"/>
  <c r="D95" s="1"/>
  <c r="C95" s="1"/>
  <c r="L94" s="1"/>
  <c r="K94" s="1"/>
  <c r="J94" s="1"/>
  <c r="I94" s="1"/>
  <c r="H94" s="1"/>
  <c r="G94" s="1"/>
  <c r="F94" s="1"/>
  <c r="E94" s="1"/>
  <c r="D94" s="1"/>
  <c r="C94" s="1"/>
  <c r="L93" s="1"/>
  <c r="K93" s="1"/>
  <c r="J93" s="1"/>
  <c r="I93" s="1"/>
  <c r="H93" s="1"/>
  <c r="G93" s="1"/>
  <c r="F93" s="1"/>
  <c r="E93" s="1"/>
  <c r="D93" s="1"/>
  <c r="C93" s="1"/>
  <c r="L92" s="1"/>
  <c r="K92" s="1"/>
  <c r="J92" s="1"/>
  <c r="I92" s="1"/>
  <c r="H92" s="1"/>
  <c r="G92" s="1"/>
  <c r="F92" s="1"/>
  <c r="E92" s="1"/>
  <c r="D92" s="1"/>
  <c r="C92" s="1"/>
  <c r="L91" s="1"/>
  <c r="K91" s="1"/>
  <c r="J91" s="1"/>
  <c r="I91" s="1"/>
  <c r="H91" s="1"/>
  <c r="G91" s="1"/>
  <c r="F91" s="1"/>
  <c r="E91" s="1"/>
  <c r="D91" s="1"/>
  <c r="C91" s="1"/>
  <c r="L90" s="1"/>
  <c r="K90" s="1"/>
  <c r="J90" s="1"/>
  <c r="I90" s="1"/>
  <c r="H90" s="1"/>
  <c r="G90" s="1"/>
  <c r="F90" s="1"/>
  <c r="E90" s="1"/>
  <c r="D90" s="1"/>
  <c r="C90" s="1"/>
  <c r="L89" s="1"/>
  <c r="K89" s="1"/>
  <c r="J89" s="1"/>
  <c r="I89" s="1"/>
  <c r="H89" s="1"/>
  <c r="G89" s="1"/>
  <c r="F89" s="1"/>
  <c r="E89" s="1"/>
  <c r="D89" s="1"/>
  <c r="C89" s="1"/>
  <c r="L88" s="1"/>
  <c r="K88" s="1"/>
  <c r="J88" s="1"/>
  <c r="I88" s="1"/>
  <c r="H88" s="1"/>
  <c r="G88" s="1"/>
  <c r="F88" s="1"/>
  <c r="E88" s="1"/>
  <c r="D88" s="1"/>
  <c r="C88" s="1"/>
  <c r="L87" s="1"/>
  <c r="K87" s="1"/>
  <c r="J87" s="1"/>
  <c r="I87" s="1"/>
  <c r="H87" s="1"/>
  <c r="G87" s="1"/>
  <c r="F87" s="1"/>
  <c r="E87" s="1"/>
  <c r="D87" s="1"/>
  <c r="C87" s="1"/>
  <c r="L86" s="1"/>
  <c r="K86" s="1"/>
  <c r="J86" s="1"/>
  <c r="I86" s="1"/>
  <c r="H86" s="1"/>
  <c r="G86" s="1"/>
  <c r="F86" s="1"/>
  <c r="E86" s="1"/>
  <c r="D86" s="1"/>
  <c r="C86" s="1"/>
  <c r="L85" s="1"/>
  <c r="K85" s="1"/>
  <c r="J85" s="1"/>
  <c r="I85" s="1"/>
  <c r="H85" s="1"/>
  <c r="G85" s="1"/>
  <c r="F85" s="1"/>
  <c r="E85" s="1"/>
  <c r="D85" s="1"/>
  <c r="C85" s="1"/>
  <c r="L84" s="1"/>
  <c r="K84" s="1"/>
  <c r="J84" s="1"/>
  <c r="I84" s="1"/>
  <c r="H84" s="1"/>
  <c r="G84" s="1"/>
  <c r="F84" s="1"/>
  <c r="E84" s="1"/>
  <c r="D84" s="1"/>
  <c r="C84" s="1"/>
  <c r="L83" s="1"/>
  <c r="K83" s="1"/>
  <c r="J83" s="1"/>
  <c r="I83" s="1"/>
  <c r="H83" s="1"/>
  <c r="G83" s="1"/>
  <c r="F83" s="1"/>
  <c r="E83" s="1"/>
  <c r="D83" s="1"/>
  <c r="C83" s="1"/>
  <c r="L82" s="1"/>
  <c r="K82" s="1"/>
  <c r="J82" s="1"/>
  <c r="I82" s="1"/>
  <c r="H82" s="1"/>
  <c r="G82" s="1"/>
  <c r="F82" s="1"/>
  <c r="E82" s="1"/>
  <c r="D82" s="1"/>
  <c r="C82" s="1"/>
  <c r="N28"/>
  <c r="J106" i="245"/>
  <c r="I106" s="1"/>
  <c r="H106" s="1"/>
  <c r="G106" s="1"/>
  <c r="F106" s="1"/>
  <c r="E106" s="1"/>
  <c r="D106" s="1"/>
  <c r="C106" s="1"/>
  <c r="L105" s="1"/>
  <c r="K105" s="1"/>
  <c r="J105" s="1"/>
  <c r="I105" s="1"/>
  <c r="H105" s="1"/>
  <c r="G105" s="1"/>
  <c r="F105" s="1"/>
  <c r="E105" s="1"/>
  <c r="D105" s="1"/>
  <c r="C105" s="1"/>
  <c r="N29" s="1"/>
  <c r="P40" i="241"/>
  <c r="P37"/>
  <c r="P35"/>
  <c r="P34"/>
  <c r="B35" i="253"/>
  <c r="B35" i="458"/>
  <c r="B31"/>
  <c r="B29"/>
  <c r="L24" i="273"/>
  <c r="L38" s="1"/>
  <c r="L37" i="272"/>
  <c r="J36"/>
  <c r="J39"/>
  <c r="H39"/>
  <c r="H36"/>
  <c r="F39"/>
  <c r="F36"/>
  <c r="D36"/>
  <c r="D39"/>
  <c r="B5" i="273"/>
  <c r="B36" i="272"/>
  <c r="B39"/>
  <c r="L36"/>
  <c r="L39"/>
  <c r="K39"/>
  <c r="K36"/>
  <c r="I36"/>
  <c r="I39"/>
  <c r="G39"/>
  <c r="G36"/>
  <c r="E36"/>
  <c r="E39"/>
  <c r="C36"/>
  <c r="C39"/>
  <c r="C38" i="31"/>
  <c r="D32"/>
  <c r="D31"/>
  <c r="J7" i="458"/>
  <c r="J17"/>
  <c r="B37" i="253"/>
  <c r="B42"/>
  <c r="C58" i="254"/>
  <c r="B6"/>
  <c r="C55"/>
  <c r="C60"/>
  <c r="B30" i="303"/>
  <c r="B36" i="253"/>
  <c r="K106" i="244"/>
  <c r="J106" s="1"/>
  <c r="I106" s="1"/>
  <c r="H106" s="1"/>
  <c r="G106" s="1"/>
  <c r="F106" s="1"/>
  <c r="E106" s="1"/>
  <c r="D106" s="1"/>
  <c r="C106" s="1"/>
  <c r="N30" s="1"/>
  <c r="L5" i="273"/>
  <c r="B34" i="458"/>
  <c r="J16"/>
  <c r="J22"/>
  <c r="D57" i="424"/>
  <c r="Q38" i="252"/>
  <c r="Q36"/>
  <c r="Q35"/>
  <c r="P28"/>
  <c r="Q34"/>
  <c r="P24"/>
  <c r="Q33"/>
  <c r="P13"/>
  <c r="Q38" i="251"/>
  <c r="Q36"/>
  <c r="Q35"/>
  <c r="P28"/>
  <c r="Q34"/>
  <c r="P24"/>
  <c r="Q33"/>
  <c r="P13"/>
  <c r="Q38" i="250"/>
  <c r="Q36"/>
  <c r="Q35"/>
  <c r="P28"/>
  <c r="Q34"/>
  <c r="P24"/>
  <c r="Q33"/>
  <c r="P13"/>
  <c r="P28" i="245"/>
  <c r="P24"/>
  <c r="P13"/>
  <c r="P33" s="1"/>
  <c r="L100" i="252"/>
  <c r="K100" s="1"/>
  <c r="J100" s="1"/>
  <c r="I100" s="1"/>
  <c r="H100" s="1"/>
  <c r="G100" s="1"/>
  <c r="F100" s="1"/>
  <c r="E100" s="1"/>
  <c r="D100" s="1"/>
  <c r="C100" s="1"/>
  <c r="L100" i="251"/>
  <c r="K100" s="1"/>
  <c r="J100" s="1"/>
  <c r="I100" s="1"/>
  <c r="H100" s="1"/>
  <c r="G100" s="1"/>
  <c r="F100" s="1"/>
  <c r="E100" s="1"/>
  <c r="D100" s="1"/>
  <c r="C100" s="1"/>
  <c r="N29"/>
  <c r="O29" s="1"/>
  <c r="L101" i="250"/>
  <c r="K101" s="1"/>
  <c r="J101" s="1"/>
  <c r="I101" s="1"/>
  <c r="H101" s="1"/>
  <c r="G101" s="1"/>
  <c r="F101" s="1"/>
  <c r="E101" s="1"/>
  <c r="D101" s="1"/>
  <c r="C101" s="1"/>
  <c r="N30"/>
  <c r="L104" i="245"/>
  <c r="K104" s="1"/>
  <c r="J104" s="1"/>
  <c r="I104" s="1"/>
  <c r="H104" s="1"/>
  <c r="G104" s="1"/>
  <c r="F104" s="1"/>
  <c r="E104" s="1"/>
  <c r="D104" s="1"/>
  <c r="C104" s="1"/>
  <c r="L105" i="244"/>
  <c r="K105" s="1"/>
  <c r="J105" s="1"/>
  <c r="I105" s="1"/>
  <c r="H105" s="1"/>
  <c r="G105" s="1"/>
  <c r="F105" s="1"/>
  <c r="E105" s="1"/>
  <c r="D105" s="1"/>
  <c r="C105" s="1"/>
  <c r="P28"/>
  <c r="P24"/>
  <c r="P13"/>
  <c r="P33" s="1"/>
  <c r="L105" i="243"/>
  <c r="K105" s="1"/>
  <c r="J105" s="1"/>
  <c r="I105" s="1"/>
  <c r="H105" s="1"/>
  <c r="G105" s="1"/>
  <c r="F105" s="1"/>
  <c r="E105" s="1"/>
  <c r="D105" s="1"/>
  <c r="C105" s="1"/>
  <c r="N30"/>
  <c r="Q41"/>
  <c r="Q39"/>
  <c r="Q38"/>
  <c r="P28"/>
  <c r="Q37"/>
  <c r="P24"/>
  <c r="Q33"/>
  <c r="P13"/>
  <c r="L37" i="273"/>
  <c r="B34" i="272"/>
  <c r="L31" s="1"/>
  <c r="B35"/>
  <c r="B34" i="273"/>
  <c r="L34" i="272"/>
  <c r="L35"/>
  <c r="K34"/>
  <c r="K35"/>
  <c r="J34"/>
  <c r="J35"/>
  <c r="I34"/>
  <c r="I35"/>
  <c r="H34"/>
  <c r="H35"/>
  <c r="G34"/>
  <c r="G35"/>
  <c r="F34"/>
  <c r="F35"/>
  <c r="E34"/>
  <c r="E35"/>
  <c r="D34"/>
  <c r="D35"/>
  <c r="C34"/>
  <c r="C35"/>
  <c r="B27" i="458" l="1"/>
  <c r="J29"/>
  <c r="L35" i="273"/>
  <c r="K35" s="1"/>
  <c r="J35" s="1"/>
  <c r="I35" s="1"/>
  <c r="H35" s="1"/>
  <c r="G35" s="1"/>
  <c r="F35" s="1"/>
  <c r="E35" s="1"/>
  <c r="D35" s="1"/>
  <c r="C35" s="1"/>
  <c r="B35" s="1"/>
  <c r="P37" i="244"/>
  <c r="P37" i="245"/>
  <c r="P41" i="244"/>
  <c r="P39"/>
  <c r="P38"/>
  <c r="P41" i="245"/>
  <c r="P39"/>
  <c r="P38"/>
  <c r="K37" i="273"/>
  <c r="J37" s="1"/>
  <c r="I37" s="1"/>
  <c r="H37" s="1"/>
  <c r="G37" s="1"/>
  <c r="F37" s="1"/>
  <c r="E37" s="1"/>
  <c r="D37" s="1"/>
  <c r="C37" s="1"/>
  <c r="B37" s="1"/>
  <c r="J31" i="458"/>
  <c r="J35"/>
  <c r="K5" i="273"/>
  <c r="K34" s="1"/>
  <c r="L39"/>
  <c r="L36"/>
  <c r="B36"/>
  <c r="B39"/>
  <c r="L29" i="303"/>
  <c r="L34" i="273"/>
  <c r="D58" i="424"/>
  <c r="J27" i="458"/>
  <c r="J34"/>
  <c r="J30"/>
  <c r="J28"/>
  <c r="L31" i="273"/>
  <c r="P41" i="243"/>
  <c r="P39"/>
  <c r="P38"/>
  <c r="O30"/>
  <c r="L104"/>
  <c r="K104" s="1"/>
  <c r="J104" s="1"/>
  <c r="I104" s="1"/>
  <c r="H104" s="1"/>
  <c r="G104" s="1"/>
  <c r="F104" s="1"/>
  <c r="E104" s="1"/>
  <c r="D104" s="1"/>
  <c r="C104" s="1"/>
  <c r="N29"/>
  <c r="O30" i="244"/>
  <c r="L104"/>
  <c r="K104" s="1"/>
  <c r="J104" s="1"/>
  <c r="I104" s="1"/>
  <c r="H104" s="1"/>
  <c r="G104" s="1"/>
  <c r="F104" s="1"/>
  <c r="E104" s="1"/>
  <c r="D104" s="1"/>
  <c r="C104" s="1"/>
  <c r="N29"/>
  <c r="O29" i="245"/>
  <c r="L103"/>
  <c r="K103" s="1"/>
  <c r="J103" s="1"/>
  <c r="I103" s="1"/>
  <c r="H103" s="1"/>
  <c r="G103" s="1"/>
  <c r="F103" s="1"/>
  <c r="E103" s="1"/>
  <c r="D103" s="1"/>
  <c r="C103" s="1"/>
  <c r="N28"/>
  <c r="O30" i="250"/>
  <c r="L100"/>
  <c r="K100" s="1"/>
  <c r="J100" s="1"/>
  <c r="I100" s="1"/>
  <c r="H100" s="1"/>
  <c r="G100" s="1"/>
  <c r="F100" s="1"/>
  <c r="E100" s="1"/>
  <c r="D100" s="1"/>
  <c r="C100" s="1"/>
  <c r="N29"/>
  <c r="O29" s="1"/>
  <c r="L99" i="251"/>
  <c r="K99" s="1"/>
  <c r="J99" s="1"/>
  <c r="I99" s="1"/>
  <c r="H99" s="1"/>
  <c r="G99" s="1"/>
  <c r="F99" s="1"/>
  <c r="E99" s="1"/>
  <c r="D99" s="1"/>
  <c r="C99" s="1"/>
  <c r="N28"/>
  <c r="O28" s="1"/>
  <c r="L99" i="252"/>
  <c r="K99" s="1"/>
  <c r="J99" s="1"/>
  <c r="I99" s="1"/>
  <c r="H99" s="1"/>
  <c r="G99" s="1"/>
  <c r="F99" s="1"/>
  <c r="E99" s="1"/>
  <c r="D99" s="1"/>
  <c r="C99" s="1"/>
  <c r="N28"/>
  <c r="O28" s="1"/>
  <c r="O28" i="245"/>
  <c r="P38" i="250"/>
  <c r="P36"/>
  <c r="P35"/>
  <c r="P38" i="251"/>
  <c r="P36"/>
  <c r="P35"/>
  <c r="P38" i="252"/>
  <c r="P36"/>
  <c r="P35"/>
  <c r="P33" i="243"/>
  <c r="P37"/>
  <c r="P33" i="250"/>
  <c r="P34"/>
  <c r="P33" i="251"/>
  <c r="P34"/>
  <c r="P33" i="252"/>
  <c r="P34"/>
  <c r="J5" i="273" l="1"/>
  <c r="K36"/>
  <c r="K39"/>
  <c r="K29" i="303"/>
  <c r="D59" i="424"/>
  <c r="L98" i="252"/>
  <c r="K98" s="1"/>
  <c r="J98" s="1"/>
  <c r="I98" s="1"/>
  <c r="H98" s="1"/>
  <c r="G98" s="1"/>
  <c r="F98" s="1"/>
  <c r="E98" s="1"/>
  <c r="D98" s="1"/>
  <c r="C98" s="1"/>
  <c r="N27"/>
  <c r="O27" s="1"/>
  <c r="L98" i="251"/>
  <c r="K98" s="1"/>
  <c r="J98" s="1"/>
  <c r="I98" s="1"/>
  <c r="H98" s="1"/>
  <c r="G98" s="1"/>
  <c r="F98" s="1"/>
  <c r="E98" s="1"/>
  <c r="D98" s="1"/>
  <c r="C98" s="1"/>
  <c r="N27"/>
  <c r="O27" s="1"/>
  <c r="L99" i="250"/>
  <c r="K99" s="1"/>
  <c r="J99" s="1"/>
  <c r="I99" s="1"/>
  <c r="H99" s="1"/>
  <c r="G99" s="1"/>
  <c r="F99" s="1"/>
  <c r="E99" s="1"/>
  <c r="D99" s="1"/>
  <c r="C99" s="1"/>
  <c r="N28"/>
  <c r="O28" s="1"/>
  <c r="L102" i="245"/>
  <c r="K102" s="1"/>
  <c r="J102" s="1"/>
  <c r="I102" s="1"/>
  <c r="H102" s="1"/>
  <c r="G102" s="1"/>
  <c r="F102" s="1"/>
  <c r="E102" s="1"/>
  <c r="D102" s="1"/>
  <c r="C102" s="1"/>
  <c r="N27"/>
  <c r="O27" s="1"/>
  <c r="O29" i="244"/>
  <c r="L103"/>
  <c r="K103" s="1"/>
  <c r="J103" s="1"/>
  <c r="I103" s="1"/>
  <c r="H103" s="1"/>
  <c r="G103" s="1"/>
  <c r="F103" s="1"/>
  <c r="E103" s="1"/>
  <c r="D103" s="1"/>
  <c r="C103" s="1"/>
  <c r="N28"/>
  <c r="O28" s="1"/>
  <c r="O29" i="243"/>
  <c r="L103"/>
  <c r="K103" s="1"/>
  <c r="J103" s="1"/>
  <c r="I103" s="1"/>
  <c r="H103" s="1"/>
  <c r="G103" s="1"/>
  <c r="F103" s="1"/>
  <c r="E103" s="1"/>
  <c r="D103" s="1"/>
  <c r="C103" s="1"/>
  <c r="N28"/>
  <c r="O28" s="1"/>
  <c r="I5" i="273" l="1"/>
  <c r="J39"/>
  <c r="J36"/>
  <c r="J34"/>
  <c r="J29" i="303"/>
  <c r="D60" i="424"/>
  <c r="L102" i="243"/>
  <c r="K102" s="1"/>
  <c r="J102" s="1"/>
  <c r="I102" s="1"/>
  <c r="H102" s="1"/>
  <c r="G102" s="1"/>
  <c r="F102" s="1"/>
  <c r="E102" s="1"/>
  <c r="D102" s="1"/>
  <c r="C102" s="1"/>
  <c r="N27"/>
  <c r="O27" s="1"/>
  <c r="L102" i="244"/>
  <c r="K102" s="1"/>
  <c r="J102" s="1"/>
  <c r="I102" s="1"/>
  <c r="H102" s="1"/>
  <c r="G102" s="1"/>
  <c r="F102" s="1"/>
  <c r="E102" s="1"/>
  <c r="D102" s="1"/>
  <c r="C102" s="1"/>
  <c r="N27"/>
  <c r="O27" s="1"/>
  <c r="L101" i="245"/>
  <c r="K101" s="1"/>
  <c r="J101" s="1"/>
  <c r="I101" s="1"/>
  <c r="H101" s="1"/>
  <c r="G101" s="1"/>
  <c r="F101" s="1"/>
  <c r="E101" s="1"/>
  <c r="D101" s="1"/>
  <c r="C101" s="1"/>
  <c r="N26"/>
  <c r="O26" s="1"/>
  <c r="L98" i="250"/>
  <c r="K98" s="1"/>
  <c r="J98" s="1"/>
  <c r="I98" s="1"/>
  <c r="H98" s="1"/>
  <c r="G98" s="1"/>
  <c r="F98" s="1"/>
  <c r="E98" s="1"/>
  <c r="D98" s="1"/>
  <c r="C98" s="1"/>
  <c r="N27"/>
  <c r="O27" s="1"/>
  <c r="L97" i="251"/>
  <c r="K97" s="1"/>
  <c r="J97" s="1"/>
  <c r="I97" s="1"/>
  <c r="H97" s="1"/>
  <c r="G97" s="1"/>
  <c r="F97" s="1"/>
  <c r="E97" s="1"/>
  <c r="D97" s="1"/>
  <c r="C97" s="1"/>
  <c r="N26"/>
  <c r="O26" s="1"/>
  <c r="L97" i="252"/>
  <c r="K97" s="1"/>
  <c r="J97" s="1"/>
  <c r="I97" s="1"/>
  <c r="H97" s="1"/>
  <c r="G97" s="1"/>
  <c r="F97" s="1"/>
  <c r="E97" s="1"/>
  <c r="D97" s="1"/>
  <c r="C97" s="1"/>
  <c r="N26"/>
  <c r="O26" s="1"/>
  <c r="H5" i="273" l="1"/>
  <c r="I39"/>
  <c r="I36"/>
  <c r="I34"/>
  <c r="I29" i="303"/>
  <c r="D61" i="424"/>
  <c r="L96" i="252"/>
  <c r="K96" s="1"/>
  <c r="J96" s="1"/>
  <c r="I96" s="1"/>
  <c r="H96" s="1"/>
  <c r="G96" s="1"/>
  <c r="F96" s="1"/>
  <c r="E96" s="1"/>
  <c r="D96" s="1"/>
  <c r="C96" s="1"/>
  <c r="N25"/>
  <c r="O25" s="1"/>
  <c r="L96" i="251"/>
  <c r="K96" s="1"/>
  <c r="J96" s="1"/>
  <c r="I96" s="1"/>
  <c r="H96" s="1"/>
  <c r="G96" s="1"/>
  <c r="F96" s="1"/>
  <c r="E96" s="1"/>
  <c r="D96" s="1"/>
  <c r="C96" s="1"/>
  <c r="N25"/>
  <c r="O25" s="1"/>
  <c r="L97" i="250"/>
  <c r="K97" s="1"/>
  <c r="J97" s="1"/>
  <c r="I97" s="1"/>
  <c r="H97" s="1"/>
  <c r="G97" s="1"/>
  <c r="F97" s="1"/>
  <c r="E97" s="1"/>
  <c r="D97" s="1"/>
  <c r="C97" s="1"/>
  <c r="N26"/>
  <c r="O26" s="1"/>
  <c r="L100" i="245"/>
  <c r="K100" s="1"/>
  <c r="J100" s="1"/>
  <c r="I100" s="1"/>
  <c r="H100" s="1"/>
  <c r="G100" s="1"/>
  <c r="F100" s="1"/>
  <c r="E100" s="1"/>
  <c r="D100" s="1"/>
  <c r="C100" s="1"/>
  <c r="N25"/>
  <c r="O25" s="1"/>
  <c r="L101" i="244"/>
  <c r="K101" s="1"/>
  <c r="J101" s="1"/>
  <c r="I101" s="1"/>
  <c r="H101" s="1"/>
  <c r="G101" s="1"/>
  <c r="F101" s="1"/>
  <c r="E101" s="1"/>
  <c r="D101" s="1"/>
  <c r="C101" s="1"/>
  <c r="N26"/>
  <c r="O26" s="1"/>
  <c r="L101" i="243"/>
  <c r="K101" s="1"/>
  <c r="J101" s="1"/>
  <c r="I101" s="1"/>
  <c r="H101" s="1"/>
  <c r="G101" s="1"/>
  <c r="F101" s="1"/>
  <c r="E101" s="1"/>
  <c r="D101" s="1"/>
  <c r="C101" s="1"/>
  <c r="N26"/>
  <c r="O26" s="1"/>
  <c r="G5" i="273" l="1"/>
  <c r="H39"/>
  <c r="H36"/>
  <c r="H34"/>
  <c r="H29" i="303"/>
  <c r="D62" i="424"/>
  <c r="L100" i="243"/>
  <c r="K100" s="1"/>
  <c r="J100" s="1"/>
  <c r="I100" s="1"/>
  <c r="H100" s="1"/>
  <c r="G100" s="1"/>
  <c r="F100" s="1"/>
  <c r="E100" s="1"/>
  <c r="D100" s="1"/>
  <c r="C100" s="1"/>
  <c r="N25"/>
  <c r="O25" s="1"/>
  <c r="L100" i="244"/>
  <c r="K100" s="1"/>
  <c r="J100" s="1"/>
  <c r="I100" s="1"/>
  <c r="H100" s="1"/>
  <c r="G100" s="1"/>
  <c r="F100" s="1"/>
  <c r="E100" s="1"/>
  <c r="D100" s="1"/>
  <c r="C100" s="1"/>
  <c r="N25"/>
  <c r="O25" s="1"/>
  <c r="L99" i="245"/>
  <c r="K99" s="1"/>
  <c r="J99" s="1"/>
  <c r="I99" s="1"/>
  <c r="H99" s="1"/>
  <c r="G99" s="1"/>
  <c r="F99" s="1"/>
  <c r="E99" s="1"/>
  <c r="D99" s="1"/>
  <c r="C99" s="1"/>
  <c r="N24"/>
  <c r="L96" i="250"/>
  <c r="K96" s="1"/>
  <c r="J96" s="1"/>
  <c r="I96" s="1"/>
  <c r="H96" s="1"/>
  <c r="G96" s="1"/>
  <c r="F96" s="1"/>
  <c r="E96" s="1"/>
  <c r="D96" s="1"/>
  <c r="C96" s="1"/>
  <c r="N25"/>
  <c r="O25" s="1"/>
  <c r="L95" i="251"/>
  <c r="K95" s="1"/>
  <c r="J95" s="1"/>
  <c r="I95" s="1"/>
  <c r="H95" s="1"/>
  <c r="G95" s="1"/>
  <c r="F95" s="1"/>
  <c r="E95" s="1"/>
  <c r="D95" s="1"/>
  <c r="C95" s="1"/>
  <c r="N24"/>
  <c r="L95" i="252"/>
  <c r="K95" s="1"/>
  <c r="J95" s="1"/>
  <c r="I95" s="1"/>
  <c r="H95" s="1"/>
  <c r="G95" s="1"/>
  <c r="F95" s="1"/>
  <c r="E95" s="1"/>
  <c r="D95" s="1"/>
  <c r="C95" s="1"/>
  <c r="N24"/>
  <c r="N36" l="1"/>
  <c r="N36" i="251"/>
  <c r="N38" i="245"/>
  <c r="F5" i="273"/>
  <c r="G39"/>
  <c r="G36"/>
  <c r="G34"/>
  <c r="G29" i="303"/>
  <c r="D63" i="424"/>
  <c r="O24" i="252"/>
  <c r="L94"/>
  <c r="K94" s="1"/>
  <c r="J94" s="1"/>
  <c r="I94" s="1"/>
  <c r="H94" s="1"/>
  <c r="G94" s="1"/>
  <c r="F94" s="1"/>
  <c r="E94" s="1"/>
  <c r="D94" s="1"/>
  <c r="C94" s="1"/>
  <c r="N23"/>
  <c r="O23" s="1"/>
  <c r="O24" i="251"/>
  <c r="L94"/>
  <c r="K94" s="1"/>
  <c r="J94" s="1"/>
  <c r="I94" s="1"/>
  <c r="H94" s="1"/>
  <c r="G94" s="1"/>
  <c r="F94" s="1"/>
  <c r="E94" s="1"/>
  <c r="D94" s="1"/>
  <c r="C94" s="1"/>
  <c r="N23"/>
  <c r="O23" s="1"/>
  <c r="L95" i="250"/>
  <c r="K95" s="1"/>
  <c r="J95" s="1"/>
  <c r="I95" s="1"/>
  <c r="H95" s="1"/>
  <c r="G95" s="1"/>
  <c r="F95" s="1"/>
  <c r="E95" s="1"/>
  <c r="D95" s="1"/>
  <c r="C95" s="1"/>
  <c r="N24"/>
  <c r="O24" i="245"/>
  <c r="L98"/>
  <c r="K98" s="1"/>
  <c r="J98" s="1"/>
  <c r="I98" s="1"/>
  <c r="H98" s="1"/>
  <c r="G98" s="1"/>
  <c r="F98" s="1"/>
  <c r="E98" s="1"/>
  <c r="D98" s="1"/>
  <c r="C98" s="1"/>
  <c r="N23"/>
  <c r="O23" s="1"/>
  <c r="L99" i="244"/>
  <c r="K99" s="1"/>
  <c r="J99" s="1"/>
  <c r="I99" s="1"/>
  <c r="H99" s="1"/>
  <c r="G99" s="1"/>
  <c r="F99" s="1"/>
  <c r="E99" s="1"/>
  <c r="D99" s="1"/>
  <c r="C99" s="1"/>
  <c r="N24"/>
  <c r="L99" i="243"/>
  <c r="K99" s="1"/>
  <c r="J99" s="1"/>
  <c r="I99" s="1"/>
  <c r="H99" s="1"/>
  <c r="G99" s="1"/>
  <c r="F99" s="1"/>
  <c r="E99" s="1"/>
  <c r="D99" s="1"/>
  <c r="C99" s="1"/>
  <c r="N24"/>
  <c r="N36" i="250" l="1"/>
  <c r="O36" i="251"/>
  <c r="N38" i="243"/>
  <c r="N37"/>
  <c r="N38" i="244"/>
  <c r="N37"/>
  <c r="O38" i="245"/>
  <c r="O36" i="252"/>
  <c r="E5" i="273"/>
  <c r="F36"/>
  <c r="F39"/>
  <c r="F34"/>
  <c r="F29" i="303"/>
  <c r="D64" i="424"/>
  <c r="O24" i="243"/>
  <c r="L98"/>
  <c r="K98" s="1"/>
  <c r="J98" s="1"/>
  <c r="I98" s="1"/>
  <c r="H98" s="1"/>
  <c r="G98" s="1"/>
  <c r="F98" s="1"/>
  <c r="E98" s="1"/>
  <c r="D98" s="1"/>
  <c r="C98" s="1"/>
  <c r="N23"/>
  <c r="O23" s="1"/>
  <c r="O24" i="244"/>
  <c r="L98"/>
  <c r="K98" s="1"/>
  <c r="J98" s="1"/>
  <c r="I98" s="1"/>
  <c r="H98" s="1"/>
  <c r="G98" s="1"/>
  <c r="F98" s="1"/>
  <c r="E98" s="1"/>
  <c r="D98" s="1"/>
  <c r="C98" s="1"/>
  <c r="N23"/>
  <c r="O23" s="1"/>
  <c r="L97" i="245"/>
  <c r="K97" s="1"/>
  <c r="J97" s="1"/>
  <c r="I97" s="1"/>
  <c r="H97" s="1"/>
  <c r="G97" s="1"/>
  <c r="F97" s="1"/>
  <c r="E97" s="1"/>
  <c r="D97" s="1"/>
  <c r="C97" s="1"/>
  <c r="N22"/>
  <c r="O22" s="1"/>
  <c r="O24" i="250"/>
  <c r="L94"/>
  <c r="K94" s="1"/>
  <c r="J94" s="1"/>
  <c r="I94" s="1"/>
  <c r="H94" s="1"/>
  <c r="G94" s="1"/>
  <c r="F94" s="1"/>
  <c r="E94" s="1"/>
  <c r="D94" s="1"/>
  <c r="C94" s="1"/>
  <c r="N23"/>
  <c r="O23" s="1"/>
  <c r="L93" i="251"/>
  <c r="K93" s="1"/>
  <c r="J93" s="1"/>
  <c r="I93" s="1"/>
  <c r="H93" s="1"/>
  <c r="G93" s="1"/>
  <c r="F93" s="1"/>
  <c r="E93" s="1"/>
  <c r="D93" s="1"/>
  <c r="C93" s="1"/>
  <c r="N22"/>
  <c r="O22" s="1"/>
  <c r="L93" i="252"/>
  <c r="K93" s="1"/>
  <c r="J93" s="1"/>
  <c r="I93" s="1"/>
  <c r="H93" s="1"/>
  <c r="G93" s="1"/>
  <c r="F93" s="1"/>
  <c r="E93" s="1"/>
  <c r="D93" s="1"/>
  <c r="C93" s="1"/>
  <c r="N22"/>
  <c r="O22" s="1"/>
  <c r="O38" i="244" l="1"/>
  <c r="O37"/>
  <c r="O36" i="250"/>
  <c r="O38" i="243"/>
  <c r="O37"/>
  <c r="D5" i="273"/>
  <c r="E36"/>
  <c r="E39"/>
  <c r="E34"/>
  <c r="E29" i="303"/>
  <c r="D65" i="424"/>
  <c r="L92" i="252"/>
  <c r="K92" s="1"/>
  <c r="J92" s="1"/>
  <c r="I92" s="1"/>
  <c r="H92" s="1"/>
  <c r="G92" s="1"/>
  <c r="F92" s="1"/>
  <c r="E92" s="1"/>
  <c r="D92" s="1"/>
  <c r="C92" s="1"/>
  <c r="N21"/>
  <c r="O21" s="1"/>
  <c r="L92" i="251"/>
  <c r="K92" s="1"/>
  <c r="J92" s="1"/>
  <c r="I92" s="1"/>
  <c r="H92" s="1"/>
  <c r="G92" s="1"/>
  <c r="F92" s="1"/>
  <c r="E92" s="1"/>
  <c r="D92" s="1"/>
  <c r="C92" s="1"/>
  <c r="N21"/>
  <c r="O21" s="1"/>
  <c r="L93" i="250"/>
  <c r="K93" s="1"/>
  <c r="J93" s="1"/>
  <c r="I93" s="1"/>
  <c r="H93" s="1"/>
  <c r="G93" s="1"/>
  <c r="F93" s="1"/>
  <c r="E93" s="1"/>
  <c r="D93" s="1"/>
  <c r="C93" s="1"/>
  <c r="N22"/>
  <c r="O22" s="1"/>
  <c r="L96" i="245"/>
  <c r="K96" s="1"/>
  <c r="J96" s="1"/>
  <c r="I96" s="1"/>
  <c r="H96" s="1"/>
  <c r="G96" s="1"/>
  <c r="F96" s="1"/>
  <c r="E96" s="1"/>
  <c r="D96" s="1"/>
  <c r="C96" s="1"/>
  <c r="N21"/>
  <c r="O21" s="1"/>
  <c r="L97" i="244"/>
  <c r="K97" s="1"/>
  <c r="J97" s="1"/>
  <c r="I97" s="1"/>
  <c r="H97" s="1"/>
  <c r="G97" s="1"/>
  <c r="F97" s="1"/>
  <c r="E97" s="1"/>
  <c r="D97" s="1"/>
  <c r="C97" s="1"/>
  <c r="N22"/>
  <c r="O22" s="1"/>
  <c r="L97" i="243"/>
  <c r="K97" s="1"/>
  <c r="J97" s="1"/>
  <c r="I97" s="1"/>
  <c r="H97" s="1"/>
  <c r="G97" s="1"/>
  <c r="F97" s="1"/>
  <c r="E97" s="1"/>
  <c r="D97" s="1"/>
  <c r="C97" s="1"/>
  <c r="N22"/>
  <c r="O22" s="1"/>
  <c r="C5" i="273" l="1"/>
  <c r="D36"/>
  <c r="D39"/>
  <c r="D34"/>
  <c r="D29" i="303"/>
  <c r="D66" i="424"/>
  <c r="L96" i="243"/>
  <c r="K96" s="1"/>
  <c r="J96" s="1"/>
  <c r="I96" s="1"/>
  <c r="H96" s="1"/>
  <c r="G96" s="1"/>
  <c r="F96" s="1"/>
  <c r="E96" s="1"/>
  <c r="D96" s="1"/>
  <c r="C96" s="1"/>
  <c r="N21"/>
  <c r="O21" s="1"/>
  <c r="L96" i="244"/>
  <c r="K96" s="1"/>
  <c r="J96" s="1"/>
  <c r="I96" s="1"/>
  <c r="H96" s="1"/>
  <c r="G96" s="1"/>
  <c r="F96" s="1"/>
  <c r="E96" s="1"/>
  <c r="D96" s="1"/>
  <c r="C96" s="1"/>
  <c r="N21"/>
  <c r="O21" s="1"/>
  <c r="L95" i="245"/>
  <c r="K95" s="1"/>
  <c r="J95" s="1"/>
  <c r="I95" s="1"/>
  <c r="H95" s="1"/>
  <c r="G95" s="1"/>
  <c r="F95" s="1"/>
  <c r="E95" s="1"/>
  <c r="D95" s="1"/>
  <c r="C95" s="1"/>
  <c r="N20"/>
  <c r="O20" s="1"/>
  <c r="L92" i="250"/>
  <c r="K92" s="1"/>
  <c r="J92" s="1"/>
  <c r="I92" s="1"/>
  <c r="H92" s="1"/>
  <c r="G92" s="1"/>
  <c r="F92" s="1"/>
  <c r="E92" s="1"/>
  <c r="D92" s="1"/>
  <c r="C92" s="1"/>
  <c r="N21"/>
  <c r="O21" s="1"/>
  <c r="L91" i="251"/>
  <c r="K91" s="1"/>
  <c r="J91" s="1"/>
  <c r="I91" s="1"/>
  <c r="H91" s="1"/>
  <c r="G91" s="1"/>
  <c r="F91" s="1"/>
  <c r="E91" s="1"/>
  <c r="D91" s="1"/>
  <c r="C91" s="1"/>
  <c r="N20"/>
  <c r="O20" s="1"/>
  <c r="L91" i="252"/>
  <c r="K91" s="1"/>
  <c r="J91" s="1"/>
  <c r="I91" s="1"/>
  <c r="H91" s="1"/>
  <c r="G91" s="1"/>
  <c r="F91" s="1"/>
  <c r="E91" s="1"/>
  <c r="D91" s="1"/>
  <c r="C91" s="1"/>
  <c r="N20"/>
  <c r="O20" s="1"/>
  <c r="C34" i="273" l="1"/>
  <c r="C36"/>
  <c r="C39"/>
  <c r="C29" i="303"/>
  <c r="D67" i="424"/>
  <c r="L90" i="252"/>
  <c r="K90" s="1"/>
  <c r="J90" s="1"/>
  <c r="I90" s="1"/>
  <c r="H90" s="1"/>
  <c r="G90" s="1"/>
  <c r="F90" s="1"/>
  <c r="E90" s="1"/>
  <c r="D90" s="1"/>
  <c r="C90" s="1"/>
  <c r="N19"/>
  <c r="O19" s="1"/>
  <c r="L90" i="251"/>
  <c r="K90" s="1"/>
  <c r="J90" s="1"/>
  <c r="I90" s="1"/>
  <c r="H90" s="1"/>
  <c r="G90" s="1"/>
  <c r="F90" s="1"/>
  <c r="E90" s="1"/>
  <c r="D90" s="1"/>
  <c r="C90" s="1"/>
  <c r="N19"/>
  <c r="O19" s="1"/>
  <c r="L91" i="250"/>
  <c r="K91" s="1"/>
  <c r="J91" s="1"/>
  <c r="I91" s="1"/>
  <c r="H91" s="1"/>
  <c r="G91" s="1"/>
  <c r="F91" s="1"/>
  <c r="E91" s="1"/>
  <c r="D91" s="1"/>
  <c r="C91" s="1"/>
  <c r="N20"/>
  <c r="O20" s="1"/>
  <c r="L94" i="245"/>
  <c r="K94" s="1"/>
  <c r="J94" s="1"/>
  <c r="I94" s="1"/>
  <c r="H94" s="1"/>
  <c r="G94" s="1"/>
  <c r="F94" s="1"/>
  <c r="E94" s="1"/>
  <c r="D94" s="1"/>
  <c r="C94" s="1"/>
  <c r="N19"/>
  <c r="O19" s="1"/>
  <c r="L95" i="244"/>
  <c r="K95" s="1"/>
  <c r="J95" s="1"/>
  <c r="I95" s="1"/>
  <c r="H95" s="1"/>
  <c r="G95" s="1"/>
  <c r="F95" s="1"/>
  <c r="E95" s="1"/>
  <c r="D95" s="1"/>
  <c r="C95" s="1"/>
  <c r="N20"/>
  <c r="O20" s="1"/>
  <c r="L95" i="243"/>
  <c r="K95" s="1"/>
  <c r="J95" s="1"/>
  <c r="I95" s="1"/>
  <c r="H95" s="1"/>
  <c r="G95" s="1"/>
  <c r="F95" s="1"/>
  <c r="E95" s="1"/>
  <c r="D95" s="1"/>
  <c r="C95" s="1"/>
  <c r="N20"/>
  <c r="O20" s="1"/>
  <c r="B29" i="303" l="1"/>
  <c r="D68" i="424"/>
  <c r="L94" i="243"/>
  <c r="K94" s="1"/>
  <c r="J94" s="1"/>
  <c r="I94" s="1"/>
  <c r="H94" s="1"/>
  <c r="G94" s="1"/>
  <c r="F94" s="1"/>
  <c r="E94" s="1"/>
  <c r="D94" s="1"/>
  <c r="C94" s="1"/>
  <c r="N19"/>
  <c r="O19" s="1"/>
  <c r="L94" i="244"/>
  <c r="K94" s="1"/>
  <c r="J94" s="1"/>
  <c r="I94" s="1"/>
  <c r="H94" s="1"/>
  <c r="G94" s="1"/>
  <c r="F94" s="1"/>
  <c r="E94" s="1"/>
  <c r="D94" s="1"/>
  <c r="C94" s="1"/>
  <c r="N19"/>
  <c r="O19" s="1"/>
  <c r="L93" i="245"/>
  <c r="K93" s="1"/>
  <c r="J93" s="1"/>
  <c r="I93" s="1"/>
  <c r="H93" s="1"/>
  <c r="G93" s="1"/>
  <c r="F93" s="1"/>
  <c r="E93" s="1"/>
  <c r="D93" s="1"/>
  <c r="C93" s="1"/>
  <c r="N18"/>
  <c r="O18" s="1"/>
  <c r="L90" i="250"/>
  <c r="K90" s="1"/>
  <c r="J90" s="1"/>
  <c r="I90" s="1"/>
  <c r="H90" s="1"/>
  <c r="G90" s="1"/>
  <c r="F90" s="1"/>
  <c r="E90" s="1"/>
  <c r="D90" s="1"/>
  <c r="C90" s="1"/>
  <c r="N19"/>
  <c r="O19" s="1"/>
  <c r="L89" i="251"/>
  <c r="K89" s="1"/>
  <c r="J89" s="1"/>
  <c r="I89" s="1"/>
  <c r="H89" s="1"/>
  <c r="G89" s="1"/>
  <c r="F89" s="1"/>
  <c r="E89" s="1"/>
  <c r="D89" s="1"/>
  <c r="C89" s="1"/>
  <c r="N18"/>
  <c r="O18" s="1"/>
  <c r="L89" i="252"/>
  <c r="K89" s="1"/>
  <c r="J89" s="1"/>
  <c r="I89" s="1"/>
  <c r="H89" s="1"/>
  <c r="G89" s="1"/>
  <c r="F89" s="1"/>
  <c r="E89" s="1"/>
  <c r="D89" s="1"/>
  <c r="C89" s="1"/>
  <c r="N18"/>
  <c r="O18" s="1"/>
  <c r="L28" i="303" l="1"/>
  <c r="K28" s="1"/>
  <c r="J28" s="1"/>
  <c r="I28" s="1"/>
  <c r="H28" s="1"/>
  <c r="G28" s="1"/>
  <c r="F28" s="1"/>
  <c r="E28" s="1"/>
  <c r="D28" s="1"/>
  <c r="C28" s="1"/>
  <c r="B28" s="1"/>
  <c r="L27" s="1"/>
  <c r="K27" s="1"/>
  <c r="J27" s="1"/>
  <c r="I27" s="1"/>
  <c r="H27" s="1"/>
  <c r="G27" s="1"/>
  <c r="F27" s="1"/>
  <c r="E27" s="1"/>
  <c r="D27" s="1"/>
  <c r="C27" s="1"/>
  <c r="B27" s="1"/>
  <c r="L26" s="1"/>
  <c r="K26" s="1"/>
  <c r="J26" s="1"/>
  <c r="I26" s="1"/>
  <c r="H26" s="1"/>
  <c r="G26" s="1"/>
  <c r="F26" s="1"/>
  <c r="E26" s="1"/>
  <c r="D26" s="1"/>
  <c r="C26" s="1"/>
  <c r="B26" s="1"/>
  <c r="L25" s="1"/>
  <c r="K25" s="1"/>
  <c r="J25" s="1"/>
  <c r="I25" s="1"/>
  <c r="H25" s="1"/>
  <c r="G25" s="1"/>
  <c r="F25" s="1"/>
  <c r="E25" s="1"/>
  <c r="D25" s="1"/>
  <c r="C25" s="1"/>
  <c r="B25" s="1"/>
  <c r="L24" s="1"/>
  <c r="K24" s="1"/>
  <c r="J24" s="1"/>
  <c r="I24" s="1"/>
  <c r="H24" s="1"/>
  <c r="G24" s="1"/>
  <c r="F24" s="1"/>
  <c r="E24" s="1"/>
  <c r="D24" s="1"/>
  <c r="C24" s="1"/>
  <c r="B24" s="1"/>
  <c r="L23" s="1"/>
  <c r="K23" s="1"/>
  <c r="D69" i="424"/>
  <c r="L88" i="252"/>
  <c r="K88" s="1"/>
  <c r="J88" s="1"/>
  <c r="I88" s="1"/>
  <c r="H88" s="1"/>
  <c r="G88" s="1"/>
  <c r="F88" s="1"/>
  <c r="E88" s="1"/>
  <c r="D88" s="1"/>
  <c r="C88" s="1"/>
  <c r="N17"/>
  <c r="O17" s="1"/>
  <c r="L88" i="251"/>
  <c r="K88" s="1"/>
  <c r="J88" s="1"/>
  <c r="I88" s="1"/>
  <c r="H88" s="1"/>
  <c r="G88" s="1"/>
  <c r="F88" s="1"/>
  <c r="E88" s="1"/>
  <c r="D88" s="1"/>
  <c r="C88" s="1"/>
  <c r="N17"/>
  <c r="O17" s="1"/>
  <c r="L89" i="250"/>
  <c r="K89" s="1"/>
  <c r="J89" s="1"/>
  <c r="I89" s="1"/>
  <c r="H89" s="1"/>
  <c r="G89" s="1"/>
  <c r="F89" s="1"/>
  <c r="E89" s="1"/>
  <c r="D89" s="1"/>
  <c r="C89" s="1"/>
  <c r="N18"/>
  <c r="O18" s="1"/>
  <c r="L92" i="245"/>
  <c r="K92" s="1"/>
  <c r="J92" s="1"/>
  <c r="I92" s="1"/>
  <c r="H92" s="1"/>
  <c r="G92" s="1"/>
  <c r="F92" s="1"/>
  <c r="E92" s="1"/>
  <c r="D92" s="1"/>
  <c r="C92" s="1"/>
  <c r="N17"/>
  <c r="O17" s="1"/>
  <c r="L93" i="244"/>
  <c r="K93" s="1"/>
  <c r="J93" s="1"/>
  <c r="I93" s="1"/>
  <c r="H93" s="1"/>
  <c r="G93" s="1"/>
  <c r="F93" s="1"/>
  <c r="E93" s="1"/>
  <c r="D93" s="1"/>
  <c r="C93" s="1"/>
  <c r="N18"/>
  <c r="O18" s="1"/>
  <c r="L93" i="243"/>
  <c r="K93" s="1"/>
  <c r="J93" s="1"/>
  <c r="I93" s="1"/>
  <c r="H93" s="1"/>
  <c r="G93" s="1"/>
  <c r="F93" s="1"/>
  <c r="E93" s="1"/>
  <c r="D93" s="1"/>
  <c r="C93" s="1"/>
  <c r="N18"/>
  <c r="O18" s="1"/>
  <c r="J23" i="303" l="1"/>
  <c r="K37"/>
  <c r="D70" i="424"/>
  <c r="L92" i="243"/>
  <c r="K92" s="1"/>
  <c r="J92" s="1"/>
  <c r="I92" s="1"/>
  <c r="H92" s="1"/>
  <c r="G92" s="1"/>
  <c r="F92" s="1"/>
  <c r="E92" s="1"/>
  <c r="D92" s="1"/>
  <c r="C92" s="1"/>
  <c r="N17"/>
  <c r="O17" s="1"/>
  <c r="L92" i="244"/>
  <c r="K92" s="1"/>
  <c r="J92" s="1"/>
  <c r="I92" s="1"/>
  <c r="H92" s="1"/>
  <c r="G92" s="1"/>
  <c r="F92" s="1"/>
  <c r="E92" s="1"/>
  <c r="D92" s="1"/>
  <c r="C92" s="1"/>
  <c r="N17"/>
  <c r="O17" s="1"/>
  <c r="L91" i="245"/>
  <c r="K91" s="1"/>
  <c r="J91" s="1"/>
  <c r="I91" s="1"/>
  <c r="H91" s="1"/>
  <c r="G91" s="1"/>
  <c r="F91" s="1"/>
  <c r="E91" s="1"/>
  <c r="D91" s="1"/>
  <c r="C91" s="1"/>
  <c r="N16"/>
  <c r="O16" s="1"/>
  <c r="L88" i="250"/>
  <c r="K88" s="1"/>
  <c r="J88" s="1"/>
  <c r="I88" s="1"/>
  <c r="H88" s="1"/>
  <c r="G88" s="1"/>
  <c r="F88" s="1"/>
  <c r="E88" s="1"/>
  <c r="D88" s="1"/>
  <c r="C88" s="1"/>
  <c r="N17"/>
  <c r="O17" s="1"/>
  <c r="L87" i="251"/>
  <c r="K87" s="1"/>
  <c r="J87" s="1"/>
  <c r="I87" s="1"/>
  <c r="H87" s="1"/>
  <c r="G87" s="1"/>
  <c r="F87" s="1"/>
  <c r="E87" s="1"/>
  <c r="D87" s="1"/>
  <c r="C87" s="1"/>
  <c r="N16"/>
  <c r="O16" s="1"/>
  <c r="L87" i="252"/>
  <c r="K87" s="1"/>
  <c r="J87" s="1"/>
  <c r="I87" s="1"/>
  <c r="H87" s="1"/>
  <c r="G87" s="1"/>
  <c r="F87" s="1"/>
  <c r="E87" s="1"/>
  <c r="D87" s="1"/>
  <c r="C87" s="1"/>
  <c r="N16"/>
  <c r="O16" s="1"/>
  <c r="I23" i="303" l="1"/>
  <c r="J37"/>
  <c r="D71" i="424"/>
  <c r="L86" i="252"/>
  <c r="K86" s="1"/>
  <c r="J86" s="1"/>
  <c r="I86" s="1"/>
  <c r="H86" s="1"/>
  <c r="G86" s="1"/>
  <c r="F86" s="1"/>
  <c r="E86" s="1"/>
  <c r="D86" s="1"/>
  <c r="C86" s="1"/>
  <c r="N15"/>
  <c r="O15" s="1"/>
  <c r="L86" i="251"/>
  <c r="K86" s="1"/>
  <c r="J86" s="1"/>
  <c r="I86" s="1"/>
  <c r="H86" s="1"/>
  <c r="G86" s="1"/>
  <c r="F86" s="1"/>
  <c r="E86" s="1"/>
  <c r="D86" s="1"/>
  <c r="C86" s="1"/>
  <c r="N15"/>
  <c r="O15" s="1"/>
  <c r="L87" i="250"/>
  <c r="K87" s="1"/>
  <c r="J87" s="1"/>
  <c r="I87" s="1"/>
  <c r="H87" s="1"/>
  <c r="G87" s="1"/>
  <c r="F87" s="1"/>
  <c r="E87" s="1"/>
  <c r="D87" s="1"/>
  <c r="C87" s="1"/>
  <c r="N16"/>
  <c r="O16" s="1"/>
  <c r="L90" i="245"/>
  <c r="K90" s="1"/>
  <c r="J90" s="1"/>
  <c r="I90" s="1"/>
  <c r="H90" s="1"/>
  <c r="G90" s="1"/>
  <c r="F90" s="1"/>
  <c r="E90" s="1"/>
  <c r="D90" s="1"/>
  <c r="C90" s="1"/>
  <c r="N15"/>
  <c r="O15" s="1"/>
  <c r="L91" i="244"/>
  <c r="K91" s="1"/>
  <c r="J91" s="1"/>
  <c r="I91" s="1"/>
  <c r="H91" s="1"/>
  <c r="G91" s="1"/>
  <c r="F91" s="1"/>
  <c r="E91" s="1"/>
  <c r="D91" s="1"/>
  <c r="C91" s="1"/>
  <c r="N16"/>
  <c r="O16" s="1"/>
  <c r="L91" i="243"/>
  <c r="K91" s="1"/>
  <c r="J91" s="1"/>
  <c r="I91" s="1"/>
  <c r="H91" s="1"/>
  <c r="G91" s="1"/>
  <c r="F91" s="1"/>
  <c r="E91" s="1"/>
  <c r="D91" s="1"/>
  <c r="C91" s="1"/>
  <c r="N16"/>
  <c r="O16" s="1"/>
  <c r="H23" i="303" l="1"/>
  <c r="I37"/>
  <c r="D72" i="424"/>
  <c r="L90" i="243"/>
  <c r="K90" s="1"/>
  <c r="J90" s="1"/>
  <c r="I90" s="1"/>
  <c r="H90" s="1"/>
  <c r="G90" s="1"/>
  <c r="F90" s="1"/>
  <c r="E90" s="1"/>
  <c r="D90" s="1"/>
  <c r="C90" s="1"/>
  <c r="N15"/>
  <c r="O15" s="1"/>
  <c r="L90" i="244"/>
  <c r="K90" s="1"/>
  <c r="J90" s="1"/>
  <c r="I90" s="1"/>
  <c r="H90" s="1"/>
  <c r="G90" s="1"/>
  <c r="F90" s="1"/>
  <c r="E90" s="1"/>
  <c r="D90" s="1"/>
  <c r="C90" s="1"/>
  <c r="N15"/>
  <c r="O15" s="1"/>
  <c r="L89" i="245"/>
  <c r="K89" s="1"/>
  <c r="J89" s="1"/>
  <c r="I89" s="1"/>
  <c r="H89" s="1"/>
  <c r="G89" s="1"/>
  <c r="F89" s="1"/>
  <c r="E89" s="1"/>
  <c r="D89" s="1"/>
  <c r="C89" s="1"/>
  <c r="N14"/>
  <c r="O14" s="1"/>
  <c r="L86" i="250"/>
  <c r="K86" s="1"/>
  <c r="J86" s="1"/>
  <c r="I86" s="1"/>
  <c r="H86" s="1"/>
  <c r="G86" s="1"/>
  <c r="F86" s="1"/>
  <c r="E86" s="1"/>
  <c r="D86" s="1"/>
  <c r="C86" s="1"/>
  <c r="N15"/>
  <c r="O15" s="1"/>
  <c r="L85" i="251"/>
  <c r="K85" s="1"/>
  <c r="J85" s="1"/>
  <c r="I85" s="1"/>
  <c r="H85" s="1"/>
  <c r="G85" s="1"/>
  <c r="F85" s="1"/>
  <c r="E85" s="1"/>
  <c r="D85" s="1"/>
  <c r="C85" s="1"/>
  <c r="N14"/>
  <c r="O14" s="1"/>
  <c r="L85" i="252"/>
  <c r="K85" s="1"/>
  <c r="J85" s="1"/>
  <c r="I85" s="1"/>
  <c r="H85" s="1"/>
  <c r="G85" s="1"/>
  <c r="F85" s="1"/>
  <c r="E85" s="1"/>
  <c r="D85" s="1"/>
  <c r="C85" s="1"/>
  <c r="N14"/>
  <c r="O14" s="1"/>
  <c r="G23" i="303" l="1"/>
  <c r="H37"/>
  <c r="D73" i="424"/>
  <c r="L84" i="252"/>
  <c r="K84" s="1"/>
  <c r="J84" s="1"/>
  <c r="I84" s="1"/>
  <c r="H84" s="1"/>
  <c r="G84" s="1"/>
  <c r="F84" s="1"/>
  <c r="E84" s="1"/>
  <c r="D84" s="1"/>
  <c r="C84" s="1"/>
  <c r="N13"/>
  <c r="L84" i="251"/>
  <c r="K84" s="1"/>
  <c r="J84" s="1"/>
  <c r="I84" s="1"/>
  <c r="H84" s="1"/>
  <c r="G84" s="1"/>
  <c r="F84" s="1"/>
  <c r="E84" s="1"/>
  <c r="D84" s="1"/>
  <c r="C84" s="1"/>
  <c r="N13"/>
  <c r="L85" i="250"/>
  <c r="K85" s="1"/>
  <c r="J85" s="1"/>
  <c r="I85" s="1"/>
  <c r="H85" s="1"/>
  <c r="G85" s="1"/>
  <c r="F85" s="1"/>
  <c r="E85" s="1"/>
  <c r="D85" s="1"/>
  <c r="C85" s="1"/>
  <c r="N14"/>
  <c r="O14" s="1"/>
  <c r="L88" i="245"/>
  <c r="K88" s="1"/>
  <c r="J88" s="1"/>
  <c r="I88" s="1"/>
  <c r="H88" s="1"/>
  <c r="G88" s="1"/>
  <c r="F88" s="1"/>
  <c r="E88" s="1"/>
  <c r="D88" s="1"/>
  <c r="C88" s="1"/>
  <c r="N13"/>
  <c r="L89" i="244"/>
  <c r="K89" s="1"/>
  <c r="J89" s="1"/>
  <c r="I89" s="1"/>
  <c r="H89" s="1"/>
  <c r="G89" s="1"/>
  <c r="F89" s="1"/>
  <c r="E89" s="1"/>
  <c r="D89" s="1"/>
  <c r="C89" s="1"/>
  <c r="N14"/>
  <c r="O14" s="1"/>
  <c r="L89" i="243"/>
  <c r="K89" s="1"/>
  <c r="J89" s="1"/>
  <c r="I89" s="1"/>
  <c r="H89" s="1"/>
  <c r="G89" s="1"/>
  <c r="F89" s="1"/>
  <c r="E89" s="1"/>
  <c r="D89" s="1"/>
  <c r="C89" s="1"/>
  <c r="N14"/>
  <c r="O14" s="1"/>
  <c r="N34" i="245" l="1"/>
  <c r="N34" i="251"/>
  <c r="N34" i="252"/>
  <c r="F23" i="303"/>
  <c r="G37"/>
  <c r="L88" i="243"/>
  <c r="K88" s="1"/>
  <c r="J88" s="1"/>
  <c r="I88" s="1"/>
  <c r="H88" s="1"/>
  <c r="G88" s="1"/>
  <c r="F88" s="1"/>
  <c r="E88" s="1"/>
  <c r="D88" s="1"/>
  <c r="C88" s="1"/>
  <c r="N13"/>
  <c r="L88" i="244"/>
  <c r="K88" s="1"/>
  <c r="J88" s="1"/>
  <c r="I88" s="1"/>
  <c r="H88" s="1"/>
  <c r="G88" s="1"/>
  <c r="F88" s="1"/>
  <c r="E88" s="1"/>
  <c r="D88" s="1"/>
  <c r="C88" s="1"/>
  <c r="N13"/>
  <c r="O13" i="245"/>
  <c r="L87"/>
  <c r="K87" s="1"/>
  <c r="J87" s="1"/>
  <c r="I87" s="1"/>
  <c r="H87" s="1"/>
  <c r="G87" s="1"/>
  <c r="F87" s="1"/>
  <c r="E87" s="1"/>
  <c r="D87" s="1"/>
  <c r="C87" s="1"/>
  <c r="N12"/>
  <c r="O12" s="1"/>
  <c r="L84" i="250"/>
  <c r="K84" s="1"/>
  <c r="J84" s="1"/>
  <c r="I84" s="1"/>
  <c r="H84" s="1"/>
  <c r="G84" s="1"/>
  <c r="F84" s="1"/>
  <c r="E84" s="1"/>
  <c r="D84" s="1"/>
  <c r="C84" s="1"/>
  <c r="N13"/>
  <c r="O13" i="251"/>
  <c r="L83"/>
  <c r="K83" s="1"/>
  <c r="J83" s="1"/>
  <c r="I83" s="1"/>
  <c r="H83" s="1"/>
  <c r="G83" s="1"/>
  <c r="F83" s="1"/>
  <c r="E83" s="1"/>
  <c r="D83" s="1"/>
  <c r="C83" s="1"/>
  <c r="N12"/>
  <c r="O12" s="1"/>
  <c r="O13" i="252"/>
  <c r="L83"/>
  <c r="K83" s="1"/>
  <c r="J83" s="1"/>
  <c r="I83" s="1"/>
  <c r="H83" s="1"/>
  <c r="G83" s="1"/>
  <c r="F83" s="1"/>
  <c r="E83" s="1"/>
  <c r="D83" s="1"/>
  <c r="C83" s="1"/>
  <c r="N12"/>
  <c r="O12" s="1"/>
  <c r="O34" l="1"/>
  <c r="N34" i="250"/>
  <c r="O34" i="245"/>
  <c r="O34" i="251"/>
  <c r="N34" i="244"/>
  <c r="N34" i="243"/>
  <c r="E23" i="303"/>
  <c r="F37"/>
  <c r="L82" i="252"/>
  <c r="K82" s="1"/>
  <c r="J82" s="1"/>
  <c r="I82" s="1"/>
  <c r="H82" s="1"/>
  <c r="G82" s="1"/>
  <c r="F82" s="1"/>
  <c r="E82" s="1"/>
  <c r="D82" s="1"/>
  <c r="C82" s="1"/>
  <c r="N11"/>
  <c r="O11" s="1"/>
  <c r="L82" i="251"/>
  <c r="K82" s="1"/>
  <c r="J82" s="1"/>
  <c r="I82" s="1"/>
  <c r="H82" s="1"/>
  <c r="G82" s="1"/>
  <c r="F82" s="1"/>
  <c r="E82" s="1"/>
  <c r="D82" s="1"/>
  <c r="C82" s="1"/>
  <c r="N11"/>
  <c r="O11" s="1"/>
  <c r="O13" i="250"/>
  <c r="L83"/>
  <c r="K83" s="1"/>
  <c r="J83" s="1"/>
  <c r="I83" s="1"/>
  <c r="H83" s="1"/>
  <c r="G83" s="1"/>
  <c r="F83" s="1"/>
  <c r="E83" s="1"/>
  <c r="D83" s="1"/>
  <c r="C83" s="1"/>
  <c r="N12"/>
  <c r="O12" s="1"/>
  <c r="L86" i="245"/>
  <c r="K86" s="1"/>
  <c r="J86" s="1"/>
  <c r="I86" s="1"/>
  <c r="H86" s="1"/>
  <c r="G86" s="1"/>
  <c r="F86" s="1"/>
  <c r="E86" s="1"/>
  <c r="D86" s="1"/>
  <c r="C86" s="1"/>
  <c r="N11"/>
  <c r="O11" s="1"/>
  <c r="O13" i="244"/>
  <c r="L87"/>
  <c r="K87" s="1"/>
  <c r="J87" s="1"/>
  <c r="I87" s="1"/>
  <c r="H87" s="1"/>
  <c r="G87" s="1"/>
  <c r="F87" s="1"/>
  <c r="E87" s="1"/>
  <c r="D87" s="1"/>
  <c r="C87" s="1"/>
  <c r="N12"/>
  <c r="O12" s="1"/>
  <c r="O13" i="243"/>
  <c r="L87"/>
  <c r="K87" s="1"/>
  <c r="J87" s="1"/>
  <c r="I87" s="1"/>
  <c r="H87" s="1"/>
  <c r="G87" s="1"/>
  <c r="F87" s="1"/>
  <c r="E87" s="1"/>
  <c r="D87" s="1"/>
  <c r="C87" s="1"/>
  <c r="N12"/>
  <c r="O12" s="1"/>
  <c r="O34" l="1"/>
  <c r="O34" i="250"/>
  <c r="O34" i="244"/>
  <c r="D23" i="303"/>
  <c r="E37"/>
  <c r="L86" i="243"/>
  <c r="K86" s="1"/>
  <c r="J86" s="1"/>
  <c r="I86" s="1"/>
  <c r="H86" s="1"/>
  <c r="G86" s="1"/>
  <c r="F86" s="1"/>
  <c r="E86" s="1"/>
  <c r="D86" s="1"/>
  <c r="C86" s="1"/>
  <c r="N11"/>
  <c r="O11" s="1"/>
  <c r="L86" i="244"/>
  <c r="K86" s="1"/>
  <c r="J86" s="1"/>
  <c r="I86" s="1"/>
  <c r="H86" s="1"/>
  <c r="G86" s="1"/>
  <c r="F86" s="1"/>
  <c r="E86" s="1"/>
  <c r="D86" s="1"/>
  <c r="C86" s="1"/>
  <c r="N11"/>
  <c r="O11" s="1"/>
  <c r="L85" i="245"/>
  <c r="K85" s="1"/>
  <c r="J85" s="1"/>
  <c r="I85" s="1"/>
  <c r="H85" s="1"/>
  <c r="G85" s="1"/>
  <c r="F85" s="1"/>
  <c r="E85" s="1"/>
  <c r="D85" s="1"/>
  <c r="C85" s="1"/>
  <c r="N10"/>
  <c r="O10" s="1"/>
  <c r="L82" i="250"/>
  <c r="K82" s="1"/>
  <c r="J82" s="1"/>
  <c r="I82" s="1"/>
  <c r="H82" s="1"/>
  <c r="G82" s="1"/>
  <c r="F82" s="1"/>
  <c r="E82" s="1"/>
  <c r="D82" s="1"/>
  <c r="C82" s="1"/>
  <c r="N11"/>
  <c r="O11" s="1"/>
  <c r="L81" i="251"/>
  <c r="K81" s="1"/>
  <c r="J81" s="1"/>
  <c r="I81" s="1"/>
  <c r="H81" s="1"/>
  <c r="G81" s="1"/>
  <c r="F81" s="1"/>
  <c r="E81" s="1"/>
  <c r="D81" s="1"/>
  <c r="C81" s="1"/>
  <c r="N10"/>
  <c r="O10" s="1"/>
  <c r="L81" i="252"/>
  <c r="K81" s="1"/>
  <c r="J81" s="1"/>
  <c r="I81" s="1"/>
  <c r="H81" s="1"/>
  <c r="G81" s="1"/>
  <c r="F81" s="1"/>
  <c r="E81" s="1"/>
  <c r="D81" s="1"/>
  <c r="C81" s="1"/>
  <c r="N10"/>
  <c r="O10" s="1"/>
  <c r="C23" i="303" l="1"/>
  <c r="D37"/>
  <c r="L80" i="252"/>
  <c r="K80" s="1"/>
  <c r="J80" s="1"/>
  <c r="I80" s="1"/>
  <c r="H80" s="1"/>
  <c r="G80" s="1"/>
  <c r="F80" s="1"/>
  <c r="E80" s="1"/>
  <c r="D80" s="1"/>
  <c r="C80" s="1"/>
  <c r="N9"/>
  <c r="O9" s="1"/>
  <c r="L80" i="251"/>
  <c r="K80" s="1"/>
  <c r="J80" s="1"/>
  <c r="I80" s="1"/>
  <c r="H80" s="1"/>
  <c r="G80" s="1"/>
  <c r="F80" s="1"/>
  <c r="E80" s="1"/>
  <c r="D80" s="1"/>
  <c r="C80" s="1"/>
  <c r="N9"/>
  <c r="O9" s="1"/>
  <c r="L81" i="250"/>
  <c r="K81" s="1"/>
  <c r="J81" s="1"/>
  <c r="I81" s="1"/>
  <c r="H81" s="1"/>
  <c r="G81" s="1"/>
  <c r="F81" s="1"/>
  <c r="E81" s="1"/>
  <c r="D81" s="1"/>
  <c r="C81" s="1"/>
  <c r="N10"/>
  <c r="O10" s="1"/>
  <c r="L84" i="245"/>
  <c r="K84" s="1"/>
  <c r="J84" s="1"/>
  <c r="I84" s="1"/>
  <c r="H84" s="1"/>
  <c r="G84" s="1"/>
  <c r="F84" s="1"/>
  <c r="E84" s="1"/>
  <c r="D84" s="1"/>
  <c r="C84" s="1"/>
  <c r="N9"/>
  <c r="O9" s="1"/>
  <c r="L85" i="244"/>
  <c r="K85" s="1"/>
  <c r="J85" s="1"/>
  <c r="I85" s="1"/>
  <c r="H85" s="1"/>
  <c r="G85" s="1"/>
  <c r="F85" s="1"/>
  <c r="E85" s="1"/>
  <c r="D85" s="1"/>
  <c r="C85" s="1"/>
  <c r="N10"/>
  <c r="O10" s="1"/>
  <c r="L85" i="243"/>
  <c r="K85" s="1"/>
  <c r="J85" s="1"/>
  <c r="I85" s="1"/>
  <c r="H85" s="1"/>
  <c r="G85" s="1"/>
  <c r="F85" s="1"/>
  <c r="E85" s="1"/>
  <c r="D85" s="1"/>
  <c r="C85" s="1"/>
  <c r="N10"/>
  <c r="O10" s="1"/>
  <c r="B23" i="303" l="1"/>
  <c r="B37" s="1"/>
  <c r="C37"/>
  <c r="L84" i="243"/>
  <c r="K84" s="1"/>
  <c r="J84" s="1"/>
  <c r="I84" s="1"/>
  <c r="H84" s="1"/>
  <c r="G84" s="1"/>
  <c r="F84" s="1"/>
  <c r="E84" s="1"/>
  <c r="D84" s="1"/>
  <c r="C84" s="1"/>
  <c r="N9"/>
  <c r="O9" s="1"/>
  <c r="L84" i="244"/>
  <c r="K84" s="1"/>
  <c r="J84" s="1"/>
  <c r="I84" s="1"/>
  <c r="H84" s="1"/>
  <c r="G84" s="1"/>
  <c r="F84" s="1"/>
  <c r="E84" s="1"/>
  <c r="D84" s="1"/>
  <c r="C84" s="1"/>
  <c r="N9"/>
  <c r="O9" s="1"/>
  <c r="L83" i="245"/>
  <c r="K83" s="1"/>
  <c r="J83" s="1"/>
  <c r="I83" s="1"/>
  <c r="H83" s="1"/>
  <c r="G83" s="1"/>
  <c r="F83" s="1"/>
  <c r="E83" s="1"/>
  <c r="D83" s="1"/>
  <c r="C83" s="1"/>
  <c r="N8"/>
  <c r="O8" s="1"/>
  <c r="L80" i="250"/>
  <c r="K80" s="1"/>
  <c r="J80" s="1"/>
  <c r="I80" s="1"/>
  <c r="H80" s="1"/>
  <c r="G80" s="1"/>
  <c r="F80" s="1"/>
  <c r="E80" s="1"/>
  <c r="D80" s="1"/>
  <c r="C80" s="1"/>
  <c r="N9"/>
  <c r="O9" s="1"/>
  <c r="L79" i="251"/>
  <c r="K79" s="1"/>
  <c r="J79" s="1"/>
  <c r="I79" s="1"/>
  <c r="H79" s="1"/>
  <c r="G79" s="1"/>
  <c r="F79" s="1"/>
  <c r="E79" s="1"/>
  <c r="D79" s="1"/>
  <c r="C79" s="1"/>
  <c r="N8"/>
  <c r="O8" s="1"/>
  <c r="L79" i="252"/>
  <c r="K79" s="1"/>
  <c r="J79" s="1"/>
  <c r="I79" s="1"/>
  <c r="H79" s="1"/>
  <c r="G79" s="1"/>
  <c r="F79" s="1"/>
  <c r="E79" s="1"/>
  <c r="D79" s="1"/>
  <c r="C79" s="1"/>
  <c r="N8"/>
  <c r="O8" s="1"/>
  <c r="L22" i="303" l="1"/>
  <c r="K22" s="1"/>
  <c r="J22" s="1"/>
  <c r="I22" s="1"/>
  <c r="H22" s="1"/>
  <c r="G22" s="1"/>
  <c r="F22" s="1"/>
  <c r="E22" s="1"/>
  <c r="D22" s="1"/>
  <c r="C22" s="1"/>
  <c r="B22" s="1"/>
  <c r="L21" s="1"/>
  <c r="K21" s="1"/>
  <c r="J21" s="1"/>
  <c r="I21" s="1"/>
  <c r="H21" s="1"/>
  <c r="G21" s="1"/>
  <c r="F21" s="1"/>
  <c r="E21" s="1"/>
  <c r="D21" s="1"/>
  <c r="C21" s="1"/>
  <c r="B21" s="1"/>
  <c r="L20" s="1"/>
  <c r="K20" s="1"/>
  <c r="J20" s="1"/>
  <c r="I20" s="1"/>
  <c r="H20" s="1"/>
  <c r="G20" s="1"/>
  <c r="F20" s="1"/>
  <c r="E20" s="1"/>
  <c r="D20" s="1"/>
  <c r="C20" s="1"/>
  <c r="B20" s="1"/>
  <c r="L19" s="1"/>
  <c r="K19" s="1"/>
  <c r="J19" s="1"/>
  <c r="I19" s="1"/>
  <c r="H19" s="1"/>
  <c r="G19" s="1"/>
  <c r="F19" s="1"/>
  <c r="E19" s="1"/>
  <c r="D19" s="1"/>
  <c r="C19" s="1"/>
  <c r="B19" s="1"/>
  <c r="L18" s="1"/>
  <c r="K18" s="1"/>
  <c r="J18" s="1"/>
  <c r="I18" s="1"/>
  <c r="H18" s="1"/>
  <c r="G18" s="1"/>
  <c r="F18" s="1"/>
  <c r="E18" s="1"/>
  <c r="D18" s="1"/>
  <c r="C18" s="1"/>
  <c r="B18" s="1"/>
  <c r="L17" s="1"/>
  <c r="K17" s="1"/>
  <c r="J17" s="1"/>
  <c r="I17" s="1"/>
  <c r="H17" s="1"/>
  <c r="G17" s="1"/>
  <c r="F17" s="1"/>
  <c r="E17" s="1"/>
  <c r="D17" s="1"/>
  <c r="C17" s="1"/>
  <c r="B17" s="1"/>
  <c r="L16" s="1"/>
  <c r="K16" s="1"/>
  <c r="J16" s="1"/>
  <c r="I16" s="1"/>
  <c r="H16" s="1"/>
  <c r="G16" s="1"/>
  <c r="F16" s="1"/>
  <c r="E16" s="1"/>
  <c r="D16" s="1"/>
  <c r="C16" s="1"/>
  <c r="B16" s="1"/>
  <c r="L15" s="1"/>
  <c r="K15" s="1"/>
  <c r="J15" s="1"/>
  <c r="I15" s="1"/>
  <c r="H15" s="1"/>
  <c r="G15" s="1"/>
  <c r="F15" s="1"/>
  <c r="E15" s="1"/>
  <c r="D15" s="1"/>
  <c r="C15" s="1"/>
  <c r="B15" s="1"/>
  <c r="L14" s="1"/>
  <c r="K14" s="1"/>
  <c r="J14" s="1"/>
  <c r="I14" s="1"/>
  <c r="H14" s="1"/>
  <c r="G14" s="1"/>
  <c r="F14" s="1"/>
  <c r="E14" s="1"/>
  <c r="D14" s="1"/>
  <c r="C14" s="1"/>
  <c r="B14" s="1"/>
  <c r="L13" s="1"/>
  <c r="K13" s="1"/>
  <c r="J13" s="1"/>
  <c r="I13" s="1"/>
  <c r="H13" s="1"/>
  <c r="G13" s="1"/>
  <c r="F13" s="1"/>
  <c r="E13" s="1"/>
  <c r="D13" s="1"/>
  <c r="C13" s="1"/>
  <c r="B13" s="1"/>
  <c r="L12" s="1"/>
  <c r="L78" i="252"/>
  <c r="K78" s="1"/>
  <c r="J78" s="1"/>
  <c r="I78" s="1"/>
  <c r="H78" s="1"/>
  <c r="G78" s="1"/>
  <c r="F78" s="1"/>
  <c r="E78" s="1"/>
  <c r="D78" s="1"/>
  <c r="C78" s="1"/>
  <c r="N7"/>
  <c r="O7" s="1"/>
  <c r="L78" i="251"/>
  <c r="K78" s="1"/>
  <c r="J78" s="1"/>
  <c r="I78" s="1"/>
  <c r="H78" s="1"/>
  <c r="G78" s="1"/>
  <c r="F78" s="1"/>
  <c r="E78" s="1"/>
  <c r="D78" s="1"/>
  <c r="C78" s="1"/>
  <c r="N7"/>
  <c r="O7" s="1"/>
  <c r="L79" i="250"/>
  <c r="K79" s="1"/>
  <c r="J79" s="1"/>
  <c r="I79" s="1"/>
  <c r="H79" s="1"/>
  <c r="G79" s="1"/>
  <c r="F79" s="1"/>
  <c r="E79" s="1"/>
  <c r="D79" s="1"/>
  <c r="C79" s="1"/>
  <c r="N8"/>
  <c r="O8" s="1"/>
  <c r="L82" i="245"/>
  <c r="K82" s="1"/>
  <c r="J82" s="1"/>
  <c r="I82" s="1"/>
  <c r="H82" s="1"/>
  <c r="G82" s="1"/>
  <c r="F82" s="1"/>
  <c r="E82" s="1"/>
  <c r="D82" s="1"/>
  <c r="C82" s="1"/>
  <c r="N7"/>
  <c r="O7" s="1"/>
  <c r="L83" i="244"/>
  <c r="K83" s="1"/>
  <c r="J83" s="1"/>
  <c r="I83" s="1"/>
  <c r="H83" s="1"/>
  <c r="G83" s="1"/>
  <c r="F83" s="1"/>
  <c r="E83" s="1"/>
  <c r="D83" s="1"/>
  <c r="C83" s="1"/>
  <c r="N8"/>
  <c r="O8" s="1"/>
  <c r="L83" i="243"/>
  <c r="K83" s="1"/>
  <c r="J83" s="1"/>
  <c r="I83" s="1"/>
  <c r="H83" s="1"/>
  <c r="G83" s="1"/>
  <c r="F83" s="1"/>
  <c r="E83" s="1"/>
  <c r="D83" s="1"/>
  <c r="C83" s="1"/>
  <c r="N8"/>
  <c r="O8" s="1"/>
  <c r="K12" i="303" l="1"/>
  <c r="L82" i="243"/>
  <c r="K82" s="1"/>
  <c r="J82" s="1"/>
  <c r="I82" s="1"/>
  <c r="H82" s="1"/>
  <c r="G82" s="1"/>
  <c r="F82" s="1"/>
  <c r="E82" s="1"/>
  <c r="D82" s="1"/>
  <c r="C82" s="1"/>
  <c r="N7"/>
  <c r="O7" s="1"/>
  <c r="L82" i="244"/>
  <c r="K82" s="1"/>
  <c r="J82" s="1"/>
  <c r="I82" s="1"/>
  <c r="H82" s="1"/>
  <c r="G82" s="1"/>
  <c r="F82" s="1"/>
  <c r="E82" s="1"/>
  <c r="D82" s="1"/>
  <c r="C82" s="1"/>
  <c r="N7"/>
  <c r="O7" s="1"/>
  <c r="L81" i="245"/>
  <c r="K81" s="1"/>
  <c r="J81" s="1"/>
  <c r="I81" s="1"/>
  <c r="H81" s="1"/>
  <c r="G81" s="1"/>
  <c r="F81" s="1"/>
  <c r="E81" s="1"/>
  <c r="D81" s="1"/>
  <c r="C81" s="1"/>
  <c r="N5" s="1"/>
  <c r="N6"/>
  <c r="O6" s="1"/>
  <c r="L78" i="250"/>
  <c r="K78" s="1"/>
  <c r="J78" s="1"/>
  <c r="I78" s="1"/>
  <c r="H78" s="1"/>
  <c r="G78" s="1"/>
  <c r="F78" s="1"/>
  <c r="E78" s="1"/>
  <c r="D78" s="1"/>
  <c r="C78" s="1"/>
  <c r="N7"/>
  <c r="O7" s="1"/>
  <c r="L77" i="251"/>
  <c r="K77" s="1"/>
  <c r="J77" s="1"/>
  <c r="I77" s="1"/>
  <c r="H77" s="1"/>
  <c r="G77" s="1"/>
  <c r="F77" s="1"/>
  <c r="E77" s="1"/>
  <c r="D77" s="1"/>
  <c r="C77" s="1"/>
  <c r="N5" s="1"/>
  <c r="N6"/>
  <c r="O6" s="1"/>
  <c r="L77" i="252"/>
  <c r="K77" s="1"/>
  <c r="J77" s="1"/>
  <c r="I77" s="1"/>
  <c r="H77" s="1"/>
  <c r="G77" s="1"/>
  <c r="F77" s="1"/>
  <c r="E77" s="1"/>
  <c r="D77" s="1"/>
  <c r="C77" s="1"/>
  <c r="N5" s="1"/>
  <c r="N6"/>
  <c r="O6" s="1"/>
  <c r="O5" i="251" l="1"/>
  <c r="N35"/>
  <c r="N38"/>
  <c r="N33"/>
  <c r="N41" i="245"/>
  <c r="N36"/>
  <c r="N33"/>
  <c r="O5" i="252"/>
  <c r="N38"/>
  <c r="N35"/>
  <c r="N33"/>
  <c r="J12" i="303"/>
  <c r="L77" i="250"/>
  <c r="K77" s="1"/>
  <c r="J77" s="1"/>
  <c r="I77" s="1"/>
  <c r="H77" s="1"/>
  <c r="G77" s="1"/>
  <c r="F77" s="1"/>
  <c r="E77" s="1"/>
  <c r="D77" s="1"/>
  <c r="C77" s="1"/>
  <c r="N5" s="1"/>
  <c r="N6"/>
  <c r="O6" s="1"/>
  <c r="O5" i="245"/>
  <c r="L81" i="244"/>
  <c r="K81" s="1"/>
  <c r="J81" s="1"/>
  <c r="I81" s="1"/>
  <c r="H81" s="1"/>
  <c r="G81" s="1"/>
  <c r="F81" s="1"/>
  <c r="E81" s="1"/>
  <c r="D81" s="1"/>
  <c r="C81" s="1"/>
  <c r="N5" s="1"/>
  <c r="N6"/>
  <c r="O6" s="1"/>
  <c r="L81" i="243"/>
  <c r="K81" s="1"/>
  <c r="J81" s="1"/>
  <c r="I81" s="1"/>
  <c r="H81" s="1"/>
  <c r="G81" s="1"/>
  <c r="F81" s="1"/>
  <c r="E81" s="1"/>
  <c r="D81" s="1"/>
  <c r="C81" s="1"/>
  <c r="N5" s="1"/>
  <c r="N6"/>
  <c r="O6" s="1"/>
  <c r="N41" l="1"/>
  <c r="N36"/>
  <c r="N40"/>
  <c r="N35"/>
  <c r="N33"/>
  <c r="O41" i="245"/>
  <c r="O36"/>
  <c r="O33"/>
  <c r="N38" i="250"/>
  <c r="N35"/>
  <c r="N33"/>
  <c r="O35" i="251"/>
  <c r="O38"/>
  <c r="O33"/>
  <c r="N41" i="244"/>
  <c r="N36"/>
  <c r="N40"/>
  <c r="N35"/>
  <c r="N33"/>
  <c r="O38" i="252"/>
  <c r="O35"/>
  <c r="O33"/>
  <c r="I12" i="303"/>
  <c r="O5" i="243"/>
  <c r="O5" i="244"/>
  <c r="O5" i="250"/>
  <c r="O38" l="1"/>
  <c r="O35"/>
  <c r="O33"/>
  <c r="O41" i="243"/>
  <c r="O36"/>
  <c r="O40"/>
  <c r="O35"/>
  <c r="O33"/>
  <c r="O41" i="244"/>
  <c r="O36"/>
  <c r="O40"/>
  <c r="O35"/>
  <c r="O33"/>
  <c r="H12" i="303"/>
  <c r="G12" l="1"/>
  <c r="F12" l="1"/>
  <c r="E12" l="1"/>
  <c r="D12" l="1"/>
  <c r="C12" l="1"/>
  <c r="L34" i="8"/>
  <c r="K34"/>
  <c r="J34"/>
  <c r="I34"/>
  <c r="H34"/>
  <c r="G34"/>
  <c r="F34"/>
  <c r="E34"/>
  <c r="D34"/>
  <c r="C34"/>
  <c r="B34"/>
  <c r="L33"/>
  <c r="K33"/>
  <c r="J33"/>
  <c r="I33"/>
  <c r="H33"/>
  <c r="G33"/>
  <c r="F33"/>
  <c r="E33"/>
  <c r="D33"/>
  <c r="C33"/>
  <c r="B33"/>
  <c r="A214" i="302"/>
  <c r="A212"/>
  <c r="B12" i="303" l="1"/>
  <c r="B12" i="304" s="1"/>
  <c r="E7" i="353"/>
  <c r="E9" i="354"/>
  <c r="E8"/>
  <c r="E7"/>
  <c r="AA7" s="1"/>
  <c r="E6"/>
  <c r="E9" i="353"/>
  <c r="E9" i="342" s="1"/>
  <c r="E8" i="353"/>
  <c r="E8" i="342" s="1"/>
  <c r="E6" i="353"/>
  <c r="E6" i="342" s="1"/>
  <c r="M7" i="353"/>
  <c r="M7" i="342" s="1"/>
  <c r="M9" i="353"/>
  <c r="M9" i="342" s="1"/>
  <c r="N7" i="353"/>
  <c r="N7" i="342" s="1"/>
  <c r="N8" i="354"/>
  <c r="N6"/>
  <c r="N8" i="353"/>
  <c r="N8" i="342" s="1"/>
  <c r="O7" i="353"/>
  <c r="O7" i="342" s="1"/>
  <c r="P7" i="353"/>
  <c r="P7" i="354"/>
  <c r="AB7" s="1"/>
  <c r="P9" i="353"/>
  <c r="P8"/>
  <c r="P6"/>
  <c r="Q7"/>
  <c r="Q7" i="342" s="1"/>
  <c r="R7" i="353"/>
  <c r="R7" i="342" s="1"/>
  <c r="R7" i="354"/>
  <c r="R6" i="353"/>
  <c r="R6" i="342" s="1"/>
  <c r="S7" i="353"/>
  <c r="S7" i="342" s="1"/>
  <c r="T7" i="353"/>
  <c r="T7" i="342" s="1"/>
  <c r="T6" i="353"/>
  <c r="T6" i="342" s="1"/>
  <c r="U7" i="353"/>
  <c r="U7" i="342" s="1"/>
  <c r="V9" i="354"/>
  <c r="D6"/>
  <c r="AA6" s="1"/>
  <c r="F7" i="353"/>
  <c r="F7" i="342" s="1"/>
  <c r="G7" i="353"/>
  <c r="G7" i="342" s="1"/>
  <c r="H7" i="353"/>
  <c r="H7" i="342" s="1"/>
  <c r="I7" i="353"/>
  <c r="I7" i="342" s="1"/>
  <c r="J7" i="353"/>
  <c r="J7" i="342" s="1"/>
  <c r="K7" i="353"/>
  <c r="K7" i="342" s="1"/>
  <c r="L7" i="353"/>
  <c r="L7" i="342" s="1"/>
  <c r="P5" i="346"/>
  <c r="B6" i="31"/>
  <c r="P6" i="346"/>
  <c r="Q32" s="1"/>
  <c r="B7" i="31"/>
  <c r="P7" i="346"/>
  <c r="B8" i="31"/>
  <c r="P8" i="346"/>
  <c r="B9" i="31"/>
  <c r="P9" i="346"/>
  <c r="P10"/>
  <c r="P11"/>
  <c r="P12"/>
  <c r="P13"/>
  <c r="C12" i="304"/>
  <c r="D12"/>
  <c r="E12"/>
  <c r="F12"/>
  <c r="G12"/>
  <c r="H12"/>
  <c r="I12"/>
  <c r="J12"/>
  <c r="K12"/>
  <c r="L12"/>
  <c r="P14" i="346"/>
  <c r="B13" i="304"/>
  <c r="C13"/>
  <c r="D13"/>
  <c r="E13"/>
  <c r="F13"/>
  <c r="G13"/>
  <c r="H13"/>
  <c r="I13"/>
  <c r="J13"/>
  <c r="K13"/>
  <c r="L13"/>
  <c r="P15" i="346"/>
  <c r="B14" i="304"/>
  <c r="C14"/>
  <c r="D14"/>
  <c r="E14"/>
  <c r="F14"/>
  <c r="G14"/>
  <c r="H14"/>
  <c r="I14"/>
  <c r="J14"/>
  <c r="K14"/>
  <c r="L14"/>
  <c r="P16" i="346"/>
  <c r="B15" i="304"/>
  <c r="C15"/>
  <c r="D15"/>
  <c r="E15"/>
  <c r="F15"/>
  <c r="G15"/>
  <c r="H15"/>
  <c r="I15"/>
  <c r="J15"/>
  <c r="K15"/>
  <c r="L15"/>
  <c r="P17" i="346"/>
  <c r="B16" i="304"/>
  <c r="C16"/>
  <c r="D16"/>
  <c r="E16"/>
  <c r="F16"/>
  <c r="G16"/>
  <c r="H16"/>
  <c r="I16"/>
  <c r="J16"/>
  <c r="K16"/>
  <c r="L16"/>
  <c r="P18" i="346"/>
  <c r="B17" i="304"/>
  <c r="C17"/>
  <c r="D17"/>
  <c r="E17"/>
  <c r="F17"/>
  <c r="G17"/>
  <c r="H17"/>
  <c r="I17"/>
  <c r="J17"/>
  <c r="K17"/>
  <c r="L17"/>
  <c r="P19" i="346"/>
  <c r="B18" i="304"/>
  <c r="C18"/>
  <c r="D18"/>
  <c r="E18"/>
  <c r="F18"/>
  <c r="G18"/>
  <c r="H18"/>
  <c r="I18"/>
  <c r="J18"/>
  <c r="K18"/>
  <c r="L18"/>
  <c r="P20" i="346"/>
  <c r="B19" i="304"/>
  <c r="C19"/>
  <c r="D19"/>
  <c r="E19"/>
  <c r="F19"/>
  <c r="G19"/>
  <c r="H19"/>
  <c r="I19"/>
  <c r="J19"/>
  <c r="K19"/>
  <c r="L19"/>
  <c r="B20" i="34"/>
  <c r="B34" s="1"/>
  <c r="P21" i="346"/>
  <c r="B20" i="304"/>
  <c r="C20"/>
  <c r="D20"/>
  <c r="E20"/>
  <c r="F20"/>
  <c r="G20"/>
  <c r="H20"/>
  <c r="I20"/>
  <c r="J20"/>
  <c r="K20"/>
  <c r="L20"/>
  <c r="C20" i="34"/>
  <c r="D20"/>
  <c r="E20"/>
  <c r="F20"/>
  <c r="G20"/>
  <c r="H20"/>
  <c r="I20"/>
  <c r="J20"/>
  <c r="K20"/>
  <c r="L20"/>
  <c r="B21"/>
  <c r="P22" i="346"/>
  <c r="B21" i="304"/>
  <c r="C21"/>
  <c r="D21"/>
  <c r="E21"/>
  <c r="F21"/>
  <c r="G21"/>
  <c r="H21"/>
  <c r="I21"/>
  <c r="J21"/>
  <c r="K21"/>
  <c r="L21"/>
  <c r="C21" i="34"/>
  <c r="D21"/>
  <c r="E21"/>
  <c r="F21"/>
  <c r="G21"/>
  <c r="H21"/>
  <c r="I21"/>
  <c r="J21"/>
  <c r="K21"/>
  <c r="L21"/>
  <c r="B22"/>
  <c r="P23" i="346"/>
  <c r="B22" i="304"/>
  <c r="C22"/>
  <c r="D22"/>
  <c r="E22"/>
  <c r="F22"/>
  <c r="G22"/>
  <c r="H22"/>
  <c r="I22"/>
  <c r="J22"/>
  <c r="K22"/>
  <c r="L22"/>
  <c r="C22" i="34"/>
  <c r="D22"/>
  <c r="E22"/>
  <c r="F22"/>
  <c r="G22"/>
  <c r="H22"/>
  <c r="I22"/>
  <c r="J22"/>
  <c r="K22"/>
  <c r="L22"/>
  <c r="B23"/>
  <c r="P24" i="346"/>
  <c r="B23" i="304"/>
  <c r="B37" s="1"/>
  <c r="C23"/>
  <c r="C37" s="1"/>
  <c r="D23"/>
  <c r="D37" s="1"/>
  <c r="E23"/>
  <c r="E37" s="1"/>
  <c r="F23"/>
  <c r="F37" s="1"/>
  <c r="G23"/>
  <c r="G37" s="1"/>
  <c r="H23"/>
  <c r="H37" s="1"/>
  <c r="I23"/>
  <c r="I37" s="1"/>
  <c r="J23"/>
  <c r="J37" s="1"/>
  <c r="K23"/>
  <c r="K37" s="1"/>
  <c r="L23"/>
  <c r="L37" s="1"/>
  <c r="C23" i="34"/>
  <c r="D23"/>
  <c r="E23"/>
  <c r="F23"/>
  <c r="G23"/>
  <c r="H23"/>
  <c r="I23"/>
  <c r="J23"/>
  <c r="K23"/>
  <c r="L23"/>
  <c r="B24"/>
  <c r="P25" i="346"/>
  <c r="B24" i="304"/>
  <c r="C24"/>
  <c r="D24"/>
  <c r="E24"/>
  <c r="F24"/>
  <c r="G24"/>
  <c r="H24"/>
  <c r="I24"/>
  <c r="J24"/>
  <c r="K24"/>
  <c r="L24"/>
  <c r="C24" i="34"/>
  <c r="D24"/>
  <c r="E24"/>
  <c r="F24"/>
  <c r="G24"/>
  <c r="H24"/>
  <c r="I24"/>
  <c r="J24"/>
  <c r="K24"/>
  <c r="L24"/>
  <c r="P26" i="346"/>
  <c r="B25" i="34"/>
  <c r="B25" i="304"/>
  <c r="C25"/>
  <c r="D25"/>
  <c r="E25"/>
  <c r="F25"/>
  <c r="G25"/>
  <c r="H25"/>
  <c r="I25"/>
  <c r="J25"/>
  <c r="K25"/>
  <c r="L25"/>
  <c r="C25" i="34"/>
  <c r="D25"/>
  <c r="E25"/>
  <c r="F25"/>
  <c r="G25"/>
  <c r="H25"/>
  <c r="I25"/>
  <c r="J25"/>
  <c r="K25"/>
  <c r="L25"/>
  <c r="P27" i="346"/>
  <c r="B26" i="34"/>
  <c r="B26" i="304"/>
  <c r="C26"/>
  <c r="D26"/>
  <c r="E26"/>
  <c r="F26"/>
  <c r="G26"/>
  <c r="H26"/>
  <c r="I26"/>
  <c r="J26"/>
  <c r="K26"/>
  <c r="L26"/>
  <c r="C26" i="34"/>
  <c r="D26"/>
  <c r="E26"/>
  <c r="F26"/>
  <c r="G26"/>
  <c r="H26"/>
  <c r="I26"/>
  <c r="J26"/>
  <c r="K26"/>
  <c r="L26"/>
  <c r="P28" i="346"/>
  <c r="B27" i="34"/>
  <c r="B27" i="304"/>
  <c r="C27"/>
  <c r="D27"/>
  <c r="E27"/>
  <c r="F27"/>
  <c r="G27"/>
  <c r="H27"/>
  <c r="I27"/>
  <c r="J27"/>
  <c r="K27"/>
  <c r="L27"/>
  <c r="C27" i="34"/>
  <c r="D27"/>
  <c r="E27"/>
  <c r="F27"/>
  <c r="G27"/>
  <c r="H27"/>
  <c r="I27"/>
  <c r="J27"/>
  <c r="K27"/>
  <c r="L27"/>
  <c r="B28"/>
  <c r="B28" i="304"/>
  <c r="C28"/>
  <c r="D28"/>
  <c r="E28"/>
  <c r="F28"/>
  <c r="G28"/>
  <c r="H28"/>
  <c r="I28"/>
  <c r="J28"/>
  <c r="K28"/>
  <c r="L28"/>
  <c r="C28" i="34"/>
  <c r="D28"/>
  <c r="E28"/>
  <c r="F28"/>
  <c r="G28"/>
  <c r="H28"/>
  <c r="I28"/>
  <c r="J28"/>
  <c r="K28"/>
  <c r="L28"/>
  <c r="B29"/>
  <c r="B29" i="304"/>
  <c r="C29"/>
  <c r="D29"/>
  <c r="E29"/>
  <c r="F29"/>
  <c r="G29"/>
  <c r="H29"/>
  <c r="I29"/>
  <c r="J29"/>
  <c r="K29"/>
  <c r="L29"/>
  <c r="C29" i="34"/>
  <c r="D29"/>
  <c r="E29"/>
  <c r="F29"/>
  <c r="G29"/>
  <c r="H29"/>
  <c r="I29"/>
  <c r="J29"/>
  <c r="K29"/>
  <c r="L29"/>
  <c r="E30" i="304"/>
  <c r="F30"/>
  <c r="G30"/>
  <c r="H30"/>
  <c r="I30"/>
  <c r="J30"/>
  <c r="K30"/>
  <c r="B30"/>
  <c r="C30"/>
  <c r="D30"/>
  <c r="A211" i="302"/>
  <c r="A210"/>
  <c r="A209"/>
  <c r="A208"/>
  <c r="A207"/>
  <c r="A206"/>
  <c r="A204"/>
  <c r="A203"/>
  <c r="A202"/>
  <c r="A201"/>
  <c r="A200"/>
  <c r="A199"/>
  <c r="A198"/>
  <c r="A197"/>
  <c r="A196"/>
  <c r="A195"/>
  <c r="A194"/>
  <c r="A193"/>
  <c r="A192"/>
  <c r="A191"/>
  <c r="A190"/>
  <c r="A189"/>
  <c r="A188"/>
  <c r="A187"/>
  <c r="A186"/>
  <c r="A185"/>
  <c r="A174"/>
  <c r="A173"/>
  <c r="A172"/>
  <c r="A171"/>
  <c r="A170"/>
  <c r="A169"/>
  <c r="A168"/>
  <c r="A167"/>
  <c r="A166"/>
  <c r="A165"/>
  <c r="A164"/>
  <c r="A163"/>
  <c r="A162"/>
  <c r="A160"/>
  <c r="A159"/>
  <c r="A158"/>
  <c r="A157"/>
  <c r="A156"/>
  <c r="A155"/>
  <c r="A154"/>
  <c r="A153"/>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2"/>
  <c r="A41"/>
  <c r="A40"/>
  <c r="A39"/>
  <c r="A38"/>
  <c r="A37"/>
  <c r="A36"/>
  <c r="A35"/>
  <c r="A34"/>
  <c r="A33"/>
  <c r="A32"/>
  <c r="A31"/>
  <c r="A30"/>
  <c r="A29"/>
  <c r="A28"/>
  <c r="A27"/>
  <c r="A26"/>
  <c r="A25"/>
  <c r="A24"/>
  <c r="A23"/>
  <c r="A22"/>
  <c r="A19"/>
  <c r="A18"/>
  <c r="A14"/>
  <c r="A12"/>
  <c r="A11"/>
  <c r="A10"/>
  <c r="A9"/>
  <c r="A8"/>
  <c r="A7"/>
  <c r="A6"/>
  <c r="A5"/>
  <c r="A4"/>
  <c r="A3"/>
  <c r="B41" i="31" l="1"/>
  <c r="B44"/>
  <c r="B39"/>
  <c r="B45"/>
  <c r="B40"/>
  <c r="B38"/>
  <c r="E7" i="342"/>
  <c r="AA7" i="353"/>
  <c r="AD7"/>
  <c r="P6" i="342"/>
  <c r="AB6" s="1"/>
  <c r="AB6" i="353"/>
  <c r="P9" i="342"/>
  <c r="AB9" s="1"/>
  <c r="AB9" i="353"/>
  <c r="P7" i="342"/>
  <c r="AB7" s="1"/>
  <c r="AB7" i="353"/>
  <c r="P8" i="342"/>
  <c r="AB8" s="1"/>
  <c r="AB8" i="353"/>
  <c r="L42" i="34"/>
  <c r="Q31" i="346"/>
  <c r="Q30"/>
  <c r="L11" i="303"/>
  <c r="N6" i="353"/>
  <c r="N6" i="342" s="1"/>
  <c r="N9" i="353"/>
  <c r="N9" i="342" s="1"/>
  <c r="N7" i="354"/>
  <c r="N9"/>
  <c r="M6" i="353"/>
  <c r="M6" i="342" s="1"/>
  <c r="M7" i="354"/>
  <c r="M9"/>
  <c r="V6" i="353"/>
  <c r="V9"/>
  <c r="T7" i="354"/>
  <c r="R9" i="353"/>
  <c r="R9" i="342" s="1"/>
  <c r="R9" i="354"/>
  <c r="Q8" i="353"/>
  <c r="Q8" i="342" s="1"/>
  <c r="V7" i="353"/>
  <c r="V7" i="354"/>
  <c r="T9" i="353"/>
  <c r="T9" i="342" s="1"/>
  <c r="T9" i="354"/>
  <c r="S6" i="353"/>
  <c r="S6" i="342" s="1"/>
  <c r="P6" i="354"/>
  <c r="AB6" s="1"/>
  <c r="P8"/>
  <c r="O6" i="353"/>
  <c r="O6" i="342" s="1"/>
  <c r="K42" i="34"/>
  <c r="J42" s="1"/>
  <c r="I42" s="1"/>
  <c r="H42" s="1"/>
  <c r="G42" s="1"/>
  <c r="F42" s="1"/>
  <c r="E42" s="1"/>
  <c r="D42" s="1"/>
  <c r="C42" s="1"/>
  <c r="B42" s="1"/>
  <c r="L41" s="1"/>
  <c r="K41" s="1"/>
  <c r="J41" s="1"/>
  <c r="I41" s="1"/>
  <c r="H41" s="1"/>
  <c r="G41" s="1"/>
  <c r="F41" s="1"/>
  <c r="E41" s="1"/>
  <c r="D41" s="1"/>
  <c r="C41" s="1"/>
  <c r="B41" s="1"/>
  <c r="L40" s="1"/>
  <c r="K40" s="1"/>
  <c r="J40" s="1"/>
  <c r="I40" s="1"/>
  <c r="H40" s="1"/>
  <c r="G40" s="1"/>
  <c r="F40" s="1"/>
  <c r="E40" s="1"/>
  <c r="D40" s="1"/>
  <c r="C40" s="1"/>
  <c r="B40" s="1"/>
  <c r="L39" s="1"/>
  <c r="K39" s="1"/>
  <c r="J39" s="1"/>
  <c r="I39" s="1"/>
  <c r="H39" s="1"/>
  <c r="G39" s="1"/>
  <c r="F39" s="1"/>
  <c r="E39" s="1"/>
  <c r="D39" s="1"/>
  <c r="C39" s="1"/>
  <c r="B39" s="1"/>
  <c r="L38" s="1"/>
  <c r="K38" s="1"/>
  <c r="J38" s="1"/>
  <c r="I38" s="1"/>
  <c r="H38" s="1"/>
  <c r="G38" s="1"/>
  <c r="F38" s="1"/>
  <c r="E38" s="1"/>
  <c r="D38" s="1"/>
  <c r="C38" s="1"/>
  <c r="B38" s="1"/>
  <c r="L37" s="1"/>
  <c r="K37" s="1"/>
  <c r="J37" s="1"/>
  <c r="I37" s="1"/>
  <c r="H37" s="1"/>
  <c r="G37" s="1"/>
  <c r="F37" s="1"/>
  <c r="E37" s="1"/>
  <c r="D37" s="1"/>
  <c r="C37" s="1"/>
  <c r="B37" s="1"/>
  <c r="L36" s="1"/>
  <c r="K36" s="1"/>
  <c r="J36" s="1"/>
  <c r="I36" s="1"/>
  <c r="H36" s="1"/>
  <c r="G36" s="1"/>
  <c r="F36" s="1"/>
  <c r="E36" s="1"/>
  <c r="D36" s="1"/>
  <c r="C36" s="1"/>
  <c r="B36" s="1"/>
  <c r="L35" s="1"/>
  <c r="K35" s="1"/>
  <c r="J35" s="1"/>
  <c r="I35" s="1"/>
  <c r="H35" s="1"/>
  <c r="G35" s="1"/>
  <c r="F35" s="1"/>
  <c r="E35" s="1"/>
  <c r="D35" s="1"/>
  <c r="C35" s="1"/>
  <c r="B35" s="1"/>
  <c r="L34" s="1"/>
  <c r="K34" s="1"/>
  <c r="J34" s="1"/>
  <c r="I34" s="1"/>
  <c r="H34" s="1"/>
  <c r="G34" s="1"/>
  <c r="F34" s="1"/>
  <c r="E34" s="1"/>
  <c r="D34" s="1"/>
  <c r="C34" s="1"/>
  <c r="S7" i="354"/>
  <c r="Q6"/>
  <c r="O9" i="353"/>
  <c r="O9" i="342" s="1"/>
  <c r="V8" i="353"/>
  <c r="V6" i="354"/>
  <c r="V8"/>
  <c r="T8" i="353"/>
  <c r="T8" i="342" s="1"/>
  <c r="T6" i="354"/>
  <c r="T8"/>
  <c r="R8" i="353"/>
  <c r="R8" i="342" s="1"/>
  <c r="R6" i="354"/>
  <c r="R8"/>
  <c r="Q6" i="353"/>
  <c r="Q6" i="342" s="1"/>
  <c r="Q9" i="353"/>
  <c r="Q9" i="342" s="1"/>
  <c r="Q7" i="354"/>
  <c r="O8" i="353"/>
  <c r="O8" i="342" s="1"/>
  <c r="O6" i="354"/>
  <c r="M8" i="353"/>
  <c r="M8" i="342" s="1"/>
  <c r="M6" i="354"/>
  <c r="M8"/>
  <c r="S9" i="353"/>
  <c r="S9" i="342" s="1"/>
  <c r="S9" i="354"/>
  <c r="Q9"/>
  <c r="P9"/>
  <c r="AB9" s="1"/>
  <c r="O7"/>
  <c r="U6" i="353"/>
  <c r="U6" i="342" s="1"/>
  <c r="O8" i="354"/>
  <c r="U7"/>
  <c r="U9" i="353"/>
  <c r="U9" i="342" s="1"/>
  <c r="U9" i="354"/>
  <c r="O9"/>
  <c r="U8" i="353"/>
  <c r="U8" i="342" s="1"/>
  <c r="U6" i="354"/>
  <c r="U8"/>
  <c r="S8" i="353"/>
  <c r="S8" i="342" s="1"/>
  <c r="S6" i="354"/>
  <c r="S8"/>
  <c r="Q8"/>
  <c r="V9" i="342"/>
  <c r="R6" i="340"/>
  <c r="P6"/>
  <c r="P7" s="1"/>
  <c r="Z6" i="353"/>
  <c r="Z8"/>
  <c r="Z9"/>
  <c r="Z6" i="354"/>
  <c r="Z7"/>
  <c r="Z7" i="353"/>
  <c r="O8" i="340"/>
  <c r="O8" i="343" s="1"/>
  <c r="O9" i="340"/>
  <c r="O9" i="343" s="1"/>
  <c r="N8" i="340"/>
  <c r="N8" i="343" s="1"/>
  <c r="N9" i="340"/>
  <c r="N9" i="343" s="1"/>
  <c r="L6" i="353"/>
  <c r="L6" i="342" s="1"/>
  <c r="L8" i="353"/>
  <c r="L8" i="342" s="1"/>
  <c r="L9" i="353"/>
  <c r="L9" i="342" s="1"/>
  <c r="L6" i="354"/>
  <c r="L7"/>
  <c r="L8"/>
  <c r="L9"/>
  <c r="K6" i="353"/>
  <c r="K6" i="342" s="1"/>
  <c r="K8" i="353"/>
  <c r="K8" i="342" s="1"/>
  <c r="K9" i="353"/>
  <c r="K9" i="342" s="1"/>
  <c r="K6" i="354"/>
  <c r="K7"/>
  <c r="K8"/>
  <c r="K9"/>
  <c r="J6" i="353"/>
  <c r="J6" i="342" s="1"/>
  <c r="J8" i="353"/>
  <c r="J8" i="342" s="1"/>
  <c r="J9" i="353"/>
  <c r="J9" i="342" s="1"/>
  <c r="J6" i="354"/>
  <c r="J7"/>
  <c r="J8"/>
  <c r="J9"/>
  <c r="I6" i="353"/>
  <c r="I6" i="342" s="1"/>
  <c r="I8" i="353"/>
  <c r="I8" i="342" s="1"/>
  <c r="I9" i="353"/>
  <c r="I9" i="342" s="1"/>
  <c r="I6" i="354"/>
  <c r="I7"/>
  <c r="I8"/>
  <c r="I9"/>
  <c r="H6" i="353"/>
  <c r="H6" i="342" s="1"/>
  <c r="H8" i="353"/>
  <c r="H8" i="342" s="1"/>
  <c r="H9" i="353"/>
  <c r="H9" i="342" s="1"/>
  <c r="H6" i="354"/>
  <c r="H7"/>
  <c r="H8"/>
  <c r="H9"/>
  <c r="G6" i="353"/>
  <c r="G6" i="342" s="1"/>
  <c r="G8" i="353"/>
  <c r="G8" i="342" s="1"/>
  <c r="G9" i="353"/>
  <c r="G9" i="342" s="1"/>
  <c r="G6" i="354"/>
  <c r="G7"/>
  <c r="G8"/>
  <c r="G9"/>
  <c r="F6" i="353"/>
  <c r="F6" i="342" s="1"/>
  <c r="F8" i="353"/>
  <c r="F8" i="342" s="1"/>
  <c r="F9" i="353"/>
  <c r="F9" i="342" s="1"/>
  <c r="F6" i="354"/>
  <c r="F7"/>
  <c r="F8"/>
  <c r="F9"/>
  <c r="Y6"/>
  <c r="D9" i="353"/>
  <c r="D8"/>
  <c r="D9" i="354"/>
  <c r="D8"/>
  <c r="D6" i="353"/>
  <c r="AD6" s="1"/>
  <c r="L43" i="34"/>
  <c r="L30"/>
  <c r="L31"/>
  <c r="K43"/>
  <c r="K30"/>
  <c r="K31"/>
  <c r="J43"/>
  <c r="J30"/>
  <c r="J31"/>
  <c r="I43"/>
  <c r="I30"/>
  <c r="I31"/>
  <c r="H43"/>
  <c r="H30"/>
  <c r="H31"/>
  <c r="G43"/>
  <c r="G30"/>
  <c r="G31"/>
  <c r="F43"/>
  <c r="F30"/>
  <c r="F31"/>
  <c r="E43"/>
  <c r="E30"/>
  <c r="E31"/>
  <c r="D43"/>
  <c r="D30"/>
  <c r="D31"/>
  <c r="C43"/>
  <c r="C30"/>
  <c r="B30" s="1"/>
  <c r="C31"/>
  <c r="B43"/>
  <c r="B31"/>
  <c r="B37" i="31"/>
  <c r="B43"/>
  <c r="B35"/>
  <c r="B36"/>
  <c r="R6" i="343" l="1"/>
  <c r="R7" i="340"/>
  <c r="R7" i="343" s="1"/>
  <c r="P9" i="340"/>
  <c r="P9" i="343" s="1"/>
  <c r="R8" i="340"/>
  <c r="R8" i="343" s="1"/>
  <c r="T6" i="340"/>
  <c r="V8" i="342"/>
  <c r="V6"/>
  <c r="M9" i="340"/>
  <c r="M9" i="343" s="1"/>
  <c r="O6" i="340"/>
  <c r="Q6"/>
  <c r="R9"/>
  <c r="R9" i="343" s="1"/>
  <c r="T9" i="340"/>
  <c r="T9" i="343" s="1"/>
  <c r="T8" i="340"/>
  <c r="T8" i="343" s="1"/>
  <c r="V9" i="340"/>
  <c r="V9" i="343" s="1"/>
  <c r="AA9" i="354"/>
  <c r="P8" i="340"/>
  <c r="AB8" i="354"/>
  <c r="AD7" i="342"/>
  <c r="AA7"/>
  <c r="AA8" i="354"/>
  <c r="D8" i="342"/>
  <c r="Y8" s="1"/>
  <c r="AA8" i="353"/>
  <c r="AD8"/>
  <c r="D6" i="342"/>
  <c r="Y6" s="1"/>
  <c r="AA6" i="353"/>
  <c r="D9" i="342"/>
  <c r="AA9" i="353"/>
  <c r="AD9"/>
  <c r="U6" i="340"/>
  <c r="M8"/>
  <c r="M8" i="343" s="1"/>
  <c r="M6" i="340"/>
  <c r="N6"/>
  <c r="Z9" i="354"/>
  <c r="Z8"/>
  <c r="V8" i="340"/>
  <c r="V8" i="343" s="1"/>
  <c r="V7" i="342"/>
  <c r="V6" i="340"/>
  <c r="S8"/>
  <c r="S8" i="343" s="1"/>
  <c r="K11" i="303"/>
  <c r="L11" i="304"/>
  <c r="Q9" i="340"/>
  <c r="Q9" i="343" s="1"/>
  <c r="Q8" i="340"/>
  <c r="Q8" i="343" s="1"/>
  <c r="S9" i="340"/>
  <c r="S9" i="343" s="1"/>
  <c r="S6" i="340"/>
  <c r="U9"/>
  <c r="U9" i="343" s="1"/>
  <c r="U8" i="340"/>
  <c r="U8" i="343" s="1"/>
  <c r="P7"/>
  <c r="P8"/>
  <c r="P6"/>
  <c r="D8" i="340"/>
  <c r="D9"/>
  <c r="J9"/>
  <c r="J9" i="343" s="1"/>
  <c r="J8" i="340"/>
  <c r="J8" i="343" s="1"/>
  <c r="J6" i="340"/>
  <c r="K9"/>
  <c r="K9" i="343" s="1"/>
  <c r="K8" i="340"/>
  <c r="K8" i="343" s="1"/>
  <c r="K6" i="340"/>
  <c r="L9"/>
  <c r="L9" i="343" s="1"/>
  <c r="L8" i="340"/>
  <c r="L8" i="343" s="1"/>
  <c r="L6" i="340"/>
  <c r="Y9" i="354"/>
  <c r="Y8"/>
  <c r="Y9" i="342"/>
  <c r="Y9" i="353"/>
  <c r="Y8"/>
  <c r="Y6"/>
  <c r="Z7" i="342"/>
  <c r="Z9"/>
  <c r="Z8"/>
  <c r="Z6"/>
  <c r="B45" i="34"/>
  <c r="B44"/>
  <c r="C45"/>
  <c r="C44"/>
  <c r="D45"/>
  <c r="D44"/>
  <c r="E45"/>
  <c r="E44"/>
  <c r="F45"/>
  <c r="F44"/>
  <c r="G45"/>
  <c r="G44"/>
  <c r="H45"/>
  <c r="H44"/>
  <c r="I45"/>
  <c r="I44"/>
  <c r="J45"/>
  <c r="J44"/>
  <c r="K45"/>
  <c r="K44"/>
  <c r="L45"/>
  <c r="L44"/>
  <c r="O6" i="343" l="1"/>
  <c r="O7" i="340"/>
  <c r="O7" i="343" s="1"/>
  <c r="L6"/>
  <c r="L7" i="340"/>
  <c r="L7" i="343" s="1"/>
  <c r="K6"/>
  <c r="K7" i="340"/>
  <c r="K7" i="343" s="1"/>
  <c r="J6"/>
  <c r="J7" i="340"/>
  <c r="J7" i="343" s="1"/>
  <c r="S6"/>
  <c r="S7" i="340"/>
  <c r="S7" i="343" s="1"/>
  <c r="V6"/>
  <c r="V7" i="340"/>
  <c r="V7" i="343" s="1"/>
  <c r="N6"/>
  <c r="N7" i="340"/>
  <c r="N7" i="343" s="1"/>
  <c r="M6"/>
  <c r="M7" i="340"/>
  <c r="M7" i="343" s="1"/>
  <c r="U6"/>
  <c r="U7" i="340"/>
  <c r="U7" i="343" s="1"/>
  <c r="Q6"/>
  <c r="Q7" i="340"/>
  <c r="Q7" i="343" s="1"/>
  <c r="T6"/>
  <c r="T7" i="340"/>
  <c r="T7" i="343" s="1"/>
  <c r="Z6"/>
  <c r="AB6"/>
  <c r="Z9"/>
  <c r="AB9"/>
  <c r="Z8"/>
  <c r="AB8"/>
  <c r="Z7"/>
  <c r="AB7"/>
  <c r="AD9" i="342"/>
  <c r="AA9"/>
  <c r="AD8"/>
  <c r="AA8"/>
  <c r="AD6"/>
  <c r="AA6"/>
  <c r="J11" i="303"/>
  <c r="K11" i="304"/>
  <c r="D9" i="343"/>
  <c r="D8"/>
  <c r="AA9" l="1"/>
  <c r="AC9"/>
  <c r="AD9"/>
  <c r="AC8"/>
  <c r="AA8"/>
  <c r="AD8"/>
  <c r="I11" i="303"/>
  <c r="J11" i="304"/>
  <c r="Y8" i="343"/>
  <c r="Y9"/>
  <c r="H11" i="303" l="1"/>
  <c r="I11" i="304"/>
  <c r="G11" i="303" l="1"/>
  <c r="H11" i="304"/>
  <c r="F11" i="303" l="1"/>
  <c r="G11" i="304"/>
  <c r="E11" i="303" l="1"/>
  <c r="F11" i="304"/>
  <c r="D11" i="303" l="1"/>
  <c r="E11" i="304"/>
  <c r="C11" i="303" l="1"/>
  <c r="D11" i="304"/>
  <c r="B11" i="303" l="1"/>
  <c r="C11" i="304"/>
  <c r="N30" i="245"/>
  <c r="N30" i="251"/>
  <c r="O30" s="1"/>
  <c r="N30" i="252"/>
  <c r="O30" s="1"/>
  <c r="P29" i="346"/>
  <c r="Q29" s="1"/>
  <c r="D54" i="423"/>
  <c r="BX17"/>
  <c r="BQ17"/>
  <c r="BJ17"/>
  <c r="BC17"/>
  <c r="AV17"/>
  <c r="AO17"/>
  <c r="AH17"/>
  <c r="AA17"/>
  <c r="T17"/>
  <c r="M17"/>
  <c r="F17"/>
  <c r="BX16"/>
  <c r="BQ16"/>
  <c r="BJ16"/>
  <c r="BC16"/>
  <c r="AV16"/>
  <c r="AO16"/>
  <c r="AH16"/>
  <c r="AA16"/>
  <c r="T16"/>
  <c r="M16"/>
  <c r="F16"/>
  <c r="BX15"/>
  <c r="BQ15"/>
  <c r="BJ15"/>
  <c r="BC15"/>
  <c r="AV15"/>
  <c r="AO15"/>
  <c r="AH15"/>
  <c r="AA15"/>
  <c r="T15"/>
  <c r="M15"/>
  <c r="F15"/>
  <c r="BX14"/>
  <c r="BQ14"/>
  <c r="BJ14"/>
  <c r="BC14"/>
  <c r="AV14"/>
  <c r="AO14"/>
  <c r="AH14"/>
  <c r="AA14"/>
  <c r="T14"/>
  <c r="M14"/>
  <c r="F14"/>
  <c r="BX13"/>
  <c r="BQ13"/>
  <c r="BJ13"/>
  <c r="BC13"/>
  <c r="AV13"/>
  <c r="AO13"/>
  <c r="AH13"/>
  <c r="AA13"/>
  <c r="T13"/>
  <c r="M13"/>
  <c r="F13"/>
  <c r="BX12"/>
  <c r="BQ12"/>
  <c r="BJ12"/>
  <c r="BC12"/>
  <c r="AV12"/>
  <c r="AO12"/>
  <c r="AH12"/>
  <c r="AA12"/>
  <c r="T12"/>
  <c r="M12"/>
  <c r="F12"/>
  <c r="BX11"/>
  <c r="BQ11"/>
  <c r="BJ11"/>
  <c r="BC11"/>
  <c r="AV11"/>
  <c r="AO11"/>
  <c r="AH11"/>
  <c r="AA11"/>
  <c r="T11"/>
  <c r="M11"/>
  <c r="F11"/>
  <c r="BX10"/>
  <c r="BQ10"/>
  <c r="BJ10"/>
  <c r="BC10"/>
  <c r="AV10"/>
  <c r="AO10"/>
  <c r="AH10"/>
  <c r="AA10"/>
  <c r="T10"/>
  <c r="M10"/>
  <c r="F10"/>
  <c r="BX9"/>
  <c r="BQ9"/>
  <c r="BJ9"/>
  <c r="BC9"/>
  <c r="AV9"/>
  <c r="AO9"/>
  <c r="AH9"/>
  <c r="AA9"/>
  <c r="T9"/>
  <c r="M9"/>
  <c r="F9"/>
  <c r="BX8"/>
  <c r="BQ8"/>
  <c r="BJ8"/>
  <c r="BC8"/>
  <c r="AV8"/>
  <c r="AO8"/>
  <c r="AH8"/>
  <c r="AA8"/>
  <c r="T8"/>
  <c r="M8"/>
  <c r="F8"/>
  <c r="E8" i="425"/>
  <c r="J8"/>
  <c r="O8"/>
  <c r="T8"/>
  <c r="Y8"/>
  <c r="AD8"/>
  <c r="AI8"/>
  <c r="AN8"/>
  <c r="AS8"/>
  <c r="AX8"/>
  <c r="BC8"/>
  <c r="E9"/>
  <c r="J9"/>
  <c r="O9"/>
  <c r="T9"/>
  <c r="Y9"/>
  <c r="AD9"/>
  <c r="AI9"/>
  <c r="AN9"/>
  <c r="AS9"/>
  <c r="AX9"/>
  <c r="BC9"/>
  <c r="E10"/>
  <c r="J10"/>
  <c r="O10"/>
  <c r="T10"/>
  <c r="Y10"/>
  <c r="AD10"/>
  <c r="AI10"/>
  <c r="AN10"/>
  <c r="AS10"/>
  <c r="AX10"/>
  <c r="BC10"/>
  <c r="E11"/>
  <c r="J11"/>
  <c r="O11"/>
  <c r="T11"/>
  <c r="Y11"/>
  <c r="AD11"/>
  <c r="AI11"/>
  <c r="AN11"/>
  <c r="AS11"/>
  <c r="AX11"/>
  <c r="BC11"/>
  <c r="E12"/>
  <c r="J12"/>
  <c r="O12"/>
  <c r="T12"/>
  <c r="Y12"/>
  <c r="AD12"/>
  <c r="AI12"/>
  <c r="AN12"/>
  <c r="AS12"/>
  <c r="AX12"/>
  <c r="BC12"/>
  <c r="E13"/>
  <c r="J13"/>
  <c r="O13"/>
  <c r="T13"/>
  <c r="Y13"/>
  <c r="AD13"/>
  <c r="AI13"/>
  <c r="AN13"/>
  <c r="AS13"/>
  <c r="AX13"/>
  <c r="BC13"/>
  <c r="E14"/>
  <c r="J14"/>
  <c r="O14"/>
  <c r="T14"/>
  <c r="Y14"/>
  <c r="AD14"/>
  <c r="AI14"/>
  <c r="AN14"/>
  <c r="AS14"/>
  <c r="AX14"/>
  <c r="BC14"/>
  <c r="E15"/>
  <c r="J15"/>
  <c r="O15"/>
  <c r="T15"/>
  <c r="Y15"/>
  <c r="AD15"/>
  <c r="AI15"/>
  <c r="AN15"/>
  <c r="AS15"/>
  <c r="AX15"/>
  <c r="BC15"/>
  <c r="E16"/>
  <c r="J16"/>
  <c r="O16"/>
  <c r="T16"/>
  <c r="Y16"/>
  <c r="AD16"/>
  <c r="AI16"/>
  <c r="AN16"/>
  <c r="AS16"/>
  <c r="AX16"/>
  <c r="BC16"/>
  <c r="E17"/>
  <c r="J17"/>
  <c r="O17"/>
  <c r="T17"/>
  <c r="Y17"/>
  <c r="AD17"/>
  <c r="AI17"/>
  <c r="AN17"/>
  <c r="AS17"/>
  <c r="AX17"/>
  <c r="BC17"/>
  <c r="D6" i="340"/>
  <c r="D6" i="343" s="1"/>
  <c r="O30" i="245" l="1"/>
  <c r="N40"/>
  <c r="N37"/>
  <c r="N35"/>
  <c r="AA6" i="343"/>
  <c r="AD6"/>
  <c r="AC6"/>
  <c r="D55" i="423"/>
  <c r="D56" s="1"/>
  <c r="L10" i="303"/>
  <c r="B11" i="304"/>
  <c r="F53" i="425"/>
  <c r="F54" s="1"/>
  <c r="Y6" i="343"/>
  <c r="C87" i="241"/>
  <c r="D87"/>
  <c r="E87"/>
  <c r="F87"/>
  <c r="G87"/>
  <c r="H87"/>
  <c r="I87"/>
  <c r="J87"/>
  <c r="K87"/>
  <c r="L87"/>
  <c r="C79"/>
  <c r="D79"/>
  <c r="E79"/>
  <c r="F79"/>
  <c r="G79"/>
  <c r="H79"/>
  <c r="I79"/>
  <c r="J79"/>
  <c r="K79"/>
  <c r="L79"/>
  <c r="C98"/>
  <c r="D98"/>
  <c r="E98"/>
  <c r="F98"/>
  <c r="G98"/>
  <c r="H98"/>
  <c r="I98"/>
  <c r="J98"/>
  <c r="K98"/>
  <c r="L98"/>
  <c r="N27" i="249"/>
  <c r="O27" s="1"/>
  <c r="N26"/>
  <c r="O26" s="1"/>
  <c r="N25"/>
  <c r="O25" s="1"/>
  <c r="N23"/>
  <c r="O23" s="1"/>
  <c r="N22"/>
  <c r="O22" s="1"/>
  <c r="N21"/>
  <c r="O21" s="1"/>
  <c r="N20"/>
  <c r="O20" s="1"/>
  <c r="N19"/>
  <c r="O19" s="1"/>
  <c r="N18"/>
  <c r="O18" s="1"/>
  <c r="N17"/>
  <c r="O17" s="1"/>
  <c r="N16"/>
  <c r="O16" s="1"/>
  <c r="N15"/>
  <c r="O15" s="1"/>
  <c r="N14"/>
  <c r="O14" s="1"/>
  <c r="N12"/>
  <c r="O12" s="1"/>
  <c r="N11"/>
  <c r="O11" s="1"/>
  <c r="N10"/>
  <c r="O10" s="1"/>
  <c r="N9"/>
  <c r="O9" s="1"/>
  <c r="N8"/>
  <c r="O8" s="1"/>
  <c r="N7"/>
  <c r="O7" s="1"/>
  <c r="N6"/>
  <c r="O6" s="1"/>
  <c r="N5"/>
  <c r="O5" s="1"/>
  <c r="L100" i="248"/>
  <c r="K100"/>
  <c r="J100"/>
  <c r="I100"/>
  <c r="H100"/>
  <c r="G100"/>
  <c r="F100"/>
  <c r="E100"/>
  <c r="D100"/>
  <c r="C100"/>
  <c r="L99"/>
  <c r="K99"/>
  <c r="J99"/>
  <c r="I99"/>
  <c r="H99"/>
  <c r="G99"/>
  <c r="F99"/>
  <c r="E99"/>
  <c r="D99"/>
  <c r="C99"/>
  <c r="L98"/>
  <c r="K98"/>
  <c r="J98"/>
  <c r="I98"/>
  <c r="H98"/>
  <c r="G98"/>
  <c r="F98"/>
  <c r="E98"/>
  <c r="D98"/>
  <c r="C98"/>
  <c r="L97"/>
  <c r="K97"/>
  <c r="J97"/>
  <c r="I97"/>
  <c r="H97"/>
  <c r="G97"/>
  <c r="F97"/>
  <c r="E97"/>
  <c r="D97"/>
  <c r="C97"/>
  <c r="L96"/>
  <c r="K96"/>
  <c r="J96"/>
  <c r="I96"/>
  <c r="H96"/>
  <c r="G96"/>
  <c r="F96"/>
  <c r="E96"/>
  <c r="D96"/>
  <c r="C96"/>
  <c r="L95"/>
  <c r="K95"/>
  <c r="J95"/>
  <c r="I95"/>
  <c r="H95"/>
  <c r="G95"/>
  <c r="F95"/>
  <c r="E95"/>
  <c r="D95"/>
  <c r="C95"/>
  <c r="L94"/>
  <c r="K94"/>
  <c r="J94"/>
  <c r="I94"/>
  <c r="H94"/>
  <c r="G94"/>
  <c r="F94"/>
  <c r="E94"/>
  <c r="D94"/>
  <c r="C94"/>
  <c r="L93"/>
  <c r="K93"/>
  <c r="J93"/>
  <c r="I93"/>
  <c r="H93"/>
  <c r="G93"/>
  <c r="F93"/>
  <c r="E93"/>
  <c r="D93"/>
  <c r="C93"/>
  <c r="L92"/>
  <c r="K92"/>
  <c r="J92"/>
  <c r="I92"/>
  <c r="H92"/>
  <c r="G92"/>
  <c r="F92"/>
  <c r="E92"/>
  <c r="D92"/>
  <c r="C92"/>
  <c r="L91"/>
  <c r="K91"/>
  <c r="J91"/>
  <c r="I91"/>
  <c r="H91"/>
  <c r="G91"/>
  <c r="F91"/>
  <c r="E91"/>
  <c r="D91"/>
  <c r="C91"/>
  <c r="L90"/>
  <c r="K90"/>
  <c r="J90"/>
  <c r="I90"/>
  <c r="H90"/>
  <c r="G90"/>
  <c r="F90"/>
  <c r="E90"/>
  <c r="D90"/>
  <c r="C90"/>
  <c r="L89"/>
  <c r="K89"/>
  <c r="J89"/>
  <c r="I89"/>
  <c r="H89"/>
  <c r="G89"/>
  <c r="F89"/>
  <c r="E89"/>
  <c r="D89"/>
  <c r="C89"/>
  <c r="L88"/>
  <c r="K88"/>
  <c r="J88"/>
  <c r="I88"/>
  <c r="H88"/>
  <c r="G88"/>
  <c r="F88"/>
  <c r="E88"/>
  <c r="D88"/>
  <c r="C88"/>
  <c r="L87"/>
  <c r="K87"/>
  <c r="J87"/>
  <c r="I87"/>
  <c r="H87"/>
  <c r="G87"/>
  <c r="F87"/>
  <c r="E87"/>
  <c r="D87"/>
  <c r="C87"/>
  <c r="L86"/>
  <c r="K86"/>
  <c r="J86"/>
  <c r="I86"/>
  <c r="H86"/>
  <c r="G86"/>
  <c r="F86"/>
  <c r="E86"/>
  <c r="D86"/>
  <c r="C86"/>
  <c r="L85"/>
  <c r="K85"/>
  <c r="J85"/>
  <c r="I85"/>
  <c r="H85"/>
  <c r="G85"/>
  <c r="F85"/>
  <c r="E85"/>
  <c r="D85"/>
  <c r="C85"/>
  <c r="L84"/>
  <c r="K84"/>
  <c r="J84"/>
  <c r="I84"/>
  <c r="H84"/>
  <c r="G84"/>
  <c r="F84"/>
  <c r="E84"/>
  <c r="D84"/>
  <c r="C84"/>
  <c r="L100" i="247"/>
  <c r="K100"/>
  <c r="J100"/>
  <c r="I100"/>
  <c r="H100"/>
  <c r="G100"/>
  <c r="F100"/>
  <c r="E100"/>
  <c r="D100"/>
  <c r="C100"/>
  <c r="L99"/>
  <c r="K99"/>
  <c r="J99"/>
  <c r="I99"/>
  <c r="H99"/>
  <c r="G99"/>
  <c r="F99"/>
  <c r="E99"/>
  <c r="D99"/>
  <c r="C99"/>
  <c r="L98"/>
  <c r="K98"/>
  <c r="J98"/>
  <c r="I98"/>
  <c r="H98"/>
  <c r="G98"/>
  <c r="F98"/>
  <c r="E98"/>
  <c r="D98"/>
  <c r="C98"/>
  <c r="L97"/>
  <c r="K97"/>
  <c r="J97"/>
  <c r="I97"/>
  <c r="H97"/>
  <c r="G97"/>
  <c r="F97"/>
  <c r="E97"/>
  <c r="D97"/>
  <c r="C97"/>
  <c r="L96"/>
  <c r="K96"/>
  <c r="J96"/>
  <c r="I96"/>
  <c r="H96"/>
  <c r="G96"/>
  <c r="F96"/>
  <c r="E96"/>
  <c r="D96"/>
  <c r="C96"/>
  <c r="L95"/>
  <c r="K95"/>
  <c r="J95"/>
  <c r="I95"/>
  <c r="H95"/>
  <c r="G95"/>
  <c r="F95"/>
  <c r="E95"/>
  <c r="D95"/>
  <c r="C95"/>
  <c r="L94"/>
  <c r="K94"/>
  <c r="J94"/>
  <c r="I94"/>
  <c r="H94"/>
  <c r="G94"/>
  <c r="F94"/>
  <c r="E94"/>
  <c r="D94"/>
  <c r="C94"/>
  <c r="L93"/>
  <c r="K93"/>
  <c r="J93"/>
  <c r="I93"/>
  <c r="H93"/>
  <c r="G93"/>
  <c r="F93"/>
  <c r="E93"/>
  <c r="D93"/>
  <c r="C93"/>
  <c r="L92"/>
  <c r="K92"/>
  <c r="J92"/>
  <c r="I92"/>
  <c r="H92"/>
  <c r="G92"/>
  <c r="F92"/>
  <c r="E92"/>
  <c r="D92"/>
  <c r="C92"/>
  <c r="L91"/>
  <c r="K91"/>
  <c r="J91"/>
  <c r="I91"/>
  <c r="H91"/>
  <c r="G91"/>
  <c r="F91"/>
  <c r="E91"/>
  <c r="D91"/>
  <c r="C91"/>
  <c r="L90"/>
  <c r="K90"/>
  <c r="J90"/>
  <c r="I90"/>
  <c r="H90"/>
  <c r="G90"/>
  <c r="F90"/>
  <c r="E90"/>
  <c r="D90"/>
  <c r="C90"/>
  <c r="L89"/>
  <c r="K89"/>
  <c r="J89"/>
  <c r="I89"/>
  <c r="H89"/>
  <c r="G89"/>
  <c r="F89"/>
  <c r="E89"/>
  <c r="D89"/>
  <c r="C89"/>
  <c r="L88"/>
  <c r="K88"/>
  <c r="J88"/>
  <c r="I88"/>
  <c r="H88"/>
  <c r="G88"/>
  <c r="F88"/>
  <c r="E88"/>
  <c r="D88"/>
  <c r="C88"/>
  <c r="L87"/>
  <c r="K87"/>
  <c r="J87"/>
  <c r="I87"/>
  <c r="H87"/>
  <c r="G87"/>
  <c r="F87"/>
  <c r="E87"/>
  <c r="D87"/>
  <c r="C87"/>
  <c r="L86"/>
  <c r="K86"/>
  <c r="J86"/>
  <c r="I86"/>
  <c r="H86"/>
  <c r="G86"/>
  <c r="F86"/>
  <c r="E86"/>
  <c r="D86"/>
  <c r="C86"/>
  <c r="L85"/>
  <c r="K85"/>
  <c r="J85"/>
  <c r="I85"/>
  <c r="H85"/>
  <c r="G85"/>
  <c r="F85"/>
  <c r="E85"/>
  <c r="D85"/>
  <c r="C85"/>
  <c r="L84"/>
  <c r="K84"/>
  <c r="J84"/>
  <c r="I84"/>
  <c r="H84"/>
  <c r="G84"/>
  <c r="F84"/>
  <c r="E84"/>
  <c r="D84"/>
  <c r="C84"/>
  <c r="L83"/>
  <c r="K83"/>
  <c r="J83"/>
  <c r="I83"/>
  <c r="H83"/>
  <c r="G83"/>
  <c r="F83"/>
  <c r="E83"/>
  <c r="D83"/>
  <c r="C83"/>
  <c r="L82"/>
  <c r="K82"/>
  <c r="J82"/>
  <c r="I82"/>
  <c r="H82"/>
  <c r="G82"/>
  <c r="F82"/>
  <c r="E82"/>
  <c r="D82"/>
  <c r="C82"/>
  <c r="L81"/>
  <c r="K81"/>
  <c r="J81"/>
  <c r="I81"/>
  <c r="H81"/>
  <c r="G81"/>
  <c r="F81"/>
  <c r="E81"/>
  <c r="D81"/>
  <c r="C81"/>
  <c r="L80"/>
  <c r="K80"/>
  <c r="J80"/>
  <c r="I80"/>
  <c r="H80"/>
  <c r="G80"/>
  <c r="F80"/>
  <c r="E80"/>
  <c r="D80"/>
  <c r="C80"/>
  <c r="L79"/>
  <c r="K79"/>
  <c r="J79"/>
  <c r="I79"/>
  <c r="H79"/>
  <c r="G79"/>
  <c r="F79"/>
  <c r="E79"/>
  <c r="D79"/>
  <c r="C79"/>
  <c r="L78"/>
  <c r="K78"/>
  <c r="J78"/>
  <c r="I78"/>
  <c r="H78"/>
  <c r="G78"/>
  <c r="F78"/>
  <c r="E78"/>
  <c r="D78"/>
  <c r="C78"/>
  <c r="L77"/>
  <c r="K77"/>
  <c r="J77"/>
  <c r="I77"/>
  <c r="H77"/>
  <c r="G77"/>
  <c r="F77"/>
  <c r="E77"/>
  <c r="D77"/>
  <c r="C77"/>
  <c r="L76"/>
  <c r="K76"/>
  <c r="J76"/>
  <c r="I76"/>
  <c r="H76"/>
  <c r="G76"/>
  <c r="F76"/>
  <c r="E76"/>
  <c r="D76"/>
  <c r="C76"/>
  <c r="N27" i="242"/>
  <c r="O27" s="1"/>
  <c r="N26"/>
  <c r="O26" s="1"/>
  <c r="N25"/>
  <c r="O25" s="1"/>
  <c r="N23"/>
  <c r="O23" s="1"/>
  <c r="N22"/>
  <c r="O22" s="1"/>
  <c r="N21"/>
  <c r="O21" s="1"/>
  <c r="N20"/>
  <c r="O20" s="1"/>
  <c r="N19"/>
  <c r="O19" s="1"/>
  <c r="N18"/>
  <c r="O18" s="1"/>
  <c r="N17"/>
  <c r="O17" s="1"/>
  <c r="N16"/>
  <c r="O16" s="1"/>
  <c r="N15"/>
  <c r="O15" s="1"/>
  <c r="N14"/>
  <c r="O14" s="1"/>
  <c r="N12"/>
  <c r="O12" s="1"/>
  <c r="N11"/>
  <c r="O11" s="1"/>
  <c r="N10"/>
  <c r="O10" s="1"/>
  <c r="N9"/>
  <c r="O9" s="1"/>
  <c r="N8"/>
  <c r="O8" s="1"/>
  <c r="N7"/>
  <c r="O7" s="1"/>
  <c r="N6"/>
  <c r="O6" s="1"/>
  <c r="N5"/>
  <c r="L102" i="241"/>
  <c r="K102"/>
  <c r="J102"/>
  <c r="I102"/>
  <c r="H102"/>
  <c r="G102"/>
  <c r="F102"/>
  <c r="E102"/>
  <c r="D102"/>
  <c r="C102"/>
  <c r="L101"/>
  <c r="K101"/>
  <c r="J101"/>
  <c r="I101"/>
  <c r="H101"/>
  <c r="G101"/>
  <c r="F101"/>
  <c r="E101"/>
  <c r="D101"/>
  <c r="C101"/>
  <c r="L100"/>
  <c r="K100"/>
  <c r="J100"/>
  <c r="I100"/>
  <c r="H100"/>
  <c r="G100"/>
  <c r="F100"/>
  <c r="E100"/>
  <c r="D100"/>
  <c r="C100"/>
  <c r="L99"/>
  <c r="K99"/>
  <c r="J99"/>
  <c r="I99"/>
  <c r="H99"/>
  <c r="G99"/>
  <c r="F99"/>
  <c r="E99"/>
  <c r="D99"/>
  <c r="C99"/>
  <c r="L97"/>
  <c r="K97"/>
  <c r="J97"/>
  <c r="I97"/>
  <c r="H97"/>
  <c r="G97"/>
  <c r="F97"/>
  <c r="E97"/>
  <c r="D97"/>
  <c r="C97"/>
  <c r="L96"/>
  <c r="K96"/>
  <c r="J96"/>
  <c r="I96"/>
  <c r="H96"/>
  <c r="G96"/>
  <c r="F96"/>
  <c r="E96"/>
  <c r="D96"/>
  <c r="C96"/>
  <c r="L95"/>
  <c r="K95"/>
  <c r="J95"/>
  <c r="I95"/>
  <c r="H95"/>
  <c r="G95"/>
  <c r="F95"/>
  <c r="E95"/>
  <c r="D95"/>
  <c r="C95"/>
  <c r="L94"/>
  <c r="K94"/>
  <c r="J94"/>
  <c r="I94"/>
  <c r="H94"/>
  <c r="G94"/>
  <c r="F94"/>
  <c r="E94"/>
  <c r="D94"/>
  <c r="C94"/>
  <c r="L93"/>
  <c r="K93"/>
  <c r="J93"/>
  <c r="I93"/>
  <c r="H93"/>
  <c r="G93"/>
  <c r="F93"/>
  <c r="E93"/>
  <c r="D93"/>
  <c r="C93"/>
  <c r="L92"/>
  <c r="K92"/>
  <c r="J92"/>
  <c r="I92"/>
  <c r="H92"/>
  <c r="G92"/>
  <c r="F92"/>
  <c r="E92"/>
  <c r="D92"/>
  <c r="C92"/>
  <c r="L91"/>
  <c r="K91"/>
  <c r="J91"/>
  <c r="I91"/>
  <c r="H91"/>
  <c r="G91"/>
  <c r="F91"/>
  <c r="E91"/>
  <c r="D91"/>
  <c r="C91"/>
  <c r="L90"/>
  <c r="K90"/>
  <c r="J90"/>
  <c r="I90"/>
  <c r="H90"/>
  <c r="G90"/>
  <c r="F90"/>
  <c r="E90"/>
  <c r="D90"/>
  <c r="C90"/>
  <c r="L89"/>
  <c r="K89"/>
  <c r="J89"/>
  <c r="I89"/>
  <c r="H89"/>
  <c r="G89"/>
  <c r="F89"/>
  <c r="E89"/>
  <c r="D89"/>
  <c r="C89"/>
  <c r="L88"/>
  <c r="K88"/>
  <c r="J88"/>
  <c r="I88"/>
  <c r="H88"/>
  <c r="G88"/>
  <c r="F88"/>
  <c r="E88"/>
  <c r="D88"/>
  <c r="C88"/>
  <c r="L86"/>
  <c r="K86"/>
  <c r="J86"/>
  <c r="I86"/>
  <c r="H86"/>
  <c r="G86"/>
  <c r="F86"/>
  <c r="E86"/>
  <c r="D86"/>
  <c r="C86"/>
  <c r="L85"/>
  <c r="K85"/>
  <c r="J85"/>
  <c r="I85"/>
  <c r="H85"/>
  <c r="G85"/>
  <c r="F85"/>
  <c r="E85"/>
  <c r="D85"/>
  <c r="C85"/>
  <c r="L84"/>
  <c r="K84"/>
  <c r="J84"/>
  <c r="I84"/>
  <c r="H84"/>
  <c r="G84"/>
  <c r="F84"/>
  <c r="E84"/>
  <c r="D84"/>
  <c r="C84"/>
  <c r="L83"/>
  <c r="K83"/>
  <c r="J83"/>
  <c r="I83"/>
  <c r="H83"/>
  <c r="G83"/>
  <c r="F83"/>
  <c r="E83"/>
  <c r="D83"/>
  <c r="C83"/>
  <c r="L82"/>
  <c r="K82"/>
  <c r="J82"/>
  <c r="I82"/>
  <c r="H82"/>
  <c r="G82"/>
  <c r="F82"/>
  <c r="E82"/>
  <c r="D82"/>
  <c r="C82"/>
  <c r="L81"/>
  <c r="K81"/>
  <c r="J81"/>
  <c r="I81"/>
  <c r="H81"/>
  <c r="G81"/>
  <c r="F81"/>
  <c r="E81"/>
  <c r="D81"/>
  <c r="C81"/>
  <c r="L80"/>
  <c r="K80"/>
  <c r="J80"/>
  <c r="I80"/>
  <c r="H80"/>
  <c r="G80"/>
  <c r="F80"/>
  <c r="E80"/>
  <c r="D80"/>
  <c r="C80"/>
  <c r="C101" i="240"/>
  <c r="D101"/>
  <c r="E101"/>
  <c r="F101"/>
  <c r="G101"/>
  <c r="H101"/>
  <c r="I101"/>
  <c r="J101"/>
  <c r="K101"/>
  <c r="L101"/>
  <c r="C100"/>
  <c r="D100"/>
  <c r="E100"/>
  <c r="F100"/>
  <c r="G100"/>
  <c r="H100"/>
  <c r="I100"/>
  <c r="J100"/>
  <c r="K100"/>
  <c r="L100"/>
  <c r="C99"/>
  <c r="D99"/>
  <c r="E99"/>
  <c r="F99"/>
  <c r="G99"/>
  <c r="H99"/>
  <c r="I99"/>
  <c r="J99"/>
  <c r="K99"/>
  <c r="L99"/>
  <c r="C97"/>
  <c r="D97"/>
  <c r="E97"/>
  <c r="F97"/>
  <c r="G97"/>
  <c r="H97"/>
  <c r="I97"/>
  <c r="J97"/>
  <c r="K97"/>
  <c r="L97"/>
  <c r="C96"/>
  <c r="D96"/>
  <c r="E96"/>
  <c r="F96"/>
  <c r="G96"/>
  <c r="H96"/>
  <c r="I96"/>
  <c r="J96"/>
  <c r="K96"/>
  <c r="L96"/>
  <c r="C95"/>
  <c r="D95"/>
  <c r="E95"/>
  <c r="F95"/>
  <c r="G95"/>
  <c r="H95"/>
  <c r="I95"/>
  <c r="J95"/>
  <c r="K95"/>
  <c r="L95"/>
  <c r="C94"/>
  <c r="D94"/>
  <c r="E94"/>
  <c r="F94"/>
  <c r="G94"/>
  <c r="H94"/>
  <c r="I94"/>
  <c r="J94"/>
  <c r="K94"/>
  <c r="L94"/>
  <c r="C93"/>
  <c r="D93"/>
  <c r="E93"/>
  <c r="F93"/>
  <c r="G93"/>
  <c r="H93"/>
  <c r="I93"/>
  <c r="J93"/>
  <c r="K93"/>
  <c r="L93"/>
  <c r="C92"/>
  <c r="D92"/>
  <c r="E92"/>
  <c r="F92"/>
  <c r="G92"/>
  <c r="H92"/>
  <c r="I92"/>
  <c r="J92"/>
  <c r="K92"/>
  <c r="L92"/>
  <c r="C91"/>
  <c r="D91"/>
  <c r="E91"/>
  <c r="F91"/>
  <c r="G91"/>
  <c r="H91"/>
  <c r="I91"/>
  <c r="J91"/>
  <c r="K91"/>
  <c r="L91"/>
  <c r="C90"/>
  <c r="D90"/>
  <c r="E90"/>
  <c r="F90"/>
  <c r="G90"/>
  <c r="H90"/>
  <c r="I90"/>
  <c r="J90"/>
  <c r="K90"/>
  <c r="L90"/>
  <c r="C89"/>
  <c r="D89"/>
  <c r="E89"/>
  <c r="F89"/>
  <c r="G89"/>
  <c r="H89"/>
  <c r="I89"/>
  <c r="J89"/>
  <c r="K89"/>
  <c r="L89"/>
  <c r="C88"/>
  <c r="D88"/>
  <c r="E88"/>
  <c r="F88"/>
  <c r="G88"/>
  <c r="H88"/>
  <c r="I88"/>
  <c r="J88"/>
  <c r="K88"/>
  <c r="L88"/>
  <c r="C86"/>
  <c r="D86"/>
  <c r="E86"/>
  <c r="F86"/>
  <c r="G86"/>
  <c r="H86"/>
  <c r="I86"/>
  <c r="J86"/>
  <c r="K86"/>
  <c r="L86"/>
  <c r="C85"/>
  <c r="D85"/>
  <c r="E85"/>
  <c r="F85"/>
  <c r="G85"/>
  <c r="H85"/>
  <c r="I85"/>
  <c r="J85"/>
  <c r="K85"/>
  <c r="L85"/>
  <c r="C84"/>
  <c r="D84"/>
  <c r="E84"/>
  <c r="F84"/>
  <c r="G84"/>
  <c r="H84"/>
  <c r="I84"/>
  <c r="J84"/>
  <c r="K84"/>
  <c r="L84"/>
  <c r="C83"/>
  <c r="D83"/>
  <c r="E83"/>
  <c r="F83"/>
  <c r="G83"/>
  <c r="H83"/>
  <c r="I83"/>
  <c r="J83"/>
  <c r="K83"/>
  <c r="L83"/>
  <c r="C82"/>
  <c r="D82"/>
  <c r="E82"/>
  <c r="F82"/>
  <c r="G82"/>
  <c r="H82"/>
  <c r="I82"/>
  <c r="J82"/>
  <c r="K82"/>
  <c r="L82"/>
  <c r="C81"/>
  <c r="D81"/>
  <c r="E81"/>
  <c r="F81"/>
  <c r="G81"/>
  <c r="H81"/>
  <c r="I81"/>
  <c r="J81"/>
  <c r="K81"/>
  <c r="L81"/>
  <c r="C80"/>
  <c r="D80"/>
  <c r="E80"/>
  <c r="F80"/>
  <c r="G80"/>
  <c r="H80"/>
  <c r="I80"/>
  <c r="J80"/>
  <c r="K80"/>
  <c r="L80"/>
  <c r="C79"/>
  <c r="D79"/>
  <c r="E79"/>
  <c r="F79"/>
  <c r="G79"/>
  <c r="H79"/>
  <c r="I79"/>
  <c r="J79"/>
  <c r="K79"/>
  <c r="L79"/>
  <c r="N24" i="249"/>
  <c r="O24" s="1"/>
  <c r="N13"/>
  <c r="O13" s="1"/>
  <c r="N24" i="242"/>
  <c r="N13"/>
  <c r="C98" i="240"/>
  <c r="D98"/>
  <c r="E98"/>
  <c r="F98"/>
  <c r="G98"/>
  <c r="H98"/>
  <c r="I98"/>
  <c r="J98"/>
  <c r="K98"/>
  <c r="L98"/>
  <c r="C87"/>
  <c r="D87"/>
  <c r="E87"/>
  <c r="F87"/>
  <c r="G87"/>
  <c r="H87"/>
  <c r="I87"/>
  <c r="J87"/>
  <c r="K87"/>
  <c r="L87"/>
  <c r="C102"/>
  <c r="D102"/>
  <c r="E102"/>
  <c r="F102"/>
  <c r="G102"/>
  <c r="H102"/>
  <c r="I102"/>
  <c r="J102"/>
  <c r="K102"/>
  <c r="L102"/>
  <c r="N6" i="241"/>
  <c r="O6" s="1"/>
  <c r="O28" i="242"/>
  <c r="N28" i="249"/>
  <c r="O28" s="1"/>
  <c r="N23" i="241" l="1"/>
  <c r="O23" s="1"/>
  <c r="N28" i="248"/>
  <c r="O28" s="1"/>
  <c r="N15" i="241"/>
  <c r="O15" s="1"/>
  <c r="N23" i="247"/>
  <c r="O23" s="1"/>
  <c r="N24" i="248"/>
  <c r="O24" s="1"/>
  <c r="N10" i="241"/>
  <c r="O10" s="1"/>
  <c r="N19"/>
  <c r="O19" s="1"/>
  <c r="N28"/>
  <c r="O28" s="1"/>
  <c r="N28" i="247"/>
  <c r="O28" s="1"/>
  <c r="N13" i="248"/>
  <c r="O13" s="1"/>
  <c r="N22"/>
  <c r="O22" s="1"/>
  <c r="N33" i="249"/>
  <c r="O33"/>
  <c r="O40" i="245"/>
  <c r="O37"/>
  <c r="O35"/>
  <c r="O13" i="242"/>
  <c r="N33"/>
  <c r="O5"/>
  <c r="O40" s="1"/>
  <c r="N40"/>
  <c r="N35"/>
  <c r="O24"/>
  <c r="N34"/>
  <c r="N37"/>
  <c r="N8" i="241"/>
  <c r="O8" s="1"/>
  <c r="N12"/>
  <c r="O12" s="1"/>
  <c r="N17"/>
  <c r="O17" s="1"/>
  <c r="N21"/>
  <c r="O21" s="1"/>
  <c r="N19" i="247"/>
  <c r="O19" s="1"/>
  <c r="N24"/>
  <c r="O24" s="1"/>
  <c r="N18" i="248"/>
  <c r="O18" s="1"/>
  <c r="N26" i="241"/>
  <c r="O26" s="1"/>
  <c r="N13"/>
  <c r="N27" i="248"/>
  <c r="O27" s="1"/>
  <c r="N5"/>
  <c r="N6"/>
  <c r="O6" s="1"/>
  <c r="N7"/>
  <c r="O7" s="1"/>
  <c r="N8"/>
  <c r="O8" s="1"/>
  <c r="N9"/>
  <c r="O9" s="1"/>
  <c r="N10"/>
  <c r="O10" s="1"/>
  <c r="N11"/>
  <c r="O11" s="1"/>
  <c r="N12"/>
  <c r="O12" s="1"/>
  <c r="N14"/>
  <c r="O14" s="1"/>
  <c r="N15"/>
  <c r="O15" s="1"/>
  <c r="N16"/>
  <c r="O16" s="1"/>
  <c r="N17"/>
  <c r="O17" s="1"/>
  <c r="N19"/>
  <c r="O19" s="1"/>
  <c r="N20"/>
  <c r="O20" s="1"/>
  <c r="N21"/>
  <c r="O21" s="1"/>
  <c r="N25"/>
  <c r="O25" s="1"/>
  <c r="D57" i="423"/>
  <c r="D58"/>
  <c r="F55" i="425"/>
  <c r="F56" s="1"/>
  <c r="P8" s="1"/>
  <c r="K10" i="303"/>
  <c r="L10" i="304"/>
  <c r="N7" i="241"/>
  <c r="O7" s="1"/>
  <c r="N9"/>
  <c r="O9" s="1"/>
  <c r="N11"/>
  <c r="O11" s="1"/>
  <c r="N14"/>
  <c r="O14" s="1"/>
  <c r="N16"/>
  <c r="O16" s="1"/>
  <c r="N18"/>
  <c r="O18" s="1"/>
  <c r="N20"/>
  <c r="O20" s="1"/>
  <c r="N22"/>
  <c r="O22" s="1"/>
  <c r="N25"/>
  <c r="O25" s="1"/>
  <c r="N27"/>
  <c r="O27" s="1"/>
  <c r="N10" i="247"/>
  <c r="O10" s="1"/>
  <c r="N13"/>
  <c r="O13" s="1"/>
  <c r="N21"/>
  <c r="O21" s="1"/>
  <c r="N26"/>
  <c r="O26" s="1"/>
  <c r="N34" i="249"/>
  <c r="N23" i="248"/>
  <c r="O23" s="1"/>
  <c r="O5"/>
  <c r="O35" s="1"/>
  <c r="N5" i="247"/>
  <c r="O5" s="1"/>
  <c r="N6"/>
  <c r="O6" s="1"/>
  <c r="N7"/>
  <c r="O7" s="1"/>
  <c r="N8"/>
  <c r="O8" s="1"/>
  <c r="N9"/>
  <c r="O9" s="1"/>
  <c r="N11"/>
  <c r="O11" s="1"/>
  <c r="N12"/>
  <c r="O12" s="1"/>
  <c r="N14"/>
  <c r="O14" s="1"/>
  <c r="N15"/>
  <c r="O15" s="1"/>
  <c r="N16"/>
  <c r="O16" s="1"/>
  <c r="N17"/>
  <c r="O17" s="1"/>
  <c r="N18"/>
  <c r="O18" s="1"/>
  <c r="N20"/>
  <c r="O20" s="1"/>
  <c r="N22"/>
  <c r="O22" s="1"/>
  <c r="N25"/>
  <c r="O25" s="1"/>
  <c r="N27"/>
  <c r="O27" s="1"/>
  <c r="N26" i="248"/>
  <c r="O26" s="1"/>
  <c r="N15" i="240"/>
  <c r="O15" s="1"/>
  <c r="N16"/>
  <c r="O16" s="1"/>
  <c r="N17"/>
  <c r="O17" s="1"/>
  <c r="N20"/>
  <c r="O20" s="1"/>
  <c r="N23"/>
  <c r="O23" s="1"/>
  <c r="N33" i="247"/>
  <c r="N11" i="240"/>
  <c r="O11" s="1"/>
  <c r="N7"/>
  <c r="O7" s="1"/>
  <c r="N10"/>
  <c r="O10" s="1"/>
  <c r="N12"/>
  <c r="O12" s="1"/>
  <c r="N22"/>
  <c r="O22" s="1"/>
  <c r="N25"/>
  <c r="O25" s="1"/>
  <c r="N38" i="249"/>
  <c r="N38" i="248"/>
  <c r="N5" i="240"/>
  <c r="O5" s="1"/>
  <c r="N6"/>
  <c r="O6" s="1"/>
  <c r="N13"/>
  <c r="N33" s="1"/>
  <c r="N9"/>
  <c r="O9" s="1"/>
  <c r="N19"/>
  <c r="O19" s="1"/>
  <c r="N21"/>
  <c r="O21" s="1"/>
  <c r="N27"/>
  <c r="O27" s="1"/>
  <c r="N5" i="241"/>
  <c r="O5" s="1"/>
  <c r="O13" i="240"/>
  <c r="O33" s="1"/>
  <c r="N35" i="248"/>
  <c r="N28" i="240"/>
  <c r="N35" s="1"/>
  <c r="N8"/>
  <c r="O8" s="1"/>
  <c r="N26"/>
  <c r="O26" s="1"/>
  <c r="N24"/>
  <c r="O24" s="1"/>
  <c r="N14"/>
  <c r="O14" s="1"/>
  <c r="N18"/>
  <c r="O18" s="1"/>
  <c r="O28"/>
  <c r="O35" s="1"/>
  <c r="N35" i="249"/>
  <c r="N24" i="241"/>
  <c r="N34" s="1"/>
  <c r="O36" i="248"/>
  <c r="O38"/>
  <c r="O34" i="249"/>
  <c r="O36"/>
  <c r="O35"/>
  <c r="O38"/>
  <c r="O36" i="247"/>
  <c r="F8" i="425"/>
  <c r="Z8"/>
  <c r="AT8"/>
  <c r="K9"/>
  <c r="AE9"/>
  <c r="AY9"/>
  <c r="P10"/>
  <c r="AJ10"/>
  <c r="BD10"/>
  <c r="U11"/>
  <c r="AO11"/>
  <c r="F12"/>
  <c r="Z12"/>
  <c r="AT12"/>
  <c r="K13"/>
  <c r="AE13"/>
  <c r="AY13"/>
  <c r="P14"/>
  <c r="AJ14"/>
  <c r="BD14"/>
  <c r="U15"/>
  <c r="AO15"/>
  <c r="F16"/>
  <c r="Z16"/>
  <c r="AT16"/>
  <c r="K17"/>
  <c r="AE17"/>
  <c r="AY17"/>
  <c r="U8"/>
  <c r="AO8"/>
  <c r="F9"/>
  <c r="Z9"/>
  <c r="AT9"/>
  <c r="K10"/>
  <c r="AE10"/>
  <c r="AY10"/>
  <c r="P11"/>
  <c r="AJ11"/>
  <c r="BD11"/>
  <c r="U12"/>
  <c r="AO12"/>
  <c r="F13"/>
  <c r="Z13"/>
  <c r="AT13"/>
  <c r="K14"/>
  <c r="AE14"/>
  <c r="AY14"/>
  <c r="P15"/>
  <c r="AJ15"/>
  <c r="BD15"/>
  <c r="U16"/>
  <c r="AO16"/>
  <c r="F17"/>
  <c r="Z17"/>
  <c r="AT17"/>
  <c r="D59" i="423"/>
  <c r="AZ15" s="1"/>
  <c r="N36" i="249"/>
  <c r="N36" i="248"/>
  <c r="N37" i="240"/>
  <c r="O34" i="248" l="1"/>
  <c r="N36" i="247"/>
  <c r="N35"/>
  <c r="N34" i="248"/>
  <c r="N34" i="247"/>
  <c r="O34"/>
  <c r="N33" i="248"/>
  <c r="O34" i="242"/>
  <c r="O33" i="248"/>
  <c r="O35" i="242"/>
  <c r="O37"/>
  <c r="O33"/>
  <c r="O13" i="241"/>
  <c r="O33" s="1"/>
  <c r="N33"/>
  <c r="O40"/>
  <c r="O35"/>
  <c r="N37"/>
  <c r="O24"/>
  <c r="N35"/>
  <c r="N40"/>
  <c r="O37" i="240"/>
  <c r="AS8" i="423"/>
  <c r="X9"/>
  <c r="Q8"/>
  <c r="BU8"/>
  <c r="AZ9"/>
  <c r="BN10"/>
  <c r="AE8"/>
  <c r="BG8"/>
  <c r="J9"/>
  <c r="AL9"/>
  <c r="J10"/>
  <c r="Q12"/>
  <c r="O40" i="240"/>
  <c r="N40"/>
  <c r="BN9" i="423"/>
  <c r="AL10"/>
  <c r="AL11"/>
  <c r="BU12"/>
  <c r="AS13"/>
  <c r="O38" i="247"/>
  <c r="O35"/>
  <c r="O33"/>
  <c r="N34" i="240"/>
  <c r="J8" i="423"/>
  <c r="X8"/>
  <c r="AL8"/>
  <c r="AZ8"/>
  <c r="BN8"/>
  <c r="C9"/>
  <c r="Q9"/>
  <c r="AE9"/>
  <c r="AS9"/>
  <c r="BG9"/>
  <c r="BU9"/>
  <c r="X10"/>
  <c r="AZ10"/>
  <c r="J11"/>
  <c r="BN11"/>
  <c r="AS12"/>
  <c r="BD17" i="425"/>
  <c r="AJ17"/>
  <c r="P17"/>
  <c r="AY16"/>
  <c r="AE16"/>
  <c r="K16"/>
  <c r="AT15"/>
  <c r="Z15"/>
  <c r="F15"/>
  <c r="AO14"/>
  <c r="U14"/>
  <c r="BD13"/>
  <c r="AJ13"/>
  <c r="P13"/>
  <c r="AY12"/>
  <c r="AE12"/>
  <c r="K12"/>
  <c r="AT11"/>
  <c r="Z11"/>
  <c r="F11"/>
  <c r="AO10"/>
  <c r="U10"/>
  <c r="BD9"/>
  <c r="AJ9"/>
  <c r="P9"/>
  <c r="AY8"/>
  <c r="AE8"/>
  <c r="K8"/>
  <c r="AO17"/>
  <c r="U17"/>
  <c r="BD16"/>
  <c r="AJ16"/>
  <c r="P16"/>
  <c r="AY15"/>
  <c r="AE15"/>
  <c r="K15"/>
  <c r="AT14"/>
  <c r="Z14"/>
  <c r="F14"/>
  <c r="AO13"/>
  <c r="U13"/>
  <c r="BD12"/>
  <c r="AJ12"/>
  <c r="P12"/>
  <c r="AY11"/>
  <c r="AE11"/>
  <c r="K11"/>
  <c r="AT10"/>
  <c r="Z10"/>
  <c r="F10"/>
  <c r="AO9"/>
  <c r="U9"/>
  <c r="BD8"/>
  <c r="AJ8"/>
  <c r="O34" i="240"/>
  <c r="N38" i="247"/>
  <c r="C10" i="423"/>
  <c r="Q10"/>
  <c r="AE10"/>
  <c r="AS10"/>
  <c r="BG10"/>
  <c r="BU10"/>
  <c r="X11"/>
  <c r="AZ11"/>
  <c r="C12"/>
  <c r="AE12"/>
  <c r="BG12"/>
  <c r="Q13"/>
  <c r="Q14"/>
  <c r="C11"/>
  <c r="Q11"/>
  <c r="AE11"/>
  <c r="AS11"/>
  <c r="BG11"/>
  <c r="BU11"/>
  <c r="J12"/>
  <c r="X12"/>
  <c r="AL12"/>
  <c r="AZ12"/>
  <c r="BN12"/>
  <c r="C13"/>
  <c r="AE13"/>
  <c r="BN13"/>
  <c r="BU14"/>
  <c r="BG16"/>
  <c r="AS14"/>
  <c r="X15"/>
  <c r="C16"/>
  <c r="AZ17"/>
  <c r="J13"/>
  <c r="X13"/>
  <c r="AL13"/>
  <c r="AZ13"/>
  <c r="C14"/>
  <c r="AE14"/>
  <c r="BG14"/>
  <c r="J15"/>
  <c r="AL15"/>
  <c r="BN15"/>
  <c r="AE16"/>
  <c r="J17"/>
  <c r="J10" i="303"/>
  <c r="K10" i="304"/>
  <c r="BG13" i="423"/>
  <c r="BU13"/>
  <c r="J14"/>
  <c r="X14"/>
  <c r="AL14"/>
  <c r="AZ14"/>
  <c r="BN14"/>
  <c r="C15"/>
  <c r="Q15"/>
  <c r="AE15"/>
  <c r="AS15"/>
  <c r="BG15"/>
  <c r="BU15"/>
  <c r="Q16"/>
  <c r="AS16"/>
  <c r="BU16"/>
  <c r="X17"/>
  <c r="AL17"/>
  <c r="BN17"/>
  <c r="J16"/>
  <c r="X16"/>
  <c r="AL16"/>
  <c r="AZ16"/>
  <c r="BN16"/>
  <c r="C17"/>
  <c r="Q17"/>
  <c r="AE17"/>
  <c r="AS17"/>
  <c r="BG17"/>
  <c r="BU17"/>
  <c r="C8"/>
  <c r="C57" i="426"/>
  <c r="C58" s="1"/>
  <c r="C59" s="1"/>
  <c r="O34" i="241" l="1"/>
  <c r="O37"/>
  <c r="I10" i="303"/>
  <c r="J10" i="304"/>
  <c r="C60" i="426"/>
  <c r="C61" s="1"/>
  <c r="H10" i="303" l="1"/>
  <c r="I10" i="304"/>
  <c r="M8" i="426"/>
  <c r="U11"/>
  <c r="I12"/>
  <c r="AO12"/>
  <c r="AC13"/>
  <c r="Q14"/>
  <c r="E15"/>
  <c r="AK15"/>
  <c r="Y16"/>
  <c r="M17"/>
  <c r="AS17"/>
  <c r="E11"/>
  <c r="AK11"/>
  <c r="Y12"/>
  <c r="M13"/>
  <c r="AS13"/>
  <c r="AG14"/>
  <c r="U15"/>
  <c r="I16"/>
  <c r="AO16"/>
  <c r="AC17"/>
  <c r="AG10"/>
  <c r="Q10"/>
  <c r="AS9"/>
  <c r="AC9"/>
  <c r="AK17"/>
  <c r="U17"/>
  <c r="E17"/>
  <c r="AG16"/>
  <c r="Q16"/>
  <c r="AS15"/>
  <c r="AC15"/>
  <c r="M15"/>
  <c r="AO14"/>
  <c r="Y14"/>
  <c r="I14"/>
  <c r="AK13"/>
  <c r="U13"/>
  <c r="E13"/>
  <c r="AG12"/>
  <c r="Q12"/>
  <c r="AS11"/>
  <c r="AC11"/>
  <c r="M11"/>
  <c r="AO10"/>
  <c r="Y10"/>
  <c r="I10"/>
  <c r="AK9"/>
  <c r="U9"/>
  <c r="E9"/>
  <c r="AG8"/>
  <c r="Q8"/>
  <c r="AO17"/>
  <c r="Y17"/>
  <c r="I17"/>
  <c r="AK16"/>
  <c r="U16"/>
  <c r="E16"/>
  <c r="AG15"/>
  <c r="Q15"/>
  <c r="AS14"/>
  <c r="AC14"/>
  <c r="M14"/>
  <c r="AO13"/>
  <c r="Y13"/>
  <c r="I13"/>
  <c r="AK12"/>
  <c r="U12"/>
  <c r="E12"/>
  <c r="AG11"/>
  <c r="Q11"/>
  <c r="AS10"/>
  <c r="AC10"/>
  <c r="M10"/>
  <c r="AO9"/>
  <c r="Y9"/>
  <c r="I9"/>
  <c r="AK8"/>
  <c r="U8"/>
  <c r="E8"/>
  <c r="M9"/>
  <c r="AO8"/>
  <c r="Y8"/>
  <c r="I8"/>
  <c r="AG17"/>
  <c r="Q17"/>
  <c r="AS16"/>
  <c r="AC16"/>
  <c r="M16"/>
  <c r="AO15"/>
  <c r="Y15"/>
  <c r="I15"/>
  <c r="AK14"/>
  <c r="U14"/>
  <c r="E14"/>
  <c r="AG13"/>
  <c r="Q13"/>
  <c r="AS12"/>
  <c r="AC12"/>
  <c r="M12"/>
  <c r="AO11"/>
  <c r="Y11"/>
  <c r="I11"/>
  <c r="AK10"/>
  <c r="U10"/>
  <c r="E10"/>
  <c r="AG9"/>
  <c r="Q9"/>
  <c r="AS8"/>
  <c r="AC8"/>
  <c r="G10" i="303" l="1"/>
  <c r="H10" i="304"/>
  <c r="F10" i="303" l="1"/>
  <c r="G10" i="304"/>
  <c r="E10" i="303" l="1"/>
  <c r="F10" i="304"/>
  <c r="D10" i="303" l="1"/>
  <c r="E10" i="304"/>
  <c r="C10" i="303" l="1"/>
  <c r="D10" i="304"/>
  <c r="B10" i="303" l="1"/>
  <c r="C10" i="304"/>
  <c r="L9" i="303" l="1"/>
  <c r="B10" i="304"/>
  <c r="K9" i="303" l="1"/>
  <c r="L9" i="304"/>
  <c r="J9" i="303" l="1"/>
  <c r="K9" i="304"/>
  <c r="I9" i="303" l="1"/>
  <c r="J9" i="304"/>
  <c r="H9" i="303" l="1"/>
  <c r="I9" i="304"/>
  <c r="G9" i="303" l="1"/>
  <c r="H9" i="304"/>
  <c r="F9" i="303" l="1"/>
  <c r="G9" i="304"/>
  <c r="E9" i="303" l="1"/>
  <c r="F9" i="304"/>
  <c r="D9" i="303" l="1"/>
  <c r="E9" i="304"/>
  <c r="C9" i="303" l="1"/>
  <c r="D9" i="304"/>
  <c r="B9" i="303" l="1"/>
  <c r="C9" i="304"/>
  <c r="L8" i="303" l="1"/>
  <c r="B9" i="304"/>
  <c r="K8" i="303" l="1"/>
  <c r="L8" i="304"/>
  <c r="J8" i="303" l="1"/>
  <c r="K8" i="304"/>
  <c r="I8" i="303" l="1"/>
  <c r="J8" i="304"/>
  <c r="H8" i="303" l="1"/>
  <c r="I8" i="304"/>
  <c r="G8" i="303" l="1"/>
  <c r="H8" i="304"/>
  <c r="F8" i="303" l="1"/>
  <c r="G8" i="304"/>
  <c r="E8" i="303" l="1"/>
  <c r="F8" i="304"/>
  <c r="D8" i="303" l="1"/>
  <c r="E8" i="304"/>
  <c r="C8" i="303" l="1"/>
  <c r="D8" i="304"/>
  <c r="B8" i="303" l="1"/>
  <c r="C8" i="304"/>
  <c r="L7" i="303" l="1"/>
  <c r="B8" i="304"/>
  <c r="K7" i="303" l="1"/>
  <c r="L34"/>
  <c r="L7" i="304"/>
  <c r="J7" i="303" l="1"/>
  <c r="K34"/>
  <c r="K7" i="304"/>
  <c r="I7" i="303" l="1"/>
  <c r="J34"/>
  <c r="J7" i="304"/>
  <c r="H7" i="303" l="1"/>
  <c r="I34"/>
  <c r="I7" i="304"/>
  <c r="G7" i="303" l="1"/>
  <c r="H34"/>
  <c r="H7" i="304"/>
  <c r="F7" i="303" l="1"/>
  <c r="G34"/>
  <c r="G7" i="304"/>
  <c r="E7" i="303" l="1"/>
  <c r="F34"/>
  <c r="F7" i="304"/>
  <c r="D7" i="303" l="1"/>
  <c r="E34"/>
  <c r="E7" i="304"/>
  <c r="C7" i="303" l="1"/>
  <c r="D34"/>
  <c r="D7" i="304"/>
  <c r="B7" i="303" l="1"/>
  <c r="C7" i="304"/>
  <c r="C34" i="303"/>
  <c r="L6" l="1"/>
  <c r="B7" i="304"/>
  <c r="B34" i="303"/>
  <c r="K6" l="1"/>
  <c r="L6" i="304"/>
  <c r="J6" i="303" l="1"/>
  <c r="K6" i="304"/>
  <c r="I6" i="303" l="1"/>
  <c r="J6" i="304"/>
  <c r="H6" i="303" l="1"/>
  <c r="I6" i="304"/>
  <c r="G6" i="303" l="1"/>
  <c r="H6" i="304"/>
  <c r="F6" i="303" l="1"/>
  <c r="G6" i="304"/>
  <c r="E6" i="303" l="1"/>
  <c r="F6" i="304"/>
  <c r="D6" i="303" l="1"/>
  <c r="E6" i="304"/>
  <c r="C6" i="303" l="1"/>
  <c r="D6" i="304"/>
  <c r="B6" i="303" l="1"/>
  <c r="C6" i="304"/>
  <c r="L5" i="303" l="1"/>
  <c r="B6" i="304"/>
  <c r="K5" i="303" l="1"/>
  <c r="L5" i="304"/>
  <c r="J5" i="303" l="1"/>
  <c r="K5" i="304"/>
  <c r="I5" i="303" l="1"/>
  <c r="J5" i="304"/>
  <c r="H5" i="303" l="1"/>
  <c r="I5" i="304"/>
  <c r="G5" i="303" l="1"/>
  <c r="H5" i="304"/>
  <c r="F5" i="303" l="1"/>
  <c r="G5" i="304"/>
  <c r="E5" i="303" l="1"/>
  <c r="F5" i="304"/>
  <c r="D5" i="303" l="1"/>
  <c r="E5" i="304"/>
  <c r="C5" i="303" l="1"/>
  <c r="D5" i="304"/>
  <c r="B5" i="303" l="1"/>
  <c r="C5" i="304"/>
  <c r="L4" i="303" l="1"/>
  <c r="L36" s="1"/>
  <c r="B5" i="304"/>
  <c r="K4" i="303" l="1"/>
  <c r="L39"/>
  <c r="L33"/>
  <c r="L4" i="304"/>
  <c r="K36" i="303" l="1"/>
  <c r="K41"/>
  <c r="L41" i="304"/>
  <c r="L36"/>
  <c r="J4" i="303"/>
  <c r="K40"/>
  <c r="K39"/>
  <c r="K33"/>
  <c r="K4" i="304"/>
  <c r="L39"/>
  <c r="L33"/>
  <c r="K41" l="1"/>
  <c r="K36"/>
  <c r="J36" i="303"/>
  <c r="J41"/>
  <c r="I4"/>
  <c r="J40"/>
  <c r="J39"/>
  <c r="J33"/>
  <c r="J4" i="304"/>
  <c r="K39"/>
  <c r="K40"/>
  <c r="K33"/>
  <c r="J36" l="1"/>
  <c r="J41"/>
  <c r="I36" i="303"/>
  <c r="I41"/>
  <c r="H4"/>
  <c r="I40"/>
  <c r="I39"/>
  <c r="I33"/>
  <c r="I4" i="304"/>
  <c r="J39"/>
  <c r="J33"/>
  <c r="J40"/>
  <c r="I41" l="1"/>
  <c r="I36"/>
  <c r="H36" i="303"/>
  <c r="H41"/>
  <c r="G4"/>
  <c r="H40"/>
  <c r="H39"/>
  <c r="H33"/>
  <c r="H4" i="304"/>
  <c r="I33"/>
  <c r="I40"/>
  <c r="I39"/>
  <c r="H36" l="1"/>
  <c r="H41"/>
  <c r="G36" i="303"/>
  <c r="G41"/>
  <c r="F4"/>
  <c r="G40"/>
  <c r="G39"/>
  <c r="G33"/>
  <c r="G4" i="304"/>
  <c r="H39"/>
  <c r="H33"/>
  <c r="H40"/>
  <c r="G41" l="1"/>
  <c r="G36"/>
  <c r="F36" i="303"/>
  <c r="F41"/>
  <c r="E4"/>
  <c r="F40"/>
  <c r="F39"/>
  <c r="F33"/>
  <c r="F4" i="304"/>
  <c r="G39"/>
  <c r="G40"/>
  <c r="G33"/>
  <c r="F36" l="1"/>
  <c r="F41"/>
  <c r="E36" i="303"/>
  <c r="E41"/>
  <c r="D4"/>
  <c r="E40"/>
  <c r="E39"/>
  <c r="E33"/>
  <c r="E4" i="304"/>
  <c r="F39"/>
  <c r="F33"/>
  <c r="F40"/>
  <c r="E41" l="1"/>
  <c r="E36"/>
  <c r="D36" i="303"/>
  <c r="D41"/>
  <c r="C4"/>
  <c r="D40"/>
  <c r="D39"/>
  <c r="D33"/>
  <c r="D4" i="304"/>
  <c r="E33"/>
  <c r="E40"/>
  <c r="E39"/>
  <c r="D41" l="1"/>
  <c r="D36"/>
  <c r="C36" i="303"/>
  <c r="C41"/>
  <c r="B4"/>
  <c r="C40"/>
  <c r="C39"/>
  <c r="C33"/>
  <c r="C4" i="304"/>
  <c r="D39"/>
  <c r="D33"/>
  <c r="D40"/>
  <c r="C41" l="1"/>
  <c r="C36"/>
  <c r="B36" i="303"/>
  <c r="B40"/>
  <c r="B41"/>
  <c r="L35"/>
  <c r="K35" s="1"/>
  <c r="J35" s="1"/>
  <c r="I35" s="1"/>
  <c r="H35" s="1"/>
  <c r="G35" s="1"/>
  <c r="F35" s="1"/>
  <c r="E35" s="1"/>
  <c r="D35" s="1"/>
  <c r="C35" s="1"/>
  <c r="B35" s="1"/>
  <c r="B39"/>
  <c r="B4" i="304"/>
  <c r="B33" i="303"/>
  <c r="L30" s="1"/>
  <c r="L41" s="1"/>
  <c r="C39" i="304"/>
  <c r="C40"/>
  <c r="C33"/>
  <c r="B36" l="1"/>
  <c r="B41"/>
  <c r="B40"/>
  <c r="B39"/>
  <c r="B33"/>
  <c r="L35"/>
  <c r="K35" s="1"/>
  <c r="J35" s="1"/>
  <c r="I35" s="1"/>
  <c r="H35" s="1"/>
  <c r="G35" s="1"/>
  <c r="F35" s="1"/>
  <c r="E35" s="1"/>
  <c r="D35" s="1"/>
  <c r="C35" s="1"/>
  <c r="B35" s="1"/>
  <c r="L34" s="1"/>
  <c r="K34" s="1"/>
  <c r="J34" s="1"/>
  <c r="I34" s="1"/>
  <c r="H34" s="1"/>
  <c r="G34" s="1"/>
  <c r="F34" s="1"/>
  <c r="E34" s="1"/>
  <c r="D34" s="1"/>
  <c r="C34" s="1"/>
  <c r="B34" s="1"/>
  <c r="L40" i="303"/>
  <c r="L37"/>
  <c r="L30" i="304"/>
  <c r="L40" l="1"/>
  <c r="G56" i="423"/>
  <c r="G57" s="1"/>
  <c r="G58" l="1"/>
  <c r="G59" s="1"/>
  <c r="AB8" l="1"/>
  <c r="AC8" s="1"/>
  <c r="G8"/>
  <c r="H8" s="1"/>
  <c r="N8"/>
  <c r="O8" s="1"/>
  <c r="BD8"/>
  <c r="BE8" s="1"/>
  <c r="G9"/>
  <c r="H9" s="1"/>
  <c r="AI9"/>
  <c r="AJ9" s="1"/>
  <c r="BK9"/>
  <c r="BL9" s="1"/>
  <c r="N10"/>
  <c r="O10" s="1"/>
  <c r="AP10"/>
  <c r="AQ10" s="1"/>
  <c r="BR10"/>
  <c r="BS10" s="1"/>
  <c r="U11"/>
  <c r="V11" s="1"/>
  <c r="AW11"/>
  <c r="AX11" s="1"/>
  <c r="BY11"/>
  <c r="BZ11" s="1"/>
  <c r="AB12"/>
  <c r="AC12" s="1"/>
  <c r="BD12"/>
  <c r="BE12" s="1"/>
  <c r="G13"/>
  <c r="H13" s="1"/>
  <c r="AI13"/>
  <c r="AJ13" s="1"/>
  <c r="BK13"/>
  <c r="BL13" s="1"/>
  <c r="N14"/>
  <c r="O14" s="1"/>
  <c r="AP14"/>
  <c r="AQ14" s="1"/>
  <c r="BR14"/>
  <c r="BS14" s="1"/>
  <c r="U15"/>
  <c r="V15" s="1"/>
  <c r="AW15"/>
  <c r="AX15" s="1"/>
  <c r="BY15"/>
  <c r="BZ15" s="1"/>
  <c r="AB16"/>
  <c r="AC16" s="1"/>
  <c r="BD16"/>
  <c r="BE16" s="1"/>
  <c r="G17"/>
  <c r="H17" s="1"/>
  <c r="AI17"/>
  <c r="AJ17" s="1"/>
  <c r="BK17"/>
  <c r="BL17" s="1"/>
  <c r="AI8"/>
  <c r="AJ8" s="1"/>
  <c r="BK8"/>
  <c r="BL8" s="1"/>
  <c r="N9"/>
  <c r="O9" s="1"/>
  <c r="AP9"/>
  <c r="AQ9" s="1"/>
  <c r="BR9"/>
  <c r="BS9" s="1"/>
  <c r="U10"/>
  <c r="V10" s="1"/>
  <c r="AW10"/>
  <c r="AX10" s="1"/>
  <c r="BY10"/>
  <c r="BZ10" s="1"/>
  <c r="AB11"/>
  <c r="AC11" s="1"/>
  <c r="BD11"/>
  <c r="BE11" s="1"/>
  <c r="G12"/>
  <c r="H12" s="1"/>
  <c r="AI12"/>
  <c r="AJ12" s="1"/>
  <c r="BK12"/>
  <c r="BL12" s="1"/>
  <c r="N13"/>
  <c r="O13" s="1"/>
  <c r="AP13"/>
  <c r="AQ13" s="1"/>
  <c r="BR13"/>
  <c r="BS13" s="1"/>
  <c r="U14"/>
  <c r="V14" s="1"/>
  <c r="AW14"/>
  <c r="AX14" s="1"/>
  <c r="BY14"/>
  <c r="BZ14" s="1"/>
  <c r="AB15"/>
  <c r="AC15" s="1"/>
  <c r="BD15"/>
  <c r="BE15" s="1"/>
  <c r="G16"/>
  <c r="H16" s="1"/>
  <c r="AI16"/>
  <c r="AJ16" s="1"/>
  <c r="BK16"/>
  <c r="BL16" s="1"/>
  <c r="N17"/>
  <c r="O17" s="1"/>
  <c r="AP17"/>
  <c r="AQ17" s="1"/>
  <c r="AP8"/>
  <c r="AQ8" s="1"/>
  <c r="BR8"/>
  <c r="BS8" s="1"/>
  <c r="U9"/>
  <c r="V9" s="1"/>
  <c r="AW9"/>
  <c r="AX9" s="1"/>
  <c r="BY9"/>
  <c r="BZ9" s="1"/>
  <c r="AB10"/>
  <c r="AC10" s="1"/>
  <c r="BD10"/>
  <c r="BE10" s="1"/>
  <c r="G11"/>
  <c r="H11" s="1"/>
  <c r="AI11"/>
  <c r="AJ11" s="1"/>
  <c r="BK11"/>
  <c r="BL11" s="1"/>
  <c r="N12"/>
  <c r="O12" s="1"/>
  <c r="AP12"/>
  <c r="AQ12" s="1"/>
  <c r="BR12"/>
  <c r="BS12" s="1"/>
  <c r="U13"/>
  <c r="V13" s="1"/>
  <c r="AW13"/>
  <c r="AX13" s="1"/>
  <c r="BY13"/>
  <c r="BZ13" s="1"/>
  <c r="AB14"/>
  <c r="AC14" s="1"/>
  <c r="BD14"/>
  <c r="BE14" s="1"/>
  <c r="G15"/>
  <c r="H15" s="1"/>
  <c r="AI15"/>
  <c r="AJ15" s="1"/>
  <c r="BK15"/>
  <c r="BL15" s="1"/>
  <c r="N16"/>
  <c r="O16" s="1"/>
  <c r="AP16"/>
  <c r="AQ16" s="1"/>
  <c r="BR16"/>
  <c r="BS16" s="1"/>
  <c r="U17"/>
  <c r="V17" s="1"/>
  <c r="AW17"/>
  <c r="AX17" s="1"/>
  <c r="BY17"/>
  <c r="BZ17" s="1"/>
  <c r="U8"/>
  <c r="V8" s="1"/>
  <c r="AW8"/>
  <c r="AX8" s="1"/>
  <c r="BY8"/>
  <c r="BZ8" s="1"/>
  <c r="AB9"/>
  <c r="AC9" s="1"/>
  <c r="BD9"/>
  <c r="BE9" s="1"/>
  <c r="G10"/>
  <c r="H10" s="1"/>
  <c r="AI10"/>
  <c r="AJ10" s="1"/>
  <c r="BK10"/>
  <c r="BL10" s="1"/>
  <c r="N11"/>
  <c r="O11" s="1"/>
  <c r="AP11"/>
  <c r="AQ11" s="1"/>
  <c r="BR11"/>
  <c r="BS11" s="1"/>
  <c r="U12"/>
  <c r="V12" s="1"/>
  <c r="AW12"/>
  <c r="AX12" s="1"/>
  <c r="BY12"/>
  <c r="BZ12" s="1"/>
  <c r="AB13"/>
  <c r="AC13" s="1"/>
  <c r="BD13"/>
  <c r="BE13" s="1"/>
  <c r="G14"/>
  <c r="H14" s="1"/>
  <c r="AI14"/>
  <c r="AJ14" s="1"/>
  <c r="BK14"/>
  <c r="BL14" s="1"/>
  <c r="N15"/>
  <c r="O15" s="1"/>
  <c r="AP15"/>
  <c r="AQ15" s="1"/>
  <c r="BR15"/>
  <c r="BS15" s="1"/>
  <c r="U16"/>
  <c r="V16" s="1"/>
  <c r="AW16"/>
  <c r="AX16" s="1"/>
  <c r="BY16"/>
  <c r="BZ16" s="1"/>
  <c r="AB17"/>
  <c r="AC17" s="1"/>
  <c r="BD17"/>
  <c r="BE17" s="1"/>
  <c r="BR17"/>
  <c r="BS17" s="1"/>
</calcChain>
</file>

<file path=xl/sharedStrings.xml><?xml version="1.0" encoding="utf-8"?>
<sst xmlns="http://schemas.openxmlformats.org/spreadsheetml/2006/main" count="9128" uniqueCount="2294">
  <si>
    <t xml:space="preserve">Notes: - Discouraged searchers are people who wanted and were available to take work but who did not look for a job because they believe none was available. </t>
  </si>
  <si>
    <t>Source : Based on SCF/SLID estimates.  Cansim series v25739992, v25739993, v25739994, v25739995, v25739996, v25739997, v25739998, v25739999, v25740000, v25740001, v25740002, v25740003, v25740004, v25740005, v25740006, v25740007, v25740008, v25740009, v25740010, v25740011, v25740012, v25740013, v25740014, v25740015, v25740016, v25740017, v25740018, v25740019, v25740020, v25740021, v25740022, v25740023, v25740024, v25740025, v25740026 and v25740027</t>
  </si>
  <si>
    <t xml:space="preserve">Other non-elderly families </t>
  </si>
  <si>
    <t xml:space="preserve">Unattached individuals </t>
  </si>
  <si>
    <t xml:space="preserve">Elderly males </t>
  </si>
  <si>
    <t xml:space="preserve">Non-earner </t>
  </si>
  <si>
    <t xml:space="preserve">Earner </t>
  </si>
  <si>
    <t xml:space="preserve">Elderly females </t>
  </si>
  <si>
    <t xml:space="preserve">Non-elderly males </t>
  </si>
  <si>
    <t xml:space="preserve">Non-elderly females </t>
  </si>
  <si>
    <t>Earner</t>
  </si>
  <si>
    <t>Husband-wife/couple families</t>
  </si>
  <si>
    <t>Low income husband-wife/couple families</t>
  </si>
  <si>
    <t>Percentage of low income husband-wife/Couple families</t>
  </si>
  <si>
    <t># of families</t>
  </si>
  <si>
    <t>Lone parent families</t>
  </si>
  <si>
    <t>Low income lone-parent families</t>
  </si>
  <si>
    <t>Percentage of low income lone-parent families</t>
  </si>
  <si>
    <t>Non-family persons</t>
  </si>
  <si>
    <t>Low income non-family persons</t>
  </si>
  <si>
    <t># 65+ years</t>
  </si>
  <si>
    <t>Note: The following table presents the 2003 after-tax Low income measures thresholds obtained from the "Family data: User's guide", product number 13C0016 at http://www.statcan.ca/english/sdds/document/4105_D5_T1_V3_E.pdf.</t>
  </si>
  <si>
    <t>2003 AFTER-TAX LOW INCOME MEASURES</t>
  </si>
  <si>
    <t>Number of Adults*</t>
  </si>
  <si>
    <t>Number of Children Less Than 16 Years of Age</t>
  </si>
  <si>
    <t>…..</t>
  </si>
  <si>
    <t>* Includes parents/spouses, children 16 years of age and over and the first child in lone-parent families regardless of age.</t>
  </si>
  <si>
    <t>Source : Based on annual estimates for families and individuals.  Cansim series v21388890 ,v21388895 ,v21388891 ,v21388892 ,v21388893 ,v21388978 ,v21388986 ,v21388980 ,v21388982 ,v21388984 ,v21388919 ,v21388924 ,v21388920 ,v21388921 ,v21388922 ,v21389026 ,v21389034 ,v21389028 ,v21389030 ,v21389032 ,v21388948 ,v21388953 ,v21388949 ,v21388950 ,v21388951 ,v21389074 ,v21389082 ,v21389076 ,v21389078 ,v21389080 ,v21388972 ,v21388976 ,v21388974 ,v21389114 ,v21389120 and v21389118. Data for years 1997-1999 from unpublished Statistics Canada data.</t>
  </si>
  <si>
    <t xml:space="preserve">18 to 64 years </t>
  </si>
  <si>
    <t xml:space="preserve">65 years and over </t>
  </si>
  <si>
    <t xml:space="preserve">Males </t>
  </si>
  <si>
    <t xml:space="preserve">Females </t>
  </si>
  <si>
    <t>GDP minus Wages and Inventory</t>
  </si>
  <si>
    <t>(1) - (2) -(8)</t>
  </si>
  <si>
    <t>Share of non-wage in 1981</t>
  </si>
  <si>
    <t>Contribution to difference between wage and non-wages, percentage points</t>
  </si>
  <si>
    <t xml:space="preserve">Source : Based on SCF/SLID estimates.  Calculations from Cansim series v21188940, v21188944, v21189048, v21189052, v21189102, v21189106, v21189156, v21189160, v21189210, v21189214, v21189264, v21189268, v21189318, v21189322, v21189426, v21189430, v21189480, v21189484, v21189534, v21189538, v21189588 and v21189592  </t>
  </si>
  <si>
    <t>Note: An adequate dwelling is defined as one which does not require any major repairs, as reported by their residents.  Suitability is defined using the national Occupancy Standard requirements which identify the number of bedroom suitable according to the number and type of residents in the household.  Each cohabitating adult couple, each unattached household member 18 years of age and over, each same-sex pair of children under age 18 and additional boy or girl in the family are considered to need a bedroom.  If there are two opposite sex siblings under 5 years of age, they are expected to share a bedroom.  Moreover, bachelor unit, which have no bedroom, are considered suitable for a household of one individual. A dwelling is considered affordable if it cost less than 30 per cent of before-tax household income.  For renters, shelter costs include rent and any payment for electricity, fuel, water and other municipal services. For owners, they include mortgage payments (principal and interest), property taxes, condominium fees and payments for electricity, fuel, water and other municipal services. An acceptable dwelling is one which meets all three of the adequacy, suitability and affordability standards.</t>
  </si>
  <si>
    <t>sample too small</t>
  </si>
  <si>
    <t>All regions</t>
  </si>
  <si>
    <t>Per cent of family units</t>
  </si>
  <si>
    <t>Number of family units</t>
  </si>
  <si>
    <t>Share of wealth (per cent)</t>
  </si>
  <si>
    <t>Median wealth</t>
  </si>
  <si>
    <t>All provinces</t>
  </si>
  <si>
    <t>Average</t>
  </si>
  <si>
    <t>Median</t>
  </si>
  <si>
    <t>% change in average, 1984-1999</t>
  </si>
  <si>
    <t>% change in median, 1984-1999</t>
  </si>
  <si>
    <t xml:space="preserve">Couples 65 and older </t>
  </si>
  <si>
    <t xml:space="preserve">Couples under 65 without children </t>
  </si>
  <si>
    <t xml:space="preserve">Couples under 65 with children under 18 </t>
  </si>
  <si>
    <t xml:space="preserve">Couples under 65 with children 18 and older </t>
  </si>
  <si>
    <t xml:space="preserve">Lone parent families </t>
  </si>
  <si>
    <t xml:space="preserve">Unattached persons 65 and older </t>
  </si>
  <si>
    <t xml:space="preserve">Unattached persons under 65 </t>
  </si>
  <si>
    <t>Source: Table II-4 from page 19 in Steve Kerstetter, "Rags and Riches: Wealth Inequality in Canada", Canadian Center for Policy Alternatives (CCPA), December 2002, available at http://www.policyalternatives.ca/documents/National_Office_Pubs/rags_riches.pdf</t>
  </si>
  <si>
    <t xml:space="preserve">      65 and older</t>
  </si>
  <si>
    <t>Family income after tax</t>
  </si>
  <si>
    <t xml:space="preserve">    Less than $10,000</t>
  </si>
  <si>
    <t xml:space="preserve">   $20,000 - $29,999</t>
  </si>
  <si>
    <t xml:space="preserve">   $30,000 - $39,999</t>
  </si>
  <si>
    <t xml:space="preserve">   $40,000 - $49,999</t>
  </si>
  <si>
    <t xml:space="preserve">   $50,000 - $74,999</t>
  </si>
  <si>
    <t xml:space="preserve">   $75,000+</t>
  </si>
  <si>
    <t>Members of at least one of the five groups</t>
  </si>
  <si>
    <t>By groups:</t>
  </si>
  <si>
    <t>Lone parents</t>
  </si>
  <si>
    <t>Unattached 45-64</t>
  </si>
  <si>
    <t>Incidence of medium-term unemployment (per cent)</t>
  </si>
  <si>
    <t>Incidence of long-term unemployment (per cent)</t>
  </si>
  <si>
    <t>Source: Table II-6 from page 21 in Steve Kerstetter, "Rags and Riches: Wealth Inequality in Canada", Canadian Center for Policy Alternatives (CCPA), December 2002, available at http://www.policyalternatives.ca/documents/National_Office_Pubs/rags_riches.pdf</t>
  </si>
  <si>
    <t>Source : Based on SHS estimates.  Cansim series  v3310376,  v3310381,  v3310386,  v3310391,  v3310396,  v3310401,  v3310406,  v3310411,  v3310416,  v3310421,  v3310426,  v3310431,  v3310436,  v3310441,  v3310446,  v3310451,  v3310456,  v3310461 and  v3310466</t>
  </si>
  <si>
    <t xml:space="preserve"> Total expenditure</t>
  </si>
  <si>
    <t xml:space="preserve"> Total current consumption</t>
  </si>
  <si>
    <t xml:space="preserve"> Food</t>
  </si>
  <si>
    <t xml:space="preserve"> Shelter</t>
  </si>
  <si>
    <t xml:space="preserve"> Household operation</t>
  </si>
  <si>
    <t xml:space="preserve">Note: An adequate dwelling is defined as one which does not require any major repairs, as reported by their residents.  Suitability is defined using the national Occupancy Standard requirements which identify the number of bedroom suitable according to the number and type of residents in the household.  Each cohabitating adult couple, each unattached household member 18 years of age and over, each same-sex pair of children under age 18 and additional boy or girl in the family are considered to need a bedroom.  If there are two opposite sex siblings under 5 years of age, they are expected to share a bedroom.  Moreover, bachelor unit, which have no bedroom, are considered suitable for a household of one individual. A dwelling is considered affordable if it cost less than 30 per cent of before-tax household income.  For renters, shelter costs include rent and any payment for electricity, fuel, water and other municipal services. For owners, they include mortgage payments (principal and interest), property taxes, condominium fees and payments for electricity, fuel, water and other municipal services. An acceptable dwelling is one which meets all three of the adequacy, suitability and affordability standards. It is also called core housing standards. </t>
  </si>
  <si>
    <t>Variance</t>
  </si>
  <si>
    <t>Recent immigrant</t>
  </si>
  <si>
    <t>Mid-immigrant</t>
  </si>
  <si>
    <t>Long-term immigrant</t>
  </si>
  <si>
    <t xml:space="preserve">           - Involuntary part-timers who have a second job and work full-time hours between both jobs are excluded.  Also, the number of involuntary part-timers is expressed as a "full-time equivalent".</t>
  </si>
  <si>
    <t>Standard Deviation</t>
  </si>
  <si>
    <t>(Percent)</t>
  </si>
  <si>
    <t>Total food insecurity</t>
  </si>
  <si>
    <t>Not enough to eat</t>
  </si>
  <si>
    <t>Low/Lower to middle income</t>
  </si>
  <si>
    <t>Middle to high income</t>
  </si>
  <si>
    <t xml:space="preserve">Source: 2000/01 Canadian Community Health Survey, cited in Food Insecurity by Ingrid Ledrou and Jean Gervais, </t>
  </si>
  <si>
    <t>Statitistics Canada Health Reports, Vol 16, No.3, May 2005.</t>
  </si>
  <si>
    <t>For Prince Edward Island, the minimum wage rate from1965-1973 refers to men's rate, after 1973, the minimum wage rate applied to both men and women</t>
  </si>
  <si>
    <t xml:space="preserve"> </t>
  </si>
  <si>
    <t>Canada (1)</t>
  </si>
  <si>
    <t>Canada (2)</t>
  </si>
  <si>
    <t>Canada (3)</t>
  </si>
  <si>
    <t xml:space="preserve">HRSDC(Human Resource and Social Development Canada) Database on Minimum Wages, </t>
  </si>
  <si>
    <t>Note : The sample consists of individuals aged 15-64, who are not full-time students, worked mainly full-time, and received a wage or salary but no income from self-employment in the year prior to the census.  Low-paid workers are those full-time employees earning less than $375 per week, i.e $10 per hour on a full-time basis (2000 dollars). Based on Census Population for 1981, 1991 and 2001.</t>
  </si>
  <si>
    <t xml:space="preserve"> Population 16-64</t>
  </si>
  <si>
    <t>Share of Low-Income in 2000</t>
  </si>
  <si>
    <t>Source : Based on SCF/SLID estimates.  Cansim series v1560778,v1561050,v1561178,v1561296, v1561424, v1561556, v1561692,  v1561962, v1562088, v1562220 and v1562352.</t>
  </si>
  <si>
    <t>Source : Based on SCF/SLID estimates.  Cansim series v1560777,v1561049,v1561177,v1561295,v1561423, v1561555, v1561691, v1561961,v1562087,v1562219 and v1562351.</t>
  </si>
  <si>
    <t>Inadequate</t>
  </si>
  <si>
    <t>Moderately adequate</t>
  </si>
  <si>
    <t>Very adequate</t>
  </si>
  <si>
    <t xml:space="preserve">If I lose my job, I am confident I could count on government support programs to support me and my family adequately while I look for a new job. </t>
  </si>
  <si>
    <t>Not confident</t>
  </si>
  <si>
    <t>Neither</t>
  </si>
  <si>
    <t>Confident</t>
  </si>
  <si>
    <t xml:space="preserve">I think there is a good chance I could lose my job over the next couple of years. </t>
  </si>
  <si>
    <t>Disagree</t>
  </si>
  <si>
    <t>Agree</t>
  </si>
  <si>
    <t>Note: Implicit tax rate is calculated by (PI-PDI)/PI*100.</t>
  </si>
  <si>
    <t>84-89</t>
  </si>
  <si>
    <r>
      <t>1</t>
    </r>
    <r>
      <rPr>
        <sz val="10"/>
        <rFont val="Times New Roman"/>
        <family val="1"/>
      </rPr>
      <t xml:space="preserve"> Includes crude oil, natural gas, crude bitumen, coal and uranium.</t>
    </r>
  </si>
  <si>
    <r>
      <t>2</t>
    </r>
    <r>
      <rPr>
        <sz val="10"/>
        <rFont val="Times New Roman"/>
        <family val="1"/>
      </rPr>
      <t xml:space="preserve"> Includes nickel, copper, iron, molydenum, zinc, gold, silver and lead.</t>
    </r>
  </si>
  <si>
    <r>
      <t>3</t>
    </r>
    <r>
      <rPr>
        <sz val="10"/>
        <rFont val="Times New Roman"/>
        <family val="1"/>
      </rPr>
      <t xml:space="preserve"> Includes potash.</t>
    </r>
  </si>
  <si>
    <t>(9)</t>
  </si>
  <si>
    <t>(11)</t>
  </si>
  <si>
    <t>(1)=(2)+(3)+(4)+(5)+(6)+(7)+(8)+(9)+(10)+(11)</t>
  </si>
  <si>
    <t xml:space="preserve"> Data in the LICO-IAT column are using post-income tax low income Cut-off.</t>
  </si>
  <si>
    <t xml:space="preserve"> Data in the LICO-IBT column are using pre-income tax low income Cut-off.</t>
  </si>
  <si>
    <t xml:space="preserve"> Data in the LIM-IAT column are using post-income tax low income Measure.</t>
  </si>
  <si>
    <t>Source : Based on SCF/SLID estimates.  Cansim series v25746674, v25746710, v25746728, v25746746, v25746764, v25746782, v25746800, v25746836, v25746854, v25746872 and v25746890</t>
  </si>
  <si>
    <t xml:space="preserve"> Unemployment Rate</t>
  </si>
  <si>
    <t>Scaled Unemployment Rate</t>
  </si>
  <si>
    <t xml:space="preserve"> Proportion of Unemployed receiving benefits (coverage)</t>
  </si>
  <si>
    <t xml:space="preserve"> Proportion of Earnings replaced by Benefits</t>
  </si>
  <si>
    <t>Financial Protection for Unemployment</t>
  </si>
  <si>
    <t>Scaled Financial Protection for Unemployment</t>
  </si>
  <si>
    <t>Overall Index of Security from the Risk Imposed by Unemployment</t>
  </si>
  <si>
    <t>A'</t>
  </si>
  <si>
    <t>D=B*C</t>
  </si>
  <si>
    <t>D'</t>
  </si>
  <si>
    <t>E=A'*0.8+D'*0.2</t>
  </si>
  <si>
    <t>See first page for notes.</t>
  </si>
  <si>
    <t>Unemployment rate Scaling</t>
  </si>
  <si>
    <t>Financial protection Scaling</t>
  </si>
  <si>
    <t>HI</t>
  </si>
  <si>
    <t>LO</t>
  </si>
  <si>
    <t>DIFF</t>
  </si>
  <si>
    <t>10%DIFF</t>
  </si>
  <si>
    <t>MAX</t>
  </si>
  <si>
    <t>MIN</t>
  </si>
  <si>
    <t>MAX-MIN</t>
  </si>
  <si>
    <t>Proportion of Private Expenditure on Healthcare in Personal Disposable Income</t>
  </si>
  <si>
    <t>Index of Security from the Risk Imposed by Illness</t>
  </si>
  <si>
    <t xml:space="preserve">            - Family types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</si>
  <si>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 xml:space="preserve">             - Family types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</si>
  <si>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 xml:space="preserve">            - Family types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t>
  </si>
  <si>
    <r>
      <t>National Balance Sheet</t>
    </r>
    <r>
      <rPr>
        <vertAlign val="superscript"/>
        <sz val="10"/>
        <rFont val="Times New Roman"/>
        <family val="1"/>
      </rPr>
      <t>1</t>
    </r>
  </si>
  <si>
    <r>
      <t xml:space="preserve"> Total for all sectors</t>
    </r>
    <r>
      <rPr>
        <vertAlign val="superscript"/>
        <sz val="10"/>
        <rFont val="Times New Roman"/>
        <family val="1"/>
      </rPr>
      <t>2</t>
    </r>
  </si>
  <si>
    <t xml:space="preserve">Median income </t>
  </si>
  <si>
    <t># of persons (x1,000)</t>
  </si>
  <si>
    <t># of children 0-17 (x1,000)</t>
  </si>
  <si>
    <t># of persons 65+ (x1,000)</t>
  </si>
  <si>
    <t>All low income families &amp; non-family persons</t>
  </si>
  <si>
    <t>Percentage of all low income families &amp; non-family persons</t>
  </si>
  <si>
    <t># of family unit</t>
  </si>
  <si>
    <t xml:space="preserve">           - Family units include economic families of two persons or more and unattached individuals.</t>
  </si>
  <si>
    <t xml:space="preserve">Note: The low income gap is the amount that a low income family falls short of the relevant low income cutoff. For the calculation of this gap, negative incomes are treated as zero. For example, a family with an income of $15,000 and a low income cutoff of $20,000 would have a low income gap of $5,000. In percentage terms this gap would be 25%. The average gap for a given population, whether expressed in dollar or percentage terms, is the average of these values as calculated for each unit. </t>
  </si>
  <si>
    <t>Source : Based on SCF/SLID estimates.  Cansim series v1543290, v1543398, v1543452, v1543506, v1543560, v1543614, v1543668, v1543776, v1543830, v1543884 and v1543938</t>
  </si>
  <si>
    <t>YEARS</t>
  </si>
  <si>
    <r>
      <t>National Balance Sheet</t>
    </r>
    <r>
      <rPr>
        <vertAlign val="superscript"/>
        <sz val="10"/>
        <rFont val="Times New Roman"/>
        <family val="1"/>
      </rPr>
      <t>2</t>
    </r>
  </si>
  <si>
    <t>Implicit transfer rate, per cent</t>
  </si>
  <si>
    <r>
      <t xml:space="preserve">2 </t>
    </r>
    <r>
      <rPr>
        <sz val="10"/>
        <rFont val="Times New Roman"/>
        <family val="1"/>
      </rPr>
      <t xml:space="preserve">National balance sheet includes persons and unincorporated business, corporations and government business enterprises and government. </t>
    </r>
  </si>
  <si>
    <t>Lowest quintile</t>
  </si>
  <si>
    <t>Second quintile</t>
  </si>
  <si>
    <t>Third quintile</t>
  </si>
  <si>
    <t>Fourth quintile</t>
  </si>
  <si>
    <t>Highest quintile</t>
  </si>
  <si>
    <t>Unadjusted for family size</t>
  </si>
  <si>
    <t>Adjusted for family size</t>
  </si>
  <si>
    <t>Unemployed - 26 weeks (thousands of persons)</t>
  </si>
  <si>
    <t>Unemployed - 27-51 weeks (thousands of persons)</t>
  </si>
  <si>
    <t>Unemployed - 52 weeks (thousands of persons)</t>
  </si>
  <si>
    <t>I  Standard</t>
  </si>
  <si>
    <t>II  Households Meeting the Housing Standard in I</t>
  </si>
  <si>
    <t>III  Households Not Meeting the Housing Standard in I</t>
  </si>
  <si>
    <t>Able to access acceptable housing</t>
  </si>
  <si>
    <t>Uable to access acceptable housing-in core housing need</t>
  </si>
  <si>
    <t>Total</t>
  </si>
  <si>
    <t>Owner</t>
  </si>
  <si>
    <t>Renter</t>
  </si>
  <si>
    <t>Adequacy</t>
  </si>
  <si>
    <t>Suitability</t>
  </si>
  <si>
    <t>Affordability</t>
  </si>
  <si>
    <t>Acceptability</t>
  </si>
  <si>
    <t>2. Excludes public plans administered or sponsored by governments: Old Age Security (OAS) including the Guaranteed Income Supplement (GIS) and the Spouse's Allowance (SPA), as well as the Canada/Quebec Pension Plans (C/QPP).</t>
  </si>
  <si>
    <t>4. Employer-sponsored Registered Pension Plans (EPPs). These plans were valued on a termination basis. Only plan membership to the time of the survey was considered. Interest rates are assumed based on current market rates.</t>
  </si>
  <si>
    <t>5. Includes such things as Deferred Profit Sharing Plans (DPSPs) and annuities.</t>
  </si>
  <si>
    <t>Source: Based on Cansim series v646925, v646927, (v646931, v646932), v646930, v646935, (v646928, v646929), (v3860276, v3860270) and (v646936, v646933). Data scaled from thousands to millions of $ by the CSLS.</t>
  </si>
  <si>
    <t>Growth rates and shares calculated by the CSLS.</t>
  </si>
  <si>
    <t>Source: Based on Cansim series v691567, v691568, (v691569, v691570), v691571 and (v691572, v691573, v691574). Data scaled from thousands to millions by the CSLS.</t>
  </si>
  <si>
    <t>Percentage point changes calculated by the CSLS.</t>
  </si>
  <si>
    <t xml:space="preserve">Total percentage point change calculated by the CSLS. </t>
  </si>
  <si>
    <t xml:space="preserve">Source: Table 47. Calculated by the CSLS. </t>
  </si>
  <si>
    <t>Source : Calculated using Table 24C by the CSLS.</t>
  </si>
  <si>
    <t>Source : Calculated using Table 24B by the CSLS.</t>
  </si>
  <si>
    <t>Source : Calculated using Table 24A by the CSLS.</t>
  </si>
  <si>
    <t>Source: Table 22B. Calculated by the CSLS.</t>
  </si>
  <si>
    <t>Source: Calculated using Table 22A by the CSLS.</t>
  </si>
  <si>
    <t>Source : Calculated using Table 20A and Table 9B by the CSLS.</t>
  </si>
  <si>
    <t xml:space="preserve">Source : Table 9B. Calculated by the CSLS. </t>
  </si>
  <si>
    <t>Source : Calculated using Table 17A by the CSLS.</t>
  </si>
  <si>
    <t>Source : Calculated using Table 16F by the CSLS.</t>
  </si>
  <si>
    <t>Source : Calculated using Table 16B by the CSLS</t>
  </si>
  <si>
    <t>Source : Calculated using Table 15C by the CSLS.</t>
  </si>
  <si>
    <t xml:space="preserve">Source : Calculated using Table 15B by the CSLS. </t>
  </si>
  <si>
    <t>Source : Calculated using Table 15A by the CSLS.</t>
  </si>
  <si>
    <t xml:space="preserve">Source : Calculated using Table 14C by the CSLS. </t>
  </si>
  <si>
    <t>Source : Calculated using Table 14B by the CSLS.</t>
  </si>
  <si>
    <t xml:space="preserve">Source : Calculated using Table 14A by the CSLS. </t>
  </si>
  <si>
    <t>Source : Calculations from Table 13a by the CSLS.</t>
  </si>
  <si>
    <t>Source : Calculated from Table 13D and Table 1 by the CSLS.</t>
  </si>
  <si>
    <t>Source : Calculated using Table 1, Table 2, Table 4 and Table 13A by the CSLS.</t>
  </si>
  <si>
    <t>Source : Calculated using Table 12C by the CSLS</t>
  </si>
  <si>
    <t>Source : Calculated using Table 12B by the CSLS.</t>
  </si>
  <si>
    <t>Source : Calculated using Table 12A by the CSLS.</t>
  </si>
  <si>
    <t>Source : Calculated using Table 11C by the CSLS.</t>
  </si>
  <si>
    <t>Weight for Security from Risk Imposed by Illness</t>
  </si>
  <si>
    <t>Weight for Security from Risk Imposed by Single-Parent Poverty</t>
  </si>
  <si>
    <t>Weight for Security from Risk Imposed by Poverty in Old Age</t>
  </si>
  <si>
    <t>Overall Index of Economic Security</t>
  </si>
  <si>
    <t>Overall index of economic security = the sum of each component multiplied by its respective weight in each year.</t>
  </si>
  <si>
    <t>(in millions of current dollars)</t>
  </si>
  <si>
    <t>Total government transfer payments to persons</t>
  </si>
  <si>
    <t xml:space="preserve">Source:  Statistics Canada Labour Force Survey in CANSIM II:  Numbers: v2756052 ,v2756064 ,v2756100 ,v2756148 ,v2756160 ,v2756196 ,v2756232 ,v2756244 ,v2756328 ,v2756400  and v2756412. </t>
  </si>
  <si>
    <t>V2368997</t>
  </si>
  <si>
    <t>V2368998</t>
  </si>
  <si>
    <t>V2369001</t>
  </si>
  <si>
    <t>Average Annual Growth Rate,%</t>
  </si>
  <si>
    <t>Notes: - Total income refers to income from all sources including government transfers before deduction of federal and provincial income taxes.  It may also be called income before tax (but after transfers).  All sources of income are identified as belonging to either market income or government transfers.</t>
  </si>
  <si>
    <t>Share of total employee in population, per cent</t>
  </si>
  <si>
    <t>Average hourly rate, dollars</t>
  </si>
  <si>
    <t>Median hourly rate, dollars</t>
  </si>
  <si>
    <t>Male</t>
  </si>
  <si>
    <t>Female</t>
  </si>
  <si>
    <t>Female/Male, per cent</t>
  </si>
  <si>
    <t>Estimated</t>
  </si>
  <si>
    <t>Shares of total</t>
  </si>
  <si>
    <t xml:space="preserve">     Elderly families</t>
  </si>
  <si>
    <t xml:space="preserve">     Non-elderly families</t>
  </si>
  <si>
    <t>Two-parent families with children</t>
  </si>
  <si>
    <t>Married couples with other relatives</t>
  </si>
  <si>
    <t>Lone-parent families</t>
  </si>
  <si>
    <t>Other non-elderly families</t>
  </si>
  <si>
    <t>Elderly males</t>
  </si>
  <si>
    <t>Elderly females</t>
  </si>
  <si>
    <t>Non-elderly males</t>
  </si>
  <si>
    <t>Non-elderly females</t>
  </si>
  <si>
    <t>Source: Table VI-6 from page 57 in Steve Kerstetter, "Rags and Riches: Wealth Inequality in Canada", Canadian Center for Policy Alternatives (CCPA), December 2002, available at http://www.policyalternatives.ca/documents/National_Office_Pubs/rags_riches.pdf</t>
  </si>
  <si>
    <t>Aggregate wealth  ( in millions)</t>
  </si>
  <si>
    <t>Absolute Change over Period</t>
  </si>
  <si>
    <t>Absolute Percentage Change over Period</t>
  </si>
  <si>
    <r>
      <t>Selected energy resources</t>
    </r>
    <r>
      <rPr>
        <vertAlign val="superscript"/>
        <sz val="10"/>
        <rFont val="Times New Roman"/>
        <family val="1"/>
      </rPr>
      <t>1</t>
    </r>
  </si>
  <si>
    <t>Source : Based on national balance sheet, national wealth accounts.  Cansim series V34957, V34958, V34959, V34960, V34961, V34963, V34964, V34966, V34972 and V34979</t>
  </si>
  <si>
    <t xml:space="preserve"> Unattached individuals </t>
  </si>
  <si>
    <t xml:space="preserve">Under 65 years </t>
  </si>
  <si>
    <t xml:space="preserve">In two-parent families </t>
  </si>
  <si>
    <t>Source : Based on SCF/SLID estimates.  Cansim series V1554030, V1554233, V1554321, V1554393, V1554487, V1554582, V1554681, V1554883, V1554975, V1555073 and V1555172</t>
  </si>
  <si>
    <t>2003Q1</t>
  </si>
  <si>
    <t>2003Q2</t>
  </si>
  <si>
    <t>2003Q3</t>
  </si>
  <si>
    <t>2003Q4</t>
  </si>
  <si>
    <t>2004Q1</t>
  </si>
  <si>
    <t>2004Q2</t>
  </si>
  <si>
    <t>2004Q3</t>
  </si>
  <si>
    <t>2004Q4</t>
  </si>
  <si>
    <t>Average unemployed (thousands of persons)</t>
  </si>
  <si>
    <t xml:space="preserve"> services for the year 2000 assuming that all items in the basket were entirely provided for out of the spending of the household.</t>
  </si>
  <si>
    <t xml:space="preserve">Note: The incidence of low income for individuals is the percentage of individuals living in families whose dispoable
</t>
  </si>
  <si>
    <t>income falls below the relevant low-income threshold.</t>
  </si>
  <si>
    <t xml:space="preserve"> Data in the MBM column are using Market Basket Measure, which estimates the cost of a specific basket of goods and
</t>
  </si>
  <si>
    <t>(10)</t>
  </si>
  <si>
    <t>Total Growth Rate, %</t>
  </si>
  <si>
    <t>83-89</t>
  </si>
  <si>
    <t>To calculate Variance</t>
  </si>
  <si>
    <t>1, the difference between the original value and the weighted mean.</t>
  </si>
  <si>
    <t>2, The squre of the difference</t>
  </si>
  <si>
    <t>Simple mean</t>
  </si>
  <si>
    <t>Weighted mean</t>
  </si>
  <si>
    <t>Source : Calculated using Table 11A by the CSLS.</t>
  </si>
  <si>
    <t>Source :  Table 8A and 9A. Calculated by the CSLS</t>
  </si>
  <si>
    <t xml:space="preserve">Source : Calculated using Table 9B by the CSLS. </t>
  </si>
  <si>
    <t>Source : Calculated using Table 5 and Table 9A by the CSLS.</t>
  </si>
  <si>
    <t>Source : Calculated using Table 4 and Table 9A by the CSLS</t>
  </si>
  <si>
    <t>Source : Calculated using Table 8B by the CSLS</t>
  </si>
  <si>
    <t xml:space="preserve">Source : Calculated using Table 4 and Table 8A by the CSLS. </t>
  </si>
  <si>
    <t xml:space="preserve">Source : Calculated using Table 7A by the CSLS. </t>
  </si>
  <si>
    <t>Source : Calculated using Table 1 and Table 2A, Table 2B and Table 2C by the CSLS.</t>
  </si>
  <si>
    <t>Source : Calculated using Table 1 and Table 2A by the CSLS.</t>
  </si>
  <si>
    <t xml:space="preserve">           on April 18th 2006. For the year 1983-1990, data extended by the minimum wage rate from SEPH series:  V255306,V305801,</t>
  </si>
  <si>
    <t xml:space="preserve">          V312337, V293950, V273324,V259981,V268325,V287697,V263294,V280183,V299527.</t>
  </si>
  <si>
    <r>
      <t>1</t>
    </r>
    <r>
      <rPr>
        <sz val="10"/>
        <rFont val="Times New Roman"/>
        <family val="1"/>
      </rPr>
      <t>Refers to the total economic families and unattached individuals</t>
    </r>
  </si>
  <si>
    <r>
      <t>2</t>
    </r>
    <r>
      <rPr>
        <sz val="10"/>
        <rFont val="Times New Roman"/>
        <family val="1"/>
      </rPr>
      <t xml:space="preserve"> Refers to no children at home.</t>
    </r>
  </si>
  <si>
    <r>
      <t>3</t>
    </r>
    <r>
      <rPr>
        <sz val="10"/>
        <rFont val="Times New Roman"/>
        <family val="1"/>
      </rPr>
      <t>In the case of families, refers to major income recipient.</t>
    </r>
  </si>
  <si>
    <t xml:space="preserve">In female lone-parent families </t>
  </si>
  <si>
    <t xml:space="preserve">In all other economic families </t>
  </si>
  <si>
    <t>Source : Based on SCF/SLID estimates.  Cansim series  v1560774, v1560778, v1560782, v1560786, v1560790, v1560794, v1560798, v1560802, v1560806, v1560810, v1560814, v1560818, v1560822, v1560826, v1560830, v1560834, v1560838, v1560842, v1560846, v1560850, v1560854, v1560858, v1560862, v1560866, v1560870, v1560874, v1560878, v1560882, v1560886, v1560890, v1560894, v1560898, v1560902 and v1560906.</t>
  </si>
  <si>
    <t>Source : Based on national balance sheet accounts.  Cansim series v34792, v33496, v31741, v32619, v34640 and v34734</t>
  </si>
  <si>
    <t>Source : Based on LFS estimates.  Cansim series V2170202, V2170418, V2170634, V2170850, V2171066, V2171282, V2171498, V2171714, V2171930, V2172146, V2172362, v2170204, v2170420,  v2170636, v2170852, v2171068, v2171284, v2171500, v2171716, v2171932, v2172148 and v2172364.</t>
  </si>
  <si>
    <t>na</t>
  </si>
  <si>
    <t>n.a</t>
  </si>
  <si>
    <t>Implicit tax rate, per cent</t>
  </si>
  <si>
    <t>Share of income tax, per cent</t>
  </si>
  <si>
    <t>Share of governement transfers, per cent</t>
  </si>
  <si>
    <t>Source : Based on SCF/SLID estimates.  Calculations from Cansim series v21188958, v21188959, v21188960, v21188961, v21188962, v21188946, v21188947, v21188948, v21188949, v21188950, v21188952, v21188953, v21188954,v21188955 and v21188956.</t>
  </si>
  <si>
    <t>A: Official unemployment rate plus discouraged searchers</t>
  </si>
  <si>
    <t>B: Official unemployment rate plus involuntary part-timers (in full-time equivalents)</t>
  </si>
  <si>
    <t>MBM, %</t>
  </si>
  <si>
    <t>LICO-IAT, %</t>
  </si>
  <si>
    <t>LICO-IBT, %</t>
  </si>
  <si>
    <t>LIM-IAT, %</t>
  </si>
  <si>
    <t>Table 19H: Median Wealth by Economic Family Type, 1999 and 2005 (2005$)</t>
  </si>
  <si>
    <t>% change 1999-2005</t>
  </si>
  <si>
    <t>Economic families of two or more</t>
  </si>
  <si>
    <t xml:space="preserve">   Elderly families</t>
  </si>
  <si>
    <t xml:space="preserve">   Non-elderly families</t>
  </si>
  <si>
    <t xml:space="preserve">      Couples with children under 18</t>
  </si>
  <si>
    <t>1 No children at home</t>
  </si>
  <si>
    <t>2 Includes lone-parent families</t>
  </si>
  <si>
    <r>
      <t xml:space="preserve">      Couples only</t>
    </r>
    <r>
      <rPr>
        <vertAlign val="superscript"/>
        <sz val="10"/>
        <rFont val="Times New Roman"/>
        <family val="1"/>
      </rPr>
      <t>1</t>
    </r>
  </si>
  <si>
    <r>
      <t xml:space="preserve">      Other non-elderly families</t>
    </r>
    <r>
      <rPr>
        <vertAlign val="superscript"/>
        <sz val="10"/>
        <rFont val="Times New Roman"/>
        <family val="1"/>
      </rPr>
      <t>2</t>
    </r>
  </si>
  <si>
    <r>
      <t xml:space="preserve">Source: </t>
    </r>
    <r>
      <rPr>
        <i/>
        <sz val="10"/>
        <rFont val="Times New Roman"/>
        <family val="1"/>
      </rPr>
      <t>The Wealth of Canadians: An Overview of the Results of the Survey of Financial Security</t>
    </r>
    <r>
      <rPr>
        <sz val="10"/>
        <rFont val="Times New Roman"/>
        <family val="1"/>
      </rPr>
      <t>, based on the Survey of Financial Security (2005).</t>
    </r>
  </si>
  <si>
    <t>Constant 2005 $</t>
  </si>
  <si>
    <t>Change 1999-2005</t>
  </si>
  <si>
    <t>% of net worth growth for all families</t>
  </si>
  <si>
    <t>% of net worth</t>
  </si>
  <si>
    <t>Notes: - Market income is the sum of earnings (from employment and net self-employment), net investment income, (private) retirement income, and the items under "Other income".  It is equivalent to total income minus government transfers.  It is also called income before taxes and transfers.</t>
  </si>
  <si>
    <t xml:space="preserve">             - Family Units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</si>
  <si>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Personal Disposable Income</t>
  </si>
  <si>
    <t>Personal Savings</t>
  </si>
  <si>
    <t>Assets/PDI Ratio</t>
  </si>
  <si>
    <t>Liabilities/PDI Ratio</t>
  </si>
  <si>
    <t>Net worth/PDI Ratio</t>
  </si>
  <si>
    <t>Saving Rate, per cent</t>
  </si>
  <si>
    <t>As a percentage of assets</t>
  </si>
  <si>
    <t>ASSETS</t>
  </si>
  <si>
    <t>Financial assets, non pension</t>
  </si>
  <si>
    <t> Deposits in financial institutions</t>
  </si>
  <si>
    <t> Mutual and investment funds</t>
  </si>
  <si>
    <t> Stocks</t>
  </si>
  <si>
    <t> Bonds (savings and other)</t>
  </si>
  <si>
    <t>Non-financial assets</t>
  </si>
  <si>
    <t> Principal residence</t>
  </si>
  <si>
    <t> Other real estate</t>
  </si>
  <si>
    <t> Vehicles</t>
  </si>
  <si>
    <t>Equity in business</t>
  </si>
  <si>
    <t>DEBTS</t>
  </si>
  <si>
    <t>Line of credit</t>
  </si>
  <si>
    <t>Student loans</t>
  </si>
  <si>
    <t>Vehicle loans</t>
  </si>
  <si>
    <t>Assets</t>
  </si>
  <si>
    <t>Liabilities</t>
  </si>
  <si>
    <t>Other debt</t>
  </si>
  <si>
    <t>Other debts</t>
  </si>
  <si>
    <t>NET WORTH (assets less debts)</t>
  </si>
  <si>
    <t>Private pension assets</t>
  </si>
  <si>
    <t>Financial assets excluding pensions</t>
  </si>
  <si>
    <t>Notes: - An economic family is defined as a group of two or more persons who live in the same dwelling and are related to each other by blood, marriage, common law or adoption.</t>
  </si>
  <si>
    <t>Median income</t>
  </si>
  <si>
    <t># of persons</t>
  </si>
  <si>
    <t># of children 0-17</t>
  </si>
  <si>
    <t># of persons 65+</t>
  </si>
  <si>
    <t>Source: CANSIM Table 202-0411 Series v25739992, v25739993, v25739994, v25739997, v25739998, v25740002, v25740007, v25740008, v25740014, v25740015, v25740016, v25740019, v25740022, v25740025</t>
  </si>
  <si>
    <t>2, The square of the difference</t>
  </si>
  <si>
    <t>Source : Based on SCF/SLID estimates.  Cansim series v25742560, v25742561, v25742562, v25742563, v25742564, v25742565, v25742566, v25742567, v25742568, v25742569, v25742570, v25742571, v25742572, v25742573, v25742574, v25742575, v25742576, v25742577, v25742578, v25742579, v25742580, v25742581, v25742582, v25742583, v25742584, v25742585, v25742586, v25742587, v25742588, v25742589, v25742590, v25742591, v25742592, v25742593, v25742594 and v25742595</t>
  </si>
  <si>
    <t xml:space="preserve">Note : After 1996, a family unit is considered elderly if the major earner is 65 years or older.  Before 1996, a family unit is considered elderly if the head of the family is 65 years or older.  </t>
  </si>
  <si>
    <t>Source : Based on SCF/SLID estimates.  Cansim series v1543296, v1543404, v1543458, v1543512, v1543566, v1543620, v1543674, v1543782, v1543836, v1543890 and v1543944</t>
  </si>
  <si>
    <t>Source : Based on SCF/SLID estimates.  Cansim series v1543998, v1544106, v1544160, v1544214, v1544268, v1544322, v1544376, v1544484, v1544538, v1544592 and v1544646</t>
  </si>
  <si>
    <t xml:space="preserve"> Persons and unincorporated business per capita</t>
  </si>
  <si>
    <t xml:space="preserve"> Persons and unincorporated business per family unit</t>
  </si>
  <si>
    <t>-</t>
  </si>
  <si>
    <t>Canada</t>
  </si>
  <si>
    <t xml:space="preserve"> Persons and unincorporated business</t>
  </si>
  <si>
    <t>Nfld.</t>
  </si>
  <si>
    <t>N.S.</t>
  </si>
  <si>
    <t>N.B.</t>
  </si>
  <si>
    <t>Que.</t>
  </si>
  <si>
    <t>Ont.</t>
  </si>
  <si>
    <t>Man.</t>
  </si>
  <si>
    <t>Sask.</t>
  </si>
  <si>
    <t>Alta.</t>
  </si>
  <si>
    <t>B.C.</t>
  </si>
  <si>
    <t>P.E.I.</t>
  </si>
  <si>
    <t>Percentage point change</t>
  </si>
  <si>
    <t>Growth rates calculated by the CSLS.</t>
  </si>
  <si>
    <t xml:space="preserve">Growth rates calculated by the CSLS. </t>
  </si>
  <si>
    <t>Data scaled to billions of current $ from millions of current $ and growth rates calculated by the CSLS.</t>
  </si>
  <si>
    <t>Source: CSLS IEWB Database.</t>
  </si>
  <si>
    <t xml:space="preserve">            - Family type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</si>
  <si>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 xml:space="preserve">          - After 1996, a family unit is considered elderly if the major earner is 65 years or older.  Before 1996, a family unit is considered elderly if the head of the family is 65 years or older.  </t>
  </si>
  <si>
    <r>
      <t>1</t>
    </r>
    <r>
      <rPr>
        <sz val="10"/>
        <rFont val="Times New Roman"/>
        <family val="1"/>
      </rPr>
      <t xml:space="preserve"> This survey use a a 7-point scale where 1 is “not adequate at all” and 7 is “extremely adequate” and the mid-point 4 is “moderately adequate”. </t>
    </r>
  </si>
  <si>
    <t>Share of Low-Income Measured Over Five-Year Basis (persistent), 1996-2000,</t>
  </si>
  <si>
    <t>Share of Group in Low Income, 2000</t>
  </si>
  <si>
    <t>Share of Group in Persistent Low Income over 1996-2000</t>
  </si>
  <si>
    <t>Income Distribution: Ratio of top to bottom quintile</t>
  </si>
  <si>
    <t>After tax median income of economic families, 2005 constant dollars</t>
  </si>
  <si>
    <t>Incidence of economic families in low income, percent</t>
  </si>
  <si>
    <t>Scaled value of CSLS economic security</t>
  </si>
  <si>
    <t>Incidence of Long Term Unemployment</t>
  </si>
  <si>
    <t>RBC Housing Affordability Index</t>
  </si>
  <si>
    <t>Wealth Distribution: Ratio of top half to bottom half</t>
  </si>
  <si>
    <t>Persistence of low income for vulnerable groups for 5 years (1996-2001)</t>
  </si>
  <si>
    <t>Prevalence of food insecurity, per cent</t>
  </si>
  <si>
    <t>Average annual growth rate, %</t>
  </si>
  <si>
    <t>1981-1989</t>
  </si>
  <si>
    <t>1989-2000</t>
  </si>
  <si>
    <t>Income Distribution: Ratio of top to bottom quintile*</t>
  </si>
  <si>
    <t>Incidence of economic families in low income, percent*</t>
  </si>
  <si>
    <t>Incidence of Long Term Unemployment*</t>
  </si>
  <si>
    <t xml:space="preserve">CIBC Index of Emplyment Quality </t>
  </si>
  <si>
    <t>RBC Housing Affordability Index*</t>
  </si>
  <si>
    <t>Average overall index of living standards</t>
  </si>
  <si>
    <t>1988-2000</t>
  </si>
  <si>
    <t>*These colums use the reciprocal of the original index. An increased index value indicates an improvement in living standards.</t>
  </si>
  <si>
    <t>Source: Table 62</t>
  </si>
  <si>
    <t>Child Tax Benefit or Credit</t>
  </si>
  <si>
    <t>Old Age Security</t>
  </si>
  <si>
    <t>Canada Pension Plan</t>
  </si>
  <si>
    <t>Quebec Pension Plan</t>
  </si>
  <si>
    <t>Employment Insurance</t>
  </si>
  <si>
    <t>Average annual change, %</t>
  </si>
  <si>
    <t>Total change</t>
  </si>
  <si>
    <t>Source: v690764,v690769,v690771,v690780,v690781</t>
  </si>
  <si>
    <t>Annual Average Growth Rate, %</t>
  </si>
  <si>
    <t>81-04</t>
  </si>
  <si>
    <t>Source:</t>
  </si>
  <si>
    <t>Number of minimum wage workers from Battle, Ken"Minimum Wages in Canada," Caledon Institute of Social Policy, January 2003, based on 2000 estimates.</t>
  </si>
  <si>
    <t>Employment from Labour Force Survey, CANSIM II series, v2461119,v2461749,v2462379,v2463009,v2463639,v2464269,v2464899,v2465529,v2466159,v2466789,v2467419.</t>
  </si>
  <si>
    <t>Note:</t>
  </si>
  <si>
    <t>8. Includes major credit cards and retail store cards, gasoline station cards, etc. Installment debt is the total amount owing on deferred payment or installment plans where the purchased item is to be paid for over a period of time.</t>
  </si>
  <si>
    <t>Source: Statistics Canada, Survey of Financial Security.</t>
  </si>
  <si>
    <t>Canada (Unadjusted)</t>
  </si>
  <si>
    <t>Canada (Adjusted)*</t>
  </si>
  <si>
    <t>Total percentage point change</t>
  </si>
  <si>
    <t>Source : Unpublished data from Finances Canada</t>
  </si>
  <si>
    <t>*Assuming a 7.5 per cent unemployment rate</t>
  </si>
  <si>
    <r>
      <t>CANADA</t>
    </r>
    <r>
      <rPr>
        <vertAlign val="superscript"/>
        <sz val="10"/>
        <rFont val="Times New Roman"/>
        <family val="1"/>
      </rPr>
      <t>1</t>
    </r>
  </si>
  <si>
    <r>
      <t>Private pension assets</t>
    </r>
    <r>
      <rPr>
        <vertAlign val="superscript"/>
        <sz val="10"/>
        <rFont val="Times New Roman"/>
        <family val="1"/>
      </rPr>
      <t>1</t>
    </r>
  </si>
  <si>
    <r>
      <t> EPPs</t>
    </r>
    <r>
      <rPr>
        <vertAlign val="superscript"/>
        <sz val="10"/>
        <rFont val="Times New Roman"/>
        <family val="1"/>
      </rPr>
      <t>3</t>
    </r>
  </si>
  <si>
    <t xml:space="preserve">            - In order to take into account "economies of scale" of larger families, per capita income is not used.  Instead, an equivalence scale is used where the oldest person in the family is given a factor of 1.0, the second oldest a factor of 0.4, every other family member over the age of 16 a factor of 0.4 and every other family member under the age of 16 a factor of 0.3. Then then income is divided by the total of the family factors.</t>
  </si>
  <si>
    <t>Number of person in low income from Labour Force Survey, CANSIM II series, v1560782,v1561054,v1561182,v1561300,v1561428,v1561560,v1561696,v1561966,v1562092,v1562224,v1562356.</t>
  </si>
  <si>
    <t>65-06</t>
  </si>
  <si>
    <t>65-07</t>
  </si>
  <si>
    <t>81-07</t>
  </si>
  <si>
    <t>89-07</t>
  </si>
  <si>
    <t>00-07</t>
  </si>
  <si>
    <t>Minimum wages for the adult worker in Canada by province, last updated on October 3, 2006</t>
  </si>
  <si>
    <t xml:space="preserve">           Canada by province, last updated on October 3, 2006</t>
  </si>
  <si>
    <t>Source:HRSDC(Human Resource and Social Development Canada) Database on Minimum Wages, Minimum wages for the adult worker in Canada by province, October 3, 2006</t>
  </si>
  <si>
    <r>
      <t> Other financial assets</t>
    </r>
    <r>
      <rPr>
        <vertAlign val="superscript"/>
        <sz val="10"/>
        <rFont val="Times New Roman"/>
        <family val="1"/>
      </rPr>
      <t>5</t>
    </r>
  </si>
  <si>
    <r>
      <t> Other non-financial assets</t>
    </r>
    <r>
      <rPr>
        <vertAlign val="superscript"/>
        <sz val="10"/>
        <rFont val="Times New Roman"/>
        <family val="1"/>
      </rPr>
      <t>6</t>
    </r>
  </si>
  <si>
    <r>
      <t>Credit card and installment debt</t>
    </r>
    <r>
      <rPr>
        <vertAlign val="superscript"/>
        <sz val="10"/>
        <rFont val="Times New Roman"/>
        <family val="1"/>
      </rPr>
      <t>7</t>
    </r>
  </si>
  <si>
    <r>
      <t>Private pension assets</t>
    </r>
    <r>
      <rPr>
        <vertAlign val="superscript"/>
        <sz val="10"/>
        <rFont val="Times New Roman"/>
        <family val="1"/>
      </rPr>
      <t>2</t>
    </r>
  </si>
  <si>
    <r>
      <t>EPPs</t>
    </r>
    <r>
      <rPr>
        <vertAlign val="superscript"/>
        <sz val="10"/>
        <rFont val="Times New Roman"/>
        <family val="1"/>
      </rPr>
      <t>4</t>
    </r>
  </si>
  <si>
    <r>
      <t>Other financial assets</t>
    </r>
    <r>
      <rPr>
        <vertAlign val="superscript"/>
        <sz val="10"/>
        <rFont val="Times New Roman"/>
        <family val="1"/>
      </rPr>
      <t>6</t>
    </r>
  </si>
  <si>
    <r>
      <t>Other non-financial assets</t>
    </r>
    <r>
      <rPr>
        <vertAlign val="superscript"/>
        <sz val="10"/>
        <rFont val="Times New Roman"/>
        <family val="1"/>
      </rPr>
      <t>7</t>
    </r>
  </si>
  <si>
    <r>
      <t>Credit card and installment debt</t>
    </r>
    <r>
      <rPr>
        <vertAlign val="superscript"/>
        <sz val="10"/>
        <rFont val="Times New Roman"/>
        <family val="1"/>
      </rPr>
      <t>8</t>
    </r>
  </si>
  <si>
    <t>1. Excludes public plans administered or sponsored by governments: Old Age Security (OAS) including the Guaranteed Income Supplement (GIS) and the Spouse's Allowance (SPA), as well as the Canada/Quebec Pension Plans (C/QPP).</t>
  </si>
  <si>
    <t>Principal residence</t>
  </si>
  <si>
    <t>Non-financial assets excluding principal residence</t>
  </si>
  <si>
    <t>3. Employer-sponsored Registered Pension Plans (EPPs). These plans were valued on a termination basis. Only plan membership to the time of the survey was considered. Interest rates are assumed based on current market rates.</t>
  </si>
  <si>
    <t>4. Includes such things as Deferred Profit Sharing Plans (DPSPs) and annuities.</t>
  </si>
  <si>
    <t>Note: 1988 income was $51,700 for economic families</t>
  </si>
  <si>
    <t>Note: the rate for economic families in 1988 was 8.0 per cent</t>
  </si>
  <si>
    <t>*Data was transformed from monthly to annual by the CSLS for 1988-1993. The data was transformed from quarterly to annual in subsequent years.</t>
  </si>
  <si>
    <t xml:space="preserve">Note: The CIBC Employment Quality Index uses the following formula : EQI = 0.15 x (full-time/part-time) + 0.15 x (paid employment/self-employment) + 0.7 x (weighted ratio of employment in high-paying &amp; high stability industries to jobs in low paying &amp; low stability industries). </t>
  </si>
  <si>
    <t>Source: Email correspondance with CIBC employee Regina Tse</t>
  </si>
  <si>
    <t>Table 40: CIBC Employment Quality Quarterly Index for Canada, 1988-2006 (January 1994=100)</t>
  </si>
  <si>
    <t>Table 36: Prevalence of Food Insecurity and Not Having Enough to Eat, by Household Income, 2001</t>
  </si>
  <si>
    <t>Food Secure</t>
  </si>
  <si>
    <t>Moderate</t>
  </si>
  <si>
    <t>Severe</t>
  </si>
  <si>
    <t>PEI</t>
  </si>
  <si>
    <r>
      <t xml:space="preserve">Source: Statistics Canada. </t>
    </r>
    <r>
      <rPr>
        <i/>
        <sz val="10"/>
        <rFont val="Times New Roman"/>
        <family val="1"/>
      </rPr>
      <t xml:space="preserve">Income Related Household Food Security in Canada. </t>
    </r>
    <r>
      <rPr>
        <sz val="10"/>
        <rFont val="Times New Roman"/>
        <family val="1"/>
      </rPr>
      <t>Based on data collected through the Canadian Community Health Survey, Cycle 2.2.</t>
    </r>
  </si>
  <si>
    <t>Household Income Adequacy</t>
  </si>
  <si>
    <t>Lowest</t>
  </si>
  <si>
    <t>Middle</t>
  </si>
  <si>
    <t>Lower Middle</t>
  </si>
  <si>
    <t>Upper Middle</t>
  </si>
  <si>
    <t>Highest</t>
  </si>
  <si>
    <t>Note: F indicates a high coefficient of variation that warrants data being suppressed.</t>
  </si>
  <si>
    <t>Income adequacy groupings are derived as follows:</t>
  </si>
  <si>
    <t>Source: Statistics Canada. Income Related Household Food Security in Canada. Based on data collected through the Canadian Community Health Survey, Cycle 2.2.</t>
  </si>
  <si>
    <t>Table 35D: Nominal Hourly Minimum Wages as Percentage of the LFS- Based Nominal Average Hourly Wages</t>
  </si>
  <si>
    <t>The minimun wage rate applicable in regard to workers under federal jurisdiction is the general adult minimum rate of the province where the work is performed from Dec., 1996.</t>
  </si>
  <si>
    <t xml:space="preserve">     Nominal Minimum Wage, dollars</t>
  </si>
  <si>
    <t xml:space="preserve">     Nominal Average Wage, dollars</t>
  </si>
  <si>
    <t xml:space="preserve">     Minimum Wage as Percentage of the Average Wage, %</t>
  </si>
  <si>
    <t>Nominal Average Wage, dollars</t>
  </si>
  <si>
    <t>Nominal Minimum Wage, dollars</t>
  </si>
  <si>
    <t xml:space="preserve">     Nominal Median Wage, dollars</t>
  </si>
  <si>
    <t xml:space="preserve">     Minimum Wage as Percentage of the Median Wage, %</t>
  </si>
  <si>
    <t>Average hourly wage rate and median hourly wage rate for Canada and all provinces from Labour Force Survey estimates:  v2222245, v2228185, v2234125, v2240065, v2246005, v2251945, v2257885, v2263825, v2269765, v2275705, v2281645, v2222247, v2228187, v2234127, v2240067, v2246007, v2251947, v2257887, v2263827, v2269767, v2275707and v2281647</t>
  </si>
  <si>
    <t>Source : Based on SCF/SLID estimates.  Cansim series v1543992, v1543993, v1543994, v1543995, v1543996, v1543997, v1543998, v1543999, v1544000, v1544001, v1544002, v1544003, v1544004, v1544005, v1544006, v1544007, v1544008, v1544009, v1544010, v1544011, v1544012, v1544013, v1544014, v1544015, v1544016, v1544017, v1544018, v1544019, v1544020, v1544021, v1544022, v1544023, v1544024, v1544025, v1544026, v1544027, v1544028, v1544029, v1544030, v1544031, v1544032, v1544033, v1544034, v1544035, v1544036, v1544037, v1544038, v1544039, v1544040, v1544041, v1544042, v1544043, v1544044 and v1544045</t>
  </si>
  <si>
    <t xml:space="preserve">Notes: - The low income gap is the amount that a low income family falls short of the relevant low income cutoff. For the calculation of this gap, negative incomes are treated as zero. For example, a family with an income of $15,000 and a low income cutoff of $20,000 would have a low income gap of $5,000. In percentage terms this gap would be 25%. The average gap for a given population, whether expressed in dollar or percentage terms, is the average of these values as calculated for each unit. </t>
  </si>
  <si>
    <t xml:space="preserve">           - Family types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</si>
  <si>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Note: The LIM is a fixed percentage (50%) of the median national adjusted family income where adjusted indicates a consideration of family needs. The family size adjustment reflects the precept that family needs increase with family size. A family is considered to be low income when their income is below the LIM for their family type and size.</t>
  </si>
  <si>
    <r>
      <t>1</t>
    </r>
    <r>
      <rPr>
        <sz val="10"/>
        <rFont val="Times New Roman"/>
        <family val="1"/>
      </rPr>
      <t xml:space="preserve"> Average Annual Growth Rate.</t>
    </r>
  </si>
  <si>
    <r>
      <t>2</t>
    </r>
    <r>
      <rPr>
        <sz val="10"/>
        <rFont val="Times New Roman"/>
        <family val="1"/>
      </rPr>
      <t>Total Growth Rate.</t>
    </r>
  </si>
  <si>
    <t xml:space="preserve">Note: Trend is calculated using the method of least squares using data on Table 9B.  </t>
  </si>
  <si>
    <t>B: Provincial official unemployment rate plus involuntary part-timers as a proportion of the national average</t>
  </si>
  <si>
    <t xml:space="preserve"> Household furnishings and equipment</t>
  </si>
  <si>
    <t xml:space="preserve"> Clothing</t>
  </si>
  <si>
    <t xml:space="preserve"> Transportation</t>
  </si>
  <si>
    <t xml:space="preserve"> Health care</t>
  </si>
  <si>
    <t xml:space="preserve"> Personal care</t>
  </si>
  <si>
    <t xml:space="preserve"> Recreation</t>
  </si>
  <si>
    <t xml:space="preserve"> Reading materials and other printed matter</t>
  </si>
  <si>
    <t xml:space="preserve"> Education</t>
  </si>
  <si>
    <t xml:space="preserve"> Tobacco products and alcoholic beverages</t>
  </si>
  <si>
    <t>Source : Cansim series V466668, V466983, V467298, V467613, V467928, V468243, V468558, V468873, V469188, V469503 and V469818.</t>
  </si>
  <si>
    <t>(8)=(4)+(5)/(1)*100</t>
  </si>
  <si>
    <t>(7)=(2)+(3)/(1)*100</t>
  </si>
  <si>
    <t>(9)=(1)*52/(6)</t>
  </si>
  <si>
    <t>Index of Employment Quality</t>
  </si>
  <si>
    <t>Source: With minor modifications from Horizons, Garnett Picot and John Myles, "Income Inequality and Low Income in Canada," Policy Research Initiative, Volume 7 No. 2, December 2004. Table 6 and Table 7, based on Hatfield, M. 2003. “Persistent Low-Income: A Key Barrier to Social Inclusions.” Applied Research Branch, Human Resources Development Canada. Mimeo.</t>
  </si>
  <si>
    <t>Source:  Ron Saunders (2005) "Does a Rising Tide Lift All Boats? Low-paid Workers in Canada",Canadian Policy Research Networks Inc. Working Series, May 2005, Appendix B.  With minor modification from Morissette and Picot (2005), "Low-Paid Work and Economically Vulnerable Families Over the Last Two Decades?", Analytical Studies Branch Research Paper , Statistics Canada, Table 5</t>
  </si>
  <si>
    <t>Source : Based on SCF/SLID estimates.  Cansim series v1564223, v1564229, v1564235, v1564241, v1564247, v1564253, v1564259, v1564265, v1564271, v1564277, v1564283, v1564289, v1564295, v1564301, v1564307, v1564313, v1564319, v1564325, v1564331, v1564337, v1564343, v1564349, v1564355, v1564361, v1564367, v1564373, v14134966, v1564379, v1564385, v1564391, v1564397, v1564403, v1564409, v1564415, v1564421 and v1564427</t>
  </si>
  <si>
    <t>V2369005</t>
  </si>
  <si>
    <t>V2369006</t>
  </si>
  <si>
    <t>V2369009</t>
  </si>
  <si>
    <t>V2369012</t>
  </si>
  <si>
    <t>V2369013</t>
  </si>
  <si>
    <t>V2369020</t>
  </si>
  <si>
    <t>V2369026</t>
  </si>
  <si>
    <t>V2369027</t>
  </si>
  <si>
    <t>Source:  Statistics Canada Labour Force Survey in CANSIM II:  v2464227,v2464248,v2464269,v2464332,v2464605,v2464815.</t>
  </si>
  <si>
    <t>97-00</t>
  </si>
  <si>
    <t>CPI data from Statistics Canada CAMSIM II: v737344,v737638,v737773,v737907,v738042,v738177,v738313,v738449,</t>
  </si>
  <si>
    <t>v738585,v738721,v738856,v738992,v739116,v19699853 for 1914-2004. For all provinces, CPI backed to 1979.</t>
  </si>
  <si>
    <t>Source : Based on SCF/SLID estimates.  Cansim series  v1560773, v1560777, v1560781, v1560785, v1560789, v1560793, v1560797, v1560801, v1560805, v1560809, v1560813, v1560817, v1560821, v1560825, v1560829, v1560833, v1560837, v1560841, v1560845, v1560849, v1560853, v1560857, v1560861, v1560865, v1560869, v1560873, v1560877, v1560881, v1560885, v1560889, v1560893, v1560897, v1560901 and v1560905</t>
  </si>
  <si>
    <t xml:space="preserve">All persons </t>
  </si>
  <si>
    <t xml:space="preserve">Under 18 years </t>
  </si>
  <si>
    <t xml:space="preserve">           - An economic family is defined as a group of two or more persons who live in the same dwelling and are related to each other by blood, marriage, common law or adoption.</t>
  </si>
  <si>
    <t xml:space="preserve">           - In order to take into account "economies of scale" of larger families, per capita income is not used.  Instead, an equivalence scale is used where the oldest person in the family is given a factor of 1.0, the second oldest a factor of 0.4, every other family member over the age 0f 16 a factor of 0.4 and every other family member under the age of 16 a factor of 0.3 . Then, the income is divided by the total of the family factors.</t>
  </si>
  <si>
    <t xml:space="preserve">            - An economic family is defined as a group of two or more persons who live in the same dwelling and are related to each other by blood, marriage, common law or adoption.</t>
  </si>
  <si>
    <t>Note:The national minimum wage rate is calculated by weighted employment based on Labour Force Survey.</t>
  </si>
  <si>
    <t>A: Provincial official unemployment rate plus discouraged searchers as a proportion of the national average</t>
  </si>
  <si>
    <r>
      <t xml:space="preserve">1 </t>
    </r>
    <r>
      <rPr>
        <sz val="10"/>
        <rFont val="Times New Roman"/>
        <family val="1"/>
      </rPr>
      <t xml:space="preserve"> Net worth is assets minus liabilities.  Both non-financial (Residential structures, Non-residential structures, Machinery and equipment, Consumer durables, Inventories, Land) and financial (Official reserves, Currency and bank deposits, Deposits in other institutions, Foreign currency deposits, Consumer credit, Trade accounts receivable, Bank loans, Other loans, Canada short-term paper, Other short-term paper, Mortgages, Canada bonds, Provincial bonds, Municipal bonds, Other Canadian bonds, Life insurance and pensions, Corporate claims, Government claims, Shares, Foreign investments, Other financial assets) assets and liabilities are included.</t>
    </r>
  </si>
  <si>
    <t>94-00</t>
  </si>
  <si>
    <t>Groupes</t>
  </si>
  <si>
    <t>Single Employable</t>
  </si>
  <si>
    <t>Note: - Total income refers to income from all sources including government transfers before deduction of federal and provincial income taxes.  It may also be called income before tax (but after transfers).  All sources of income are identified as belonging to either market income or government transfers.</t>
  </si>
  <si>
    <t>Note: After-tax low income cut-offs (1992 base) were determined from an analysis of the 1992 Consumer Expenditure Survey data. These income limits were selected on the basis that persons with incomes below these limits usually spent 63.6% or more of their income.</t>
  </si>
  <si>
    <t>Expenditures</t>
  </si>
  <si>
    <t>Estimates</t>
  </si>
  <si>
    <t>2000-2001</t>
  </si>
  <si>
    <t>2001-2002</t>
  </si>
  <si>
    <t>2002-2003</t>
  </si>
  <si>
    <t>2003-2004</t>
  </si>
  <si>
    <t>2004-2005</t>
  </si>
  <si>
    <t>2005-2006</t>
  </si>
  <si>
    <t>Reinvestment</t>
  </si>
  <si>
    <t>Reinvestment &amp; Investment (Total)</t>
  </si>
  <si>
    <t>--</t>
  </si>
  <si>
    <t>P/T SUB-TOTAL</t>
  </si>
  <si>
    <t>First Nations</t>
  </si>
  <si>
    <t>“Other” SUB-TOTAL</t>
  </si>
  <si>
    <t>Source: National Child Benefit 2005, 2004, 2003 and 2002</t>
  </si>
  <si>
    <r>
      <t>Ontario </t>
    </r>
    <r>
      <rPr>
        <vertAlign val="superscript"/>
        <sz val="10"/>
        <rFont val="Times New Roman"/>
        <family val="1"/>
      </rPr>
      <t>a</t>
    </r>
  </si>
  <si>
    <r>
      <t>Manitoba </t>
    </r>
    <r>
      <rPr>
        <vertAlign val="superscript"/>
        <sz val="10"/>
        <rFont val="Times New Roman"/>
        <family val="1"/>
      </rPr>
      <t>b c</t>
    </r>
  </si>
  <si>
    <r>
      <t>Saskatchewan </t>
    </r>
    <r>
      <rPr>
        <vertAlign val="superscript"/>
        <sz val="10"/>
        <rFont val="Times New Roman"/>
        <family val="1"/>
      </rPr>
      <t>d</t>
    </r>
  </si>
  <si>
    <r>
      <t>Citizenship and Immigration Canada </t>
    </r>
    <r>
      <rPr>
        <vertAlign val="superscript"/>
        <sz val="10"/>
        <rFont val="Times New Roman"/>
        <family val="1"/>
      </rPr>
      <t>e</t>
    </r>
  </si>
  <si>
    <r>
      <t>How adequate would you say your income is in meeting your family’s basic needs?</t>
    </r>
    <r>
      <rPr>
        <i/>
        <vertAlign val="superscript"/>
        <sz val="10"/>
        <rFont val="Times New Roman"/>
        <family val="1"/>
      </rPr>
      <t>1</t>
    </r>
  </si>
  <si>
    <t xml:space="preserve">      Percent</t>
  </si>
  <si>
    <t xml:space="preserve">       Percent</t>
  </si>
  <si>
    <t xml:space="preserve">     Percent</t>
  </si>
  <si>
    <t>Source : Based on SCF/SLID estimates.  Cansim series v1542413, v1542414, v1542415, v1542416, v1542417, v1542418, v1542419, v1542420, v1542421, v1542422, v1542423, v1542424, v1542425, v1542426, v1542427, v1542428, v1542429, v1542430, v1542431, v1542432, v1542433, v1542434, v1542435, v1542436, v1542437, v1542438, v1542439, v1542440, v1542441, v1542442, v1542443, v1542444, v1542445, v1542446, v1542447 and v1542448</t>
  </si>
  <si>
    <t>CANSIM II series v328622 for 1961-1981; Columns B, C - CANSIM II series v15900147, linked to v716374 before 1997 and v15900411 linked to v716818 before 1997, June 8, 2004.</t>
  </si>
  <si>
    <t>Columns F, G - CANSIM II series v15900173 linked to v716397 before 1997 and v15900437 linked to v716841 before 1997, June 8, 2004.</t>
  </si>
  <si>
    <t>Columns D, H - CANSIM II series v4419841 and V1119746, October 16, 2003.</t>
  </si>
  <si>
    <t>Note: Real GDP data are in 1997 chained dollars for all industries and 1997 constant (Laspeyres) dollars for manufacturing.  All capital stock data are in chained 1997 dollars.</t>
  </si>
  <si>
    <t>Number of Jobs, thous.</t>
  </si>
  <si>
    <t>Actual hours per week per job</t>
  </si>
  <si>
    <t>Total hours actually worked, mill.</t>
  </si>
  <si>
    <t>Geom. End-Year Net Capital Stock, mil 1997$</t>
  </si>
  <si>
    <t>GDP per Job, $</t>
  </si>
  <si>
    <t>GDP per hour, $</t>
  </si>
  <si>
    <t>GDP per unit of Capital Stock, $</t>
  </si>
  <si>
    <t>GDP at basic prices, million 1997 $</t>
  </si>
  <si>
    <t>A</t>
  </si>
  <si>
    <t>B</t>
  </si>
  <si>
    <t>(C*1000/ 52)/B</t>
  </si>
  <si>
    <t>C</t>
  </si>
  <si>
    <t>D</t>
  </si>
  <si>
    <t>A/B*1000</t>
  </si>
  <si>
    <t>A/C</t>
  </si>
  <si>
    <t>A/D</t>
  </si>
  <si>
    <t>E</t>
  </si>
  <si>
    <t>F</t>
  </si>
  <si>
    <t>(G*1000/ 52)/F</t>
  </si>
  <si>
    <t>G</t>
  </si>
  <si>
    <t>H</t>
  </si>
  <si>
    <t>E/F*1000</t>
  </si>
  <si>
    <t>E/G</t>
  </si>
  <si>
    <t>E/H</t>
  </si>
  <si>
    <t>Average annual rates of growth</t>
  </si>
  <si>
    <t>61-73</t>
  </si>
  <si>
    <t>73-81</t>
  </si>
  <si>
    <t>81-89</t>
  </si>
  <si>
    <t>89-00</t>
  </si>
  <si>
    <t>89-96</t>
  </si>
  <si>
    <t>96-00</t>
  </si>
  <si>
    <t>Sources: Column A - Statistics Canada, GDP Data, see table 1; Column E - Statistics Canada, CANSIM II v2034927, June 8, 2004 for 1981 onwards, linked to</t>
  </si>
  <si>
    <t>Source : Based on SCF/SLID estimates.  Calculations from Cansim series v21188922, v21188923, v21188924, v21188925, v21188926, v21188910, v21188911, v21188912, v21188913, v21188914, v21188916,v21188917, v21188918, v21188919 and v21188920.</t>
  </si>
  <si>
    <t>Note: the average hourly wage rate from SEPH only for employees who are paid by the hour.</t>
  </si>
  <si>
    <t>Economic families, two persons or more</t>
  </si>
  <si>
    <t xml:space="preserve">Married couples </t>
  </si>
  <si>
    <t xml:space="preserve">Other families </t>
  </si>
  <si>
    <t xml:space="preserve">No earners </t>
  </si>
  <si>
    <t>One earner</t>
  </si>
  <si>
    <t xml:space="preserve">Two earners </t>
  </si>
  <si>
    <t xml:space="preserve">Source : Based on SCF/SLID estimates.  Calculations from Cansim series v21188958, v21188962, v21189066, V21189070, v21189120, v21189124, v21189174, v21189178, V21189228, v21189232, v21189282, v21189286, v21189336, v21189340, v21189444, v21189448, v21189498, v21189502, v21189552, v21189556, v21189606 and v21189610  </t>
  </si>
  <si>
    <t>Page 1</t>
  </si>
  <si>
    <t xml:space="preserve"> Page 1</t>
  </si>
  <si>
    <t xml:space="preserve">Two-parent families with children </t>
  </si>
  <si>
    <t xml:space="preserve">One earner </t>
  </si>
  <si>
    <t xml:space="preserve">Three or more earners </t>
  </si>
  <si>
    <t xml:space="preserve">Married couples with other relatives </t>
  </si>
  <si>
    <t xml:space="preserve">Lone-parent families </t>
  </si>
  <si>
    <t xml:space="preserve">Male </t>
  </si>
  <si>
    <t xml:space="preserve">Female </t>
  </si>
  <si>
    <t xml:space="preserve">Two or more earners </t>
  </si>
  <si>
    <t>Median Net Worth (constant 2005$)</t>
  </si>
  <si>
    <t>constant 2005$</t>
  </si>
  <si>
    <t>Table 1, page 9</t>
  </si>
  <si>
    <t>Source : Table 34 A and Table 34 B.</t>
  </si>
  <si>
    <t xml:space="preserve">Source: Calculated using Table 34A and Table 35B by the CSLS. </t>
  </si>
  <si>
    <t>* For persons with a disability, growth rate are for the 1989-2005 period because there is no data for 1986.</t>
  </si>
  <si>
    <t xml:space="preserve">Note: Minimum wages in Table 35 B are converted from 1997 constant dollar to 2005 constant dollar by multiplying 2005 CPI dividec by 1997 CPI in Table 4. </t>
  </si>
  <si>
    <t xml:space="preserve">Source: Calculated using Table 45B and Table 35B by the CSLS. </t>
  </si>
  <si>
    <t>Households in Housing Meeting the Housing Standards</t>
  </si>
  <si>
    <t>Households in Housing Not Meeting the Housing Standards</t>
  </si>
  <si>
    <t>Unable to access acceptable housing - in core housing need</t>
  </si>
  <si>
    <t xml:space="preserve">    Females</t>
  </si>
  <si>
    <t>Catalogue no. 13-596-XIE. Table 7.1.</t>
  </si>
  <si>
    <t xml:space="preserve">      Less than 65</t>
  </si>
  <si>
    <t xml:space="preserve">           Less than 25</t>
  </si>
  <si>
    <t xml:space="preserve">           25-34</t>
  </si>
  <si>
    <t xml:space="preserve">           35-44</t>
  </si>
  <si>
    <t xml:space="preserve">           55-64</t>
  </si>
  <si>
    <t>Poorest five groups</t>
  </si>
  <si>
    <t>Richest five groups</t>
  </si>
  <si>
    <t>Source: Table I-3 from page 12 in Steve Kerstetter, "Rags and Riches: Wealth Inequality in Canada", Canadian Center for Policy Alternatives (CCPA), December 2002, available at http://www.policyalternatives.ca/documents/National_Office_Pubs/rags_riches.pdf</t>
  </si>
  <si>
    <t>Note: 1999 figures have been adjusted by Statistics Canada to be comparable to previous years. Statistics Canada did its first comprehensive national survey of assets, debts and wealth in 1970, and did follow-up studies in 1977, 1984 and 1999.</t>
  </si>
  <si>
    <t>Growth 1970-1999, per cent</t>
  </si>
  <si>
    <t>Poorest</t>
  </si>
  <si>
    <t>Richest</t>
  </si>
  <si>
    <t>All Family units</t>
  </si>
  <si>
    <t>Notes: - After-tax low income cut-offs (1992 base) were determined from an analysis of the 1992 Consumer Expenditure Survey data. These income limits were selected on the basis that persons with incomes below these limits usually spent 63.6% or more of their income.</t>
  </si>
  <si>
    <t>Source:  Statistics Canada Labour Force Survey in CANSIM II:  v2461707,v2461728,v2461749,v2461812, v2462085,v2462295.</t>
  </si>
  <si>
    <t>Percentage Point Change</t>
  </si>
  <si>
    <t>A=B+C</t>
  </si>
  <si>
    <t>Job losers, thousand persons</t>
  </si>
  <si>
    <t xml:space="preserve">   Permanent layoff, thousand persons</t>
  </si>
  <si>
    <t xml:space="preserve">   Temporary layoff, thousand persons, </t>
  </si>
  <si>
    <t>Personal Income</t>
  </si>
  <si>
    <t>Wages, salaries and supplementary labour income</t>
  </si>
  <si>
    <t>6. Includes Registered Education Savings Plans (RESPs), treasury bills, mortgage-backed securities, money held in trust, money owed to the respondent and other miscellaneous financial assets, including shares of privately held companies.</t>
  </si>
  <si>
    <t>7. The value of the contents of the respondent's principal residence, valuables and collectibles, copyrights and patents, etc.</t>
  </si>
  <si>
    <t>Source : Based on SCF/SLID estimates.  Cansim series v1543290, v1543291, v1543292, v1543293, v1543294, v1543295, v1543296, v1543297, v1543298, v1543299, v1543300, v1543301, v1543302, v1543303, v1543304, v1543305, v1543306, v1543307, v1543308, v1543309, v1543310, v1543311, v1543312, v1543313, v1543314, v1543315, v1543316, v1543317, v1543318, v1543319, v1543320, v1543321, v1543322, v1543323, v1543324, v1543325, v1543326, v1543327, v1543328, v1543329, v1543330, v1543331, v1543332, v1543333, v1543334, v1543335, v1543336, v1543337, v1543338, v1543339, v1543340, v1543341, v1543342 and v1543343.</t>
  </si>
  <si>
    <t>Poorest 10%</t>
  </si>
  <si>
    <t>Second</t>
  </si>
  <si>
    <t>Third</t>
  </si>
  <si>
    <t>Fourth</t>
  </si>
  <si>
    <t>Fifth</t>
  </si>
  <si>
    <t>Sixth</t>
  </si>
  <si>
    <t>Seventh</t>
  </si>
  <si>
    <t>Eighth</t>
  </si>
  <si>
    <t>Ninth</t>
  </si>
  <si>
    <t>Richest 10%</t>
  </si>
  <si>
    <t>All 10 Groups</t>
  </si>
  <si>
    <t>Unemployed - 53+ weeks (thousands of persons)</t>
  </si>
  <si>
    <t>Work-limiting disability</t>
  </si>
  <si>
    <t>Off-reserve aboriginal people</t>
  </si>
  <si>
    <t>Others not in the five groups</t>
  </si>
  <si>
    <r>
      <t xml:space="preserve">    </t>
    </r>
    <r>
      <rPr>
        <b/>
        <sz val="10"/>
        <rFont val="Times New Roman"/>
        <family val="1"/>
      </rPr>
      <t>Economic families</t>
    </r>
  </si>
  <si>
    <t>Source: Statistics Canada "The Assets and Debts of Canadians: Focus on private pension savings",</t>
  </si>
  <si>
    <t>Table 26B: Access to Adequate, Suitable and Affordable Housing,</t>
  </si>
  <si>
    <t xml:space="preserve">Table 26C: The Suitability of Canadian Housing: </t>
  </si>
  <si>
    <t xml:space="preserve">Table 26D: The Adequacy of Canadian Housing: </t>
  </si>
  <si>
    <t>Table 28A: One-Year Forecast for  Personal Financial Prospects,  March 1991-September 2004</t>
  </si>
  <si>
    <t xml:space="preserve">Table 26E: The Affordability of Canadian Housing: </t>
  </si>
  <si>
    <t>84-99</t>
  </si>
  <si>
    <t xml:space="preserve">Source:HRSDC(Human Resource and Social Development Canada) Database on Minimum Wages, Minimum wages for the adult worker in </t>
  </si>
  <si>
    <t>For Saskatchewan, the minimum wage rate in 1965 and 1966 calculated from the weekly minimum wage rate divided by 40 hours.</t>
  </si>
  <si>
    <t>Table 51e: Security from the Risk Imposed by Unemployment, Quebec</t>
  </si>
  <si>
    <t>Table 51f: Security from the Risk Imposed by Unemployment, Ontario</t>
  </si>
  <si>
    <t xml:space="preserve">    Males</t>
  </si>
  <si>
    <t xml:space="preserve">       under 65</t>
  </si>
  <si>
    <t xml:space="preserve">       65 and over</t>
  </si>
  <si>
    <t>Source : Based on SCF/SLID estimates.  Cansim series v1545571, v1545572, v1545573, v1545574, v1545575, v1545576, v1545577, v1545578, v1545579, v1545580, v1545581, v1545582, v1545583, v1545584, v1545585, v1545586, v1545587, v1545588, v1545589, v1545590, v1545591, v1545592, v1545593,v1545594, v1545595, v1545596, v1545597, v1545598, v1545599, v1545600, v1545601, v1545602, v1545603, v1545604, v1545605 and v1545606</t>
  </si>
  <si>
    <t>Source : Based on SCF/SLID estimates.  Cansim series v1544694, v1544695, v1544696, v1544697, v1544698, v1544699, v1544700, v1544701, v1544702, v1544703, v1544704, v1544705, v1544706, v1544707, v1544708, v1544709, v1544710, v1544711, v1544712, v1544713, v1544714, v1544715, v1544716, v1544717, v1544718, v1544719, v1544720, v1544721, v1544722, v1544723, v1544724, v1544725, v1544726, v1544727, v1544728 and v1544729</t>
  </si>
  <si>
    <t>Source : Based on SCF/SLID estimates.  Cansim series v25729720, v25729721, v25729722, v25729723, v25729724, v25729725, v25729726, v25729727, v25729728, v25729729, v25729730, v25729731, v25729732, v25729733, v25729734, v25729735, v25729736, v25729737, v25729738, v25729739, v25729740, v25729741, v25729742, v25729743, v25729744, v25729745, v25729746, v25729747, v25729748, v25729749, v25729750, v25729751, v25729752, v25729753, v25729754 and v25729755</t>
  </si>
  <si>
    <t>Source : Based on SCF/SLID estimates.  Cansim series v1551585, v1551789, v1551875, v1551945, v1552035, v1552127, v1552224, v1552424, v1552513, v1552608 and v1552707</t>
  </si>
  <si>
    <t>t</t>
  </si>
  <si>
    <t>Source : Based on SCF/SLID estimates.  Cansim series v21151585, v21151801, v21151909, v21152017, v21152125, v21152233, v21152341, v21152557, v21152665, v21152773 and v21152881</t>
  </si>
  <si>
    <t xml:space="preserve">Tangible assets* </t>
  </si>
  <si>
    <t>Table 51a: Security from the Risk Imposed by Unemployment, Newfoundland</t>
  </si>
  <si>
    <t>Table 51b: Security from the Risk Imposed by Unemployment, Prince Edward Island</t>
  </si>
  <si>
    <t>Table 51c: Security from the Risk Imposed by Unemployment, Nova Scotia</t>
  </si>
  <si>
    <t>Table 51d: Security from the Risk Imposed by Unemployment, New Brunswick</t>
  </si>
  <si>
    <t>Table 36a: Prevalence of Household Food Insecurity in Canada and Provinces, 2004</t>
  </si>
  <si>
    <t xml:space="preserve">Note: Food insecurity means that the availability of nutritionally adequate and safe foods or the ability to acquire </t>
  </si>
  <si>
    <t>food in socially acceptable ways is limited and uncertain.</t>
  </si>
  <si>
    <t>Working Age Population, thousand persons</t>
  </si>
  <si>
    <t>Labour force, thousand persons</t>
  </si>
  <si>
    <t>Employment, thousand persons</t>
  </si>
  <si>
    <t>Unemployment, thousand persons</t>
  </si>
  <si>
    <t>Employment Rate, %</t>
  </si>
  <si>
    <t>Unemployment Rate, %</t>
  </si>
  <si>
    <t>Labour Force Participation Rate, %</t>
  </si>
  <si>
    <t>Men's Participation Rate, %</t>
  </si>
  <si>
    <t>Women's Participation Ration, %</t>
  </si>
  <si>
    <t>E=C/A*100</t>
  </si>
  <si>
    <t>F=D/B*100</t>
  </si>
  <si>
    <t>G=B/A*100</t>
  </si>
  <si>
    <t>I</t>
  </si>
  <si>
    <t>Source:  Statistics Canada Labour Force Survey in CANSIM II:  v2461077, v2461098,v2461119,v2461182, v2461455 and v2461665.</t>
  </si>
  <si>
    <t>Note: Working age population here means the population of person aged 15 and over.</t>
  </si>
  <si>
    <t xml:space="preserve">            Family units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</si>
  <si>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From Battle, Ken"Minimum Wages in Canada," Caledon Institute of Social Policy, January 2003, based on 2000 estimates.</t>
  </si>
  <si>
    <t xml:space="preserve">*Other assets includes :  Non-residential structures, Machinery and equipment, Inventories, Deposits in other institutions, Foreign currency deposits, Canada short-term paper, Other short-term paper, Canada bonds, Provincial bonds, Municipal bonds, Other </t>
  </si>
  <si>
    <t>**Other liabilities includes :  Trade accounts payable and other loans</t>
  </si>
  <si>
    <t>Table 38: Incidence of Low Income in Canada by Various Groups in 2000</t>
  </si>
  <si>
    <t>Absolute change</t>
  </si>
  <si>
    <t>Note : A person is considered to experience persistent low income if the cumulative income of the economic family over the 1996-2000 period  fell short of the cumulative amount of that family’s post-transfer, post-income tax low-income cut-offs for those periods as measured by Statistics Canada.</t>
  </si>
  <si>
    <t xml:space="preserve">Residential structures </t>
  </si>
  <si>
    <t xml:space="preserve">Non-residential structures </t>
  </si>
  <si>
    <t xml:space="preserve">Machinery and equipment </t>
  </si>
  <si>
    <t xml:space="preserve">Consumer durable goods </t>
  </si>
  <si>
    <t xml:space="preserve">Inventories </t>
  </si>
  <si>
    <t xml:space="preserve">Land </t>
  </si>
  <si>
    <t xml:space="preserve">Timber </t>
  </si>
  <si>
    <t>Ontario</t>
  </si>
  <si>
    <t>Manitoba</t>
  </si>
  <si>
    <t>Saskatchewan</t>
  </si>
  <si>
    <t>Alberta</t>
  </si>
  <si>
    <t>British Columbia</t>
  </si>
  <si>
    <t>Northwest Territories</t>
  </si>
  <si>
    <t>n/a</t>
  </si>
  <si>
    <t>Nunavut</t>
  </si>
  <si>
    <t>Households in Housing Meeting the Suitability Standards</t>
  </si>
  <si>
    <t>Households in Housing Not Meeting the Suitability Standards</t>
  </si>
  <si>
    <t>Households in Housing Meeting the Adequacy Standards</t>
  </si>
  <si>
    <t>Households in Housing Not Meeting the Adequacy Standards</t>
  </si>
  <si>
    <t>Households in Housing Meeting the Affordability Standards</t>
  </si>
  <si>
    <t>Households in Housing Not Meeting the Affordability Standards</t>
  </si>
  <si>
    <t>Year</t>
  </si>
  <si>
    <t>Housing Affordability Index</t>
  </si>
  <si>
    <t>March</t>
  </si>
  <si>
    <t>May</t>
  </si>
  <si>
    <t>November</t>
  </si>
  <si>
    <t>February</t>
  </si>
  <si>
    <t>April</t>
  </si>
  <si>
    <t>June</t>
  </si>
  <si>
    <t>September</t>
  </si>
  <si>
    <t xml:space="preserve"> September</t>
  </si>
  <si>
    <t>Canada:</t>
  </si>
  <si>
    <t>Improve</t>
  </si>
  <si>
    <t>Stay the same</t>
  </si>
  <si>
    <t>Worsen</t>
  </si>
  <si>
    <t>British Columbia:</t>
  </si>
  <si>
    <t>Alberta:</t>
  </si>
  <si>
    <t>Sask./Man.:</t>
  </si>
  <si>
    <t>Ontario:</t>
  </si>
  <si>
    <t>Québec:</t>
  </si>
  <si>
    <t>Atlantic:</t>
  </si>
  <si>
    <t>Atlantic</t>
  </si>
  <si>
    <t>A: Number of persons under the LIM (in thousands)</t>
  </si>
  <si>
    <t xml:space="preserve">B: Percentage of the population under the LIM </t>
  </si>
  <si>
    <t>C:Provincial percentage of the population under the LIM as a proportion of the national average</t>
  </si>
  <si>
    <r>
      <t>2</t>
    </r>
    <r>
      <rPr>
        <sz val="10"/>
        <rFont val="Times New Roman"/>
        <family val="1"/>
      </rPr>
      <t xml:space="preserve"> Average Annual Growth Rate.</t>
    </r>
  </si>
  <si>
    <r>
      <t>3</t>
    </r>
    <r>
      <rPr>
        <sz val="10"/>
        <rFont val="Times New Roman"/>
        <family val="1"/>
      </rPr>
      <t>Total Growth Rate.</t>
    </r>
  </si>
  <si>
    <r>
      <t>All family units</t>
    </r>
    <r>
      <rPr>
        <b/>
        <vertAlign val="superscript"/>
        <sz val="10"/>
        <rFont val="Times New Roman"/>
        <family val="1"/>
      </rPr>
      <t>1</t>
    </r>
  </si>
  <si>
    <r>
      <t xml:space="preserve">       Couple only</t>
    </r>
    <r>
      <rPr>
        <vertAlign val="superscript"/>
        <sz val="10"/>
        <rFont val="Times New Roman"/>
        <family val="1"/>
      </rPr>
      <t>2</t>
    </r>
  </si>
  <si>
    <r>
      <t xml:space="preserve">    Ages</t>
    </r>
    <r>
      <rPr>
        <b/>
        <vertAlign val="superscript"/>
        <sz val="10"/>
        <rFont val="Times New Roman"/>
        <family val="1"/>
      </rPr>
      <t>3</t>
    </r>
  </si>
  <si>
    <t>% of family units</t>
  </si>
  <si>
    <t>Source : Based on Cansim series V6213, V6214, V6219, V6218, V6220, V6221, V6222, V6223, V6224, V6225 and V6215</t>
  </si>
  <si>
    <t>Changes from 1999 to 2005</t>
  </si>
  <si>
    <t>Table 51g: Security from the Risk Imposed by Unemployment, Manitoba</t>
  </si>
  <si>
    <t>Table 51h: Security from the Risk Imposed by Unemployment, Saskatchewan</t>
  </si>
  <si>
    <t>Table 51i: Security from the Risk Imposed by Unemployment, Alberta</t>
  </si>
  <si>
    <t>Table 51j: Security from the Risk Imposed by Unemployment, British Columbia</t>
  </si>
  <si>
    <t xml:space="preserve">           - In order to take into account "economies of scale" of larger families, per capita income is not used.  Instead, an equivalence scale is used where the oldest person in the family is given a factor of 1.0, the second oldest a factor of 0.4, every other family member over the age of 16 a factor of 0.4 and every other family member under the age of 16 a factor of 0.3. Then then income is divided by the total of the family factors.</t>
  </si>
  <si>
    <t xml:space="preserve">             - In order to take into account "economies of scale" of larger families, per capita income is not used.  Instead, an equivalence scale is used where the oldest person in the family is given a factor of 1.0, the second oldest a factor of 0.4, every other family member over the age of 16 a factor of 0.4 and every other family member under the age of 16 a factor of 0.3. Then then income is divided by the total of the family factors.</t>
  </si>
  <si>
    <t>Newfoundland and Labrador</t>
  </si>
  <si>
    <t>Nova Scotia</t>
  </si>
  <si>
    <t>New Brunswick</t>
  </si>
  <si>
    <t>Québec</t>
  </si>
  <si>
    <t>Gross Domesic Product</t>
  </si>
  <si>
    <t>Capital Consumption allowance</t>
  </si>
  <si>
    <t xml:space="preserve">Government and corporation business profits before taxes </t>
  </si>
  <si>
    <t>Taxes less subsidies</t>
  </si>
  <si>
    <t>Inventory valuation adjustment and statistical discrepancy</t>
  </si>
  <si>
    <t>Table 35C: Nominal Hourly Minimum Wages as Percentage of the SEPH-Based Nominal Average Hourly Wages</t>
  </si>
  <si>
    <t xml:space="preserve">Canada </t>
  </si>
  <si>
    <t>C=A/B*100</t>
  </si>
  <si>
    <t>Average Annual Growth Rate, %</t>
  </si>
  <si>
    <t>Percentage Points Change</t>
  </si>
  <si>
    <t>Source : Based on SCF/SLID estimates.  Calculations from Cansim series v21188940, v21188941, v21188942, v21188943, v21188944, v21188928, v21188929, v21188930, v21188931, v21188932, v21188934, v21188935, v21188936,  v21188937 and v21188938.</t>
  </si>
  <si>
    <t>The Answer to " Thinking about your family, do you feel that your own economic situation will improve, stay the same, or get worse in the next year?"</t>
  </si>
  <si>
    <t>(in percent)</t>
  </si>
  <si>
    <t>Percentage of Respondents answering yes</t>
  </si>
  <si>
    <t>81-05</t>
  </si>
  <si>
    <t>00-05</t>
  </si>
  <si>
    <t>Source : Based on LFS estimates.  Cansim series V2170201, V2170417, V2170633, V2170849, V2171065, V2171281, V2171497, V2171713, V2171929, V2172145 and V2172361</t>
  </si>
  <si>
    <t>Source : Based on SCF/SLID estimates.  Cansim series v1554031, v1554234, v1554322, v1554394, v1554488, v1554583, v1554682, v1554884, v1554976, v1555074 and v1555173</t>
  </si>
  <si>
    <t>Source : Based on SCF/SLID estimates.  Cansim series v1551584, v1551788, v1551874, v1551944, v1552034, v1552126, v1552223, v1552423, v1552512, v1552607 and v1552706</t>
  </si>
  <si>
    <t>.</t>
  </si>
  <si>
    <t>Source:  Statistics Canada Labour Force Survey in CANSIM II:  Numbers: v2634376 ,v2634400 ,v2634496 ,v2634544 ,v2634568 Percentage: Numbers divided by employment for the age group using vectors v2461119 ,v2461120 ,v2461124 ,v2461125 ,v2461137 for employment. Percentage and all annual growth rates calculated by the CSLS.</t>
  </si>
  <si>
    <t>Table 28C : Canadian's Job Anxiety: 1990-2004</t>
  </si>
  <si>
    <t>Economic families</t>
  </si>
  <si>
    <t>Unattached individuals</t>
  </si>
  <si>
    <t>00-06</t>
  </si>
  <si>
    <t>81-06</t>
  </si>
  <si>
    <t xml:space="preserve">           - After 1996, a family unit is considered elderly if the major earner is 65 years or older.  Before 1996, a family unit is considered elderly if the head of the family is 65 years or older.  </t>
  </si>
  <si>
    <t xml:space="preserve">             - After 1996, a family unit is considered elderly if the major earner is 65 years or older.  Before 1996, a family unit is considered elderly if the head of the family is 65 years or older.  </t>
  </si>
  <si>
    <t xml:space="preserve">          - Family units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</si>
  <si>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 xml:space="preserve">            - After 1996, a family unit is considered elderly if the major earner is 65 years or older.  Before 1996, a family unit is considered elderly if the head of the family is 65 years or older.  </t>
  </si>
  <si>
    <t xml:space="preserve">          The national minimum wage rate is calculated by the CSLS using weighted employment based on Labour Force Survey.</t>
  </si>
  <si>
    <t>Minimum Wage as percentage of the average wage and growth rates were calculated by the CSLS.</t>
  </si>
  <si>
    <t>Employment rate, unemployment rate, participation rates and all growth rates were calculated by the CSLS.</t>
  </si>
  <si>
    <t>Proportion of job losers in employment and all growth rates (or percentage point changes) calculated by the CSLS.</t>
  </si>
  <si>
    <t xml:space="preserve">Absolute change over period calculated by the CSLS. </t>
  </si>
  <si>
    <t xml:space="preserve">Percentage point changes calculated by the CSLS. </t>
  </si>
  <si>
    <t>Unemployment rate</t>
  </si>
  <si>
    <t xml:space="preserve">Source:  Statistics Canada Labour Force Survey in CANSIM II:  v2368997 ,v2368998 ,v2369001 ,v2369005 ,v2369006 ,v2369009 ,v2369012 ,v2369013 ,v2369020 ,v2369026 ,v2369027 for employment estimates and Table 44B. Values in this table and the growth rates were calculated by the CSLS. </t>
  </si>
  <si>
    <t>Percentage changes calculated by the CSLS.</t>
  </si>
  <si>
    <t>Growth rates were calculated by the CSLS.</t>
  </si>
  <si>
    <t>Source: Cansim series v33462, V33464,V33467,V33469, V33473, V33476, V33488, V33489, V33490, V33492, V33495 and V737344 are the current dollar values. Converted into constant $ using CPI index (from Table 4) by the CSLS.</t>
  </si>
  <si>
    <t>Source: Cansim series v33462, V33464,V33467,V33469, V33473, V33476, V33488, V33489, V33490, V33492 and V33495, V737344 and V1549258. Divided by the number of households (Table 2a) by the CSLS for per household values.</t>
  </si>
  <si>
    <t>Source: Cansim series V647037 and V647015.  Table 47. Assets/PDI, liabilities/PDI, net worth/PDI, saving rate and average annual growth rates calculated by the CSLS.</t>
  </si>
  <si>
    <t>Federal Transfers</t>
  </si>
  <si>
    <t>Provincial Transfers</t>
  </si>
  <si>
    <t xml:space="preserve">Total local </t>
  </si>
  <si>
    <t xml:space="preserve"> Canada Pension Plan (CPP) </t>
  </si>
  <si>
    <t>Quebec Pension Plan (QPP)</t>
  </si>
  <si>
    <t>Family and youth allowances</t>
  </si>
  <si>
    <t xml:space="preserve">Child tax benefit or credit </t>
  </si>
  <si>
    <t xml:space="preserve">Pensions, World Wars I and II </t>
  </si>
  <si>
    <t>War veterans' allowances</t>
  </si>
  <si>
    <t xml:space="preserve">Grants to aboriginal persons and organizations </t>
  </si>
  <si>
    <t xml:space="preserve">Goods and Services Tax credit </t>
  </si>
  <si>
    <t xml:space="preserve"> Employment insurance benefits </t>
  </si>
  <si>
    <t>Old age security payments</t>
  </si>
  <si>
    <t xml:space="preserve">Scholarships and research grants </t>
  </si>
  <si>
    <t>Miscellaneous and other transfers</t>
  </si>
  <si>
    <t>Total federal transfers</t>
  </si>
  <si>
    <t xml:space="preserve">Workers' compensation benefits </t>
  </si>
  <si>
    <t xml:space="preserve">Grants to benevolent associations </t>
  </si>
  <si>
    <t xml:space="preserve">Social assistance, income maintenance </t>
  </si>
  <si>
    <t xml:space="preserve">Social assistance, other </t>
  </si>
  <si>
    <t>Miscellaneous transfers</t>
  </si>
  <si>
    <t xml:space="preserve">Total provincial </t>
  </si>
  <si>
    <t>V690759</t>
  </si>
  <si>
    <t>V690761</t>
  </si>
  <si>
    <t>V690764</t>
  </si>
  <si>
    <t>V690765</t>
  </si>
  <si>
    <t>V690766</t>
  </si>
  <si>
    <t>V690767</t>
  </si>
  <si>
    <t>V690768</t>
  </si>
  <si>
    <t>V690769</t>
  </si>
  <si>
    <t>V690771</t>
  </si>
  <si>
    <t>V690762</t>
  </si>
  <si>
    <t>V690763</t>
  </si>
  <si>
    <t>V690760</t>
  </si>
  <si>
    <t>V690773</t>
  </si>
  <si>
    <t>V690775</t>
  </si>
  <si>
    <t>V690776</t>
  </si>
  <si>
    <t>V690777</t>
  </si>
  <si>
    <t>V690778</t>
  </si>
  <si>
    <t>V690772</t>
  </si>
  <si>
    <t>V690779</t>
  </si>
  <si>
    <t>V690780</t>
  </si>
  <si>
    <t>V690781</t>
  </si>
  <si>
    <t>P</t>
  </si>
  <si>
    <t>Q</t>
  </si>
  <si>
    <t>S</t>
  </si>
  <si>
    <t>U</t>
  </si>
  <si>
    <t>Total actual hours worked per week, thousands</t>
  </si>
  <si>
    <t>Population, thousands</t>
  </si>
  <si>
    <t>Labour Force, thousands</t>
  </si>
  <si>
    <t>Employment, thousands</t>
  </si>
  <si>
    <t>Average hours worked per week per person</t>
  </si>
  <si>
    <t>Average hours worked per week per  worker</t>
  </si>
  <si>
    <t>Labour force participation, per cent</t>
  </si>
  <si>
    <t>Employment rate, per cent</t>
  </si>
  <si>
    <t>unemployment rate</t>
  </si>
  <si>
    <t>E=A/B</t>
  </si>
  <si>
    <t>F=A/D</t>
  </si>
  <si>
    <t>G=C/B*100</t>
  </si>
  <si>
    <t>H=D/B*100</t>
  </si>
  <si>
    <t>Total Absolute Change</t>
  </si>
  <si>
    <t>Source: Labour Force Survey, Table 282-0018, 282-0002. V2634390, V2634486, V2634534, V2461084, V2461105, V2461126.</t>
  </si>
  <si>
    <t>Source: Labour Force Survey, Table 282-0018, 282-0002.</t>
  </si>
  <si>
    <t>(in thousands of persons)</t>
  </si>
  <si>
    <t>0 hours</t>
  </si>
  <si>
    <t>1-14 hours</t>
  </si>
  <si>
    <t>15-29 hours</t>
  </si>
  <si>
    <t>Total part time</t>
  </si>
  <si>
    <t>30-34 hours</t>
  </si>
  <si>
    <t>35-39 hours</t>
  </si>
  <si>
    <t>40 hours</t>
  </si>
  <si>
    <t>41-49 hours</t>
  </si>
  <si>
    <t>50 hours and more</t>
  </si>
  <si>
    <t>Total full-time</t>
  </si>
  <si>
    <t>Total employment</t>
  </si>
  <si>
    <t>D=A+B+C</t>
  </si>
  <si>
    <t>J=E+F+G+H+I</t>
  </si>
  <si>
    <t>K=D+J</t>
  </si>
  <si>
    <t>Total employees, thousands of persons</t>
  </si>
  <si>
    <t>All persons</t>
  </si>
  <si>
    <t xml:space="preserve">  Males</t>
  </si>
  <si>
    <t xml:space="preserve">  Females</t>
  </si>
  <si>
    <t>All families</t>
  </si>
  <si>
    <t xml:space="preserve">   Economic families 2+</t>
  </si>
  <si>
    <t>Elderly families</t>
  </si>
  <si>
    <t>Non-elderly families</t>
  </si>
  <si>
    <t>Married couples</t>
  </si>
  <si>
    <t xml:space="preserve">  Unattached individuals</t>
  </si>
  <si>
    <t xml:space="preserve">Source: "Understanding the 2000 Low Income Statistics Based on the Market Basket Measure", </t>
  </si>
  <si>
    <t>Human Resources Development Canada, Research paper SP-569-03-03E, May 2003.</t>
  </si>
  <si>
    <t>Note: - Market income is the sum of earnings (from employment and net self-employment), net investment income, (private) retirement income, and the items under "Other income".  It is equivalent to total income minus government transfers.  It is also called income before taxes and transfers.</t>
  </si>
  <si>
    <t>Market Income</t>
  </si>
  <si>
    <t>Total Income</t>
  </si>
  <si>
    <t>After-Tax Income</t>
  </si>
  <si>
    <t>Note: Net worth is assets minus liabilities.  Both non-financial (Residential structures, Non-residential structures, Machinery and equipment, Consumer durables, Inventories, Land) and financial (Official reserves, Currency and bank deposits, Deposits in other institutions, Foreign currency deposits, Consumer credit, Trade accounts receivable, Bank loans, Other loans, Canada short-term paper, Other short-term paper, Mortgages, Canada bonds, Provincial bonds, Municipal bonds, Other Canadian bonds, Life insurance and pensions, Corporate claims, Government claims, Shares, Foreign investments, Other financial assets) assets and liabilities are included.</t>
  </si>
  <si>
    <r>
      <t xml:space="preserve">1 </t>
    </r>
    <r>
      <rPr>
        <sz val="10"/>
        <rFont val="Times New Roman"/>
        <family val="1"/>
      </rPr>
      <t xml:space="preserve">National balance sheet includes persons and unincorporated business, corporations and government business enterprises and government. </t>
    </r>
  </si>
  <si>
    <r>
      <t xml:space="preserve">2 </t>
    </r>
    <r>
      <rPr>
        <sz val="10"/>
        <rFont val="Times New Roman"/>
        <family val="1"/>
      </rPr>
      <t>Total for all sectors is equivalent to the national balance sheet + non-residents</t>
    </r>
  </si>
  <si>
    <t xml:space="preserve">            - Family units include economic families of two persons or more and unattached individuals.</t>
  </si>
  <si>
    <t>Weight for Security from Risk Imposed by Unem-ployment</t>
  </si>
  <si>
    <t>Unadjusted average</t>
  </si>
  <si>
    <t>Source : Based on SCF/SLID estimates.  Cansim series v1543992, v1544100, v1544154, v1544208, v1544262, v1544316, v1544370, v1544478, v1544532, v1544586 and v1544640</t>
  </si>
  <si>
    <t>Canadian born</t>
  </si>
  <si>
    <t>Visible Minority Status</t>
  </si>
  <si>
    <t xml:space="preserve">Visible minority </t>
  </si>
  <si>
    <t>Non-Visible minority</t>
  </si>
  <si>
    <t>Canadian born VM</t>
  </si>
  <si>
    <t>Canadian born non-VM</t>
  </si>
  <si>
    <t>Recent immigrant VM</t>
  </si>
  <si>
    <t>Recent immigrant non-VM</t>
  </si>
  <si>
    <t>Mid-term immigrant VM</t>
  </si>
  <si>
    <t>Mid-term immigrant non-VM</t>
  </si>
  <si>
    <t>Long-term immigrant VM</t>
  </si>
  <si>
    <t>Long-term immigrant non-VM</t>
  </si>
  <si>
    <t>Family Status</t>
  </si>
  <si>
    <t>Married/Common</t>
  </si>
  <si>
    <t>Lone Fathers</t>
  </si>
  <si>
    <t>Lone Mothers</t>
  </si>
  <si>
    <t>Living with relatives</t>
  </si>
  <si>
    <t>Unattached Individuals</t>
  </si>
  <si>
    <t>&lt;40 years old</t>
  </si>
  <si>
    <t>40+ years old</t>
  </si>
  <si>
    <t>Alone</t>
  </si>
  <si>
    <t>Unmarried, living with parents</t>
  </si>
  <si>
    <t>Other</t>
  </si>
  <si>
    <t>Persons with disabilities</t>
  </si>
  <si>
    <t>Persons without disabilities</t>
  </si>
  <si>
    <t>%</t>
  </si>
  <si>
    <t>All family units</t>
  </si>
  <si>
    <t>Lowest 20%</t>
  </si>
  <si>
    <t>Second 20%</t>
  </si>
  <si>
    <t>Third 20%</t>
  </si>
  <si>
    <t>Fourth 20%</t>
  </si>
  <si>
    <t>Highest 20%</t>
  </si>
  <si>
    <t>Family units, thousand</t>
  </si>
  <si>
    <t>Aggregate net worth, millions of dollars</t>
  </si>
  <si>
    <t>Average net worth, dollar</t>
  </si>
  <si>
    <t>Median net worth, dollar</t>
  </si>
  <si>
    <t xml:space="preserve">    Elderly families</t>
  </si>
  <si>
    <t xml:space="preserve">    Non-elderly families</t>
  </si>
  <si>
    <t xml:space="preserve">       Couple, children under 18</t>
  </si>
  <si>
    <t xml:space="preserve">       Lone parent families</t>
  </si>
  <si>
    <t xml:space="preserve">            - Family units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</si>
  <si>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Notes: After-tax income is total income, which includes government transfers, less income tax.  It may also be called income after tax.</t>
  </si>
  <si>
    <t>45-54</t>
  </si>
  <si>
    <t>55-64</t>
  </si>
  <si>
    <t>Immigrant Status</t>
  </si>
  <si>
    <t>(6)</t>
  </si>
  <si>
    <t>(7)</t>
  </si>
  <si>
    <t>(8)</t>
  </si>
  <si>
    <t>The Answer to " Thinking about  the next year or so,  do you, yourself, generally feel that the Canadian economy  will improve, stay the same, or get worse?"</t>
  </si>
  <si>
    <t>(percentage)</t>
  </si>
  <si>
    <t>July</t>
  </si>
  <si>
    <t>Table 28B: One-Year Forecast for  the Canadian Economy,  March 1991-September 2004</t>
  </si>
  <si>
    <t>E=A/D*100</t>
  </si>
  <si>
    <t>The Proportion of Job Losers in  Employment, %</t>
  </si>
  <si>
    <t>Net income of unincorporated business, including rent</t>
  </si>
  <si>
    <t>Interest and miscellaneous investment income</t>
  </si>
  <si>
    <t>Transfers</t>
  </si>
  <si>
    <t xml:space="preserve">Personal Income minus wages and unincorporated business income </t>
  </si>
  <si>
    <t>(1)</t>
  </si>
  <si>
    <t>(2)</t>
  </si>
  <si>
    <t>(3)</t>
  </si>
  <si>
    <t>(4)</t>
  </si>
  <si>
    <t>(5)</t>
  </si>
  <si>
    <t>(1) - (2) - (3)</t>
  </si>
  <si>
    <t>Share in 1981</t>
  </si>
  <si>
    <t>Note: An economic family is defined as a group of two or more persons who live in the same dwelling and are related to each other by blood, marriage, common law or adoption.</t>
  </si>
  <si>
    <t xml:space="preserve">      Other non-elderly families</t>
  </si>
  <si>
    <t xml:space="preserve">    Unattached individuals</t>
  </si>
  <si>
    <t>Source : Cansim series V3840566, V3840595, V3840624, V3840653, V3840682, V3840711, V3840740, V3840769, V3840798, V3840827 and V3840856</t>
  </si>
  <si>
    <t xml:space="preserve"> Corporations and government business enterprises</t>
  </si>
  <si>
    <t xml:space="preserve"> Government</t>
  </si>
  <si>
    <t xml:space="preserve"> Non-residents</t>
  </si>
  <si>
    <t>Table 19I: Average Net Worth of Families by Quintile, 1999 and 2005 (in 2005$)</t>
  </si>
  <si>
    <t>1999*</t>
  </si>
  <si>
    <t>2005*</t>
  </si>
  <si>
    <t>*Source: Statistics Canada special request based on data collected from the 1999 and 2005 Survey of Financial Security.</t>
  </si>
  <si>
    <t>* This data uses the definition of net worth utilized 1999 onwards. Thus, the value of the contents of the home, collectibles and valuables, annuities and locked in retirement income funds (LIRAs) and registered retirement income funds (RRIFs) are included in this data.</t>
  </si>
  <si>
    <t>Difference in 1999 dollars, 1970-1999</t>
  </si>
  <si>
    <t>Growth 1999*-2005*, per cent</t>
  </si>
  <si>
    <t>Difference in 1999 dollars, 1999*-2005*</t>
  </si>
  <si>
    <t>The elements of net worth excluded in surveys previous to 1999 include the value of the contents of the home, collectibles and valuables, annuities and locked in retirement income funds (LIRAs) and registered retirement income funds (RRIFs).</t>
  </si>
  <si>
    <t>Sources:Table 15C, Table 12I, Table 16J, Table 55, Table 25, Table 37, Table 40, Table 27, 19C and the CSLS Database for Living Standards 2006.</t>
  </si>
  <si>
    <t>Note: For wealth distribution, values in italics represent interpolations from the years for which data is available. The ratio for 1977 was 12.1; this value was used to calculate values for years between 1977 and 1984. In addition, there were components of net worth that were not included inthe 1984 and 1977 data that were included in the 1999 and 2005 data. Values previous to 1999 have been altered from the old definition such that the growth rate between 1984 and 1999 remains consistent with the growth rate under the old definition.</t>
  </si>
  <si>
    <t>Share of total growth, 1999*-2005*, per cent</t>
  </si>
  <si>
    <t>Total change, %</t>
  </si>
  <si>
    <t>Total growth, %</t>
  </si>
  <si>
    <t>Tangible assets*</t>
  </si>
  <si>
    <t>Residential structures</t>
  </si>
  <si>
    <t>*Represents all physical assets that can be seen or touched, including fixed assets and long term investment.</t>
  </si>
  <si>
    <t>Source : Based on SCF/SLID estimates.  Cansim series v1560774, v1561046, v1561174, v1561292, v1561420, v1561552, v1561688, v1561958,v1562084,v1562216 and v1562348.</t>
  </si>
  <si>
    <t>Source : Based on SCF/SLID estimates.  Cansim series V1549258, V1549448, V1549523, V1549590, V1549674, V1549756, V1549849, V1550042, V1550122,V1550211 and V1550307</t>
  </si>
  <si>
    <t>Source : Based on SCF/SLID estimates.  Cansim series V1549256, V1549446, V1549521, V1549588, V1549672, V1549754, V1549847, V1550040, V1550120, V1550209 and V1550305</t>
  </si>
  <si>
    <t>Source : Based on SCF/SLID estimates.  Cansim series V1549257, V1549447, V1549522, V1549589, V1549673, V1549755, V1549848, V1550041, V1550121, V1550210 and V1550306</t>
  </si>
  <si>
    <t xml:space="preserve">Note: Includes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</si>
  <si>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 xml:space="preserve">Note: An unattached individual is a person living either alone or with others to whom he or she is unrelated, such as roommates or a lodger. </t>
  </si>
  <si>
    <t>Percentage of total number of person in low income</t>
  </si>
  <si>
    <t>Percentage of total minimum wage workers.</t>
  </si>
  <si>
    <t>Percentage of employment</t>
  </si>
  <si>
    <t>Canada (weighted by the number of minimum wage workers)</t>
  </si>
  <si>
    <t>Canada (weighted by employment)</t>
  </si>
  <si>
    <t>Federal</t>
  </si>
  <si>
    <t>Newfoundland</t>
  </si>
  <si>
    <t>Prince Edward Island</t>
  </si>
  <si>
    <t>Quebec</t>
  </si>
  <si>
    <t>Yukon</t>
  </si>
  <si>
    <t>Source : Based on SCF/SLID estimates.  Calculations from Cansim series v21188922, v21188926, v21189030, v21189034, v21189084, v21189088, v21189138, v21189142, v21189192, v21189196, v21189246, v21189250, v21189300, v21189304, v21189408, v21189412, v21189462, v21189466, v21189516, v21189520, v21189570 and v21189574</t>
  </si>
  <si>
    <t>Contribution to difference between wage and non-wages, per cent</t>
  </si>
  <si>
    <r>
      <t>1</t>
    </r>
    <r>
      <rPr>
        <sz val="10"/>
        <rFont val="Times New Roman"/>
        <family val="1"/>
      </rPr>
      <t xml:space="preserve"> The LIM is a fixed percentage (50%) of the median national adjusted family income where adjusted indicates a consideration of family needs. The family size adjustment reflects the precept that family needs increase with family size. A family is considered to be low income when their income is below the LIM for their family type and size.</t>
    </r>
  </si>
  <si>
    <t>5. Includes Registered Education Savings Plans (RESPs), treasury bills, mortgage-backed securities, money held in trust, money owed to the respondent and other miscellaneous financial assets, including shares of privately held companies.</t>
  </si>
  <si>
    <t>6. The value of the contents of the respondent's principal residence, valuables and collectibles, copyrights and patents, etc.</t>
  </si>
  <si>
    <t>7. Includes major credit cards and retail store cards, gasoline station cards, etc. Installment debt is the total amount owing on deferred payment or installment plans where the purchased item is to be paid for over a period of time.</t>
  </si>
  <si>
    <t>Proportion of family unit with component</t>
  </si>
  <si>
    <t>1. The value at which half of all family units have lower net worth and half have higher net worth.</t>
  </si>
  <si>
    <t>Values calculated by dividing top quintile data for each year by bottom quintile data for each year by the CSLS.</t>
  </si>
  <si>
    <t>Percentage Point Change calculated by the CSLS.</t>
  </si>
  <si>
    <t>Weighted data in the table and the growth rates calculated by the CSLS.</t>
  </si>
  <si>
    <t xml:space="preserve">CPI data rebased in 1997 by the CSLS (see Table 4 sources). Growth rates calculated by the CSLS. </t>
  </si>
  <si>
    <t>Food Insecure</t>
  </si>
  <si>
    <t>The answer to"Are you or is anyone in your household, worried about losing their job or being laid off ?"</t>
  </si>
  <si>
    <t>All Canadians</t>
  </si>
  <si>
    <t>Time</t>
  </si>
  <si>
    <t>Region (September 2004)</t>
  </si>
  <si>
    <t>Regions</t>
  </si>
  <si>
    <t>Saskatchewan/Manitoba</t>
  </si>
  <si>
    <t>Hourly Wages</t>
  </si>
  <si>
    <t>Less than $8.00</t>
  </si>
  <si>
    <t>$8.00-$9.99</t>
  </si>
  <si>
    <t>$10.00-$14.99</t>
  </si>
  <si>
    <t>$15.00-$19.99</t>
  </si>
  <si>
    <t>$20.00-$24.99</t>
  </si>
  <si>
    <t>$25.00-$29.99</t>
  </si>
  <si>
    <t>$30.00-$35.99</t>
  </si>
  <si>
    <t>$35.00 and more</t>
  </si>
  <si>
    <t>I Employees aged 17-64</t>
  </si>
  <si>
    <t>II Employees that aged 25-64</t>
  </si>
  <si>
    <t>All</t>
  </si>
  <si>
    <t>Men</t>
  </si>
  <si>
    <t>Women</t>
  </si>
  <si>
    <t>Characteristics</t>
  </si>
  <si>
    <t>All wage earners</t>
  </si>
  <si>
    <t>Education</t>
  </si>
  <si>
    <t>Less than high school</t>
  </si>
  <si>
    <t>High school</t>
  </si>
  <si>
    <t>Certificate</t>
  </si>
  <si>
    <t>University</t>
  </si>
  <si>
    <t>Age</t>
  </si>
  <si>
    <t>15-24</t>
  </si>
  <si>
    <t>25-34</t>
  </si>
  <si>
    <t>35-44</t>
  </si>
  <si>
    <t>I. All industries except public administration</t>
  </si>
  <si>
    <t>Percentage point change, 1989-2004</t>
  </si>
  <si>
    <t>Men and women</t>
  </si>
  <si>
    <t>New employees**</t>
  </si>
  <si>
    <t>Other employees</t>
  </si>
  <si>
    <t>II. All industries</t>
  </si>
  <si>
    <t>Full-time jobs</t>
  </si>
  <si>
    <t>Non-unionized jobs</t>
  </si>
  <si>
    <t>Unionized jobs</t>
  </si>
  <si>
    <t>Men and women aged 25-34</t>
  </si>
  <si>
    <t>Men and women aged 35-64</t>
  </si>
  <si>
    <t>Non-university graduates</t>
  </si>
  <si>
    <t>University graduates</t>
  </si>
  <si>
    <t>Source: Morissette and Johnson (2005), "Are good jobs disappearing in Canada?", Analytical Studies Branch Research Paper No. 239 , Statistics Canada, Table 12. Data from the General Social Surveys of 1989 and 1994, Labour Force Surveys of 1998 and 2004.</t>
  </si>
  <si>
    <t>Note: * unless otherwise stated, the numbers refer to men and women aged 25 to 64 who are not full-time students.</t>
  </si>
  <si>
    <t xml:space="preserve">          ** employees with 2 years of seniority or less.</t>
  </si>
  <si>
    <t xml:space="preserve"> 15 years and over </t>
  </si>
  <si>
    <t xml:space="preserve"> 15 to 24 years </t>
  </si>
  <si>
    <t xml:space="preserve"> 25 to 54 years </t>
  </si>
  <si>
    <t xml:space="preserve"> 55 to 64 years </t>
  </si>
  <si>
    <t xml:space="preserve"> 65 years and over </t>
  </si>
  <si>
    <t>Number of workers</t>
  </si>
  <si>
    <t>Percentage of workers</t>
  </si>
  <si>
    <t xml:space="preserve"> Total employed, all occupations</t>
  </si>
  <si>
    <t xml:space="preserve"> Management occupations </t>
  </si>
  <si>
    <t xml:space="preserve"> Business, finance and administrative occupations </t>
  </si>
  <si>
    <t xml:space="preserve"> Natural and applied sciences and related occupations </t>
  </si>
  <si>
    <t xml:space="preserve"> Health occupations </t>
  </si>
  <si>
    <t xml:space="preserve"> Occupations in social science, education, government service and religion </t>
  </si>
  <si>
    <t xml:space="preserve"> Occupations in art, culture, recreation and sport </t>
  </si>
  <si>
    <t xml:space="preserve"> Sales and service occupations</t>
  </si>
  <si>
    <t xml:space="preserve"> Trades, transport and equipment operators and related occupations </t>
  </si>
  <si>
    <t xml:space="preserve"> Occupations unique to primary industry </t>
  </si>
  <si>
    <t xml:space="preserve"> Occupations unique to processing, manufacturing and utilities </t>
  </si>
  <si>
    <t>Source : Panel A is based on annual estimates for families and individuals.  Cansim series v21388980, v21389211, v21389673, v21389904, v21390366, v21390828, v21392445, v21395217, v21395679,v21396372 and v21397065. Scaled from units to thousands by the CSLS. Panel B calculated from Panel A and Table 1, dividing Panel A values by the population. Calculated by the CSLS. Panel C calculated from Panel B, dividing each Panel B value by the corresponding Panel B value for Canada. Calculated by the CSLS. All growth rates calculated by the CSLS.</t>
  </si>
  <si>
    <t>Values per 10,000 persons calculated by the CSLS by dividing the Cansim data by the population (Table 1) and multiplying the result by 100</t>
  </si>
  <si>
    <t>Percentage point changes and growth rates calculated by the CSLS.</t>
  </si>
  <si>
    <t>Percentage Point Changes calculated by the CSLS.</t>
  </si>
  <si>
    <t>Growth rates, shares, and contribution to difference between wage and non-wage were calculated by the CSLS.</t>
  </si>
  <si>
    <t>Index of Proportion of Private Expenditure on Healthcare in Personal Disposable Income</t>
  </si>
  <si>
    <t>Source: Labour Force Survey, Table 282-0018. CANSIM II series v2634369, v2634370, v2634371, v2634372, v2634373, v2634374, v2634375, v2634376.</t>
  </si>
  <si>
    <t>Source: Table 59a</t>
  </si>
  <si>
    <t>Source: Labour Force Survey, v2224229, v2226209, v2224225, v2226205, v2224227,v2226207, v466972, v466687, v466973, v466688.</t>
  </si>
  <si>
    <t xml:space="preserve"> Games of chance </t>
  </si>
  <si>
    <t xml:space="preserve"> Miscellaneous expenditures</t>
  </si>
  <si>
    <t xml:space="preserve"> Personal taxes</t>
  </si>
  <si>
    <t xml:space="preserve"> Personal insurance payments and pension contributions</t>
  </si>
  <si>
    <t xml:space="preserve"> Gifts of money and contributions</t>
  </si>
  <si>
    <t xml:space="preserve">Note: Average spending includes sales taxes.  </t>
  </si>
  <si>
    <r>
      <t>Source:  Ron Saunders (2005) "Does a Rising Tide Lift All Boats? Low-paid Workers in Canada, ",Canadian Policy Research Networks Inc. Working Series, May 2005, Appendix A.  As originally reported in Morissette and Johnson (2005), "</t>
    </r>
    <r>
      <rPr>
        <i/>
        <sz val="10"/>
        <rFont val="Times New Roman"/>
        <family val="1"/>
      </rPr>
      <t>Are good jobs disappearing in Canada</t>
    </r>
    <r>
      <rPr>
        <sz val="10"/>
        <rFont val="Times New Roman"/>
        <family val="1"/>
      </rPr>
      <t>?", Analytical Studies Branch Research Paper No. 239 , Statistics Canada, Table 2</t>
    </r>
  </si>
  <si>
    <t>Percentage of low income non-family persons</t>
  </si>
  <si>
    <t>Share in 2006</t>
  </si>
  <si>
    <t>GDP deflator, 2002=100</t>
  </si>
  <si>
    <t>Sources: CSLS "Aggregate Income and Productivity: Canada and the U.S." database, Table 4 and Table 1.</t>
  </si>
  <si>
    <t>Column I - based on CANSIMII v646937 divided by v3860085</t>
  </si>
  <si>
    <t>Current as of June 7, 2007</t>
  </si>
  <si>
    <t>Note:  Column  A- Statistics Canada, GDP Data, see Table 1, Current as of June 7th, 2007.</t>
  </si>
  <si>
    <t>Column D- CANSIM II seriesrs v4419841, June 7th, 2007. Chained 1997 dallars.</t>
  </si>
  <si>
    <t>96-06</t>
  </si>
  <si>
    <t>89-06</t>
  </si>
  <si>
    <t>V646925</t>
  </si>
  <si>
    <t>V646927</t>
  </si>
  <si>
    <t>V646931</t>
  </si>
  <si>
    <t>V646932</t>
  </si>
  <si>
    <t>V646930</t>
  </si>
  <si>
    <t>V646935</t>
  </si>
  <si>
    <t>V646928</t>
  </si>
  <si>
    <t>V646929</t>
  </si>
  <si>
    <t>V3860276</t>
  </si>
  <si>
    <t>V3860270</t>
  </si>
  <si>
    <t>V646936</t>
  </si>
  <si>
    <t>V646933</t>
  </si>
  <si>
    <t>HRSDC(Human Resource and Social Development Canada) Database on Minimum Wages, Minimum wages for the adult worker in Canada by province, last updated on October 3, 2006</t>
  </si>
  <si>
    <t xml:space="preserve">             - Family units include economic families of two persons or more and unattached individuals.  An economic family is defined as a group of two or more persons who live in the same dwelling and are related to each other by blood, marriage, common law or adoption. An unattached individual is a person living either alone or with others to whom he or she is unrelated, such as roommates or a lodger. </t>
  </si>
  <si>
    <t>Notes: - After-tax income is total income, which includes government transfers, less income tax.  It may also be called income after tax.</t>
  </si>
  <si>
    <t xml:space="preserve">    Under 18 years of age</t>
  </si>
  <si>
    <t xml:space="preserve">    18 to 64</t>
  </si>
  <si>
    <t xml:space="preserve">    65 and over</t>
  </si>
  <si>
    <t xml:space="preserve">      Under 18 years of age</t>
  </si>
  <si>
    <t xml:space="preserve">      18 to 64</t>
  </si>
  <si>
    <t xml:space="preserve">      65 and over</t>
  </si>
  <si>
    <t xml:space="preserve">       Under 18 years of age</t>
  </si>
  <si>
    <t xml:space="preserve">       18 to 64</t>
  </si>
  <si>
    <t xml:space="preserve">          Elderly married couples</t>
  </si>
  <si>
    <t xml:space="preserve">          Other elderly families</t>
  </si>
  <si>
    <t xml:space="preserve">          Married couples</t>
  </si>
  <si>
    <t xml:space="preserve">          Two-parent families with children</t>
  </si>
  <si>
    <t xml:space="preserve">          Married couples with other relatives</t>
  </si>
  <si>
    <t xml:space="preserve">          Lone-parent families</t>
  </si>
  <si>
    <t xml:space="preserve">              Male lone-parent families</t>
  </si>
  <si>
    <t xml:space="preserve">              Female lone-parent families</t>
  </si>
  <si>
    <t xml:space="preserve">          Other non-elderly families</t>
  </si>
  <si>
    <t xml:space="preserve">    Male</t>
  </si>
  <si>
    <t xml:space="preserve">    Female</t>
  </si>
  <si>
    <t xml:space="preserve">    All Elderly</t>
  </si>
  <si>
    <t xml:space="preserve">        Elderly Male</t>
  </si>
  <si>
    <t xml:space="preserve">        Elderly Female</t>
  </si>
  <si>
    <t xml:space="preserve">    All Non-Elderly</t>
  </si>
  <si>
    <t xml:space="preserve">       Non-Elderly Male</t>
  </si>
  <si>
    <t xml:space="preserve">       Non-Elderly Female</t>
  </si>
  <si>
    <t>All families &amp; non-family persons</t>
  </si>
  <si>
    <t># of families (x1,000)</t>
  </si>
  <si>
    <t>Source : Based on SCF/SLID estimates.  Cansim series v21151621, v21151837, v21151945, v21152053, v21152161, v21152269, v21152377, v21152593, v21152701, v21152809 and v21152917</t>
  </si>
  <si>
    <t>List of Tables</t>
  </si>
  <si>
    <t>Average family size (Number)</t>
  </si>
  <si>
    <r>
      <t>Selected metallic minerals</t>
    </r>
    <r>
      <rPr>
        <vertAlign val="superscript"/>
        <sz val="10"/>
        <rFont val="Times New Roman"/>
        <family val="1"/>
      </rPr>
      <t>2</t>
    </r>
  </si>
  <si>
    <r>
      <t>Selected non-metallic minerals</t>
    </r>
    <r>
      <rPr>
        <vertAlign val="superscript"/>
        <sz val="10"/>
        <rFont val="Times New Roman"/>
        <family val="1"/>
      </rPr>
      <t>3</t>
    </r>
  </si>
  <si>
    <t>Source : Based on SCF/SLID estimates.  Cansim series v1564222, v1564609, v1564750, v1564822, v1564957, v1565110,v1565290, v1565650, v1565767, v1565926 and v1566082</t>
  </si>
  <si>
    <t>Source : Based on SCF/SLID estimates.  Cansim series v1564221, v1564608, v1564749, v1564821, v1564956, v1565109, v1565289, v1565649, v1565766, v1565925 and v1566081</t>
  </si>
  <si>
    <t>Table 41: CCSD  Personal Security Index, 2003</t>
  </si>
  <si>
    <t>Source : Based on SCF/SLID estimates.  Cansim series v1564222, v1564228, v1564234, v1564240, v1564246, v1564252, v1564258, v1564264, v1564270, v1564276, v1564282, v1564288, v1564294, v1564300, v1564306, v1564312, v1564318, v1564324, v1564330, v1564336, v1564342, v1564348, v1564354, v1564360, v1564366, v1564372, v14134965, v1564378, v1564384, v1564390, v1564396, v1564402, v1564408, v1564414, v1564420 and v1564426</t>
  </si>
  <si>
    <t>*Data for 1997-1999 are unpublished statistics from Statistics Canada.</t>
  </si>
  <si>
    <t xml:space="preserve">Persons in economic families </t>
  </si>
  <si>
    <t>Males</t>
  </si>
  <si>
    <t>Females</t>
  </si>
  <si>
    <t>Elderly persons</t>
  </si>
  <si>
    <t>Employment Rate</t>
  </si>
  <si>
    <t>Source: Table I-4 from page 13 in Steve Kerstetter, "Rags and Riches: Wealth Inequality in Canada", Canadian Center for Policy Alternatives (CCPA), December 2002, available at http://www.policyalternatives.ca/documents/National_Office_Pubs/rags_riches.pdf</t>
  </si>
  <si>
    <t>Note: 1999 figures have been adjusted by Statistics Canada to be comparable to previous years.</t>
  </si>
  <si>
    <t>Percentage of all family units</t>
  </si>
  <si>
    <t>Share of total wealth</t>
  </si>
  <si>
    <t>Average wealth</t>
  </si>
  <si>
    <t>British columbia</t>
  </si>
  <si>
    <t>Prairie region</t>
  </si>
  <si>
    <t>Atlantic region</t>
  </si>
  <si>
    <t xml:space="preserve">           v1806515,v1806702,v1806889,v1807043,v1807153,v1807301 for 1991-2004, last updated </t>
  </si>
  <si>
    <t xml:space="preserve">            Average hourly wage rate for Canada and all provinces from SEPH: v1806037,v1806242,v1806321,v1806357,v1806449,</t>
  </si>
  <si>
    <t xml:space="preserve">            - In order to take into account "economies of scale" of larger families, per capita income is not used.  Instead, an equivalence scale is used where the oldest person in the family is given a factor of 1.0, the second oldest a factor of 0.4, every other family member over the age 0f 16 a factor of 0.4 and every other family member under the age of 16 a factor of 0.3 . Then, the income is divided by the total of the family factors.</t>
  </si>
  <si>
    <t>U/WAP</t>
  </si>
  <si>
    <t>E/WAP</t>
  </si>
  <si>
    <t>LF/WAP</t>
  </si>
  <si>
    <t>86-89</t>
  </si>
  <si>
    <t>Person with a disability</t>
  </si>
  <si>
    <t>Single parent, one child</t>
  </si>
  <si>
    <t>Couple, two children</t>
  </si>
  <si>
    <t>Single parent, on child</t>
  </si>
  <si>
    <t>NEWFOUNDLAND</t>
  </si>
  <si>
    <t>PRINCE EDWAR ISLAND</t>
  </si>
  <si>
    <t>NOVA SCOTIA</t>
  </si>
  <si>
    <t>NEW BRUNSWICK</t>
  </si>
  <si>
    <t>QUEBEC</t>
  </si>
  <si>
    <t>ONTARIO</t>
  </si>
  <si>
    <t>MANITOBA</t>
  </si>
  <si>
    <t>SASKATCHEWAN</t>
  </si>
  <si>
    <t>ALBERTA</t>
  </si>
  <si>
    <t>BRITISH COLUMBIA</t>
  </si>
  <si>
    <t>Average annual percentage change</t>
  </si>
  <si>
    <t>Source: Cansim series v691783, v691806, v691829, v691852, v691875, v691898, v691921, v691944, v691967, v691990 and v692013</t>
  </si>
  <si>
    <t>Total Assets</t>
  </si>
  <si>
    <t>Residential Structures</t>
  </si>
  <si>
    <t>Consumer durables</t>
  </si>
  <si>
    <t>Land</t>
  </si>
  <si>
    <t>Shares</t>
  </si>
  <si>
    <t xml:space="preserve"> Currency and bank deposits</t>
  </si>
  <si>
    <t xml:space="preserve"> Life insurance and pensions</t>
  </si>
  <si>
    <t>Other assets*</t>
  </si>
  <si>
    <t>Total Liabilities</t>
  </si>
  <si>
    <t>Consumer credit</t>
  </si>
  <si>
    <t>Bank loans</t>
  </si>
  <si>
    <t>Mortgages</t>
  </si>
  <si>
    <t>Other liabilities**</t>
  </si>
  <si>
    <t>Net worth</t>
  </si>
  <si>
    <t>A = B + C + D + E+ F + G + H</t>
  </si>
  <si>
    <t>H = A - (B + C + D + E+ F + G)</t>
  </si>
  <si>
    <t>I = J + K + L + M</t>
  </si>
  <si>
    <t>J</t>
  </si>
  <si>
    <t>K</t>
  </si>
  <si>
    <t>L</t>
  </si>
  <si>
    <t>M = I - (J + K + L)</t>
  </si>
  <si>
    <t>O = A - I</t>
  </si>
  <si>
    <t>Source: Cansim series v33462, V33464,V33467,V33469, V33473, V33476, V33488, V33489, V33490, V33492 and V33495</t>
  </si>
  <si>
    <t>Market income</t>
  </si>
  <si>
    <t>Total income</t>
  </si>
  <si>
    <t>After-tax income</t>
  </si>
  <si>
    <t>Source : Based on SCF/SLID estimates.  Cansim series v1560773,v1561045,v1561173,v1561291,v1561419, v1561551, v1561687, v1561957, v1562083, v1562215 and v1562347.</t>
  </si>
  <si>
    <t>Source : Based on SCF/SLID estimates.  Cansim series V21151657, V21151873, V21151981, V21152089, V21152197, V21152305, V21152413, V21152629, V21152737, V21152845 and V21152953</t>
  </si>
  <si>
    <t>Source : Based on SCF/SLID estimates.  Cansim series V1549330, V1549506, V1549574, v1549655, V1549737, V1549825, V1549920, V1550103, V1550188, V1550282 and v1550378</t>
  </si>
  <si>
    <t>Source : Based on SCF/SLID estimates.  Cansim series V1549294, V1549478, V1549550, V1549623, V1549706, V1549791, V1549885, V1550074, V1550155, V1550247 and V1550343</t>
  </si>
  <si>
    <t>Source : Based on SCF/SLID estimates.  Cansim series v21188921, v21188939, v21188957, v21188909, v21188927 and v21188945</t>
  </si>
  <si>
    <t>1stQuarter</t>
  </si>
  <si>
    <t>2ndQuarter</t>
  </si>
  <si>
    <t>3rdQuarter</t>
  </si>
  <si>
    <t>4thQuarter</t>
  </si>
  <si>
    <t>rebase to 1992=100</t>
  </si>
  <si>
    <t>v29509281</t>
  </si>
  <si>
    <t>Source : Cansim series V29509281,  Table 31, Table 4 and Table 6. Values and growth rates calculated by the CSLS</t>
  </si>
  <si>
    <t>millions of 2005$</t>
  </si>
  <si>
    <r>
      <t> RRSPs/ LIRAs/ RRIFs/ other</t>
    </r>
    <r>
      <rPr>
        <vertAlign val="superscript"/>
        <sz val="10"/>
        <rFont val="Times New Roman"/>
        <family val="1"/>
      </rPr>
      <t>2</t>
    </r>
  </si>
  <si>
    <r>
      <t>RRSPs/LIRAs/RRIFs and other</t>
    </r>
    <r>
      <rPr>
        <vertAlign val="superscript"/>
        <sz val="10"/>
        <rFont val="Times New Roman"/>
        <family val="1"/>
      </rPr>
      <t>3</t>
    </r>
  </si>
  <si>
    <t> Mutual funds/investment funds and income trusts</t>
  </si>
  <si>
    <t>Average amount (2005$)</t>
  </si>
  <si>
    <r>
      <t>Median amount (2005$)</t>
    </r>
    <r>
      <rPr>
        <vertAlign val="superscript"/>
        <sz val="10"/>
        <rFont val="Times New Roman"/>
        <family val="1"/>
      </rPr>
      <t>1</t>
    </r>
  </si>
  <si>
    <t>2. Registered Retirement Savings Plans (RRSPs), Registered Retirement Income Funds (RRIFs). Locked-in Retirement Accounts (LIRAs). Other
includes Deferred Profit Sharing Plans (DPSPs), annuities and other miscellaneous pension assets.</t>
  </si>
  <si>
    <t>3. Registered Retirement Savings Plans (RRSPs), Registered Retirement Income Funds (RRIFs). Locked-in Retirement Accounts (LIRAs). Other
includes Deferred Profit Sharing Plans (DPSPs), annuities and other miscellaneous pension assets.</t>
  </si>
  <si>
    <t>% change</t>
  </si>
  <si>
    <t>Divorce Rate</t>
  </si>
  <si>
    <t>Poverty Rate for lone female families</t>
  </si>
  <si>
    <t>Poverty Gap for lone female families</t>
  </si>
  <si>
    <t>Risk Imposed by Single-Parent Poverty</t>
  </si>
  <si>
    <t>Index of Security from the Risk Imposed by Single-Parent Poverty</t>
  </si>
  <si>
    <t>E=A*B*C</t>
  </si>
  <si>
    <t>(max-x)/(max-min)</t>
  </si>
  <si>
    <t xml:space="preserve">K=G*H*I* </t>
  </si>
  <si>
    <t>M</t>
  </si>
  <si>
    <t>N</t>
  </si>
  <si>
    <t>O</t>
  </si>
  <si>
    <t>Q=M*N*O</t>
  </si>
  <si>
    <t>K=G*H*I</t>
  </si>
  <si>
    <t>Diff</t>
  </si>
  <si>
    <t>10%Diff</t>
  </si>
  <si>
    <t>Poverty Rate for Elderly Families (%)</t>
  </si>
  <si>
    <t>Poverty Gap Ratio for Elderly Families</t>
  </si>
  <si>
    <t>Poverty Intensity for Elderly Families</t>
  </si>
  <si>
    <t>Index of Security from the Risk Imposed by Poverty in Old Age</t>
  </si>
  <si>
    <t>Poverty Gap for Elderly Families</t>
  </si>
  <si>
    <t>C=A*B*Constant</t>
  </si>
  <si>
    <t>H=F*G*Constant</t>
  </si>
  <si>
    <t>M=K*L*Constant</t>
  </si>
  <si>
    <t>Source: Data for 1973, 1975, 1977, 1979, 1981, 1982, 1984-1996 are from Statistics Canada using Survey of Consumer Finance (SCF)</t>
  </si>
  <si>
    <t>Source : Cansim series v41693271,v41693542,v41693677,v41693811,v41693946,v41694081,v41694217,v41694353,v41694489,v41694625 and v41694760</t>
  </si>
  <si>
    <t>Source : Calculated using Table 5 and Table 8A by the CSLS</t>
  </si>
  <si>
    <t>Source : Calculated using Table 11B by the CSLS.</t>
  </si>
  <si>
    <t>..</t>
  </si>
  <si>
    <t>V21188922</t>
  </si>
  <si>
    <t>V21189030</t>
  </si>
  <si>
    <t>V21189084</t>
  </si>
  <si>
    <t>V21189138</t>
  </si>
  <si>
    <t>V21189192</t>
  </si>
  <si>
    <t>V21189246</t>
  </si>
  <si>
    <t>V21189300</t>
  </si>
  <si>
    <t>V21189408</t>
  </si>
  <si>
    <t>V21189462</t>
  </si>
  <si>
    <t>V21189516</t>
  </si>
  <si>
    <t>V21189570</t>
  </si>
  <si>
    <t>V21188926</t>
  </si>
  <si>
    <t>V21189034</t>
  </si>
  <si>
    <t>V21189088</t>
  </si>
  <si>
    <t>V21189142</t>
  </si>
  <si>
    <t>V21189196</t>
  </si>
  <si>
    <t>V21189250</t>
  </si>
  <si>
    <t>V21189304</t>
  </si>
  <si>
    <t>V21189412</t>
  </si>
  <si>
    <t>V21189466</t>
  </si>
  <si>
    <t>V21189520</t>
  </si>
  <si>
    <t>V21189574</t>
  </si>
  <si>
    <t>Data retrieved on July 17th, 2008</t>
  </si>
  <si>
    <t>V21189268</t>
  </si>
  <si>
    <t>V21189318</t>
  </si>
  <si>
    <t>V21189322</t>
  </si>
  <si>
    <t>V21189426</t>
  </si>
  <si>
    <t>V21189430</t>
  </si>
  <si>
    <t>V21189480</t>
  </si>
  <si>
    <t>V21189484</t>
  </si>
  <si>
    <t>V21189534</t>
  </si>
  <si>
    <t>V21189538</t>
  </si>
  <si>
    <t>V21189588</t>
  </si>
  <si>
    <t>V21189592</t>
  </si>
  <si>
    <t>V21188940</t>
  </si>
  <si>
    <t>V21188944</t>
  </si>
  <si>
    <t>V21189048</t>
  </si>
  <si>
    <t>V21189052</t>
  </si>
  <si>
    <t>V21189102</t>
  </si>
  <si>
    <t>V21189106</t>
  </si>
  <si>
    <t>V21189156</t>
  </si>
  <si>
    <t>V21189160</t>
  </si>
  <si>
    <t>V21189210</t>
  </si>
  <si>
    <t>V21189214</t>
  </si>
  <si>
    <t>V21189264</t>
  </si>
  <si>
    <t>Data retrieved on July 21st, 2008</t>
  </si>
  <si>
    <t>V21188962</t>
  </si>
  <si>
    <t>V21189070</t>
  </si>
  <si>
    <t>V21189124</t>
  </si>
  <si>
    <t>V21189178</t>
  </si>
  <si>
    <t>V21189232</t>
  </si>
  <si>
    <t>V21189286</t>
  </si>
  <si>
    <t>V21189340</t>
  </si>
  <si>
    <t>V21189448</t>
  </si>
  <si>
    <t>V21189502</t>
  </si>
  <si>
    <t>V21189556</t>
  </si>
  <si>
    <t>V21189610</t>
  </si>
  <si>
    <t>V21188958</t>
  </si>
  <si>
    <t>V21189066</t>
  </si>
  <si>
    <t>V21189120</t>
  </si>
  <si>
    <t>V21189174</t>
  </si>
  <si>
    <t>V21189228</t>
  </si>
  <si>
    <t>V21189282</t>
  </si>
  <si>
    <t>V21189336</t>
  </si>
  <si>
    <t>V21189444</t>
  </si>
  <si>
    <t>V21189498</t>
  </si>
  <si>
    <t>V21189552</t>
  </si>
  <si>
    <t>V21189606</t>
  </si>
  <si>
    <t>V21388980</t>
  </si>
  <si>
    <t>V21389211</t>
  </si>
  <si>
    <t>V21389673</t>
  </si>
  <si>
    <t>V21389904</t>
  </si>
  <si>
    <t>V21390366</t>
  </si>
  <si>
    <t>V21390828</t>
  </si>
  <si>
    <t>V21392445</t>
  </si>
  <si>
    <t>V21395217</t>
  </si>
  <si>
    <t>V21395679</t>
  </si>
  <si>
    <t>V21396372</t>
  </si>
  <si>
    <t>V21397065</t>
  </si>
  <si>
    <r>
      <t>AAGR</t>
    </r>
    <r>
      <rPr>
        <vertAlign val="superscript"/>
        <sz val="10"/>
        <rFont val="Times New Roman"/>
        <family val="1"/>
      </rPr>
      <t>1</t>
    </r>
    <r>
      <rPr>
        <sz val="10"/>
        <rFont val="Times New Roman"/>
        <family val="1"/>
      </rPr>
      <t xml:space="preserve"> 97-06</t>
    </r>
  </si>
  <si>
    <r>
      <t>TGR</t>
    </r>
    <r>
      <rPr>
        <vertAlign val="superscript"/>
        <sz val="10"/>
        <rFont val="Times New Roman"/>
        <family val="1"/>
      </rPr>
      <t>2</t>
    </r>
    <r>
      <rPr>
        <sz val="10"/>
        <rFont val="Times New Roman"/>
        <family val="1"/>
      </rPr>
      <t xml:space="preserve"> 97-06</t>
    </r>
  </si>
  <si>
    <t>AAGR2 97-06</t>
  </si>
  <si>
    <t>TGR3 97-06</t>
  </si>
  <si>
    <t>97-07</t>
  </si>
  <si>
    <t>2002=100</t>
  </si>
  <si>
    <t>GDP at market prices, millions 2002$</t>
  </si>
  <si>
    <t>Share in 2007</t>
  </si>
  <si>
    <t>V691567</t>
  </si>
  <si>
    <t>V691568</t>
  </si>
  <si>
    <t>V691569</t>
  </si>
  <si>
    <t>V691570</t>
  </si>
  <si>
    <t>V691571</t>
  </si>
  <si>
    <t>V691572</t>
  </si>
  <si>
    <t>V691573</t>
  </si>
  <si>
    <t>V691574</t>
  </si>
  <si>
    <t xml:space="preserve">National minimum wage rate calculated by weighted number of persons aged 18-64 in low income in 1980-2007. The same weight used as that in 1980 for the previous years. 2008 used the weight for 2007. </t>
  </si>
  <si>
    <t>Canada (weighted by the number of person in low income)</t>
  </si>
  <si>
    <t>65-08</t>
  </si>
  <si>
    <t>81-08</t>
  </si>
  <si>
    <t>89-08</t>
  </si>
  <si>
    <t>00-08</t>
  </si>
  <si>
    <t>Table 35A : Hourly Minimum Wages in Canada for Adult Workers by Province and Territories, 1965-2008</t>
  </si>
  <si>
    <t>Table 39: Trends in Number of Job Losers in Canada, 1976-2006</t>
  </si>
  <si>
    <t xml:space="preserve">Source: Spyridoula Tsoukalas and Andrew Mackenzie, "The Personal Security Index, 2003," Canadian Council on Social Development (CCSD), retreived May 26,2005 from http://www.ccsd.ca/pubs/2003/psi/. </t>
  </si>
  <si>
    <t>Data retrieved on July 24nd, 2008</t>
  </si>
  <si>
    <t>Workers in thousands</t>
  </si>
  <si>
    <t>87-06</t>
  </si>
  <si>
    <t>87-07</t>
  </si>
  <si>
    <t>1981-2007</t>
  </si>
  <si>
    <t>V2634390</t>
  </si>
  <si>
    <t>V2634486</t>
  </si>
  <si>
    <t>V2634534</t>
  </si>
  <si>
    <t>V2461084</t>
  </si>
  <si>
    <t>V2461105</t>
  </si>
  <si>
    <t>V2461126</t>
  </si>
  <si>
    <t>V2635038</t>
  </si>
  <si>
    <t>V2635134</t>
  </si>
  <si>
    <t>V2635182</t>
  </si>
  <si>
    <t>V2635686</t>
  </si>
  <si>
    <t>V2635782</t>
  </si>
  <si>
    <t>V2635830</t>
  </si>
  <si>
    <t>V2636334</t>
  </si>
  <si>
    <t>V2636430</t>
  </si>
  <si>
    <t>V2636478</t>
  </si>
  <si>
    <t>V2636982</t>
  </si>
  <si>
    <t>V2637078</t>
  </si>
  <si>
    <t>V2637126</t>
  </si>
  <si>
    <t>V2637630</t>
  </si>
  <si>
    <t>V2637726</t>
  </si>
  <si>
    <t>V2637774</t>
  </si>
  <si>
    <t>V2638278</t>
  </si>
  <si>
    <t>V2638374</t>
  </si>
  <si>
    <t>V2638422</t>
  </si>
  <si>
    <t>V2638926</t>
  </si>
  <si>
    <t>V2639022</t>
  </si>
  <si>
    <t>V2639070</t>
  </si>
  <si>
    <t>V2639574</t>
  </si>
  <si>
    <t>V2639670</t>
  </si>
  <si>
    <t>V2639718</t>
  </si>
  <si>
    <t>V2640222</t>
  </si>
  <si>
    <t>V2640318</t>
  </si>
  <si>
    <t>V2640366</t>
  </si>
  <si>
    <t>V2640870</t>
  </si>
  <si>
    <t>V2640966</t>
  </si>
  <si>
    <t>V2641014</t>
  </si>
  <si>
    <t>V2461714</t>
  </si>
  <si>
    <t>V2461735</t>
  </si>
  <si>
    <t>V2461756</t>
  </si>
  <si>
    <t>V2462344</t>
  </si>
  <si>
    <t>V2462365</t>
  </si>
  <si>
    <t>V2462386</t>
  </si>
  <si>
    <t>V2462974</t>
  </si>
  <si>
    <t>V2462995</t>
  </si>
  <si>
    <t>V2463016</t>
  </si>
  <si>
    <t>V2463604</t>
  </si>
  <si>
    <t>V2463625</t>
  </si>
  <si>
    <t>V2463646</t>
  </si>
  <si>
    <t>V2464234</t>
  </si>
  <si>
    <t>V2464255</t>
  </si>
  <si>
    <t>V2464276</t>
  </si>
  <si>
    <t>V2464864</t>
  </si>
  <si>
    <t>V2464885</t>
  </si>
  <si>
    <t>V2464906</t>
  </si>
  <si>
    <t>V2465494</t>
  </si>
  <si>
    <t>V2465515</t>
  </si>
  <si>
    <t>V2465536</t>
  </si>
  <si>
    <t>V2466124</t>
  </si>
  <si>
    <t>V2466145</t>
  </si>
  <si>
    <t>V2466166</t>
  </si>
  <si>
    <t>V2466754</t>
  </si>
  <si>
    <t>V2466775</t>
  </si>
  <si>
    <t>V2466796</t>
  </si>
  <si>
    <t>V2467384</t>
  </si>
  <si>
    <t>V2467405</t>
  </si>
  <si>
    <t>V2467426</t>
  </si>
  <si>
    <t>Data retrieved July 25th, 2008</t>
  </si>
  <si>
    <t>CIBC Index of Emplyment Quality (Q1 1994=100)</t>
  </si>
  <si>
    <t>Recent immigrants(10 yrs)</t>
  </si>
  <si>
    <t>Source: Table 64 and Table 4</t>
  </si>
  <si>
    <t>2006-2007</t>
  </si>
  <si>
    <t>Table 36b: Food Security by Income Adequacy Grouping, 2004</t>
  </si>
  <si>
    <t>and data for 1996-2005 from Survey for Labour and Income Dynamics (SLID-LIS) equivalence scales</t>
  </si>
  <si>
    <t>Note: Values for 1996- 2005 are based on SLID data.  Data before 1996 are computed using the percent change of SCF-based data for 1973, 1975, 1977, 1979, 1981, 1982, 1984-1996.</t>
  </si>
  <si>
    <t>Years between are interpolations.  Values prior to 1973 are assumed equal to 1973 and values after 2005 are assumed equal to 2005.</t>
  </si>
  <si>
    <t>Poverty intensity is the product of the poverty rate and the poverty gap and a constant (approximately 1.89). Last updated: March 17, 2008.</t>
  </si>
  <si>
    <t>2000-2007</t>
  </si>
  <si>
    <t>1981-2007*</t>
  </si>
  <si>
    <t>1988-2007</t>
  </si>
  <si>
    <t>National minimum wage rate also calculated by weighted number of minimum wage workers in 2000 and weighted number of employment in 1976-2007, and other years used the averaged weight of employment for these years.</t>
  </si>
  <si>
    <t>NS</t>
  </si>
  <si>
    <t>NB</t>
  </si>
  <si>
    <t>PQ</t>
  </si>
  <si>
    <t>ON</t>
  </si>
  <si>
    <t>Alb.</t>
  </si>
  <si>
    <t>BC</t>
  </si>
  <si>
    <t xml:space="preserve">Source: Canadian Institute for Health Information, www.cihi.ca, National Health Expenditure Database and Survey of Household Spending (Statistics Canada). </t>
  </si>
  <si>
    <t>15-64</t>
  </si>
  <si>
    <t>% of total pop.</t>
  </si>
  <si>
    <t>45-64</t>
  </si>
  <si>
    <t>B=A/Population*100,000</t>
  </si>
  <si>
    <t>D=C/Population*100,000</t>
  </si>
  <si>
    <t>F=E/Population*100,000</t>
  </si>
  <si>
    <t>H=G/Population*100,000</t>
  </si>
  <si>
    <t>J=I/Population*100,000</t>
  </si>
  <si>
    <t>L=K/Population*100,000</t>
  </si>
  <si>
    <t>N=M/Population*100,000</t>
  </si>
  <si>
    <t>P=O/Population*100,000</t>
  </si>
  <si>
    <t>Source: CANSIM II series: Table 510001, Estimates of population for July 1, 1971-2007, February 12,2008.</t>
  </si>
  <si>
    <t>% of pop. 15-64</t>
  </si>
  <si>
    <t>Normalized weight for risk from unemployment</t>
  </si>
  <si>
    <t>% of pop. at risk of illness</t>
  </si>
  <si>
    <t>Normalized weight for risk from illness</t>
  </si>
  <si>
    <t>Mothers and children as a % of pop.</t>
  </si>
  <si>
    <t>Normalized weight for risk from single-parent poverty</t>
  </si>
  <si>
    <t>% of pop. 45-64</t>
  </si>
  <si>
    <t>Normalized weight for risk from poverty in old age</t>
  </si>
  <si>
    <t>Total proportion at risk</t>
  </si>
  <si>
    <t>B=A/I</t>
  </si>
  <si>
    <t>D=C/I</t>
  </si>
  <si>
    <t>F=E/I</t>
  </si>
  <si>
    <t>H=G/I</t>
  </si>
  <si>
    <t>I=A+C+E+G</t>
  </si>
  <si>
    <t>Source: See Page 1.</t>
  </si>
  <si>
    <t>Survey of Consumer Finance (SCF) and data for 1996-2005 from Survey for Labour and Income Dynamics (SLID-LIS) equivalence scales</t>
  </si>
  <si>
    <t xml:space="preserve">Note: Values of mothers and children as a percentage of population for 1996-2003 are based on SLID data.  Data before 1996 are computed </t>
  </si>
  <si>
    <t xml:space="preserve">using the percent change  of SCF-based data for 1973, 1975, 1977, 1979, 1981, 1982, 1984-1996. Years between are interpolations.  </t>
  </si>
  <si>
    <t>Values prior to 1973 are assumed equal to 1973 and values after 2005 are assumed equal to 2005. Last updated: March 17, 2008.</t>
  </si>
  <si>
    <t>Mother and children as a % of pop. Data before:</t>
  </si>
  <si>
    <t>Children (Population that 0-17 years)</t>
  </si>
  <si>
    <t>V466965</t>
  </si>
  <si>
    <t>V467280</t>
  </si>
  <si>
    <t>V467595</t>
  </si>
  <si>
    <t>V467910</t>
  </si>
  <si>
    <t>V468225</t>
  </si>
  <si>
    <t>V468540</t>
  </si>
  <si>
    <t>V468855</t>
  </si>
  <si>
    <t>V469170</t>
  </si>
  <si>
    <t>V469485</t>
  </si>
  <si>
    <t>V469800</t>
  </si>
  <si>
    <t>V470115</t>
  </si>
  <si>
    <t>Total number of Mothers and Children</t>
  </si>
  <si>
    <t xml:space="preserve">Source: Table 28. Data on mothers and children as a % of population for 1973, 1975, 1977, 1979, 1981, 1982, 1984-1996 are from Statistics Canada using </t>
  </si>
  <si>
    <t>*1988-2007 for CIBC Employment Quality Index and 1985-2007 for the RBC Housing affordability Index</t>
  </si>
  <si>
    <t>GDP per hour, Index, 2002=100</t>
  </si>
  <si>
    <t>Productivity in the total economy, GDP per hour, 2002 $</t>
  </si>
  <si>
    <t xml:space="preserve">Source: Statistics Canada "The Assests and Wealth of Canadians: An overview of the results of the </t>
  </si>
  <si>
    <t>Survey of Finacial Security 2005." Catalogue no.13F0026MIE2006001.</t>
  </si>
  <si>
    <t>Canada (1) refers to the nominal national minimum wage rate used here calculated by weighted number of person in low income, Canada (2) refers to the nominal national minimum wage rate calculated by weighted number of minimum wage workers; and Canada (3) is the nominal wage rate used calculated by weighted employment.</t>
  </si>
  <si>
    <t>Source:  Statistics Canada Labour Force Survey in CANSIM II: v2462337, v2462358, v2462379, v2462442, v2462715, v2462925.</t>
  </si>
  <si>
    <t>Source:  Statistics Canada Labour Force Survey in CANSIM II:  v2462967, v2462988, v2463009, v2463072, v2463345, v2463555.</t>
  </si>
  <si>
    <t>Source:  Statistics Canada Labour Force Survey in CANSIM II: v2463597, v2463618, v2463639, v2463702, v2463975, v2464185.</t>
  </si>
  <si>
    <t>Source:  Statistics Canada Labour Force Survey in CANSIM II:  v2464857, v2464878, v2464899, v2464962, v2465235, v2465445.</t>
  </si>
  <si>
    <t>Source:  Statistics Canada Labour Force Survey in CANSIM II:  v2467377, v2467398, v2467419, v2467482, v2467755, v2467965.</t>
  </si>
  <si>
    <t>Source:  Statistics Canada Labour Force Survey in CANSIM II:  v2466747, v2466768, v2466789, v2466852, v2467125, v2467335.</t>
  </si>
  <si>
    <t>Source:  Statistics Canada Labour Force Survey in CANSIM II:  v2466117, v2466138, v2466159, v2466222, v2466495, v2466705.</t>
  </si>
  <si>
    <t>Source:  Statistics Canada Labour Force Survey in CANSIM II:  v2465487, v2465508, v2465529, v2465592, v2465865, v2466075.</t>
  </si>
  <si>
    <t>a Figures exclude an additional $40 million previously committed to the Ontario Child Care Tax Credit.</t>
  </si>
  <si>
    <t>b Figures include funding which is provided through remaining NCB Supplement recoveries, Childrens Special Allowance recoveries, federal transfers under the 2000 Early Childhood Development Agreement ($18.3 million in 2003-2004, 2004-2005 and 2005-2006 and $18.1 million in 2006-2007), federal transfers under the Multilateral Framework on Early Learning and Child Care ($0.9 million in 2003-2004, $5.5 million in 2004-2005, $8.2 million in 2005-2006 and $11 million in 2006-2007), as well as provincial revenue.</t>
  </si>
  <si>
    <t>c Figures for Manitoba's reinvestments and investments include expenditures on the restoration of the NCB Supplement for families in receipt of Employment Income and Income Assistance Benefits. In 2003-2004, $11.0 million was spent on the Restoration of  the NCB Supplement and in 2004-2005, $13.7 million was spent. It is estimated that in both 2005-2006 and 2006-2007, $13.7 million was spent on the Restoration of the NCB Supplement.</t>
  </si>
  <si>
    <t>d In 2005-2006, due to improved reporting methods, Saskatchewan revised the way in which it reports reinvestments/investments. Expenditures for 2003-2004 and 2004-2005 have been restated and will not match figures from reports prior to 2005.</t>
  </si>
  <si>
    <t>e Citizenship and Immigration Canada administers the Resettlement Assistance Program (RAP) for refugees.</t>
  </si>
  <si>
    <t> --</t>
  </si>
  <si>
    <t>APPENDIX A: ESTIMATED NUMBER OF PEOPLE</t>
  </si>
  <si>
    <t>PRINCEEDWARD ISLAND</t>
  </si>
  <si>
    <t>YUKON</t>
  </si>
  <si>
    <t>NORTHWEST TERRITORIES</t>
  </si>
  <si>
    <t>NUNAVUT</t>
  </si>
  <si>
    <t>CANADA</t>
  </si>
  <si>
    <t>1,745,800r</t>
  </si>
  <si>
    <t>Source: National Council of Welfare: Welfare Incomes 2005. http://www.ncwcnbes.net/documents/researchpublications/ResearchProjects/WelfareIncomes/2005Report_Summer2006/ReportENG.pdf Appendix A</t>
  </si>
  <si>
    <t>Canada excluding territories</t>
  </si>
  <si>
    <t>all provs</t>
  </si>
  <si>
    <t xml:space="preserve">Note: Data for welfare benefit is available for 1986 and the 1989-2006 period. </t>
  </si>
  <si>
    <t>Source: National Council of Welfare, Welfare Incomes Report 2005, Table 5.1 and Welfare Incomes Report 2006, Fact Sheet 5.</t>
  </si>
  <si>
    <t xml:space="preserve">Note: Minimum wages in Table 35 B are converted from 2002 constant dollar to 2006 constant dollar by multiplying 2006 CPI dividec by 2002 CPI in Table 4. </t>
  </si>
  <si>
    <t>*Point change from 1989-2006 for persons with disability due to unavailability of data for 1986.</t>
  </si>
  <si>
    <t>Source : Cansim series v3839799, v3839802, v3839805, v3839808, v3839811, v3839814, v3839817, v3839820, v3839823, v3839826 and v3839829.</t>
  </si>
  <si>
    <t xml:space="preserve">Source : Calculated using Table 7C by the CSLS. </t>
  </si>
  <si>
    <t>Source : Cansim series v3840594, v3840623, v3840652, v3840681, v3840710, v3840739, v3840768, v3840797, v3840826, v3840855 and v3840884.</t>
  </si>
  <si>
    <t>Source : Table 6a and Table 6b</t>
  </si>
  <si>
    <t>Source : Table 6a and Table 6c</t>
  </si>
  <si>
    <t xml:space="preserve"> Total assets</t>
  </si>
  <si>
    <t xml:space="preserve"> Canadian direct investment abroad</t>
  </si>
  <si>
    <t xml:space="preserve"> Total liabilities</t>
  </si>
  <si>
    <t xml:space="preserve"> Foreign direct investment in Canada</t>
  </si>
  <si>
    <t xml:space="preserve"> Canada's net international investment position</t>
  </si>
  <si>
    <t xml:space="preserve"> Canadian portfolio investment</t>
  </si>
  <si>
    <t xml:space="preserve"> Other Canadian investment</t>
  </si>
  <si>
    <t xml:space="preserve"> Foreign portfolio investment</t>
  </si>
  <si>
    <t xml:space="preserve"> Other foreign investment</t>
  </si>
  <si>
    <t>Source: Statistics Canada, Cansim series v235395, v235396, v235411, v235412, v235422, v235423, v235424, v235425 and v235426 on Table 376-0037 and Cansim series v647784 on Table 380-0030.</t>
  </si>
  <si>
    <t>Net investment income from non-residents*</t>
  </si>
  <si>
    <t>* Net investment income from non-residents is the difference between GDP and GNP. It is excluded in GDP, but included in GNP, which explains why GNP has been lower than GDP in Canada between 1981 and 2007.</t>
  </si>
  <si>
    <t>A = B + C + D</t>
  </si>
  <si>
    <t>E = F + G + H</t>
  </si>
  <si>
    <t>I = A - E</t>
  </si>
  <si>
    <t>http://www12.statcan.ca/english/census06/data/topics/RetrieveProductTable.cfm?TPL=RETR&amp;ALEVEL=3&amp;APATH=3&amp;CATNO=&amp;DETAIL=0&amp;DIM=&amp;DS=99&amp;FL=0&amp;FREE=0&amp;GAL=0&amp;GC=99&amp;GK=NA&amp;GRP=1&amp;IPS=&amp;METH=0&amp;ORDER=1&amp;PID=93716&amp;PTYPE=88971&amp;RL=0&amp;S=1&amp;ShowAll=No&amp;StartRow=1&amp;SUB=0&amp;Temporal=2006&amp;Theme=75&amp;VID=0&amp;VNAMEE=&amp;VNAMEF=</t>
  </si>
  <si>
    <t>For 2006 data:</t>
  </si>
  <si>
    <t>http://www12.statcan.ca/english/census01/products/standard/themes/RetrieveProductTable.cfm?Temporal=2001&amp;PID=60337&amp;APATH=3&amp;GID=431515&amp;METH=1&amp;PTYPE=55440&amp;THEME=46&amp;FOCUS=0&amp;AID=0&amp;PLACENAME=0&amp;PROVINCE=0&amp;SEARCH=0&amp;GC=99&amp;GK=NA&amp;VID=0&amp;VNAMEE=&amp;VNAMEF=&amp;FL=0&amp;RL=0&amp;FREE=0</t>
  </si>
  <si>
    <t>For 1996 and 2001 data:</t>
  </si>
  <si>
    <t>Entered country within the last 5 years</t>
  </si>
  <si>
    <t xml:space="preserve"> Entered country 6 to 10 years ago</t>
  </si>
  <si>
    <t>Unemployment rate of immigrants as a ratio of the non-immigrant unemployment rate</t>
  </si>
  <si>
    <t>Non-immigrant population</t>
  </si>
  <si>
    <t>http://www.statcan.ca/bsolc/english/bsolc?catno=97-563-XWE2006021</t>
  </si>
  <si>
    <t>Source: Census 2006, Topic-Based Tabulations</t>
  </si>
  <si>
    <t>Recent immigrant's income as a share of non-immigrant income</t>
  </si>
  <si>
    <t>Recent immigrants (between 2001 and 2004)</t>
  </si>
  <si>
    <t>Immigrants</t>
  </si>
  <si>
    <t>Non-immigrants</t>
  </si>
  <si>
    <t>Recent immigrants (between 1996 and 1999)</t>
  </si>
  <si>
    <t>Non-aboriginal population</t>
  </si>
  <si>
    <t>Aboriginal population</t>
  </si>
  <si>
    <t>Unemployment rate of aboriginal Canadians as a ratio of the non-aboriginal unemployment rate</t>
  </si>
  <si>
    <t xml:space="preserve">Source: Census 2001 and 2006. </t>
  </si>
  <si>
    <t>Source: Census 1996, 2001 and 2006.</t>
  </si>
  <si>
    <t>For 2001: Statistics Canada 97F0011XCB01044</t>
  </si>
  <si>
    <t>For 2006: Statistics Canada 97-560-XCB2006031</t>
  </si>
  <si>
    <t>Table 72A: Unemployment Rate of Aboriginal and Non-Aboriginal Canadians by Province, 2001 and 2006</t>
  </si>
  <si>
    <t>Table 72b: Employment Rate of Aboriginal and Non-Aboriginal Canadians by Province, 2001 and 2006</t>
  </si>
  <si>
    <t xml:space="preserve"> Real total expenditure ($2002, CPI-deflated)</t>
  </si>
  <si>
    <t xml:space="preserve"> Real total expenditure ($2002, PCE-deflated)</t>
  </si>
  <si>
    <t>Total labour force (thousands of persons)</t>
  </si>
  <si>
    <t>Notes: - In this table, the incidence of medium-term unemployment is defined as the number of unemployed between 26 and 51 weeks over the number of unemployed</t>
  </si>
  <si>
    <t xml:space="preserve">             - In this table, the incidence of long-term unemployment is defined as the number of unemployed for 52 weeks or more over the number of unemployed</t>
  </si>
  <si>
    <t>(6)=(2)+(3)/(1)*100</t>
  </si>
  <si>
    <t>(7)=(4)+(5)/(1)*100</t>
  </si>
  <si>
    <t xml:space="preserve">Source : Based Table 25A and Table 37. </t>
  </si>
  <si>
    <t>Notes: - In this table, the incidence of medium-term unemployment is defined as the number of unemployed between 26 and 51 weeks over the labour force. The incidence of long-term unemployment is defined as the number of unemployed for 52 weeks or more over thelabour force.</t>
  </si>
  <si>
    <t xml:space="preserve"> 15 years and over</t>
  </si>
  <si>
    <t xml:space="preserve"> 15 to 24 years</t>
  </si>
  <si>
    <t>25 to 34 years</t>
  </si>
  <si>
    <t>35 to 44 years</t>
  </si>
  <si>
    <t>45 to 54 years</t>
  </si>
  <si>
    <t>55 to 64 years</t>
  </si>
  <si>
    <t xml:space="preserve"> 65 years and over</t>
  </si>
  <si>
    <t>Source: Statistics Canada, Cansim Series v2461098, v2461099, v2461108, v2461109, v2461110, v2461111, v2461112, v2461113, v2461114, v2461115 and v2461116 on Table 282-0002</t>
  </si>
  <si>
    <t>Source: Table 68B</t>
  </si>
  <si>
    <t>Average Hourly Rate, in dollars</t>
  </si>
  <si>
    <t>Median Hourly Rate, in dollars</t>
  </si>
  <si>
    <t>Consumer Price Index (CPI)</t>
  </si>
  <si>
    <t>Total (15+)</t>
  </si>
  <si>
    <t>Aged 15-24</t>
  </si>
  <si>
    <t>Aged 25-54</t>
  </si>
  <si>
    <t>Aged 55+</t>
  </si>
  <si>
    <t>Compound Annual Growth Rate</t>
  </si>
  <si>
    <t>1997-2000</t>
  </si>
  <si>
    <t>2000-2004</t>
  </si>
  <si>
    <t>Source: Statistics Canada, Labour Force Survey, Cansim Table 282-0070. CPI from Cansim Table 326-0021.</t>
  </si>
  <si>
    <t>Average Hourly Rate, in 2002 dollars*</t>
  </si>
  <si>
    <t>Median Hourly Rate, in 2002 dollars*</t>
  </si>
  <si>
    <t>*Adjusted with the Consumer Price Index</t>
  </si>
  <si>
    <t>Table 73b: Real Wages of Employees (both full-time and part-time), 1997-2007</t>
  </si>
  <si>
    <t>61-08</t>
  </si>
  <si>
    <t>Data retrieved on June 1st, 2009</t>
  </si>
  <si>
    <t xml:space="preserve">COL0  - Date (YYYY-MM-DD) </t>
  </si>
  <si>
    <t xml:space="preserve">COL1  - v3310376 Canada; Total expenditure; Average expenditure (Dollars) </t>
  </si>
  <si>
    <t xml:space="preserve">COL2  - v3310381 Canada; Total current consumption; Average expenditure (Dollars) </t>
  </si>
  <si>
    <t xml:space="preserve">COL3  - v3310386 Canada; Food; Average expenditure (Dollars) </t>
  </si>
  <si>
    <t xml:space="preserve">COL4  - v3310391 Canada; Shelter; Average expenditure (Dollars) </t>
  </si>
  <si>
    <t xml:space="preserve">COL5  - v3310396 Canada; Household operation; Average expenditure (Dollars) </t>
  </si>
  <si>
    <t xml:space="preserve">COL6  - v3310401 Canada; Household furnishings and equipment; Average expenditure (Dollars) </t>
  </si>
  <si>
    <t xml:space="preserve">COL7  - v3310406 Canada; Clothing; Average expenditure (Dollars) </t>
  </si>
  <si>
    <t xml:space="preserve">COL8  - v3310411 Canada; Transportation; Average expenditure (Dollars) </t>
  </si>
  <si>
    <t xml:space="preserve">COL9  - v3310416 Canada; Health care; Average expenditure (Dollars) </t>
  </si>
  <si>
    <t xml:space="preserve">COL10 - v3310421 Canada; Personal care; Average expenditure (Dollars) </t>
  </si>
  <si>
    <t xml:space="preserve">COL11 - v3310426 Canada; Recreation; Average expenditure (Dollars) </t>
  </si>
  <si>
    <t xml:space="preserve">COL12 - v3310431 Canada; Reading materials and other printed matter; Average expenditure (Dollars) </t>
  </si>
  <si>
    <t xml:space="preserve">COL13 - v3310436 Canada; Education; Average expenditure (Dollars) </t>
  </si>
  <si>
    <t xml:space="preserve">COL14 - v3310441 Canada; Tobacco products and alcoholic beverages; Average expenditure (Dollars) </t>
  </si>
  <si>
    <t xml:space="preserve">COL15 - v3310446 Canada; Games of chance (net); Average expenditure (Dollars) </t>
  </si>
  <si>
    <t xml:space="preserve">COL16 - v3310451 Canada; Miscellaneous expenditures; Average expenditure (Dollars) </t>
  </si>
  <si>
    <t xml:space="preserve">COL17 - v3310456 Canada; Personal taxes; Average expenditure (Dollars) </t>
  </si>
  <si>
    <t xml:space="preserve">COL18 - v3310461 Canada; Personal insurance payments and pension contributions; Average expenditure (Dollars) </t>
  </si>
  <si>
    <t xml:space="preserve">COL19 - v3310466 Canada; Gifts of money and contributions; Average expenditure (Dollars) </t>
  </si>
  <si>
    <t>COL0</t>
  </si>
  <si>
    <t>COL1</t>
  </si>
  <si>
    <t>COL2</t>
  </si>
  <si>
    <t>COL3</t>
  </si>
  <si>
    <t>COL4</t>
  </si>
  <si>
    <t>COL5</t>
  </si>
  <si>
    <t>COL6</t>
  </si>
  <si>
    <t>COL7</t>
  </si>
  <si>
    <t>COL8</t>
  </si>
  <si>
    <t>COL9</t>
  </si>
  <si>
    <t>COL10</t>
  </si>
  <si>
    <t>COL11</t>
  </si>
  <si>
    <t>COL12</t>
  </si>
  <si>
    <t>COL13</t>
  </si>
  <si>
    <t>COL14</t>
  </si>
  <si>
    <t>COL15</t>
  </si>
  <si>
    <t>COL16</t>
  </si>
  <si>
    <t>COL17</t>
  </si>
  <si>
    <t>COL18</t>
  </si>
  <si>
    <t>COL19</t>
  </si>
  <si>
    <t>Statistics Canada, CANSIM using CHASS.</t>
  </si>
  <si>
    <t>87-08</t>
  </si>
  <si>
    <t>1981-2008</t>
  </si>
  <si>
    <t xml:space="preserve">COL1  - v2634369 Canada; 0 hours (Persons); All jobs; Both sexes; 15 years and over </t>
  </si>
  <si>
    <t xml:space="preserve">COL2  - v2634370 Canada; 1 to 14 hours (Persons); All jobs; Both sexes; 15 years and over </t>
  </si>
  <si>
    <t xml:space="preserve">COL3  - v2634371 Canada; 15 to 29 hours (Persons); All jobs; Both sexes; 15 years and over </t>
  </si>
  <si>
    <t xml:space="preserve">COL4  - v2634372 Canada; 30 to 34 hours (Persons); All jobs; Both sexes; 15 years and over </t>
  </si>
  <si>
    <t xml:space="preserve">COL5  - v2634373 Canada; 35 to 39 hours (Persons); All jobs; Both sexes; 15 years and over </t>
  </si>
  <si>
    <t xml:space="preserve">COL6  - v2634374 Canada; 40 hours (Persons); All jobs; Both sexes; 15 years and over </t>
  </si>
  <si>
    <t xml:space="preserve">COL7  - v2634375 Canada; 41 to 49 hours (Persons); All jobs; Both sexes; 15 years and over </t>
  </si>
  <si>
    <t xml:space="preserve">COL8  - v2634376 Canada; 50 hours or more (Persons); All jobs; Both sexes; 15 years and over </t>
  </si>
  <si>
    <t>1976-2008</t>
  </si>
  <si>
    <t>Data retrieved June 1, 2009</t>
  </si>
  <si>
    <t>Data retrieved on June 1, 2009</t>
  </si>
  <si>
    <t>71-08</t>
  </si>
  <si>
    <t>Source : Cansim series v691786, v691809, v691832, v691855, v691855, v691878, v691901, v691924, v691947, v691970, v691993, and v692016.</t>
  </si>
  <si>
    <t>Source : Table 1 and 6d</t>
  </si>
  <si>
    <t>Source : Tables 1 and 6a</t>
  </si>
  <si>
    <t>Source : Based on provincial economic accounts.  Cansim series v691801, v691824, v691847, v691870, v691893, v691916, v691939, v691962, v691985, v692008 and v692031.  Per capita data calculated by CSLS</t>
  </si>
  <si>
    <t>Source : Based on provincial economic accounts.  Cansim series V647037, V691826, V691849, V691872, V691895, V691918, V691941, V691964, V691987, V692010 and V692033.  PDI per capita calculated by the CSLS.</t>
  </si>
  <si>
    <t>Universal Child Care Benefit</t>
  </si>
  <si>
    <t>Social Insurance Benefits:  Other</t>
  </si>
  <si>
    <t>A=M+T+U+V+W</t>
  </si>
  <si>
    <t>M=B+C+D+E+F+G+H+I+J+K+L</t>
  </si>
  <si>
    <t>R</t>
  </si>
  <si>
    <t>T=N+O+P+Q+R+S</t>
  </si>
  <si>
    <t>V</t>
  </si>
  <si>
    <t>W</t>
  </si>
  <si>
    <t>1981-2006</t>
  </si>
  <si>
    <t>Source: Provincial Economic Accounts, v690759, v690760, v690761, v690764, v690765, v690766, v690767, v690768, v690769, v690771, v690762, v690763, v690772, v690773, v690775, v690776, v690777, v690778, v690779, v690780, v690781, v44176287, v44176288</t>
  </si>
  <si>
    <t>Date (YYYY-MM-DD)</t>
  </si>
  <si>
    <t>v6213 Canada; Total consumer bankruptcies (Bankruptcies)</t>
  </si>
  <si>
    <t>v6214 Newfoundland and Labrador; Total consumer bankruptcies (Bankruptcies)</t>
  </si>
  <si>
    <t>v6219 Prince Edward Island; Total consumer bankruptcies (Bankruptcies)</t>
  </si>
  <si>
    <t>v6218 Nova Scotia; Total consumer bankruptcies (Bankruptcies)</t>
  </si>
  <si>
    <t>v6220 New Brunswick; Total consumer bankruptcies (Bankruptcies)</t>
  </si>
  <si>
    <t>v6221 Quebec; Total consumer bankruptcies (Bankruptcies)</t>
  </si>
  <si>
    <t>v6222 Ontario; Total consumer bankruptcies (Bankruptcies)</t>
  </si>
  <si>
    <t>v6223 Manitoba; Total consumer bankruptcies (Bankruptcies)</t>
  </si>
  <si>
    <t>v6224 Saskatchewan; Total consumer bankruptcies (Bankruptcies)</t>
  </si>
  <si>
    <t>v6225 Alberta; Total consumer bankruptcies (Bankruptcies)</t>
  </si>
  <si>
    <t>v6215 British Columbia; Total consumer bankruptcies (Bankruptcies)</t>
  </si>
  <si>
    <t>97-08</t>
  </si>
  <si>
    <t>v2349180 Canada; Total unemployed, all weeks (Persons); Both sexes; 15 years and over</t>
  </si>
  <si>
    <t>v2349184 Canada; 26 weeks (Persons); Both sexes; 15 years and over</t>
  </si>
  <si>
    <t>v2349186 Canada; 27 to 51 weeks (Persons); Both sexes; 15 years and over</t>
  </si>
  <si>
    <t>v2349187 Canada; 52 weeks (Persons); Both sexes; 15 years and over</t>
  </si>
  <si>
    <t>v2349188 Canada; 53 weeks or more (Persons); Both sexes; 15 years and over</t>
  </si>
  <si>
    <t>v2349178 Canada; Average weeks unemployed, top-code is 99 weeks (Weeks); Both sexes; 15 years and over</t>
  </si>
  <si>
    <t xml:space="preserve">Source : Based on LFS estimates.  Cansim series v2349180, v2349184, v2349186, v2349187, v2349188 and v2349178 for columns 1 to 6 respectively. </t>
  </si>
  <si>
    <t>Other columns calculated by the CSLS. Growth rates calculated by the CSLS.</t>
  </si>
  <si>
    <t xml:space="preserve">Source: Research Highlights, 2006 Census Housing Series, Issue 3: The Adequacy, Suitability and Affordability of Canadian Housing 1999-2006, February 2009, Socio-economic Series 09-006,  CMHC (Canada Mortgage and Housing Corporation)  </t>
  </si>
  <si>
    <t>Yuk.</t>
  </si>
  <si>
    <t>N.W.T. &amp; Nu.</t>
  </si>
  <si>
    <t>N.W.T.</t>
  </si>
  <si>
    <t>Nu.</t>
  </si>
  <si>
    <t>N.A.</t>
  </si>
  <si>
    <t xml:space="preserve">Source: Research Highlights, 2001 Census Housing Series, Issue 3: The Adequacy, Suitability and Affordability of Canadian Housing, April 2004, Socio-economic Series 04-007,  CMHC (Canada Mortgage and Housing Corporation)  </t>
  </si>
  <si>
    <t>Average weeks unemployed (weeks)1</t>
  </si>
  <si>
    <t>Average number of persons experiencing unemployment2</t>
  </si>
  <si>
    <t>Incidence of unemployment (per cent)3</t>
  </si>
  <si>
    <t>1 There is two series for the average weeks unemployed.  We used the historical series going back to 1976.  The difference between the two series is that the one we used is top-coded to 99, i.e. there cannot be values over 99, which means that the average unemployment duration is underestimated.  The new series starts in 1997 and is not top-coded.  In 1997, the average duration difference between the two series was 4.1 weeks, a peak. In 2004, it was 1.4 weeks, a trough.</t>
  </si>
  <si>
    <t>2 We calculate this by multiplying the average number of unemployed by 52/average duration.  For example, if there was, on average, 1 persons unemployed during the year and the average duration was six months, we can suppose that two persons experienced unemployment for six months.</t>
  </si>
  <si>
    <t>3 This represents the ratio of the average number of persons experiencing unemployment over the labour force.</t>
  </si>
  <si>
    <r>
      <t>Source:</t>
    </r>
    <r>
      <rPr>
        <sz val="8"/>
        <rFont val="Times New Roman"/>
        <family val="1"/>
      </rPr>
      <t xml:space="preserve"> Statistics Canada, Survey of Financial Security. Percentage of assets calculated by the CSLS by dividing each value by the total value of assets and multiplying the result by 100.</t>
    </r>
  </si>
  <si>
    <r>
      <t>CANADA</t>
    </r>
    <r>
      <rPr>
        <vertAlign val="superscript"/>
        <sz val="10"/>
        <rFont val="Times New Roman"/>
        <family val="1"/>
      </rPr>
      <t>2</t>
    </r>
    <r>
      <rPr>
        <sz val="10"/>
        <rFont val="Times New Roman"/>
        <family val="1"/>
      </rPr>
      <t xml:space="preserve"> </t>
    </r>
  </si>
  <si>
    <r>
      <t>1</t>
    </r>
    <r>
      <rPr>
        <sz val="10"/>
        <rFont val="Times New Roman"/>
        <family val="1"/>
      </rPr>
      <t xml:space="preserve"> Average for Canada, population weighted </t>
    </r>
  </si>
  <si>
    <r>
      <t>2</t>
    </r>
    <r>
      <rPr>
        <sz val="10"/>
        <rFont val="Times New Roman"/>
        <family val="1"/>
      </rPr>
      <t xml:space="preserve"> Average for Canada, welfare recipient weighted.  The number of welfare recipient is avialable for the 1995-2005 period.  For previous years, the average weight of the 1995-2005 period were used.</t>
    </r>
  </si>
  <si>
    <r>
      <t>2</t>
    </r>
    <r>
      <rPr>
        <sz val="10"/>
        <rFont val="Times New Roman"/>
        <family val="1"/>
      </rPr>
      <t xml:space="preserve"> Average for Canada, welfare recipient weighted.  The number of welfare recipient is avialable for the 1995-2005 period.  For previous years, the average weight of the 1995-2005 period were used. For 2006, 2005 weights were used.</t>
    </r>
  </si>
  <si>
    <t>Data retrieved June 2, 2009</t>
  </si>
  <si>
    <t xml:space="preserve">Includes total institutions, physicians and other professionals, drugs, capital, and other health spending.  </t>
  </si>
  <si>
    <t>Data for 2006 and 2007 are forecasts. Data after 2007 are extrapolated usingthe average annual growth rate of the 5 previous years.</t>
  </si>
  <si>
    <t>Latest available data as of March 2009. Next release (with data for 2008) expected for June 2009.</t>
  </si>
  <si>
    <t>2004-2008</t>
  </si>
  <si>
    <t>1997-2008</t>
  </si>
  <si>
    <t>Table 73a: Nominal Wages of Employees (both full-time and part-time), 1997-2008</t>
  </si>
  <si>
    <t>Share in 2008</t>
  </si>
  <si>
    <t>Data retrieved on June 2nd, 2008</t>
  </si>
  <si>
    <t>PRINCE</t>
  </si>
  <si>
    <t>NOVA</t>
  </si>
  <si>
    <t>NEW</t>
  </si>
  <si>
    <t>BRITISH</t>
  </si>
  <si>
    <t>COLUMBIA</t>
  </si>
  <si>
    <t>86-07*</t>
  </si>
  <si>
    <t>Source: National Council of Welfare, Welfare Incomes Report 2006, Fact Sheet 13, released on  September 2006 and 2007, Table 3.1.</t>
  </si>
  <si>
    <t>* For persons with a disability, growth rate are for the 1989-2007 period because there is no data for 1986.</t>
  </si>
  <si>
    <t xml:space="preserve">Note: Data for welfare benefit is available for 1986 and the 1989-2007 period. </t>
  </si>
  <si>
    <t>http://www.ncwcnbes.net/documents/researchpublications/OtherPublications/2008Report-WelfareIncomes2006-2007/Report-WelfareIncomes2006-2007E.pdf</t>
  </si>
  <si>
    <t>Affordability Measure for Bungalows When Doing 25% Downpayment</t>
  </si>
  <si>
    <t>Monthly Payments: 5-Year Rate, 25% Downpayment and 25-Year Amortization Period</t>
  </si>
  <si>
    <t>Q1</t>
  </si>
  <si>
    <t>Q2</t>
  </si>
  <si>
    <t>Q3</t>
  </si>
  <si>
    <t>Q4</t>
  </si>
  <si>
    <t>2009*</t>
  </si>
  <si>
    <t>85-08</t>
  </si>
  <si>
    <t>*2009 for first Quarter Only</t>
  </si>
  <si>
    <t>Source: Unpublished data from RBC Financial Group, June 2nd, 2009, and RBC Housing Affordability report.</t>
  </si>
  <si>
    <t>Table 27 :  RBC Housing Affordability Index for Canada, 1985-2009</t>
  </si>
  <si>
    <t>85-09*</t>
  </si>
  <si>
    <t xml:space="preserve">v646925 </t>
  </si>
  <si>
    <t>v646927</t>
  </si>
  <si>
    <t>v646931</t>
  </si>
  <si>
    <t>v646932</t>
  </si>
  <si>
    <t>v646930</t>
  </si>
  <si>
    <t>v646935</t>
  </si>
  <si>
    <t>v646928</t>
  </si>
  <si>
    <t>v646929</t>
  </si>
  <si>
    <t xml:space="preserve">v3860276 </t>
  </si>
  <si>
    <t>v3860270</t>
  </si>
  <si>
    <t>v646936</t>
  </si>
  <si>
    <t>v646933</t>
  </si>
  <si>
    <t>v646925 Canada; Gross domestic product (GDP) at market prices</t>
  </si>
  <si>
    <t>v646927 Canada; Wages, salaries and supplementary labour income</t>
  </si>
  <si>
    <t>v646931 Canada; Accrued net income of farm operators from farm production</t>
  </si>
  <si>
    <t>v646932 Canada; Net income of non-farm unincorporated business, including rent</t>
  </si>
  <si>
    <t>v646930 Canada; Interest and miscellaneous investment income</t>
  </si>
  <si>
    <t>v646935 Canada; Capital consumption allowances</t>
  </si>
  <si>
    <t>v646928 Canada; Corporation profits before taxes</t>
  </si>
  <si>
    <t>v646929 Canada; Government business enterprise profits before taxes</t>
  </si>
  <si>
    <t>v3860276 Canada; Taxes less subsidies on products</t>
  </si>
  <si>
    <t>v3860270 Canada; Taxes less subsidies on factors of production</t>
  </si>
  <si>
    <t>v646936 Canada; Statistical discrepancy</t>
  </si>
  <si>
    <t>v646933 Canada; Inventory valuation adjustment</t>
  </si>
  <si>
    <t>Data retrieved on June 2nd, 2009</t>
  </si>
  <si>
    <t>Data retrieved on June 2, 2009</t>
  </si>
  <si>
    <t>Table 35B : Real Hourly Minimum Wages in Canada for Adult Workers by Province, Adjusted by CPI (2002=100), 1981-2008</t>
  </si>
  <si>
    <t>83-08</t>
  </si>
  <si>
    <t>and  Nominal Median Hourly Wages in Canada for Adult Workers by Province, 1997-2008</t>
  </si>
  <si>
    <t>Table 37: Labour Force Statistics in Canada, 1976-2008</t>
  </si>
  <si>
    <t>Table 37A: Labour Force Statistics in Newfoundland and Labrador, 1976-2008</t>
  </si>
  <si>
    <t>Table 37B: Labour Force Statistics in Prince Edward Island, 1976-2008</t>
  </si>
  <si>
    <t>Table 37C: Labour Force Statistics in Nova Scotia, 1976-2008</t>
  </si>
  <si>
    <t>Table 37D: Labour Force Statistics in New Brunswick, 1976-2008</t>
  </si>
  <si>
    <t>Table 37E: Labour Force Statistics in Quebec, 1976-2008</t>
  </si>
  <si>
    <t>Table 37F: Labour Force Statistics in Ontario, 1976-2008</t>
  </si>
  <si>
    <t>Table 37G: Labour Force Statistics in Manitoba, 1976-2008</t>
  </si>
  <si>
    <t>Table 37H: Labour Force Statistics in Saskatchewan, 1976-2008</t>
  </si>
  <si>
    <t>Table 37I: Labour Force Statistics in Alberta, 1976-2008</t>
  </si>
  <si>
    <t>Table 37J: Labour Force Statistics in British Columbia, 1976-2008</t>
  </si>
  <si>
    <t>Table 62: Trends in Headline Indicators for Canada, 1981-2008</t>
  </si>
  <si>
    <t>Table 63: Index of Headline Indicators of Living Standards for Canada, 1988-2008</t>
  </si>
  <si>
    <t>2000-2008</t>
  </si>
  <si>
    <t>1981-2008*</t>
  </si>
  <si>
    <t>1988-2008</t>
  </si>
  <si>
    <t>Geography: Canada</t>
  </si>
  <si>
    <t>Economic family: All family units</t>
  </si>
  <si>
    <t>Total of quintiles</t>
  </si>
  <si>
    <t>  Lowest quintile</t>
  </si>
  <si>
    <t>  Second quintile</t>
  </si>
  <si>
    <t>  Third quintile</t>
  </si>
  <si>
    <t>  Fourth quintile</t>
  </si>
  <si>
    <t>  Highest quintile</t>
  </si>
  <si>
    <t>    Newfoundland and Labrador</t>
  </si>
  <si>
    <t>    Prince Edward Island</t>
  </si>
  <si>
    <t>    Nova Scotia</t>
  </si>
  <si>
    <t>    New Brunswick</t>
  </si>
  <si>
    <t>  Quebec</t>
  </si>
  <si>
    <t>  Ontario</t>
  </si>
  <si>
    <t>    Manitoba</t>
  </si>
  <si>
    <t>    Saskatchewan</t>
  </si>
  <si>
    <t>    Alberta</t>
  </si>
  <si>
    <t>  British Columbia</t>
  </si>
  <si>
    <t>Data retrieved on June 3rd, 2009</t>
  </si>
  <si>
    <t>Date: 2007</t>
  </si>
  <si>
    <t>Economic family:   Economic families, two persons or more</t>
  </si>
  <si>
    <t>Economic family:   Unattached individuals</t>
  </si>
  <si>
    <t>Average transfer, 2007 dollars</t>
  </si>
  <si>
    <t>Average income tax (dollars)</t>
  </si>
  <si>
    <t>Implicit income tax rate (percent)</t>
  </si>
  <si>
    <t>Share of aggregate income tax (percent)</t>
  </si>
  <si>
    <t>Average income tax, 2007 dollars</t>
  </si>
  <si>
    <t>Table 10G: Income tax by after-tax income quintiles, Canada, 2007</t>
  </si>
  <si>
    <t>  Economic families, two persons or more</t>
  </si>
  <si>
    <t>    Elderly families</t>
  </si>
  <si>
    <t>      Elderly married couples</t>
  </si>
  <si>
    <t>      Other elderly families</t>
  </si>
  <si>
    <t>    Non-elderly families</t>
  </si>
  <si>
    <t>      Married couples</t>
  </si>
  <si>
    <t>        Married couples, no earners</t>
  </si>
  <si>
    <t>        Married couples, one earner</t>
  </si>
  <si>
    <t>        Married couples, two earners</t>
  </si>
  <si>
    <t>      Two-parent families with children</t>
  </si>
  <si>
    <t>        Two-parent families with children, no earners</t>
  </si>
  <si>
    <t>        Two-parent families with children, one earner</t>
  </si>
  <si>
    <t>        Two-parent families with children, two earners</t>
  </si>
  <si>
    <t>        Two-parent families with children, three or more earners</t>
  </si>
  <si>
    <t>      Married couples with other relatives</t>
  </si>
  <si>
    <t>      Lone-parent families</t>
  </si>
  <si>
    <t>        Male lone-parent families</t>
  </si>
  <si>
    <t>        Female lone-parent families</t>
  </si>
  <si>
    <t>          Female lone-parent families, no earners</t>
  </si>
  <si>
    <t>          Female lone-parent families, one earner</t>
  </si>
  <si>
    <t>          Female lone-parent families, two or more earners</t>
  </si>
  <si>
    <t>      Other non-elderly families</t>
  </si>
  <si>
    <t>  Unattached individuals</t>
  </si>
  <si>
    <t>    Elderly males</t>
  </si>
  <si>
    <t>      Elderly males, non-earner</t>
  </si>
  <si>
    <t>      Elderly males, earner</t>
  </si>
  <si>
    <t>    Elderly females</t>
  </si>
  <si>
    <t>      Elderly females, non-earner</t>
  </si>
  <si>
    <t>      Elderly females, earner</t>
  </si>
  <si>
    <t>    Non-elderly males</t>
  </si>
  <si>
    <t>      Non-elderly males, non-earner</t>
  </si>
  <si>
    <t>      Non-elderly males, earner</t>
  </si>
  <si>
    <t>    Non-elderly females</t>
  </si>
  <si>
    <t>      Non-elderly females, non-earner</t>
  </si>
  <si>
    <t>      Non-elderly females, earner</t>
  </si>
  <si>
    <t>Statistics: Number of families (x 1,000)</t>
  </si>
  <si>
    <r>
      <t>2</t>
    </r>
    <r>
      <rPr>
        <sz val="10"/>
        <rFont val="Times New Roman"/>
        <family val="1"/>
      </rPr>
      <t xml:space="preserve"> Average for Canada, welfare recipient weighted.  The number of welfare recipient is avialable for the 1995-2005 period in the Welfare Incomes Report Appendix A.  For previous years, the average weight of the 1995-2004 period were used. In 2006 and 2007, weights are 2005 recipients.</t>
    </r>
  </si>
  <si>
    <t>Statistics: Average income (Dollars)</t>
  </si>
  <si>
    <t>Income quintile: Total of quintiles</t>
  </si>
  <si>
    <t>Data retrieved on June 3, 2009</t>
  </si>
  <si>
    <t>Low income cut-: Low income cut-offs after tax, 1992 base</t>
  </si>
  <si>
    <t>Low income gap: Average low income gap (dollars)</t>
  </si>
  <si>
    <t>  Persons under 18 years</t>
  </si>
  <si>
    <t>  Persons 18 to 64 years</t>
  </si>
  <si>
    <t>  Persons 65 years and over</t>
  </si>
  <si>
    <t>  Males, under 18 years</t>
  </si>
  <si>
    <t>  Males, 18 to 64 years</t>
  </si>
  <si>
    <t>  Males, 65 years and over</t>
  </si>
  <si>
    <t>  Females, under 18 years</t>
  </si>
  <si>
    <t>  Females, 18 to 64 years</t>
  </si>
  <si>
    <t>  Females, 65 years and over</t>
  </si>
  <si>
    <t>Persons in economic families</t>
  </si>
  <si>
    <t>  Males in economic families</t>
  </si>
  <si>
    <t>  Females in economic families</t>
  </si>
  <si>
    <t>  Elderly persons in economic families</t>
  </si>
  <si>
    <t>    Elderly males in economic families</t>
  </si>
  <si>
    <t>    Elderly females in economic families</t>
  </si>
  <si>
    <t>  Persons in economic families under 18 years</t>
  </si>
  <si>
    <t>    Persons in economic families under 18 years, in two-parent families</t>
  </si>
  <si>
    <t>    Persons in economic families under 18 years, in female lone-parent families</t>
  </si>
  <si>
    <t>    Persons in economic families under 18 years, in all other economic families</t>
  </si>
  <si>
    <t>  Persons in economic families 18 to 64 years</t>
  </si>
  <si>
    <t>    Persons in economic families 18 to 64 years, males</t>
  </si>
  <si>
    <t>    Persons in economic families 18 to 64 years, females</t>
  </si>
  <si>
    <t>  Unattached individuals, males</t>
  </si>
  <si>
    <t>  Unattached individuals, females</t>
  </si>
  <si>
    <t>  Unattached individuals, elderly persons</t>
  </si>
  <si>
    <t>    Unattached individuals, elderly males</t>
  </si>
  <si>
    <t>    Unattached individuals, elderly females</t>
  </si>
  <si>
    <t>  Unattached individuals, under 65 years</t>
  </si>
  <si>
    <t>    Unattached individuals, males, under 65 years</t>
  </si>
  <si>
    <t>    Unattached individuals, females, under 65 years</t>
  </si>
  <si>
    <t>Table 56: Government Transfer Payments to Persons by Resource in Canada, 1981-2006</t>
  </si>
  <si>
    <t>Table 56: Government Transfer Payments to Persons by Resource in Canada, 1981-2006, page 2</t>
  </si>
  <si>
    <t xml:space="preserve">COL1  - v3860085 Canada; Chained (2002) dollars (Dollars); Gross domestic product (GDP) at market prices </t>
  </si>
  <si>
    <t xml:space="preserve">COL2  - v15856467 Canada; Total economy; Hours worked for all jobs (Hours); All industries </t>
  </si>
  <si>
    <t xml:space="preserve">COL3  - v15900411 Canada; Total economy; Hours worked for all jobs (Hours); All industries </t>
  </si>
  <si>
    <r>
      <t>Hourly compensation, total economy, CPI deflated, Index (1992=100)</t>
    </r>
    <r>
      <rPr>
        <vertAlign val="superscript"/>
        <sz val="10"/>
        <rFont val="Times New Roman"/>
        <family val="1"/>
      </rPr>
      <t>1</t>
    </r>
  </si>
  <si>
    <r>
      <t>Hourly compensation, total economy, GDP deflator, Index (1992=100)</t>
    </r>
    <r>
      <rPr>
        <vertAlign val="superscript"/>
        <sz val="10"/>
        <rFont val="Times New Roman"/>
        <family val="1"/>
      </rPr>
      <t>1</t>
    </r>
  </si>
  <si>
    <t xml:space="preserve">1 Note: According to the retained definition, hours worked means the total number of hours that a person spends working, whether paid or not. In general, this includes regular and overtime hours, breaks, travel time, training in the workplace and time lost in brief work stoppages where workers remain at their posts. On the other hand, time lost due to strikes, lockouts, annual vacation, public holidays, sick leave, maternity leave or leave for personal needs are not included in total hours worked. The total compensation for all jobs consists of all payments in cash or in kind made by domestic producers to workers for services rendered - in other words, total payroll. It includes the salaries and supplementary labour income of paid workers, plus an imputed labour income for self-employed workers.  Hourly compensation is defined as the ratio between total compensation for all jobs, and the number of hours worked. </t>
  </si>
  <si>
    <t>Table 1: Annual Estimates of Population on July 1st (in thousands), 1974-2008</t>
  </si>
  <si>
    <t>Source : Based on SCF/SLID estimates.  "Income Trends in Canada, 1980-2007" CD, series 202-0901.</t>
  </si>
  <si>
    <t xml:space="preserve">Adjusted average </t>
  </si>
  <si>
    <t xml:space="preserve">             - In order to take into account "economies of scale" of larger families, per capita income is not used.  Instead, an equivalence scale is used where the oldest person in the family is given a factor of 1.0, the second oldest a factor of 0.4, every other family member aged 16 and over a factor of 0.4 and every other family member under the age of 16 a factor of 0.3 . Then, the income is divided by the total of the family factors.</t>
  </si>
  <si>
    <t>Source : Calculate from Table 13 C and Table 4 by the CSLS.  CPI is used as a deflator.</t>
  </si>
  <si>
    <t>Number of millionaires</t>
  </si>
  <si>
    <t>Aggregate wealth (in millions)</t>
  </si>
  <si>
    <t>Note: The RBC housing affordability index represents the proportion of median pre-tax household income required to service the cost of mortgage payments, property taxes and utilities on a detached bungalow based on a 25 per cent down payment and a 25-year mortgage loan at a five-year fixed rate. therefore, high values mean less affordability and low values mean greater affordability.</t>
  </si>
  <si>
    <t>94-08</t>
  </si>
  <si>
    <t>Data retrieved on June 5, 2009</t>
  </si>
  <si>
    <t>PRINCE EDWARD ISLAND</t>
  </si>
  <si>
    <t>Median Income (2007$)</t>
  </si>
  <si>
    <t>Data retrieved June 5, 2009</t>
  </si>
  <si>
    <t>After tax median income of economic families, 2007 constant dollars</t>
  </si>
  <si>
    <t>Note: 2008 values are assumed to be the same as they were in 2007 for the first three columns.</t>
  </si>
  <si>
    <t>Table 28d: Quarterly Consumer Confidence Index 2004 Q1 to 2009 Q2</t>
  </si>
  <si>
    <t>Sept. 2001</t>
  </si>
  <si>
    <t>Nov. 2001</t>
  </si>
  <si>
    <t>Feb. 2002</t>
  </si>
  <si>
    <t>May. 2002</t>
  </si>
  <si>
    <t>Aug. 2002</t>
  </si>
  <si>
    <t>Nov. 2002</t>
  </si>
  <si>
    <t>Feb. 2003</t>
  </si>
  <si>
    <t>May. 2003</t>
  </si>
  <si>
    <t>Aug. 2003</t>
  </si>
  <si>
    <t>Nov. 2003</t>
  </si>
  <si>
    <t>Feb</t>
  </si>
  <si>
    <t>Aug.</t>
  </si>
  <si>
    <t>Nov.</t>
  </si>
  <si>
    <t>Feb.</t>
  </si>
  <si>
    <t>Sept.</t>
  </si>
  <si>
    <t>Dec.</t>
  </si>
  <si>
    <t xml:space="preserve"> Consumer Confidence Index</t>
  </si>
  <si>
    <t>Negative Measures</t>
  </si>
  <si>
    <t>Bad time to make major purchase</t>
  </si>
  <si>
    <t>Canadian economy worse off in five years</t>
  </si>
  <si>
    <t>Canadian economy worse off next year</t>
  </si>
  <si>
    <t>Personally worse off next year</t>
  </si>
  <si>
    <t>Personally worse off than last year</t>
  </si>
  <si>
    <t>Positive Measures</t>
  </si>
  <si>
    <t>Good time for major purchase</t>
  </si>
  <si>
    <t>Canadian economy will be better in five years</t>
  </si>
  <si>
    <t>Canadian economy will be better next year</t>
  </si>
  <si>
    <t>Personally will be better off next year</t>
  </si>
  <si>
    <t>Personally better off than last year</t>
  </si>
  <si>
    <t>Mar.</t>
  </si>
  <si>
    <t>Jun.</t>
  </si>
  <si>
    <t xml:space="preserve">Aug. </t>
  </si>
  <si>
    <t>61*</t>
  </si>
  <si>
    <t>*Estimate from chart</t>
  </si>
  <si>
    <t>Source: Harris/Decima-Investors Group Consumer Confidence Index,  http://www.harrisdecima.com/en/downloads/pdf/news_releases/060309E.pdf</t>
  </si>
  <si>
    <t>Updated: June 5, 2009</t>
  </si>
  <si>
    <t>Table 23: Real Measures of Wages in Canada, 1981-2008</t>
  </si>
  <si>
    <t>Table 51: Security from the Risk Imposed by Unemployment, 1981-2008</t>
  </si>
  <si>
    <t>Table 51a: Security from the Risk Imposed by Unemployment, 1981-2008</t>
  </si>
  <si>
    <t>Table 51b: Security from the Risk Imposed by Unemployment, 1981-2008</t>
  </si>
  <si>
    <t>Table 51c: Security from the Risk Imposed by Unemployment, 1981-2008</t>
  </si>
  <si>
    <t>Table 51d: Security from the Risk Imposed by Unemployment, 1981-2008</t>
  </si>
  <si>
    <t>Table 51e: Security from the Risk Imposed by Unemployment, 1981-2008</t>
  </si>
  <si>
    <t>Table 51f: Security from the Risk Imposed by Unemployment, 1981-2008</t>
  </si>
  <si>
    <t>Table 51g: Security from the Risk Imposed by Unemployment,, 1981-2008</t>
  </si>
  <si>
    <t>Table 51h: Security from the Risk Imposed by Unemployment,, 1981-2008</t>
  </si>
  <si>
    <t>Table 51i: Security from the Risk Imposed by Unemployment,, 1981-2008</t>
  </si>
  <si>
    <t>Table 51j: Security from the Risk Imposed by Unemployment,, 1981-2008</t>
  </si>
  <si>
    <t>Table 52: Security from the Risk Imposed by Illness, 1981-2008</t>
  </si>
  <si>
    <t>Table 52: Security from the Risk Imposed by Illness, 1981-2008, Page 2</t>
  </si>
  <si>
    <t>Table 52: Security from the Risk Imposed by Illness, 1981-2008, Page 3</t>
  </si>
  <si>
    <t>Table 53: Security from the Risk Imposed by Single-Parent Poverty, 1981-2008</t>
  </si>
  <si>
    <t>Table 53: Security from the Risk Imposed by Single-Parent Poverty, 1981-2008, Page 2</t>
  </si>
  <si>
    <t>Table 53: Security from the Risk Imposed by Single-Parent Poverty, 1981-2008, Page 3</t>
  </si>
  <si>
    <t>Table 53: Security from the Risk Imposed by Single-Parent Poverty, 1981-2008, Page 4</t>
  </si>
  <si>
    <t>Table 54: Security from the Risk Imposed by Poverty in Old Age, 1981-2008</t>
  </si>
  <si>
    <t>Table 54: Security from the Risk Imposed by Poverty in Old Age, 1981-2008, Page 2</t>
  </si>
  <si>
    <t>Table 54: Security from the Risk Imposed by Poverty in Old Age, 1981-2008, Page 3</t>
  </si>
  <si>
    <t>Table 54: Security from the Risk Imposed by Poverty in Old Age, 1981-2008, Page 4</t>
  </si>
  <si>
    <t>Table 55: Overall Index of Economic Security, 1981-2008</t>
  </si>
  <si>
    <t>Table 55: Overall Index of Economic Security, 1981-2008, Page 2</t>
  </si>
  <si>
    <t>Table 55: Overall Index of Economic Security, 1981-2008, Page 3</t>
  </si>
  <si>
    <t>Table 55: Overall Index of Economic Security, 1981-2008, Page 4</t>
  </si>
  <si>
    <t>Table 69: Weights for Index of Economic Security, 1981-2008</t>
  </si>
  <si>
    <t>Table 69: Weights for Index of Economic Security, 1981-2008, Page 2</t>
  </si>
  <si>
    <t>Table 69: Weights for Index of Economic Security, 1981-2008, Page 3</t>
  </si>
  <si>
    <t>Table 69: Weights for Index of Economic Security, 1981-2008, Page 4</t>
  </si>
  <si>
    <t>Table 69: Weights for Index of Economic Security, 1981-2008, Page 5</t>
  </si>
  <si>
    <t>Table 69: Weights for Index of Economic Security, 1981-2008, Page 6</t>
  </si>
  <si>
    <t>Table 69: Weights for Index of Economic Security, 1981-2008, Page 7</t>
  </si>
  <si>
    <t>Table 69: Weights for Index of Economic Security, 1981-2008, Page 8</t>
  </si>
  <si>
    <t>Table 69: Weights for Index of Economic Security, 1981-2008, Page 9</t>
  </si>
  <si>
    <t>Table 69: Weights for Index of Economic Security, 1981-2008, Page 10</t>
  </si>
  <si>
    <t>Table 69: Weights for Index of Economic Security, 1981-2008, Page 11</t>
  </si>
  <si>
    <t>Table 71A: Unemployment Rate of Immigrants and Non-Immigrants, 1996, 2001 and 2006</t>
  </si>
  <si>
    <t>Employment from Statistics Canada Labour Force Survey in CANSIM II: v2461119, June 2009</t>
  </si>
  <si>
    <t>Source: Data for job losers, permanent layoff and temporary layoff from Statistics Canada CD-ROM (Labour Force Historical Review, 2004, 71F0004XCB and unpublished Statistics Canada data.</t>
  </si>
  <si>
    <t>Table 9: Depth of Low Income: Canada, Various Groups</t>
  </si>
  <si>
    <t>Market Basket Measure</t>
  </si>
  <si>
    <t xml:space="preserve">LICOs- IAT </t>
  </si>
  <si>
    <t>Market Basket Measure 2000 to 2006 and LICOs-IAT 2006</t>
  </si>
  <si>
    <t>Groups</t>
  </si>
  <si>
    <t>MBM-2000</t>
  </si>
  <si>
    <t>MBM-2001</t>
  </si>
  <si>
    <t>MBM-2002</t>
  </si>
  <si>
    <t>MBM-2003</t>
  </si>
  <si>
    <t>MBM-2004</t>
  </si>
  <si>
    <t>MBM-2005</t>
  </si>
  <si>
    <t>MBM-2006</t>
  </si>
  <si>
    <t>LICOs- IAT 2006</t>
  </si>
  <si>
    <t>Under 18 years of age</t>
  </si>
  <si>
    <t>18-64</t>
  </si>
  <si>
    <t>65 and over</t>
  </si>
  <si>
    <t>18 to 64</t>
  </si>
  <si>
    <t>Economic families 2+</t>
  </si>
  <si>
    <t>Elderly married couples</t>
  </si>
  <si>
    <t>Other elderly families</t>
  </si>
  <si>
    <t>Male lone-parent families</t>
  </si>
  <si>
    <t>Female lone-parent families</t>
  </si>
  <si>
    <t>All Elderly</t>
  </si>
  <si>
    <t>Elderly Male</t>
  </si>
  <si>
    <t>Elderly Female</t>
  </si>
  <si>
    <t>All Non-Elderly</t>
  </si>
  <si>
    <t>Non-Elderly Male</t>
  </si>
  <si>
    <t>Non-Elderly Female</t>
  </si>
  <si>
    <t>Note: F: Too few observations to allow reliable estimates</t>
  </si>
  <si>
    <t xml:space="preserve">Source: "Low Income in Canada: 2000-2006 Using the Market Basket Measure, Final Report", </t>
  </si>
  <si>
    <t>Human Resources and Skills Development Canada, Research paper SP-864-10-08E, October 2008.</t>
  </si>
  <si>
    <t xml:space="preserve"> services  assuming that all items in the basket were entirely provided for out of the spending of the household.</t>
  </si>
  <si>
    <t>Table 38A: Incidence of Low Income in Canada by Various Groups, using the Market Basket Measure</t>
  </si>
  <si>
    <t>Table 7: Incidence of Low Income: Canada, Various Groups Market Basket Measure 2000 to 2006 and LICOs-IAT 2006</t>
  </si>
  <si>
    <t>LIM-IAT</t>
  </si>
  <si>
    <t>70-08</t>
  </si>
  <si>
    <t>Table 50: Sargent EI Disicentives Index, 1970-2008 (1970=100)</t>
  </si>
  <si>
    <t>Table 2A: Number of Family Units (in thousands), 1981-2007</t>
  </si>
  <si>
    <t>Table 2B: Number of Unattached Individuals (in thousands), 1981-2007</t>
  </si>
  <si>
    <t>Table 2C: Number of Economic Families (in thousands), 1981-2007</t>
  </si>
  <si>
    <t>Table 2D: Number of Family Units by Economic Family Type, Canada, (in thousands), 1981-2007</t>
  </si>
  <si>
    <t>Table 2E: Number of Persons by Economic Family Type, Canada, (in thousands), 1981-2007</t>
  </si>
  <si>
    <t>Table 3A: Average Number of Persons per Family Unit, 1981-2007</t>
  </si>
  <si>
    <t>Table 3B: Average Number of Persons per Economic Family Unit, 1981-2007</t>
  </si>
  <si>
    <t>Table 4: Consumer Price Index, 2005 Basket Content (2002=100), 1981-2008</t>
  </si>
  <si>
    <t>Table 5: Personal Consumption Expenditure Implicit Price Index, Chained 2002 Dollars (2002=100), 1981-2008</t>
  </si>
  <si>
    <t>Table 6A: Gross Domestic Product, Millions of Current Dollars, 1981-2008</t>
  </si>
  <si>
    <t>Table 6B: Gross Domestic Product Implicit Price Index, Chained 2002 Dollars (2002=100), 1981-2008</t>
  </si>
  <si>
    <t>Table 6C: Final Domestic Demand Implicit Price Index, Chained 2002 Dollars (2002=100), 1981-2008</t>
  </si>
  <si>
    <t>Table 6D: Real Gross Domestic Product, Millions of 2002 Chained Dollars, 1981-2008</t>
  </si>
  <si>
    <t>Table 6E: Real Gross Domestic Income, Millions of 2002 Chained Dollars, 1981-2008</t>
  </si>
  <si>
    <t>Table 7A: Gross Domestic Product per Capita, (in chained 2002$), 1981-2008</t>
  </si>
  <si>
    <t>Table 7B: Gross Domestic Product per Capita as a Proportion of the National Average, (in chained 2002$), 1981-2008</t>
  </si>
  <si>
    <t>Table 7C: Gross Domestic Product per Capita, (in current dollars), 1981-2008</t>
  </si>
  <si>
    <t>Table 7D: Gross Domestic Product per Capita as a Proportion of the National Average,  (in current dollars), 1981-2008</t>
  </si>
  <si>
    <t>Table 8A: Personal Income per Capita (in current $), 1981-2008</t>
  </si>
  <si>
    <t>Table 8B: Real Personal Income per Capita, Adjusted with the Consumer Price Index (in 2002$), 1981-2008</t>
  </si>
  <si>
    <t>Table 8C: Real Personal Income per Capita, Adjusted with the Personal Expenditure Price Index (in 2002$), 1981-2008</t>
  </si>
  <si>
    <t>Table 8D: Provincial Real Personal Income per Capita as a Proportion of the National Average, 1981-2008</t>
  </si>
  <si>
    <t>Table 9A: Personal Disposable Income per Capita (in current $), 1981-2008</t>
  </si>
  <si>
    <t>Table 9B: Real Personal Disposable Income per Capita, Adjusted with the Consumer Price Index (in 2002$), 1981-2008</t>
  </si>
  <si>
    <t>Table 9C: Real Personal Disposable Income per Capita, Adjusted with the Personal Expenditure Price Index (in 2002$), 1981-2008</t>
  </si>
  <si>
    <t>Table 9D: Provincial Real Personal Disposable Income per Capita as a Proportion of the National Average , 1981-2008</t>
  </si>
  <si>
    <t>Table 10A: Implicit Tax Rate on Personal Income (in percent), 1981-2008</t>
  </si>
  <si>
    <t>Table 10B: Average Government Transfers, All Family Units (in $2007), 1981-2007</t>
  </si>
  <si>
    <t>Table 10C: Average Implicit Rate of Government Transfers, All Family Units (in percent), 1981-2007</t>
  </si>
  <si>
    <t>Table 10D: Government Transfers by After-Tax Income Quintiles, Canada, 2007</t>
  </si>
  <si>
    <t>Table 10E: Average Income Tax, All Family Units (in $2007), 1981-2007</t>
  </si>
  <si>
    <t>Table 10F: Average Implicit Income Tax Rate, All Family Units (in percent), 1981-2007</t>
  </si>
  <si>
    <t>Table 11A: Average Market Income Of All Family Units, (in 2007$), 1981-2007</t>
  </si>
  <si>
    <t>Table 11B: Average Total Income of All Family Units, (in 2007$), 1981-2007</t>
  </si>
  <si>
    <t>Table 11C: Average After-Tax Income of All Family Units, (in 2007$), 1981-2007</t>
  </si>
  <si>
    <t>Table 11D: Provincial Average Market Income of All Family Units as a Proportion of the National Average, 1981-2007</t>
  </si>
  <si>
    <t>Table 11E: Provincial Average Total Income of All Family Units as a Proportion of the National Average, 1981-2007</t>
  </si>
  <si>
    <r>
      <t>Table 11F: Provincial Average After-Tax Income of All Family Units</t>
    </r>
    <r>
      <rPr>
        <vertAlign val="superscript"/>
        <sz val="12"/>
        <rFont val="Times New Roman"/>
        <family val="1"/>
      </rPr>
      <t xml:space="preserve"> </t>
    </r>
    <r>
      <rPr>
        <sz val="12"/>
        <rFont val="Times New Roman"/>
        <family val="1"/>
      </rPr>
      <t>as A Proportion of the National Average, 1981-2007</t>
    </r>
  </si>
  <si>
    <t>Table 11G: Average Income of Economic Families, Adjusted and Unadjusted for Family Size (in 2007$), 1981-2007</t>
  </si>
  <si>
    <t>Table 11H: Average Market Income by Economic Family Type, (in 2007$), 1981-2007</t>
  </si>
  <si>
    <t>Table 11I: Average Total Income by Economic Family Type, (in 2007$), 1981-2007</t>
  </si>
  <si>
    <t>Table 11j: Average After-Tax Income by Economic Family Type, (in 2007$), 1981-2007</t>
  </si>
  <si>
    <t>Table 12A: Median Market Income of All Family Units, (in 2007$), 1981-2007</t>
  </si>
  <si>
    <t>Table 12B: Median Total Income of All Family Units, (in 2007$), 1981-2007</t>
  </si>
  <si>
    <t>Table 12C: Median After-Tax Income of All Family Units, (in 2007$), 1981-2007</t>
  </si>
  <si>
    <r>
      <t>Table 12D: Provincial Median Market Income of All Family Units</t>
    </r>
    <r>
      <rPr>
        <vertAlign val="superscript"/>
        <sz val="12"/>
        <rFont val="Times New Roman"/>
        <family val="1"/>
      </rPr>
      <t xml:space="preserve"> </t>
    </r>
    <r>
      <rPr>
        <sz val="12"/>
        <rFont val="Times New Roman"/>
        <family val="1"/>
      </rPr>
      <t>as a Proportion of the National Average, 1981-2007</t>
    </r>
  </si>
  <si>
    <r>
      <t>Table 12E: Provincial Median Total Income of All Family Units</t>
    </r>
    <r>
      <rPr>
        <vertAlign val="superscript"/>
        <sz val="12"/>
        <rFont val="Times New Roman"/>
        <family val="1"/>
      </rPr>
      <t xml:space="preserve"> </t>
    </r>
    <r>
      <rPr>
        <sz val="12"/>
        <rFont val="Times New Roman"/>
        <family val="1"/>
      </rPr>
      <t>as a Proportion of the National Average, 1981-2007</t>
    </r>
  </si>
  <si>
    <r>
      <t>Table 12F: Provincial Median After-Tax Income of All Family Units</t>
    </r>
    <r>
      <rPr>
        <vertAlign val="superscript"/>
        <sz val="12"/>
        <rFont val="Times New Roman"/>
        <family val="1"/>
      </rPr>
      <t xml:space="preserve"> </t>
    </r>
    <r>
      <rPr>
        <sz val="12"/>
        <rFont val="Times New Roman"/>
        <family val="1"/>
      </rPr>
      <t>as a Proportion of the National Average, 1981-2007</t>
    </r>
  </si>
  <si>
    <t>Table 12G: Median Market Income by Economic Family Type, (in 2007$), 1981-2007</t>
  </si>
  <si>
    <t>Table 12H: Median Total Income by Economic Family Type, (in 2007$), 1981-2007</t>
  </si>
  <si>
    <t>Table 12I: Median Ater-Tax Income by Economic Family Type, (in 2007$), 1981-2007</t>
  </si>
  <si>
    <t>Table 13A: Net Worth by Different Sectors in Canada (billions of current $), 1981-2008</t>
  </si>
  <si>
    <t>Table 13B: Real Net Worth of Persons and Unincorporated Businesses, per Capita and per Family Unit (thousands of 2002$, CPI adjusted) , 1981-2007</t>
  </si>
  <si>
    <t>Table 13C: Market Value of Various Tangible Assets in Canada (billions of current $), 1981-2008</t>
  </si>
  <si>
    <t>Table 13D: Real Value of Various Tangible Assets in Canada (billions of 2002$), 1981-2008</t>
  </si>
  <si>
    <t>Table 13E: Real value of Various Tangible Assets per Capita in Canada (thousands of  2002$), 1981-2008</t>
  </si>
  <si>
    <r>
      <t>Table 13F: Net worth</t>
    </r>
    <r>
      <rPr>
        <vertAlign val="superscript"/>
        <sz val="12"/>
        <rFont val="Times New Roman"/>
        <family val="1"/>
      </rPr>
      <t>1</t>
    </r>
    <r>
      <rPr>
        <sz val="12"/>
        <rFont val="Times New Roman"/>
        <family val="1"/>
      </rPr>
      <t xml:space="preserve"> by Different Sectors in Canada as a Proportion of the National Balance Sheet, 1981-2008</t>
    </r>
  </si>
  <si>
    <t>Table 14A: GINI Coefficient of Market Income for All Family Units, 1981-2007</t>
  </si>
  <si>
    <t>Table 14B: GINI Coefficient of Total Income for all Family Units, 1981-2007</t>
  </si>
  <si>
    <t>Table 14C: GINI Coefficient of After-Tax Income for All Family Units, 1981-2007</t>
  </si>
  <si>
    <r>
      <t>Table 14D: Provincial GINI Coefficient of Market Income for All Family Units,</t>
    </r>
    <r>
      <rPr>
        <vertAlign val="superscript"/>
        <sz val="12"/>
        <rFont val="Times New Roman"/>
        <family val="1"/>
      </rPr>
      <t xml:space="preserve"> </t>
    </r>
    <r>
      <rPr>
        <sz val="12"/>
        <rFont val="Times New Roman"/>
        <family val="1"/>
      </rPr>
      <t>as a Proportion of the National Average, 1981-2007</t>
    </r>
  </si>
  <si>
    <r>
      <t>Table 14E: Provincial GINI Coefficient of Total Income for All Family Units,</t>
    </r>
    <r>
      <rPr>
        <vertAlign val="superscript"/>
        <sz val="12"/>
        <rFont val="Times New Roman"/>
        <family val="1"/>
      </rPr>
      <t xml:space="preserve"> </t>
    </r>
    <r>
      <rPr>
        <sz val="12"/>
        <rFont val="Times New Roman"/>
        <family val="1"/>
      </rPr>
      <t>as a Proportion of the National Average, 1981-2007</t>
    </r>
  </si>
  <si>
    <r>
      <t>Table 14F: Provincial GINI Coefficient of After-Tax Income for All Family Units,</t>
    </r>
    <r>
      <rPr>
        <vertAlign val="superscript"/>
        <sz val="12"/>
        <rFont val="Times New Roman"/>
        <family val="1"/>
      </rPr>
      <t xml:space="preserve"> </t>
    </r>
    <r>
      <rPr>
        <sz val="12"/>
        <rFont val="Times New Roman"/>
        <family val="1"/>
      </rPr>
      <t>as a Proportion of the National Average, 1981-2007</t>
    </r>
  </si>
  <si>
    <t>Table 15A: Ratio of the Top to Bottom Quintile, Market Income of Economic Families, Adjusted for Family Size, 1981-2007</t>
  </si>
  <si>
    <t>Table 15B: Ratio of the Top to Bottom Quintile, Total Income of Economic Families, Adjusted for Family Size, 1981-2007</t>
  </si>
  <si>
    <t>Table 15C: Ratio of the Top to Bottom Quintile, After-Tax Income of Economic Families, Adjusted for Family Size, 1981-2007</t>
  </si>
  <si>
    <r>
      <t>Table 15D: Provincial Ratio of the Top to Bottom Quintile, Market Income of Economic Families, Adjusted for Family Size,</t>
    </r>
    <r>
      <rPr>
        <vertAlign val="superscript"/>
        <sz val="12"/>
        <rFont val="Times New Roman"/>
        <family val="1"/>
      </rPr>
      <t xml:space="preserve"> a</t>
    </r>
    <r>
      <rPr>
        <sz val="12"/>
        <rFont val="Times New Roman"/>
        <family val="1"/>
      </rPr>
      <t>s a Proportion of the National Average, 1981-2007</t>
    </r>
  </si>
  <si>
    <t>Table 15E: Provincial Ratio of the Top to Bottom Quintile, Total Income of Economic Families, Adjusted for Family Size, as a Proportion of the National Average, 1981-2007</t>
  </si>
  <si>
    <r>
      <t>Table 15F: Provincial Ratio of the Top to Bottom Quintile, After-Tax Income of Economic Families, Adjusted for Family Size,</t>
    </r>
    <r>
      <rPr>
        <vertAlign val="superscript"/>
        <sz val="12"/>
        <rFont val="Times New Roman"/>
        <family val="1"/>
      </rPr>
      <t xml:space="preserve"> </t>
    </r>
    <r>
      <rPr>
        <sz val="12"/>
        <rFont val="Times New Roman"/>
        <family val="1"/>
      </rPr>
      <t>as a Proportion of the National Average, 1981-2007</t>
    </r>
  </si>
  <si>
    <t>Table 16A: Number of Persons in Low Income Cut-Offs After Tax (1992 base), ( in thousands ) , 1981-2007</t>
  </si>
  <si>
    <t>Table 16B: Percentage of Persons in Low Income Cut-Offs After Tax (1992 base), 1981-2007</t>
  </si>
  <si>
    <t>Table 16C: Number of Persons Under 18 Years Old in Low Income Cut-Offs After Tax (1992 base),  (in thousands), 1981-2007</t>
  </si>
  <si>
    <t>Table 16D: Percentage of Persons Under 18 Years Old in Low Income Cut-Offs After Tax (1992 base),  (in thousands), 1981-2007</t>
  </si>
  <si>
    <r>
      <t>Table 16E: Provincial Percentage of Persons in Low Income Cut-Offs After Tax (1992 base)</t>
    </r>
    <r>
      <rPr>
        <vertAlign val="superscript"/>
        <sz val="12"/>
        <rFont val="Times New Roman"/>
        <family val="1"/>
      </rPr>
      <t xml:space="preserve"> </t>
    </r>
    <r>
      <rPr>
        <sz val="12"/>
        <rFont val="Times New Roman"/>
        <family val="1"/>
      </rPr>
      <t>as a Proportion of the National Average, 1981-2007</t>
    </r>
  </si>
  <si>
    <t>Table 16F: Number of Families Under the Low Income Cut-Offs After Tax (1992 base), All Family Units (in thousands), 1981-2007</t>
  </si>
  <si>
    <t>Table 16G: Percentage of Families Under the Low Income Cut-Offs After Tax (1992 base), All Family Units, 1981-2007</t>
  </si>
  <si>
    <t>Table 16H: Provincial Percentage of Families Under the Low Income Cut-Offs After Tax (1992 base), All Family Units, as a Proportion of the National Average, 1981-2007</t>
  </si>
  <si>
    <t>Table 16I: Number of Families Under the Low Income Cut-Offs After Tax (1992 base), by Economic Family Type, Canada, in thousands, 1981-2007</t>
  </si>
  <si>
    <t>Table 16J: Percentage of Families Under the Low Income Cut-Offs After Tax (1992 base), by Economic Family Type, Canada, 1981-2007</t>
  </si>
  <si>
    <t>Table 16K: Number of Persons Under the Low Income Cut-Offs After Tax (1992 base), by Economic Family Type, Canada, in thousands, 1981-2007</t>
  </si>
  <si>
    <t>Table 16L: Percentage of Persons Under the Low Income Cut-Offs After-Tax (1992 base), by Economic Family Type, Canada, 1981-2007</t>
  </si>
  <si>
    <t>Table 17A: Average Low Income Gap After Tax, All Family Units (in constant 2007$), 1981-2007</t>
  </si>
  <si>
    <t>Table 17B: Provincial Average Low Income Gap After Tax, All Family Units, as a Proportion of the National Average, 1981-2007</t>
  </si>
  <si>
    <t>Table 17C: Average Low Income Gap, by Economic Family Type, Canada (2006$), 1981-2006</t>
  </si>
  <si>
    <t>Table 18A: Persons Under the Pre-Tax LIM by Province, 1997-2006*</t>
  </si>
  <si>
    <t>Table 18B: Number of Persons and Families Under the Post-Tax LIM, by Type, 1997-2006</t>
  </si>
  <si>
    <t>Table 19A: Aggregate, Average and Median Net Worth by Type of Family Unit, Ages and Income, 1999</t>
  </si>
  <si>
    <t>Table 19B:  Change in Median Net Worth From 1999 to 2005, by Quintile</t>
  </si>
  <si>
    <t>Table 19C: Percentage Distribution of Wealth, All Family Units, 1970-1999 and 1999-2005</t>
  </si>
  <si>
    <t>Table 19D: Average Wealth by Deciles, all Family Units, in Constant 1999 Dollars, 1970-1999</t>
  </si>
  <si>
    <t>Table 19E: The Millionaires’ Club by Region or Province, 1999</t>
  </si>
  <si>
    <t>Table 19F: Distribution of Family Units and Wealth by Province in Constant 1999 dollars, 1984-1999</t>
  </si>
  <si>
    <t>Table 19G: Wealth by Family Type in Constant 1999 Dollars, 1984-1999</t>
  </si>
  <si>
    <r>
      <t>Table 20A: Linear Trend for Real Disposable Income per Capita</t>
    </r>
    <r>
      <rPr>
        <vertAlign val="superscript"/>
        <sz val="12"/>
        <rFont val="Times New Roman"/>
        <family val="1"/>
      </rPr>
      <t xml:space="preserve"> </t>
    </r>
    <r>
      <rPr>
        <sz val="12"/>
        <rFont val="Times New Roman"/>
        <family val="1"/>
      </rPr>
      <t>(in 2002 constant dollars), 1981-2008</t>
    </r>
  </si>
  <si>
    <t>Table 20B: Absolute Percentage Off-Trend, 1981-2008</t>
  </si>
  <si>
    <t>Table 21: Consumer Bankruptcies per 10,000 Persons, 1976-2008</t>
  </si>
  <si>
    <t>Table 22A: Unemployment Rate (in percent), 1976-2008</t>
  </si>
  <si>
    <t>Table 22B: Official Unemployment Rate plus Discouraged Searchers and Involuntary Part-Timers (in full-time equivalents), 1997-2008</t>
  </si>
  <si>
    <t>Table 22C: Provincial Unemployment Rate as a Proportion of the National Average, 1976-2008</t>
  </si>
  <si>
    <t>Table 22D: Provincial Official Unemployment Rate Plus Discouraged Searchers and Involuntary Part-Timers as a Proportion of the National Average, 1997-2008</t>
  </si>
  <si>
    <r>
      <t>Table 24A: Quintile Distribution of Market Income of Economic Families</t>
    </r>
    <r>
      <rPr>
        <vertAlign val="superscript"/>
        <sz val="12"/>
        <rFont val="Times New Roman"/>
        <family val="1"/>
      </rPr>
      <t xml:space="preserve"> </t>
    </r>
    <r>
      <rPr>
        <sz val="12"/>
        <rFont val="Times New Roman"/>
        <family val="1"/>
      </rPr>
      <t>for Canada, Unadjusted and Adjusted for Family Size</t>
    </r>
    <r>
      <rPr>
        <vertAlign val="superscript"/>
        <sz val="12"/>
        <rFont val="Times New Roman"/>
        <family val="1"/>
      </rPr>
      <t xml:space="preserve"> </t>
    </r>
    <r>
      <rPr>
        <sz val="12"/>
        <rFont val="Times New Roman"/>
        <family val="1"/>
      </rPr>
      <t>(in $2007), 1981-2007</t>
    </r>
  </si>
  <si>
    <r>
      <t>Table 24B: Quintile Distribution of Total Income of Economic Families</t>
    </r>
    <r>
      <rPr>
        <vertAlign val="superscript"/>
        <sz val="12"/>
        <rFont val="Times New Roman"/>
        <family val="1"/>
      </rPr>
      <t xml:space="preserve"> </t>
    </r>
    <r>
      <rPr>
        <sz val="12"/>
        <rFont val="Times New Roman"/>
        <family val="1"/>
      </rPr>
      <t>for Canada, Unadjusted and Adjusted for Family Size</t>
    </r>
    <r>
      <rPr>
        <vertAlign val="superscript"/>
        <sz val="12"/>
        <rFont val="Times New Roman"/>
        <family val="1"/>
      </rPr>
      <t xml:space="preserve"> </t>
    </r>
    <r>
      <rPr>
        <sz val="12"/>
        <rFont val="Times New Roman"/>
        <family val="1"/>
      </rPr>
      <t>(in $2007), 1981-2007</t>
    </r>
  </si>
  <si>
    <r>
      <t>Table 24C: Quintile Distribution of After-Tax Income of Economic Families</t>
    </r>
    <r>
      <rPr>
        <vertAlign val="superscript"/>
        <sz val="12"/>
        <rFont val="Times New Roman"/>
        <family val="1"/>
      </rPr>
      <t xml:space="preserve"> </t>
    </r>
    <r>
      <rPr>
        <sz val="12"/>
        <rFont val="Times New Roman"/>
        <family val="1"/>
      </rPr>
      <t>for Canada, Unadjusted and Adjusted for Family Size</t>
    </r>
    <r>
      <rPr>
        <vertAlign val="superscript"/>
        <sz val="12"/>
        <rFont val="Times New Roman"/>
        <family val="1"/>
      </rPr>
      <t xml:space="preserve"> </t>
    </r>
    <r>
      <rPr>
        <sz val="12"/>
        <rFont val="Times New Roman"/>
        <family val="1"/>
      </rPr>
      <t>(in $2007), 1981-2007</t>
    </r>
  </si>
  <si>
    <r>
      <t>Table 24D: Quintile Share of Market Income of Economic Families</t>
    </r>
    <r>
      <rPr>
        <vertAlign val="superscript"/>
        <sz val="12"/>
        <rFont val="Times New Roman"/>
        <family val="1"/>
      </rPr>
      <t xml:space="preserve"> </t>
    </r>
    <r>
      <rPr>
        <sz val="12"/>
        <rFont val="Times New Roman"/>
        <family val="1"/>
      </rPr>
      <t>for Canada, Unadjusted and Adjusted for Family Size, 1981-2007</t>
    </r>
  </si>
  <si>
    <r>
      <t>Table 24E: Quintile Share of Total Income of Economic Families</t>
    </r>
    <r>
      <rPr>
        <vertAlign val="superscript"/>
        <sz val="12"/>
        <rFont val="Times New Roman"/>
        <family val="1"/>
      </rPr>
      <t xml:space="preserve"> </t>
    </r>
    <r>
      <rPr>
        <sz val="12"/>
        <rFont val="Times New Roman"/>
        <family val="1"/>
      </rPr>
      <t>for Canada, Unadjusted and Adjusted for Family Size, 1981-2007</t>
    </r>
  </si>
  <si>
    <r>
      <t>Table 24F: Quintile Share of After-Tax Income of Economic Families</t>
    </r>
    <r>
      <rPr>
        <vertAlign val="superscript"/>
        <sz val="12"/>
        <rFont val="Times New Roman"/>
        <family val="1"/>
      </rPr>
      <t xml:space="preserve"> </t>
    </r>
    <r>
      <rPr>
        <sz val="12"/>
        <rFont val="Times New Roman"/>
        <family val="1"/>
      </rPr>
      <t>for Canada, Unadjusted and Adjusted for Family Size, 1981-2007</t>
    </r>
  </si>
  <si>
    <t>Table 25A: Incidence of Medium and Long Term Unemployment in Canada as a Share of Total Unemployment, 1976-2008</t>
  </si>
  <si>
    <t>Table 25b: Incidence of Medium and Long Term Unemployment in Canada as a Share of Total Labour Force, 1976-2008</t>
  </si>
  <si>
    <t>Table 26A: The Adequacy, Suitability, Affordability and Acceptability of Canadian Households, in Per Cent, 1991-2006</t>
  </si>
  <si>
    <t>and Core Housing Need in Canada, 1991,1996, 2001 and 2006, in Per Cent</t>
  </si>
  <si>
    <t xml:space="preserve"> Households Above and Below the Suitability Standard, 1991, 1996, 2001 and 2006, in Per Cent</t>
  </si>
  <si>
    <t xml:space="preserve"> Households Above and Below the Adequacy Standard, 1991, 1996, 2001 and 2006, in Per Cent</t>
  </si>
  <si>
    <t xml:space="preserve"> Households Above and Below the Affordability Standard, 1991, 1996, 2001, and 2006 in Per Cent</t>
  </si>
  <si>
    <t>Table 29A : Percentage Distribution of Hourly Wages (2001 dollars), 1981-2004, in Per Cent</t>
  </si>
  <si>
    <t>Table 29B : Proportion of Wage Earners Who are Low-Paid Workers, Canada, 1980 to 2000</t>
  </si>
  <si>
    <t>Table 30: Low-Income Population Accounted for by Five Groups, in Per Cent</t>
  </si>
  <si>
    <t>Table 31: Productivity in the Total Economy, Canada</t>
  </si>
  <si>
    <t>Table 32: Gross Domestic Product Decomposition, Billions of Current Dollars, 1981-2008</t>
  </si>
  <si>
    <t>Table 33: Personal Income Decomposition, Billions of Current Dollars, 1981-2008</t>
  </si>
  <si>
    <t xml:space="preserve">Table 34A: Welfare Income, Canada and the Provinces, 1986-2007 ($2007) </t>
  </si>
  <si>
    <t>Table 34B: Welfare Income as Percentage of the Poverty Line, Canada and the Provinces, 1986-2007, Per Cent</t>
  </si>
  <si>
    <t xml:space="preserve"> in Canada by Province, 1983-2008</t>
  </si>
  <si>
    <t xml:space="preserve"> in Canada by Province, 1983-2008 (continued)</t>
  </si>
  <si>
    <t>Table 38B: Depth of Low Income in Canada by Various Groups, Using the Market Basket Measure</t>
  </si>
  <si>
    <t>Table 42: Average Household Spending, by Category, 1997-2007, Current Dollars</t>
  </si>
  <si>
    <t>Table 43: Percentage of Employees* in Temporary Jobs, by Selected Characteristics, 1989-2004</t>
  </si>
  <si>
    <t>Table 44A: Number and Percentage of Workers Working 50 Hours or More by Age, All Jobs, 1976-2008</t>
  </si>
  <si>
    <t>Table 44B: Number of Workers Working 50 Hours or More by Occupation, Main Job, 1987-2008</t>
  </si>
  <si>
    <t>Table 44C: Percentage of Workers Working 50 Hours or More by Occupation, Main Job, 1987-2008</t>
  </si>
  <si>
    <t>Table 45A : MBM Poverty Line, 1986-2007,  $2007</t>
  </si>
  <si>
    <t>Table 45B : Hours of Work at Minimum Wage per Week Needed to Reach Welfare Income, 1986-2007</t>
  </si>
  <si>
    <t>Table 45C : Hours of Work at Minimum Wage per Week Needed to Reach Poverty Line, 1986-2007</t>
  </si>
  <si>
    <t>Table 46: Personal Saving Rate in Canada and the Provinces, Per Cent, 1981-2008</t>
  </si>
  <si>
    <t>Table 47:  Assets, Liabilities and Net Worth for Persons and Unincorporated Businesses, Millions of Dollars, 1981-2008</t>
  </si>
  <si>
    <t>Table 47A:  Assets, Liabilities and Net Worth for Persons and Unincorporated Businesses, Millions of $2001 (CPI adjusted), 1981-2008</t>
  </si>
  <si>
    <t>Table 47B:  Assets, Liabilities, Income and Savings for Persons and Unincorporated Businesses per Household, $2001 (CPI adjusted), 1981-2008</t>
  </si>
  <si>
    <t>Table 47C:  Types of Assets and Liabilities as a Proportion of Total Assets and Total Liabilities, Persons and Unincorporated Businesses, 1981-2008</t>
  </si>
  <si>
    <t>Table 47D:  Income and Savings for Persons and Unincorporated Businesses, Millions of Dollars Unless Otherwise Indicated, 1981-2008</t>
  </si>
  <si>
    <t>Table 48: Composition of Assets and Debts, Including Employer-Sponsored Registered Pension Plans, Canada, 1999 and 2005</t>
  </si>
  <si>
    <t>Table 49 : Assets and Debts Held by Family Units, Including Employer-Sponsored Registered Pension Plans, Canada, 1999 and 2005</t>
  </si>
  <si>
    <t>Table 57:  Hours Worked per Week and Other Labour Force Statistics in Canada 15 Years and Over, 1976-2008</t>
  </si>
  <si>
    <t>Table 58:  Hours Worked and Other Labour Force Statistics in Canada, 15-64 years old, 1976-2008</t>
  </si>
  <si>
    <t>Table 58a:  Hours Worked and Other Labour Force Statistics in Newfoundland and Labrador, 15-64 years old, 1976-2008</t>
  </si>
  <si>
    <t>Table 58b:  Hours Worked and Other Labour Force Statistics in Prince Edward Island, 15-64 years old, 1976-2008</t>
  </si>
  <si>
    <t>Table 58c:  Hours Worked and Other Labour Force Statistics in Nova Scotia, 15-64 years old, 1976-2008</t>
  </si>
  <si>
    <t>Table 58d:  Hours Worked and Other Labour Force Statistics in New Brunswick, 15-64 years old, 1976-2008</t>
  </si>
  <si>
    <t>Table 58e:  Hours Worked and Other Labour Force Statistics in Quebec, 15-64 years old, 1976-2008</t>
  </si>
  <si>
    <t>Table 58f:  Hours Worked and Other Labour Force Statistics in Ontario, 15-64 years old, 1976-2008</t>
  </si>
  <si>
    <t>Table 58g:  Hours Worked and Other Labour Force Statistics in Manitoba, 15-64 years old, 1976-2008</t>
  </si>
  <si>
    <t>Table 58h:  Hours Worked and Other Labour Force Statistics in Saskatchewan, 15-64 years old, 1976-2008</t>
  </si>
  <si>
    <t>Table 58i:  Hours Worked and Other Labour Force Statistics in Alberta, 15-64 years old, 1976-2008</t>
  </si>
  <si>
    <t>Table 58j:  Hours Worked and Other Labour Force Statistics in British Columbia, 15-64 years old, 1976-2008</t>
  </si>
  <si>
    <t>Table 59a:  Employment by Hours Worked in Canada, 15 Years and Over, 1976-2008</t>
  </si>
  <si>
    <t>Table 59b:  Employment Share by Hours Worked in Canada, 15 Years and Over, Per Cent, 1976-2008</t>
  </si>
  <si>
    <t>Table 60:  Wage Difference Between Males and Females, 1997-2008</t>
  </si>
  <si>
    <t>(15 Years and Older)</t>
  </si>
  <si>
    <t>Table 61: Number of Families, by Family Type, 1981 and 2007</t>
  </si>
  <si>
    <t>Family Units in Thousands</t>
  </si>
  <si>
    <t>Table 64: Selected Government Transfers, 1981-2006 (current dollars x 1,000,000)</t>
  </si>
  <si>
    <t>Table 65: Selected Government Transfers, 1981-2006 (constant 2002 dollars x 1,000,000)</t>
  </si>
  <si>
    <t>Table 66: NCB Reinvestments and Investments by Jurisdiction for Fiscal Years ($millions), 2000-2007</t>
  </si>
  <si>
    <t>Table 66: NCB Reinvestments and Investments by Jurisdiction for Fiscal Years ($millions) (continued)</t>
  </si>
  <si>
    <t>Table 67: Private Expenditure on Healthcare, Millions of Current Dollars, 1981-2008</t>
  </si>
  <si>
    <t>Table 68A: Population by Age, Thousands, 1981-2008</t>
  </si>
  <si>
    <t>Table 68: Population by Age, Thousands, 1981-2008, Page 2</t>
  </si>
  <si>
    <t>Table 68: Population by Age, Thousands, 1981-2008, Page 3</t>
  </si>
  <si>
    <t>Table 68B: Labour Force by Age in Canada, Thousands, 1976-2008</t>
  </si>
  <si>
    <t>Table 68C: Labour Force Shares by Age in Canada, in Per Cent, 1976-2008</t>
  </si>
  <si>
    <t>Table 70: Canada's Net International Investment Position on December 31 and Net Investment Income from Non-Residents, 1981‐2007 (Millions of dollars)</t>
  </si>
  <si>
    <t>Table 71B: Average Total Income for Economic Families by Immigrant Status and Period, by Province, 2000 and 2005 (2005 Dollars)</t>
  </si>
  <si>
    <t>Table 71C: Median Total Income for Economic Families by Immigrant Status and Period, by Province, 2000 and 2005 (2005 Dollars)</t>
  </si>
  <si>
    <t xml:space="preserve">Note : the number of households was available up to 2007.  For 2008, we assumed the growth rate was 1.4 per cent, which is the growth rate for the 2007.  In comparison, the growth rate for the 2000-2006 period was 1.5 per cent. </t>
  </si>
  <si>
    <t>August</t>
  </si>
  <si>
    <t>January</t>
  </si>
  <si>
    <t>with 2008 projections</t>
  </si>
  <si>
    <t>Source : Based on SCF/SLID estimates.  Cansim series v1564221, v1564227, v1564233, v1564239, v1564245, v1564251, v1564257, v1564263, v1564269, v1564275, v1564281, v1564287, v1564293, v1564299, v1564305, v1564311, v1564317, v1564323, v1564329, v1564335, v1564341, v1564347, v1564353, v1564359, v1564365, v1564371, v14134964, v1564377, v1564383, v1564389, v1564395, v1564401, v1564407, v1564413, v1564419 and v1564425</t>
  </si>
  <si>
    <t>Region (May 2009)</t>
  </si>
  <si>
    <t>Source:  Ipsos Reid, Canadians Upbeat about Current Economy, in Consumer Confidence Monitor, September/October 2004, Volume 19, Number 5, and Ipsos-Reid Economic Confidence Chart, May 2009.  Data for 2005-2009 are averages of multiple surveys</t>
  </si>
  <si>
    <t>Percentage Point Change (90-09)</t>
  </si>
  <si>
    <r>
      <t xml:space="preserve">Source:  Ipsos Reid, </t>
    </r>
    <r>
      <rPr>
        <i/>
        <sz val="10"/>
        <rFont val="Times New Roman"/>
        <family val="1"/>
      </rPr>
      <t>Canadians Upbeat about Current Economy</t>
    </r>
    <r>
      <rPr>
        <sz val="10"/>
        <rFont val="Times New Roman"/>
        <family val="1"/>
      </rPr>
      <t>, in Consumer Confidence Monitor, September/October 2004, Volume 19, Number 5 and Ipsos-Reid Economic Confidence Chart, May 2009.</t>
    </r>
  </si>
  <si>
    <t>Total employed</t>
  </si>
  <si>
    <t>Over 50 hours, main job</t>
  </si>
  <si>
    <t>Over 50 hours, all jobs</t>
  </si>
  <si>
    <t>Over 50 hours in main job, per cent</t>
  </si>
  <si>
    <t>Over 50 hours in all jobs, per cent</t>
  </si>
  <si>
    <t>Average Growth</t>
  </si>
  <si>
    <t>Point change</t>
  </si>
  <si>
    <t>Total growth</t>
  </si>
  <si>
    <t>Source: Statistics Canada v2634353, v2634364, v2634376</t>
  </si>
  <si>
    <t>Table 44D: Proportion of workers working over 50 hours, Canada, 1976-2008</t>
  </si>
  <si>
    <t>Total employees</t>
  </si>
  <si>
    <t>Permanent</t>
  </si>
  <si>
    <t>Temporary</t>
  </si>
  <si>
    <t>Seasonal</t>
  </si>
  <si>
    <t>Term or contract</t>
  </si>
  <si>
    <t>Casual</t>
  </si>
  <si>
    <t>Other temporary</t>
  </si>
  <si>
    <t>Source: Statistics Canada, Labour Force Survey, CANSIM series v2375695, v2375696, v2375697, v2375698, v2375699, v2375700, v2375701</t>
  </si>
  <si>
    <t>Source: Calculated by CSLS based on Labour Force Survey data.</t>
  </si>
  <si>
    <t>Table 43a: Job permanency, Canada, 1997-2008</t>
  </si>
  <si>
    <t>Table 43B: Job permanency, Canada, 1997-2008</t>
  </si>
  <si>
    <t>Contribution of Security from Risk Imposed by Unem-ployment</t>
  </si>
  <si>
    <t>Contribution of Security from Risk Imposed by Illness</t>
  </si>
  <si>
    <t>Contribution of Security from Risk Imposed by Single-Parent Poverty</t>
  </si>
  <si>
    <t>Contribution of Security from Risk Imposed by Poverty in Old Age</t>
  </si>
  <si>
    <t>Note: Values for 2008 were assumed to be the same as the 2007 values for the first three columns.</t>
  </si>
</sst>
</file>

<file path=xl/styles.xml><?xml version="1.0" encoding="utf-8"?>
<styleSheet xmlns="http://schemas.openxmlformats.org/spreadsheetml/2006/main">
  <numFmts count="14">
    <numFmt numFmtId="6" formatCode="&quot;$&quot;#,##0_);[Red]\(&quot;$&quot;#,##0\)"/>
    <numFmt numFmtId="43" formatCode="_(* #,##0.00_);_(* \(#,##0.00\);_(* &quot;-&quot;??_);_(@_)"/>
    <numFmt numFmtId="164" formatCode="_-* #,##0.00_-;\-* #,##0.00_-;_-* &quot;-&quot;??_-;_-@_-"/>
    <numFmt numFmtId="165" formatCode="0.0"/>
    <numFmt numFmtId="166" formatCode="0.0000"/>
    <numFmt numFmtId="167" formatCode="0.000"/>
    <numFmt numFmtId="168" formatCode="0.00000"/>
    <numFmt numFmtId="169" formatCode="#,##0.0"/>
    <numFmt numFmtId="170" formatCode="#,##0.000"/>
    <numFmt numFmtId="171" formatCode="_-* #,##0_-;\-* #,##0_-;_-* &quot;-&quot;??_-;_-@_-"/>
    <numFmt numFmtId="172" formatCode="&quot;$&quot;#,##0"/>
    <numFmt numFmtId="173" formatCode="&quot;$&quot;#,##0.00"/>
    <numFmt numFmtId="174" formatCode="_(* #,##0.0_);_(* \(#,##0.0\);_(* &quot;-&quot;??_);_(@_)"/>
    <numFmt numFmtId="175" formatCode="mmm\ yyyy"/>
  </numFmts>
  <fonts count="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Times New Roman"/>
      <family val="1"/>
    </font>
    <font>
      <sz val="12"/>
      <name val="Times New Roman"/>
      <family val="1"/>
    </font>
    <font>
      <vertAlign val="superscript"/>
      <sz val="12"/>
      <name val="Times New Roman"/>
      <family val="1"/>
    </font>
    <font>
      <vertAlign val="superscript"/>
      <sz val="10"/>
      <name val="Times New Roman"/>
      <family val="1"/>
    </font>
    <font>
      <sz val="11"/>
      <name val="Times New Roman"/>
      <family val="1"/>
    </font>
    <font>
      <sz val="11.5"/>
      <name val="Times New Roman"/>
      <family val="1"/>
    </font>
    <font>
      <sz val="10"/>
      <name val="Helvetica"/>
      <family val="2"/>
    </font>
    <font>
      <b/>
      <sz val="10"/>
      <name val="Times New Roman"/>
      <family val="1"/>
    </font>
    <font>
      <i/>
      <sz val="10"/>
      <name val="Times New Roman"/>
      <family val="1"/>
    </font>
    <font>
      <b/>
      <sz val="14"/>
      <name val="Times New Roman"/>
      <family val="1"/>
    </font>
    <font>
      <u/>
      <sz val="10"/>
      <name val="Times New Roman"/>
      <family val="1"/>
    </font>
    <font>
      <b/>
      <sz val="10"/>
      <name val="Arial"/>
      <family val="2"/>
    </font>
    <font>
      <sz val="10"/>
      <name val="Times New Roman"/>
      <family val="1"/>
    </font>
    <font>
      <b/>
      <sz val="12"/>
      <name val="Times New Roman"/>
      <family val="1"/>
    </font>
    <font>
      <sz val="10"/>
      <name val="Arial"/>
      <family val="2"/>
    </font>
    <font>
      <sz val="9"/>
      <name val="Times New Roman"/>
      <family val="1"/>
    </font>
    <font>
      <sz val="10"/>
      <color indexed="10"/>
      <name val="Times New Roman"/>
      <family val="1"/>
    </font>
    <font>
      <i/>
      <vertAlign val="superscript"/>
      <sz val="10"/>
      <name val="Times New Roman"/>
      <family val="1"/>
    </font>
    <font>
      <b/>
      <vertAlign val="superscript"/>
      <sz val="10"/>
      <name val="Times New Roman"/>
      <family val="1"/>
    </font>
    <font>
      <sz val="8"/>
      <name val="Arial"/>
      <family val="2"/>
    </font>
    <font>
      <sz val="8"/>
      <name val="Times New Roman"/>
      <family val="1"/>
    </font>
    <font>
      <sz val="12"/>
      <name val="Arial"/>
      <family val="2"/>
    </font>
    <font>
      <sz val="10"/>
      <name val="Arial"/>
      <family val="2"/>
    </font>
    <font>
      <sz val="12"/>
      <color indexed="12"/>
      <name val="Arial"/>
      <family val="2"/>
    </font>
    <font>
      <sz val="9.5"/>
      <name val="System"/>
      <family val="2"/>
    </font>
    <font>
      <sz val="8"/>
      <name val="Times New Roman"/>
      <family val="1"/>
    </font>
    <font>
      <sz val="12"/>
      <color indexed="12"/>
      <name val="Arial"/>
      <family val="2"/>
    </font>
    <font>
      <sz val="11"/>
      <color indexed="8"/>
      <name val="Calibri"/>
      <family val="2"/>
    </font>
    <font>
      <sz val="10"/>
      <color indexed="9"/>
      <name val="Times New Roman"/>
      <family val="1"/>
    </font>
    <font>
      <b/>
      <sz val="8"/>
      <name val="Times New Roman"/>
      <family val="1"/>
    </font>
    <font>
      <i/>
      <sz val="8"/>
      <name val="Times New Roman"/>
      <family val="1"/>
    </font>
    <font>
      <sz val="11"/>
      <color theme="1"/>
      <name val="Calibri"/>
      <family val="2"/>
      <scheme val="minor"/>
    </font>
    <font>
      <sz val="11"/>
      <color theme="1"/>
      <name val="Times New Roman"/>
      <family val="1"/>
    </font>
    <fon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5"/>
      <name val="System"/>
      <family val="2"/>
    </font>
    <font>
      <sz val="9.5"/>
      <name val="Times New Roman"/>
      <family val="1"/>
    </font>
    <font>
      <sz val="10"/>
      <color theme="0"/>
      <name val="Times New Roman"/>
      <family val="1"/>
    </font>
    <font>
      <sz val="11"/>
      <color indexed="8"/>
      <name val="Times New Roman"/>
      <family val="1"/>
    </font>
    <font>
      <u/>
      <sz val="10"/>
      <color indexed="12"/>
      <name val="Arial"/>
      <family val="2"/>
    </font>
    <font>
      <u/>
      <sz val="10"/>
      <color indexed="12"/>
      <name val="Times New Roman"/>
      <family val="1"/>
    </font>
    <font>
      <b/>
      <sz val="10"/>
      <color theme="1"/>
      <name val="Times New Roman"/>
      <family val="1"/>
    </font>
    <font>
      <sz val="5"/>
      <name val="Arial"/>
      <family val="2"/>
    </font>
    <font>
      <sz val="7"/>
      <name val="Arial"/>
      <family val="2"/>
    </font>
    <font>
      <b/>
      <sz val="11"/>
      <color theme="1"/>
      <name val="Times New Roman"/>
      <family val="1"/>
    </font>
    <font>
      <b/>
      <u/>
      <sz val="11"/>
      <color theme="1"/>
      <name val="Times New Roman"/>
      <family val="1"/>
    </font>
    <font>
      <sz val="12"/>
      <color theme="1"/>
      <name val="Times New Roman"/>
      <family val="1"/>
    </font>
    <font>
      <sz val="10"/>
      <color indexed="12"/>
      <name val="Times New Roman"/>
      <family val="1"/>
    </font>
    <font>
      <sz val="10"/>
      <color indexed="8"/>
      <name val="Times New Roman"/>
      <family val="1"/>
    </font>
    <font>
      <sz val="10"/>
      <color indexed="23"/>
      <name val="Times New Roman"/>
      <family val="1"/>
    </font>
    <font>
      <sz val="10"/>
      <name val="Arial Unicode MS"/>
      <family val="2"/>
    </font>
    <font>
      <b/>
      <sz val="12"/>
      <name val="Arial"/>
      <family val="2"/>
    </font>
    <font>
      <sz val="10"/>
      <name val="Courier"/>
      <family val="3"/>
    </font>
    <font>
      <i/>
      <sz val="10"/>
      <color theme="1"/>
      <name val="Times New Roman"/>
      <family val="1"/>
    </font>
    <font>
      <sz val="8"/>
      <color theme="0"/>
      <name val="Times New Roman"/>
      <family val="1"/>
    </font>
    <font>
      <b/>
      <sz val="11"/>
      <name val="Times New Roman"/>
      <family val="1"/>
    </font>
    <font>
      <sz val="10"/>
      <color rgb="FFFF0000"/>
      <name val="Times New Roman"/>
      <family val="1"/>
    </font>
    <font>
      <sz val="8"/>
      <color rgb="FF000000"/>
      <name val="Verdana"/>
      <family val="2"/>
    </font>
    <font>
      <b/>
      <sz val="10"/>
      <color rgb="FF000000"/>
      <name val="Verdana"/>
      <family val="2"/>
    </font>
    <font>
      <sz val="10"/>
      <color rgb="FF000000"/>
      <name val="Verdana"/>
      <family val="2"/>
    </font>
    <font>
      <sz val="8"/>
      <color rgb="FF000000"/>
      <name val="Times New Roman"/>
      <family val="1"/>
    </font>
    <font>
      <b/>
      <sz val="10"/>
      <color rgb="FF000000"/>
      <name val="Times New Roman"/>
      <family val="1"/>
    </font>
    <font>
      <sz val="10"/>
      <color rgb="FF000000"/>
      <name val="Times New Roman"/>
      <family val="1"/>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3"/>
        <bgColor indexed="64"/>
      </patternFill>
    </fill>
    <fill>
      <patternFill patternType="solid">
        <fgColor indexed="22"/>
        <bgColor indexed="64"/>
      </patternFill>
    </fill>
  </fills>
  <borders count="59">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ashed">
        <color indexed="64"/>
      </left>
      <right/>
      <top/>
      <bottom/>
      <diagonal/>
    </border>
    <border>
      <left style="dashed">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thin">
        <color indexed="64"/>
      </left>
      <right style="dotted">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medium">
        <color indexed="64"/>
      </top>
      <bottom/>
      <diagonal/>
    </border>
    <border>
      <left style="dashed">
        <color indexed="64"/>
      </left>
      <right/>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top/>
      <bottom/>
      <diagonal/>
    </border>
    <border>
      <left style="hair">
        <color auto="1"/>
      </left>
      <right/>
      <top/>
      <bottom style="thin">
        <color indexed="64"/>
      </bottom>
      <diagonal/>
    </border>
    <border>
      <left style="hair">
        <color auto="1"/>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dotted">
        <color indexed="64"/>
      </left>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style="dotted">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s>
  <cellStyleXfs count="24771">
    <xf numFmtId="0" fontId="0" fillId="0" borderId="0"/>
    <xf numFmtId="43" fontId="14" fillId="0" borderId="0" applyFont="0" applyFill="0" applyBorder="0" applyAlignment="0" applyProtection="0"/>
    <xf numFmtId="164" fontId="30" fillId="0" borderId="0" applyFont="0" applyFill="0" applyBorder="0" applyAlignment="0" applyProtection="0"/>
    <xf numFmtId="165" fontId="16" fillId="0" borderId="0">
      <alignment horizontal="center"/>
    </xf>
    <xf numFmtId="169" fontId="22" fillId="0" borderId="0">
      <alignment horizontal="right" vertical="center"/>
    </xf>
    <xf numFmtId="0" fontId="15" fillId="0" borderId="0" applyNumberFormat="0" applyFill="0" applyBorder="0" applyAlignment="0" applyProtection="0">
      <alignment vertical="top"/>
      <protection locked="0"/>
    </xf>
    <xf numFmtId="0" fontId="43" fillId="0" borderId="0"/>
    <xf numFmtId="0" fontId="43" fillId="0" borderId="0"/>
    <xf numFmtId="0" fontId="43" fillId="0" borderId="0"/>
    <xf numFmtId="0" fontId="14"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40" fillId="0" borderId="0"/>
    <xf numFmtId="0" fontId="28" fillId="0" borderId="0"/>
    <xf numFmtId="0" fontId="28" fillId="0" borderId="0"/>
    <xf numFmtId="0" fontId="14" fillId="0" borderId="0"/>
    <xf numFmtId="0" fontId="14" fillId="0" borderId="0"/>
    <xf numFmtId="0" fontId="28" fillId="0" borderId="0"/>
    <xf numFmtId="0" fontId="28" fillId="0" borderId="0"/>
    <xf numFmtId="0" fontId="47" fillId="0" borderId="0"/>
    <xf numFmtId="0" fontId="47" fillId="0" borderId="0"/>
    <xf numFmtId="0" fontId="47" fillId="0" borderId="0"/>
    <xf numFmtId="0" fontId="47" fillId="0" borderId="0"/>
    <xf numFmtId="0" fontId="47" fillId="0" borderId="0"/>
    <xf numFmtId="0" fontId="47" fillId="0" borderId="0"/>
    <xf numFmtId="0" fontId="50" fillId="0" borderId="0" applyNumberFormat="0" applyFill="0" applyBorder="0" applyAlignment="0" applyProtection="0"/>
    <xf numFmtId="0" fontId="51" fillId="0" borderId="30" applyNumberFormat="0" applyFill="0" applyAlignment="0" applyProtection="0"/>
    <xf numFmtId="0" fontId="52" fillId="0" borderId="31" applyNumberFormat="0" applyFill="0" applyAlignment="0" applyProtection="0"/>
    <xf numFmtId="0" fontId="53" fillId="0" borderId="32" applyNumberFormat="0" applyFill="0" applyAlignment="0" applyProtection="0"/>
    <xf numFmtId="0" fontId="53" fillId="0" borderId="0" applyNumberFormat="0" applyFill="0" applyBorder="0" applyAlignment="0" applyProtection="0"/>
    <xf numFmtId="0" fontId="54" fillId="2" borderId="0" applyNumberFormat="0" applyBorder="0" applyAlignment="0" applyProtection="0"/>
    <xf numFmtId="0" fontId="55" fillId="3" borderId="0" applyNumberFormat="0" applyBorder="0" applyAlignment="0" applyProtection="0"/>
    <xf numFmtId="0" fontId="56" fillId="4" borderId="0" applyNumberFormat="0" applyBorder="0" applyAlignment="0" applyProtection="0"/>
    <xf numFmtId="0" fontId="57" fillId="5" borderId="33" applyNumberFormat="0" applyAlignment="0" applyProtection="0"/>
    <xf numFmtId="0" fontId="58" fillId="6" borderId="34" applyNumberFormat="0" applyAlignment="0" applyProtection="0"/>
    <xf numFmtId="0" fontId="59" fillId="6" borderId="33" applyNumberFormat="0" applyAlignment="0" applyProtection="0"/>
    <xf numFmtId="0" fontId="60" fillId="0" borderId="35" applyNumberFormat="0" applyFill="0" applyAlignment="0" applyProtection="0"/>
    <xf numFmtId="0" fontId="61" fillId="7" borderId="36"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8" applyNumberFormat="0" applyFill="0" applyAlignment="0" applyProtection="0"/>
    <xf numFmtId="0" fontId="65"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65"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3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3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1" borderId="0" applyNumberFormat="0" applyBorder="0" applyAlignment="0" applyProtection="0"/>
    <xf numFmtId="0" fontId="12" fillId="10" borderId="0" applyNumberFormat="0" applyBorder="0" applyAlignment="0" applyProtection="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18" borderId="0" applyNumberFormat="0" applyBorder="0" applyAlignment="0" applyProtection="0"/>
    <xf numFmtId="0" fontId="38" fillId="0" borderId="0"/>
    <xf numFmtId="0" fontId="4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3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0" fontId="4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3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38" fillId="0" borderId="0"/>
    <xf numFmtId="0" fontId="4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3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8" fillId="0" borderId="0"/>
    <xf numFmtId="0" fontId="4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37"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14" borderId="0" applyNumberFormat="0" applyBorder="0" applyAlignment="0" applyProtection="0"/>
    <xf numFmtId="0" fontId="11" fillId="10"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0" borderId="0" applyNumberFormat="0" applyBorder="0" applyAlignment="0" applyProtection="0"/>
    <xf numFmtId="0" fontId="11" fillId="27"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0" borderId="0" applyNumberFormat="0" applyBorder="0" applyAlignment="0" applyProtection="0"/>
    <xf numFmtId="0" fontId="11" fillId="18"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0" borderId="0" applyNumberFormat="0" applyBorder="0" applyAlignment="0" applyProtection="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19"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22"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4" borderId="0" applyNumberFormat="0" applyBorder="0" applyAlignment="0" applyProtection="0"/>
    <xf numFmtId="0" fontId="11" fillId="27" borderId="0" applyNumberFormat="0" applyBorder="0" applyAlignment="0" applyProtection="0"/>
    <xf numFmtId="0" fontId="43"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0"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2"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43" fillId="0" borderId="0"/>
    <xf numFmtId="0" fontId="11" fillId="19"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0" borderId="0" applyNumberFormat="0" applyBorder="0" applyAlignment="0" applyProtection="0"/>
    <xf numFmtId="0" fontId="11" fillId="23" borderId="0" applyNumberFormat="0" applyBorder="0" applyAlignment="0" applyProtection="0"/>
    <xf numFmtId="0" fontId="43" fillId="0" borderId="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3"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8"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3"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43" fillId="0" borderId="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11" fillId="23"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31" borderId="0" applyNumberFormat="0" applyBorder="0" applyAlignment="0" applyProtection="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1" borderId="0" applyNumberFormat="0" applyBorder="0" applyAlignment="0" applyProtection="0"/>
    <xf numFmtId="0" fontId="11" fillId="10" borderId="0" applyNumberFormat="0" applyBorder="0" applyAlignment="0" applyProtection="0"/>
    <xf numFmtId="0" fontId="11" fillId="0" borderId="0"/>
    <xf numFmtId="0" fontId="11" fillId="10"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2"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66" fillId="0" borderId="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16" fillId="0" borderId="0"/>
    <xf numFmtId="0" fontId="6" fillId="0" borderId="0"/>
    <xf numFmtId="0" fontId="6" fillId="8" borderId="37" applyNumberFormat="0" applyFont="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16" fillId="0" borderId="0"/>
    <xf numFmtId="0" fontId="6" fillId="0" borderId="0"/>
    <xf numFmtId="0" fontId="6" fillId="8" borderId="37" applyNumberFormat="0" applyFont="0" applyAlignment="0" applyProtection="0"/>
    <xf numFmtId="0" fontId="70"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73" fillId="0" borderId="0">
      <alignment horizontal="left"/>
    </xf>
    <xf numFmtId="0" fontId="74" fillId="0" borderId="0">
      <alignment horizontal="left"/>
    </xf>
    <xf numFmtId="0" fontId="43" fillId="0" borderId="0"/>
    <xf numFmtId="0" fontId="38" fillId="0" borderId="0"/>
    <xf numFmtId="0" fontId="43" fillId="0" borderId="0"/>
    <xf numFmtId="0" fontId="5" fillId="0" borderId="0"/>
    <xf numFmtId="0" fontId="5" fillId="0" borderId="0"/>
    <xf numFmtId="0" fontId="5"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38" fillId="0" borderId="0"/>
    <xf numFmtId="0" fontId="38"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38" fillId="0" borderId="0"/>
    <xf numFmtId="0" fontId="38" fillId="0" borderId="0"/>
    <xf numFmtId="0" fontId="43" fillId="0" borderId="0"/>
    <xf numFmtId="0" fontId="43"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5" fillId="0" borderId="0"/>
    <xf numFmtId="0" fontId="43" fillId="0" borderId="0"/>
    <xf numFmtId="0" fontId="43" fillId="0" borderId="0"/>
    <xf numFmtId="0" fontId="38" fillId="0" borderId="0"/>
    <xf numFmtId="0" fontId="43" fillId="0" borderId="0"/>
    <xf numFmtId="0" fontId="3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 fillId="0" borderId="0"/>
    <xf numFmtId="0" fontId="5" fillId="0" borderId="0"/>
    <xf numFmtId="0" fontId="5" fillId="0" borderId="0"/>
    <xf numFmtId="0" fontId="5" fillId="0" borderId="0"/>
    <xf numFmtId="0" fontId="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 fillId="0" borderId="0"/>
    <xf numFmtId="0" fontId="43"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37" applyNumberFormat="0" applyFont="0" applyAlignment="0" applyProtection="0"/>
    <xf numFmtId="0" fontId="5" fillId="8" borderId="37" applyNumberFormat="0" applyFont="0" applyAlignment="0" applyProtection="0"/>
    <xf numFmtId="0" fontId="5" fillId="8" borderId="37" applyNumberFormat="0" applyFont="0" applyAlignment="0" applyProtection="0"/>
    <xf numFmtId="0" fontId="5" fillId="8" borderId="37" applyNumberFormat="0" applyFont="0" applyAlignment="0" applyProtection="0"/>
    <xf numFmtId="0" fontId="5" fillId="8" borderId="37" applyNumberFormat="0" applyFont="0" applyAlignment="0" applyProtection="0"/>
    <xf numFmtId="0" fontId="5" fillId="8" borderId="37" applyNumberFormat="0" applyFont="0" applyAlignment="0" applyProtection="0"/>
    <xf numFmtId="0" fontId="5" fillId="8" borderId="37" applyNumberFormat="0" applyFont="0" applyAlignment="0" applyProtection="0"/>
    <xf numFmtId="0" fontId="5" fillId="8" borderId="37" applyNumberFormat="0" applyFont="0" applyAlignment="0" applyProtection="0"/>
    <xf numFmtId="0" fontId="5" fillId="8" borderId="37" applyNumberFormat="0" applyFont="0" applyAlignment="0" applyProtection="0"/>
    <xf numFmtId="0" fontId="5" fillId="8" borderId="37"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16" fillId="0" borderId="0"/>
    <xf numFmtId="0" fontId="3" fillId="0" borderId="0"/>
    <xf numFmtId="0" fontId="3" fillId="8" borderId="37" applyNumberFormat="0" applyFont="0" applyAlignment="0" applyProtection="0"/>
    <xf numFmtId="0" fontId="3" fillId="18"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66" fillId="0" borderId="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16" fillId="0" borderId="0"/>
    <xf numFmtId="0" fontId="3" fillId="0" borderId="0"/>
    <xf numFmtId="0" fontId="3" fillId="15"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8" borderId="37" applyNumberFormat="0" applyFont="0" applyAlignment="0" applyProtection="0"/>
    <xf numFmtId="0" fontId="3" fillId="18"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66" fillId="0" borderId="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16" fillId="0" borderId="0"/>
    <xf numFmtId="0" fontId="3" fillId="0" borderId="0"/>
    <xf numFmtId="0" fontId="3" fillId="15"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8" borderId="37" applyNumberFormat="0" applyFont="0" applyAlignment="0" applyProtection="0"/>
    <xf numFmtId="0" fontId="3" fillId="18"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66" fillId="0" borderId="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16" fillId="0" borderId="0"/>
    <xf numFmtId="0" fontId="3" fillId="0" borderId="0"/>
    <xf numFmtId="0" fontId="3" fillId="15"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8" borderId="37" applyNumberFormat="0" applyFont="0" applyAlignment="0" applyProtection="0"/>
    <xf numFmtId="0" fontId="3" fillId="18"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66" fillId="0" borderId="0"/>
    <xf numFmtId="0" fontId="16" fillId="0" borderId="0"/>
    <xf numFmtId="0" fontId="3" fillId="0" borderId="0"/>
    <xf numFmtId="0" fontId="3" fillId="8" borderId="37" applyNumberFormat="0" applyFont="0" applyAlignment="0" applyProtection="0"/>
    <xf numFmtId="0" fontId="83"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cellStyleXfs>
  <cellXfs count="1337">
    <xf numFmtId="0" fontId="0" fillId="0" borderId="0" xfId="0"/>
    <xf numFmtId="0" fontId="16" fillId="0" borderId="0" xfId="0" applyFont="1"/>
    <xf numFmtId="0" fontId="16" fillId="0" borderId="1" xfId="0" applyFont="1" applyBorder="1"/>
    <xf numFmtId="0" fontId="17" fillId="0" borderId="0" xfId="0" applyFont="1" applyBorder="1"/>
    <xf numFmtId="0" fontId="16" fillId="0" borderId="0" xfId="0" applyFont="1" applyBorder="1"/>
    <xf numFmtId="0" fontId="16" fillId="0" borderId="0" xfId="0" applyFont="1" applyBorder="1" applyAlignment="1">
      <alignment horizontal="left" vertical="center" wrapText="1"/>
    </xf>
    <xf numFmtId="165" fontId="16" fillId="0" borderId="0" xfId="0" applyNumberFormat="1" applyFont="1"/>
    <xf numFmtId="0" fontId="16" fillId="0" borderId="2" xfId="0" applyFont="1" applyBorder="1"/>
    <xf numFmtId="0" fontId="19" fillId="0" borderId="0" xfId="0" applyFont="1"/>
    <xf numFmtId="0" fontId="16" fillId="0" borderId="0" xfId="0" applyFont="1" applyBorder="1" applyAlignment="1"/>
    <xf numFmtId="165" fontId="16" fillId="0" borderId="0" xfId="0" applyNumberFormat="1" applyFont="1" applyAlignment="1">
      <alignment horizontal="center"/>
    </xf>
    <xf numFmtId="165" fontId="16" fillId="0" borderId="4" xfId="0" applyNumberFormat="1" applyFont="1" applyBorder="1" applyAlignment="1">
      <alignment horizontal="center"/>
    </xf>
    <xf numFmtId="165" fontId="16" fillId="0" borderId="0" xfId="0" applyNumberFormat="1" applyFont="1" applyAlignment="1">
      <alignment horizontal="center" vertical="center"/>
    </xf>
    <xf numFmtId="0" fontId="16" fillId="0" borderId="0" xfId="0" applyFont="1" applyBorder="1" applyAlignment="1">
      <alignment horizontal="left"/>
    </xf>
    <xf numFmtId="0" fontId="16" fillId="0" borderId="1" xfId="0" applyFont="1" applyBorder="1" applyAlignment="1">
      <alignment horizontal="left"/>
    </xf>
    <xf numFmtId="0" fontId="16" fillId="0" borderId="2" xfId="0" applyFont="1" applyBorder="1" applyAlignment="1">
      <alignment horizontal="left"/>
    </xf>
    <xf numFmtId="0" fontId="16" fillId="0" borderId="0" xfId="0" applyFont="1" applyAlignment="1">
      <alignment horizontal="left"/>
    </xf>
    <xf numFmtId="0" fontId="16" fillId="0" borderId="0" xfId="0" applyFont="1" applyAlignment="1">
      <alignment horizontal="right"/>
    </xf>
    <xf numFmtId="3" fontId="16" fillId="0" borderId="3" xfId="0" applyNumberFormat="1" applyFont="1" applyBorder="1" applyAlignment="1">
      <alignment horizontal="center"/>
    </xf>
    <xf numFmtId="3" fontId="16" fillId="0" borderId="0" xfId="0" applyNumberFormat="1" applyFont="1" applyAlignment="1">
      <alignment horizontal="center"/>
    </xf>
    <xf numFmtId="3" fontId="16" fillId="0" borderId="4" xfId="0" applyNumberFormat="1" applyFont="1" applyBorder="1" applyAlignment="1">
      <alignment horizontal="center"/>
    </xf>
    <xf numFmtId="169" fontId="16" fillId="0" borderId="0" xfId="0" applyNumberFormat="1" applyFont="1" applyAlignment="1">
      <alignment horizontal="center"/>
    </xf>
    <xf numFmtId="1" fontId="16" fillId="0" borderId="0" xfId="0" applyNumberFormat="1" applyFont="1"/>
    <xf numFmtId="2" fontId="16" fillId="0" borderId="0" xfId="0" applyNumberFormat="1" applyFont="1" applyBorder="1" applyAlignment="1">
      <alignment horizontal="center"/>
    </xf>
    <xf numFmtId="1" fontId="16" fillId="0" borderId="0" xfId="0" applyNumberFormat="1" applyFont="1" applyBorder="1"/>
    <xf numFmtId="165" fontId="16" fillId="0" borderId="0" xfId="0" applyNumberFormat="1" applyFont="1" applyBorder="1" applyAlignment="1">
      <alignment horizontal="center"/>
    </xf>
    <xf numFmtId="0" fontId="21" fillId="0" borderId="0" xfId="0" applyFont="1" applyBorder="1"/>
    <xf numFmtId="2" fontId="16" fillId="0" borderId="0" xfId="0" applyNumberFormat="1" applyFont="1" applyAlignment="1">
      <alignment horizontal="center" vertical="center"/>
    </xf>
    <xf numFmtId="0" fontId="17" fillId="0" borderId="0" xfId="17" applyFont="1" applyBorder="1" applyAlignment="1">
      <alignment horizontal="left"/>
    </xf>
    <xf numFmtId="0" fontId="23" fillId="0" borderId="0" xfId="17" quotePrefix="1" applyFont="1" applyBorder="1" applyAlignment="1">
      <alignment horizontal="left"/>
    </xf>
    <xf numFmtId="0" fontId="16" fillId="0" borderId="0" xfId="17" applyFont="1" applyBorder="1"/>
    <xf numFmtId="167" fontId="16" fillId="0" borderId="0" xfId="17" applyNumberFormat="1" applyFont="1" applyBorder="1" applyAlignment="1">
      <alignment horizontal="center"/>
    </xf>
    <xf numFmtId="167" fontId="24" fillId="0" borderId="0" xfId="17" applyNumberFormat="1" applyFont="1" applyBorder="1" applyAlignment="1">
      <alignment horizontal="center"/>
    </xf>
    <xf numFmtId="165" fontId="16" fillId="0" borderId="0" xfId="0" applyNumberFormat="1" applyFont="1" applyBorder="1" applyAlignment="1">
      <alignment horizontal="center" vertical="center"/>
    </xf>
    <xf numFmtId="0" fontId="16" fillId="0" borderId="0" xfId="17" applyFont="1" applyBorder="1" applyAlignment="1">
      <alignment horizontal="left"/>
    </xf>
    <xf numFmtId="167" fontId="16" fillId="0" borderId="0" xfId="17" applyNumberFormat="1" applyFont="1" applyBorder="1" applyAlignment="1">
      <alignment horizontal="left"/>
    </xf>
    <xf numFmtId="4" fontId="16" fillId="0" borderId="0" xfId="0" applyNumberFormat="1" applyFont="1" applyAlignment="1">
      <alignment horizontal="center"/>
    </xf>
    <xf numFmtId="0" fontId="23" fillId="0" borderId="0" xfId="17" applyFont="1" applyBorder="1"/>
    <xf numFmtId="0" fontId="16" fillId="0" borderId="0" xfId="17" applyFont="1" applyBorder="1" applyAlignment="1">
      <alignment horizontal="center"/>
    </xf>
    <xf numFmtId="3" fontId="16" fillId="0" borderId="0" xfId="0" applyNumberFormat="1" applyFont="1" applyBorder="1" applyAlignment="1">
      <alignment horizontal="center"/>
    </xf>
    <xf numFmtId="0" fontId="17" fillId="0" borderId="0" xfId="0" applyFont="1"/>
    <xf numFmtId="1" fontId="16" fillId="0" borderId="4" xfId="0" applyNumberFormat="1" applyFont="1" applyBorder="1" applyAlignment="1">
      <alignment horizontal="center"/>
    </xf>
    <xf numFmtId="0" fontId="17" fillId="0" borderId="0" xfId="0" applyFont="1" applyBorder="1" applyAlignment="1">
      <alignment wrapText="1"/>
    </xf>
    <xf numFmtId="4" fontId="16" fillId="0" borderId="3" xfId="0" applyNumberFormat="1" applyFont="1" applyBorder="1" applyAlignment="1">
      <alignment horizontal="center"/>
    </xf>
    <xf numFmtId="4" fontId="16" fillId="0" borderId="4" xfId="0" applyNumberFormat="1" applyFont="1" applyBorder="1" applyAlignment="1">
      <alignment horizontal="center"/>
    </xf>
    <xf numFmtId="165" fontId="16" fillId="0" borderId="0" xfId="0" applyNumberFormat="1" applyFont="1" applyBorder="1"/>
    <xf numFmtId="167" fontId="16" fillId="0" borderId="0" xfId="0" applyNumberFormat="1" applyFont="1" applyAlignment="1">
      <alignment horizontal="center"/>
    </xf>
    <xf numFmtId="169" fontId="16" fillId="0" borderId="4" xfId="0" applyNumberFormat="1" applyFont="1" applyBorder="1" applyAlignment="1">
      <alignment horizontal="center"/>
    </xf>
    <xf numFmtId="0" fontId="19" fillId="0" borderId="0" xfId="0" applyFont="1" applyBorder="1"/>
    <xf numFmtId="0" fontId="29" fillId="0" borderId="0" xfId="24" applyFont="1"/>
    <xf numFmtId="0" fontId="16" fillId="0" borderId="0" xfId="24" applyFont="1" applyBorder="1"/>
    <xf numFmtId="0" fontId="23" fillId="0" borderId="0" xfId="24" applyFont="1"/>
    <xf numFmtId="0" fontId="16" fillId="0" borderId="0" xfId="24" applyFont="1" applyAlignment="1">
      <alignment horizontal="center" vertical="center" wrapText="1"/>
    </xf>
    <xf numFmtId="0" fontId="29" fillId="0" borderId="6" xfId="24" applyFont="1" applyBorder="1"/>
    <xf numFmtId="0" fontId="16" fillId="0" borderId="5" xfId="24" applyFont="1" applyBorder="1"/>
    <xf numFmtId="0" fontId="16" fillId="0" borderId="0" xfId="24" applyFont="1"/>
    <xf numFmtId="0" fontId="16" fillId="0" borderId="0" xfId="10" applyFont="1" applyBorder="1"/>
    <xf numFmtId="0" fontId="16" fillId="0" borderId="7" xfId="10" applyFont="1" applyBorder="1" applyAlignment="1">
      <alignment horizontal="center" vertical="top" wrapText="1"/>
    </xf>
    <xf numFmtId="0" fontId="16" fillId="0" borderId="8" xfId="10" applyFont="1" applyBorder="1" applyAlignment="1">
      <alignment horizontal="center" vertical="top" wrapText="1"/>
    </xf>
    <xf numFmtId="0" fontId="16" fillId="0" borderId="0" xfId="10" applyFont="1" applyBorder="1" applyAlignment="1">
      <alignment horizontal="center" vertical="top" wrapText="1"/>
    </xf>
    <xf numFmtId="0" fontId="16" fillId="0" borderId="5" xfId="10" applyFont="1" applyBorder="1" applyAlignment="1">
      <alignment horizontal="center" vertical="top" wrapText="1"/>
    </xf>
    <xf numFmtId="0" fontId="31" fillId="0" borderId="8" xfId="10" applyFont="1" applyBorder="1" applyAlignment="1">
      <alignment horizontal="center" vertical="top" wrapText="1"/>
    </xf>
    <xf numFmtId="0" fontId="31" fillId="0" borderId="7" xfId="10" applyFont="1" applyBorder="1" applyAlignment="1">
      <alignment horizontal="center" vertical="top" wrapText="1"/>
    </xf>
    <xf numFmtId="3" fontId="31" fillId="0" borderId="8" xfId="10" applyNumberFormat="1" applyFont="1" applyBorder="1" applyAlignment="1">
      <alignment horizontal="center" vertical="top" wrapText="1"/>
    </xf>
    <xf numFmtId="0" fontId="31" fillId="0" borderId="0" xfId="10" applyFont="1" applyBorder="1" applyAlignment="1">
      <alignment horizontal="center" vertical="top" wrapText="1"/>
    </xf>
    <xf numFmtId="0" fontId="16" fillId="0" borderId="1" xfId="10" applyFont="1" applyFill="1" applyBorder="1"/>
    <xf numFmtId="3" fontId="16" fillId="0" borderId="0" xfId="2" applyNumberFormat="1" applyFont="1" applyFill="1" applyBorder="1" applyAlignment="1">
      <alignment horizontal="center"/>
    </xf>
    <xf numFmtId="2" fontId="16" fillId="0" borderId="0" xfId="2" applyNumberFormat="1" applyFont="1" applyFill="1" applyBorder="1" applyAlignment="1">
      <alignment horizontal="center"/>
    </xf>
    <xf numFmtId="3" fontId="16" fillId="0" borderId="1" xfId="1" applyNumberFormat="1" applyFont="1" applyBorder="1" applyAlignment="1">
      <alignment horizontal="center"/>
    </xf>
    <xf numFmtId="3" fontId="16" fillId="0" borderId="0" xfId="2" applyNumberFormat="1" applyFont="1" applyBorder="1" applyAlignment="1">
      <alignment horizontal="center"/>
    </xf>
    <xf numFmtId="2" fontId="16" fillId="0" borderId="0" xfId="10" applyNumberFormat="1" applyFont="1" applyBorder="1" applyAlignment="1">
      <alignment horizontal="center"/>
    </xf>
    <xf numFmtId="167" fontId="16" fillId="0" borderId="0" xfId="10" applyNumberFormat="1" applyFont="1" applyBorder="1" applyAlignment="1">
      <alignment horizontal="center"/>
    </xf>
    <xf numFmtId="3" fontId="16" fillId="0" borderId="1" xfId="2" applyNumberFormat="1" applyFont="1" applyBorder="1" applyAlignment="1">
      <alignment horizontal="center"/>
    </xf>
    <xf numFmtId="3" fontId="16" fillId="0" borderId="0" xfId="2" applyNumberFormat="1" applyFont="1" applyFill="1" applyBorder="1" applyAlignment="1" applyProtection="1">
      <alignment horizontal="center"/>
    </xf>
    <xf numFmtId="3" fontId="16" fillId="0" borderId="0" xfId="1" applyNumberFormat="1" applyFont="1" applyBorder="1" applyAlignment="1">
      <alignment horizontal="center"/>
    </xf>
    <xf numFmtId="0" fontId="16" fillId="0" borderId="0" xfId="10" applyFont="1" applyFill="1" applyBorder="1"/>
    <xf numFmtId="0" fontId="16" fillId="0" borderId="5" xfId="10" applyFont="1" applyBorder="1"/>
    <xf numFmtId="171" fontId="16" fillId="0" borderId="5" xfId="2" applyNumberFormat="1" applyFont="1" applyFill="1" applyBorder="1" applyProtection="1"/>
    <xf numFmtId="164" fontId="16" fillId="0" borderId="5" xfId="10" applyNumberFormat="1" applyFont="1" applyBorder="1"/>
    <xf numFmtId="164" fontId="16" fillId="0" borderId="0" xfId="10" applyNumberFormat="1" applyFont="1" applyBorder="1"/>
    <xf numFmtId="171" fontId="16" fillId="0" borderId="5" xfId="2" applyNumberFormat="1" applyFont="1" applyBorder="1"/>
    <xf numFmtId="171" fontId="16" fillId="0" borderId="0" xfId="2" applyNumberFormat="1" applyFont="1" applyFill="1" applyBorder="1" applyProtection="1"/>
    <xf numFmtId="171" fontId="16" fillId="0" borderId="0" xfId="2" applyNumberFormat="1" applyFont="1" applyBorder="1"/>
    <xf numFmtId="2" fontId="16" fillId="0" borderId="3" xfId="10" applyNumberFormat="1" applyFont="1" applyBorder="1" applyAlignment="1">
      <alignment horizontal="center"/>
    </xf>
    <xf numFmtId="2" fontId="16" fillId="0" borderId="0" xfId="10" applyNumberFormat="1" applyFont="1" applyBorder="1"/>
    <xf numFmtId="2" fontId="16" fillId="0" borderId="4" xfId="10" applyNumberFormat="1" applyFont="1" applyBorder="1" applyAlignment="1">
      <alignment horizontal="center"/>
    </xf>
    <xf numFmtId="0" fontId="17" fillId="0" borderId="0" xfId="10" applyFont="1" applyBorder="1"/>
    <xf numFmtId="0" fontId="17" fillId="0" borderId="0" xfId="22" applyFont="1" applyBorder="1"/>
    <xf numFmtId="0" fontId="16" fillId="0" borderId="0" xfId="22" applyFont="1" applyBorder="1"/>
    <xf numFmtId="0" fontId="16" fillId="0" borderId="1" xfId="22" applyFont="1" applyBorder="1"/>
    <xf numFmtId="169" fontId="16" fillId="0" borderId="0" xfId="22" applyNumberFormat="1" applyFont="1" applyAlignment="1">
      <alignment horizontal="center"/>
    </xf>
    <xf numFmtId="2" fontId="16" fillId="0" borderId="0" xfId="22" applyNumberFormat="1" applyFont="1" applyAlignment="1">
      <alignment horizontal="center" vertical="center"/>
    </xf>
    <xf numFmtId="165" fontId="16" fillId="0" borderId="0" xfId="22" applyNumberFormat="1" applyFont="1" applyAlignment="1">
      <alignment horizontal="center" vertical="center"/>
    </xf>
    <xf numFmtId="0" fontId="16" fillId="0" borderId="0" xfId="22" applyFont="1"/>
    <xf numFmtId="0" fontId="29" fillId="0" borderId="0" xfId="16" applyFont="1"/>
    <xf numFmtId="2" fontId="32" fillId="0" borderId="0" xfId="0" applyNumberFormat="1" applyFont="1" applyAlignment="1">
      <alignment horizontal="center" vertical="center"/>
    </xf>
    <xf numFmtId="0" fontId="16" fillId="0" borderId="0" xfId="0" applyFont="1" applyBorder="1" applyAlignment="1">
      <alignment vertical="center"/>
    </xf>
    <xf numFmtId="0" fontId="29" fillId="0" borderId="0" xfId="23" applyFont="1"/>
    <xf numFmtId="0" fontId="29" fillId="0" borderId="0" xfId="14" applyFont="1"/>
    <xf numFmtId="2" fontId="23" fillId="0" borderId="0" xfId="14" applyNumberFormat="1" applyFont="1" applyBorder="1"/>
    <xf numFmtId="0" fontId="31" fillId="0" borderId="0" xfId="14" applyFont="1"/>
    <xf numFmtId="2" fontId="16" fillId="0" borderId="0" xfId="14" applyNumberFormat="1" applyFont="1" applyBorder="1" applyAlignment="1">
      <alignment horizontal="center" vertical="center"/>
    </xf>
    <xf numFmtId="0" fontId="29" fillId="0" borderId="0" xfId="14" applyFont="1" applyAlignment="1">
      <alignment horizontal="center"/>
    </xf>
    <xf numFmtId="0" fontId="23" fillId="0" borderId="0" xfId="14" applyFont="1" applyAlignment="1">
      <alignment horizontal="center" vertical="center" wrapText="1"/>
    </xf>
    <xf numFmtId="0" fontId="17" fillId="0" borderId="0" xfId="23" applyFont="1"/>
    <xf numFmtId="0" fontId="29" fillId="0" borderId="0" xfId="13" applyFont="1"/>
    <xf numFmtId="0" fontId="23" fillId="0" borderId="8" xfId="13" applyFont="1" applyBorder="1" applyAlignment="1">
      <alignment horizontal="center" vertical="center" wrapText="1"/>
    </xf>
    <xf numFmtId="0" fontId="23" fillId="0" borderId="9" xfId="13" applyFont="1" applyBorder="1" applyAlignment="1">
      <alignment horizontal="center" vertical="center" wrapText="1"/>
    </xf>
    <xf numFmtId="0" fontId="23" fillId="0" borderId="0" xfId="13" applyFont="1"/>
    <xf numFmtId="49" fontId="16" fillId="0" borderId="0" xfId="0" applyNumberFormat="1" applyFont="1" applyBorder="1" applyAlignment="1">
      <alignment horizontal="center" vertical="center" wrapText="1"/>
    </xf>
    <xf numFmtId="49" fontId="16" fillId="0" borderId="0" xfId="0" applyNumberFormat="1" applyFont="1" applyBorder="1" applyAlignment="1">
      <alignment horizontal="center" wrapText="1"/>
    </xf>
    <xf numFmtId="49" fontId="16" fillId="0" borderId="0" xfId="0" applyNumberFormat="1" applyFont="1" applyAlignment="1">
      <alignment horizontal="center" wrapText="1"/>
    </xf>
    <xf numFmtId="0" fontId="29" fillId="0" borderId="0" xfId="0" applyFont="1"/>
    <xf numFmtId="0" fontId="31" fillId="0" borderId="0" xfId="0" applyFont="1"/>
    <xf numFmtId="2" fontId="16" fillId="0" borderId="0" xfId="0" applyNumberFormat="1" applyFont="1"/>
    <xf numFmtId="2" fontId="16" fillId="0" borderId="0" xfId="14" applyNumberFormat="1" applyFont="1" applyBorder="1"/>
    <xf numFmtId="2" fontId="16" fillId="0" borderId="0" xfId="0" applyNumberFormat="1" applyFont="1" applyBorder="1"/>
    <xf numFmtId="2" fontId="16" fillId="0" borderId="0" xfId="0" applyNumberFormat="1" applyFont="1" applyBorder="1" applyAlignment="1"/>
    <xf numFmtId="2" fontId="16" fillId="0" borderId="0" xfId="0" applyNumberFormat="1" applyFont="1" applyBorder="1" applyAlignment="1">
      <alignment horizontal="right"/>
    </xf>
    <xf numFmtId="0" fontId="16" fillId="0" borderId="1" xfId="0" applyFont="1" applyBorder="1" applyAlignment="1">
      <alignment horizontal="right"/>
    </xf>
    <xf numFmtId="1" fontId="16" fillId="0" borderId="1" xfId="0" applyNumberFormat="1" applyFont="1" applyBorder="1"/>
    <xf numFmtId="169" fontId="16" fillId="0" borderId="0" xfId="0" applyNumberFormat="1" applyFont="1"/>
    <xf numFmtId="0" fontId="16" fillId="0" borderId="0" xfId="24" applyFont="1" applyAlignment="1">
      <alignment horizontal="right"/>
    </xf>
    <xf numFmtId="165" fontId="16" fillId="0" borderId="0" xfId="22" applyNumberFormat="1" applyFont="1"/>
    <xf numFmtId="0" fontId="16" fillId="0" borderId="0" xfId="0" applyFont="1" applyAlignment="1">
      <alignment horizontal="center" vertical="center" wrapText="1"/>
    </xf>
    <xf numFmtId="49" fontId="16" fillId="0" borderId="5" xfId="0" applyNumberFormat="1" applyFont="1" applyBorder="1" applyAlignment="1">
      <alignment horizontal="center" vertical="center" wrapText="1"/>
    </xf>
    <xf numFmtId="49" fontId="16" fillId="0" borderId="10"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0" fontId="23" fillId="0" borderId="0" xfId="0" applyFont="1"/>
    <xf numFmtId="0" fontId="16" fillId="0" borderId="0" xfId="11" applyFont="1" applyAlignment="1">
      <alignment horizontal="center"/>
    </xf>
    <xf numFmtId="0" fontId="16" fillId="0" borderId="1" xfId="0" applyFont="1" applyBorder="1" applyAlignment="1">
      <alignment horizontal="center"/>
    </xf>
    <xf numFmtId="0" fontId="16" fillId="0" borderId="2" xfId="0" applyFont="1" applyBorder="1" applyAlignment="1">
      <alignment horizontal="center"/>
    </xf>
    <xf numFmtId="0" fontId="16" fillId="0" borderId="5" xfId="0" applyFont="1" applyBorder="1" applyAlignment="1">
      <alignment horizontal="center"/>
    </xf>
    <xf numFmtId="0" fontId="16" fillId="0" borderId="6" xfId="0" applyFont="1" applyBorder="1"/>
    <xf numFmtId="0" fontId="16" fillId="0" borderId="6" xfId="0" applyFont="1" applyBorder="1" applyAlignment="1">
      <alignment horizontal="center"/>
    </xf>
    <xf numFmtId="1" fontId="16" fillId="0" borderId="0" xfId="0" applyNumberFormat="1" applyFont="1" applyBorder="1" applyAlignment="1">
      <alignment horizontal="center"/>
    </xf>
    <xf numFmtId="0" fontId="16" fillId="0" borderId="0" xfId="0" applyFont="1" applyBorder="1" applyAlignment="1">
      <alignment horizontal="right" vertical="center"/>
    </xf>
    <xf numFmtId="0" fontId="23" fillId="0" borderId="0" xfId="0" applyFont="1" applyBorder="1" applyAlignment="1">
      <alignment vertical="center"/>
    </xf>
    <xf numFmtId="0" fontId="19" fillId="0" borderId="0" xfId="24" applyFont="1"/>
    <xf numFmtId="49" fontId="16" fillId="0" borderId="0" xfId="0" applyNumberFormat="1" applyFont="1"/>
    <xf numFmtId="0" fontId="16" fillId="0" borderId="0" xfId="11" applyNumberFormat="1" applyFont="1" applyAlignment="1">
      <alignment horizontal="right"/>
    </xf>
    <xf numFmtId="0" fontId="16" fillId="0" borderId="0" xfId="13" applyFont="1"/>
    <xf numFmtId="0" fontId="16" fillId="0" borderId="0" xfId="13" applyFont="1" applyAlignment="1">
      <alignment horizontal="center" vertical="center" wrapText="1"/>
    </xf>
    <xf numFmtId="0" fontId="16" fillId="0" borderId="4" xfId="13" applyFont="1" applyBorder="1" applyAlignment="1">
      <alignment horizontal="center" vertical="center"/>
    </xf>
    <xf numFmtId="0" fontId="16" fillId="0" borderId="0" xfId="13" applyFont="1" applyBorder="1" applyAlignment="1">
      <alignment horizontal="center" vertical="center"/>
    </xf>
    <xf numFmtId="0" fontId="16" fillId="0" borderId="5" xfId="13" applyFont="1" applyBorder="1"/>
    <xf numFmtId="0" fontId="16" fillId="0" borderId="10" xfId="13" applyFont="1" applyBorder="1" applyAlignment="1">
      <alignment horizontal="center" vertical="center"/>
    </xf>
    <xf numFmtId="0" fontId="16" fillId="0" borderId="5" xfId="13" applyFont="1" applyBorder="1" applyAlignment="1">
      <alignment horizontal="center" vertical="center"/>
    </xf>
    <xf numFmtId="0" fontId="16" fillId="0" borderId="0" xfId="13" applyFont="1" applyAlignment="1"/>
    <xf numFmtId="0" fontId="16" fillId="0" borderId="0" xfId="11" applyFont="1"/>
    <xf numFmtId="0" fontId="16" fillId="0" borderId="0" xfId="11" applyFont="1" applyBorder="1" applyAlignment="1">
      <alignment horizontal="center" vertical="center" wrapText="1"/>
    </xf>
    <xf numFmtId="0" fontId="16" fillId="0" borderId="4" xfId="11" applyFont="1" applyBorder="1" applyAlignment="1">
      <alignment horizontal="center" vertical="center" wrapText="1"/>
    </xf>
    <xf numFmtId="0" fontId="16" fillId="0" borderId="0" xfId="11" applyFont="1" applyAlignment="1">
      <alignment horizontal="center" vertical="center" wrapText="1"/>
    </xf>
    <xf numFmtId="0" fontId="16" fillId="0" borderId="5" xfId="11" applyFont="1" applyBorder="1" applyAlignment="1">
      <alignment horizontal="center" vertical="center" wrapText="1"/>
    </xf>
    <xf numFmtId="0" fontId="16" fillId="0" borderId="10" xfId="11" applyFont="1" applyBorder="1" applyAlignment="1">
      <alignment horizontal="center" vertical="center" wrapText="1"/>
    </xf>
    <xf numFmtId="165" fontId="16" fillId="0" borderId="0" xfId="11" applyNumberFormat="1" applyFont="1" applyAlignment="1">
      <alignment horizontal="center" vertical="center" wrapText="1"/>
    </xf>
    <xf numFmtId="165" fontId="16" fillId="0" borderId="0" xfId="11" applyNumberFormat="1" applyFont="1" applyAlignment="1">
      <alignment horizontal="center"/>
    </xf>
    <xf numFmtId="3" fontId="16" fillId="0" borderId="0" xfId="11" applyNumberFormat="1" applyFont="1" applyBorder="1" applyAlignment="1">
      <alignment horizontal="center" vertical="center"/>
    </xf>
    <xf numFmtId="165" fontId="16" fillId="0" borderId="0" xfId="11" applyNumberFormat="1" applyFont="1" applyBorder="1" applyAlignment="1">
      <alignment horizontal="center" vertical="center" wrapText="1"/>
    </xf>
    <xf numFmtId="2" fontId="16" fillId="0" borderId="0" xfId="11" applyNumberFormat="1" applyFont="1" applyAlignment="1">
      <alignment horizontal="center"/>
    </xf>
    <xf numFmtId="0" fontId="16" fillId="0" borderId="0" xfId="12" applyFont="1"/>
    <xf numFmtId="0" fontId="16" fillId="0" borderId="6" xfId="12" applyFont="1" applyBorder="1"/>
    <xf numFmtId="0" fontId="16" fillId="0" borderId="5" xfId="12" applyFont="1" applyBorder="1" applyAlignment="1">
      <alignment horizontal="center" vertical="center" wrapText="1"/>
    </xf>
    <xf numFmtId="0" fontId="16" fillId="0" borderId="0" xfId="12" applyFont="1" applyAlignment="1">
      <alignment horizontal="center" vertical="center" wrapText="1"/>
    </xf>
    <xf numFmtId="0" fontId="16" fillId="0" borderId="0" xfId="12" applyFont="1" applyBorder="1"/>
    <xf numFmtId="0" fontId="16" fillId="0" borderId="0" xfId="12" applyFont="1" applyBorder="1" applyAlignment="1">
      <alignment horizontal="center"/>
    </xf>
    <xf numFmtId="0" fontId="16" fillId="0" borderId="5" xfId="12" applyFont="1" applyBorder="1"/>
    <xf numFmtId="0" fontId="16" fillId="0" borderId="5" xfId="12" applyFont="1" applyBorder="1" applyAlignment="1">
      <alignment horizontal="center"/>
    </xf>
    <xf numFmtId="0" fontId="16" fillId="0" borderId="0" xfId="14" applyFont="1"/>
    <xf numFmtId="0" fontId="16" fillId="0" borderId="0" xfId="14" applyFont="1" applyAlignment="1">
      <alignment horizontal="center"/>
    </xf>
    <xf numFmtId="2" fontId="16" fillId="0" borderId="0" xfId="14" applyNumberFormat="1" applyFont="1"/>
    <xf numFmtId="2" fontId="16" fillId="0" borderId="0" xfId="14" applyNumberFormat="1" applyFont="1" applyAlignment="1">
      <alignment horizontal="center"/>
    </xf>
    <xf numFmtId="165" fontId="16" fillId="0" borderId="0" xfId="14" applyNumberFormat="1" applyFont="1"/>
    <xf numFmtId="0" fontId="16" fillId="0" borderId="0" xfId="14" applyFont="1" applyBorder="1" applyAlignment="1">
      <alignment horizontal="center" vertical="center" wrapText="1"/>
    </xf>
    <xf numFmtId="2" fontId="16" fillId="0" borderId="8" xfId="14" applyNumberFormat="1" applyFont="1" applyBorder="1" applyAlignment="1">
      <alignment horizontal="center" vertical="center" wrapText="1"/>
    </xf>
    <xf numFmtId="0" fontId="16" fillId="0" borderId="0" xfId="14" applyFont="1" applyAlignment="1">
      <alignment horizontal="center" vertical="center" wrapText="1"/>
    </xf>
    <xf numFmtId="2" fontId="16" fillId="0" borderId="6" xfId="14" applyNumberFormat="1" applyFont="1" applyBorder="1" applyAlignment="1">
      <alignment horizontal="center"/>
    </xf>
    <xf numFmtId="165" fontId="16" fillId="0" borderId="6" xfId="14" applyNumberFormat="1" applyFont="1" applyBorder="1" applyAlignment="1">
      <alignment horizontal="center"/>
    </xf>
    <xf numFmtId="0" fontId="16" fillId="0" borderId="0" xfId="14" applyFont="1" applyBorder="1"/>
    <xf numFmtId="2" fontId="16" fillId="0" borderId="0" xfId="14" applyNumberFormat="1" applyFont="1" applyBorder="1" applyAlignment="1">
      <alignment horizontal="center"/>
    </xf>
    <xf numFmtId="165" fontId="16" fillId="0" borderId="0" xfId="14" applyNumberFormat="1" applyFont="1" applyBorder="1" applyAlignment="1">
      <alignment horizontal="center" vertical="center" wrapText="1"/>
    </xf>
    <xf numFmtId="165" fontId="16" fillId="0" borderId="0" xfId="14" applyNumberFormat="1" applyFont="1" applyBorder="1" applyAlignment="1">
      <alignment horizontal="center"/>
    </xf>
    <xf numFmtId="0" fontId="16" fillId="0" borderId="0" xfId="14" applyFont="1" applyBorder="1" applyAlignment="1">
      <alignment horizontal="center"/>
    </xf>
    <xf numFmtId="2" fontId="16" fillId="0" borderId="0" xfId="14" applyNumberFormat="1" applyFont="1" applyAlignment="1">
      <alignment horizontal="left"/>
    </xf>
    <xf numFmtId="0" fontId="16" fillId="0" borderId="0" xfId="14" applyFont="1" applyAlignment="1">
      <alignment horizontal="left"/>
    </xf>
    <xf numFmtId="0" fontId="16" fillId="0" borderId="10" xfId="14" applyFont="1" applyBorder="1" applyAlignment="1">
      <alignment horizontal="center" vertical="center" wrapText="1"/>
    </xf>
    <xf numFmtId="2" fontId="16" fillId="0" borderId="4" xfId="14" applyNumberFormat="1" applyFont="1" applyBorder="1" applyAlignment="1">
      <alignment horizontal="center"/>
    </xf>
    <xf numFmtId="0" fontId="16" fillId="0" borderId="0" xfId="14" applyFont="1" applyAlignment="1"/>
    <xf numFmtId="0" fontId="16" fillId="0" borderId="2" xfId="22" applyFont="1" applyBorder="1"/>
    <xf numFmtId="49" fontId="16" fillId="0" borderId="0" xfId="22" applyNumberFormat="1" applyFont="1" applyAlignment="1">
      <alignment horizontal="center"/>
    </xf>
    <xf numFmtId="0" fontId="16" fillId="0" borderId="6" xfId="24" applyFont="1" applyBorder="1" applyAlignment="1">
      <alignment horizontal="center" vertical="center"/>
    </xf>
    <xf numFmtId="0" fontId="16" fillId="0" borderId="0" xfId="24" applyFont="1" applyBorder="1" applyAlignment="1">
      <alignment horizontal="center" vertical="center"/>
    </xf>
    <xf numFmtId="0" fontId="16" fillId="0" borderId="5" xfId="24" applyFont="1" applyBorder="1" applyAlignment="1">
      <alignment horizontal="center" vertical="center"/>
    </xf>
    <xf numFmtId="0" fontId="16" fillId="0" borderId="5" xfId="24" applyFont="1" applyBorder="1" applyAlignment="1">
      <alignment horizontal="center"/>
    </xf>
    <xf numFmtId="0" fontId="16" fillId="0" borderId="0" xfId="24" applyFont="1" applyAlignment="1">
      <alignment horizontal="center"/>
    </xf>
    <xf numFmtId="0" fontId="16" fillId="0" borderId="0" xfId="16" applyFont="1"/>
    <xf numFmtId="0" fontId="16" fillId="0" borderId="6" xfId="16" applyFont="1" applyBorder="1"/>
    <xf numFmtId="0" fontId="16" fillId="0" borderId="6" xfId="16" applyFont="1" applyBorder="1" applyAlignment="1">
      <alignment horizontal="center"/>
    </xf>
    <xf numFmtId="0" fontId="16" fillId="0" borderId="5" xfId="16" applyFont="1" applyBorder="1"/>
    <xf numFmtId="0" fontId="16" fillId="0" borderId="5" xfId="16" applyFont="1" applyBorder="1" applyAlignment="1">
      <alignment horizontal="center"/>
    </xf>
    <xf numFmtId="0" fontId="16" fillId="0" borderId="8" xfId="16" applyFont="1" applyBorder="1"/>
    <xf numFmtId="0" fontId="16" fillId="0" borderId="0" xfId="16" applyFont="1" applyBorder="1"/>
    <xf numFmtId="0" fontId="16" fillId="0" borderId="0" xfId="16" applyFont="1" applyBorder="1" applyAlignment="1">
      <alignment horizontal="center"/>
    </xf>
    <xf numFmtId="0" fontId="16" fillId="0" borderId="0" xfId="16" applyFont="1" applyAlignment="1">
      <alignment horizontal="center"/>
    </xf>
    <xf numFmtId="0" fontId="16" fillId="0" borderId="6" xfId="24" applyFont="1" applyBorder="1"/>
    <xf numFmtId="0" fontId="16" fillId="0" borderId="6" xfId="24" applyFont="1" applyBorder="1" applyAlignment="1">
      <alignment horizontal="center"/>
    </xf>
    <xf numFmtId="0" fontId="16" fillId="0" borderId="8" xfId="24" applyFont="1" applyBorder="1"/>
    <xf numFmtId="0" fontId="16" fillId="0" borderId="0" xfId="24" applyFont="1" applyBorder="1" applyAlignment="1">
      <alignment horizontal="center"/>
    </xf>
    <xf numFmtId="0" fontId="16" fillId="0" borderId="10" xfId="24" applyFont="1" applyBorder="1" applyAlignment="1">
      <alignment horizontal="center"/>
    </xf>
    <xf numFmtId="0" fontId="16" fillId="0" borderId="2" xfId="24" applyFont="1" applyBorder="1" applyAlignment="1">
      <alignment horizontal="center"/>
    </xf>
    <xf numFmtId="0" fontId="16" fillId="0" borderId="11" xfId="24" applyFont="1" applyBorder="1"/>
    <xf numFmtId="165" fontId="16" fillId="0" borderId="11" xfId="24" applyNumberFormat="1" applyFont="1" applyBorder="1" applyAlignment="1">
      <alignment horizontal="center"/>
    </xf>
    <xf numFmtId="165" fontId="16" fillId="0" borderId="3" xfId="24" applyNumberFormat="1" applyFont="1" applyBorder="1" applyAlignment="1">
      <alignment horizontal="center"/>
    </xf>
    <xf numFmtId="0" fontId="16" fillId="0" borderId="1" xfId="24" applyFont="1" applyBorder="1"/>
    <xf numFmtId="165" fontId="16" fillId="0" borderId="1" xfId="24" applyNumberFormat="1" applyFont="1" applyBorder="1" applyAlignment="1">
      <alignment horizontal="center"/>
    </xf>
    <xf numFmtId="165" fontId="16" fillId="0" borderId="4" xfId="24" applyNumberFormat="1" applyFont="1" applyBorder="1" applyAlignment="1">
      <alignment horizontal="center"/>
    </xf>
    <xf numFmtId="165" fontId="16" fillId="0" borderId="0" xfId="24" applyNumberFormat="1" applyFont="1" applyBorder="1" applyAlignment="1">
      <alignment horizontal="center"/>
    </xf>
    <xf numFmtId="0" fontId="16" fillId="0" borderId="2" xfId="24" applyFont="1" applyBorder="1"/>
    <xf numFmtId="165" fontId="16" fillId="0" borderId="5" xfId="24" applyNumberFormat="1" applyFont="1" applyBorder="1" applyAlignment="1">
      <alignment horizontal="center"/>
    </xf>
    <xf numFmtId="165" fontId="16" fillId="0" borderId="2" xfId="24" applyNumberFormat="1" applyFont="1" applyBorder="1" applyAlignment="1">
      <alignment horizontal="center"/>
    </xf>
    <xf numFmtId="165" fontId="16" fillId="0" borderId="10" xfId="24" applyNumberFormat="1" applyFont="1" applyBorder="1" applyAlignment="1">
      <alignment horizontal="center"/>
    </xf>
    <xf numFmtId="165" fontId="16" fillId="0" borderId="0" xfId="24" applyNumberFormat="1" applyFont="1"/>
    <xf numFmtId="2" fontId="16" fillId="0" borderId="1" xfId="24" applyNumberFormat="1" applyFont="1" applyBorder="1" applyAlignment="1">
      <alignment horizontal="center"/>
    </xf>
    <xf numFmtId="2" fontId="16" fillId="0" borderId="4" xfId="24" applyNumberFormat="1" applyFont="1" applyBorder="1" applyAlignment="1">
      <alignment horizontal="center"/>
    </xf>
    <xf numFmtId="10" fontId="16" fillId="0" borderId="0" xfId="0" applyNumberFormat="1" applyFont="1"/>
    <xf numFmtId="0" fontId="16" fillId="0" borderId="9" xfId="24" applyFont="1" applyBorder="1" applyAlignment="1">
      <alignment horizontal="center" vertical="center" wrapText="1"/>
    </xf>
    <xf numFmtId="0" fontId="16" fillId="0" borderId="4" xfId="24" applyFont="1" applyBorder="1"/>
    <xf numFmtId="0" fontId="16" fillId="0" borderId="10" xfId="24" applyFont="1" applyBorder="1"/>
    <xf numFmtId="0" fontId="16" fillId="0" borderId="0" xfId="24" applyFont="1" applyAlignment="1"/>
    <xf numFmtId="4" fontId="16" fillId="0" borderId="0" xfId="0" applyNumberFormat="1" applyFont="1"/>
    <xf numFmtId="170" fontId="16" fillId="0" borderId="0" xfId="0" applyNumberFormat="1" applyFont="1"/>
    <xf numFmtId="167" fontId="16" fillId="0" borderId="0" xfId="0" applyNumberFormat="1" applyFont="1" applyBorder="1" applyAlignment="1">
      <alignment horizontal="center"/>
    </xf>
    <xf numFmtId="1" fontId="16" fillId="0" borderId="0" xfId="0" applyNumberFormat="1" applyFont="1" applyAlignment="1">
      <alignment horizontal="center"/>
    </xf>
    <xf numFmtId="2" fontId="16" fillId="0" borderId="0" xfId="0" applyNumberFormat="1" applyFont="1" applyAlignment="1">
      <alignment horizontal="left"/>
    </xf>
    <xf numFmtId="1" fontId="16" fillId="0" borderId="0" xfId="24" applyNumberFormat="1" applyFont="1" applyAlignment="1">
      <alignment horizontal="center"/>
    </xf>
    <xf numFmtId="0" fontId="16" fillId="0" borderId="1" xfId="0" applyFont="1" applyBorder="1" applyAlignment="1"/>
    <xf numFmtId="0" fontId="0" fillId="0" borderId="0" xfId="0" applyAlignment="1">
      <alignment horizontal="center"/>
    </xf>
    <xf numFmtId="0" fontId="16" fillId="0" borderId="10" xfId="0" applyFont="1" applyBorder="1" applyAlignment="1">
      <alignment horizontal="center"/>
    </xf>
    <xf numFmtId="0" fontId="16" fillId="0" borderId="12" xfId="0" applyFont="1" applyBorder="1" applyAlignment="1">
      <alignment horizontal="center"/>
    </xf>
    <xf numFmtId="0" fontId="16" fillId="0" borderId="13" xfId="0" applyFont="1" applyBorder="1" applyAlignment="1">
      <alignment horizontal="center"/>
    </xf>
    <xf numFmtId="3" fontId="16" fillId="0" borderId="12" xfId="0" applyNumberFormat="1" applyFont="1" applyBorder="1" applyAlignment="1">
      <alignment horizontal="center"/>
    </xf>
    <xf numFmtId="2" fontId="16" fillId="0" borderId="5" xfId="0" applyNumberFormat="1" applyFont="1" applyBorder="1" applyAlignment="1">
      <alignment horizontal="center"/>
    </xf>
    <xf numFmtId="0" fontId="16" fillId="0" borderId="4" xfId="0" applyFont="1" applyBorder="1"/>
    <xf numFmtId="0" fontId="16" fillId="0" borderId="3" xfId="0" applyFont="1" applyBorder="1" applyAlignment="1">
      <alignment horizontal="center" vertical="center"/>
    </xf>
    <xf numFmtId="0" fontId="17" fillId="0" borderId="0" xfId="0" applyFont="1" applyBorder="1" applyAlignment="1"/>
    <xf numFmtId="0" fontId="23" fillId="0" borderId="5" xfId="19" applyFont="1" applyBorder="1" applyAlignment="1">
      <alignment horizontal="center" vertical="center"/>
    </xf>
    <xf numFmtId="165" fontId="0" fillId="0" borderId="0" xfId="0" applyNumberFormat="1" applyAlignment="1">
      <alignment horizontal="center"/>
    </xf>
    <xf numFmtId="165" fontId="16" fillId="0" borderId="4" xfId="0" applyNumberFormat="1" applyFont="1" applyBorder="1" applyAlignment="1">
      <alignment horizontal="center" vertical="center"/>
    </xf>
    <xf numFmtId="49" fontId="23" fillId="0" borderId="0" xfId="0" applyNumberFormat="1" applyFont="1"/>
    <xf numFmtId="2" fontId="23" fillId="0" borderId="0" xfId="0" applyNumberFormat="1" applyFont="1"/>
    <xf numFmtId="165" fontId="16" fillId="0" borderId="5" xfId="0" applyNumberFormat="1" applyFont="1" applyBorder="1" applyAlignment="1">
      <alignment horizontal="center"/>
    </xf>
    <xf numFmtId="0" fontId="16" fillId="0" borderId="0" xfId="0" applyFont="1" applyBorder="1" applyAlignment="1">
      <alignment horizontal="left" vertical="center"/>
    </xf>
    <xf numFmtId="0" fontId="16" fillId="0" borderId="0" xfId="10" applyFont="1" applyBorder="1" applyAlignment="1">
      <alignment horizontal="right"/>
    </xf>
    <xf numFmtId="165" fontId="16" fillId="0" borderId="0" xfId="10" applyNumberFormat="1" applyFont="1" applyBorder="1" applyAlignment="1">
      <alignment horizontal="center"/>
    </xf>
    <xf numFmtId="2" fontId="16" fillId="0" borderId="0" xfId="0" applyNumberFormat="1" applyFont="1" applyAlignment="1">
      <alignment horizontal="centerContinuous"/>
    </xf>
    <xf numFmtId="0" fontId="16" fillId="0" borderId="0" xfId="22" applyFont="1" applyAlignment="1">
      <alignment horizontal="centerContinuous"/>
    </xf>
    <xf numFmtId="0" fontId="16" fillId="0" borderId="0" xfId="19" applyFont="1"/>
    <xf numFmtId="0" fontId="16" fillId="0" borderId="0" xfId="19" applyFont="1" applyBorder="1"/>
    <xf numFmtId="0" fontId="16" fillId="0" borderId="0" xfId="19" applyFont="1" applyBorder="1" applyAlignment="1"/>
    <xf numFmtId="2" fontId="16" fillId="0" borderId="5" xfId="19" applyNumberFormat="1" applyFont="1" applyBorder="1" applyAlignment="1">
      <alignment horizontal="center"/>
    </xf>
    <xf numFmtId="2" fontId="16" fillId="0" borderId="0" xfId="19" applyNumberFormat="1" applyFont="1" applyBorder="1" applyAlignment="1">
      <alignment horizontal="right"/>
    </xf>
    <xf numFmtId="0" fontId="16" fillId="0" borderId="0" xfId="14" applyNumberFormat="1" applyFont="1" applyAlignment="1">
      <alignment horizontal="center" vertical="center"/>
    </xf>
    <xf numFmtId="2" fontId="16" fillId="0" borderId="0" xfId="19" applyNumberFormat="1" applyFont="1" applyBorder="1" applyAlignment="1">
      <alignment horizontal="center"/>
    </xf>
    <xf numFmtId="3" fontId="16" fillId="0" borderId="12" xfId="14" applyNumberFormat="1" applyFont="1" applyBorder="1" applyAlignment="1">
      <alignment horizontal="center" vertical="center"/>
    </xf>
    <xf numFmtId="3" fontId="16" fillId="0" borderId="0" xfId="14" applyNumberFormat="1" applyFont="1" applyAlignment="1">
      <alignment horizontal="center" vertical="center"/>
    </xf>
    <xf numFmtId="0" fontId="19" fillId="0" borderId="0" xfId="19" applyFont="1"/>
    <xf numFmtId="169" fontId="16" fillId="0" borderId="12" xfId="14" applyNumberFormat="1" applyFont="1" applyBorder="1" applyAlignment="1">
      <alignment horizontal="center" vertical="center"/>
    </xf>
    <xf numFmtId="169" fontId="16" fillId="0" borderId="0" xfId="14" applyNumberFormat="1" applyFont="1" applyAlignment="1">
      <alignment horizontal="center" vertical="center"/>
    </xf>
    <xf numFmtId="0" fontId="23" fillId="0" borderId="10" xfId="20" applyFont="1" applyBorder="1" applyAlignment="1">
      <alignment horizontal="center" vertical="center" wrapText="1"/>
    </xf>
    <xf numFmtId="0" fontId="23" fillId="0" borderId="5" xfId="20" applyFont="1" applyBorder="1" applyAlignment="1">
      <alignment horizontal="center" vertical="center" wrapText="1"/>
    </xf>
    <xf numFmtId="0" fontId="16" fillId="0" borderId="4" xfId="20" applyFont="1" applyBorder="1" applyAlignment="1">
      <alignment horizontal="center" vertical="center" wrapText="1"/>
    </xf>
    <xf numFmtId="0" fontId="16" fillId="0" borderId="0" xfId="20" applyFont="1" applyBorder="1" applyAlignment="1">
      <alignment horizontal="center" vertical="center" wrapText="1"/>
    </xf>
    <xf numFmtId="0" fontId="23" fillId="0" borderId="0" xfId="20" applyFont="1" applyBorder="1" applyAlignment="1">
      <alignment horizontal="center" vertical="center" wrapText="1"/>
    </xf>
    <xf numFmtId="2" fontId="16" fillId="0" borderId="0" xfId="20" applyNumberFormat="1" applyFont="1" applyBorder="1" applyAlignment="1">
      <alignment horizontal="center"/>
    </xf>
    <xf numFmtId="0" fontId="16" fillId="0" borderId="0" xfId="11" applyNumberFormat="1" applyFont="1" applyAlignment="1">
      <alignment horizontal="left"/>
    </xf>
    <xf numFmtId="0" fontId="16" fillId="0" borderId="0" xfId="20" applyFont="1"/>
    <xf numFmtId="165" fontId="16" fillId="0" borderId="0" xfId="20" applyNumberFormat="1" applyFont="1" applyAlignment="1">
      <alignment horizontal="center"/>
    </xf>
    <xf numFmtId="165" fontId="16" fillId="0" borderId="4" xfId="20" applyNumberFormat="1" applyFont="1" applyBorder="1" applyAlignment="1">
      <alignment horizontal="center"/>
    </xf>
    <xf numFmtId="3" fontId="16" fillId="0" borderId="4" xfId="20" applyNumberFormat="1" applyFont="1" applyBorder="1" applyAlignment="1">
      <alignment horizontal="center"/>
    </xf>
    <xf numFmtId="0" fontId="16" fillId="0" borderId="10" xfId="20" applyFont="1" applyBorder="1" applyAlignment="1">
      <alignment horizontal="center" vertical="center" wrapText="1"/>
    </xf>
    <xf numFmtId="0" fontId="16" fillId="0" borderId="5" xfId="20" applyFont="1" applyBorder="1" applyAlignment="1">
      <alignment horizontal="center" vertical="center" wrapText="1"/>
    </xf>
    <xf numFmtId="0" fontId="23" fillId="0" borderId="0" xfId="20" applyFont="1"/>
    <xf numFmtId="3" fontId="16" fillId="0" borderId="0" xfId="14" applyNumberFormat="1" applyFont="1" applyBorder="1" applyAlignment="1">
      <alignment horizontal="center" vertical="center"/>
    </xf>
    <xf numFmtId="1" fontId="16" fillId="0" borderId="0" xfId="19" applyNumberFormat="1" applyFont="1" applyAlignment="1">
      <alignment horizontal="center"/>
    </xf>
    <xf numFmtId="0" fontId="16" fillId="0" borderId="1" xfId="14" applyFont="1" applyBorder="1"/>
    <xf numFmtId="1" fontId="16" fillId="0" borderId="0" xfId="14" applyNumberFormat="1" applyFont="1"/>
    <xf numFmtId="2" fontId="16" fillId="0" borderId="9" xfId="14" applyNumberFormat="1" applyFont="1" applyBorder="1" applyAlignment="1">
      <alignment horizontal="center" vertical="center" wrapText="1"/>
    </xf>
    <xf numFmtId="2" fontId="16" fillId="0" borderId="3" xfId="14" applyNumberFormat="1" applyFont="1" applyBorder="1" applyAlignment="1">
      <alignment horizontal="center"/>
    </xf>
    <xf numFmtId="0" fontId="16" fillId="0" borderId="11" xfId="14" applyFont="1" applyBorder="1" applyAlignment="1">
      <alignment horizontal="center" vertical="center" wrapText="1"/>
    </xf>
    <xf numFmtId="0" fontId="16" fillId="0" borderId="1" xfId="14" applyFont="1" applyBorder="1" applyAlignment="1">
      <alignment horizontal="center" vertical="center" wrapText="1"/>
    </xf>
    <xf numFmtId="0" fontId="16" fillId="0" borderId="2" xfId="14" applyFont="1" applyBorder="1" applyAlignment="1">
      <alignment horizontal="center" vertical="center" wrapText="1"/>
    </xf>
    <xf numFmtId="2" fontId="16" fillId="0" borderId="0" xfId="14" applyNumberFormat="1" applyFont="1" applyBorder="1" applyAlignment="1">
      <alignment horizontal="center" vertical="center" wrapText="1"/>
    </xf>
    <xf numFmtId="2" fontId="16" fillId="0" borderId="7" xfId="14" applyNumberFormat="1" applyFont="1" applyBorder="1" applyAlignment="1">
      <alignment horizontal="center" vertical="center" wrapText="1"/>
    </xf>
    <xf numFmtId="165" fontId="16" fillId="0" borderId="11" xfId="14" applyNumberFormat="1" applyFont="1" applyBorder="1" applyAlignment="1">
      <alignment horizontal="center"/>
    </xf>
    <xf numFmtId="165" fontId="16" fillId="0" borderId="1" xfId="14" applyNumberFormat="1" applyFont="1" applyBorder="1" applyAlignment="1">
      <alignment horizontal="center"/>
    </xf>
    <xf numFmtId="0" fontId="16" fillId="0" borderId="1" xfId="14" applyFont="1" applyBorder="1" applyAlignment="1">
      <alignment horizontal="center"/>
    </xf>
    <xf numFmtId="2" fontId="16" fillId="0" borderId="0" xfId="14" applyNumberFormat="1" applyFont="1" applyBorder="1" applyAlignment="1">
      <alignment horizontal="left"/>
    </xf>
    <xf numFmtId="0" fontId="16" fillId="0" borderId="1" xfId="11" applyFont="1" applyBorder="1" applyAlignment="1">
      <alignment horizontal="center"/>
    </xf>
    <xf numFmtId="0" fontId="23" fillId="0" borderId="0" xfId="11" applyFont="1" applyAlignment="1">
      <alignment horizontal="centerContinuous"/>
    </xf>
    <xf numFmtId="0" fontId="23" fillId="0" borderId="0" xfId="11" applyFont="1" applyAlignment="1"/>
    <xf numFmtId="3" fontId="16" fillId="0" borderId="0" xfId="0" applyNumberFormat="1" applyFont="1"/>
    <xf numFmtId="0" fontId="0" fillId="0" borderId="0" xfId="0" applyAlignment="1"/>
    <xf numFmtId="0" fontId="17" fillId="0" borderId="0" xfId="14" applyFont="1" applyAlignment="1"/>
    <xf numFmtId="0" fontId="16" fillId="0" borderId="14" xfId="14" applyNumberFormat="1" applyFont="1" applyBorder="1" applyAlignment="1">
      <alignment horizontal="center" vertical="center"/>
    </xf>
    <xf numFmtId="0" fontId="39" fillId="0" borderId="0" xfId="5" applyFont="1" applyAlignment="1" applyProtection="1"/>
    <xf numFmtId="169" fontId="16" fillId="0" borderId="0" xfId="21" applyNumberFormat="1" applyFont="1" applyAlignment="1">
      <alignment horizontal="center"/>
    </xf>
    <xf numFmtId="0" fontId="16" fillId="0" borderId="0" xfId="11" applyFont="1" applyAlignment="1">
      <alignment horizontal="left" vertical="center"/>
    </xf>
    <xf numFmtId="3" fontId="16" fillId="0" borderId="15" xfId="14" applyNumberFormat="1" applyFont="1" applyBorder="1" applyAlignment="1">
      <alignment horizontal="center" vertical="center"/>
    </xf>
    <xf numFmtId="0" fontId="16" fillId="0" borderId="16" xfId="14" applyNumberFormat="1" applyFont="1" applyBorder="1" applyAlignment="1">
      <alignment horizontal="center" vertical="center"/>
    </xf>
    <xf numFmtId="0" fontId="16" fillId="0" borderId="0" xfId="18" applyFont="1"/>
    <xf numFmtId="0" fontId="17" fillId="0" borderId="0" xfId="18" applyFont="1"/>
    <xf numFmtId="0" fontId="20" fillId="0" borderId="0" xfId="18" applyFont="1"/>
    <xf numFmtId="0" fontId="16" fillId="0" borderId="0" xfId="18" applyFont="1" applyAlignment="1">
      <alignment horizontal="center" wrapText="1"/>
    </xf>
    <xf numFmtId="167" fontId="16" fillId="0" borderId="0" xfId="18" applyNumberFormat="1" applyFont="1" applyAlignment="1">
      <alignment horizontal="center"/>
    </xf>
    <xf numFmtId="2" fontId="16" fillId="0" borderId="0" xfId="18" applyNumberFormat="1" applyFont="1" applyAlignment="1">
      <alignment horizontal="center"/>
    </xf>
    <xf numFmtId="0" fontId="16" fillId="0" borderId="0" xfId="18" applyFont="1" applyAlignment="1">
      <alignment horizontal="center"/>
    </xf>
    <xf numFmtId="165" fontId="16" fillId="0" borderId="0" xfId="18" applyNumberFormat="1" applyFont="1"/>
    <xf numFmtId="167" fontId="16" fillId="0" borderId="0" xfId="18" applyNumberFormat="1" applyFont="1"/>
    <xf numFmtId="0" fontId="41" fillId="0" borderId="0" xfId="17" applyFont="1" applyAlignment="1">
      <alignment horizontal="left"/>
    </xf>
    <xf numFmtId="0" fontId="41" fillId="0" borderId="0" xfId="17" applyFont="1" applyBorder="1"/>
    <xf numFmtId="0" fontId="29" fillId="0" borderId="0" xfId="15" applyFont="1"/>
    <xf numFmtId="0" fontId="23" fillId="0" borderId="7" xfId="15" applyFont="1" applyBorder="1" applyAlignment="1">
      <alignment horizontal="center" vertical="center" wrapText="1"/>
    </xf>
    <xf numFmtId="0" fontId="17" fillId="0" borderId="0" xfId="15" applyFont="1"/>
    <xf numFmtId="0" fontId="16" fillId="0" borderId="0" xfId="15" applyFont="1" applyBorder="1" applyAlignment="1">
      <alignment horizontal="left" vertical="center" wrapText="1"/>
    </xf>
    <xf numFmtId="0" fontId="16" fillId="0" borderId="0" xfId="15" applyFont="1" applyBorder="1" applyAlignment="1">
      <alignment horizontal="left" vertical="center" wrapText="1" indent="1"/>
    </xf>
    <xf numFmtId="0" fontId="16" fillId="0" borderId="0" xfId="15" applyFont="1" applyBorder="1" applyAlignment="1">
      <alignment horizontal="left" vertical="center" wrapText="1" indent="3"/>
    </xf>
    <xf numFmtId="0" fontId="16" fillId="0" borderId="0" xfId="15" applyFont="1" applyBorder="1" applyAlignment="1">
      <alignment horizontal="left" vertical="center" wrapText="1" indent="2"/>
    </xf>
    <xf numFmtId="0" fontId="37" fillId="0" borderId="0" xfId="9" applyFont="1"/>
    <xf numFmtId="0" fontId="37" fillId="0" borderId="0" xfId="0" applyFont="1"/>
    <xf numFmtId="2" fontId="16" fillId="0" borderId="0" xfId="0" applyNumberFormat="1" applyFont="1" applyFill="1" applyBorder="1" applyAlignment="1">
      <alignment horizontal="center"/>
    </xf>
    <xf numFmtId="1" fontId="16" fillId="0" borderId="12" xfId="0" applyNumberFormat="1" applyFont="1" applyBorder="1" applyAlignment="1">
      <alignment horizontal="center"/>
    </xf>
    <xf numFmtId="165" fontId="16" fillId="0" borderId="12" xfId="0" applyNumberFormat="1" applyFont="1" applyBorder="1" applyAlignment="1">
      <alignment horizontal="center"/>
    </xf>
    <xf numFmtId="0" fontId="16" fillId="0" borderId="0" xfId="10" applyFont="1" applyBorder="1" applyAlignment="1">
      <alignment horizontal="center"/>
    </xf>
    <xf numFmtId="1" fontId="16" fillId="0" borderId="0" xfId="10" applyNumberFormat="1" applyFont="1" applyBorder="1" applyAlignment="1">
      <alignment horizontal="center" vertical="top" wrapText="1"/>
    </xf>
    <xf numFmtId="165" fontId="16" fillId="0" borderId="0" xfId="10" applyNumberFormat="1" applyFont="1" applyBorder="1"/>
    <xf numFmtId="0" fontId="16" fillId="0" borderId="1" xfId="11" applyFont="1" applyBorder="1" applyAlignment="1">
      <alignment horizontal="center" vertical="justify" wrapText="1"/>
    </xf>
    <xf numFmtId="0" fontId="16" fillId="0" borderId="2" xfId="11" applyFont="1" applyBorder="1" applyAlignment="1">
      <alignment horizontal="center" vertical="center" wrapText="1"/>
    </xf>
    <xf numFmtId="0" fontId="16" fillId="0" borderId="11" xfId="11" applyFont="1" applyBorder="1" applyAlignment="1">
      <alignment horizontal="center" vertical="justify" wrapText="1"/>
    </xf>
    <xf numFmtId="0" fontId="16" fillId="0" borderId="11" xfId="0" applyFont="1" applyBorder="1" applyAlignment="1">
      <alignment horizontal="center"/>
    </xf>
    <xf numFmtId="0" fontId="17" fillId="0" borderId="0" xfId="20" applyFont="1"/>
    <xf numFmtId="0" fontId="16" fillId="0" borderId="0" xfId="20" applyFont="1" applyAlignment="1">
      <alignment horizontal="left"/>
    </xf>
    <xf numFmtId="0" fontId="16" fillId="0" borderId="5" xfId="20" applyFont="1" applyBorder="1"/>
    <xf numFmtId="0" fontId="16" fillId="0" borderId="0" xfId="20" applyFont="1" applyBorder="1"/>
    <xf numFmtId="0" fontId="16" fillId="0" borderId="1" xfId="20" applyFont="1" applyBorder="1"/>
    <xf numFmtId="3" fontId="16" fillId="0" borderId="0" xfId="20" applyNumberFormat="1" applyFont="1" applyBorder="1" applyAlignment="1">
      <alignment horizontal="center"/>
    </xf>
    <xf numFmtId="3" fontId="16" fillId="0" borderId="0" xfId="20" applyNumberFormat="1" applyFont="1" applyAlignment="1">
      <alignment horizontal="center"/>
    </xf>
    <xf numFmtId="3" fontId="16" fillId="0" borderId="25" xfId="0" applyNumberFormat="1" applyFont="1" applyBorder="1" applyAlignment="1">
      <alignment horizontal="center"/>
    </xf>
    <xf numFmtId="3" fontId="16" fillId="0" borderId="26" xfId="0" applyNumberFormat="1" applyFont="1" applyBorder="1" applyAlignment="1">
      <alignment horizontal="center"/>
    </xf>
    <xf numFmtId="165" fontId="16" fillId="0" borderId="0" xfId="0" applyNumberFormat="1" applyFont="1" applyBorder="1" applyAlignment="1"/>
    <xf numFmtId="3" fontId="16" fillId="0" borderId="24" xfId="0" applyNumberFormat="1" applyFont="1" applyBorder="1" applyAlignment="1">
      <alignment horizontal="center"/>
    </xf>
    <xf numFmtId="165" fontId="44" fillId="0" borderId="0" xfId="0" applyNumberFormat="1" applyFont="1"/>
    <xf numFmtId="0" fontId="16" fillId="0" borderId="0" xfId="0" applyFont="1" applyFill="1"/>
    <xf numFmtId="1" fontId="16" fillId="0" borderId="1" xfId="24" applyNumberFormat="1" applyFont="1" applyBorder="1" applyAlignment="1">
      <alignment horizontal="center" vertical="center"/>
    </xf>
    <xf numFmtId="1" fontId="16" fillId="0" borderId="2" xfId="24" applyNumberFormat="1" applyFont="1" applyBorder="1" applyAlignment="1">
      <alignment horizontal="center" vertical="center"/>
    </xf>
    <xf numFmtId="3" fontId="16" fillId="0" borderId="11" xfId="0" applyNumberFormat="1" applyFont="1" applyBorder="1" applyAlignment="1">
      <alignment horizontal="center"/>
    </xf>
    <xf numFmtId="3" fontId="16" fillId="0" borderId="1" xfId="0" applyNumberFormat="1" applyFont="1" applyBorder="1" applyAlignment="1">
      <alignment horizontal="center"/>
    </xf>
    <xf numFmtId="3" fontId="16" fillId="0" borderId="10" xfId="0" applyNumberFormat="1" applyFont="1" applyBorder="1" applyAlignment="1">
      <alignment horizontal="center"/>
    </xf>
    <xf numFmtId="3" fontId="16" fillId="0" borderId="2" xfId="0" applyNumberFormat="1" applyFont="1" applyBorder="1" applyAlignment="1">
      <alignment horizontal="center"/>
    </xf>
    <xf numFmtId="3" fontId="16" fillId="0" borderId="4" xfId="24" applyNumberFormat="1" applyFont="1" applyBorder="1" applyAlignment="1">
      <alignment horizontal="center" vertical="center"/>
    </xf>
    <xf numFmtId="3" fontId="16" fillId="0" borderId="10" xfId="24" applyNumberFormat="1" applyFont="1" applyBorder="1" applyAlignment="1">
      <alignment horizontal="center" vertical="center"/>
    </xf>
    <xf numFmtId="3" fontId="16" fillId="0" borderId="0" xfId="11" applyNumberFormat="1" applyFont="1" applyFill="1" applyBorder="1" applyAlignment="1">
      <alignment horizontal="center" vertical="center"/>
    </xf>
    <xf numFmtId="167" fontId="16" fillId="0" borderId="0" xfId="0" applyNumberFormat="1" applyFont="1"/>
    <xf numFmtId="3" fontId="16" fillId="0" borderId="0" xfId="24" applyNumberFormat="1" applyFont="1"/>
    <xf numFmtId="165" fontId="16" fillId="0" borderId="0" xfId="11" applyNumberFormat="1" applyFont="1"/>
    <xf numFmtId="165" fontId="20" fillId="0" borderId="0" xfId="18" applyNumberFormat="1" applyFont="1"/>
    <xf numFmtId="169" fontId="16" fillId="0" borderId="0" xfId="0" applyNumberFormat="1" applyFont="1" applyBorder="1" applyAlignment="1">
      <alignment horizontal="center"/>
    </xf>
    <xf numFmtId="0" fontId="16" fillId="0" borderId="0" xfId="0" applyFont="1" applyFill="1" applyBorder="1" applyAlignment="1">
      <alignment horizontal="left"/>
    </xf>
    <xf numFmtId="0" fontId="16" fillId="0" borderId="2" xfId="0" applyFont="1" applyBorder="1" applyAlignment="1">
      <alignment horizontal="center" wrapText="1"/>
    </xf>
    <xf numFmtId="172" fontId="16" fillId="0" borderId="4" xfId="0" applyNumberFormat="1" applyFont="1" applyBorder="1" applyAlignment="1">
      <alignment horizontal="center"/>
    </xf>
    <xf numFmtId="172" fontId="16" fillId="0" borderId="0" xfId="0" applyNumberFormat="1" applyFont="1" applyBorder="1" applyAlignment="1">
      <alignment horizontal="center"/>
    </xf>
    <xf numFmtId="4" fontId="16" fillId="0" borderId="0" xfId="20" applyNumberFormat="1" applyFont="1" applyAlignment="1">
      <alignment horizontal="center"/>
    </xf>
    <xf numFmtId="165" fontId="16" fillId="0" borderId="1" xfId="0" applyNumberFormat="1" applyFont="1" applyBorder="1" applyAlignment="1">
      <alignment horizontal="center"/>
    </xf>
    <xf numFmtId="172" fontId="16" fillId="0" borderId="0" xfId="0" applyNumberFormat="1" applyFont="1" applyAlignment="1">
      <alignment horizontal="center"/>
    </xf>
    <xf numFmtId="173" fontId="16" fillId="0" borderId="0" xfId="0" applyNumberFormat="1" applyFont="1"/>
    <xf numFmtId="4" fontId="16" fillId="0" borderId="1" xfId="0" applyNumberFormat="1" applyFont="1" applyBorder="1" applyAlignment="1">
      <alignment horizontal="center"/>
    </xf>
    <xf numFmtId="1" fontId="16" fillId="0" borderId="8" xfId="0" applyNumberFormat="1" applyFont="1" applyBorder="1" applyAlignment="1">
      <alignment horizontal="center" wrapText="1"/>
    </xf>
    <xf numFmtId="2" fontId="16" fillId="0" borderId="6" xfId="0" applyNumberFormat="1" applyFont="1" applyBorder="1" applyAlignment="1">
      <alignment horizontal="center"/>
    </xf>
    <xf numFmtId="2" fontId="16" fillId="0" borderId="1" xfId="0" applyNumberFormat="1" applyFont="1" applyBorder="1" applyAlignment="1">
      <alignment horizontal="center"/>
    </xf>
    <xf numFmtId="0" fontId="16" fillId="0" borderId="9" xfId="0" applyFont="1" applyBorder="1"/>
    <xf numFmtId="2" fontId="44" fillId="0" borderId="0" xfId="0" applyNumberFormat="1" applyFont="1"/>
    <xf numFmtId="0" fontId="44" fillId="0" borderId="0" xfId="0" applyFont="1"/>
    <xf numFmtId="2" fontId="44" fillId="0" borderId="0" xfId="0" applyNumberFormat="1" applyFont="1" applyAlignment="1">
      <alignment horizontal="center"/>
    </xf>
    <xf numFmtId="0" fontId="16" fillId="0" borderId="3" xfId="0" applyFont="1" applyBorder="1"/>
    <xf numFmtId="0" fontId="16" fillId="0" borderId="10" xfId="0" applyFont="1" applyBorder="1"/>
    <xf numFmtId="0" fontId="16" fillId="0" borderId="0" xfId="0" applyFont="1" applyBorder="1" applyAlignment="1">
      <alignment horizontal="right" vertical="top" wrapText="1"/>
    </xf>
    <xf numFmtId="0" fontId="23" fillId="0" borderId="0" xfId="0" applyFont="1" applyBorder="1" applyAlignment="1">
      <alignment horizontal="right" vertical="top" wrapText="1"/>
    </xf>
    <xf numFmtId="166" fontId="16" fillId="0" borderId="0" xfId="0" applyNumberFormat="1" applyFont="1" applyAlignment="1">
      <alignment horizontal="center"/>
    </xf>
    <xf numFmtId="0" fontId="41" fillId="0" borderId="4" xfId="0" applyFont="1" applyBorder="1" applyAlignment="1">
      <alignment horizontal="center"/>
    </xf>
    <xf numFmtId="0" fontId="41" fillId="0" borderId="0" xfId="0" applyFont="1" applyBorder="1" applyAlignment="1">
      <alignment horizontal="center"/>
    </xf>
    <xf numFmtId="0" fontId="41" fillId="0" borderId="1" xfId="0" applyFont="1" applyBorder="1" applyAlignment="1">
      <alignment horizontal="center"/>
    </xf>
    <xf numFmtId="0" fontId="41" fillId="0" borderId="9" xfId="0" applyFont="1" applyBorder="1" applyAlignment="1">
      <alignment horizontal="left"/>
    </xf>
    <xf numFmtId="1" fontId="41" fillId="0" borderId="9" xfId="0" applyNumberFormat="1" applyFont="1" applyBorder="1" applyAlignment="1">
      <alignment horizontal="center" wrapText="1"/>
    </xf>
    <xf numFmtId="1" fontId="41" fillId="0" borderId="8" xfId="0" applyNumberFormat="1" applyFont="1" applyBorder="1" applyAlignment="1">
      <alignment horizontal="center" wrapText="1"/>
    </xf>
    <xf numFmtId="1" fontId="41" fillId="0" borderId="7" xfId="0" applyNumberFormat="1" applyFont="1" applyBorder="1" applyAlignment="1">
      <alignment horizontal="center" wrapText="1"/>
    </xf>
    <xf numFmtId="2" fontId="41" fillId="0" borderId="4" xfId="0" applyNumberFormat="1" applyFont="1" applyBorder="1" applyAlignment="1">
      <alignment horizontal="center"/>
    </xf>
    <xf numFmtId="165" fontId="41" fillId="0" borderId="0" xfId="0" applyNumberFormat="1" applyFont="1" applyBorder="1" applyAlignment="1">
      <alignment horizontal="center"/>
    </xf>
    <xf numFmtId="165" fontId="41" fillId="0" borderId="0" xfId="0" applyNumberFormat="1" applyFont="1" applyAlignment="1">
      <alignment horizontal="center"/>
    </xf>
    <xf numFmtId="165" fontId="46" fillId="0" borderId="0" xfId="0" applyNumberFormat="1" applyFont="1" applyAlignment="1">
      <alignment horizontal="center"/>
    </xf>
    <xf numFmtId="165" fontId="46" fillId="0" borderId="0" xfId="0" applyNumberFormat="1" applyFont="1" applyBorder="1" applyAlignment="1">
      <alignment horizontal="center"/>
    </xf>
    <xf numFmtId="165" fontId="41" fillId="0" borderId="5" xfId="0" applyNumberFormat="1" applyFont="1" applyBorder="1" applyAlignment="1">
      <alignment horizontal="center"/>
    </xf>
    <xf numFmtId="165" fontId="46" fillId="0" borderId="5" xfId="0" applyNumberFormat="1" applyFont="1" applyBorder="1" applyAlignment="1">
      <alignment horizontal="center"/>
    </xf>
    <xf numFmtId="0" fontId="41" fillId="0" borderId="5" xfId="0" applyFont="1" applyBorder="1" applyAlignment="1">
      <alignment horizontal="center"/>
    </xf>
    <xf numFmtId="0" fontId="41" fillId="0" borderId="2" xfId="0" applyFont="1" applyBorder="1" applyAlignment="1">
      <alignment horizontal="center"/>
    </xf>
    <xf numFmtId="2" fontId="41" fillId="0" borderId="6" xfId="0" applyNumberFormat="1" applyFont="1" applyBorder="1" applyAlignment="1">
      <alignment horizontal="center"/>
    </xf>
    <xf numFmtId="2" fontId="41" fillId="0" borderId="11" xfId="0" applyNumberFormat="1" applyFont="1" applyBorder="1" applyAlignment="1">
      <alignment horizontal="center"/>
    </xf>
    <xf numFmtId="2" fontId="41" fillId="0" borderId="0" xfId="0" applyNumberFormat="1" applyFont="1" applyBorder="1" applyAlignment="1">
      <alignment horizontal="center"/>
    </xf>
    <xf numFmtId="2" fontId="41" fillId="0" borderId="1" xfId="0" applyNumberFormat="1" applyFont="1" applyBorder="1" applyAlignment="1">
      <alignment horizontal="center"/>
    </xf>
    <xf numFmtId="0" fontId="41" fillId="0" borderId="10" xfId="0" applyFont="1" applyBorder="1" applyAlignment="1">
      <alignment horizontal="left"/>
    </xf>
    <xf numFmtId="0" fontId="17" fillId="0" borderId="0" xfId="0" applyFont="1" applyFill="1" applyBorder="1" applyAlignment="1">
      <alignment wrapText="1"/>
    </xf>
    <xf numFmtId="0" fontId="0" fillId="0" borderId="0" xfId="0" applyFill="1" applyAlignment="1"/>
    <xf numFmtId="0" fontId="17" fillId="0" borderId="0" xfId="14" applyFont="1" applyFill="1" applyAlignment="1"/>
    <xf numFmtId="0" fontId="17" fillId="0" borderId="0" xfId="0" applyFont="1" applyFill="1" applyBorder="1" applyAlignment="1"/>
    <xf numFmtId="3" fontId="48" fillId="0" borderId="0" xfId="26" applyNumberFormat="1" applyFont="1" applyAlignment="1">
      <alignment horizontal="center"/>
    </xf>
    <xf numFmtId="3" fontId="49" fillId="0" borderId="0" xfId="30" applyNumberFormat="1" applyFont="1" applyAlignment="1">
      <alignment horizontal="center"/>
    </xf>
    <xf numFmtId="0" fontId="49" fillId="0" borderId="0" xfId="71" applyFont="1"/>
    <xf numFmtId="3" fontId="49" fillId="0" borderId="0" xfId="78" applyNumberFormat="1" applyFont="1" applyAlignment="1">
      <alignment horizontal="center"/>
    </xf>
    <xf numFmtId="3" fontId="49" fillId="0" borderId="0" xfId="87" applyNumberFormat="1" applyFont="1" applyAlignment="1">
      <alignment horizontal="center"/>
    </xf>
    <xf numFmtId="167" fontId="49" fillId="0" borderId="0" xfId="128" applyNumberFormat="1" applyFont="1" applyAlignment="1">
      <alignment horizontal="center"/>
    </xf>
    <xf numFmtId="167" fontId="49" fillId="0" borderId="0" xfId="129" applyNumberFormat="1" applyFont="1" applyAlignment="1">
      <alignment horizontal="center"/>
    </xf>
    <xf numFmtId="167" fontId="49" fillId="0" borderId="0" xfId="130" applyNumberFormat="1" applyFont="1" applyAlignment="1">
      <alignment horizontal="center"/>
    </xf>
    <xf numFmtId="0" fontId="49" fillId="0" borderId="0" xfId="134" applyFont="1"/>
    <xf numFmtId="0" fontId="49" fillId="0" borderId="0" xfId="133" applyFont="1"/>
    <xf numFmtId="0" fontId="48" fillId="0" borderId="0" xfId="305" applyFont="1"/>
    <xf numFmtId="0" fontId="48" fillId="0" borderId="0" xfId="306" applyFont="1"/>
    <xf numFmtId="0" fontId="49" fillId="0" borderId="0" xfId="309" applyFont="1" applyAlignment="1">
      <alignment horizontal="center"/>
    </xf>
    <xf numFmtId="165" fontId="49" fillId="0" borderId="0" xfId="343" applyNumberFormat="1" applyFont="1" applyAlignment="1">
      <alignment horizontal="center"/>
    </xf>
    <xf numFmtId="0" fontId="49" fillId="0" borderId="0" xfId="760" applyFont="1" applyAlignment="1">
      <alignment horizontal="center"/>
    </xf>
    <xf numFmtId="0" fontId="49" fillId="0" borderId="0" xfId="1100" applyFont="1"/>
    <xf numFmtId="165" fontId="49" fillId="0" borderId="0" xfId="1353" applyNumberFormat="1" applyFont="1" applyAlignment="1">
      <alignment horizontal="center"/>
    </xf>
    <xf numFmtId="3" fontId="49" fillId="0" borderId="0" xfId="15008" applyNumberFormat="1" applyFont="1" applyAlignment="1">
      <alignment horizontal="center"/>
    </xf>
    <xf numFmtId="0" fontId="49" fillId="0" borderId="0" xfId="18774" applyFont="1"/>
    <xf numFmtId="2" fontId="16" fillId="0" borderId="1" xfId="0" applyNumberFormat="1" applyFont="1" applyBorder="1" applyAlignment="1">
      <alignment horizontal="right"/>
    </xf>
    <xf numFmtId="1" fontId="16" fillId="0" borderId="11" xfId="0" applyNumberFormat="1" applyFont="1" applyBorder="1"/>
    <xf numFmtId="3" fontId="49" fillId="0" borderId="0" xfId="22167" applyNumberFormat="1" applyFont="1" applyAlignment="1">
      <alignment horizontal="center"/>
    </xf>
    <xf numFmtId="2" fontId="49" fillId="0" borderId="0" xfId="22167" applyNumberFormat="1" applyFont="1" applyAlignment="1">
      <alignment horizontal="center"/>
    </xf>
    <xf numFmtId="3" fontId="49" fillId="0" borderId="0" xfId="22169" applyNumberFormat="1" applyFont="1" applyAlignment="1">
      <alignment horizontal="center"/>
    </xf>
    <xf numFmtId="169" fontId="49" fillId="0" borderId="0" xfId="22170" applyNumberFormat="1" applyFont="1" applyAlignment="1">
      <alignment horizontal="center"/>
    </xf>
    <xf numFmtId="165" fontId="49" fillId="0" borderId="0" xfId="22172" applyNumberFormat="1" applyFont="1" applyAlignment="1">
      <alignment horizontal="center"/>
    </xf>
    <xf numFmtId="0" fontId="49" fillId="0" borderId="0" xfId="22174" applyFont="1"/>
    <xf numFmtId="165" fontId="49" fillId="0" borderId="0" xfId="22178" applyNumberFormat="1" applyFont="1" applyAlignment="1">
      <alignment horizontal="center"/>
    </xf>
    <xf numFmtId="1" fontId="49" fillId="0" borderId="0" xfId="22177" applyNumberFormat="1" applyFont="1" applyAlignment="1">
      <alignment horizontal="center"/>
    </xf>
    <xf numFmtId="1" fontId="49" fillId="0" borderId="0" xfId="22171" applyNumberFormat="1" applyFont="1" applyAlignment="1">
      <alignment horizontal="center"/>
    </xf>
    <xf numFmtId="1" fontId="49" fillId="0" borderId="0" xfId="22179" applyNumberFormat="1" applyFont="1" applyAlignment="1">
      <alignment horizontal="center"/>
    </xf>
    <xf numFmtId="165" fontId="49" fillId="0" borderId="0" xfId="22180" applyNumberFormat="1" applyFont="1" applyAlignment="1">
      <alignment horizontal="center"/>
    </xf>
    <xf numFmtId="0" fontId="23" fillId="0" borderId="0" xfId="19" applyFont="1" applyBorder="1"/>
    <xf numFmtId="0" fontId="16" fillId="0" borderId="1" xfId="14" applyFont="1" applyBorder="1" applyAlignment="1">
      <alignment horizontal="right"/>
    </xf>
    <xf numFmtId="0" fontId="16" fillId="0" borderId="1" xfId="11" applyFont="1" applyFill="1" applyBorder="1" applyAlignment="1">
      <alignment horizontal="center"/>
    </xf>
    <xf numFmtId="0" fontId="49" fillId="0" borderId="0" xfId="22184" applyFont="1"/>
    <xf numFmtId="0" fontId="16" fillId="0" borderId="1" xfId="11" applyNumberFormat="1" applyFont="1" applyBorder="1" applyAlignment="1">
      <alignment horizontal="right"/>
    </xf>
    <xf numFmtId="0" fontId="16" fillId="0" borderId="0" xfId="15" applyFont="1"/>
    <xf numFmtId="3" fontId="49" fillId="0" borderId="11" xfId="22187" applyNumberFormat="1" applyFont="1" applyBorder="1" applyAlignment="1">
      <alignment horizontal="center"/>
    </xf>
    <xf numFmtId="3" fontId="49" fillId="0" borderId="1" xfId="22187" applyNumberFormat="1" applyFont="1" applyBorder="1" applyAlignment="1">
      <alignment horizontal="center"/>
    </xf>
    <xf numFmtId="0" fontId="16" fillId="0" borderId="1" xfId="15" applyFont="1" applyBorder="1"/>
    <xf numFmtId="3" fontId="49" fillId="0" borderId="0" xfId="22188" applyNumberFormat="1" applyFont="1" applyAlignment="1">
      <alignment horizontal="center"/>
    </xf>
    <xf numFmtId="0" fontId="16" fillId="0" borderId="1" xfId="15" applyFont="1" applyBorder="1" applyAlignment="1">
      <alignment horizontal="centerContinuous"/>
    </xf>
    <xf numFmtId="3" fontId="49" fillId="0" borderId="0" xfId="22221" applyNumberFormat="1" applyFont="1" applyAlignment="1">
      <alignment horizontal="center"/>
    </xf>
    <xf numFmtId="0" fontId="26" fillId="0" borderId="0" xfId="15" applyFont="1"/>
    <xf numFmtId="0" fontId="41" fillId="0" borderId="4" xfId="0" applyFont="1" applyFill="1" applyBorder="1" applyAlignment="1">
      <alignment horizontal="center"/>
    </xf>
    <xf numFmtId="167" fontId="16" fillId="0" borderId="5" xfId="0" applyNumberFormat="1" applyFont="1" applyBorder="1" applyAlignment="1">
      <alignment horizontal="center"/>
    </xf>
    <xf numFmtId="3" fontId="49" fillId="0" borderId="0" xfId="22222" applyNumberFormat="1" applyFont="1" applyAlignment="1">
      <alignment horizontal="center"/>
    </xf>
    <xf numFmtId="165" fontId="49" fillId="0" borderId="0" xfId="22223" applyNumberFormat="1" applyFont="1" applyAlignment="1">
      <alignment horizontal="center"/>
    </xf>
    <xf numFmtId="0" fontId="16" fillId="0" borderId="1" xfId="0" applyFont="1" applyFill="1" applyBorder="1"/>
    <xf numFmtId="0" fontId="16" fillId="0" borderId="1" xfId="0" applyFont="1" applyFill="1" applyBorder="1" applyAlignment="1">
      <alignment wrapText="1"/>
    </xf>
    <xf numFmtId="0" fontId="23" fillId="0" borderId="1" xfId="0" applyFont="1" applyFill="1" applyBorder="1" applyAlignment="1">
      <alignment wrapText="1"/>
    </xf>
    <xf numFmtId="0" fontId="23" fillId="0" borderId="1" xfId="0" applyFont="1" applyFill="1" applyBorder="1"/>
    <xf numFmtId="0" fontId="16" fillId="0" borderId="10" xfId="0" applyFont="1" applyFill="1" applyBorder="1" applyAlignment="1">
      <alignment horizontal="center" wrapText="1"/>
    </xf>
    <xf numFmtId="0" fontId="16" fillId="0" borderId="5" xfId="0" applyFont="1" applyFill="1" applyBorder="1" applyAlignment="1">
      <alignment horizontal="center" wrapText="1"/>
    </xf>
    <xf numFmtId="168" fontId="16" fillId="0" borderId="0" xfId="0" applyNumberFormat="1" applyFont="1"/>
    <xf numFmtId="167" fontId="41" fillId="0" borderId="0" xfId="0" applyNumberFormat="1" applyFont="1" applyFill="1" applyBorder="1" applyAlignment="1">
      <alignment horizontal="center"/>
    </xf>
    <xf numFmtId="167" fontId="41" fillId="0" borderId="5" xfId="0" applyNumberFormat="1" applyFont="1" applyFill="1" applyBorder="1" applyAlignment="1">
      <alignment horizontal="center"/>
    </xf>
    <xf numFmtId="0" fontId="16" fillId="0" borderId="5" xfId="22225" applyFont="1" applyBorder="1" applyAlignment="1">
      <alignment horizontal="center"/>
    </xf>
    <xf numFmtId="0" fontId="16" fillId="0" borderId="10" xfId="22225" applyFont="1" applyBorder="1" applyAlignment="1">
      <alignment horizontal="center"/>
    </xf>
    <xf numFmtId="0" fontId="16" fillId="0" borderId="1" xfId="22225" applyFont="1" applyBorder="1"/>
    <xf numFmtId="0" fontId="16" fillId="0" borderId="1" xfId="22225" applyFont="1" applyBorder="1" applyAlignment="1">
      <alignment horizontal="center"/>
    </xf>
    <xf numFmtId="0" fontId="17" fillId="0" borderId="0" xfId="22225" applyFont="1"/>
    <xf numFmtId="2" fontId="16" fillId="0" borderId="0" xfId="22225" applyNumberFormat="1" applyFont="1" applyAlignment="1">
      <alignment horizontal="center"/>
    </xf>
    <xf numFmtId="0" fontId="67" fillId="0" borderId="0" xfId="22225" applyFont="1"/>
    <xf numFmtId="0" fontId="20" fillId="0" borderId="0" xfId="0" applyFont="1"/>
    <xf numFmtId="0" fontId="16" fillId="0" borderId="1" xfId="0" applyFont="1" applyBorder="1" applyAlignment="1">
      <alignment horizontal="center" wrapText="1"/>
    </xf>
    <xf numFmtId="2" fontId="24" fillId="0" borderId="0" xfId="0" applyNumberFormat="1" applyFont="1" applyAlignment="1">
      <alignment horizontal="center"/>
    </xf>
    <xf numFmtId="0" fontId="16" fillId="0" borderId="0" xfId="17" applyFont="1" applyAlignment="1">
      <alignment horizontal="left"/>
    </xf>
    <xf numFmtId="0" fontId="24" fillId="0" borderId="0" xfId="0" applyFont="1"/>
    <xf numFmtId="2" fontId="20" fillId="0" borderId="0" xfId="0" applyNumberFormat="1" applyFont="1"/>
    <xf numFmtId="165" fontId="68" fillId="0" borderId="0" xfId="18" applyNumberFormat="1" applyFont="1"/>
    <xf numFmtId="0" fontId="41" fillId="0" borderId="25" xfId="0" applyFont="1" applyBorder="1" applyAlignment="1">
      <alignment horizontal="center"/>
    </xf>
    <xf numFmtId="0" fontId="41" fillId="0" borderId="26" xfId="0" applyFont="1" applyBorder="1" applyAlignment="1">
      <alignment horizontal="center"/>
    </xf>
    <xf numFmtId="0" fontId="16" fillId="0" borderId="26" xfId="0" applyFont="1" applyBorder="1"/>
    <xf numFmtId="0" fontId="16" fillId="0" borderId="0" xfId="10" applyFont="1" applyBorder="1" applyAlignment="1">
      <alignment horizontal="left"/>
    </xf>
    <xf numFmtId="3" fontId="49" fillId="0" borderId="0" xfId="22166" applyNumberFormat="1" applyFont="1" applyAlignment="1">
      <alignment horizontal="center"/>
    </xf>
    <xf numFmtId="169" fontId="16" fillId="0" borderId="0" xfId="10" applyNumberFormat="1" applyFont="1" applyBorder="1" applyAlignment="1">
      <alignment horizontal="center"/>
    </xf>
    <xf numFmtId="0" fontId="68" fillId="0" borderId="0" xfId="24" applyFont="1"/>
    <xf numFmtId="0" fontId="68" fillId="0" borderId="0" xfId="20" applyFont="1" applyAlignment="1">
      <alignment horizontal="center"/>
    </xf>
    <xf numFmtId="0" fontId="68" fillId="0" borderId="0" xfId="15" applyFont="1"/>
    <xf numFmtId="165" fontId="16" fillId="0" borderId="0" xfId="0" applyNumberFormat="1" applyFont="1" applyFill="1" applyBorder="1" applyAlignment="1">
      <alignment horizontal="center" vertical="center" wrapText="1"/>
    </xf>
    <xf numFmtId="165" fontId="16" fillId="0" borderId="0" xfId="0" applyNumberFormat="1" applyFont="1" applyFill="1" applyAlignment="1">
      <alignment horizontal="center" vertical="center" wrapText="1"/>
    </xf>
    <xf numFmtId="165" fontId="23" fillId="0" borderId="0" xfId="0" applyNumberFormat="1" applyFont="1" applyFill="1" applyAlignment="1">
      <alignment horizontal="center" vertical="center" wrapText="1"/>
    </xf>
    <xf numFmtId="165" fontId="23" fillId="0" borderId="0" xfId="0" applyNumberFormat="1" applyFont="1" applyFill="1" applyBorder="1" applyAlignment="1">
      <alignment horizontal="center" vertical="center" wrapText="1"/>
    </xf>
    <xf numFmtId="0" fontId="69" fillId="0" borderId="0" xfId="0" applyNumberFormat="1" applyFont="1" applyFill="1" applyBorder="1" applyAlignment="1" applyProtection="1"/>
    <xf numFmtId="3" fontId="69" fillId="0" borderId="0" xfId="0" applyNumberFormat="1" applyFont="1" applyFill="1" applyBorder="1" applyAlignment="1" applyProtection="1"/>
    <xf numFmtId="0" fontId="69" fillId="0" borderId="1" xfId="0" applyNumberFormat="1" applyFont="1" applyFill="1" applyBorder="1" applyAlignment="1" applyProtection="1"/>
    <xf numFmtId="0" fontId="69" fillId="0" borderId="5" xfId="0" applyNumberFormat="1" applyFont="1" applyFill="1" applyBorder="1" applyAlignment="1" applyProtection="1"/>
    <xf numFmtId="0" fontId="20" fillId="0" borderId="5" xfId="0" applyFont="1" applyBorder="1"/>
    <xf numFmtId="3" fontId="20" fillId="0" borderId="0" xfId="0" applyNumberFormat="1" applyFont="1"/>
    <xf numFmtId="3" fontId="16" fillId="0" borderId="4" xfId="19" applyNumberFormat="1" applyFont="1" applyBorder="1" applyAlignment="1">
      <alignment horizontal="center"/>
    </xf>
    <xf numFmtId="3" fontId="16" fillId="0" borderId="0" xfId="19" applyNumberFormat="1" applyFont="1" applyBorder="1" applyAlignment="1">
      <alignment horizontal="center"/>
    </xf>
    <xf numFmtId="2" fontId="16" fillId="0" borderId="0" xfId="19" applyNumberFormat="1" applyFont="1" applyAlignment="1">
      <alignment horizontal="left"/>
    </xf>
    <xf numFmtId="0" fontId="16" fillId="0" borderId="39" xfId="14" applyFont="1" applyBorder="1"/>
    <xf numFmtId="2" fontId="16" fillId="0" borderId="40" xfId="14" applyNumberFormat="1" applyFont="1" applyBorder="1" applyAlignment="1">
      <alignment horizontal="center"/>
    </xf>
    <xf numFmtId="2" fontId="16" fillId="0" borderId="39" xfId="14" applyNumberFormat="1" applyFont="1" applyBorder="1" applyAlignment="1">
      <alignment horizontal="center"/>
    </xf>
    <xf numFmtId="2" fontId="16" fillId="0" borderId="39" xfId="14" applyNumberFormat="1" applyFont="1" applyBorder="1" applyAlignment="1">
      <alignment horizontal="center" vertical="center"/>
    </xf>
    <xf numFmtId="2" fontId="16" fillId="0" borderId="0" xfId="0" applyNumberFormat="1" applyFont="1" applyAlignment="1">
      <alignment horizontal="center" wrapText="1"/>
    </xf>
    <xf numFmtId="0" fontId="16" fillId="0" borderId="42" xfId="0" applyFont="1" applyBorder="1" applyAlignment="1">
      <alignment horizontal="center" vertical="center" wrapText="1"/>
    </xf>
    <xf numFmtId="3" fontId="16" fillId="0" borderId="41" xfId="0" applyNumberFormat="1" applyFont="1" applyBorder="1" applyAlignment="1">
      <alignment horizontal="center"/>
    </xf>
    <xf numFmtId="0" fontId="16" fillId="0" borderId="10" xfId="0" applyFont="1" applyFill="1" applyBorder="1" applyAlignment="1">
      <alignment horizontal="center" vertical="center" wrapText="1"/>
    </xf>
    <xf numFmtId="0" fontId="16" fillId="0" borderId="9"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Fill="1" applyBorder="1" applyAlignment="1">
      <alignment horizontal="center" vertical="center" wrapText="1"/>
    </xf>
    <xf numFmtId="0" fontId="16" fillId="0" borderId="0" xfId="96" applyFont="1"/>
    <xf numFmtId="165" fontId="23" fillId="0" borderId="0" xfId="96" applyNumberFormat="1" applyFont="1" applyBorder="1" applyAlignment="1">
      <alignment horizontal="center"/>
    </xf>
    <xf numFmtId="0" fontId="16" fillId="0" borderId="0" xfId="96" applyFont="1" applyBorder="1"/>
    <xf numFmtId="0" fontId="23" fillId="0" borderId="0" xfId="96" applyFont="1" applyBorder="1" applyAlignment="1">
      <alignment horizontal="center"/>
    </xf>
    <xf numFmtId="0" fontId="16" fillId="0" borderId="0" xfId="96" applyFont="1" applyBorder="1" applyAlignment="1">
      <alignment horizontal="center" wrapText="1"/>
    </xf>
    <xf numFmtId="0" fontId="71" fillId="0" borderId="0" xfId="22256" applyNumberFormat="1" applyFont="1" applyAlignment="1" applyProtection="1">
      <alignment wrapText="1"/>
    </xf>
    <xf numFmtId="165" fontId="16" fillId="0" borderId="0" xfId="96" applyNumberFormat="1" applyFont="1" applyAlignment="1">
      <alignment horizontal="center"/>
    </xf>
    <xf numFmtId="165" fontId="16" fillId="0" borderId="0" xfId="96" applyNumberFormat="1" applyFont="1" applyBorder="1" applyAlignment="1">
      <alignment horizontal="center"/>
    </xf>
    <xf numFmtId="0" fontId="71" fillId="0" borderId="0" xfId="22256" applyFont="1" applyAlignment="1" applyProtection="1">
      <alignment wrapText="1"/>
    </xf>
    <xf numFmtId="0" fontId="71" fillId="0" borderId="0" xfId="22256" applyFont="1" applyAlignment="1" applyProtection="1">
      <alignment horizontal="left" vertical="center" wrapText="1"/>
    </xf>
    <xf numFmtId="0" fontId="16" fillId="0" borderId="0" xfId="96" applyFont="1" applyAlignment="1">
      <alignment horizontal="left" vertical="center"/>
    </xf>
    <xf numFmtId="165" fontId="16" fillId="0" borderId="0" xfId="96" applyNumberFormat="1" applyFont="1" applyAlignment="1">
      <alignment horizontal="left" vertical="center"/>
    </xf>
    <xf numFmtId="165" fontId="20" fillId="0" borderId="0" xfId="96" applyNumberFormat="1" applyFont="1" applyBorder="1" applyAlignment="1">
      <alignment horizontal="center"/>
    </xf>
    <xf numFmtId="165" fontId="20" fillId="0" borderId="0" xfId="96" applyNumberFormat="1" applyFont="1" applyAlignment="1">
      <alignment horizontal="center"/>
    </xf>
    <xf numFmtId="165" fontId="16" fillId="0" borderId="2" xfId="96" applyNumberFormat="1" applyFont="1" applyBorder="1" applyAlignment="1">
      <alignment horizontal="center"/>
    </xf>
    <xf numFmtId="165" fontId="16" fillId="0" borderId="5" xfId="96" applyNumberFormat="1" applyFont="1" applyBorder="1" applyAlignment="1">
      <alignment horizontal="center"/>
    </xf>
    <xf numFmtId="165" fontId="16" fillId="0" borderId="1" xfId="96" applyNumberFormat="1" applyFont="1" applyBorder="1" applyAlignment="1">
      <alignment horizontal="center"/>
    </xf>
    <xf numFmtId="165" fontId="16" fillId="0" borderId="11" xfId="96" applyNumberFormat="1" applyFont="1" applyBorder="1" applyAlignment="1">
      <alignment horizontal="center"/>
    </xf>
    <xf numFmtId="165" fontId="16" fillId="0" borderId="6" xfId="96" applyNumberFormat="1" applyFont="1" applyBorder="1" applyAlignment="1">
      <alignment horizontal="center"/>
    </xf>
    <xf numFmtId="0" fontId="16" fillId="0" borderId="6" xfId="96" applyFont="1" applyBorder="1" applyAlignment="1">
      <alignment horizontal="left" vertical="center" wrapText="1"/>
    </xf>
    <xf numFmtId="165" fontId="16" fillId="0" borderId="7" xfId="96" applyNumberFormat="1" applyFont="1" applyBorder="1" applyAlignment="1">
      <alignment horizontal="center"/>
    </xf>
    <xf numFmtId="165" fontId="16" fillId="0" borderId="8" xfId="96" applyNumberFormat="1" applyFont="1" applyBorder="1" applyAlignment="1">
      <alignment horizontal="center"/>
    </xf>
    <xf numFmtId="0" fontId="49" fillId="0" borderId="2" xfId="22258" applyFont="1" applyBorder="1" applyAlignment="1">
      <alignment horizontal="center"/>
    </xf>
    <xf numFmtId="0" fontId="49" fillId="0" borderId="5" xfId="22258" applyFont="1" applyBorder="1" applyAlignment="1">
      <alignment horizontal="center"/>
    </xf>
    <xf numFmtId="0" fontId="49" fillId="0" borderId="10" xfId="22258" applyFont="1" applyBorder="1" applyAlignment="1">
      <alignment horizontal="center"/>
    </xf>
    <xf numFmtId="165" fontId="16" fillId="0" borderId="29" xfId="96" applyNumberFormat="1" applyFont="1" applyBorder="1" applyAlignment="1">
      <alignment horizontal="left"/>
    </xf>
    <xf numFmtId="0" fontId="49" fillId="0" borderId="1" xfId="22258" applyFont="1" applyBorder="1" applyAlignment="1">
      <alignment horizontal="center"/>
    </xf>
    <xf numFmtId="0" fontId="49" fillId="0" borderId="0" xfId="22258" applyFont="1" applyBorder="1" applyAlignment="1">
      <alignment horizontal="center"/>
    </xf>
    <xf numFmtId="0" fontId="49" fillId="0" borderId="4" xfId="22258" applyFont="1" applyBorder="1" applyAlignment="1">
      <alignment horizontal="center"/>
    </xf>
    <xf numFmtId="165" fontId="16" fillId="0" borderId="26" xfId="96" applyNumberFormat="1" applyFont="1" applyBorder="1" applyAlignment="1">
      <alignment horizontal="left"/>
    </xf>
    <xf numFmtId="165" fontId="16" fillId="0" borderId="4" xfId="96" applyNumberFormat="1" applyFont="1" applyBorder="1" applyAlignment="1">
      <alignment horizontal="center"/>
    </xf>
    <xf numFmtId="0" fontId="72" fillId="0" borderId="26" xfId="22257" applyFont="1" applyBorder="1" applyAlignment="1">
      <alignment horizontal="left"/>
    </xf>
    <xf numFmtId="165" fontId="49" fillId="0" borderId="1" xfId="22260" applyNumberFormat="1" applyFont="1" applyBorder="1" applyAlignment="1">
      <alignment horizontal="center"/>
    </xf>
    <xf numFmtId="165" fontId="49" fillId="0" borderId="0" xfId="22260" applyNumberFormat="1" applyFont="1" applyBorder="1" applyAlignment="1">
      <alignment horizontal="center"/>
    </xf>
    <xf numFmtId="165" fontId="49" fillId="0" borderId="4" xfId="22260" applyNumberFormat="1" applyFont="1" applyBorder="1" applyAlignment="1">
      <alignment horizontal="center"/>
    </xf>
    <xf numFmtId="0" fontId="72" fillId="0" borderId="25" xfId="22257" applyFont="1" applyBorder="1" applyAlignment="1">
      <alignment horizontal="left"/>
    </xf>
    <xf numFmtId="165" fontId="16" fillId="0" borderId="7" xfId="96" applyNumberFormat="1" applyFont="1" applyBorder="1" applyAlignment="1">
      <alignment horizontal="center" vertical="center" wrapText="1"/>
    </xf>
    <xf numFmtId="165" fontId="16" fillId="0" borderId="8" xfId="96" applyNumberFormat="1" applyFont="1" applyBorder="1" applyAlignment="1">
      <alignment horizontal="center" vertical="center" wrapText="1"/>
    </xf>
    <xf numFmtId="165" fontId="16" fillId="0" borderId="9" xfId="96" applyNumberFormat="1" applyFont="1" applyBorder="1" applyAlignment="1">
      <alignment horizontal="center" vertical="center" wrapText="1"/>
    </xf>
    <xf numFmtId="0" fontId="49" fillId="0" borderId="0" xfId="22257" applyFont="1"/>
    <xf numFmtId="0" fontId="23" fillId="0" borderId="0" xfId="96" applyFont="1"/>
    <xf numFmtId="0" fontId="29" fillId="0" borderId="0" xfId="96" applyFont="1" applyAlignment="1">
      <alignment horizontal="left"/>
    </xf>
    <xf numFmtId="0" fontId="48" fillId="0" borderId="0" xfId="24609" applyFont="1"/>
    <xf numFmtId="0" fontId="48" fillId="0" borderId="0" xfId="24609" applyFont="1" applyAlignment="1">
      <alignment horizontal="center"/>
    </xf>
    <xf numFmtId="0" fontId="75" fillId="0" borderId="0" xfId="24609" applyFont="1"/>
    <xf numFmtId="169" fontId="48" fillId="0" borderId="2" xfId="24609" applyNumberFormat="1" applyFont="1" applyBorder="1" applyAlignment="1">
      <alignment horizontal="center"/>
    </xf>
    <xf numFmtId="3" fontId="48" fillId="0" borderId="5" xfId="24609" applyNumberFormat="1" applyFont="1" applyBorder="1" applyAlignment="1">
      <alignment horizontal="center"/>
    </xf>
    <xf numFmtId="3" fontId="48" fillId="0" borderId="10" xfId="24609" applyNumberFormat="1" applyFont="1" applyBorder="1" applyAlignment="1">
      <alignment horizontal="center"/>
    </xf>
    <xf numFmtId="169" fontId="48" fillId="0" borderId="1" xfId="24609" applyNumberFormat="1" applyFont="1" applyBorder="1" applyAlignment="1">
      <alignment horizontal="center"/>
    </xf>
    <xf numFmtId="3" fontId="48" fillId="0" borderId="0" xfId="24609" applyNumberFormat="1" applyFont="1" applyBorder="1" applyAlignment="1">
      <alignment horizontal="center"/>
    </xf>
    <xf numFmtId="3" fontId="48" fillId="0" borderId="4" xfId="24609" applyNumberFormat="1" applyFont="1" applyBorder="1" applyAlignment="1">
      <alignment horizontal="center"/>
    </xf>
    <xf numFmtId="169" fontId="48" fillId="0" borderId="11" xfId="24609" applyNumberFormat="1" applyFont="1" applyBorder="1" applyAlignment="1">
      <alignment horizontal="center"/>
    </xf>
    <xf numFmtId="3" fontId="48" fillId="0" borderId="6" xfId="24609" applyNumberFormat="1" applyFont="1" applyBorder="1" applyAlignment="1">
      <alignment horizontal="center"/>
    </xf>
    <xf numFmtId="3" fontId="48" fillId="0" borderId="3" xfId="24609" applyNumberFormat="1" applyFont="1" applyBorder="1" applyAlignment="1">
      <alignment horizontal="center"/>
    </xf>
    <xf numFmtId="0" fontId="48" fillId="0" borderId="2" xfId="24609" applyFont="1" applyBorder="1" applyAlignment="1">
      <alignment horizontal="center" vertical="center" wrapText="1"/>
    </xf>
    <xf numFmtId="0" fontId="48" fillId="0" borderId="5" xfId="24609" applyFont="1" applyBorder="1" applyAlignment="1">
      <alignment horizontal="center" vertical="center" wrapText="1"/>
    </xf>
    <xf numFmtId="0" fontId="48" fillId="0" borderId="10" xfId="24609" applyFont="1" applyBorder="1" applyAlignment="1">
      <alignment horizontal="center" vertical="center" wrapText="1"/>
    </xf>
    <xf numFmtId="0" fontId="48" fillId="0" borderId="5" xfId="24609" applyFont="1" applyBorder="1"/>
    <xf numFmtId="0" fontId="76" fillId="0" borderId="0" xfId="24609" applyFont="1"/>
    <xf numFmtId="3" fontId="48" fillId="0" borderId="0" xfId="24609" applyNumberFormat="1" applyFont="1"/>
    <xf numFmtId="165" fontId="48" fillId="0" borderId="2" xfId="24609" applyNumberFormat="1" applyFont="1" applyBorder="1" applyAlignment="1">
      <alignment horizontal="center"/>
    </xf>
    <xf numFmtId="165" fontId="48" fillId="0" borderId="1" xfId="24609" applyNumberFormat="1" applyFont="1" applyBorder="1" applyAlignment="1">
      <alignment horizontal="center"/>
    </xf>
    <xf numFmtId="174" fontId="48" fillId="0" borderId="1" xfId="24667" applyNumberFormat="1" applyFont="1" applyBorder="1" applyAlignment="1">
      <alignment horizontal="center"/>
    </xf>
    <xf numFmtId="0" fontId="77" fillId="0" borderId="0" xfId="24609" applyFont="1"/>
    <xf numFmtId="0" fontId="17" fillId="0" borderId="0" xfId="96" applyFont="1" applyAlignment="1">
      <alignment horizontal="left"/>
    </xf>
    <xf numFmtId="0" fontId="72" fillId="0" borderId="29" xfId="22257" applyFont="1" applyBorder="1" applyAlignment="1">
      <alignment horizontal="left"/>
    </xf>
    <xf numFmtId="165" fontId="16" fillId="0" borderId="3" xfId="96" applyNumberFormat="1" applyFont="1" applyBorder="1" applyAlignment="1">
      <alignment horizontal="center"/>
    </xf>
    <xf numFmtId="165" fontId="16" fillId="0" borderId="10" xfId="96" applyNumberFormat="1" applyFont="1" applyBorder="1" applyAlignment="1">
      <alignment horizontal="center"/>
    </xf>
    <xf numFmtId="165" fontId="16" fillId="0" borderId="3" xfId="96" applyNumberFormat="1" applyFont="1" applyBorder="1" applyAlignment="1">
      <alignment horizontal="center" vertical="center"/>
    </xf>
    <xf numFmtId="165" fontId="16" fillId="0" borderId="6" xfId="96" applyNumberFormat="1" applyFont="1" applyBorder="1" applyAlignment="1">
      <alignment horizontal="center" vertical="center"/>
    </xf>
    <xf numFmtId="165" fontId="16" fillId="0" borderId="11" xfId="96" applyNumberFormat="1" applyFont="1" applyBorder="1" applyAlignment="1">
      <alignment horizontal="center" vertical="center"/>
    </xf>
    <xf numFmtId="165" fontId="16" fillId="0" borderId="4" xfId="96" applyNumberFormat="1" applyFont="1" applyBorder="1" applyAlignment="1">
      <alignment horizontal="center" vertical="center"/>
    </xf>
    <xf numFmtId="165" fontId="16" fillId="0" borderId="0" xfId="96" applyNumberFormat="1" applyFont="1" applyBorder="1" applyAlignment="1">
      <alignment horizontal="center" vertical="center"/>
    </xf>
    <xf numFmtId="165" fontId="16" fillId="0" borderId="1" xfId="96" applyNumberFormat="1" applyFont="1" applyBorder="1" applyAlignment="1">
      <alignment horizontal="center" vertical="center"/>
    </xf>
    <xf numFmtId="165" fontId="49" fillId="0" borderId="4" xfId="24669" applyNumberFormat="1" applyFont="1" applyBorder="1" applyAlignment="1">
      <alignment horizontal="center" vertical="center"/>
    </xf>
    <xf numFmtId="165" fontId="49" fillId="0" borderId="0" xfId="24669" applyNumberFormat="1" applyFont="1" applyBorder="1" applyAlignment="1">
      <alignment horizontal="center" vertical="center"/>
    </xf>
    <xf numFmtId="165" fontId="49" fillId="0" borderId="1" xfId="24669" applyNumberFormat="1" applyFont="1" applyBorder="1" applyAlignment="1">
      <alignment horizontal="center" vertical="center"/>
    </xf>
    <xf numFmtId="165" fontId="49" fillId="0" borderId="4" xfId="24670" applyNumberFormat="1" applyFont="1" applyBorder="1" applyAlignment="1">
      <alignment horizontal="center" vertical="center"/>
    </xf>
    <xf numFmtId="165" fontId="49" fillId="0" borderId="0" xfId="24670" applyNumberFormat="1" applyFont="1" applyBorder="1" applyAlignment="1">
      <alignment horizontal="center" vertical="center"/>
    </xf>
    <xf numFmtId="165" fontId="49" fillId="0" borderId="1" xfId="24670" applyNumberFormat="1" applyFont="1" applyBorder="1" applyAlignment="1">
      <alignment horizontal="center" vertical="center"/>
    </xf>
    <xf numFmtId="165" fontId="49" fillId="0" borderId="10" xfId="24670" applyNumberFormat="1" applyFont="1" applyBorder="1" applyAlignment="1">
      <alignment horizontal="center" vertical="center"/>
    </xf>
    <xf numFmtId="165" fontId="49" fillId="0" borderId="5" xfId="24670" applyNumberFormat="1" applyFont="1" applyBorder="1" applyAlignment="1">
      <alignment horizontal="center" vertical="center"/>
    </xf>
    <xf numFmtId="165" fontId="49" fillId="0" borderId="2" xfId="24670" applyNumberFormat="1" applyFont="1" applyBorder="1" applyAlignment="1">
      <alignment horizontal="center" vertical="center"/>
    </xf>
    <xf numFmtId="0" fontId="16" fillId="0" borderId="0" xfId="96" applyFont="1" applyAlignment="1">
      <alignment horizontal="left"/>
    </xf>
    <xf numFmtId="165" fontId="16" fillId="0" borderId="0" xfId="96" applyNumberFormat="1" applyFont="1" applyAlignment="1">
      <alignment horizontal="left"/>
    </xf>
    <xf numFmtId="0" fontId="16" fillId="0" borderId="0" xfId="0" applyFont="1" applyAlignment="1">
      <alignment vertical="center"/>
    </xf>
    <xf numFmtId="0" fontId="16" fillId="0" borderId="25" xfId="0" applyFont="1" applyBorder="1" applyAlignment="1">
      <alignment horizontal="center" wrapText="1"/>
    </xf>
    <xf numFmtId="0" fontId="16" fillId="0" borderId="26" xfId="0" applyFont="1" applyBorder="1" applyAlignment="1">
      <alignment horizontal="center" wrapText="1"/>
    </xf>
    <xf numFmtId="0" fontId="16" fillId="0" borderId="9" xfId="0" applyFont="1" applyBorder="1" applyAlignment="1">
      <alignment horizontal="center"/>
    </xf>
    <xf numFmtId="0" fontId="16" fillId="0" borderId="8" xfId="0" applyFont="1" applyBorder="1" applyAlignment="1">
      <alignment horizontal="center"/>
    </xf>
    <xf numFmtId="0" fontId="16" fillId="0" borderId="7" xfId="0" applyFont="1" applyBorder="1" applyAlignment="1">
      <alignment horizontal="center"/>
    </xf>
    <xf numFmtId="165" fontId="16" fillId="0" borderId="3" xfId="0" applyNumberFormat="1" applyFont="1" applyBorder="1" applyAlignment="1">
      <alignment horizontal="center"/>
    </xf>
    <xf numFmtId="165" fontId="16" fillId="0" borderId="6" xfId="0" applyNumberFormat="1" applyFont="1" applyBorder="1" applyAlignment="1">
      <alignment horizontal="center"/>
    </xf>
    <xf numFmtId="165" fontId="16" fillId="0" borderId="11" xfId="0" applyNumberFormat="1" applyFont="1" applyBorder="1" applyAlignment="1">
      <alignment horizontal="center"/>
    </xf>
    <xf numFmtId="169" fontId="16" fillId="0" borderId="1" xfId="0" applyNumberFormat="1" applyFont="1" applyBorder="1" applyAlignment="1">
      <alignment horizontal="center"/>
    </xf>
    <xf numFmtId="169" fontId="16" fillId="0" borderId="5" xfId="0" applyNumberFormat="1" applyFont="1" applyBorder="1" applyAlignment="1">
      <alignment horizontal="center"/>
    </xf>
    <xf numFmtId="0" fontId="49" fillId="0" borderId="0" xfId="24671" applyFont="1"/>
    <xf numFmtId="0" fontId="49" fillId="0" borderId="23" xfId="24671" applyFont="1" applyBorder="1"/>
    <xf numFmtId="0" fontId="49" fillId="0" borderId="48" xfId="24671" applyFont="1" applyBorder="1"/>
    <xf numFmtId="0" fontId="72" fillId="0" borderId="48" xfId="24671" applyFont="1" applyBorder="1" applyAlignment="1">
      <alignment horizontal="center"/>
    </xf>
    <xf numFmtId="0" fontId="72" fillId="0" borderId="49" xfId="24671" applyFont="1" applyBorder="1" applyAlignment="1">
      <alignment horizontal="center"/>
    </xf>
    <xf numFmtId="0" fontId="72" fillId="0" borderId="21" xfId="24671" applyFont="1" applyBorder="1" applyAlignment="1">
      <alignment horizontal="center"/>
    </xf>
    <xf numFmtId="0" fontId="72" fillId="0" borderId="20" xfId="24671" applyFont="1" applyBorder="1" applyAlignment="1">
      <alignment horizontal="center"/>
    </xf>
    <xf numFmtId="1" fontId="49" fillId="0" borderId="18" xfId="24671" applyNumberFormat="1" applyFont="1" applyBorder="1" applyAlignment="1">
      <alignment horizontal="center"/>
    </xf>
    <xf numFmtId="2" fontId="49" fillId="0" borderId="18" xfId="24671" applyNumberFormat="1" applyFont="1" applyBorder="1" applyAlignment="1">
      <alignment horizontal="center"/>
    </xf>
    <xf numFmtId="2" fontId="49" fillId="0" borderId="51" xfId="24671" applyNumberFormat="1" applyFont="1" applyBorder="1" applyAlignment="1">
      <alignment horizontal="center"/>
    </xf>
    <xf numFmtId="2" fontId="49" fillId="0" borderId="0" xfId="24671" applyNumberFormat="1" applyFont="1" applyBorder="1" applyAlignment="1">
      <alignment horizontal="center"/>
    </xf>
    <xf numFmtId="2" fontId="49" fillId="0" borderId="19" xfId="24671" applyNumberFormat="1" applyFont="1" applyBorder="1" applyAlignment="1">
      <alignment horizontal="center"/>
    </xf>
    <xf numFmtId="2" fontId="49" fillId="0" borderId="12" xfId="24671" applyNumberFormat="1" applyFont="1" applyBorder="1" applyAlignment="1">
      <alignment horizontal="center"/>
    </xf>
    <xf numFmtId="2" fontId="49" fillId="0" borderId="21" xfId="24671" applyNumberFormat="1" applyFont="1" applyBorder="1" applyAlignment="1">
      <alignment horizontal="center"/>
    </xf>
    <xf numFmtId="2" fontId="49" fillId="0" borderId="20" xfId="24671" applyNumberFormat="1" applyFont="1" applyBorder="1" applyAlignment="1">
      <alignment horizontal="center"/>
    </xf>
    <xf numFmtId="0" fontId="72" fillId="0" borderId="23" xfId="24671" applyFont="1" applyBorder="1"/>
    <xf numFmtId="0" fontId="49" fillId="0" borderId="53" xfId="24671" applyFont="1" applyBorder="1"/>
    <xf numFmtId="0" fontId="49" fillId="0" borderId="54" xfId="24671" applyFont="1" applyBorder="1"/>
    <xf numFmtId="0" fontId="49" fillId="0" borderId="18" xfId="24671" applyFont="1" applyBorder="1"/>
    <xf numFmtId="49" fontId="78" fillId="0" borderId="0" xfId="5" applyNumberFormat="1" applyFont="1" applyAlignment="1" applyProtection="1"/>
    <xf numFmtId="0" fontId="78" fillId="0" borderId="0" xfId="5" applyFont="1" applyAlignment="1" applyProtection="1"/>
    <xf numFmtId="0" fontId="78" fillId="0" borderId="0" xfId="18" applyFont="1"/>
    <xf numFmtId="0" fontId="78" fillId="0" borderId="0" xfId="0" applyFont="1"/>
    <xf numFmtId="0" fontId="78" fillId="0" borderId="0" xfId="9" applyFont="1"/>
    <xf numFmtId="0" fontId="78" fillId="0" borderId="0" xfId="0" applyFont="1" applyAlignment="1"/>
    <xf numFmtId="0" fontId="25" fillId="0" borderId="0" xfId="0" applyFont="1" applyAlignment="1"/>
    <xf numFmtId="0" fontId="16" fillId="0" borderId="0" xfId="0" applyFont="1" applyBorder="1" applyAlignment="1">
      <alignment horizontal="center" vertical="center"/>
    </xf>
    <xf numFmtId="0" fontId="16" fillId="0" borderId="0" xfId="0" applyFont="1" applyAlignment="1">
      <alignment horizontal="left" wrapText="1"/>
    </xf>
    <xf numFmtId="0" fontId="19" fillId="0" borderId="0" xfId="0" applyFont="1" applyAlignment="1">
      <alignment horizontal="left" wrapText="1"/>
    </xf>
    <xf numFmtId="0" fontId="16" fillId="0" borderId="0" xfId="0" applyFont="1" applyBorder="1" applyAlignment="1">
      <alignment horizontal="left" wrapText="1"/>
    </xf>
    <xf numFmtId="2" fontId="16" fillId="0" borderId="0" xfId="0" applyNumberFormat="1" applyFont="1" applyAlignment="1">
      <alignment horizontal="center"/>
    </xf>
    <xf numFmtId="0" fontId="16" fillId="0" borderId="0"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0" xfId="0" applyFont="1" applyAlignment="1"/>
    <xf numFmtId="0" fontId="16" fillId="0" borderId="4"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0" xfId="0" applyFont="1" applyAlignment="1">
      <alignment wrapText="1"/>
    </xf>
    <xf numFmtId="0" fontId="19" fillId="0" borderId="0" xfId="0" applyFont="1" applyAlignment="1">
      <alignment wrapText="1"/>
    </xf>
    <xf numFmtId="0" fontId="16" fillId="0" borderId="0" xfId="0" applyFont="1" applyAlignment="1">
      <alignment horizontal="center"/>
    </xf>
    <xf numFmtId="0" fontId="16" fillId="0" borderId="0" xfId="0" applyFont="1" applyAlignment="1">
      <alignment horizontal="center" wrapText="1"/>
    </xf>
    <xf numFmtId="0" fontId="16" fillId="0" borderId="6" xfId="24" applyFont="1" applyBorder="1" applyAlignment="1">
      <alignment horizontal="center" vertical="center" wrapText="1"/>
    </xf>
    <xf numFmtId="0" fontId="16" fillId="0" borderId="0" xfId="24" applyFont="1" applyAlignment="1">
      <alignment wrapText="1"/>
    </xf>
    <xf numFmtId="0" fontId="16" fillId="0" borderId="5" xfId="0" applyFont="1" applyBorder="1" applyAlignment="1">
      <alignment horizontal="center" wrapText="1"/>
    </xf>
    <xf numFmtId="0" fontId="16" fillId="0" borderId="10" xfId="0" applyFont="1" applyBorder="1" applyAlignment="1">
      <alignment horizontal="center" wrapText="1"/>
    </xf>
    <xf numFmtId="0" fontId="16" fillId="0" borderId="0" xfId="24" applyFont="1" applyAlignment="1">
      <alignment horizontal="left" wrapText="1"/>
    </xf>
    <xf numFmtId="0" fontId="16" fillId="0" borderId="0" xfId="24" applyFont="1" applyBorder="1" applyAlignment="1">
      <alignment horizontal="center" vertical="center" wrapText="1"/>
    </xf>
    <xf numFmtId="0" fontId="16" fillId="0" borderId="8" xfId="24" applyFont="1" applyBorder="1" applyAlignment="1">
      <alignment horizontal="center" vertical="center" wrapText="1"/>
    </xf>
    <xf numFmtId="0" fontId="16" fillId="0" borderId="0" xfId="14" applyNumberFormat="1" applyFont="1" applyBorder="1" applyAlignment="1">
      <alignment horizontal="center" vertical="center"/>
    </xf>
    <xf numFmtId="2" fontId="16" fillId="0" borderId="0" xfId="19" applyNumberFormat="1" applyFont="1" applyAlignment="1">
      <alignment horizontal="center"/>
    </xf>
    <xf numFmtId="0" fontId="16" fillId="0" borderId="12" xfId="14" applyNumberFormat="1" applyFont="1" applyBorder="1" applyAlignment="1">
      <alignment horizontal="center" vertical="center"/>
    </xf>
    <xf numFmtId="0" fontId="16" fillId="0" borderId="15" xfId="14" applyNumberFormat="1" applyFont="1" applyBorder="1" applyAlignment="1">
      <alignment horizontal="center" vertical="center"/>
    </xf>
    <xf numFmtId="0" fontId="16" fillId="0" borderId="4" xfId="0" applyFont="1" applyBorder="1" applyAlignment="1">
      <alignment horizontal="center"/>
    </xf>
    <xf numFmtId="0" fontId="16" fillId="0" borderId="0" xfId="0" applyFont="1" applyBorder="1" applyAlignment="1">
      <alignment horizontal="center"/>
    </xf>
    <xf numFmtId="0" fontId="16" fillId="0" borderId="5" xfId="0" applyFont="1" applyBorder="1"/>
    <xf numFmtId="0" fontId="16" fillId="0" borderId="0" xfId="11" applyFont="1" applyAlignment="1">
      <alignment horizontal="left" vertical="center" wrapText="1"/>
    </xf>
    <xf numFmtId="0" fontId="23" fillId="0" borderId="0" xfId="11" applyFont="1" applyAlignment="1">
      <alignment horizontal="center"/>
    </xf>
    <xf numFmtId="0" fontId="16" fillId="0" borderId="0" xfId="20" applyFont="1" applyBorder="1" applyAlignment="1">
      <alignment horizontal="center"/>
    </xf>
    <xf numFmtId="2" fontId="16" fillId="0" borderId="0" xfId="20" applyNumberFormat="1" applyFont="1" applyAlignment="1">
      <alignment horizontal="center"/>
    </xf>
    <xf numFmtId="1" fontId="16" fillId="0" borderId="0" xfId="20" applyNumberFormat="1" applyFont="1" applyAlignment="1">
      <alignment horizontal="center"/>
    </xf>
    <xf numFmtId="0" fontId="16" fillId="0" borderId="0" xfId="15" applyFont="1" applyAlignment="1">
      <alignment wrapText="1"/>
    </xf>
    <xf numFmtId="0" fontId="41" fillId="0" borderId="4" xfId="0" applyFont="1" applyBorder="1" applyAlignment="1">
      <alignment horizontal="left"/>
    </xf>
    <xf numFmtId="2" fontId="16" fillId="0" borderId="0" xfId="0" applyNumberFormat="1" applyFont="1" applyAlignment="1">
      <alignment wrapText="1"/>
    </xf>
    <xf numFmtId="0" fontId="16" fillId="0" borderId="0" xfId="0" applyFont="1" applyAlignment="1">
      <alignment horizontal="center" vertical="center"/>
    </xf>
    <xf numFmtId="0" fontId="16" fillId="0" borderId="1" xfId="20" applyFont="1" applyBorder="1" applyAlignment="1">
      <alignment horizontal="center" wrapText="1"/>
    </xf>
    <xf numFmtId="0" fontId="16" fillId="0" borderId="1" xfId="11" applyNumberFormat="1" applyFont="1" applyBorder="1" applyAlignment="1">
      <alignment horizontal="center"/>
    </xf>
    <xf numFmtId="165" fontId="16" fillId="0" borderId="0" xfId="24682" applyNumberFormat="1" applyFont="1" applyAlignment="1">
      <alignment horizontal="center"/>
    </xf>
    <xf numFmtId="167" fontId="16" fillId="0" borderId="0" xfId="24682" applyNumberFormat="1" applyFont="1" applyAlignment="1">
      <alignment horizontal="center"/>
    </xf>
    <xf numFmtId="165" fontId="16" fillId="0" borderId="0" xfId="24682" applyNumberFormat="1" applyFont="1" applyFill="1" applyAlignment="1">
      <alignment horizontal="center"/>
    </xf>
    <xf numFmtId="167" fontId="16" fillId="0" borderId="0" xfId="24710" applyNumberFormat="1" applyFont="1" applyAlignment="1">
      <alignment horizontal="center"/>
    </xf>
    <xf numFmtId="165" fontId="16" fillId="0" borderId="0" xfId="24726" applyNumberFormat="1" applyFont="1" applyAlignment="1">
      <alignment horizontal="center"/>
    </xf>
    <xf numFmtId="167" fontId="16" fillId="0" borderId="0" xfId="24726" applyNumberFormat="1" applyFont="1" applyAlignment="1">
      <alignment horizontal="center"/>
    </xf>
    <xf numFmtId="167" fontId="16" fillId="0" borderId="0" xfId="24726" applyNumberFormat="1" applyFont="1" applyFill="1" applyAlignment="1">
      <alignment horizontal="center"/>
    </xf>
    <xf numFmtId="165" fontId="16" fillId="0" borderId="0" xfId="24742" applyNumberFormat="1" applyFont="1" applyAlignment="1">
      <alignment horizontal="center"/>
    </xf>
    <xf numFmtId="167" fontId="16" fillId="0" borderId="0" xfId="24742" applyNumberFormat="1" applyFont="1" applyAlignment="1">
      <alignment horizontal="center"/>
    </xf>
    <xf numFmtId="167" fontId="23" fillId="0" borderId="0" xfId="24742" applyNumberFormat="1" applyFont="1" applyAlignment="1">
      <alignment horizontal="center"/>
    </xf>
    <xf numFmtId="3" fontId="49" fillId="0" borderId="0" xfId="22187" applyNumberFormat="1" applyFont="1" applyBorder="1" applyAlignment="1">
      <alignment horizontal="center"/>
    </xf>
    <xf numFmtId="167" fontId="16" fillId="0" borderId="0" xfId="24758" applyNumberFormat="1" applyFont="1" applyAlignment="1">
      <alignment horizontal="center"/>
    </xf>
    <xf numFmtId="166" fontId="16" fillId="0" borderId="0" xfId="24758" applyNumberFormat="1" applyFont="1" applyAlignment="1">
      <alignment horizontal="center"/>
    </xf>
    <xf numFmtId="2" fontId="16" fillId="0" borderId="0" xfId="15" applyNumberFormat="1" applyFont="1" applyAlignment="1">
      <alignment horizontal="center"/>
    </xf>
    <xf numFmtId="1" fontId="49" fillId="0" borderId="0" xfId="22221" applyNumberFormat="1" applyFont="1" applyAlignment="1">
      <alignment horizontal="center"/>
    </xf>
    <xf numFmtId="1" fontId="49" fillId="0" borderId="1" xfId="22221" applyNumberFormat="1" applyFont="1" applyBorder="1" applyAlignment="1">
      <alignment horizontal="center"/>
    </xf>
    <xf numFmtId="0" fontId="16" fillId="0" borderId="6" xfId="15" applyFont="1" applyBorder="1"/>
    <xf numFmtId="0" fontId="16" fillId="0" borderId="6" xfId="15" applyFont="1" applyBorder="1" applyAlignment="1">
      <alignment horizontal="center" vertical="center" wrapText="1"/>
    </xf>
    <xf numFmtId="0" fontId="16" fillId="0" borderId="5" xfId="15" applyFont="1" applyBorder="1" applyAlignment="1">
      <alignment horizontal="center"/>
    </xf>
    <xf numFmtId="0" fontId="16" fillId="0" borderId="5" xfId="15" applyFont="1" applyBorder="1" applyAlignment="1">
      <alignment horizontal="center" wrapText="1"/>
    </xf>
    <xf numFmtId="0" fontId="16" fillId="0" borderId="5" xfId="15" applyFont="1" applyBorder="1"/>
    <xf numFmtId="0" fontId="16" fillId="0" borderId="11" xfId="15" applyFont="1" applyBorder="1"/>
    <xf numFmtId="169" fontId="16" fillId="0" borderId="0" xfId="15" applyNumberFormat="1" applyFont="1" applyAlignment="1">
      <alignment horizontal="center"/>
    </xf>
    <xf numFmtId="169" fontId="16" fillId="0" borderId="0" xfId="15" applyNumberFormat="1" applyFont="1" applyBorder="1" applyAlignment="1">
      <alignment horizontal="center"/>
    </xf>
    <xf numFmtId="0" fontId="16" fillId="0" borderId="0" xfId="15" applyFont="1" applyBorder="1"/>
    <xf numFmtId="0" fontId="16" fillId="0" borderId="0" xfId="15" applyFont="1" applyBorder="1" applyAlignment="1">
      <alignment horizontal="centerContinuous"/>
    </xf>
    <xf numFmtId="0" fontId="16" fillId="0" borderId="0" xfId="15" applyFont="1" applyAlignment="1">
      <alignment horizontal="left"/>
    </xf>
    <xf numFmtId="2" fontId="16" fillId="0" borderId="0" xfId="15" applyNumberFormat="1" applyFont="1" applyBorder="1" applyAlignment="1">
      <alignment horizontal="centerContinuous"/>
    </xf>
    <xf numFmtId="2" fontId="16" fillId="0" borderId="1" xfId="15" applyNumberFormat="1" applyFont="1" applyBorder="1" applyAlignment="1">
      <alignment horizontal="centerContinuous"/>
    </xf>
    <xf numFmtId="2" fontId="16" fillId="0" borderId="0" xfId="15" applyNumberFormat="1" applyFont="1" applyAlignment="1">
      <alignment horizontal="centerContinuous"/>
    </xf>
    <xf numFmtId="3" fontId="16" fillId="0" borderId="6" xfId="0" applyNumberFormat="1" applyFont="1" applyBorder="1" applyAlignment="1">
      <alignment horizontal="center"/>
    </xf>
    <xf numFmtId="3" fontId="49" fillId="0" borderId="0" xfId="71" applyNumberFormat="1" applyFont="1" applyAlignment="1">
      <alignment horizontal="center"/>
    </xf>
    <xf numFmtId="0" fontId="16" fillId="0" borderId="8" xfId="15" applyFont="1" applyBorder="1"/>
    <xf numFmtId="0" fontId="16" fillId="0" borderId="9" xfId="15" applyFont="1" applyBorder="1" applyAlignment="1">
      <alignment horizontal="center" vertical="center" wrapText="1"/>
    </xf>
    <xf numFmtId="0" fontId="16" fillId="0" borderId="8" xfId="15" applyFont="1" applyBorder="1" applyAlignment="1">
      <alignment horizontal="center" vertical="center" wrapText="1"/>
    </xf>
    <xf numFmtId="0" fontId="16" fillId="0" borderId="7" xfId="15" applyFont="1" applyBorder="1" applyAlignment="1">
      <alignment horizontal="center" vertical="center" wrapText="1"/>
    </xf>
    <xf numFmtId="0" fontId="16" fillId="0" borderId="0" xfId="15" applyFont="1" applyAlignment="1">
      <alignment horizontal="center" vertical="center" wrapText="1"/>
    </xf>
    <xf numFmtId="0" fontId="16" fillId="0" borderId="17" xfId="15" applyFont="1" applyBorder="1"/>
    <xf numFmtId="0" fontId="16" fillId="0" borderId="9" xfId="15" applyFont="1" applyBorder="1"/>
    <xf numFmtId="0" fontId="16" fillId="0" borderId="7" xfId="15" applyFont="1" applyBorder="1"/>
    <xf numFmtId="0" fontId="16" fillId="0" borderId="17" xfId="15" applyFont="1" applyBorder="1" applyAlignment="1">
      <alignment horizontal="center" vertical="center" wrapText="1"/>
    </xf>
    <xf numFmtId="3" fontId="49" fillId="0" borderId="26" xfId="22187" applyNumberFormat="1" applyFont="1" applyBorder="1" applyAlignment="1">
      <alignment horizontal="center"/>
    </xf>
    <xf numFmtId="0" fontId="16" fillId="0" borderId="0" xfId="15" applyFont="1" applyAlignment="1">
      <alignment horizontal="center"/>
    </xf>
    <xf numFmtId="3" fontId="16" fillId="0" borderId="0" xfId="15" applyNumberFormat="1" applyFont="1" applyBorder="1" applyAlignment="1">
      <alignment horizontal="center"/>
    </xf>
    <xf numFmtId="0" fontId="16" fillId="0" borderId="0" xfId="0" applyFont="1" applyBorder="1" applyAlignment="1">
      <alignment horizontal="center" vertical="center"/>
    </xf>
    <xf numFmtId="0" fontId="16" fillId="0" borderId="5" xfId="0" applyFont="1" applyBorder="1" applyAlignment="1">
      <alignment horizontal="center" vertical="center"/>
    </xf>
    <xf numFmtId="2" fontId="16" fillId="0" borderId="0" xfId="0" applyNumberFormat="1" applyFont="1" applyAlignment="1">
      <alignment horizontal="center"/>
    </xf>
    <xf numFmtId="0" fontId="16" fillId="0" borderId="0" xfId="0" applyFont="1" applyAlignment="1"/>
    <xf numFmtId="0" fontId="16" fillId="0" borderId="0" xfId="0" applyFont="1" applyAlignment="1">
      <alignment wrapText="1"/>
    </xf>
    <xf numFmtId="0" fontId="16" fillId="0" borderId="0" xfId="0" applyFont="1" applyAlignment="1">
      <alignment horizontal="center"/>
    </xf>
    <xf numFmtId="0" fontId="16" fillId="0" borderId="0" xfId="0" applyFont="1" applyAlignment="1">
      <alignment horizontal="center" wrapText="1"/>
    </xf>
    <xf numFmtId="0" fontId="16" fillId="0" borderId="0" xfId="0" applyFont="1" applyBorder="1" applyAlignment="1">
      <alignment horizontal="center" wrapText="1"/>
    </xf>
    <xf numFmtId="0" fontId="16" fillId="0" borderId="5" xfId="0" applyFont="1" applyBorder="1" applyAlignment="1">
      <alignment horizontal="center" wrapText="1"/>
    </xf>
    <xf numFmtId="0" fontId="16" fillId="0" borderId="10" xfId="0" applyFont="1" applyBorder="1" applyAlignment="1">
      <alignment horizontal="center" wrapText="1"/>
    </xf>
    <xf numFmtId="2" fontId="16" fillId="0" borderId="0" xfId="19" applyNumberFormat="1" applyFont="1" applyAlignment="1">
      <alignment horizontal="center"/>
    </xf>
    <xf numFmtId="2" fontId="16" fillId="0" borderId="0" xfId="14" applyNumberFormat="1" applyFont="1" applyAlignment="1">
      <alignment horizontal="center" vertical="center"/>
    </xf>
    <xf numFmtId="0" fontId="16" fillId="0" borderId="5" xfId="14" applyFont="1" applyBorder="1" applyAlignment="1">
      <alignment horizontal="center" vertical="center" wrapText="1"/>
    </xf>
    <xf numFmtId="0" fontId="16" fillId="0" borderId="0" xfId="14" applyFont="1" applyAlignment="1">
      <alignment horizontal="left" wrapText="1"/>
    </xf>
    <xf numFmtId="0" fontId="16" fillId="0" borderId="0" xfId="0" applyFont="1" applyBorder="1" applyAlignment="1">
      <alignment horizontal="center"/>
    </xf>
    <xf numFmtId="2" fontId="16" fillId="0" borderId="1" xfId="0" applyNumberFormat="1" applyFont="1" applyBorder="1"/>
    <xf numFmtId="0" fontId="16" fillId="0" borderId="0" xfId="0" applyFont="1"/>
    <xf numFmtId="2" fontId="68" fillId="0" borderId="0" xfId="0" applyNumberFormat="1" applyFont="1" applyAlignment="1">
      <alignment horizontal="center"/>
    </xf>
    <xf numFmtId="165" fontId="16" fillId="0" borderId="10" xfId="0" applyNumberFormat="1" applyFont="1" applyBorder="1" applyAlignment="1">
      <alignment horizontal="center"/>
    </xf>
    <xf numFmtId="165" fontId="16" fillId="0" borderId="2" xfId="0" applyNumberFormat="1" applyFont="1" applyBorder="1" applyAlignment="1">
      <alignment horizontal="center"/>
    </xf>
    <xf numFmtId="0" fontId="16" fillId="0" borderId="3" xfId="24" applyFont="1" applyBorder="1"/>
    <xf numFmtId="2" fontId="16" fillId="0" borderId="0" xfId="24" applyNumberFormat="1" applyFont="1" applyBorder="1" applyAlignment="1">
      <alignment horizontal="center"/>
    </xf>
    <xf numFmtId="0" fontId="17" fillId="0" borderId="0" xfId="24" applyFont="1"/>
    <xf numFmtId="2" fontId="49" fillId="0" borderId="0" xfId="22168" applyNumberFormat="1" applyFont="1"/>
    <xf numFmtId="0" fontId="17" fillId="0" borderId="0" xfId="19" applyFont="1"/>
    <xf numFmtId="0" fontId="16" fillId="0" borderId="5" xfId="19" applyFont="1" applyBorder="1"/>
    <xf numFmtId="0" fontId="16" fillId="0" borderId="10" xfId="19" applyFont="1" applyBorder="1" applyAlignment="1">
      <alignment horizontal="center" vertical="center"/>
    </xf>
    <xf numFmtId="0" fontId="16" fillId="0" borderId="5" xfId="19" applyFont="1" applyBorder="1" applyAlignment="1">
      <alignment horizontal="center" vertical="center"/>
    </xf>
    <xf numFmtId="0" fontId="16" fillId="0" borderId="13" xfId="19" applyFont="1" applyBorder="1" applyAlignment="1">
      <alignment horizontal="center" vertical="center"/>
    </xf>
    <xf numFmtId="0" fontId="16" fillId="0" borderId="5" xfId="19" applyFont="1" applyBorder="1" applyAlignment="1">
      <alignment horizontal="center" vertical="center" wrapText="1"/>
    </xf>
    <xf numFmtId="3" fontId="16" fillId="0" borderId="0" xfId="19" applyNumberFormat="1" applyFont="1" applyAlignment="1">
      <alignment horizontal="center"/>
    </xf>
    <xf numFmtId="3" fontId="16" fillId="0" borderId="12" xfId="19" applyNumberFormat="1" applyFont="1" applyBorder="1" applyAlignment="1">
      <alignment horizontal="center"/>
    </xf>
    <xf numFmtId="0" fontId="16" fillId="0" borderId="0" xfId="19" applyFont="1" applyAlignment="1">
      <alignment horizontal="center"/>
    </xf>
    <xf numFmtId="165" fontId="16" fillId="0" borderId="0" xfId="19" applyNumberFormat="1" applyFont="1" applyAlignment="1">
      <alignment horizontal="center"/>
    </xf>
    <xf numFmtId="3" fontId="16" fillId="0" borderId="0" xfId="19" applyNumberFormat="1" applyFont="1"/>
    <xf numFmtId="0" fontId="16" fillId="0" borderId="10" xfId="19" applyFont="1" applyBorder="1" applyAlignment="1">
      <alignment horizontal="center" vertical="center" wrapText="1"/>
    </xf>
    <xf numFmtId="0" fontId="16" fillId="0" borderId="4" xfId="19" applyFont="1" applyBorder="1"/>
    <xf numFmtId="0" fontId="16" fillId="0" borderId="4" xfId="19" applyFont="1" applyBorder="1" applyAlignment="1">
      <alignment horizontal="center"/>
    </xf>
    <xf numFmtId="10" fontId="16" fillId="0" borderId="0" xfId="19" applyNumberFormat="1" applyFont="1"/>
    <xf numFmtId="6" fontId="16" fillId="0" borderId="0" xfId="19" applyNumberFormat="1" applyFont="1"/>
    <xf numFmtId="0" fontId="16" fillId="0" borderId="10" xfId="19" applyFont="1" applyBorder="1" applyAlignment="1">
      <alignment horizontal="center" wrapText="1"/>
    </xf>
    <xf numFmtId="0" fontId="16" fillId="0" borderId="5" xfId="19" applyFont="1" applyBorder="1" applyAlignment="1">
      <alignment horizontal="center" wrapText="1"/>
    </xf>
    <xf numFmtId="38" fontId="16" fillId="0" borderId="0" xfId="19" applyNumberFormat="1" applyFont="1" applyAlignment="1">
      <alignment horizontal="center"/>
    </xf>
    <xf numFmtId="38" fontId="16" fillId="0" borderId="0" xfId="19" applyNumberFormat="1" applyFont="1"/>
    <xf numFmtId="6" fontId="16" fillId="0" borderId="0" xfId="19" applyNumberFormat="1" applyFont="1" applyAlignment="1">
      <alignment horizontal="center"/>
    </xf>
    <xf numFmtId="3" fontId="79" fillId="0" borderId="4" xfId="19" applyNumberFormat="1" applyFont="1" applyBorder="1" applyAlignment="1">
      <alignment horizontal="center"/>
    </xf>
    <xf numFmtId="3" fontId="79" fillId="0" borderId="0" xfId="19" applyNumberFormat="1" applyFont="1" applyAlignment="1">
      <alignment horizontal="center"/>
    </xf>
    <xf numFmtId="165" fontId="16" fillId="0" borderId="4" xfId="19" applyNumberFormat="1" applyFont="1" applyBorder="1" applyAlignment="1">
      <alignment horizontal="center"/>
    </xf>
    <xf numFmtId="3" fontId="79" fillId="0" borderId="3" xfId="19" applyNumberFormat="1" applyFont="1" applyBorder="1" applyAlignment="1">
      <alignment horizontal="center"/>
    </xf>
    <xf numFmtId="4" fontId="16" fillId="0" borderId="0" xfId="19" applyNumberFormat="1" applyFont="1" applyAlignment="1">
      <alignment horizontal="center"/>
    </xf>
    <xf numFmtId="169" fontId="79" fillId="0" borderId="4" xfId="19" applyNumberFormat="1" applyFont="1" applyBorder="1" applyAlignment="1">
      <alignment horizontal="center"/>
    </xf>
    <xf numFmtId="169" fontId="16" fillId="0" borderId="0" xfId="19" applyNumberFormat="1" applyFont="1"/>
    <xf numFmtId="3" fontId="16" fillId="0" borderId="0" xfId="19" applyNumberFormat="1" applyFont="1" applyAlignment="1">
      <alignment horizontal="left" wrapText="1"/>
    </xf>
    <xf numFmtId="3" fontId="44" fillId="0" borderId="0" xfId="19" applyNumberFormat="1" applyFont="1" applyAlignment="1">
      <alignment horizontal="left" wrapText="1"/>
    </xf>
    <xf numFmtId="0" fontId="16" fillId="0" borderId="0" xfId="19" applyFont="1" applyAlignment="1">
      <alignment horizontal="left" wrapText="1"/>
    </xf>
    <xf numFmtId="0" fontId="16" fillId="0" borderId="5" xfId="19" applyFont="1" applyBorder="1" applyAlignment="1">
      <alignment horizontal="center"/>
    </xf>
    <xf numFmtId="10" fontId="16" fillId="0" borderId="4" xfId="19" applyNumberFormat="1" applyFont="1" applyBorder="1"/>
    <xf numFmtId="10" fontId="16" fillId="0" borderId="0" xfId="19" applyNumberFormat="1" applyFont="1" applyAlignment="1">
      <alignment horizontal="center"/>
    </xf>
    <xf numFmtId="0" fontId="48" fillId="0" borderId="0" xfId="18430" applyFont="1"/>
    <xf numFmtId="0" fontId="48" fillId="0" borderId="0" xfId="19100" applyFont="1"/>
    <xf numFmtId="0" fontId="48" fillId="0" borderId="0" xfId="19782" applyFont="1"/>
    <xf numFmtId="0" fontId="48" fillId="0" borderId="0" xfId="20034" applyFont="1"/>
    <xf numFmtId="0" fontId="48" fillId="0" borderId="0" xfId="20286" applyFont="1"/>
    <xf numFmtId="0" fontId="48" fillId="0" borderId="0" xfId="20538" applyFont="1"/>
    <xf numFmtId="0" fontId="48" fillId="0" borderId="0" xfId="20788" applyFont="1"/>
    <xf numFmtId="0" fontId="48" fillId="0" borderId="0" xfId="21038" applyFont="1"/>
    <xf numFmtId="0" fontId="48" fillId="0" borderId="0" xfId="307" applyFont="1"/>
    <xf numFmtId="0" fontId="48" fillId="0" borderId="0" xfId="308" applyFont="1"/>
    <xf numFmtId="0" fontId="48" fillId="0" borderId="0" xfId="24678" applyFont="1"/>
    <xf numFmtId="1" fontId="23" fillId="0" borderId="0" xfId="0" applyNumberFormat="1" applyFont="1" applyAlignment="1">
      <alignment horizontal="center"/>
    </xf>
    <xf numFmtId="0" fontId="48" fillId="0" borderId="0" xfId="94" applyFont="1"/>
    <xf numFmtId="0" fontId="48" fillId="0" borderId="0" xfId="24672" applyFont="1"/>
    <xf numFmtId="0" fontId="48" fillId="0" borderId="0" xfId="24673" applyFont="1"/>
    <xf numFmtId="0" fontId="48" fillId="0" borderId="0" xfId="24674" applyFont="1"/>
    <xf numFmtId="0" fontId="48" fillId="0" borderId="0" xfId="24675" applyFont="1"/>
    <xf numFmtId="0" fontId="48" fillId="0" borderId="0" xfId="24676" applyFont="1"/>
    <xf numFmtId="0" fontId="48" fillId="0" borderId="0" xfId="24677" applyFont="1"/>
    <xf numFmtId="0" fontId="48" fillId="0" borderId="0" xfId="93" applyFont="1"/>
    <xf numFmtId="0" fontId="48" fillId="0" borderId="0" xfId="91" applyFont="1"/>
    <xf numFmtId="0" fontId="48" fillId="0" borderId="0" xfId="90" applyFont="1"/>
    <xf numFmtId="0" fontId="48" fillId="0" borderId="0" xfId="92" applyFont="1"/>
    <xf numFmtId="0" fontId="48" fillId="0" borderId="0" xfId="89" applyFont="1"/>
    <xf numFmtId="0" fontId="48" fillId="0" borderId="0" xfId="88" applyFont="1"/>
    <xf numFmtId="0" fontId="48" fillId="0" borderId="0" xfId="86" applyFont="1"/>
    <xf numFmtId="0" fontId="48" fillId="0" borderId="0" xfId="83" applyFont="1"/>
    <xf numFmtId="0" fontId="48" fillId="0" borderId="0" xfId="84" applyFont="1"/>
    <xf numFmtId="0" fontId="48" fillId="0" borderId="0" xfId="85" applyFont="1"/>
    <xf numFmtId="0" fontId="48" fillId="0" borderId="0" xfId="81" applyFont="1"/>
    <xf numFmtId="0" fontId="48" fillId="0" borderId="0" xfId="80" applyFont="1"/>
    <xf numFmtId="0" fontId="48" fillId="0" borderId="0" xfId="82" applyFont="1"/>
    <xf numFmtId="0" fontId="48" fillId="0" borderId="0" xfId="76" applyFont="1"/>
    <xf numFmtId="0" fontId="48" fillId="0" borderId="0" xfId="73" applyFont="1"/>
    <xf numFmtId="0" fontId="48" fillId="0" borderId="0" xfId="29" applyFont="1"/>
    <xf numFmtId="165" fontId="48" fillId="0" borderId="0" xfId="28" applyNumberFormat="1" applyFont="1" applyAlignment="1">
      <alignment horizontal="center"/>
    </xf>
    <xf numFmtId="0" fontId="48" fillId="0" borderId="0" xfId="28" applyFont="1"/>
    <xf numFmtId="165" fontId="48" fillId="0" borderId="0" xfId="27" applyNumberFormat="1" applyFont="1" applyAlignment="1">
      <alignment horizontal="center"/>
    </xf>
    <xf numFmtId="0" fontId="48" fillId="0" borderId="0" xfId="27" applyFont="1"/>
    <xf numFmtId="0" fontId="16" fillId="0" borderId="2" xfId="20" applyFont="1" applyBorder="1" applyAlignment="1">
      <alignment horizontal="center" vertical="center" wrapText="1"/>
    </xf>
    <xf numFmtId="165" fontId="16" fillId="0" borderId="0" xfId="20" applyNumberFormat="1" applyFont="1"/>
    <xf numFmtId="0" fontId="16" fillId="0" borderId="0" xfId="20" applyFont="1" applyAlignment="1">
      <alignment horizontal="center"/>
    </xf>
    <xf numFmtId="0" fontId="16" fillId="0" borderId="1" xfId="20" applyFont="1" applyBorder="1" applyAlignment="1">
      <alignment horizontal="center"/>
    </xf>
    <xf numFmtId="165" fontId="16" fillId="0" borderId="1" xfId="20" applyNumberFormat="1" applyFont="1" applyBorder="1" applyAlignment="1">
      <alignment horizontal="center"/>
    </xf>
    <xf numFmtId="165" fontId="16" fillId="0" borderId="1" xfId="20" applyNumberFormat="1" applyFont="1" applyBorder="1"/>
    <xf numFmtId="0" fontId="16" fillId="0" borderId="11" xfId="20" applyFont="1" applyBorder="1"/>
    <xf numFmtId="169" fontId="16" fillId="0" borderId="0" xfId="20" applyNumberFormat="1" applyFont="1" applyBorder="1" applyAlignment="1">
      <alignment horizontal="center"/>
    </xf>
    <xf numFmtId="3" fontId="16" fillId="0" borderId="0" xfId="20" applyNumberFormat="1" applyFont="1"/>
    <xf numFmtId="0" fontId="16" fillId="0" borderId="2" xfId="20" applyFont="1" applyBorder="1"/>
    <xf numFmtId="0" fontId="16" fillId="0" borderId="0" xfId="19" applyFont="1" applyFill="1"/>
    <xf numFmtId="0" fontId="16" fillId="0" borderId="5" xfId="19" applyNumberFormat="1" applyFont="1" applyBorder="1"/>
    <xf numFmtId="0" fontId="16" fillId="0" borderId="0" xfId="19" applyNumberFormat="1" applyFont="1"/>
    <xf numFmtId="1" fontId="16" fillId="0" borderId="4" xfId="19" applyNumberFormat="1" applyFont="1" applyBorder="1" applyAlignment="1">
      <alignment horizontal="center"/>
    </xf>
    <xf numFmtId="169" fontId="16" fillId="0" borderId="4" xfId="19" applyNumberFormat="1" applyFont="1" applyBorder="1" applyAlignment="1">
      <alignment horizontal="center"/>
    </xf>
    <xf numFmtId="169" fontId="16" fillId="0" borderId="12" xfId="19" applyNumberFormat="1" applyFont="1" applyBorder="1" applyAlignment="1">
      <alignment horizontal="center"/>
    </xf>
    <xf numFmtId="169" fontId="16" fillId="0" borderId="0" xfId="19" applyNumberFormat="1" applyFont="1" applyBorder="1" applyAlignment="1">
      <alignment horizontal="center"/>
    </xf>
    <xf numFmtId="169" fontId="16" fillId="0" borderId="4" xfId="19" applyNumberFormat="1" applyFont="1" applyBorder="1"/>
    <xf numFmtId="3" fontId="16" fillId="0" borderId="4" xfId="19" applyNumberFormat="1" applyFont="1" applyBorder="1"/>
    <xf numFmtId="0" fontId="16" fillId="0" borderId="0" xfId="19" applyFont="1" applyFill="1" applyBorder="1"/>
    <xf numFmtId="3" fontId="16" fillId="0" borderId="15" xfId="19" applyNumberFormat="1" applyFont="1" applyBorder="1" applyAlignment="1">
      <alignment horizontal="center"/>
    </xf>
    <xf numFmtId="0" fontId="48" fillId="0" borderId="0" xfId="24681" applyFont="1"/>
    <xf numFmtId="0" fontId="48" fillId="0" borderId="0" xfId="24680" applyFont="1"/>
    <xf numFmtId="0" fontId="16" fillId="0" borderId="1" xfId="19" applyFont="1" applyBorder="1"/>
    <xf numFmtId="0" fontId="16" fillId="0" borderId="0" xfId="19" applyFont="1" applyAlignment="1">
      <alignment horizontal="center" wrapText="1"/>
    </xf>
    <xf numFmtId="0" fontId="16" fillId="0" borderId="0" xfId="19" applyFont="1" applyAlignment="1">
      <alignment horizontal="left"/>
    </xf>
    <xf numFmtId="0" fontId="49" fillId="0" borderId="0" xfId="24679" applyFont="1"/>
    <xf numFmtId="0" fontId="48" fillId="0" borderId="0" xfId="24679" applyFont="1"/>
    <xf numFmtId="3" fontId="16" fillId="0" borderId="0" xfId="3" applyNumberFormat="1" applyFont="1" applyAlignment="1">
      <alignment horizontal="center"/>
    </xf>
    <xf numFmtId="165" fontId="16" fillId="0" borderId="0" xfId="3" applyFont="1" applyAlignment="1">
      <alignment horizontal="right"/>
    </xf>
    <xf numFmtId="0" fontId="16" fillId="0" borderId="4" xfId="20" applyFont="1" applyBorder="1"/>
    <xf numFmtId="3" fontId="16" fillId="0" borderId="0" xfId="20" applyNumberFormat="1" applyFont="1" applyBorder="1"/>
    <xf numFmtId="3" fontId="16" fillId="0" borderId="1" xfId="20" applyNumberFormat="1" applyFont="1" applyBorder="1" applyAlignment="1">
      <alignment horizontal="center"/>
    </xf>
    <xf numFmtId="0" fontId="26" fillId="0" borderId="18" xfId="15" applyFont="1" applyBorder="1"/>
    <xf numFmtId="0" fontId="16" fillId="0" borderId="19" xfId="15" applyFont="1" applyBorder="1"/>
    <xf numFmtId="0" fontId="16" fillId="0" borderId="20" xfId="15" applyFont="1" applyBorder="1"/>
    <xf numFmtId="0" fontId="16" fillId="0" borderId="21" xfId="15" applyFont="1" applyFill="1" applyBorder="1"/>
    <xf numFmtId="0" fontId="16" fillId="0" borderId="20" xfId="15" applyFont="1" applyFill="1" applyBorder="1"/>
    <xf numFmtId="0" fontId="16" fillId="0" borderId="21" xfId="15" applyFont="1" applyBorder="1"/>
    <xf numFmtId="0" fontId="16" fillId="0" borderId="22" xfId="15" applyFont="1" applyBorder="1"/>
    <xf numFmtId="3" fontId="16" fillId="0" borderId="23" xfId="15" applyNumberFormat="1" applyFont="1" applyBorder="1"/>
    <xf numFmtId="3" fontId="16" fillId="0" borderId="27" xfId="15" applyNumberFormat="1" applyFont="1" applyBorder="1"/>
    <xf numFmtId="165" fontId="16" fillId="0" borderId="0" xfId="15" applyNumberFormat="1" applyFont="1"/>
    <xf numFmtId="165" fontId="16" fillId="0" borderId="19" xfId="15" applyNumberFormat="1" applyFont="1" applyBorder="1"/>
    <xf numFmtId="3" fontId="16" fillId="0" borderId="0" xfId="15" applyNumberFormat="1" applyFont="1" applyAlignment="1">
      <alignment horizontal="right"/>
    </xf>
    <xf numFmtId="3" fontId="16" fillId="0" borderId="1" xfId="15" applyNumberFormat="1" applyFont="1" applyBorder="1" applyAlignment="1">
      <alignment horizontal="right"/>
    </xf>
    <xf numFmtId="3" fontId="16" fillId="0" borderId="0" xfId="15" applyNumberFormat="1" applyFont="1"/>
    <xf numFmtId="3" fontId="16" fillId="0" borderId="18" xfId="15" applyNumberFormat="1" applyFont="1" applyBorder="1"/>
    <xf numFmtId="3" fontId="16" fillId="0" borderId="1" xfId="15" applyNumberFormat="1" applyFont="1" applyBorder="1"/>
    <xf numFmtId="0" fontId="16" fillId="0" borderId="5" xfId="15" applyFont="1" applyBorder="1" applyAlignment="1">
      <alignment horizontal="center" vertical="center" wrapText="1"/>
    </xf>
    <xf numFmtId="0" fontId="16" fillId="0" borderId="10" xfId="15" applyFont="1" applyBorder="1" applyAlignment="1">
      <alignment horizontal="center" vertical="center" wrapText="1"/>
    </xf>
    <xf numFmtId="0" fontId="16" fillId="0" borderId="2" xfId="15" applyFont="1" applyBorder="1" applyAlignment="1">
      <alignment horizontal="center" vertical="center" wrapText="1"/>
    </xf>
    <xf numFmtId="3" fontId="80" fillId="0" borderId="0" xfId="15" applyNumberFormat="1" applyFont="1"/>
    <xf numFmtId="0" fontId="80" fillId="0" borderId="0" xfId="15" applyFont="1"/>
    <xf numFmtId="2" fontId="16" fillId="0" borderId="4" xfId="15" applyNumberFormat="1" applyFont="1" applyBorder="1" applyAlignment="1">
      <alignment horizontal="center"/>
    </xf>
    <xf numFmtId="2" fontId="16" fillId="0" borderId="1" xfId="15" applyNumberFormat="1" applyFont="1" applyBorder="1" applyAlignment="1">
      <alignment horizontal="center"/>
    </xf>
    <xf numFmtId="0" fontId="16" fillId="0" borderId="1" xfId="15" applyFont="1" applyBorder="1" applyAlignment="1">
      <alignment horizontal="center"/>
    </xf>
    <xf numFmtId="2" fontId="16" fillId="0" borderId="0" xfId="15" applyNumberFormat="1" applyFont="1" applyBorder="1" applyAlignment="1">
      <alignment horizontal="center"/>
    </xf>
    <xf numFmtId="0" fontId="16" fillId="33" borderId="0" xfId="15" applyFont="1" applyFill="1"/>
    <xf numFmtId="0" fontId="16" fillId="0" borderId="3" xfId="15" applyFont="1" applyBorder="1" applyAlignment="1">
      <alignment horizontal="center" vertical="center" wrapText="1"/>
    </xf>
    <xf numFmtId="0" fontId="16" fillId="0" borderId="11" xfId="15" applyFont="1" applyBorder="1" applyAlignment="1">
      <alignment horizontal="center" vertical="center" wrapText="1"/>
    </xf>
    <xf numFmtId="169" fontId="16" fillId="0" borderId="4" xfId="15" applyNumberFormat="1" applyFont="1" applyBorder="1" applyAlignment="1">
      <alignment horizontal="center"/>
    </xf>
    <xf numFmtId="169" fontId="16" fillId="0" borderId="1" xfId="15" applyNumberFormat="1" applyFont="1" applyBorder="1" applyAlignment="1">
      <alignment horizontal="center"/>
    </xf>
    <xf numFmtId="1" fontId="16" fillId="0" borderId="0" xfId="15" applyNumberFormat="1" applyFont="1"/>
    <xf numFmtId="3" fontId="16" fillId="0" borderId="11" xfId="15" applyNumberFormat="1" applyFont="1" applyBorder="1" applyAlignment="1">
      <alignment horizontal="center"/>
    </xf>
    <xf numFmtId="3" fontId="16" fillId="0" borderId="1" xfId="15" applyNumberFormat="1" applyFont="1" applyBorder="1" applyAlignment="1">
      <alignment horizontal="center"/>
    </xf>
    <xf numFmtId="3" fontId="16" fillId="0" borderId="0" xfId="15" applyNumberFormat="1" applyFont="1" applyAlignment="1">
      <alignment horizontal="center"/>
    </xf>
    <xf numFmtId="0" fontId="48" fillId="0" borderId="0" xfId="22220" applyFont="1"/>
    <xf numFmtId="0" fontId="49" fillId="0" borderId="0" xfId="22191" applyFont="1"/>
    <xf numFmtId="0" fontId="48" fillId="0" borderId="0" xfId="22209" applyFont="1"/>
    <xf numFmtId="0" fontId="48" fillId="0" borderId="0" xfId="22219" applyFont="1"/>
    <xf numFmtId="0" fontId="49" fillId="0" borderId="0" xfId="22192" applyFont="1"/>
    <xf numFmtId="0" fontId="48" fillId="0" borderId="0" xfId="22208" applyFont="1"/>
    <xf numFmtId="0" fontId="48" fillId="0" borderId="0" xfId="22218" applyFont="1"/>
    <xf numFmtId="0" fontId="49" fillId="0" borderId="0" xfId="22193" applyFont="1"/>
    <xf numFmtId="0" fontId="48" fillId="0" borderId="0" xfId="22207" applyFont="1"/>
    <xf numFmtId="0" fontId="48" fillId="0" borderId="0" xfId="22217" applyFont="1"/>
    <xf numFmtId="0" fontId="49" fillId="0" borderId="0" xfId="22194" applyFont="1"/>
    <xf numFmtId="0" fontId="48" fillId="0" borderId="0" xfId="22206" applyFont="1"/>
    <xf numFmtId="0" fontId="48" fillId="0" borderId="0" xfId="22216" applyFont="1"/>
    <xf numFmtId="0" fontId="49" fillId="0" borderId="0" xfId="22195" applyFont="1"/>
    <xf numFmtId="0" fontId="48" fillId="0" borderId="0" xfId="22205" applyFont="1"/>
    <xf numFmtId="0" fontId="48" fillId="0" borderId="0" xfId="22215" applyFont="1"/>
    <xf numFmtId="0" fontId="49" fillId="0" borderId="0" xfId="22196" applyFont="1"/>
    <xf numFmtId="0" fontId="48" fillId="0" borderId="0" xfId="22204" applyFont="1"/>
    <xf numFmtId="0" fontId="48" fillId="0" borderId="0" xfId="22214" applyFont="1"/>
    <xf numFmtId="0" fontId="49" fillId="0" borderId="0" xfId="22197" applyFont="1"/>
    <xf numFmtId="0" fontId="48" fillId="0" borderId="0" xfId="22203" applyFont="1"/>
    <xf numFmtId="0" fontId="48" fillId="0" borderId="0" xfId="22213" applyFont="1"/>
    <xf numFmtId="0" fontId="49" fillId="0" borderId="0" xfId="22198" applyFont="1"/>
    <xf numFmtId="0" fontId="48" fillId="0" borderId="0" xfId="22202" applyFont="1"/>
    <xf numFmtId="0" fontId="48" fillId="0" borderId="0" xfId="22212" applyFont="1"/>
    <xf numFmtId="0" fontId="49" fillId="0" borderId="0" xfId="22199" applyFont="1"/>
    <xf numFmtId="0" fontId="48" fillId="0" borderId="0" xfId="22201" applyFont="1"/>
    <xf numFmtId="0" fontId="48" fillId="0" borderId="0" xfId="22211" applyFont="1"/>
    <xf numFmtId="0" fontId="49" fillId="0" borderId="0" xfId="22190" applyFont="1"/>
    <xf numFmtId="0" fontId="48" fillId="0" borderId="0" xfId="22200" applyFont="1"/>
    <xf numFmtId="0" fontId="48" fillId="0" borderId="0" xfId="22210" applyFont="1"/>
    <xf numFmtId="0" fontId="49" fillId="0" borderId="0" xfId="22189" applyFont="1"/>
    <xf numFmtId="0" fontId="48" fillId="0" borderId="0" xfId="22189" applyFont="1"/>
    <xf numFmtId="0" fontId="48" fillId="0" borderId="0" xfId="22257" applyFont="1"/>
    <xf numFmtId="0" fontId="48" fillId="0" borderId="0" xfId="22259" applyFont="1" applyAlignment="1">
      <alignment horizontal="center"/>
    </xf>
    <xf numFmtId="0" fontId="71" fillId="0" borderId="0" xfId="22256" applyNumberFormat="1" applyFont="1" applyAlignment="1" applyProtection="1">
      <alignment horizontal="left" vertical="center" wrapText="1"/>
    </xf>
    <xf numFmtId="0" fontId="48" fillId="0" borderId="0" xfId="24668" applyFont="1"/>
    <xf numFmtId="0" fontId="71" fillId="0" borderId="0" xfId="22256" applyNumberFormat="1" applyFont="1" applyAlignment="1" applyProtection="1">
      <alignment vertical="center" wrapText="1"/>
    </xf>
    <xf numFmtId="0" fontId="48" fillId="0" borderId="25" xfId="22257" applyFont="1" applyBorder="1"/>
    <xf numFmtId="0" fontId="48" fillId="0" borderId="26" xfId="22257" applyFont="1" applyBorder="1"/>
    <xf numFmtId="0" fontId="48" fillId="0" borderId="29" xfId="22257" applyFont="1" applyBorder="1"/>
    <xf numFmtId="0" fontId="71" fillId="0" borderId="0" xfId="22256" applyFont="1" applyAlignment="1" applyProtection="1"/>
    <xf numFmtId="2" fontId="16" fillId="0" borderId="0" xfId="0" applyNumberFormat="1" applyFont="1" applyAlignment="1">
      <alignment horizontal="center"/>
    </xf>
    <xf numFmtId="0" fontId="16" fillId="0" borderId="0" xfId="0" applyFont="1"/>
    <xf numFmtId="0" fontId="36" fillId="0" borderId="0" xfId="15" applyFont="1" applyAlignment="1">
      <alignment horizontal="left"/>
    </xf>
    <xf numFmtId="3" fontId="24" fillId="0" borderId="0" xfId="0" applyNumberFormat="1" applyFont="1" applyAlignment="1">
      <alignment horizontal="center"/>
    </xf>
    <xf numFmtId="0" fontId="0" fillId="0" borderId="0" xfId="0" applyAlignment="1">
      <alignment wrapText="1"/>
    </xf>
    <xf numFmtId="1" fontId="49" fillId="0" borderId="50" xfId="24671" applyNumberFormat="1" applyFont="1" applyBorder="1" applyAlignment="1">
      <alignment horizontal="center"/>
    </xf>
    <xf numFmtId="2" fontId="49" fillId="0" borderId="55" xfId="24671" applyNumberFormat="1" applyFont="1" applyBorder="1" applyAlignment="1">
      <alignment horizontal="center"/>
    </xf>
    <xf numFmtId="0" fontId="81" fillId="0" borderId="0" xfId="0" applyFont="1"/>
    <xf numFmtId="0" fontId="16" fillId="0" borderId="1" xfId="22" applyFont="1" applyBorder="1" applyAlignment="1">
      <alignment horizontal="right"/>
    </xf>
    <xf numFmtId="9" fontId="16" fillId="0" borderId="0" xfId="19" applyNumberFormat="1" applyFont="1"/>
    <xf numFmtId="1" fontId="16" fillId="0" borderId="0" xfId="19" applyNumberFormat="1" applyFont="1"/>
    <xf numFmtId="0" fontId="16" fillId="0" borderId="1" xfId="22" applyFont="1" applyBorder="1" applyAlignment="1">
      <alignment horizontal="center" vertical="center" wrapText="1"/>
    </xf>
    <xf numFmtId="49" fontId="16" fillId="0" borderId="6" xfId="22" applyNumberFormat="1" applyFont="1" applyBorder="1" applyAlignment="1">
      <alignment horizontal="center"/>
    </xf>
    <xf numFmtId="0" fontId="82" fillId="34" borderId="0" xfId="0" applyFont="1" applyFill="1"/>
    <xf numFmtId="0" fontId="0" fillId="34" borderId="0" xfId="0" applyFill="1"/>
    <xf numFmtId="175" fontId="27" fillId="35" borderId="0" xfId="0" applyNumberFormat="1" applyFont="1" applyFill="1"/>
    <xf numFmtId="169" fontId="14" fillId="0" borderId="0" xfId="24762" applyNumberFormat="1" applyFont="1" applyBorder="1" applyAlignment="1" applyProtection="1">
      <alignment horizontal="center"/>
    </xf>
    <xf numFmtId="0" fontId="27" fillId="0" borderId="56" xfId="0" applyFont="1" applyBorder="1" applyAlignment="1">
      <alignment wrapText="1"/>
    </xf>
    <xf numFmtId="0" fontId="0" fillId="0" borderId="56" xfId="0" applyBorder="1" applyAlignment="1">
      <alignment wrapText="1"/>
    </xf>
    <xf numFmtId="2" fontId="16" fillId="0" borderId="0" xfId="1" applyNumberFormat="1" applyFont="1" applyAlignment="1">
      <alignment horizontal="center"/>
    </xf>
    <xf numFmtId="0" fontId="17" fillId="0" borderId="0" xfId="14" applyFont="1"/>
    <xf numFmtId="2" fontId="16" fillId="0" borderId="0" xfId="19" applyNumberFormat="1" applyFont="1" applyAlignment="1">
      <alignment horizontal="center" wrapText="1"/>
    </xf>
    <xf numFmtId="2" fontId="68" fillId="0" borderId="0" xfId="19" applyNumberFormat="1" applyFont="1" applyBorder="1" applyAlignment="1">
      <alignment horizontal="center"/>
    </xf>
    <xf numFmtId="2" fontId="46" fillId="0" borderId="10" xfId="0" applyNumberFormat="1" applyFont="1" applyBorder="1" applyAlignment="1">
      <alignment horizontal="center"/>
    </xf>
    <xf numFmtId="3" fontId="84" fillId="0" borderId="5" xfId="22222" applyNumberFormat="1" applyFont="1" applyBorder="1" applyAlignment="1">
      <alignment horizontal="center"/>
    </xf>
    <xf numFmtId="165" fontId="84" fillId="0" borderId="5" xfId="22223" applyNumberFormat="1" applyFont="1" applyBorder="1" applyAlignment="1">
      <alignment horizontal="center"/>
    </xf>
    <xf numFmtId="165" fontId="85" fillId="0" borderId="0" xfId="0" applyNumberFormat="1" applyFont="1" applyBorder="1" applyAlignment="1">
      <alignment horizontal="center"/>
    </xf>
    <xf numFmtId="0" fontId="36" fillId="0" borderId="5" xfId="0" applyFont="1" applyBorder="1" applyAlignment="1">
      <alignment horizontal="center"/>
    </xf>
    <xf numFmtId="0" fontId="36" fillId="0" borderId="2" xfId="0" applyFont="1" applyBorder="1" applyAlignment="1">
      <alignment horizontal="center"/>
    </xf>
    <xf numFmtId="0" fontId="16" fillId="0" borderId="0" xfId="0" applyFont="1" applyBorder="1" applyAlignment="1">
      <alignment horizontal="left" wrapText="1"/>
    </xf>
    <xf numFmtId="2" fontId="16" fillId="0" borderId="0" xfId="0" applyNumberFormat="1" applyFont="1" applyAlignment="1">
      <alignment horizontal="center"/>
    </xf>
    <xf numFmtId="0" fontId="16" fillId="0" borderId="0" xfId="0" applyFont="1" applyAlignment="1">
      <alignment horizontal="center"/>
    </xf>
    <xf numFmtId="0" fontId="16" fillId="0" borderId="0" xfId="0" applyFont="1"/>
    <xf numFmtId="0" fontId="16" fillId="0" borderId="0" xfId="0" applyFont="1" applyBorder="1" applyAlignment="1">
      <alignment horizontal="center"/>
    </xf>
    <xf numFmtId="0" fontId="16" fillId="0" borderId="5" xfId="0" applyFont="1" applyBorder="1"/>
    <xf numFmtId="0" fontId="16" fillId="0" borderId="0" xfId="0" applyFont="1" applyAlignment="1">
      <alignment horizontal="left"/>
    </xf>
    <xf numFmtId="0" fontId="16" fillId="0" borderId="5" xfId="0" applyFont="1" applyBorder="1" applyAlignment="1">
      <alignment horizontal="center" vertical="center"/>
    </xf>
    <xf numFmtId="0" fontId="16" fillId="0" borderId="0" xfId="0" applyFont="1" applyBorder="1" applyAlignment="1">
      <alignment horizontal="left" wrapText="1"/>
    </xf>
    <xf numFmtId="2" fontId="16" fillId="0" borderId="0" xfId="0" applyNumberFormat="1" applyFont="1" applyAlignment="1">
      <alignment horizontal="center"/>
    </xf>
    <xf numFmtId="0" fontId="16" fillId="0" borderId="5" xfId="0" applyFont="1" applyBorder="1" applyAlignment="1">
      <alignment horizontal="center" vertical="center" wrapText="1"/>
    </xf>
    <xf numFmtId="0" fontId="16" fillId="0" borderId="0" xfId="0" applyFont="1" applyAlignment="1"/>
    <xf numFmtId="0" fontId="16" fillId="0" borderId="10" xfId="0" applyFont="1" applyBorder="1" applyAlignment="1">
      <alignment horizontal="center" vertical="center" wrapText="1"/>
    </xf>
    <xf numFmtId="0" fontId="16" fillId="0" borderId="0" xfId="0" applyFont="1" applyAlignment="1">
      <alignment horizontal="center"/>
    </xf>
    <xf numFmtId="0" fontId="16" fillId="0" borderId="0" xfId="0" applyFont="1"/>
    <xf numFmtId="0" fontId="16" fillId="0" borderId="5" xfId="0" applyFont="1" applyBorder="1"/>
    <xf numFmtId="0" fontId="16" fillId="0" borderId="0" xfId="0" applyFont="1" applyAlignment="1">
      <alignment horizontal="left"/>
    </xf>
    <xf numFmtId="169" fontId="16" fillId="0" borderId="0" xfId="15" applyNumberFormat="1" applyFont="1"/>
    <xf numFmtId="1" fontId="16" fillId="0" borderId="13" xfId="0" applyNumberFormat="1" applyFont="1" applyBorder="1" applyAlignment="1">
      <alignment horizontal="center"/>
    </xf>
    <xf numFmtId="4" fontId="16" fillId="0" borderId="0" xfId="0" applyNumberFormat="1" applyFont="1" applyBorder="1" applyAlignment="1">
      <alignment horizontal="center"/>
    </xf>
    <xf numFmtId="165" fontId="49" fillId="0" borderId="0" xfId="22167" applyNumberFormat="1" applyFont="1" applyAlignment="1">
      <alignment horizontal="center"/>
    </xf>
    <xf numFmtId="165" fontId="49" fillId="0" borderId="0" xfId="22168" applyNumberFormat="1" applyFont="1" applyAlignment="1">
      <alignment horizontal="center"/>
    </xf>
    <xf numFmtId="165" fontId="49" fillId="0" borderId="0" xfId="22169" applyNumberFormat="1" applyFont="1" applyAlignment="1">
      <alignment horizontal="center"/>
    </xf>
    <xf numFmtId="2" fontId="16" fillId="0" borderId="0" xfId="0" applyNumberFormat="1" applyFont="1" applyAlignment="1">
      <alignment horizontal="center"/>
    </xf>
    <xf numFmtId="0" fontId="16" fillId="0" borderId="0" xfId="0" applyFont="1"/>
    <xf numFmtId="0" fontId="16" fillId="0" borderId="11" xfId="0" applyFont="1" applyBorder="1"/>
    <xf numFmtId="0" fontId="16" fillId="0" borderId="1" xfId="24763" applyFont="1" applyBorder="1"/>
    <xf numFmtId="2" fontId="16" fillId="0" borderId="0" xfId="24763" applyNumberFormat="1" applyFont="1" applyAlignment="1">
      <alignment horizontal="center"/>
    </xf>
    <xf numFmtId="0" fontId="16" fillId="0" borderId="0" xfId="24763" applyFont="1"/>
    <xf numFmtId="0" fontId="49" fillId="0" borderId="0" xfId="24764" applyFont="1"/>
    <xf numFmtId="0" fontId="49" fillId="0" borderId="0" xfId="24765" applyFont="1"/>
    <xf numFmtId="165" fontId="16" fillId="0" borderId="0" xfId="24763" applyNumberFormat="1" applyFont="1"/>
    <xf numFmtId="0" fontId="16" fillId="0" borderId="0" xfId="24763" applyFont="1" applyBorder="1"/>
    <xf numFmtId="2" fontId="16" fillId="0" borderId="0" xfId="24763" applyNumberFormat="1" applyFont="1"/>
    <xf numFmtId="165" fontId="16" fillId="0" borderId="0" xfId="24763" applyNumberFormat="1" applyFont="1" applyAlignment="1">
      <alignment horizontal="center"/>
    </xf>
    <xf numFmtId="165" fontId="16" fillId="0" borderId="0" xfId="24763" applyNumberFormat="1" applyFont="1" applyBorder="1" applyAlignment="1">
      <alignment horizontal="center"/>
    </xf>
    <xf numFmtId="2" fontId="16" fillId="0" borderId="0" xfId="24763" applyNumberFormat="1" applyFont="1" applyAlignment="1">
      <alignment horizontal="center" vertical="center"/>
    </xf>
    <xf numFmtId="0" fontId="16" fillId="0" borderId="0" xfId="24763" applyFont="1" applyBorder="1" applyAlignment="1">
      <alignment horizontal="left"/>
    </xf>
    <xf numFmtId="0" fontId="16" fillId="0" borderId="0" xfId="24763" applyFont="1" applyBorder="1" applyAlignment="1">
      <alignment horizontal="left" wrapText="1"/>
    </xf>
    <xf numFmtId="170" fontId="16" fillId="0" borderId="0" xfId="24763" applyNumberFormat="1" applyFont="1"/>
    <xf numFmtId="4" fontId="16" fillId="0" borderId="0" xfId="24763" applyNumberFormat="1" applyFont="1"/>
    <xf numFmtId="0" fontId="48" fillId="0" borderId="0" xfId="24766" applyFont="1"/>
    <xf numFmtId="0" fontId="48" fillId="0" borderId="0" xfId="24767" applyFont="1"/>
    <xf numFmtId="0" fontId="16" fillId="0" borderId="0" xfId="24763" applyFont="1" applyBorder="1" applyAlignment="1">
      <alignment vertical="center"/>
    </xf>
    <xf numFmtId="0" fontId="48" fillId="0" borderId="0" xfId="24768" applyFont="1"/>
    <xf numFmtId="0" fontId="48" fillId="0" borderId="0" xfId="24769" applyFont="1"/>
    <xf numFmtId="3" fontId="49" fillId="0" borderId="0" xfId="309" applyNumberFormat="1" applyFont="1" applyAlignment="1">
      <alignment horizontal="center"/>
    </xf>
    <xf numFmtId="169" fontId="49" fillId="0" borderId="0" xfId="309" applyNumberFormat="1" applyFont="1" applyAlignment="1">
      <alignment horizontal="center"/>
    </xf>
    <xf numFmtId="1" fontId="16" fillId="0" borderId="6" xfId="0" applyNumberFormat="1" applyFont="1" applyBorder="1" applyAlignment="1">
      <alignment horizontal="center"/>
    </xf>
    <xf numFmtId="2" fontId="16" fillId="0" borderId="5" xfId="0" applyNumberFormat="1" applyFont="1" applyBorder="1" applyAlignment="1">
      <alignment horizontal="right"/>
    </xf>
    <xf numFmtId="49" fontId="16" fillId="0" borderId="1" xfId="0" applyNumberFormat="1" applyFont="1" applyBorder="1"/>
    <xf numFmtId="2" fontId="16" fillId="0" borderId="1" xfId="24763" applyNumberFormat="1" applyFont="1" applyBorder="1" applyAlignment="1">
      <alignment horizontal="right"/>
    </xf>
    <xf numFmtId="0" fontId="16" fillId="0" borderId="2" xfId="0" applyFont="1" applyBorder="1" applyAlignment="1">
      <alignment horizontal="right"/>
    </xf>
    <xf numFmtId="49" fontId="16" fillId="0" borderId="6" xfId="0" applyNumberFormat="1" applyFont="1" applyBorder="1" applyAlignment="1">
      <alignment horizontal="center" vertical="center" wrapText="1"/>
    </xf>
    <xf numFmtId="3" fontId="49" fillId="0" borderId="0" xfId="22170" applyNumberFormat="1" applyFont="1" applyBorder="1" applyAlignment="1">
      <alignment horizontal="center"/>
    </xf>
    <xf numFmtId="49" fontId="16" fillId="0" borderId="1" xfId="0" applyNumberFormat="1" applyFont="1" applyBorder="1" applyAlignment="1">
      <alignment horizontal="right" wrapText="1"/>
    </xf>
    <xf numFmtId="1" fontId="16" fillId="0" borderId="1" xfId="0" applyNumberFormat="1" applyFont="1" applyBorder="1" applyAlignment="1">
      <alignment horizontal="right"/>
    </xf>
    <xf numFmtId="0" fontId="16" fillId="0" borderId="1" xfId="0" applyFont="1" applyBorder="1" applyAlignment="1">
      <alignment wrapText="1"/>
    </xf>
    <xf numFmtId="0" fontId="16" fillId="0" borderId="1" xfId="14" applyFont="1" applyBorder="1" applyAlignment="1">
      <alignment horizontal="left" vertical="center" wrapText="1"/>
    </xf>
    <xf numFmtId="0" fontId="23" fillId="0" borderId="2" xfId="14" applyFont="1" applyBorder="1" applyAlignment="1">
      <alignment horizontal="center" vertical="center" wrapText="1"/>
    </xf>
    <xf numFmtId="0" fontId="23" fillId="0" borderId="5" xfId="14" applyFont="1" applyBorder="1" applyAlignment="1">
      <alignment horizontal="center" vertical="center" wrapText="1"/>
    </xf>
    <xf numFmtId="2" fontId="16" fillId="0" borderId="0" xfId="0" applyNumberFormat="1" applyFont="1" applyAlignment="1">
      <alignment horizontal="center"/>
    </xf>
    <xf numFmtId="0" fontId="16" fillId="0" borderId="0" xfId="0" applyFont="1" applyAlignment="1"/>
    <xf numFmtId="0" fontId="16" fillId="0" borderId="0" xfId="0" applyFont="1" applyAlignment="1">
      <alignment wrapText="1"/>
    </xf>
    <xf numFmtId="0" fontId="16" fillId="0" borderId="0" xfId="0" applyFont="1"/>
    <xf numFmtId="0" fontId="16" fillId="0" borderId="0" xfId="20" applyFont="1" applyAlignment="1">
      <alignment horizontal="left" wrapText="1"/>
    </xf>
    <xf numFmtId="0" fontId="16" fillId="0" borderId="0" xfId="0" applyFont="1"/>
    <xf numFmtId="165" fontId="68" fillId="0" borderId="0" xfId="0" applyNumberFormat="1" applyFont="1"/>
    <xf numFmtId="169" fontId="16" fillId="0" borderId="0" xfId="2" applyNumberFormat="1" applyFont="1" applyFill="1" applyBorder="1" applyAlignment="1">
      <alignment horizontal="center"/>
    </xf>
    <xf numFmtId="1" fontId="36" fillId="0" borderId="8" xfId="0" applyNumberFormat="1" applyFont="1" applyBorder="1" applyAlignment="1">
      <alignment horizontal="center" wrapText="1"/>
    </xf>
    <xf numFmtId="0" fontId="36" fillId="0" borderId="26" xfId="0" applyFont="1" applyBorder="1" applyAlignment="1">
      <alignment horizontal="center"/>
    </xf>
    <xf numFmtId="0" fontId="16" fillId="0" borderId="29" xfId="0" applyFont="1" applyBorder="1" applyAlignment="1">
      <alignment horizontal="center" wrapText="1"/>
    </xf>
    <xf numFmtId="0" fontId="1" fillId="0" borderId="0" xfId="24671" applyFont="1"/>
    <xf numFmtId="2" fontId="1" fillId="0" borderId="0" xfId="24671" applyNumberFormat="1" applyFont="1"/>
    <xf numFmtId="0" fontId="1" fillId="0" borderId="0" xfId="24671" applyFont="1" applyBorder="1"/>
    <xf numFmtId="165" fontId="49" fillId="0" borderId="47" xfId="24671" applyNumberFormat="1" applyFont="1" applyBorder="1" applyAlignment="1">
      <alignment horizontal="center"/>
    </xf>
    <xf numFmtId="165" fontId="49" fillId="0" borderId="52" xfId="24671" applyNumberFormat="1" applyFont="1" applyBorder="1" applyAlignment="1">
      <alignment horizontal="center"/>
    </xf>
    <xf numFmtId="165" fontId="49" fillId="0" borderId="50" xfId="24671" applyNumberFormat="1" applyFont="1" applyBorder="1" applyAlignment="1">
      <alignment horizontal="center"/>
    </xf>
    <xf numFmtId="0" fontId="48" fillId="0" borderId="0" xfId="0" applyFont="1" applyBorder="1"/>
    <xf numFmtId="9" fontId="48" fillId="0" borderId="0" xfId="0" applyNumberFormat="1" applyFont="1" applyBorder="1"/>
    <xf numFmtId="1" fontId="48" fillId="0" borderId="0" xfId="0" applyNumberFormat="1" applyFont="1" applyBorder="1" applyAlignment="1">
      <alignment horizontal="center"/>
    </xf>
    <xf numFmtId="1" fontId="49" fillId="0" borderId="0" xfId="0" applyNumberFormat="1" applyFont="1" applyBorder="1" applyAlignment="1">
      <alignment horizontal="center"/>
    </xf>
    <xf numFmtId="0" fontId="48" fillId="0" borderId="0" xfId="0" applyFont="1" applyBorder="1" applyAlignment="1">
      <alignment horizontal="center"/>
    </xf>
    <xf numFmtId="9" fontId="0" fillId="0" borderId="0" xfId="0" applyNumberFormat="1"/>
    <xf numFmtId="0" fontId="87" fillId="0" borderId="0" xfId="0" applyFont="1"/>
    <xf numFmtId="0" fontId="68" fillId="0" borderId="0" xfId="0" applyFont="1"/>
    <xf numFmtId="167" fontId="41" fillId="0" borderId="0" xfId="0" applyNumberFormat="1" applyFont="1" applyBorder="1" applyAlignment="1">
      <alignment horizontal="center"/>
    </xf>
    <xf numFmtId="2" fontId="16" fillId="0" borderId="10" xfId="0" applyNumberFormat="1" applyFont="1" applyBorder="1" applyAlignment="1">
      <alignment horizontal="center"/>
    </xf>
    <xf numFmtId="0" fontId="16" fillId="0" borderId="0" xfId="0" applyFont="1"/>
    <xf numFmtId="0" fontId="16" fillId="0" borderId="0" xfId="0" applyFont="1"/>
    <xf numFmtId="0" fontId="16" fillId="0" borderId="5" xfId="0" applyFont="1" applyBorder="1" applyAlignment="1">
      <alignment horizontal="center" vertical="center" wrapText="1"/>
    </xf>
    <xf numFmtId="0" fontId="16" fillId="0" borderId="0" xfId="0" applyFont="1"/>
    <xf numFmtId="0" fontId="16" fillId="0" borderId="0" xfId="0" applyFont="1" applyBorder="1" applyAlignment="1">
      <alignment horizontal="center" wrapText="1"/>
    </xf>
    <xf numFmtId="0" fontId="16" fillId="0" borderId="5" xfId="0" applyFont="1" applyBorder="1" applyAlignment="1">
      <alignment horizontal="center" wrapText="1"/>
    </xf>
    <xf numFmtId="2" fontId="16" fillId="0" borderId="0" xfId="14" applyNumberFormat="1" applyFont="1" applyAlignment="1">
      <alignment horizontal="center" vertical="center"/>
    </xf>
    <xf numFmtId="0" fontId="16" fillId="0" borderId="4" xfId="0" applyFont="1" applyBorder="1" applyAlignment="1">
      <alignment horizontal="center"/>
    </xf>
    <xf numFmtId="0" fontId="16" fillId="0" borderId="5" xfId="0" applyFont="1" applyBorder="1"/>
    <xf numFmtId="0" fontId="16" fillId="0" borderId="1" xfId="20" applyFont="1" applyBorder="1" applyAlignment="1">
      <alignment horizontal="center"/>
    </xf>
    <xf numFmtId="0" fontId="16" fillId="0" borderId="0" xfId="24770" applyFont="1"/>
    <xf numFmtId="0" fontId="89" fillId="0" borderId="0" xfId="24763" applyFont="1" applyAlignment="1">
      <alignment horizontal="center" vertical="center" wrapText="1"/>
    </xf>
    <xf numFmtId="0" fontId="16" fillId="0" borderId="0" xfId="24770" applyFont="1" applyAlignment="1">
      <alignment horizontal="center" vertical="center" wrapText="1"/>
    </xf>
    <xf numFmtId="0" fontId="23" fillId="0" borderId="0" xfId="24770" applyFont="1"/>
    <xf numFmtId="0" fontId="90" fillId="0" borderId="0" xfId="24763" applyFont="1" applyAlignment="1">
      <alignment horizontal="center" wrapText="1"/>
    </xf>
    <xf numFmtId="0" fontId="89" fillId="0" borderId="0" xfId="24763" applyFont="1" applyAlignment="1">
      <alignment horizontal="left" wrapText="1"/>
    </xf>
    <xf numFmtId="0" fontId="90" fillId="0" borderId="0" xfId="24763" applyFont="1" applyAlignment="1">
      <alignment horizontal="left" wrapText="1"/>
    </xf>
    <xf numFmtId="0" fontId="16" fillId="0" borderId="0" xfId="24770" applyFont="1" applyBorder="1" applyAlignment="1">
      <alignment horizontal="center" vertical="center"/>
    </xf>
    <xf numFmtId="0" fontId="16" fillId="0" borderId="5" xfId="24770" applyFont="1" applyBorder="1"/>
    <xf numFmtId="0" fontId="16" fillId="0" borderId="0" xfId="24770" applyFont="1" applyAlignment="1"/>
    <xf numFmtId="0" fontId="23" fillId="0" borderId="0" xfId="24770" applyFont="1" applyAlignment="1">
      <alignment wrapText="1"/>
    </xf>
    <xf numFmtId="0" fontId="92" fillId="0" borderId="0" xfId="24763" applyFont="1" applyAlignment="1">
      <alignment horizontal="center" vertical="center" wrapText="1"/>
    </xf>
    <xf numFmtId="0" fontId="92" fillId="0" borderId="0" xfId="24763" applyFont="1" applyAlignment="1">
      <alignment horizontal="left" wrapText="1"/>
    </xf>
    <xf numFmtId="0" fontId="93" fillId="0" borderId="0" xfId="24763" applyFont="1" applyAlignment="1">
      <alignment horizontal="center" wrapText="1"/>
    </xf>
    <xf numFmtId="165" fontId="93" fillId="0" borderId="0" xfId="24763" applyNumberFormat="1" applyFont="1" applyAlignment="1">
      <alignment horizontal="center" wrapText="1"/>
    </xf>
    <xf numFmtId="0" fontId="93" fillId="0" borderId="0" xfId="24763" applyFont="1" applyAlignment="1">
      <alignment horizontal="left" wrapText="1"/>
    </xf>
    <xf numFmtId="165" fontId="16" fillId="0" borderId="0" xfId="24770" applyNumberFormat="1" applyFont="1" applyAlignment="1">
      <alignment horizontal="center"/>
    </xf>
    <xf numFmtId="0" fontId="16" fillId="0" borderId="0" xfId="0" applyFont="1"/>
    <xf numFmtId="0" fontId="17" fillId="0" borderId="0" xfId="0" applyFont="1" applyAlignment="1">
      <alignment horizontal="left"/>
    </xf>
    <xf numFmtId="2" fontId="16" fillId="0" borderId="4" xfId="0" applyNumberFormat="1" applyFont="1" applyBorder="1" applyAlignment="1">
      <alignment horizontal="center"/>
    </xf>
    <xf numFmtId="0" fontId="16" fillId="0" borderId="0" xfId="11" applyNumberFormat="1" applyFont="1" applyBorder="1" applyAlignment="1">
      <alignment horizontal="right"/>
    </xf>
    <xf numFmtId="2" fontId="16" fillId="0" borderId="4" xfId="0" applyNumberFormat="1" applyFont="1" applyBorder="1"/>
    <xf numFmtId="0" fontId="16" fillId="0" borderId="0" xfId="14" applyFont="1" applyBorder="1" applyAlignment="1">
      <alignment horizontal="right"/>
    </xf>
    <xf numFmtId="0" fontId="16" fillId="0" borderId="1" xfId="0" applyFont="1" applyBorder="1" applyAlignment="1">
      <alignment horizontal="right" vertical="center"/>
    </xf>
    <xf numFmtId="0" fontId="16" fillId="0" borderId="5" xfId="19" applyFont="1" applyBorder="1" applyAlignment="1">
      <alignment vertical="center"/>
    </xf>
    <xf numFmtId="0" fontId="77" fillId="0" borderId="0" xfId="0" applyFont="1" applyBorder="1"/>
    <xf numFmtId="0" fontId="23" fillId="0" borderId="0" xfId="6" applyFont="1" applyBorder="1"/>
    <xf numFmtId="0" fontId="20" fillId="0" borderId="0" xfId="6" applyFont="1" applyBorder="1" applyAlignment="1">
      <alignment horizontal="center"/>
    </xf>
    <xf numFmtId="17" fontId="20" fillId="0" borderId="0" xfId="6" applyNumberFormat="1" applyFont="1" applyBorder="1" applyAlignment="1">
      <alignment horizontal="center"/>
    </xf>
    <xf numFmtId="0" fontId="75" fillId="0" borderId="0" xfId="0" applyFont="1" applyBorder="1"/>
    <xf numFmtId="17" fontId="48" fillId="0" borderId="0" xfId="0" applyNumberFormat="1" applyFont="1" applyBorder="1" applyAlignment="1">
      <alignment horizontal="center"/>
    </xf>
    <xf numFmtId="0" fontId="49" fillId="0" borderId="0" xfId="0" applyFont="1" applyBorder="1"/>
    <xf numFmtId="0" fontId="20" fillId="0" borderId="4" xfId="6" applyFont="1" applyBorder="1" applyAlignment="1">
      <alignment horizontal="center"/>
    </xf>
    <xf numFmtId="1" fontId="48" fillId="0" borderId="4" xfId="0" applyNumberFormat="1" applyFont="1" applyBorder="1" applyAlignment="1">
      <alignment horizontal="center"/>
    </xf>
    <xf numFmtId="0" fontId="48" fillId="0" borderId="5" xfId="0" applyFont="1" applyBorder="1"/>
    <xf numFmtId="0" fontId="20" fillId="0" borderId="9" xfId="0" applyFont="1" applyBorder="1"/>
    <xf numFmtId="0" fontId="48" fillId="0" borderId="8" xfId="0" applyFont="1" applyBorder="1"/>
    <xf numFmtId="9" fontId="48" fillId="0" borderId="8" xfId="0" applyNumberFormat="1" applyFont="1" applyBorder="1"/>
    <xf numFmtId="165" fontId="86" fillId="0" borderId="9" xfId="6" applyNumberFormat="1" applyFont="1" applyBorder="1" applyAlignment="1">
      <alignment horizontal="center"/>
    </xf>
    <xf numFmtId="165" fontId="86" fillId="0" borderId="8" xfId="6" applyNumberFormat="1" applyFont="1" applyBorder="1" applyAlignment="1">
      <alignment horizontal="center"/>
    </xf>
    <xf numFmtId="165" fontId="75" fillId="0" borderId="8" xfId="0" applyNumberFormat="1" applyFont="1" applyBorder="1" applyAlignment="1">
      <alignment horizontal="center"/>
    </xf>
    <xf numFmtId="165" fontId="86" fillId="0" borderId="7" xfId="6" applyNumberFormat="1" applyFont="1" applyFill="1" applyBorder="1" applyAlignment="1">
      <alignment horizontal="center"/>
    </xf>
    <xf numFmtId="165" fontId="23" fillId="0" borderId="8" xfId="6" applyNumberFormat="1" applyFont="1" applyBorder="1" applyAlignment="1">
      <alignment horizontal="center"/>
    </xf>
    <xf numFmtId="165" fontId="86" fillId="0" borderId="7" xfId="6" applyNumberFormat="1" applyFont="1" applyBorder="1" applyAlignment="1">
      <alignment horizontal="center"/>
    </xf>
    <xf numFmtId="9" fontId="75" fillId="0" borderId="5" xfId="0" applyNumberFormat="1" applyFont="1" applyBorder="1"/>
    <xf numFmtId="9" fontId="48" fillId="0" borderId="5" xfId="0" applyNumberFormat="1" applyFont="1" applyBorder="1"/>
    <xf numFmtId="9" fontId="48" fillId="0" borderId="10" xfId="0" applyNumberFormat="1" applyFont="1" applyBorder="1" applyAlignment="1">
      <alignment horizontal="center"/>
    </xf>
    <xf numFmtId="165" fontId="86" fillId="0" borderId="10" xfId="6" applyNumberFormat="1" applyFont="1" applyBorder="1" applyAlignment="1">
      <alignment horizontal="center"/>
    </xf>
    <xf numFmtId="165" fontId="86" fillId="0" borderId="5" xfId="6" applyNumberFormat="1" applyFont="1" applyBorder="1" applyAlignment="1">
      <alignment horizontal="center"/>
    </xf>
    <xf numFmtId="165" fontId="48" fillId="0" borderId="5" xfId="0" applyNumberFormat="1" applyFont="1" applyBorder="1" applyAlignment="1">
      <alignment horizontal="center"/>
    </xf>
    <xf numFmtId="165" fontId="86" fillId="0" borderId="5" xfId="6" applyNumberFormat="1" applyFont="1" applyFill="1" applyBorder="1" applyAlignment="1">
      <alignment horizontal="center"/>
    </xf>
    <xf numFmtId="0" fontId="16" fillId="0" borderId="11" xfId="24" applyFont="1" applyBorder="1" applyAlignment="1">
      <alignment wrapText="1"/>
    </xf>
    <xf numFmtId="2" fontId="16" fillId="0" borderId="5" xfId="19" applyNumberFormat="1" applyFont="1" applyBorder="1" applyAlignment="1">
      <alignment horizontal="right"/>
    </xf>
    <xf numFmtId="0" fontId="16" fillId="0" borderId="1" xfId="11" applyFont="1" applyBorder="1"/>
    <xf numFmtId="0" fontId="23" fillId="0" borderId="9" xfId="24770" applyFont="1" applyBorder="1" applyAlignment="1">
      <alignment horizontal="center" vertical="center" wrapText="1"/>
    </xf>
    <xf numFmtId="0" fontId="92" fillId="0" borderId="8" xfId="24763" applyFont="1" applyBorder="1" applyAlignment="1">
      <alignment horizontal="center" vertical="center" wrapText="1"/>
    </xf>
    <xf numFmtId="0" fontId="92" fillId="0" borderId="7" xfId="24763" applyFont="1" applyBorder="1" applyAlignment="1">
      <alignment horizontal="center" vertical="center" wrapText="1"/>
    </xf>
    <xf numFmtId="0" fontId="23" fillId="0" borderId="17" xfId="24770" applyFont="1" applyBorder="1" applyAlignment="1">
      <alignment horizontal="center" vertical="center" wrapText="1"/>
    </xf>
    <xf numFmtId="0" fontId="23" fillId="0" borderId="1" xfId="24770" applyFont="1" applyBorder="1"/>
    <xf numFmtId="0" fontId="16" fillId="0" borderId="1" xfId="24770" applyFont="1" applyBorder="1"/>
    <xf numFmtId="0" fontId="16" fillId="0" borderId="5" xfId="0" applyFont="1" applyBorder="1" applyAlignment="1"/>
    <xf numFmtId="0" fontId="16" fillId="0" borderId="2" xfId="19" applyFont="1" applyBorder="1"/>
    <xf numFmtId="0" fontId="16" fillId="0" borderId="0" xfId="20" applyFont="1" applyAlignment="1"/>
    <xf numFmtId="1" fontId="16" fillId="0" borderId="1" xfId="20" applyNumberFormat="1" applyFont="1" applyBorder="1"/>
    <xf numFmtId="1" fontId="16" fillId="0" borderId="5" xfId="20" applyNumberFormat="1" applyFont="1" applyBorder="1" applyAlignment="1"/>
    <xf numFmtId="0" fontId="20" fillId="0" borderId="1" xfId="18" applyFont="1" applyBorder="1"/>
    <xf numFmtId="0" fontId="16" fillId="0" borderId="17" xfId="0" applyFont="1" applyBorder="1" applyAlignment="1">
      <alignment horizontal="center" wrapText="1"/>
    </xf>
    <xf numFmtId="0" fontId="16" fillId="0" borderId="8" xfId="0" applyFont="1" applyBorder="1" applyAlignment="1">
      <alignment horizontal="center" wrapText="1"/>
    </xf>
    <xf numFmtId="0" fontId="16" fillId="0" borderId="7" xfId="0" applyFont="1" applyBorder="1" applyAlignment="1">
      <alignment horizontal="center" wrapText="1"/>
    </xf>
    <xf numFmtId="167" fontId="16" fillId="0" borderId="6" xfId="0" applyNumberFormat="1" applyFont="1" applyBorder="1" applyAlignment="1">
      <alignment horizontal="center"/>
    </xf>
    <xf numFmtId="0" fontId="16" fillId="0" borderId="1" xfId="18" applyFont="1" applyBorder="1" applyAlignment="1">
      <alignment horizontal="center" wrapText="1"/>
    </xf>
    <xf numFmtId="0" fontId="16" fillId="0" borderId="9" xfId="18" applyFont="1" applyBorder="1" applyAlignment="1">
      <alignment horizontal="center" wrapText="1"/>
    </xf>
    <xf numFmtId="0" fontId="16" fillId="0" borderId="8" xfId="18" applyFont="1" applyBorder="1" applyAlignment="1">
      <alignment horizontal="center" wrapText="1"/>
    </xf>
    <xf numFmtId="0" fontId="16" fillId="0" borderId="7" xfId="18" applyFont="1" applyBorder="1" applyAlignment="1">
      <alignment horizontal="center" wrapText="1"/>
    </xf>
    <xf numFmtId="0" fontId="41" fillId="0" borderId="2" xfId="0" applyFont="1" applyFill="1" applyBorder="1" applyAlignment="1">
      <alignment horizontal="center"/>
    </xf>
    <xf numFmtId="2" fontId="16" fillId="0" borderId="0" xfId="0" applyNumberFormat="1" applyFont="1" applyAlignment="1">
      <alignment horizontal="left" vertical="center"/>
    </xf>
    <xf numFmtId="0" fontId="49" fillId="0" borderId="58" xfId="24671" applyFont="1" applyBorder="1"/>
    <xf numFmtId="0" fontId="49" fillId="0" borderId="57" xfId="24671" applyFont="1" applyBorder="1"/>
    <xf numFmtId="0" fontId="89" fillId="0" borderId="8" xfId="24763" applyFont="1" applyBorder="1" applyAlignment="1">
      <alignment horizontal="center" vertical="center" wrapText="1"/>
    </xf>
    <xf numFmtId="0" fontId="89" fillId="0" borderId="7" xfId="24763" applyFont="1" applyBorder="1" applyAlignment="1">
      <alignment horizontal="center" vertical="center" wrapText="1"/>
    </xf>
    <xf numFmtId="0" fontId="17" fillId="0" borderId="0" xfId="16" applyFont="1"/>
    <xf numFmtId="0" fontId="17" fillId="0" borderId="0" xfId="23" applyFont="1" applyFill="1"/>
    <xf numFmtId="0" fontId="17" fillId="0" borderId="0" xfId="11" applyFont="1"/>
    <xf numFmtId="0" fontId="17" fillId="0" borderId="0" xfId="24770" applyFont="1"/>
    <xf numFmtId="3" fontId="49" fillId="0" borderId="0" xfId="22186" applyNumberFormat="1" applyFont="1" applyAlignment="1">
      <alignment horizontal="center"/>
    </xf>
    <xf numFmtId="0" fontId="16" fillId="0" borderId="0" xfId="0" applyFont="1"/>
    <xf numFmtId="0" fontId="16" fillId="0" borderId="8" xfId="16" applyFont="1" applyBorder="1" applyAlignment="1">
      <alignment horizontal="center"/>
    </xf>
    <xf numFmtId="0" fontId="16" fillId="0" borderId="8" xfId="24" applyFont="1" applyBorder="1" applyAlignment="1">
      <alignment horizontal="center"/>
    </xf>
    <xf numFmtId="0" fontId="16" fillId="0" borderId="0" xfId="0" applyFont="1" applyBorder="1" applyAlignment="1">
      <alignment horizontal="left" wrapText="1"/>
    </xf>
    <xf numFmtId="0" fontId="16" fillId="0" borderId="0" xfId="0" applyFont="1"/>
    <xf numFmtId="0" fontId="16" fillId="0" borderId="0" xfId="24" applyFont="1" applyAlignment="1">
      <alignment horizontal="left" wrapText="1"/>
    </xf>
    <xf numFmtId="0" fontId="16" fillId="0" borderId="0" xfId="0" applyFont="1" applyAlignment="1">
      <alignment horizontal="left"/>
    </xf>
    <xf numFmtId="2" fontId="16" fillId="0" borderId="0" xfId="0" applyNumberFormat="1" applyFont="1" applyAlignment="1">
      <alignment horizontal="center"/>
    </xf>
    <xf numFmtId="0" fontId="16" fillId="0" borderId="5" xfId="0" applyFont="1" applyBorder="1" applyAlignment="1">
      <alignment horizontal="center" wrapText="1"/>
    </xf>
    <xf numFmtId="0" fontId="49" fillId="0" borderId="0" xfId="0" applyFont="1"/>
    <xf numFmtId="0" fontId="48" fillId="0" borderId="0" xfId="0" applyFont="1"/>
    <xf numFmtId="0" fontId="48" fillId="0" borderId="1" xfId="0" applyFont="1" applyBorder="1"/>
    <xf numFmtId="0" fontId="48" fillId="0" borderId="10" xfId="0" applyFont="1" applyBorder="1" applyAlignment="1">
      <alignment horizontal="center" vertical="center" wrapText="1"/>
    </xf>
    <xf numFmtId="0" fontId="48" fillId="0" borderId="5" xfId="0" applyFont="1" applyBorder="1" applyAlignment="1">
      <alignment horizontal="center" vertical="center" wrapText="1"/>
    </xf>
    <xf numFmtId="0" fontId="49" fillId="0" borderId="1" xfId="0" applyFont="1" applyBorder="1"/>
    <xf numFmtId="3" fontId="48" fillId="0" borderId="0" xfId="0" applyNumberFormat="1" applyFont="1" applyAlignment="1">
      <alignment horizontal="center"/>
    </xf>
    <xf numFmtId="165" fontId="48" fillId="0" borderId="0" xfId="0" applyNumberFormat="1" applyFont="1" applyAlignment="1">
      <alignment horizontal="center"/>
    </xf>
    <xf numFmtId="2" fontId="48" fillId="0" borderId="0" xfId="0" applyNumberFormat="1" applyFont="1" applyAlignment="1">
      <alignment horizontal="center"/>
    </xf>
    <xf numFmtId="2" fontId="48" fillId="0" borderId="1" xfId="0" applyNumberFormat="1" applyFont="1" applyBorder="1" applyAlignment="1">
      <alignment horizontal="center"/>
    </xf>
    <xf numFmtId="0" fontId="48" fillId="0" borderId="0" xfId="0" applyNumberFormat="1" applyFont="1" applyAlignment="1">
      <alignment horizontal="center" vertical="center" wrapText="1"/>
    </xf>
    <xf numFmtId="169" fontId="48" fillId="0" borderId="0" xfId="0" applyNumberFormat="1" applyFont="1" applyAlignment="1">
      <alignment horizontal="center"/>
    </xf>
    <xf numFmtId="169" fontId="48" fillId="0" borderId="0" xfId="0" applyNumberFormat="1" applyFont="1"/>
    <xf numFmtId="2" fontId="23" fillId="0" borderId="0" xfId="0" applyNumberFormat="1" applyFont="1" applyBorder="1" applyAlignment="1">
      <alignment horizontal="center"/>
    </xf>
    <xf numFmtId="0" fontId="16" fillId="0" borderId="0" xfId="0" applyFont="1" applyBorder="1" applyAlignment="1">
      <alignment horizontal="center" vertical="center"/>
    </xf>
    <xf numFmtId="0" fontId="16" fillId="0" borderId="5" xfId="0" applyFont="1" applyBorder="1" applyAlignment="1">
      <alignment horizontal="center" vertical="center"/>
    </xf>
    <xf numFmtId="0" fontId="16" fillId="0" borderId="4" xfId="0" applyFont="1" applyBorder="1" applyAlignment="1">
      <alignment horizontal="center" vertical="center"/>
    </xf>
    <xf numFmtId="0" fontId="16" fillId="0" borderId="10" xfId="0" applyFont="1" applyBorder="1" applyAlignment="1">
      <alignment horizontal="center" vertical="center"/>
    </xf>
    <xf numFmtId="0" fontId="16" fillId="0" borderId="0" xfId="0" applyFont="1" applyAlignment="1">
      <alignment horizontal="left" wrapText="1"/>
    </xf>
    <xf numFmtId="0" fontId="19" fillId="0" borderId="0" xfId="0" applyFont="1" applyAlignment="1">
      <alignment horizontal="left" wrapText="1"/>
    </xf>
    <xf numFmtId="0" fontId="16" fillId="0" borderId="0" xfId="0" applyFont="1" applyBorder="1" applyAlignment="1">
      <alignment horizontal="left" wrapText="1"/>
    </xf>
    <xf numFmtId="2" fontId="16" fillId="0" borderId="0" xfId="0" applyNumberFormat="1" applyFont="1" applyAlignment="1">
      <alignment horizontal="center"/>
    </xf>
    <xf numFmtId="0" fontId="16" fillId="0" borderId="0"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0" xfId="0" applyFont="1" applyBorder="1" applyAlignment="1">
      <alignment wrapText="1"/>
    </xf>
    <xf numFmtId="0" fontId="26" fillId="0" borderId="0" xfId="0" applyFont="1" applyBorder="1" applyAlignment="1">
      <alignment horizontal="center"/>
    </xf>
    <xf numFmtId="0" fontId="16" fillId="0" borderId="0" xfId="0" applyFont="1" applyAlignment="1"/>
    <xf numFmtId="0" fontId="20" fillId="0" borderId="0" xfId="0" applyFont="1" applyBorder="1" applyAlignment="1">
      <alignment horizontal="center"/>
    </xf>
    <xf numFmtId="0" fontId="17" fillId="0" borderId="0" xfId="0" applyFont="1" applyBorder="1" applyAlignment="1">
      <alignment horizontal="left" wrapText="1"/>
    </xf>
    <xf numFmtId="0" fontId="16" fillId="0" borderId="4" xfId="0" applyFont="1" applyBorder="1" applyAlignment="1">
      <alignment horizontal="center" vertical="center" wrapText="1"/>
    </xf>
    <xf numFmtId="0" fontId="16" fillId="0" borderId="10" xfId="0" applyFont="1" applyBorder="1" applyAlignment="1">
      <alignment horizontal="center" vertical="center" wrapText="1"/>
    </xf>
    <xf numFmtId="0" fontId="17" fillId="0" borderId="0" xfId="0" applyFont="1" applyBorder="1" applyAlignment="1">
      <alignment wrapText="1"/>
    </xf>
    <xf numFmtId="0" fontId="16" fillId="0" borderId="0" xfId="24763" applyFont="1" applyBorder="1" applyAlignment="1">
      <alignment horizontal="left" wrapText="1"/>
    </xf>
    <xf numFmtId="0" fontId="16" fillId="0" borderId="0" xfId="24763" applyFont="1" applyAlignment="1">
      <alignment horizontal="left" wrapText="1"/>
    </xf>
    <xf numFmtId="0" fontId="19" fillId="0" borderId="0" xfId="24763" applyFont="1" applyAlignment="1">
      <alignment horizontal="left" wrapText="1"/>
    </xf>
    <xf numFmtId="0" fontId="16" fillId="0" borderId="0" xfId="24763" applyFont="1" applyBorder="1" applyAlignment="1">
      <alignment horizontal="center" vertical="center"/>
    </xf>
    <xf numFmtId="0" fontId="16" fillId="0" borderId="1" xfId="0" applyFont="1" applyBorder="1" applyAlignment="1">
      <alignment horizontal="left" wrapText="1"/>
    </xf>
    <xf numFmtId="2" fontId="16" fillId="0" borderId="0" xfId="0" applyNumberFormat="1" applyFont="1" applyBorder="1" applyAlignment="1">
      <alignment horizontal="left" wrapText="1"/>
    </xf>
    <xf numFmtId="0" fontId="16" fillId="0" borderId="0" xfId="0" applyFont="1" applyAlignment="1">
      <alignment wrapText="1"/>
    </xf>
    <xf numFmtId="0" fontId="19" fillId="0" borderId="0" xfId="0" applyFont="1" applyAlignment="1">
      <alignment wrapText="1"/>
    </xf>
    <xf numFmtId="0" fontId="19" fillId="0" borderId="0" xfId="0" applyFont="1" applyBorder="1" applyAlignment="1">
      <alignment horizontal="left" wrapText="1"/>
    </xf>
    <xf numFmtId="0" fontId="16" fillId="0" borderId="6" xfId="0" applyFont="1" applyBorder="1" applyAlignment="1">
      <alignment horizontal="center" vertical="center"/>
    </xf>
    <xf numFmtId="0" fontId="19" fillId="0" borderId="0" xfId="0" applyFont="1" applyAlignment="1">
      <alignment horizontal="center" wrapText="1"/>
    </xf>
    <xf numFmtId="0" fontId="16" fillId="0" borderId="0" xfId="0" applyFont="1" applyAlignment="1">
      <alignment horizontal="center"/>
    </xf>
    <xf numFmtId="0" fontId="16" fillId="0" borderId="0" xfId="0" applyFont="1" applyAlignment="1">
      <alignment horizontal="center" wrapText="1"/>
    </xf>
    <xf numFmtId="0" fontId="23" fillId="0" borderId="0" xfId="0" applyFont="1" applyAlignment="1">
      <alignment horizontal="center"/>
    </xf>
    <xf numFmtId="0" fontId="16" fillId="0" borderId="3" xfId="24" applyFont="1" applyBorder="1" applyAlignment="1">
      <alignment horizontal="center" vertical="center" wrapText="1"/>
    </xf>
    <xf numFmtId="0" fontId="16" fillId="0" borderId="6" xfId="24" applyFont="1" applyBorder="1" applyAlignment="1">
      <alignment horizontal="center" vertical="center" wrapText="1"/>
    </xf>
    <xf numFmtId="0" fontId="16" fillId="0" borderId="11" xfId="24" applyFont="1" applyBorder="1" applyAlignment="1">
      <alignment horizontal="center" vertical="center" wrapText="1"/>
    </xf>
    <xf numFmtId="0" fontId="16" fillId="0" borderId="0" xfId="24" applyFont="1" applyAlignment="1">
      <alignment wrapText="1"/>
    </xf>
    <xf numFmtId="0" fontId="16" fillId="0" borderId="0" xfId="19" applyFont="1" applyAlignment="1">
      <alignment horizontal="left" wrapText="1"/>
    </xf>
    <xf numFmtId="2" fontId="16" fillId="0" borderId="0" xfId="19" applyNumberFormat="1" applyFont="1" applyAlignment="1">
      <alignment wrapText="1"/>
    </xf>
    <xf numFmtId="0" fontId="16" fillId="0" borderId="0" xfId="19" applyFont="1" applyAlignment="1">
      <alignment wrapText="1"/>
    </xf>
    <xf numFmtId="0" fontId="17" fillId="0" borderId="0" xfId="19" applyFont="1" applyAlignment="1">
      <alignment wrapText="1"/>
    </xf>
    <xf numFmtId="3" fontId="23" fillId="0" borderId="0" xfId="19" applyNumberFormat="1" applyFont="1" applyAlignment="1">
      <alignment horizontal="center"/>
    </xf>
    <xf numFmtId="0" fontId="26" fillId="0" borderId="0" xfId="19" applyFont="1" applyAlignment="1">
      <alignment horizontal="center"/>
    </xf>
    <xf numFmtId="0" fontId="26" fillId="0" borderId="12" xfId="19" applyFont="1" applyBorder="1" applyAlignment="1">
      <alignment horizontal="center"/>
    </xf>
    <xf numFmtId="0" fontId="26" fillId="0" borderId="0" xfId="19" applyFont="1" applyBorder="1" applyAlignment="1">
      <alignment horizontal="center"/>
    </xf>
    <xf numFmtId="0" fontId="16" fillId="0" borderId="0" xfId="0" applyFont="1"/>
    <xf numFmtId="0" fontId="17" fillId="0" borderId="0" xfId="0" applyFont="1" applyAlignment="1">
      <alignment horizontal="left" wrapText="1"/>
    </xf>
    <xf numFmtId="0" fontId="17" fillId="0" borderId="0" xfId="0" applyFont="1" applyAlignment="1">
      <alignment wrapText="1"/>
    </xf>
    <xf numFmtId="0" fontId="16" fillId="0" borderId="0" xfId="0" applyFont="1" applyBorder="1" applyAlignment="1">
      <alignment horizontal="center" wrapText="1"/>
    </xf>
    <xf numFmtId="0" fontId="16" fillId="0" borderId="5" xfId="0" applyFont="1" applyBorder="1" applyAlignment="1">
      <alignment horizontal="center" wrapText="1"/>
    </xf>
    <xf numFmtId="0" fontId="26" fillId="0" borderId="0" xfId="0" applyFont="1" applyAlignment="1">
      <alignment horizontal="center"/>
    </xf>
    <xf numFmtId="0" fontId="17" fillId="0" borderId="0" xfId="0" applyFont="1" applyAlignment="1">
      <alignment horizontal="center"/>
    </xf>
    <xf numFmtId="0" fontId="29" fillId="0" borderId="0" xfId="0" applyFont="1" applyAlignment="1">
      <alignment horizontal="center"/>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24" applyFont="1" applyAlignment="1">
      <alignment horizontal="left" wrapText="1"/>
    </xf>
    <xf numFmtId="0" fontId="19" fillId="0" borderId="0" xfId="24" applyFont="1" applyAlignment="1">
      <alignment horizontal="left" wrapText="1"/>
    </xf>
    <xf numFmtId="0" fontId="16" fillId="0" borderId="4" xfId="24" applyFont="1" applyBorder="1" applyAlignment="1">
      <alignment horizontal="center" vertical="center" wrapText="1"/>
    </xf>
    <xf numFmtId="0" fontId="16" fillId="0" borderId="0" xfId="24" applyFont="1" applyBorder="1" applyAlignment="1">
      <alignment horizontal="center" vertical="center" wrapText="1"/>
    </xf>
    <xf numFmtId="0" fontId="16" fillId="0" borderId="1" xfId="24" applyFont="1" applyBorder="1" applyAlignment="1">
      <alignment horizontal="center" vertical="center" wrapText="1"/>
    </xf>
    <xf numFmtId="0" fontId="16" fillId="0" borderId="0" xfId="24" applyFont="1" applyBorder="1" applyAlignment="1">
      <alignment horizontal="left" wrapText="1"/>
    </xf>
    <xf numFmtId="0" fontId="48" fillId="0" borderId="0" xfId="0" applyFont="1" applyBorder="1" applyAlignment="1">
      <alignment horizontal="center"/>
    </xf>
    <xf numFmtId="0" fontId="16" fillId="0" borderId="8" xfId="24" applyFont="1" applyBorder="1" applyAlignment="1">
      <alignment horizontal="center" vertical="center" wrapText="1"/>
    </xf>
    <xf numFmtId="0" fontId="16" fillId="0" borderId="0" xfId="0" applyFont="1" applyAlignment="1">
      <alignment horizontal="center" vertical="center" wrapText="1"/>
    </xf>
    <xf numFmtId="0" fontId="16" fillId="0" borderId="0" xfId="22" applyFont="1" applyBorder="1" applyAlignment="1">
      <alignment wrapText="1"/>
    </xf>
    <xf numFmtId="0" fontId="16" fillId="0" borderId="0" xfId="22" applyFont="1" applyBorder="1" applyAlignment="1">
      <alignment horizontal="center" vertical="center" wrapText="1"/>
    </xf>
    <xf numFmtId="0" fontId="16" fillId="0" borderId="5" xfId="22" applyFont="1" applyBorder="1" applyAlignment="1">
      <alignment horizontal="center" vertical="center" wrapText="1"/>
    </xf>
    <xf numFmtId="0" fontId="16" fillId="0" borderId="0" xfId="14" applyNumberFormat="1" applyFont="1" applyBorder="1" applyAlignment="1">
      <alignment horizontal="center" vertical="center"/>
    </xf>
    <xf numFmtId="0" fontId="16" fillId="0" borderId="5" xfId="14" applyNumberFormat="1" applyFont="1" applyBorder="1" applyAlignment="1">
      <alignment horizontal="center" vertical="center"/>
    </xf>
    <xf numFmtId="0" fontId="19" fillId="0" borderId="0" xfId="19" applyFont="1" applyAlignment="1">
      <alignment wrapText="1"/>
    </xf>
    <xf numFmtId="2" fontId="16" fillId="0" borderId="0" xfId="19" applyNumberFormat="1" applyFont="1" applyAlignment="1">
      <alignment horizontal="center"/>
    </xf>
    <xf numFmtId="0" fontId="16" fillId="0" borderId="4" xfId="19" applyNumberFormat="1" applyFont="1" applyBorder="1" applyAlignment="1">
      <alignment horizontal="center" vertical="center"/>
    </xf>
    <xf numFmtId="0" fontId="16" fillId="0" borderId="10" xfId="19" applyNumberFormat="1" applyFont="1" applyBorder="1" applyAlignment="1">
      <alignment horizontal="center" vertical="center"/>
    </xf>
    <xf numFmtId="0" fontId="16" fillId="0" borderId="12" xfId="14" applyNumberFormat="1" applyFont="1" applyBorder="1" applyAlignment="1">
      <alignment horizontal="center" vertical="center"/>
    </xf>
    <xf numFmtId="0" fontId="16" fillId="0" borderId="13" xfId="14" applyNumberFormat="1" applyFont="1" applyBorder="1" applyAlignment="1">
      <alignment horizontal="center" vertical="center"/>
    </xf>
    <xf numFmtId="0" fontId="16" fillId="0" borderId="15" xfId="14" applyNumberFormat="1" applyFont="1" applyBorder="1" applyAlignment="1">
      <alignment horizontal="center" vertical="center"/>
    </xf>
    <xf numFmtId="0" fontId="16" fillId="0" borderId="28" xfId="14" applyNumberFormat="1" applyFont="1" applyBorder="1" applyAlignment="1">
      <alignment horizontal="center" vertical="center"/>
    </xf>
    <xf numFmtId="0" fontId="31" fillId="0" borderId="0" xfId="14" applyFont="1" applyAlignment="1">
      <alignment wrapText="1"/>
    </xf>
    <xf numFmtId="0" fontId="0" fillId="0" borderId="0" xfId="0" applyAlignment="1">
      <alignment wrapText="1"/>
    </xf>
    <xf numFmtId="0" fontId="16" fillId="0" borderId="0" xfId="14" applyFont="1" applyAlignment="1">
      <alignment wrapText="1"/>
    </xf>
    <xf numFmtId="2" fontId="16" fillId="0" borderId="5" xfId="14" applyNumberFormat="1" applyFont="1" applyBorder="1" applyAlignment="1">
      <alignment horizontal="center" vertical="center" wrapText="1"/>
    </xf>
    <xf numFmtId="0" fontId="16" fillId="0" borderId="5" xfId="14" applyFont="1" applyBorder="1" applyAlignment="1">
      <alignment horizontal="center" vertical="center" wrapText="1"/>
    </xf>
    <xf numFmtId="2" fontId="16" fillId="0" borderId="0" xfId="14" applyNumberFormat="1" applyFont="1" applyAlignment="1">
      <alignment horizontal="center" vertical="center"/>
    </xf>
    <xf numFmtId="0" fontId="16" fillId="0" borderId="0" xfId="14" applyFont="1" applyAlignment="1">
      <alignment horizontal="left" wrapText="1"/>
    </xf>
    <xf numFmtId="0" fontId="16" fillId="0" borderId="6" xfId="12" applyFont="1" applyBorder="1" applyAlignment="1">
      <alignment horizontal="center" vertical="center" wrapText="1"/>
    </xf>
    <xf numFmtId="0" fontId="17" fillId="0" borderId="0" xfId="12" applyFont="1" applyAlignment="1">
      <alignment wrapText="1"/>
    </xf>
    <xf numFmtId="0" fontId="16" fillId="0" borderId="4" xfId="0" applyFont="1" applyBorder="1" applyAlignment="1">
      <alignment horizontal="center"/>
    </xf>
    <xf numFmtId="0" fontId="16" fillId="0" borderId="0" xfId="0" applyFont="1" applyBorder="1" applyAlignment="1">
      <alignment horizontal="center"/>
    </xf>
    <xf numFmtId="0" fontId="16" fillId="0" borderId="0" xfId="0" applyFont="1" applyFill="1" applyBorder="1" applyAlignment="1">
      <alignment horizontal="left" wrapText="1"/>
    </xf>
    <xf numFmtId="0" fontId="16" fillId="0" borderId="0" xfId="11" applyFont="1" applyAlignment="1">
      <alignment wrapText="1"/>
    </xf>
    <xf numFmtId="0" fontId="23" fillId="0" borderId="0" xfId="24770" applyFont="1" applyAlignment="1">
      <alignment horizontal="center" wrapText="1"/>
    </xf>
    <xf numFmtId="0" fontId="91" fillId="0" borderId="0" xfId="24763" applyFont="1" applyAlignment="1">
      <alignment horizontal="center"/>
    </xf>
    <xf numFmtId="0" fontId="16" fillId="0" borderId="0" xfId="24763" applyFont="1"/>
    <xf numFmtId="0" fontId="23" fillId="0" borderId="0" xfId="24770" applyFont="1" applyAlignment="1">
      <alignment horizontal="center"/>
    </xf>
    <xf numFmtId="0" fontId="93" fillId="0" borderId="0" xfId="24763" applyFont="1" applyAlignment="1">
      <alignment wrapText="1"/>
    </xf>
    <xf numFmtId="0" fontId="88" fillId="0" borderId="0" xfId="24763" applyFont="1" applyAlignment="1">
      <alignment horizontal="center"/>
    </xf>
    <xf numFmtId="0" fontId="14" fillId="0" borderId="0" xfId="24763"/>
    <xf numFmtId="0" fontId="90" fillId="0" borderId="0" xfId="24763" applyFont="1" applyAlignment="1">
      <alignment wrapText="1"/>
    </xf>
    <xf numFmtId="0" fontId="31" fillId="0" borderId="0" xfId="0" applyFont="1" applyAlignment="1">
      <alignment wrapText="1"/>
    </xf>
    <xf numFmtId="0" fontId="24" fillId="0" borderId="0" xfId="0" applyFont="1" applyAlignment="1">
      <alignment horizontal="left" wrapText="1"/>
    </xf>
    <xf numFmtId="0" fontId="16" fillId="0" borderId="5" xfId="0" applyFont="1" applyBorder="1"/>
    <xf numFmtId="2" fontId="16" fillId="0" borderId="0" xfId="0" applyNumberFormat="1" applyFont="1" applyAlignment="1">
      <alignment horizontal="center" vertical="center" wrapText="1"/>
    </xf>
    <xf numFmtId="0" fontId="16" fillId="0" borderId="0" xfId="0" applyFont="1" applyAlignment="1">
      <alignment horizontal="left" vertical="center" wrapText="1"/>
    </xf>
    <xf numFmtId="0" fontId="16" fillId="0" borderId="1" xfId="0" applyFont="1" applyBorder="1" applyAlignment="1">
      <alignment horizontal="left" vertical="center" wrapText="1"/>
    </xf>
    <xf numFmtId="0" fontId="23" fillId="0" borderId="0" xfId="19" applyFont="1" applyBorder="1" applyAlignment="1">
      <alignment horizontal="left" wrapText="1"/>
    </xf>
    <xf numFmtId="0" fontId="23" fillId="0" borderId="1" xfId="19" applyFont="1" applyBorder="1" applyAlignment="1">
      <alignment horizontal="left" wrapText="1"/>
    </xf>
    <xf numFmtId="0" fontId="16" fillId="0" borderId="0" xfId="19" applyFont="1" applyAlignment="1">
      <alignment horizontal="center" wrapText="1"/>
    </xf>
    <xf numFmtId="0" fontId="16" fillId="0" borderId="5" xfId="19" applyFont="1" applyBorder="1" applyAlignment="1">
      <alignment horizontal="center" wrapText="1"/>
    </xf>
    <xf numFmtId="0" fontId="48" fillId="0" borderId="0" xfId="0" applyFont="1" applyAlignment="1">
      <alignment horizontal="left" wrapText="1"/>
    </xf>
    <xf numFmtId="0" fontId="16" fillId="0" borderId="0" xfId="11" applyFont="1" applyAlignment="1">
      <alignment horizontal="left" vertical="center" wrapText="1"/>
    </xf>
    <xf numFmtId="0" fontId="23" fillId="0" borderId="0" xfId="11" applyFont="1" applyAlignment="1">
      <alignment horizontal="center"/>
    </xf>
    <xf numFmtId="0" fontId="16" fillId="0" borderId="4" xfId="0" applyFont="1" applyBorder="1" applyAlignment="1">
      <alignment horizontal="center" wrapText="1"/>
    </xf>
    <xf numFmtId="0" fontId="16" fillId="0" borderId="10" xfId="0" applyFont="1" applyBorder="1" applyAlignment="1">
      <alignment horizontal="center" wrapText="1"/>
    </xf>
    <xf numFmtId="0" fontId="16" fillId="0" borderId="0" xfId="20" applyFont="1" applyBorder="1" applyAlignment="1">
      <alignment horizontal="center" vertical="center"/>
    </xf>
    <xf numFmtId="0" fontId="16" fillId="0" borderId="5" xfId="20" applyFont="1" applyBorder="1" applyAlignment="1">
      <alignment horizontal="center" vertical="center"/>
    </xf>
    <xf numFmtId="0" fontId="16" fillId="0" borderId="0" xfId="20" applyFont="1" applyBorder="1" applyAlignment="1">
      <alignment horizontal="center"/>
    </xf>
    <xf numFmtId="0" fontId="16" fillId="0" borderId="0" xfId="20" applyFont="1" applyAlignment="1">
      <alignment horizontal="left" wrapText="1"/>
    </xf>
    <xf numFmtId="0" fontId="16" fillId="0" borderId="0" xfId="11" applyNumberFormat="1" applyFont="1" applyAlignment="1">
      <alignment horizontal="left" wrapText="1"/>
    </xf>
    <xf numFmtId="2" fontId="16" fillId="0" borderId="5" xfId="20" applyNumberFormat="1" applyFont="1" applyBorder="1" applyAlignment="1">
      <alignment horizontal="center"/>
    </xf>
    <xf numFmtId="0" fontId="16" fillId="0" borderId="0" xfId="20" applyFont="1" applyAlignment="1">
      <alignment wrapText="1"/>
    </xf>
    <xf numFmtId="0" fontId="16" fillId="0" borderId="4" xfId="20" applyFont="1" applyBorder="1" applyAlignment="1">
      <alignment horizontal="center"/>
    </xf>
    <xf numFmtId="0" fontId="16" fillId="0" borderId="1" xfId="20" applyFont="1" applyBorder="1" applyAlignment="1">
      <alignment horizontal="center"/>
    </xf>
    <xf numFmtId="0" fontId="41" fillId="0" borderId="0" xfId="0" applyFont="1" applyAlignment="1">
      <alignment horizontal="left" wrapText="1"/>
    </xf>
    <xf numFmtId="0" fontId="45" fillId="0" borderId="0" xfId="0" applyFont="1" applyAlignment="1">
      <alignment wrapText="1"/>
    </xf>
    <xf numFmtId="0" fontId="16" fillId="0" borderId="0" xfId="0" applyFont="1" applyAlignment="1">
      <alignment horizontal="left"/>
    </xf>
    <xf numFmtId="0" fontId="23" fillId="0" borderId="3" xfId="15" applyFont="1" applyBorder="1" applyAlignment="1">
      <alignment horizontal="center" vertical="center" wrapText="1"/>
    </xf>
    <xf numFmtId="0" fontId="23" fillId="0" borderId="10" xfId="15" applyFont="1" applyBorder="1" applyAlignment="1">
      <alignment horizontal="center" vertical="center" wrapText="1"/>
    </xf>
    <xf numFmtId="0" fontId="23" fillId="0" borderId="6" xfId="15" applyFont="1" applyBorder="1" applyAlignment="1">
      <alignment horizontal="center" vertical="center" wrapText="1"/>
    </xf>
    <xf numFmtId="0" fontId="23" fillId="0" borderId="5" xfId="15" applyFont="1" applyBorder="1" applyAlignment="1">
      <alignment horizontal="center" vertical="center" wrapText="1"/>
    </xf>
    <xf numFmtId="0" fontId="16" fillId="0" borderId="0" xfId="15" applyFont="1" applyAlignment="1">
      <alignment wrapText="1"/>
    </xf>
    <xf numFmtId="0" fontId="23" fillId="0" borderId="25" xfId="15" applyFont="1" applyBorder="1" applyAlignment="1">
      <alignment horizontal="center" vertical="center" wrapText="1"/>
    </xf>
    <xf numFmtId="0" fontId="23" fillId="0" borderId="29" xfId="15" applyFont="1" applyBorder="1" applyAlignment="1">
      <alignment horizontal="center" vertical="center" wrapText="1"/>
    </xf>
    <xf numFmtId="0" fontId="23" fillId="0" borderId="9" xfId="15" applyFont="1" applyBorder="1" applyAlignment="1">
      <alignment horizontal="center" wrapText="1"/>
    </xf>
    <xf numFmtId="0" fontId="23" fillId="0" borderId="8" xfId="15" applyFont="1" applyBorder="1" applyAlignment="1">
      <alignment horizontal="center" wrapText="1"/>
    </xf>
    <xf numFmtId="0" fontId="23" fillId="0" borderId="7" xfId="15" applyFont="1" applyBorder="1" applyAlignment="1">
      <alignment horizontal="center" wrapText="1"/>
    </xf>
    <xf numFmtId="0" fontId="16" fillId="0" borderId="0" xfId="15" applyNumberFormat="1" applyFont="1" applyAlignment="1">
      <alignment wrapText="1"/>
    </xf>
    <xf numFmtId="0" fontId="16" fillId="0" borderId="0" xfId="0" applyNumberFormat="1" applyFont="1" applyAlignment="1">
      <alignment wrapText="1"/>
    </xf>
    <xf numFmtId="0" fontId="16" fillId="0" borderId="9" xfId="15" applyFont="1" applyBorder="1" applyAlignment="1">
      <alignment horizontal="center" vertical="center" wrapText="1"/>
    </xf>
    <xf numFmtId="0" fontId="16" fillId="0" borderId="8" xfId="15" applyFont="1" applyBorder="1" applyAlignment="1">
      <alignment horizontal="center" vertical="center" wrapText="1"/>
    </xf>
    <xf numFmtId="0" fontId="16" fillId="0" borderId="7" xfId="15" applyFont="1" applyBorder="1" applyAlignment="1">
      <alignment horizontal="center" vertical="center" wrapText="1"/>
    </xf>
    <xf numFmtId="0" fontId="36" fillId="0" borderId="0" xfId="15" applyFont="1" applyFill="1" applyBorder="1" applyAlignment="1">
      <alignment horizontal="left" vertical="center" wrapText="1"/>
    </xf>
    <xf numFmtId="0" fontId="16" fillId="0" borderId="0" xfId="0" applyFont="1" applyAlignment="1">
      <alignment vertical="center" wrapText="1"/>
    </xf>
    <xf numFmtId="0" fontId="36" fillId="0" borderId="3" xfId="0" applyFont="1" applyBorder="1" applyAlignment="1">
      <alignment horizontal="left"/>
    </xf>
    <xf numFmtId="0" fontId="36" fillId="0" borderId="6" xfId="0" applyFont="1" applyBorder="1" applyAlignment="1">
      <alignment horizontal="left"/>
    </xf>
    <xf numFmtId="0" fontId="36" fillId="0" borderId="11" xfId="0" applyFont="1" applyBorder="1" applyAlignment="1">
      <alignment horizontal="left"/>
    </xf>
    <xf numFmtId="0" fontId="41" fillId="0" borderId="4" xfId="0" applyFont="1" applyBorder="1" applyAlignment="1">
      <alignment horizontal="left" wrapText="1"/>
    </xf>
    <xf numFmtId="0" fontId="41" fillId="0" borderId="0" xfId="0" applyFont="1" applyBorder="1" applyAlignment="1">
      <alignment horizontal="left" wrapText="1"/>
    </xf>
    <xf numFmtId="0" fontId="41" fillId="0" borderId="1" xfId="0" applyFont="1" applyBorder="1" applyAlignment="1">
      <alignment horizontal="left" wrapText="1"/>
    </xf>
    <xf numFmtId="0" fontId="36" fillId="0" borderId="4" xfId="0" applyFont="1" applyBorder="1" applyAlignment="1">
      <alignment horizontal="left"/>
    </xf>
    <xf numFmtId="0" fontId="41" fillId="0" borderId="0" xfId="0" applyFont="1" applyBorder="1" applyAlignment="1">
      <alignment horizontal="left"/>
    </xf>
    <xf numFmtId="0" fontId="17" fillId="0" borderId="3" xfId="0" applyFont="1" applyBorder="1" applyAlignment="1">
      <alignment horizontal="left"/>
    </xf>
    <xf numFmtId="0" fontId="17" fillId="0" borderId="6" xfId="0" applyFont="1" applyBorder="1" applyAlignment="1">
      <alignment horizontal="left"/>
    </xf>
    <xf numFmtId="2" fontId="16" fillId="0" borderId="0" xfId="0" applyNumberFormat="1" applyFont="1" applyAlignment="1">
      <alignment wrapText="1"/>
    </xf>
    <xf numFmtId="0" fontId="16" fillId="0" borderId="0" xfId="0" applyFont="1" applyFill="1" applyAlignment="1">
      <alignment horizontal="center"/>
    </xf>
    <xf numFmtId="0" fontId="16" fillId="0" borderId="0" xfId="22225" applyFont="1" applyAlignment="1">
      <alignment wrapText="1"/>
    </xf>
    <xf numFmtId="0" fontId="17" fillId="0" borderId="0" xfId="0" applyFont="1" applyAlignment="1">
      <alignment horizontal="left"/>
    </xf>
    <xf numFmtId="0" fontId="23" fillId="0" borderId="9" xfId="96" applyFont="1" applyBorder="1" applyAlignment="1">
      <alignment horizontal="left" vertical="center" wrapText="1"/>
    </xf>
    <xf numFmtId="0" fontId="23" fillId="0" borderId="8" xfId="96" applyFont="1" applyBorder="1" applyAlignment="1">
      <alignment horizontal="left" vertical="center" wrapText="1"/>
    </xf>
    <xf numFmtId="0" fontId="71" fillId="0" borderId="0" xfId="22256" applyNumberFormat="1" applyFont="1" applyAlignment="1" applyProtection="1">
      <alignment horizontal="left" vertical="center" wrapText="1"/>
    </xf>
    <xf numFmtId="0" fontId="48" fillId="0" borderId="3" xfId="24609" applyFont="1" applyBorder="1" applyAlignment="1">
      <alignment horizontal="center"/>
    </xf>
    <xf numFmtId="0" fontId="48" fillId="0" borderId="6" xfId="24609" applyFont="1" applyBorder="1" applyAlignment="1">
      <alignment horizontal="center"/>
    </xf>
    <xf numFmtId="0" fontId="48" fillId="0" borderId="11" xfId="24609" applyFont="1" applyBorder="1" applyAlignment="1">
      <alignment horizontal="center"/>
    </xf>
    <xf numFmtId="0" fontId="72" fillId="0" borderId="44" xfId="24671" applyFont="1" applyBorder="1" applyAlignment="1">
      <alignment horizontal="center"/>
    </xf>
    <xf numFmtId="0" fontId="72" fillId="0" borderId="45" xfId="24671" applyFont="1" applyBorder="1" applyAlignment="1">
      <alignment horizontal="center"/>
    </xf>
    <xf numFmtId="0" fontId="72" fillId="0" borderId="46" xfId="24671" applyFont="1" applyBorder="1" applyAlignment="1">
      <alignment horizontal="center"/>
    </xf>
    <xf numFmtId="0" fontId="72" fillId="0" borderId="47" xfId="24671" applyFont="1" applyBorder="1" applyAlignment="1">
      <alignment horizontal="center" wrapText="1"/>
    </xf>
    <xf numFmtId="0" fontId="72" fillId="0" borderId="50" xfId="24671" applyFont="1" applyBorder="1" applyAlignment="1">
      <alignment horizontal="center" wrapText="1"/>
    </xf>
    <xf numFmtId="0" fontId="25" fillId="0" borderId="0" xfId="0" applyFont="1" applyFill="1" applyAlignment="1"/>
    <xf numFmtId="0" fontId="17" fillId="0" borderId="0" xfId="0" applyFont="1" applyFill="1"/>
    <xf numFmtId="0" fontId="16" fillId="0" borderId="0" xfId="19" applyNumberFormat="1" applyFont="1" applyFill="1" applyBorder="1"/>
    <xf numFmtId="0" fontId="16" fillId="0" borderId="0" xfId="0" applyFont="1" applyFill="1" applyBorder="1"/>
    <xf numFmtId="0" fontId="42" fillId="0" borderId="0" xfId="9" applyFont="1" applyFill="1"/>
  </cellXfs>
  <cellStyles count="24771">
    <cellStyle name="20% - Accent1" xfId="48" builtinId="30" customBuiltin="1"/>
    <cellStyle name="20% - Accent1 10" xfId="1300"/>
    <cellStyle name="20% - Accent1 11" xfId="1775"/>
    <cellStyle name="20% - Accent1 12" xfId="1699"/>
    <cellStyle name="20% - Accent1 13" xfId="1604"/>
    <cellStyle name="20% - Accent1 14" xfId="1807"/>
    <cellStyle name="20% - Accent1 15" xfId="1863"/>
    <cellStyle name="20% - Accent1 16" xfId="2114"/>
    <cellStyle name="20% - Accent1 17" xfId="2365"/>
    <cellStyle name="20% - Accent1 18" xfId="2616"/>
    <cellStyle name="20% - Accent1 19" xfId="2867"/>
    <cellStyle name="20% - Accent1 2" xfId="139"/>
    <cellStyle name="20% - Accent1 2 10" xfId="2440"/>
    <cellStyle name="20% - Accent1 2 11" xfId="2691"/>
    <cellStyle name="20% - Accent1 2 12" xfId="2942"/>
    <cellStyle name="20% - Accent1 2 13" xfId="3193"/>
    <cellStyle name="20% - Accent1 2 14" xfId="3444"/>
    <cellStyle name="20% - Accent1 2 15" xfId="3695"/>
    <cellStyle name="20% - Accent1 2 16" xfId="3946"/>
    <cellStyle name="20% - Accent1 2 17" xfId="4197"/>
    <cellStyle name="20% - Accent1 2 18" xfId="4448"/>
    <cellStyle name="20% - Accent1 2 19" xfId="4699"/>
    <cellStyle name="20% - Accent1 2 2" xfId="418"/>
    <cellStyle name="20% - Accent1 2 20" xfId="4950"/>
    <cellStyle name="20% - Accent1 2 21" xfId="5201"/>
    <cellStyle name="20% - Accent1 2 22" xfId="5452"/>
    <cellStyle name="20% - Accent1 2 23" xfId="5703"/>
    <cellStyle name="20% - Accent1 2 24" xfId="5954"/>
    <cellStyle name="20% - Accent1 2 25" xfId="6205"/>
    <cellStyle name="20% - Accent1 2 26" xfId="6456"/>
    <cellStyle name="20% - Accent1 2 27" xfId="6707"/>
    <cellStyle name="20% - Accent1 2 28" xfId="6958"/>
    <cellStyle name="20% - Accent1 2 29" xfId="7209"/>
    <cellStyle name="20% - Accent1 2 3" xfId="667"/>
    <cellStyle name="20% - Accent1 2 30" xfId="7460"/>
    <cellStyle name="20% - Accent1 2 31" xfId="7711"/>
    <cellStyle name="20% - Accent1 2 32" xfId="7962"/>
    <cellStyle name="20% - Accent1 2 33" xfId="8213"/>
    <cellStyle name="20% - Accent1 2 34" xfId="8464"/>
    <cellStyle name="20% - Accent1 2 35" xfId="8715"/>
    <cellStyle name="20% - Accent1 2 36" xfId="8966"/>
    <cellStyle name="20% - Accent1 2 37" xfId="9217"/>
    <cellStyle name="20% - Accent1 2 38" xfId="9468"/>
    <cellStyle name="20% - Accent1 2 39" xfId="9719"/>
    <cellStyle name="20% - Accent1 2 4" xfId="920"/>
    <cellStyle name="20% - Accent1 2 40" xfId="9970"/>
    <cellStyle name="20% - Accent1 2 41" xfId="10221"/>
    <cellStyle name="20% - Accent1 2 42" xfId="10472"/>
    <cellStyle name="20% - Accent1 2 43" xfId="10723"/>
    <cellStyle name="20% - Accent1 2 44" xfId="10974"/>
    <cellStyle name="20% - Accent1 2 45" xfId="11225"/>
    <cellStyle name="20% - Accent1 2 46" xfId="11476"/>
    <cellStyle name="20% - Accent1 2 47" xfId="11727"/>
    <cellStyle name="20% - Accent1 2 48" xfId="11978"/>
    <cellStyle name="20% - Accent1 2 49" xfId="12229"/>
    <cellStyle name="20% - Accent1 2 5" xfId="1175"/>
    <cellStyle name="20% - Accent1 2 50" xfId="12480"/>
    <cellStyle name="20% - Accent1 2 51" xfId="12731"/>
    <cellStyle name="20% - Accent1 2 52" xfId="12982"/>
    <cellStyle name="20% - Accent1 2 53" xfId="13233"/>
    <cellStyle name="20% - Accent1 2 54" xfId="13484"/>
    <cellStyle name="20% - Accent1 2 55" xfId="13735"/>
    <cellStyle name="20% - Accent1 2 56" xfId="13986"/>
    <cellStyle name="20% - Accent1 2 57" xfId="14237"/>
    <cellStyle name="20% - Accent1 2 58" xfId="14488"/>
    <cellStyle name="20% - Accent1 2 59" xfId="14739"/>
    <cellStyle name="20% - Accent1 2 6" xfId="1428"/>
    <cellStyle name="20% - Accent1 2 60" xfId="14989"/>
    <cellStyle name="20% - Accent1 2 61" xfId="15240"/>
    <cellStyle name="20% - Accent1 2 62" xfId="15491"/>
    <cellStyle name="20% - Accent1 2 63" xfId="15738"/>
    <cellStyle name="20% - Accent1 2 64" xfId="15995"/>
    <cellStyle name="20% - Accent1 2 65" xfId="16246"/>
    <cellStyle name="20% - Accent1 2 66" xfId="16497"/>
    <cellStyle name="20% - Accent1 2 67" xfId="16748"/>
    <cellStyle name="20% - Accent1 2 68" xfId="16999"/>
    <cellStyle name="20% - Accent1 2 69" xfId="17250"/>
    <cellStyle name="20% - Accent1 2 7" xfId="1681"/>
    <cellStyle name="20% - Accent1 2 70" xfId="17501"/>
    <cellStyle name="20% - Accent1 2 71" xfId="17752"/>
    <cellStyle name="20% - Accent1 2 72" xfId="18003"/>
    <cellStyle name="20% - Accent1 2 73" xfId="18254"/>
    <cellStyle name="20% - Accent1 2 74" xfId="18505"/>
    <cellStyle name="20% - Accent1 2 75" xfId="18755"/>
    <cellStyle name="20% - Accent1 2 76" xfId="19006"/>
    <cellStyle name="20% - Accent1 2 77" xfId="19257"/>
    <cellStyle name="20% - Accent1 2 78" xfId="19507"/>
    <cellStyle name="20% - Accent1 2 79" xfId="19763"/>
    <cellStyle name="20% - Accent1 2 8" xfId="1938"/>
    <cellStyle name="20% - Accent1 2 80" xfId="20015"/>
    <cellStyle name="20% - Accent1 2 81" xfId="20267"/>
    <cellStyle name="20% - Accent1 2 82" xfId="20519"/>
    <cellStyle name="20% - Accent1 2 83" xfId="20769"/>
    <cellStyle name="20% - Accent1 2 84" xfId="21019"/>
    <cellStyle name="20% - Accent1 2 85" xfId="21270"/>
    <cellStyle name="20% - Accent1 2 86" xfId="21514"/>
    <cellStyle name="20% - Accent1 2 87" xfId="21758"/>
    <cellStyle name="20% - Accent1 2 88" xfId="21999"/>
    <cellStyle name="20% - Accent1 2 9" xfId="2189"/>
    <cellStyle name="20% - Accent1 20" xfId="3118"/>
    <cellStyle name="20% - Accent1 21" xfId="3369"/>
    <cellStyle name="20% - Accent1 22" xfId="3620"/>
    <cellStyle name="20% - Accent1 23" xfId="3871"/>
    <cellStyle name="20% - Accent1 24" xfId="4122"/>
    <cellStyle name="20% - Accent1 25" xfId="4373"/>
    <cellStyle name="20% - Accent1 26" xfId="4624"/>
    <cellStyle name="20% - Accent1 27" xfId="4875"/>
    <cellStyle name="20% - Accent1 28" xfId="5126"/>
    <cellStyle name="20% - Accent1 29" xfId="5377"/>
    <cellStyle name="20% - Accent1 3" xfId="137"/>
    <cellStyle name="20% - Accent1 3 10" xfId="2438"/>
    <cellStyle name="20% - Accent1 3 11" xfId="2689"/>
    <cellStyle name="20% - Accent1 3 12" xfId="2940"/>
    <cellStyle name="20% - Accent1 3 13" xfId="3191"/>
    <cellStyle name="20% - Accent1 3 14" xfId="3442"/>
    <cellStyle name="20% - Accent1 3 15" xfId="3693"/>
    <cellStyle name="20% - Accent1 3 16" xfId="3944"/>
    <cellStyle name="20% - Accent1 3 17" xfId="4195"/>
    <cellStyle name="20% - Accent1 3 18" xfId="4446"/>
    <cellStyle name="20% - Accent1 3 19" xfId="4697"/>
    <cellStyle name="20% - Accent1 3 2" xfId="416"/>
    <cellStyle name="20% - Accent1 3 20" xfId="4948"/>
    <cellStyle name="20% - Accent1 3 21" xfId="5199"/>
    <cellStyle name="20% - Accent1 3 22" xfId="5450"/>
    <cellStyle name="20% - Accent1 3 23" xfId="5701"/>
    <cellStyle name="20% - Accent1 3 24" xfId="5952"/>
    <cellStyle name="20% - Accent1 3 25" xfId="6203"/>
    <cellStyle name="20% - Accent1 3 26" xfId="6454"/>
    <cellStyle name="20% - Accent1 3 27" xfId="6705"/>
    <cellStyle name="20% - Accent1 3 28" xfId="6956"/>
    <cellStyle name="20% - Accent1 3 29" xfId="7207"/>
    <cellStyle name="20% - Accent1 3 3" xfId="665"/>
    <cellStyle name="20% - Accent1 3 30" xfId="7458"/>
    <cellStyle name="20% - Accent1 3 31" xfId="7709"/>
    <cellStyle name="20% - Accent1 3 32" xfId="7960"/>
    <cellStyle name="20% - Accent1 3 33" xfId="8211"/>
    <cellStyle name="20% - Accent1 3 34" xfId="8462"/>
    <cellStyle name="20% - Accent1 3 35" xfId="8713"/>
    <cellStyle name="20% - Accent1 3 36" xfId="8964"/>
    <cellStyle name="20% - Accent1 3 37" xfId="9215"/>
    <cellStyle name="20% - Accent1 3 38" xfId="9466"/>
    <cellStyle name="20% - Accent1 3 39" xfId="9717"/>
    <cellStyle name="20% - Accent1 3 4" xfId="918"/>
    <cellStyle name="20% - Accent1 3 40" xfId="9968"/>
    <cellStyle name="20% - Accent1 3 41" xfId="10219"/>
    <cellStyle name="20% - Accent1 3 42" xfId="10470"/>
    <cellStyle name="20% - Accent1 3 43" xfId="10721"/>
    <cellStyle name="20% - Accent1 3 44" xfId="10972"/>
    <cellStyle name="20% - Accent1 3 45" xfId="11223"/>
    <cellStyle name="20% - Accent1 3 46" xfId="11474"/>
    <cellStyle name="20% - Accent1 3 47" xfId="11725"/>
    <cellStyle name="20% - Accent1 3 48" xfId="11976"/>
    <cellStyle name="20% - Accent1 3 49" xfId="12227"/>
    <cellStyle name="20% - Accent1 3 5" xfId="1173"/>
    <cellStyle name="20% - Accent1 3 50" xfId="12478"/>
    <cellStyle name="20% - Accent1 3 51" xfId="12729"/>
    <cellStyle name="20% - Accent1 3 52" xfId="12980"/>
    <cellStyle name="20% - Accent1 3 53" xfId="13231"/>
    <cellStyle name="20% - Accent1 3 54" xfId="13482"/>
    <cellStyle name="20% - Accent1 3 55" xfId="13733"/>
    <cellStyle name="20% - Accent1 3 56" xfId="13984"/>
    <cellStyle name="20% - Accent1 3 57" xfId="14235"/>
    <cellStyle name="20% - Accent1 3 58" xfId="14486"/>
    <cellStyle name="20% - Accent1 3 59" xfId="14737"/>
    <cellStyle name="20% - Accent1 3 6" xfId="1426"/>
    <cellStyle name="20% - Accent1 3 60" xfId="14987"/>
    <cellStyle name="20% - Accent1 3 61" xfId="15238"/>
    <cellStyle name="20% - Accent1 3 62" xfId="15489"/>
    <cellStyle name="20% - Accent1 3 63" xfId="15736"/>
    <cellStyle name="20% - Accent1 3 64" xfId="15993"/>
    <cellStyle name="20% - Accent1 3 65" xfId="16244"/>
    <cellStyle name="20% - Accent1 3 66" xfId="16495"/>
    <cellStyle name="20% - Accent1 3 67" xfId="16746"/>
    <cellStyle name="20% - Accent1 3 68" xfId="16997"/>
    <cellStyle name="20% - Accent1 3 69" xfId="17248"/>
    <cellStyle name="20% - Accent1 3 7" xfId="1679"/>
    <cellStyle name="20% - Accent1 3 70" xfId="17499"/>
    <cellStyle name="20% - Accent1 3 71" xfId="17750"/>
    <cellStyle name="20% - Accent1 3 72" xfId="18001"/>
    <cellStyle name="20% - Accent1 3 73" xfId="18252"/>
    <cellStyle name="20% - Accent1 3 74" xfId="18503"/>
    <cellStyle name="20% - Accent1 3 75" xfId="18753"/>
    <cellStyle name="20% - Accent1 3 76" xfId="19004"/>
    <cellStyle name="20% - Accent1 3 77" xfId="19255"/>
    <cellStyle name="20% - Accent1 3 78" xfId="19505"/>
    <cellStyle name="20% - Accent1 3 79" xfId="19761"/>
    <cellStyle name="20% - Accent1 3 8" xfId="1936"/>
    <cellStyle name="20% - Accent1 3 80" xfId="20013"/>
    <cellStyle name="20% - Accent1 3 81" xfId="20265"/>
    <cellStyle name="20% - Accent1 3 82" xfId="20517"/>
    <cellStyle name="20% - Accent1 3 83" xfId="20767"/>
    <cellStyle name="20% - Accent1 3 84" xfId="21017"/>
    <cellStyle name="20% - Accent1 3 85" xfId="21268"/>
    <cellStyle name="20% - Accent1 3 86" xfId="21512"/>
    <cellStyle name="20% - Accent1 3 87" xfId="21756"/>
    <cellStyle name="20% - Accent1 3 88" xfId="21997"/>
    <cellStyle name="20% - Accent1 3 9" xfId="2187"/>
    <cellStyle name="20% - Accent1 30" xfId="5628"/>
    <cellStyle name="20% - Accent1 31" xfId="5879"/>
    <cellStyle name="20% - Accent1 32" xfId="6130"/>
    <cellStyle name="20% - Accent1 33" xfId="6381"/>
    <cellStyle name="20% - Accent1 34" xfId="6632"/>
    <cellStyle name="20% - Accent1 35" xfId="6883"/>
    <cellStyle name="20% - Accent1 36" xfId="7134"/>
    <cellStyle name="20% - Accent1 37" xfId="7385"/>
    <cellStyle name="20% - Accent1 38" xfId="7636"/>
    <cellStyle name="20% - Accent1 39" xfId="7887"/>
    <cellStyle name="20% - Accent1 4" xfId="317"/>
    <cellStyle name="20% - Accent1 40" xfId="8138"/>
    <cellStyle name="20% - Accent1 41" xfId="8389"/>
    <cellStyle name="20% - Accent1 42" xfId="8640"/>
    <cellStyle name="20% - Accent1 43" xfId="8891"/>
    <cellStyle name="20% - Accent1 44" xfId="9142"/>
    <cellStyle name="20% - Accent1 45" xfId="9393"/>
    <cellStyle name="20% - Accent1 46" xfId="9644"/>
    <cellStyle name="20% - Accent1 47" xfId="9895"/>
    <cellStyle name="20% - Accent1 48" xfId="10146"/>
    <cellStyle name="20% - Accent1 49" xfId="10397"/>
    <cellStyle name="20% - Accent1 5" xfId="340"/>
    <cellStyle name="20% - Accent1 50" xfId="10648"/>
    <cellStyle name="20% - Accent1 51" xfId="10899"/>
    <cellStyle name="20% - Accent1 52" xfId="11150"/>
    <cellStyle name="20% - Accent1 53" xfId="11401"/>
    <cellStyle name="20% - Accent1 54" xfId="11652"/>
    <cellStyle name="20% - Accent1 55" xfId="11903"/>
    <cellStyle name="20% - Accent1 56" xfId="12154"/>
    <cellStyle name="20% - Accent1 57" xfId="12405"/>
    <cellStyle name="20% - Accent1 58" xfId="12656"/>
    <cellStyle name="20% - Accent1 59" xfId="12907"/>
    <cellStyle name="20% - Accent1 6" xfId="311"/>
    <cellStyle name="20% - Accent1 60" xfId="13158"/>
    <cellStyle name="20% - Accent1 61" xfId="13409"/>
    <cellStyle name="20% - Accent1 62" xfId="13660"/>
    <cellStyle name="20% - Accent1 63" xfId="13911"/>
    <cellStyle name="20% - Accent1 64" xfId="14162"/>
    <cellStyle name="20% - Accent1 65" xfId="14413"/>
    <cellStyle name="20% - Accent1 66" xfId="15084"/>
    <cellStyle name="20% - Accent1 67" xfId="15756"/>
    <cellStyle name="20% - Accent1 68" xfId="15832"/>
    <cellStyle name="20% - Accent1 69" xfId="15662"/>
    <cellStyle name="20% - Accent1 7" xfId="835"/>
    <cellStyle name="20% - Accent1 70" xfId="15757"/>
    <cellStyle name="20% - Accent1 71" xfId="15920"/>
    <cellStyle name="20% - Accent1 72" xfId="16171"/>
    <cellStyle name="20% - Accent1 73" xfId="16422"/>
    <cellStyle name="20% - Accent1 74" xfId="16673"/>
    <cellStyle name="20% - Accent1 75" xfId="16924"/>
    <cellStyle name="20% - Accent1 76" xfId="17175"/>
    <cellStyle name="20% - Accent1 77" xfId="17426"/>
    <cellStyle name="20% - Accent1 78" xfId="17677"/>
    <cellStyle name="20% - Accent1 79" xfId="17928"/>
    <cellStyle name="20% - Accent1 8" xfId="843"/>
    <cellStyle name="20% - Accent1 80" xfId="18179"/>
    <cellStyle name="20% - Accent1 81" xfId="19429"/>
    <cellStyle name="20% - Accent1 82" xfId="19601"/>
    <cellStyle name="20% - Accent1 83" xfId="19432"/>
    <cellStyle name="20% - Accent1 84" xfId="18931"/>
    <cellStyle name="20% - Accent1 85" xfId="19602"/>
    <cellStyle name="20% - Accent1 86" xfId="19688"/>
    <cellStyle name="20% - Accent1 87" xfId="19940"/>
    <cellStyle name="20% - Accent1 88" xfId="20192"/>
    <cellStyle name="20% - Accent1 89" xfId="20444"/>
    <cellStyle name="20% - Accent1 9" xfId="1350"/>
    <cellStyle name="20% - Accent1 90" xfId="21606"/>
    <cellStyle name="20% - Accent1 91" xfId="22226"/>
    <cellStyle name="20% - Accent1 92" xfId="22241"/>
    <cellStyle name="20% - Accent1 93" xfId="24683"/>
    <cellStyle name="20% - Accent1 94" xfId="24709"/>
    <cellStyle name="20% - Accent1 95" xfId="24725"/>
    <cellStyle name="20% - Accent1 96" xfId="24741"/>
    <cellStyle name="20% - Accent1 97" xfId="24757"/>
    <cellStyle name="20% - Accent2" xfId="52" builtinId="34" customBuiltin="1"/>
    <cellStyle name="20% - Accent2 10" xfId="1345"/>
    <cellStyle name="20% - Accent2 11" xfId="1859"/>
    <cellStyle name="20% - Accent2 12" xfId="2110"/>
    <cellStyle name="20% - Accent2 13" xfId="2361"/>
    <cellStyle name="20% - Accent2 14" xfId="2612"/>
    <cellStyle name="20% - Accent2 15" xfId="2863"/>
    <cellStyle name="20% - Accent2 16" xfId="3114"/>
    <cellStyle name="20% - Accent2 17" xfId="3365"/>
    <cellStyle name="20% - Accent2 18" xfId="3616"/>
    <cellStyle name="20% - Accent2 19" xfId="3867"/>
    <cellStyle name="20% - Accent2 2" xfId="142"/>
    <cellStyle name="20% - Accent2 2 10" xfId="2443"/>
    <cellStyle name="20% - Accent2 2 11" xfId="2694"/>
    <cellStyle name="20% - Accent2 2 12" xfId="2945"/>
    <cellStyle name="20% - Accent2 2 13" xfId="3196"/>
    <cellStyle name="20% - Accent2 2 14" xfId="3447"/>
    <cellStyle name="20% - Accent2 2 15" xfId="3698"/>
    <cellStyle name="20% - Accent2 2 16" xfId="3949"/>
    <cellStyle name="20% - Accent2 2 17" xfId="4200"/>
    <cellStyle name="20% - Accent2 2 18" xfId="4451"/>
    <cellStyle name="20% - Accent2 2 19" xfId="4702"/>
    <cellStyle name="20% - Accent2 2 2" xfId="421"/>
    <cellStyle name="20% - Accent2 2 20" xfId="4953"/>
    <cellStyle name="20% - Accent2 2 21" xfId="5204"/>
    <cellStyle name="20% - Accent2 2 22" xfId="5455"/>
    <cellStyle name="20% - Accent2 2 23" xfId="5706"/>
    <cellStyle name="20% - Accent2 2 24" xfId="5957"/>
    <cellStyle name="20% - Accent2 2 25" xfId="6208"/>
    <cellStyle name="20% - Accent2 2 26" xfId="6459"/>
    <cellStyle name="20% - Accent2 2 27" xfId="6710"/>
    <cellStyle name="20% - Accent2 2 28" xfId="6961"/>
    <cellStyle name="20% - Accent2 2 29" xfId="7212"/>
    <cellStyle name="20% - Accent2 2 3" xfId="670"/>
    <cellStyle name="20% - Accent2 2 30" xfId="7463"/>
    <cellStyle name="20% - Accent2 2 31" xfId="7714"/>
    <cellStyle name="20% - Accent2 2 32" xfId="7965"/>
    <cellStyle name="20% - Accent2 2 33" xfId="8216"/>
    <cellStyle name="20% - Accent2 2 34" xfId="8467"/>
    <cellStyle name="20% - Accent2 2 35" xfId="8718"/>
    <cellStyle name="20% - Accent2 2 36" xfId="8969"/>
    <cellStyle name="20% - Accent2 2 37" xfId="9220"/>
    <cellStyle name="20% - Accent2 2 38" xfId="9471"/>
    <cellStyle name="20% - Accent2 2 39" xfId="9722"/>
    <cellStyle name="20% - Accent2 2 4" xfId="923"/>
    <cellStyle name="20% - Accent2 2 40" xfId="9973"/>
    <cellStyle name="20% - Accent2 2 41" xfId="10224"/>
    <cellStyle name="20% - Accent2 2 42" xfId="10475"/>
    <cellStyle name="20% - Accent2 2 43" xfId="10726"/>
    <cellStyle name="20% - Accent2 2 44" xfId="10977"/>
    <cellStyle name="20% - Accent2 2 45" xfId="11228"/>
    <cellStyle name="20% - Accent2 2 46" xfId="11479"/>
    <cellStyle name="20% - Accent2 2 47" xfId="11730"/>
    <cellStyle name="20% - Accent2 2 48" xfId="11981"/>
    <cellStyle name="20% - Accent2 2 49" xfId="12232"/>
    <cellStyle name="20% - Accent2 2 5" xfId="1178"/>
    <cellStyle name="20% - Accent2 2 50" xfId="12483"/>
    <cellStyle name="20% - Accent2 2 51" xfId="12734"/>
    <cellStyle name="20% - Accent2 2 52" xfId="12985"/>
    <cellStyle name="20% - Accent2 2 53" xfId="13236"/>
    <cellStyle name="20% - Accent2 2 54" xfId="13487"/>
    <cellStyle name="20% - Accent2 2 55" xfId="13738"/>
    <cellStyle name="20% - Accent2 2 56" xfId="13989"/>
    <cellStyle name="20% - Accent2 2 57" xfId="14240"/>
    <cellStyle name="20% - Accent2 2 58" xfId="14491"/>
    <cellStyle name="20% - Accent2 2 59" xfId="14742"/>
    <cellStyle name="20% - Accent2 2 6" xfId="1431"/>
    <cellStyle name="20% - Accent2 2 60" xfId="14992"/>
    <cellStyle name="20% - Accent2 2 61" xfId="15243"/>
    <cellStyle name="20% - Accent2 2 62" xfId="15494"/>
    <cellStyle name="20% - Accent2 2 63" xfId="15741"/>
    <cellStyle name="20% - Accent2 2 64" xfId="15998"/>
    <cellStyle name="20% - Accent2 2 65" xfId="16249"/>
    <cellStyle name="20% - Accent2 2 66" xfId="16500"/>
    <cellStyle name="20% - Accent2 2 67" xfId="16751"/>
    <cellStyle name="20% - Accent2 2 68" xfId="17002"/>
    <cellStyle name="20% - Accent2 2 69" xfId="17253"/>
    <cellStyle name="20% - Accent2 2 7" xfId="1684"/>
    <cellStyle name="20% - Accent2 2 70" xfId="17504"/>
    <cellStyle name="20% - Accent2 2 71" xfId="17755"/>
    <cellStyle name="20% - Accent2 2 72" xfId="18006"/>
    <cellStyle name="20% - Accent2 2 73" xfId="18257"/>
    <cellStyle name="20% - Accent2 2 74" xfId="18508"/>
    <cellStyle name="20% - Accent2 2 75" xfId="18758"/>
    <cellStyle name="20% - Accent2 2 76" xfId="19009"/>
    <cellStyle name="20% - Accent2 2 77" xfId="19260"/>
    <cellStyle name="20% - Accent2 2 78" xfId="19510"/>
    <cellStyle name="20% - Accent2 2 79" xfId="19766"/>
    <cellStyle name="20% - Accent2 2 8" xfId="1941"/>
    <cellStyle name="20% - Accent2 2 80" xfId="20018"/>
    <cellStyle name="20% - Accent2 2 81" xfId="20270"/>
    <cellStyle name="20% - Accent2 2 82" xfId="20522"/>
    <cellStyle name="20% - Accent2 2 83" xfId="20772"/>
    <cellStyle name="20% - Accent2 2 84" xfId="21022"/>
    <cellStyle name="20% - Accent2 2 85" xfId="21273"/>
    <cellStyle name="20% - Accent2 2 86" xfId="21517"/>
    <cellStyle name="20% - Accent2 2 87" xfId="21761"/>
    <cellStyle name="20% - Accent2 2 88" xfId="22002"/>
    <cellStyle name="20% - Accent2 2 9" xfId="2192"/>
    <cellStyle name="20% - Accent2 20" xfId="4118"/>
    <cellStyle name="20% - Accent2 21" xfId="4369"/>
    <cellStyle name="20% - Accent2 22" xfId="4620"/>
    <cellStyle name="20% - Accent2 23" xfId="4871"/>
    <cellStyle name="20% - Accent2 24" xfId="5122"/>
    <cellStyle name="20% - Accent2 25" xfId="5373"/>
    <cellStyle name="20% - Accent2 26" xfId="5624"/>
    <cellStyle name="20% - Accent2 27" xfId="5875"/>
    <cellStyle name="20% - Accent2 28" xfId="6126"/>
    <cellStyle name="20% - Accent2 29" xfId="6377"/>
    <cellStyle name="20% - Accent2 3" xfId="148"/>
    <cellStyle name="20% - Accent2 3 10" xfId="2449"/>
    <cellStyle name="20% - Accent2 3 11" xfId="2700"/>
    <cellStyle name="20% - Accent2 3 12" xfId="2951"/>
    <cellStyle name="20% - Accent2 3 13" xfId="3202"/>
    <cellStyle name="20% - Accent2 3 14" xfId="3453"/>
    <cellStyle name="20% - Accent2 3 15" xfId="3704"/>
    <cellStyle name="20% - Accent2 3 16" xfId="3955"/>
    <cellStyle name="20% - Accent2 3 17" xfId="4206"/>
    <cellStyle name="20% - Accent2 3 18" xfId="4457"/>
    <cellStyle name="20% - Accent2 3 19" xfId="4708"/>
    <cellStyle name="20% - Accent2 3 2" xfId="427"/>
    <cellStyle name="20% - Accent2 3 20" xfId="4959"/>
    <cellStyle name="20% - Accent2 3 21" xfId="5210"/>
    <cellStyle name="20% - Accent2 3 22" xfId="5461"/>
    <cellStyle name="20% - Accent2 3 23" xfId="5712"/>
    <cellStyle name="20% - Accent2 3 24" xfId="5963"/>
    <cellStyle name="20% - Accent2 3 25" xfId="6214"/>
    <cellStyle name="20% - Accent2 3 26" xfId="6465"/>
    <cellStyle name="20% - Accent2 3 27" xfId="6716"/>
    <cellStyle name="20% - Accent2 3 28" xfId="6967"/>
    <cellStyle name="20% - Accent2 3 29" xfId="7218"/>
    <cellStyle name="20% - Accent2 3 3" xfId="676"/>
    <cellStyle name="20% - Accent2 3 30" xfId="7469"/>
    <cellStyle name="20% - Accent2 3 31" xfId="7720"/>
    <cellStyle name="20% - Accent2 3 32" xfId="7971"/>
    <cellStyle name="20% - Accent2 3 33" xfId="8222"/>
    <cellStyle name="20% - Accent2 3 34" xfId="8473"/>
    <cellStyle name="20% - Accent2 3 35" xfId="8724"/>
    <cellStyle name="20% - Accent2 3 36" xfId="8975"/>
    <cellStyle name="20% - Accent2 3 37" xfId="9226"/>
    <cellStyle name="20% - Accent2 3 38" xfId="9477"/>
    <cellStyle name="20% - Accent2 3 39" xfId="9728"/>
    <cellStyle name="20% - Accent2 3 4" xfId="929"/>
    <cellStyle name="20% - Accent2 3 40" xfId="9979"/>
    <cellStyle name="20% - Accent2 3 41" xfId="10230"/>
    <cellStyle name="20% - Accent2 3 42" xfId="10481"/>
    <cellStyle name="20% - Accent2 3 43" xfId="10732"/>
    <cellStyle name="20% - Accent2 3 44" xfId="10983"/>
    <cellStyle name="20% - Accent2 3 45" xfId="11234"/>
    <cellStyle name="20% - Accent2 3 46" xfId="11485"/>
    <cellStyle name="20% - Accent2 3 47" xfId="11736"/>
    <cellStyle name="20% - Accent2 3 48" xfId="11987"/>
    <cellStyle name="20% - Accent2 3 49" xfId="12238"/>
    <cellStyle name="20% - Accent2 3 5" xfId="1184"/>
    <cellStyle name="20% - Accent2 3 50" xfId="12489"/>
    <cellStyle name="20% - Accent2 3 51" xfId="12740"/>
    <cellStyle name="20% - Accent2 3 52" xfId="12991"/>
    <cellStyle name="20% - Accent2 3 53" xfId="13242"/>
    <cellStyle name="20% - Accent2 3 54" xfId="13493"/>
    <cellStyle name="20% - Accent2 3 55" xfId="13744"/>
    <cellStyle name="20% - Accent2 3 56" xfId="13995"/>
    <cellStyle name="20% - Accent2 3 57" xfId="14246"/>
    <cellStyle name="20% - Accent2 3 58" xfId="14497"/>
    <cellStyle name="20% - Accent2 3 59" xfId="14748"/>
    <cellStyle name="20% - Accent2 3 6" xfId="1437"/>
    <cellStyle name="20% - Accent2 3 60" xfId="14998"/>
    <cellStyle name="20% - Accent2 3 61" xfId="15249"/>
    <cellStyle name="20% - Accent2 3 62" xfId="15500"/>
    <cellStyle name="20% - Accent2 3 63" xfId="15747"/>
    <cellStyle name="20% - Accent2 3 64" xfId="16004"/>
    <cellStyle name="20% - Accent2 3 65" xfId="16255"/>
    <cellStyle name="20% - Accent2 3 66" xfId="16506"/>
    <cellStyle name="20% - Accent2 3 67" xfId="16757"/>
    <cellStyle name="20% - Accent2 3 68" xfId="17008"/>
    <cellStyle name="20% - Accent2 3 69" xfId="17259"/>
    <cellStyle name="20% - Accent2 3 7" xfId="1690"/>
    <cellStyle name="20% - Accent2 3 70" xfId="17510"/>
    <cellStyle name="20% - Accent2 3 71" xfId="17761"/>
    <cellStyle name="20% - Accent2 3 72" xfId="18012"/>
    <cellStyle name="20% - Accent2 3 73" xfId="18263"/>
    <cellStyle name="20% - Accent2 3 74" xfId="18514"/>
    <cellStyle name="20% - Accent2 3 75" xfId="18764"/>
    <cellStyle name="20% - Accent2 3 76" xfId="19015"/>
    <cellStyle name="20% - Accent2 3 77" xfId="19266"/>
    <cellStyle name="20% - Accent2 3 78" xfId="19516"/>
    <cellStyle name="20% - Accent2 3 79" xfId="19772"/>
    <cellStyle name="20% - Accent2 3 8" xfId="1947"/>
    <cellStyle name="20% - Accent2 3 80" xfId="20024"/>
    <cellStyle name="20% - Accent2 3 81" xfId="20276"/>
    <cellStyle name="20% - Accent2 3 82" xfId="20528"/>
    <cellStyle name="20% - Accent2 3 83" xfId="20778"/>
    <cellStyle name="20% - Accent2 3 84" xfId="21028"/>
    <cellStyle name="20% - Accent2 3 85" xfId="21279"/>
    <cellStyle name="20% - Accent2 3 86" xfId="21523"/>
    <cellStyle name="20% - Accent2 3 87" xfId="21767"/>
    <cellStyle name="20% - Accent2 3 88" xfId="22008"/>
    <cellStyle name="20% - Accent2 3 9" xfId="2198"/>
    <cellStyle name="20% - Accent2 30" xfId="6628"/>
    <cellStyle name="20% - Accent2 31" xfId="6879"/>
    <cellStyle name="20% - Accent2 32" xfId="7130"/>
    <cellStyle name="20% - Accent2 33" xfId="7381"/>
    <cellStyle name="20% - Accent2 34" xfId="7632"/>
    <cellStyle name="20% - Accent2 35" xfId="7883"/>
    <cellStyle name="20% - Accent2 36" xfId="8134"/>
    <cellStyle name="20% - Accent2 37" xfId="8385"/>
    <cellStyle name="20% - Accent2 38" xfId="8636"/>
    <cellStyle name="20% - Accent2 39" xfId="8887"/>
    <cellStyle name="20% - Accent2 4" xfId="321"/>
    <cellStyle name="20% - Accent2 40" xfId="9138"/>
    <cellStyle name="20% - Accent2 41" xfId="9389"/>
    <cellStyle name="20% - Accent2 42" xfId="9640"/>
    <cellStyle name="20% - Accent2 43" xfId="9891"/>
    <cellStyle name="20% - Accent2 44" xfId="10142"/>
    <cellStyle name="20% - Accent2 45" xfId="10393"/>
    <cellStyle name="20% - Accent2 46" xfId="10644"/>
    <cellStyle name="20% - Accent2 47" xfId="10895"/>
    <cellStyle name="20% - Accent2 48" xfId="11146"/>
    <cellStyle name="20% - Accent2 49" xfId="11397"/>
    <cellStyle name="20% - Accent2 5" xfId="336"/>
    <cellStyle name="20% - Accent2 50" xfId="11648"/>
    <cellStyle name="20% - Accent2 51" xfId="11899"/>
    <cellStyle name="20% - Accent2 52" xfId="12150"/>
    <cellStyle name="20% - Accent2 53" xfId="12401"/>
    <cellStyle name="20% - Accent2 54" xfId="12652"/>
    <cellStyle name="20% - Accent2 55" xfId="12903"/>
    <cellStyle name="20% - Accent2 56" xfId="13154"/>
    <cellStyle name="20% - Accent2 57" xfId="13405"/>
    <cellStyle name="20% - Accent2 58" xfId="13656"/>
    <cellStyle name="20% - Accent2 59" xfId="13907"/>
    <cellStyle name="20% - Accent2 6" xfId="335"/>
    <cellStyle name="20% - Accent2 60" xfId="14158"/>
    <cellStyle name="20% - Accent2 61" xfId="14409"/>
    <cellStyle name="20% - Accent2 62" xfId="14660"/>
    <cellStyle name="20% - Accent2 63" xfId="14911"/>
    <cellStyle name="20% - Accent2 64" xfId="15162"/>
    <cellStyle name="20% - Accent2 65" xfId="15412"/>
    <cellStyle name="20% - Accent2 66" xfId="14866"/>
    <cellStyle name="20% - Accent2 67" xfId="15916"/>
    <cellStyle name="20% - Accent2 68" xfId="16167"/>
    <cellStyle name="20% - Accent2 69" xfId="16418"/>
    <cellStyle name="20% - Accent2 7" xfId="310"/>
    <cellStyle name="20% - Accent2 70" xfId="16669"/>
    <cellStyle name="20% - Accent2 71" xfId="16920"/>
    <cellStyle name="20% - Accent2 72" xfId="17171"/>
    <cellStyle name="20% - Accent2 73" xfId="17422"/>
    <cellStyle name="20% - Accent2 74" xfId="17673"/>
    <cellStyle name="20% - Accent2 75" xfId="17924"/>
    <cellStyle name="20% - Accent2 76" xfId="18175"/>
    <cellStyle name="20% - Accent2 77" xfId="18426"/>
    <cellStyle name="20% - Accent2 78" xfId="18677"/>
    <cellStyle name="20% - Accent2 79" xfId="18928"/>
    <cellStyle name="20% - Accent2 8" xfId="1090"/>
    <cellStyle name="20% - Accent2 80" xfId="19178"/>
    <cellStyle name="20% - Accent2 81" xfId="18429"/>
    <cellStyle name="20% - Accent2 82" xfId="19684"/>
    <cellStyle name="20% - Accent2 83" xfId="19936"/>
    <cellStyle name="20% - Accent2 84" xfId="20188"/>
    <cellStyle name="20% - Accent2 85" xfId="20440"/>
    <cellStyle name="20% - Accent2 86" xfId="20692"/>
    <cellStyle name="20% - Accent2 87" xfId="20942"/>
    <cellStyle name="20% - Accent2 88" xfId="21191"/>
    <cellStyle name="20% - Accent2 89" xfId="21438"/>
    <cellStyle name="20% - Accent2 9" xfId="1346"/>
    <cellStyle name="20% - Accent2 90" xfId="21114"/>
    <cellStyle name="20% - Accent2 91" xfId="22227"/>
    <cellStyle name="20% - Accent2 92" xfId="22242"/>
    <cellStyle name="20% - Accent2 93" xfId="24684"/>
    <cellStyle name="20% - Accent2 94" xfId="24708"/>
    <cellStyle name="20% - Accent2 95" xfId="24724"/>
    <cellStyle name="20% - Accent2 96" xfId="24740"/>
    <cellStyle name="20% - Accent2 97" xfId="24756"/>
    <cellStyle name="20% - Accent3" xfId="56" builtinId="38" customBuiltin="1"/>
    <cellStyle name="20% - Accent3 10" xfId="1603"/>
    <cellStyle name="20% - Accent3 11" xfId="1855"/>
    <cellStyle name="20% - Accent3 12" xfId="1600"/>
    <cellStyle name="20% - Accent3 13" xfId="1605"/>
    <cellStyle name="20% - Accent3 14" xfId="1808"/>
    <cellStyle name="20% - Accent3 15" xfId="1862"/>
    <cellStyle name="20% - Accent3 16" xfId="2113"/>
    <cellStyle name="20% - Accent3 17" xfId="2364"/>
    <cellStyle name="20% - Accent3 18" xfId="2615"/>
    <cellStyle name="20% - Accent3 19" xfId="2866"/>
    <cellStyle name="20% - Accent3 2" xfId="146"/>
    <cellStyle name="20% - Accent3 2 10" xfId="2447"/>
    <cellStyle name="20% - Accent3 2 11" xfId="2698"/>
    <cellStyle name="20% - Accent3 2 12" xfId="2949"/>
    <cellStyle name="20% - Accent3 2 13" xfId="3200"/>
    <cellStyle name="20% - Accent3 2 14" xfId="3451"/>
    <cellStyle name="20% - Accent3 2 15" xfId="3702"/>
    <cellStyle name="20% - Accent3 2 16" xfId="3953"/>
    <cellStyle name="20% - Accent3 2 17" xfId="4204"/>
    <cellStyle name="20% - Accent3 2 18" xfId="4455"/>
    <cellStyle name="20% - Accent3 2 19" xfId="4706"/>
    <cellStyle name="20% - Accent3 2 2" xfId="425"/>
    <cellStyle name="20% - Accent3 2 20" xfId="4957"/>
    <cellStyle name="20% - Accent3 2 21" xfId="5208"/>
    <cellStyle name="20% - Accent3 2 22" xfId="5459"/>
    <cellStyle name="20% - Accent3 2 23" xfId="5710"/>
    <cellStyle name="20% - Accent3 2 24" xfId="5961"/>
    <cellStyle name="20% - Accent3 2 25" xfId="6212"/>
    <cellStyle name="20% - Accent3 2 26" xfId="6463"/>
    <cellStyle name="20% - Accent3 2 27" xfId="6714"/>
    <cellStyle name="20% - Accent3 2 28" xfId="6965"/>
    <cellStyle name="20% - Accent3 2 29" xfId="7216"/>
    <cellStyle name="20% - Accent3 2 3" xfId="674"/>
    <cellStyle name="20% - Accent3 2 30" xfId="7467"/>
    <cellStyle name="20% - Accent3 2 31" xfId="7718"/>
    <cellStyle name="20% - Accent3 2 32" xfId="7969"/>
    <cellStyle name="20% - Accent3 2 33" xfId="8220"/>
    <cellStyle name="20% - Accent3 2 34" xfId="8471"/>
    <cellStyle name="20% - Accent3 2 35" xfId="8722"/>
    <cellStyle name="20% - Accent3 2 36" xfId="8973"/>
    <cellStyle name="20% - Accent3 2 37" xfId="9224"/>
    <cellStyle name="20% - Accent3 2 38" xfId="9475"/>
    <cellStyle name="20% - Accent3 2 39" xfId="9726"/>
    <cellStyle name="20% - Accent3 2 4" xfId="927"/>
    <cellStyle name="20% - Accent3 2 40" xfId="9977"/>
    <cellStyle name="20% - Accent3 2 41" xfId="10228"/>
    <cellStyle name="20% - Accent3 2 42" xfId="10479"/>
    <cellStyle name="20% - Accent3 2 43" xfId="10730"/>
    <cellStyle name="20% - Accent3 2 44" xfId="10981"/>
    <cellStyle name="20% - Accent3 2 45" xfId="11232"/>
    <cellStyle name="20% - Accent3 2 46" xfId="11483"/>
    <cellStyle name="20% - Accent3 2 47" xfId="11734"/>
    <cellStyle name="20% - Accent3 2 48" xfId="11985"/>
    <cellStyle name="20% - Accent3 2 49" xfId="12236"/>
    <cellStyle name="20% - Accent3 2 5" xfId="1182"/>
    <cellStyle name="20% - Accent3 2 50" xfId="12487"/>
    <cellStyle name="20% - Accent3 2 51" xfId="12738"/>
    <cellStyle name="20% - Accent3 2 52" xfId="12989"/>
    <cellStyle name="20% - Accent3 2 53" xfId="13240"/>
    <cellStyle name="20% - Accent3 2 54" xfId="13491"/>
    <cellStyle name="20% - Accent3 2 55" xfId="13742"/>
    <cellStyle name="20% - Accent3 2 56" xfId="13993"/>
    <cellStyle name="20% - Accent3 2 57" xfId="14244"/>
    <cellStyle name="20% - Accent3 2 58" xfId="14495"/>
    <cellStyle name="20% - Accent3 2 59" xfId="14746"/>
    <cellStyle name="20% - Accent3 2 6" xfId="1435"/>
    <cellStyle name="20% - Accent3 2 60" xfId="14996"/>
    <cellStyle name="20% - Accent3 2 61" xfId="15247"/>
    <cellStyle name="20% - Accent3 2 62" xfId="15498"/>
    <cellStyle name="20% - Accent3 2 63" xfId="15745"/>
    <cellStyle name="20% - Accent3 2 64" xfId="16002"/>
    <cellStyle name="20% - Accent3 2 65" xfId="16253"/>
    <cellStyle name="20% - Accent3 2 66" xfId="16504"/>
    <cellStyle name="20% - Accent3 2 67" xfId="16755"/>
    <cellStyle name="20% - Accent3 2 68" xfId="17006"/>
    <cellStyle name="20% - Accent3 2 69" xfId="17257"/>
    <cellStyle name="20% - Accent3 2 7" xfId="1688"/>
    <cellStyle name="20% - Accent3 2 70" xfId="17508"/>
    <cellStyle name="20% - Accent3 2 71" xfId="17759"/>
    <cellStyle name="20% - Accent3 2 72" xfId="18010"/>
    <cellStyle name="20% - Accent3 2 73" xfId="18261"/>
    <cellStyle name="20% - Accent3 2 74" xfId="18512"/>
    <cellStyle name="20% - Accent3 2 75" xfId="18762"/>
    <cellStyle name="20% - Accent3 2 76" xfId="19013"/>
    <cellStyle name="20% - Accent3 2 77" xfId="19264"/>
    <cellStyle name="20% - Accent3 2 78" xfId="19514"/>
    <cellStyle name="20% - Accent3 2 79" xfId="19770"/>
    <cellStyle name="20% - Accent3 2 8" xfId="1945"/>
    <cellStyle name="20% - Accent3 2 80" xfId="20022"/>
    <cellStyle name="20% - Accent3 2 81" xfId="20274"/>
    <cellStyle name="20% - Accent3 2 82" xfId="20526"/>
    <cellStyle name="20% - Accent3 2 83" xfId="20776"/>
    <cellStyle name="20% - Accent3 2 84" xfId="21026"/>
    <cellStyle name="20% - Accent3 2 85" xfId="21277"/>
    <cellStyle name="20% - Accent3 2 86" xfId="21521"/>
    <cellStyle name="20% - Accent3 2 87" xfId="21765"/>
    <cellStyle name="20% - Accent3 2 88" xfId="22006"/>
    <cellStyle name="20% - Accent3 2 9" xfId="2196"/>
    <cellStyle name="20% - Accent3 20" xfId="3117"/>
    <cellStyle name="20% - Accent3 21" xfId="3368"/>
    <cellStyle name="20% - Accent3 22" xfId="3619"/>
    <cellStyle name="20% - Accent3 23" xfId="3870"/>
    <cellStyle name="20% - Accent3 24" xfId="4121"/>
    <cellStyle name="20% - Accent3 25" xfId="4372"/>
    <cellStyle name="20% - Accent3 26" xfId="4623"/>
    <cellStyle name="20% - Accent3 27" xfId="4874"/>
    <cellStyle name="20% - Accent3 28" xfId="5125"/>
    <cellStyle name="20% - Accent3 29" xfId="5376"/>
    <cellStyle name="20% - Accent3 3" xfId="156"/>
    <cellStyle name="20% - Accent3 3 10" xfId="2457"/>
    <cellStyle name="20% - Accent3 3 11" xfId="2708"/>
    <cellStyle name="20% - Accent3 3 12" xfId="2959"/>
    <cellStyle name="20% - Accent3 3 13" xfId="3210"/>
    <cellStyle name="20% - Accent3 3 14" xfId="3461"/>
    <cellStyle name="20% - Accent3 3 15" xfId="3712"/>
    <cellStyle name="20% - Accent3 3 16" xfId="3963"/>
    <cellStyle name="20% - Accent3 3 17" xfId="4214"/>
    <cellStyle name="20% - Accent3 3 18" xfId="4465"/>
    <cellStyle name="20% - Accent3 3 19" xfId="4716"/>
    <cellStyle name="20% - Accent3 3 2" xfId="435"/>
    <cellStyle name="20% - Accent3 3 20" xfId="4967"/>
    <cellStyle name="20% - Accent3 3 21" xfId="5218"/>
    <cellStyle name="20% - Accent3 3 22" xfId="5469"/>
    <cellStyle name="20% - Accent3 3 23" xfId="5720"/>
    <cellStyle name="20% - Accent3 3 24" xfId="5971"/>
    <cellStyle name="20% - Accent3 3 25" xfId="6222"/>
    <cellStyle name="20% - Accent3 3 26" xfId="6473"/>
    <cellStyle name="20% - Accent3 3 27" xfId="6724"/>
    <cellStyle name="20% - Accent3 3 28" xfId="6975"/>
    <cellStyle name="20% - Accent3 3 29" xfId="7226"/>
    <cellStyle name="20% - Accent3 3 3" xfId="684"/>
    <cellStyle name="20% - Accent3 3 30" xfId="7477"/>
    <cellStyle name="20% - Accent3 3 31" xfId="7728"/>
    <cellStyle name="20% - Accent3 3 32" xfId="7979"/>
    <cellStyle name="20% - Accent3 3 33" xfId="8230"/>
    <cellStyle name="20% - Accent3 3 34" xfId="8481"/>
    <cellStyle name="20% - Accent3 3 35" xfId="8732"/>
    <cellStyle name="20% - Accent3 3 36" xfId="8983"/>
    <cellStyle name="20% - Accent3 3 37" xfId="9234"/>
    <cellStyle name="20% - Accent3 3 38" xfId="9485"/>
    <cellStyle name="20% - Accent3 3 39" xfId="9736"/>
    <cellStyle name="20% - Accent3 3 4" xfId="937"/>
    <cellStyle name="20% - Accent3 3 40" xfId="9987"/>
    <cellStyle name="20% - Accent3 3 41" xfId="10238"/>
    <cellStyle name="20% - Accent3 3 42" xfId="10489"/>
    <cellStyle name="20% - Accent3 3 43" xfId="10740"/>
    <cellStyle name="20% - Accent3 3 44" xfId="10991"/>
    <cellStyle name="20% - Accent3 3 45" xfId="11242"/>
    <cellStyle name="20% - Accent3 3 46" xfId="11493"/>
    <cellStyle name="20% - Accent3 3 47" xfId="11744"/>
    <cellStyle name="20% - Accent3 3 48" xfId="11995"/>
    <cellStyle name="20% - Accent3 3 49" xfId="12246"/>
    <cellStyle name="20% - Accent3 3 5" xfId="1192"/>
    <cellStyle name="20% - Accent3 3 50" xfId="12497"/>
    <cellStyle name="20% - Accent3 3 51" xfId="12748"/>
    <cellStyle name="20% - Accent3 3 52" xfId="12999"/>
    <cellStyle name="20% - Accent3 3 53" xfId="13250"/>
    <cellStyle name="20% - Accent3 3 54" xfId="13501"/>
    <cellStyle name="20% - Accent3 3 55" xfId="13752"/>
    <cellStyle name="20% - Accent3 3 56" xfId="14003"/>
    <cellStyle name="20% - Accent3 3 57" xfId="14254"/>
    <cellStyle name="20% - Accent3 3 58" xfId="14505"/>
    <cellStyle name="20% - Accent3 3 59" xfId="14756"/>
    <cellStyle name="20% - Accent3 3 6" xfId="1445"/>
    <cellStyle name="20% - Accent3 3 60" xfId="15006"/>
    <cellStyle name="20% - Accent3 3 61" xfId="15257"/>
    <cellStyle name="20% - Accent3 3 62" xfId="15508"/>
    <cellStyle name="20% - Accent3 3 63" xfId="15755"/>
    <cellStyle name="20% - Accent3 3 64" xfId="16012"/>
    <cellStyle name="20% - Accent3 3 65" xfId="16263"/>
    <cellStyle name="20% - Accent3 3 66" xfId="16514"/>
    <cellStyle name="20% - Accent3 3 67" xfId="16765"/>
    <cellStyle name="20% - Accent3 3 68" xfId="17016"/>
    <cellStyle name="20% - Accent3 3 69" xfId="17267"/>
    <cellStyle name="20% - Accent3 3 7" xfId="1698"/>
    <cellStyle name="20% - Accent3 3 70" xfId="17518"/>
    <cellStyle name="20% - Accent3 3 71" xfId="17769"/>
    <cellStyle name="20% - Accent3 3 72" xfId="18020"/>
    <cellStyle name="20% - Accent3 3 73" xfId="18271"/>
    <cellStyle name="20% - Accent3 3 74" xfId="18522"/>
    <cellStyle name="20% - Accent3 3 75" xfId="18772"/>
    <cellStyle name="20% - Accent3 3 76" xfId="19023"/>
    <cellStyle name="20% - Accent3 3 77" xfId="19274"/>
    <cellStyle name="20% - Accent3 3 78" xfId="19524"/>
    <cellStyle name="20% - Accent3 3 79" xfId="19780"/>
    <cellStyle name="20% - Accent3 3 8" xfId="1955"/>
    <cellStyle name="20% - Accent3 3 80" xfId="20032"/>
    <cellStyle name="20% - Accent3 3 81" xfId="20284"/>
    <cellStyle name="20% - Accent3 3 82" xfId="20536"/>
    <cellStyle name="20% - Accent3 3 83" xfId="20786"/>
    <cellStyle name="20% - Accent3 3 84" xfId="21036"/>
    <cellStyle name="20% - Accent3 3 85" xfId="21287"/>
    <cellStyle name="20% - Accent3 3 86" xfId="21531"/>
    <cellStyle name="20% - Accent3 3 87" xfId="21775"/>
    <cellStyle name="20% - Accent3 3 88" xfId="22016"/>
    <cellStyle name="20% - Accent3 3 9" xfId="2206"/>
    <cellStyle name="20% - Accent3 30" xfId="5627"/>
    <cellStyle name="20% - Accent3 31" xfId="5878"/>
    <cellStyle name="20% - Accent3 32" xfId="6129"/>
    <cellStyle name="20% - Accent3 33" xfId="6380"/>
    <cellStyle name="20% - Accent3 34" xfId="6631"/>
    <cellStyle name="20% - Accent3 35" xfId="6882"/>
    <cellStyle name="20% - Accent3 36" xfId="7133"/>
    <cellStyle name="20% - Accent3 37" xfId="7384"/>
    <cellStyle name="20% - Accent3 38" xfId="7635"/>
    <cellStyle name="20% - Accent3 39" xfId="7886"/>
    <cellStyle name="20% - Accent3 4" xfId="325"/>
    <cellStyle name="20% - Accent3 40" xfId="8137"/>
    <cellStyle name="20% - Accent3 41" xfId="8388"/>
    <cellStyle name="20% - Accent3 42" xfId="8639"/>
    <cellStyle name="20% - Accent3 43" xfId="8890"/>
    <cellStyle name="20% - Accent3 44" xfId="9141"/>
    <cellStyle name="20% - Accent3 45" xfId="9392"/>
    <cellStyle name="20% - Accent3 46" xfId="9643"/>
    <cellStyle name="20% - Accent3 47" xfId="9894"/>
    <cellStyle name="20% - Accent3 48" xfId="10145"/>
    <cellStyle name="20% - Accent3 49" xfId="10396"/>
    <cellStyle name="20% - Accent3 5" xfId="320"/>
    <cellStyle name="20% - Accent3 50" xfId="10647"/>
    <cellStyle name="20% - Accent3 51" xfId="10898"/>
    <cellStyle name="20% - Accent3 52" xfId="11149"/>
    <cellStyle name="20% - Accent3 53" xfId="11400"/>
    <cellStyle name="20% - Accent3 54" xfId="11651"/>
    <cellStyle name="20% - Accent3 55" xfId="11902"/>
    <cellStyle name="20% - Accent3 56" xfId="12153"/>
    <cellStyle name="20% - Accent3 57" xfId="12404"/>
    <cellStyle name="20% - Accent3 58" xfId="12655"/>
    <cellStyle name="20% - Accent3 59" xfId="12906"/>
    <cellStyle name="20% - Accent3 6" xfId="590"/>
    <cellStyle name="20% - Accent3 60" xfId="13157"/>
    <cellStyle name="20% - Accent3 61" xfId="13408"/>
    <cellStyle name="20% - Accent3 62" xfId="13659"/>
    <cellStyle name="20% - Accent3 63" xfId="13910"/>
    <cellStyle name="20% - Accent3 64" xfId="14161"/>
    <cellStyle name="20% - Accent3 65" xfId="14412"/>
    <cellStyle name="20% - Accent3 66" xfId="15116"/>
    <cellStyle name="20% - Accent3 67" xfId="15912"/>
    <cellStyle name="20% - Accent3 68" xfId="15509"/>
    <cellStyle name="20% - Accent3 69" xfId="15165"/>
    <cellStyle name="20% - Accent3 7" xfId="323"/>
    <cellStyle name="20% - Accent3 70" xfId="15865"/>
    <cellStyle name="20% - Accent3 71" xfId="15919"/>
    <cellStyle name="20% - Accent3 72" xfId="16170"/>
    <cellStyle name="20% - Accent3 73" xfId="16421"/>
    <cellStyle name="20% - Accent3 74" xfId="16672"/>
    <cellStyle name="20% - Accent3 75" xfId="16923"/>
    <cellStyle name="20% - Accent3 76" xfId="17174"/>
    <cellStyle name="20% - Accent3 77" xfId="17425"/>
    <cellStyle name="20% - Accent3 78" xfId="17676"/>
    <cellStyle name="20% - Accent3 79" xfId="17927"/>
    <cellStyle name="20% - Accent3 8" xfId="839"/>
    <cellStyle name="20% - Accent3 80" xfId="18178"/>
    <cellStyle name="20% - Accent3 81" xfId="19179"/>
    <cellStyle name="20% - Accent3 82" xfId="19680"/>
    <cellStyle name="20% - Accent3 83" xfId="19384"/>
    <cellStyle name="20% - Accent3 84" xfId="19351"/>
    <cellStyle name="20% - Accent3 85" xfId="19526"/>
    <cellStyle name="20% - Accent3 86" xfId="19687"/>
    <cellStyle name="20% - Accent3 87" xfId="19939"/>
    <cellStyle name="20% - Accent3 88" xfId="20191"/>
    <cellStyle name="20% - Accent3 89" xfId="20443"/>
    <cellStyle name="20% - Accent3 9" xfId="1094"/>
    <cellStyle name="20% - Accent3 90" xfId="20897"/>
    <cellStyle name="20% - Accent3 91" xfId="22228"/>
    <cellStyle name="20% - Accent3 92" xfId="22243"/>
    <cellStyle name="20% - Accent3 93" xfId="24685"/>
    <cellStyle name="20% - Accent3 94" xfId="24707"/>
    <cellStyle name="20% - Accent3 95" xfId="24723"/>
    <cellStyle name="20% - Accent3 96" xfId="24739"/>
    <cellStyle name="20% - Accent3 97" xfId="24755"/>
    <cellStyle name="20% - Accent4" xfId="60" builtinId="42" customBuiltin="1"/>
    <cellStyle name="20% - Accent4 10" xfId="1089"/>
    <cellStyle name="20% - Accent4 11" xfId="792"/>
    <cellStyle name="20% - Accent4 12" xfId="1860"/>
    <cellStyle name="20% - Accent4 13" xfId="2111"/>
    <cellStyle name="20% - Accent4 14" xfId="2362"/>
    <cellStyle name="20% - Accent4 15" xfId="2613"/>
    <cellStyle name="20% - Accent4 16" xfId="2864"/>
    <cellStyle name="20% - Accent4 17" xfId="3115"/>
    <cellStyle name="20% - Accent4 18" xfId="3366"/>
    <cellStyle name="20% - Accent4 19" xfId="3617"/>
    <cellStyle name="20% - Accent4 2" xfId="149"/>
    <cellStyle name="20% - Accent4 2 10" xfId="2450"/>
    <cellStyle name="20% - Accent4 2 11" xfId="2701"/>
    <cellStyle name="20% - Accent4 2 12" xfId="2952"/>
    <cellStyle name="20% - Accent4 2 13" xfId="3203"/>
    <cellStyle name="20% - Accent4 2 14" xfId="3454"/>
    <cellStyle name="20% - Accent4 2 15" xfId="3705"/>
    <cellStyle name="20% - Accent4 2 16" xfId="3956"/>
    <cellStyle name="20% - Accent4 2 17" xfId="4207"/>
    <cellStyle name="20% - Accent4 2 18" xfId="4458"/>
    <cellStyle name="20% - Accent4 2 19" xfId="4709"/>
    <cellStyle name="20% - Accent4 2 2" xfId="428"/>
    <cellStyle name="20% - Accent4 2 20" xfId="4960"/>
    <cellStyle name="20% - Accent4 2 21" xfId="5211"/>
    <cellStyle name="20% - Accent4 2 22" xfId="5462"/>
    <cellStyle name="20% - Accent4 2 23" xfId="5713"/>
    <cellStyle name="20% - Accent4 2 24" xfId="5964"/>
    <cellStyle name="20% - Accent4 2 25" xfId="6215"/>
    <cellStyle name="20% - Accent4 2 26" xfId="6466"/>
    <cellStyle name="20% - Accent4 2 27" xfId="6717"/>
    <cellStyle name="20% - Accent4 2 28" xfId="6968"/>
    <cellStyle name="20% - Accent4 2 29" xfId="7219"/>
    <cellStyle name="20% - Accent4 2 3" xfId="677"/>
    <cellStyle name="20% - Accent4 2 30" xfId="7470"/>
    <cellStyle name="20% - Accent4 2 31" xfId="7721"/>
    <cellStyle name="20% - Accent4 2 32" xfId="7972"/>
    <cellStyle name="20% - Accent4 2 33" xfId="8223"/>
    <cellStyle name="20% - Accent4 2 34" xfId="8474"/>
    <cellStyle name="20% - Accent4 2 35" xfId="8725"/>
    <cellStyle name="20% - Accent4 2 36" xfId="8976"/>
    <cellStyle name="20% - Accent4 2 37" xfId="9227"/>
    <cellStyle name="20% - Accent4 2 38" xfId="9478"/>
    <cellStyle name="20% - Accent4 2 39" xfId="9729"/>
    <cellStyle name="20% - Accent4 2 4" xfId="930"/>
    <cellStyle name="20% - Accent4 2 40" xfId="9980"/>
    <cellStyle name="20% - Accent4 2 41" xfId="10231"/>
    <cellStyle name="20% - Accent4 2 42" xfId="10482"/>
    <cellStyle name="20% - Accent4 2 43" xfId="10733"/>
    <cellStyle name="20% - Accent4 2 44" xfId="10984"/>
    <cellStyle name="20% - Accent4 2 45" xfId="11235"/>
    <cellStyle name="20% - Accent4 2 46" xfId="11486"/>
    <cellStyle name="20% - Accent4 2 47" xfId="11737"/>
    <cellStyle name="20% - Accent4 2 48" xfId="11988"/>
    <cellStyle name="20% - Accent4 2 49" xfId="12239"/>
    <cellStyle name="20% - Accent4 2 5" xfId="1185"/>
    <cellStyle name="20% - Accent4 2 50" xfId="12490"/>
    <cellStyle name="20% - Accent4 2 51" xfId="12741"/>
    <cellStyle name="20% - Accent4 2 52" xfId="12992"/>
    <cellStyle name="20% - Accent4 2 53" xfId="13243"/>
    <cellStyle name="20% - Accent4 2 54" xfId="13494"/>
    <cellStyle name="20% - Accent4 2 55" xfId="13745"/>
    <cellStyle name="20% - Accent4 2 56" xfId="13996"/>
    <cellStyle name="20% - Accent4 2 57" xfId="14247"/>
    <cellStyle name="20% - Accent4 2 58" xfId="14498"/>
    <cellStyle name="20% - Accent4 2 59" xfId="14749"/>
    <cellStyle name="20% - Accent4 2 6" xfId="1438"/>
    <cellStyle name="20% - Accent4 2 60" xfId="14999"/>
    <cellStyle name="20% - Accent4 2 61" xfId="15250"/>
    <cellStyle name="20% - Accent4 2 62" xfId="15501"/>
    <cellStyle name="20% - Accent4 2 63" xfId="15748"/>
    <cellStyle name="20% - Accent4 2 64" xfId="16005"/>
    <cellStyle name="20% - Accent4 2 65" xfId="16256"/>
    <cellStyle name="20% - Accent4 2 66" xfId="16507"/>
    <cellStyle name="20% - Accent4 2 67" xfId="16758"/>
    <cellStyle name="20% - Accent4 2 68" xfId="17009"/>
    <cellStyle name="20% - Accent4 2 69" xfId="17260"/>
    <cellStyle name="20% - Accent4 2 7" xfId="1691"/>
    <cellStyle name="20% - Accent4 2 70" xfId="17511"/>
    <cellStyle name="20% - Accent4 2 71" xfId="17762"/>
    <cellStyle name="20% - Accent4 2 72" xfId="18013"/>
    <cellStyle name="20% - Accent4 2 73" xfId="18264"/>
    <cellStyle name="20% - Accent4 2 74" xfId="18515"/>
    <cellStyle name="20% - Accent4 2 75" xfId="18765"/>
    <cellStyle name="20% - Accent4 2 76" xfId="19016"/>
    <cellStyle name="20% - Accent4 2 77" xfId="19267"/>
    <cellStyle name="20% - Accent4 2 78" xfId="19517"/>
    <cellStyle name="20% - Accent4 2 79" xfId="19773"/>
    <cellStyle name="20% - Accent4 2 8" xfId="1948"/>
    <cellStyle name="20% - Accent4 2 80" xfId="20025"/>
    <cellStyle name="20% - Accent4 2 81" xfId="20277"/>
    <cellStyle name="20% - Accent4 2 82" xfId="20529"/>
    <cellStyle name="20% - Accent4 2 83" xfId="20779"/>
    <cellStyle name="20% - Accent4 2 84" xfId="21029"/>
    <cellStyle name="20% - Accent4 2 85" xfId="21280"/>
    <cellStyle name="20% - Accent4 2 86" xfId="21524"/>
    <cellStyle name="20% - Accent4 2 87" xfId="21768"/>
    <cellStyle name="20% - Accent4 2 88" xfId="22009"/>
    <cellStyle name="20% - Accent4 2 9" xfId="2199"/>
    <cellStyle name="20% - Accent4 20" xfId="3868"/>
    <cellStyle name="20% - Accent4 21" xfId="4119"/>
    <cellStyle name="20% - Accent4 22" xfId="4370"/>
    <cellStyle name="20% - Accent4 23" xfId="4621"/>
    <cellStyle name="20% - Accent4 24" xfId="4872"/>
    <cellStyle name="20% - Accent4 25" xfId="5123"/>
    <cellStyle name="20% - Accent4 26" xfId="5374"/>
    <cellStyle name="20% - Accent4 27" xfId="5625"/>
    <cellStyle name="20% - Accent4 28" xfId="5876"/>
    <cellStyle name="20% - Accent4 29" xfId="6127"/>
    <cellStyle name="20% - Accent4 3" xfId="144"/>
    <cellStyle name="20% - Accent4 3 10" xfId="2445"/>
    <cellStyle name="20% - Accent4 3 11" xfId="2696"/>
    <cellStyle name="20% - Accent4 3 12" xfId="2947"/>
    <cellStyle name="20% - Accent4 3 13" xfId="3198"/>
    <cellStyle name="20% - Accent4 3 14" xfId="3449"/>
    <cellStyle name="20% - Accent4 3 15" xfId="3700"/>
    <cellStyle name="20% - Accent4 3 16" xfId="3951"/>
    <cellStyle name="20% - Accent4 3 17" xfId="4202"/>
    <cellStyle name="20% - Accent4 3 18" xfId="4453"/>
    <cellStyle name="20% - Accent4 3 19" xfId="4704"/>
    <cellStyle name="20% - Accent4 3 2" xfId="423"/>
    <cellStyle name="20% - Accent4 3 20" xfId="4955"/>
    <cellStyle name="20% - Accent4 3 21" xfId="5206"/>
    <cellStyle name="20% - Accent4 3 22" xfId="5457"/>
    <cellStyle name="20% - Accent4 3 23" xfId="5708"/>
    <cellStyle name="20% - Accent4 3 24" xfId="5959"/>
    <cellStyle name="20% - Accent4 3 25" xfId="6210"/>
    <cellStyle name="20% - Accent4 3 26" xfId="6461"/>
    <cellStyle name="20% - Accent4 3 27" xfId="6712"/>
    <cellStyle name="20% - Accent4 3 28" xfId="6963"/>
    <cellStyle name="20% - Accent4 3 29" xfId="7214"/>
    <cellStyle name="20% - Accent4 3 3" xfId="672"/>
    <cellStyle name="20% - Accent4 3 30" xfId="7465"/>
    <cellStyle name="20% - Accent4 3 31" xfId="7716"/>
    <cellStyle name="20% - Accent4 3 32" xfId="7967"/>
    <cellStyle name="20% - Accent4 3 33" xfId="8218"/>
    <cellStyle name="20% - Accent4 3 34" xfId="8469"/>
    <cellStyle name="20% - Accent4 3 35" xfId="8720"/>
    <cellStyle name="20% - Accent4 3 36" xfId="8971"/>
    <cellStyle name="20% - Accent4 3 37" xfId="9222"/>
    <cellStyle name="20% - Accent4 3 38" xfId="9473"/>
    <cellStyle name="20% - Accent4 3 39" xfId="9724"/>
    <cellStyle name="20% - Accent4 3 4" xfId="925"/>
    <cellStyle name="20% - Accent4 3 40" xfId="9975"/>
    <cellStyle name="20% - Accent4 3 41" xfId="10226"/>
    <cellStyle name="20% - Accent4 3 42" xfId="10477"/>
    <cellStyle name="20% - Accent4 3 43" xfId="10728"/>
    <cellStyle name="20% - Accent4 3 44" xfId="10979"/>
    <cellStyle name="20% - Accent4 3 45" xfId="11230"/>
    <cellStyle name="20% - Accent4 3 46" xfId="11481"/>
    <cellStyle name="20% - Accent4 3 47" xfId="11732"/>
    <cellStyle name="20% - Accent4 3 48" xfId="11983"/>
    <cellStyle name="20% - Accent4 3 49" xfId="12234"/>
    <cellStyle name="20% - Accent4 3 5" xfId="1180"/>
    <cellStyle name="20% - Accent4 3 50" xfId="12485"/>
    <cellStyle name="20% - Accent4 3 51" xfId="12736"/>
    <cellStyle name="20% - Accent4 3 52" xfId="12987"/>
    <cellStyle name="20% - Accent4 3 53" xfId="13238"/>
    <cellStyle name="20% - Accent4 3 54" xfId="13489"/>
    <cellStyle name="20% - Accent4 3 55" xfId="13740"/>
    <cellStyle name="20% - Accent4 3 56" xfId="13991"/>
    <cellStyle name="20% - Accent4 3 57" xfId="14242"/>
    <cellStyle name="20% - Accent4 3 58" xfId="14493"/>
    <cellStyle name="20% - Accent4 3 59" xfId="14744"/>
    <cellStyle name="20% - Accent4 3 6" xfId="1433"/>
    <cellStyle name="20% - Accent4 3 60" xfId="14994"/>
    <cellStyle name="20% - Accent4 3 61" xfId="15245"/>
    <cellStyle name="20% - Accent4 3 62" xfId="15496"/>
    <cellStyle name="20% - Accent4 3 63" xfId="15743"/>
    <cellStyle name="20% - Accent4 3 64" xfId="16000"/>
    <cellStyle name="20% - Accent4 3 65" xfId="16251"/>
    <cellStyle name="20% - Accent4 3 66" xfId="16502"/>
    <cellStyle name="20% - Accent4 3 67" xfId="16753"/>
    <cellStyle name="20% - Accent4 3 68" xfId="17004"/>
    <cellStyle name="20% - Accent4 3 69" xfId="17255"/>
    <cellStyle name="20% - Accent4 3 7" xfId="1686"/>
    <cellStyle name="20% - Accent4 3 70" xfId="17506"/>
    <cellStyle name="20% - Accent4 3 71" xfId="17757"/>
    <cellStyle name="20% - Accent4 3 72" xfId="18008"/>
    <cellStyle name="20% - Accent4 3 73" xfId="18259"/>
    <cellStyle name="20% - Accent4 3 74" xfId="18510"/>
    <cellStyle name="20% - Accent4 3 75" xfId="18760"/>
    <cellStyle name="20% - Accent4 3 76" xfId="19011"/>
    <cellStyle name="20% - Accent4 3 77" xfId="19262"/>
    <cellStyle name="20% - Accent4 3 78" xfId="19512"/>
    <cellStyle name="20% - Accent4 3 79" xfId="19768"/>
    <cellStyle name="20% - Accent4 3 8" xfId="1943"/>
    <cellStyle name="20% - Accent4 3 80" xfId="20020"/>
    <cellStyle name="20% - Accent4 3 81" xfId="20272"/>
    <cellStyle name="20% - Accent4 3 82" xfId="20524"/>
    <cellStyle name="20% - Accent4 3 83" xfId="20774"/>
    <cellStyle name="20% - Accent4 3 84" xfId="21024"/>
    <cellStyle name="20% - Accent4 3 85" xfId="21275"/>
    <cellStyle name="20% - Accent4 3 86" xfId="21519"/>
    <cellStyle name="20% - Accent4 3 87" xfId="21763"/>
    <cellStyle name="20% - Accent4 3 88" xfId="22004"/>
    <cellStyle name="20% - Accent4 3 9" xfId="2194"/>
    <cellStyle name="20% - Accent4 30" xfId="6378"/>
    <cellStyle name="20% - Accent4 31" xfId="6629"/>
    <cellStyle name="20% - Accent4 32" xfId="6880"/>
    <cellStyle name="20% - Accent4 33" xfId="7131"/>
    <cellStyle name="20% - Accent4 34" xfId="7382"/>
    <cellStyle name="20% - Accent4 35" xfId="7633"/>
    <cellStyle name="20% - Accent4 36" xfId="7884"/>
    <cellStyle name="20% - Accent4 37" xfId="8135"/>
    <cellStyle name="20% - Accent4 38" xfId="8386"/>
    <cellStyle name="20% - Accent4 39" xfId="8637"/>
    <cellStyle name="20% - Accent4 4" xfId="329"/>
    <cellStyle name="20% - Accent4 40" xfId="8888"/>
    <cellStyle name="20% - Accent4 41" xfId="9139"/>
    <cellStyle name="20% - Accent4 42" xfId="9390"/>
    <cellStyle name="20% - Accent4 43" xfId="9641"/>
    <cellStyle name="20% - Accent4 44" xfId="9892"/>
    <cellStyle name="20% - Accent4 45" xfId="10143"/>
    <cellStyle name="20% - Accent4 46" xfId="10394"/>
    <cellStyle name="20% - Accent4 47" xfId="10645"/>
    <cellStyle name="20% - Accent4 48" xfId="10896"/>
    <cellStyle name="20% - Accent4 49" xfId="11147"/>
    <cellStyle name="20% - Accent4 5" xfId="331"/>
    <cellStyle name="20% - Accent4 50" xfId="11398"/>
    <cellStyle name="20% - Accent4 51" xfId="11649"/>
    <cellStyle name="20% - Accent4 52" xfId="11900"/>
    <cellStyle name="20% - Accent4 53" xfId="12151"/>
    <cellStyle name="20% - Accent4 54" xfId="12402"/>
    <cellStyle name="20% - Accent4 55" xfId="12653"/>
    <cellStyle name="20% - Accent4 56" xfId="12904"/>
    <cellStyle name="20% - Accent4 57" xfId="13155"/>
    <cellStyle name="20% - Accent4 58" xfId="13406"/>
    <cellStyle name="20% - Accent4 59" xfId="13657"/>
    <cellStyle name="20% - Accent4 6" xfId="328"/>
    <cellStyle name="20% - Accent4 60" xfId="13908"/>
    <cellStyle name="20% - Accent4 61" xfId="14159"/>
    <cellStyle name="20% - Accent4 62" xfId="14410"/>
    <cellStyle name="20% - Accent4 63" xfId="14661"/>
    <cellStyle name="20% - Accent4 64" xfId="14912"/>
    <cellStyle name="20% - Accent4 65" xfId="15163"/>
    <cellStyle name="20% - Accent4 66" xfId="14757"/>
    <cellStyle name="20% - Accent4 67" xfId="14663"/>
    <cellStyle name="20% - Accent4 68" xfId="15917"/>
    <cellStyle name="20% - Accent4 69" xfId="16168"/>
    <cellStyle name="20% - Accent4 7" xfId="1087"/>
    <cellStyle name="20% - Accent4 70" xfId="16419"/>
    <cellStyle name="20% - Accent4 71" xfId="16670"/>
    <cellStyle name="20% - Accent4 72" xfId="16921"/>
    <cellStyle name="20% - Accent4 73" xfId="17172"/>
    <cellStyle name="20% - Accent4 74" xfId="17423"/>
    <cellStyle name="20% - Accent4 75" xfId="17674"/>
    <cellStyle name="20% - Accent4 76" xfId="17925"/>
    <cellStyle name="20% - Accent4 77" xfId="18176"/>
    <cellStyle name="20% - Accent4 78" xfId="18427"/>
    <cellStyle name="20% - Accent4 79" xfId="18678"/>
    <cellStyle name="20% - Accent4 8" xfId="587"/>
    <cellStyle name="20% - Accent4 80" xfId="18929"/>
    <cellStyle name="20% - Accent4 81" xfId="19177"/>
    <cellStyle name="20% - Accent4 82" xfId="19275"/>
    <cellStyle name="20% - Accent4 83" xfId="19685"/>
    <cellStyle name="20% - Accent4 84" xfId="19937"/>
    <cellStyle name="20% - Accent4 85" xfId="20189"/>
    <cellStyle name="20% - Accent4 86" xfId="20441"/>
    <cellStyle name="20% - Accent4 87" xfId="20693"/>
    <cellStyle name="20% - Accent4 88" xfId="20943"/>
    <cellStyle name="20% - Accent4 89" xfId="21192"/>
    <cellStyle name="20% - Accent4 9" xfId="341"/>
    <cellStyle name="20% - Accent4 90" xfId="21146"/>
    <cellStyle name="20% - Accent4 91" xfId="22229"/>
    <cellStyle name="20% - Accent4 92" xfId="22244"/>
    <cellStyle name="20% - Accent4 93" xfId="24686"/>
    <cellStyle name="20% - Accent4 94" xfId="24703"/>
    <cellStyle name="20% - Accent4 95" xfId="24721"/>
    <cellStyle name="20% - Accent4 96" xfId="24737"/>
    <cellStyle name="20% - Accent4 97" xfId="24753"/>
    <cellStyle name="20% - Accent5" xfId="64" builtinId="46" customBuiltin="1"/>
    <cellStyle name="20% - Accent5 10" xfId="1852"/>
    <cellStyle name="20% - Accent5 11" xfId="1850"/>
    <cellStyle name="20% - Accent5 12" xfId="1858"/>
    <cellStyle name="20% - Accent5 13" xfId="2109"/>
    <cellStyle name="20% - Accent5 14" xfId="2360"/>
    <cellStyle name="20% - Accent5 15" xfId="2611"/>
    <cellStyle name="20% - Accent5 16" xfId="2862"/>
    <cellStyle name="20% - Accent5 17" xfId="3113"/>
    <cellStyle name="20% - Accent5 18" xfId="3364"/>
    <cellStyle name="20% - Accent5 19" xfId="3615"/>
    <cellStyle name="20% - Accent5 2" xfId="151"/>
    <cellStyle name="20% - Accent5 2 10" xfId="2452"/>
    <cellStyle name="20% - Accent5 2 11" xfId="2703"/>
    <cellStyle name="20% - Accent5 2 12" xfId="2954"/>
    <cellStyle name="20% - Accent5 2 13" xfId="3205"/>
    <cellStyle name="20% - Accent5 2 14" xfId="3456"/>
    <cellStyle name="20% - Accent5 2 15" xfId="3707"/>
    <cellStyle name="20% - Accent5 2 16" xfId="3958"/>
    <cellStyle name="20% - Accent5 2 17" xfId="4209"/>
    <cellStyle name="20% - Accent5 2 18" xfId="4460"/>
    <cellStyle name="20% - Accent5 2 19" xfId="4711"/>
    <cellStyle name="20% - Accent5 2 2" xfId="430"/>
    <cellStyle name="20% - Accent5 2 20" xfId="4962"/>
    <cellStyle name="20% - Accent5 2 21" xfId="5213"/>
    <cellStyle name="20% - Accent5 2 22" xfId="5464"/>
    <cellStyle name="20% - Accent5 2 23" xfId="5715"/>
    <cellStyle name="20% - Accent5 2 24" xfId="5966"/>
    <cellStyle name="20% - Accent5 2 25" xfId="6217"/>
    <cellStyle name="20% - Accent5 2 26" xfId="6468"/>
    <cellStyle name="20% - Accent5 2 27" xfId="6719"/>
    <cellStyle name="20% - Accent5 2 28" xfId="6970"/>
    <cellStyle name="20% - Accent5 2 29" xfId="7221"/>
    <cellStyle name="20% - Accent5 2 3" xfId="679"/>
    <cellStyle name="20% - Accent5 2 30" xfId="7472"/>
    <cellStyle name="20% - Accent5 2 31" xfId="7723"/>
    <cellStyle name="20% - Accent5 2 32" xfId="7974"/>
    <cellStyle name="20% - Accent5 2 33" xfId="8225"/>
    <cellStyle name="20% - Accent5 2 34" xfId="8476"/>
    <cellStyle name="20% - Accent5 2 35" xfId="8727"/>
    <cellStyle name="20% - Accent5 2 36" xfId="8978"/>
    <cellStyle name="20% - Accent5 2 37" xfId="9229"/>
    <cellStyle name="20% - Accent5 2 38" xfId="9480"/>
    <cellStyle name="20% - Accent5 2 39" xfId="9731"/>
    <cellStyle name="20% - Accent5 2 4" xfId="932"/>
    <cellStyle name="20% - Accent5 2 40" xfId="9982"/>
    <cellStyle name="20% - Accent5 2 41" xfId="10233"/>
    <cellStyle name="20% - Accent5 2 42" xfId="10484"/>
    <cellStyle name="20% - Accent5 2 43" xfId="10735"/>
    <cellStyle name="20% - Accent5 2 44" xfId="10986"/>
    <cellStyle name="20% - Accent5 2 45" xfId="11237"/>
    <cellStyle name="20% - Accent5 2 46" xfId="11488"/>
    <cellStyle name="20% - Accent5 2 47" xfId="11739"/>
    <cellStyle name="20% - Accent5 2 48" xfId="11990"/>
    <cellStyle name="20% - Accent5 2 49" xfId="12241"/>
    <cellStyle name="20% - Accent5 2 5" xfId="1187"/>
    <cellStyle name="20% - Accent5 2 50" xfId="12492"/>
    <cellStyle name="20% - Accent5 2 51" xfId="12743"/>
    <cellStyle name="20% - Accent5 2 52" xfId="12994"/>
    <cellStyle name="20% - Accent5 2 53" xfId="13245"/>
    <cellStyle name="20% - Accent5 2 54" xfId="13496"/>
    <cellStyle name="20% - Accent5 2 55" xfId="13747"/>
    <cellStyle name="20% - Accent5 2 56" xfId="13998"/>
    <cellStyle name="20% - Accent5 2 57" xfId="14249"/>
    <cellStyle name="20% - Accent5 2 58" xfId="14500"/>
    <cellStyle name="20% - Accent5 2 59" xfId="14751"/>
    <cellStyle name="20% - Accent5 2 6" xfId="1440"/>
    <cellStyle name="20% - Accent5 2 60" xfId="15001"/>
    <cellStyle name="20% - Accent5 2 61" xfId="15252"/>
    <cellStyle name="20% - Accent5 2 62" xfId="15503"/>
    <cellStyle name="20% - Accent5 2 63" xfId="15750"/>
    <cellStyle name="20% - Accent5 2 64" xfId="16007"/>
    <cellStyle name="20% - Accent5 2 65" xfId="16258"/>
    <cellStyle name="20% - Accent5 2 66" xfId="16509"/>
    <cellStyle name="20% - Accent5 2 67" xfId="16760"/>
    <cellStyle name="20% - Accent5 2 68" xfId="17011"/>
    <cellStyle name="20% - Accent5 2 69" xfId="17262"/>
    <cellStyle name="20% - Accent5 2 7" xfId="1693"/>
    <cellStyle name="20% - Accent5 2 70" xfId="17513"/>
    <cellStyle name="20% - Accent5 2 71" xfId="17764"/>
    <cellStyle name="20% - Accent5 2 72" xfId="18015"/>
    <cellStyle name="20% - Accent5 2 73" xfId="18266"/>
    <cellStyle name="20% - Accent5 2 74" xfId="18517"/>
    <cellStyle name="20% - Accent5 2 75" xfId="18767"/>
    <cellStyle name="20% - Accent5 2 76" xfId="19018"/>
    <cellStyle name="20% - Accent5 2 77" xfId="19269"/>
    <cellStyle name="20% - Accent5 2 78" xfId="19519"/>
    <cellStyle name="20% - Accent5 2 79" xfId="19775"/>
    <cellStyle name="20% - Accent5 2 8" xfId="1950"/>
    <cellStyle name="20% - Accent5 2 80" xfId="20027"/>
    <cellStyle name="20% - Accent5 2 81" xfId="20279"/>
    <cellStyle name="20% - Accent5 2 82" xfId="20531"/>
    <cellStyle name="20% - Accent5 2 83" xfId="20781"/>
    <cellStyle name="20% - Accent5 2 84" xfId="21031"/>
    <cellStyle name="20% - Accent5 2 85" xfId="21282"/>
    <cellStyle name="20% - Accent5 2 86" xfId="21526"/>
    <cellStyle name="20% - Accent5 2 87" xfId="21770"/>
    <cellStyle name="20% - Accent5 2 88" xfId="22011"/>
    <cellStyle name="20% - Accent5 2 9" xfId="2201"/>
    <cellStyle name="20% - Accent5 20" xfId="3866"/>
    <cellStyle name="20% - Accent5 21" xfId="4117"/>
    <cellStyle name="20% - Accent5 22" xfId="4368"/>
    <cellStyle name="20% - Accent5 23" xfId="4619"/>
    <cellStyle name="20% - Accent5 24" xfId="4870"/>
    <cellStyle name="20% - Accent5 25" xfId="5121"/>
    <cellStyle name="20% - Accent5 26" xfId="5372"/>
    <cellStyle name="20% - Accent5 27" xfId="5623"/>
    <cellStyle name="20% - Accent5 28" xfId="5874"/>
    <cellStyle name="20% - Accent5 29" xfId="6125"/>
    <cellStyle name="20% - Accent5 3" xfId="229"/>
    <cellStyle name="20% - Accent5 3 10" xfId="2529"/>
    <cellStyle name="20% - Accent5 3 11" xfId="2780"/>
    <cellStyle name="20% - Accent5 3 12" xfId="3031"/>
    <cellStyle name="20% - Accent5 3 13" xfId="3282"/>
    <cellStyle name="20% - Accent5 3 14" xfId="3533"/>
    <cellStyle name="20% - Accent5 3 15" xfId="3784"/>
    <cellStyle name="20% - Accent5 3 16" xfId="4035"/>
    <cellStyle name="20% - Accent5 3 17" xfId="4286"/>
    <cellStyle name="20% - Accent5 3 18" xfId="4537"/>
    <cellStyle name="20% - Accent5 3 19" xfId="4788"/>
    <cellStyle name="20% - Accent5 3 2" xfId="506"/>
    <cellStyle name="20% - Accent5 3 20" xfId="5039"/>
    <cellStyle name="20% - Accent5 3 21" xfId="5290"/>
    <cellStyle name="20% - Accent5 3 22" xfId="5541"/>
    <cellStyle name="20% - Accent5 3 23" xfId="5792"/>
    <cellStyle name="20% - Accent5 3 24" xfId="6043"/>
    <cellStyle name="20% - Accent5 3 25" xfId="6294"/>
    <cellStyle name="20% - Accent5 3 26" xfId="6545"/>
    <cellStyle name="20% - Accent5 3 27" xfId="6796"/>
    <cellStyle name="20% - Accent5 3 28" xfId="7047"/>
    <cellStyle name="20% - Accent5 3 29" xfId="7298"/>
    <cellStyle name="20% - Accent5 3 3" xfId="756"/>
    <cellStyle name="20% - Accent5 3 30" xfId="7549"/>
    <cellStyle name="20% - Accent5 3 31" xfId="7800"/>
    <cellStyle name="20% - Accent5 3 32" xfId="8051"/>
    <cellStyle name="20% - Accent5 3 33" xfId="8302"/>
    <cellStyle name="20% - Accent5 3 34" xfId="8553"/>
    <cellStyle name="20% - Accent5 3 35" xfId="8804"/>
    <cellStyle name="20% - Accent5 3 36" xfId="9055"/>
    <cellStyle name="20% - Accent5 3 37" xfId="9306"/>
    <cellStyle name="20% - Accent5 3 38" xfId="9557"/>
    <cellStyle name="20% - Accent5 3 39" xfId="9808"/>
    <cellStyle name="20% - Accent5 3 4" xfId="1009"/>
    <cellStyle name="20% - Accent5 3 40" xfId="10059"/>
    <cellStyle name="20% - Accent5 3 41" xfId="10310"/>
    <cellStyle name="20% - Accent5 3 42" xfId="10561"/>
    <cellStyle name="20% - Accent5 3 43" xfId="10812"/>
    <cellStyle name="20% - Accent5 3 44" xfId="11063"/>
    <cellStyle name="20% - Accent5 3 45" xfId="11314"/>
    <cellStyle name="20% - Accent5 3 46" xfId="11565"/>
    <cellStyle name="20% - Accent5 3 47" xfId="11816"/>
    <cellStyle name="20% - Accent5 3 48" xfId="12067"/>
    <cellStyle name="20% - Accent5 3 49" xfId="12318"/>
    <cellStyle name="20% - Accent5 3 5" xfId="1264"/>
    <cellStyle name="20% - Accent5 3 50" xfId="12569"/>
    <cellStyle name="20% - Accent5 3 51" xfId="12820"/>
    <cellStyle name="20% - Accent5 3 52" xfId="13071"/>
    <cellStyle name="20% - Accent5 3 53" xfId="13322"/>
    <cellStyle name="20% - Accent5 3 54" xfId="13573"/>
    <cellStyle name="20% - Accent5 3 55" xfId="13824"/>
    <cellStyle name="20% - Accent5 3 56" xfId="14075"/>
    <cellStyle name="20% - Accent5 3 57" xfId="14326"/>
    <cellStyle name="20% - Accent5 3 58" xfId="14577"/>
    <cellStyle name="20% - Accent5 3 59" xfId="14828"/>
    <cellStyle name="20% - Accent5 3 6" xfId="1517"/>
    <cellStyle name="20% - Accent5 3 60" xfId="15079"/>
    <cellStyle name="20% - Accent5 3 61" xfId="15329"/>
    <cellStyle name="20% - Accent5 3 62" xfId="15580"/>
    <cellStyle name="20% - Accent5 3 63" xfId="15828"/>
    <cellStyle name="20% - Accent5 3 64" xfId="16084"/>
    <cellStyle name="20% - Accent5 3 65" xfId="16335"/>
    <cellStyle name="20% - Accent5 3 66" xfId="16586"/>
    <cellStyle name="20% - Accent5 3 67" xfId="16837"/>
    <cellStyle name="20% - Accent5 3 68" xfId="17088"/>
    <cellStyle name="20% - Accent5 3 69" xfId="17339"/>
    <cellStyle name="20% - Accent5 3 7" xfId="1771"/>
    <cellStyle name="20% - Accent5 3 70" xfId="17590"/>
    <cellStyle name="20% - Accent5 3 71" xfId="17841"/>
    <cellStyle name="20% - Accent5 3 72" xfId="18092"/>
    <cellStyle name="20% - Accent5 3 73" xfId="18343"/>
    <cellStyle name="20% - Accent5 3 74" xfId="18594"/>
    <cellStyle name="20% - Accent5 3 75" xfId="18845"/>
    <cellStyle name="20% - Accent5 3 76" xfId="19095"/>
    <cellStyle name="20% - Accent5 3 77" xfId="19347"/>
    <cellStyle name="20% - Accent5 3 78" xfId="19597"/>
    <cellStyle name="20% - Accent5 3 79" xfId="19853"/>
    <cellStyle name="20% - Accent5 3 8" xfId="2027"/>
    <cellStyle name="20% - Accent5 3 80" xfId="20105"/>
    <cellStyle name="20% - Accent5 3 81" xfId="20357"/>
    <cellStyle name="20% - Accent5 3 82" xfId="20609"/>
    <cellStyle name="20% - Accent5 3 83" xfId="20859"/>
    <cellStyle name="20% - Accent5 3 84" xfId="21109"/>
    <cellStyle name="20% - Accent5 3 85" xfId="21358"/>
    <cellStyle name="20% - Accent5 3 86" xfId="21602"/>
    <cellStyle name="20% - Accent5 3 87" xfId="21846"/>
    <cellStyle name="20% - Accent5 3 88" xfId="22087"/>
    <cellStyle name="20% - Accent5 3 9" xfId="2278"/>
    <cellStyle name="20% - Accent5 30" xfId="6376"/>
    <cellStyle name="20% - Accent5 31" xfId="6627"/>
    <cellStyle name="20% - Accent5 32" xfId="6878"/>
    <cellStyle name="20% - Accent5 33" xfId="7129"/>
    <cellStyle name="20% - Accent5 34" xfId="7380"/>
    <cellStyle name="20% - Accent5 35" xfId="7631"/>
    <cellStyle name="20% - Accent5 36" xfId="7882"/>
    <cellStyle name="20% - Accent5 37" xfId="8133"/>
    <cellStyle name="20% - Accent5 38" xfId="8384"/>
    <cellStyle name="20% - Accent5 39" xfId="8635"/>
    <cellStyle name="20% - Accent5 4" xfId="333"/>
    <cellStyle name="20% - Accent5 40" xfId="8886"/>
    <cellStyle name="20% - Accent5 41" xfId="9137"/>
    <cellStyle name="20% - Accent5 42" xfId="9388"/>
    <cellStyle name="20% - Accent5 43" xfId="9639"/>
    <cellStyle name="20% - Accent5 44" xfId="9890"/>
    <cellStyle name="20% - Accent5 45" xfId="10141"/>
    <cellStyle name="20% - Accent5 46" xfId="10392"/>
    <cellStyle name="20% - Accent5 47" xfId="10643"/>
    <cellStyle name="20% - Accent5 48" xfId="10894"/>
    <cellStyle name="20% - Accent5 49" xfId="11145"/>
    <cellStyle name="20% - Accent5 5" xfId="584"/>
    <cellStyle name="20% - Accent5 50" xfId="11396"/>
    <cellStyle name="20% - Accent5 51" xfId="11647"/>
    <cellStyle name="20% - Accent5 52" xfId="11898"/>
    <cellStyle name="20% - Accent5 53" xfId="12149"/>
    <cellStyle name="20% - Accent5 54" xfId="12400"/>
    <cellStyle name="20% - Accent5 55" xfId="12651"/>
    <cellStyle name="20% - Accent5 56" xfId="12902"/>
    <cellStyle name="20% - Accent5 57" xfId="13153"/>
    <cellStyle name="20% - Accent5 58" xfId="13404"/>
    <cellStyle name="20% - Accent5 59" xfId="13655"/>
    <cellStyle name="20% - Accent5 6" xfId="836"/>
    <cellStyle name="20% - Accent5 60" xfId="13906"/>
    <cellStyle name="20% - Accent5 61" xfId="14157"/>
    <cellStyle name="20% - Accent5 62" xfId="14408"/>
    <cellStyle name="20% - Accent5 63" xfId="14659"/>
    <cellStyle name="20% - Accent5 64" xfId="14910"/>
    <cellStyle name="20% - Accent5 65" xfId="15161"/>
    <cellStyle name="20% - Accent5 66" xfId="15909"/>
    <cellStyle name="20% - Accent5 67" xfId="14914"/>
    <cellStyle name="20% - Accent5 68" xfId="15915"/>
    <cellStyle name="20% - Accent5 69" xfId="16166"/>
    <cellStyle name="20% - Accent5 7" xfId="1091"/>
    <cellStyle name="20% - Accent5 70" xfId="16417"/>
    <cellStyle name="20% - Accent5 71" xfId="16668"/>
    <cellStyle name="20% - Accent5 72" xfId="16919"/>
    <cellStyle name="20% - Accent5 73" xfId="17170"/>
    <cellStyle name="20% - Accent5 74" xfId="17421"/>
    <cellStyle name="20% - Accent5 75" xfId="17672"/>
    <cellStyle name="20% - Accent5 76" xfId="17923"/>
    <cellStyle name="20% - Accent5 77" xfId="18174"/>
    <cellStyle name="20% - Accent5 78" xfId="18425"/>
    <cellStyle name="20% - Accent5 79" xfId="18676"/>
    <cellStyle name="20% - Accent5 8" xfId="1343"/>
    <cellStyle name="20% - Accent5 80" xfId="18927"/>
    <cellStyle name="20% - Accent5 81" xfId="19677"/>
    <cellStyle name="20% - Accent5 82" xfId="19133"/>
    <cellStyle name="20% - Accent5 83" xfId="19683"/>
    <cellStyle name="20% - Accent5 84" xfId="19935"/>
    <cellStyle name="20% - Accent5 85" xfId="20187"/>
    <cellStyle name="20% - Accent5 86" xfId="20439"/>
    <cellStyle name="20% - Accent5 87" xfId="20691"/>
    <cellStyle name="20% - Accent5 88" xfId="20941"/>
    <cellStyle name="20% - Accent5 89" xfId="21190"/>
    <cellStyle name="20% - Accent5 9" xfId="1597"/>
    <cellStyle name="20% - Accent5 90" xfId="20787"/>
    <cellStyle name="20% - Accent5 91" xfId="22230"/>
    <cellStyle name="20% - Accent5 92" xfId="22245"/>
    <cellStyle name="20% - Accent5 93" xfId="24687"/>
    <cellStyle name="20% - Accent5 94" xfId="24702"/>
    <cellStyle name="20% - Accent5 95" xfId="24720"/>
    <cellStyle name="20% - Accent5 96" xfId="24736"/>
    <cellStyle name="20% - Accent5 97" xfId="24752"/>
    <cellStyle name="20% - Accent6" xfId="68" builtinId="50" customBuiltin="1"/>
    <cellStyle name="20% - Accent6 10" xfId="1856"/>
    <cellStyle name="20% - Accent6 11" xfId="2107"/>
    <cellStyle name="20% - Accent6 12" xfId="2358"/>
    <cellStyle name="20% - Accent6 13" xfId="2609"/>
    <cellStyle name="20% - Accent6 14" xfId="2860"/>
    <cellStyle name="20% - Accent6 15" xfId="3111"/>
    <cellStyle name="20% - Accent6 16" xfId="3362"/>
    <cellStyle name="20% - Accent6 17" xfId="3613"/>
    <cellStyle name="20% - Accent6 18" xfId="3864"/>
    <cellStyle name="20% - Accent6 19" xfId="4115"/>
    <cellStyle name="20% - Accent6 2" xfId="154"/>
    <cellStyle name="20% - Accent6 2 10" xfId="2455"/>
    <cellStyle name="20% - Accent6 2 11" xfId="2706"/>
    <cellStyle name="20% - Accent6 2 12" xfId="2957"/>
    <cellStyle name="20% - Accent6 2 13" xfId="3208"/>
    <cellStyle name="20% - Accent6 2 14" xfId="3459"/>
    <cellStyle name="20% - Accent6 2 15" xfId="3710"/>
    <cellStyle name="20% - Accent6 2 16" xfId="3961"/>
    <cellStyle name="20% - Accent6 2 17" xfId="4212"/>
    <cellStyle name="20% - Accent6 2 18" xfId="4463"/>
    <cellStyle name="20% - Accent6 2 19" xfId="4714"/>
    <cellStyle name="20% - Accent6 2 2" xfId="433"/>
    <cellStyle name="20% - Accent6 2 20" xfId="4965"/>
    <cellStyle name="20% - Accent6 2 21" xfId="5216"/>
    <cellStyle name="20% - Accent6 2 22" xfId="5467"/>
    <cellStyle name="20% - Accent6 2 23" xfId="5718"/>
    <cellStyle name="20% - Accent6 2 24" xfId="5969"/>
    <cellStyle name="20% - Accent6 2 25" xfId="6220"/>
    <cellStyle name="20% - Accent6 2 26" xfId="6471"/>
    <cellStyle name="20% - Accent6 2 27" xfId="6722"/>
    <cellStyle name="20% - Accent6 2 28" xfId="6973"/>
    <cellStyle name="20% - Accent6 2 29" xfId="7224"/>
    <cellStyle name="20% - Accent6 2 3" xfId="682"/>
    <cellStyle name="20% - Accent6 2 30" xfId="7475"/>
    <cellStyle name="20% - Accent6 2 31" xfId="7726"/>
    <cellStyle name="20% - Accent6 2 32" xfId="7977"/>
    <cellStyle name="20% - Accent6 2 33" xfId="8228"/>
    <cellStyle name="20% - Accent6 2 34" xfId="8479"/>
    <cellStyle name="20% - Accent6 2 35" xfId="8730"/>
    <cellStyle name="20% - Accent6 2 36" xfId="8981"/>
    <cellStyle name="20% - Accent6 2 37" xfId="9232"/>
    <cellStyle name="20% - Accent6 2 38" xfId="9483"/>
    <cellStyle name="20% - Accent6 2 39" xfId="9734"/>
    <cellStyle name="20% - Accent6 2 4" xfId="935"/>
    <cellStyle name="20% - Accent6 2 40" xfId="9985"/>
    <cellStyle name="20% - Accent6 2 41" xfId="10236"/>
    <cellStyle name="20% - Accent6 2 42" xfId="10487"/>
    <cellStyle name="20% - Accent6 2 43" xfId="10738"/>
    <cellStyle name="20% - Accent6 2 44" xfId="10989"/>
    <cellStyle name="20% - Accent6 2 45" xfId="11240"/>
    <cellStyle name="20% - Accent6 2 46" xfId="11491"/>
    <cellStyle name="20% - Accent6 2 47" xfId="11742"/>
    <cellStyle name="20% - Accent6 2 48" xfId="11993"/>
    <cellStyle name="20% - Accent6 2 49" xfId="12244"/>
    <cellStyle name="20% - Accent6 2 5" xfId="1190"/>
    <cellStyle name="20% - Accent6 2 50" xfId="12495"/>
    <cellStyle name="20% - Accent6 2 51" xfId="12746"/>
    <cellStyle name="20% - Accent6 2 52" xfId="12997"/>
    <cellStyle name="20% - Accent6 2 53" xfId="13248"/>
    <cellStyle name="20% - Accent6 2 54" xfId="13499"/>
    <cellStyle name="20% - Accent6 2 55" xfId="13750"/>
    <cellStyle name="20% - Accent6 2 56" xfId="14001"/>
    <cellStyle name="20% - Accent6 2 57" xfId="14252"/>
    <cellStyle name="20% - Accent6 2 58" xfId="14503"/>
    <cellStyle name="20% - Accent6 2 59" xfId="14754"/>
    <cellStyle name="20% - Accent6 2 6" xfId="1443"/>
    <cellStyle name="20% - Accent6 2 60" xfId="15004"/>
    <cellStyle name="20% - Accent6 2 61" xfId="15255"/>
    <cellStyle name="20% - Accent6 2 62" xfId="15506"/>
    <cellStyle name="20% - Accent6 2 63" xfId="15753"/>
    <cellStyle name="20% - Accent6 2 64" xfId="16010"/>
    <cellStyle name="20% - Accent6 2 65" xfId="16261"/>
    <cellStyle name="20% - Accent6 2 66" xfId="16512"/>
    <cellStyle name="20% - Accent6 2 67" xfId="16763"/>
    <cellStyle name="20% - Accent6 2 68" xfId="17014"/>
    <cellStyle name="20% - Accent6 2 69" xfId="17265"/>
    <cellStyle name="20% - Accent6 2 7" xfId="1696"/>
    <cellStyle name="20% - Accent6 2 70" xfId="17516"/>
    <cellStyle name="20% - Accent6 2 71" xfId="17767"/>
    <cellStyle name="20% - Accent6 2 72" xfId="18018"/>
    <cellStyle name="20% - Accent6 2 73" xfId="18269"/>
    <cellStyle name="20% - Accent6 2 74" xfId="18520"/>
    <cellStyle name="20% - Accent6 2 75" xfId="18770"/>
    <cellStyle name="20% - Accent6 2 76" xfId="19021"/>
    <cellStyle name="20% - Accent6 2 77" xfId="19272"/>
    <cellStyle name="20% - Accent6 2 78" xfId="19522"/>
    <cellStyle name="20% - Accent6 2 79" xfId="19778"/>
    <cellStyle name="20% - Accent6 2 8" xfId="1953"/>
    <cellStyle name="20% - Accent6 2 80" xfId="20030"/>
    <cellStyle name="20% - Accent6 2 81" xfId="20282"/>
    <cellStyle name="20% - Accent6 2 82" xfId="20534"/>
    <cellStyle name="20% - Accent6 2 83" xfId="20784"/>
    <cellStyle name="20% - Accent6 2 84" xfId="21034"/>
    <cellStyle name="20% - Accent6 2 85" xfId="21285"/>
    <cellStyle name="20% - Accent6 2 86" xfId="21529"/>
    <cellStyle name="20% - Accent6 2 87" xfId="21773"/>
    <cellStyle name="20% - Accent6 2 88" xfId="22014"/>
    <cellStyle name="20% - Accent6 2 9" xfId="2204"/>
    <cellStyle name="20% - Accent6 20" xfId="4366"/>
    <cellStyle name="20% - Accent6 21" xfId="4617"/>
    <cellStyle name="20% - Accent6 22" xfId="4868"/>
    <cellStyle name="20% - Accent6 23" xfId="5119"/>
    <cellStyle name="20% - Accent6 24" xfId="5370"/>
    <cellStyle name="20% - Accent6 25" xfId="5621"/>
    <cellStyle name="20% - Accent6 26" xfId="5872"/>
    <cellStyle name="20% - Accent6 27" xfId="6123"/>
    <cellStyle name="20% - Accent6 28" xfId="6374"/>
    <cellStyle name="20% - Accent6 29" xfId="6625"/>
    <cellStyle name="20% - Accent6 3" xfId="231"/>
    <cellStyle name="20% - Accent6 3 10" xfId="2531"/>
    <cellStyle name="20% - Accent6 3 11" xfId="2782"/>
    <cellStyle name="20% - Accent6 3 12" xfId="3033"/>
    <cellStyle name="20% - Accent6 3 13" xfId="3284"/>
    <cellStyle name="20% - Accent6 3 14" xfId="3535"/>
    <cellStyle name="20% - Accent6 3 15" xfId="3786"/>
    <cellStyle name="20% - Accent6 3 16" xfId="4037"/>
    <cellStyle name="20% - Accent6 3 17" xfId="4288"/>
    <cellStyle name="20% - Accent6 3 18" xfId="4539"/>
    <cellStyle name="20% - Accent6 3 19" xfId="4790"/>
    <cellStyle name="20% - Accent6 3 2" xfId="508"/>
    <cellStyle name="20% - Accent6 3 20" xfId="5041"/>
    <cellStyle name="20% - Accent6 3 21" xfId="5292"/>
    <cellStyle name="20% - Accent6 3 22" xfId="5543"/>
    <cellStyle name="20% - Accent6 3 23" xfId="5794"/>
    <cellStyle name="20% - Accent6 3 24" xfId="6045"/>
    <cellStyle name="20% - Accent6 3 25" xfId="6296"/>
    <cellStyle name="20% - Accent6 3 26" xfId="6547"/>
    <cellStyle name="20% - Accent6 3 27" xfId="6798"/>
    <cellStyle name="20% - Accent6 3 28" xfId="7049"/>
    <cellStyle name="20% - Accent6 3 29" xfId="7300"/>
    <cellStyle name="20% - Accent6 3 3" xfId="758"/>
    <cellStyle name="20% - Accent6 3 30" xfId="7551"/>
    <cellStyle name="20% - Accent6 3 31" xfId="7802"/>
    <cellStyle name="20% - Accent6 3 32" xfId="8053"/>
    <cellStyle name="20% - Accent6 3 33" xfId="8304"/>
    <cellStyle name="20% - Accent6 3 34" xfId="8555"/>
    <cellStyle name="20% - Accent6 3 35" xfId="8806"/>
    <cellStyle name="20% - Accent6 3 36" xfId="9057"/>
    <cellStyle name="20% - Accent6 3 37" xfId="9308"/>
    <cellStyle name="20% - Accent6 3 38" xfId="9559"/>
    <cellStyle name="20% - Accent6 3 39" xfId="9810"/>
    <cellStyle name="20% - Accent6 3 4" xfId="1011"/>
    <cellStyle name="20% - Accent6 3 40" xfId="10061"/>
    <cellStyle name="20% - Accent6 3 41" xfId="10312"/>
    <cellStyle name="20% - Accent6 3 42" xfId="10563"/>
    <cellStyle name="20% - Accent6 3 43" xfId="10814"/>
    <cellStyle name="20% - Accent6 3 44" xfId="11065"/>
    <cellStyle name="20% - Accent6 3 45" xfId="11316"/>
    <cellStyle name="20% - Accent6 3 46" xfId="11567"/>
    <cellStyle name="20% - Accent6 3 47" xfId="11818"/>
    <cellStyle name="20% - Accent6 3 48" xfId="12069"/>
    <cellStyle name="20% - Accent6 3 49" xfId="12320"/>
    <cellStyle name="20% - Accent6 3 5" xfId="1266"/>
    <cellStyle name="20% - Accent6 3 50" xfId="12571"/>
    <cellStyle name="20% - Accent6 3 51" xfId="12822"/>
    <cellStyle name="20% - Accent6 3 52" xfId="13073"/>
    <cellStyle name="20% - Accent6 3 53" xfId="13324"/>
    <cellStyle name="20% - Accent6 3 54" xfId="13575"/>
    <cellStyle name="20% - Accent6 3 55" xfId="13826"/>
    <cellStyle name="20% - Accent6 3 56" xfId="14077"/>
    <cellStyle name="20% - Accent6 3 57" xfId="14328"/>
    <cellStyle name="20% - Accent6 3 58" xfId="14579"/>
    <cellStyle name="20% - Accent6 3 59" xfId="14830"/>
    <cellStyle name="20% - Accent6 3 6" xfId="1519"/>
    <cellStyle name="20% - Accent6 3 60" xfId="15081"/>
    <cellStyle name="20% - Accent6 3 61" xfId="15331"/>
    <cellStyle name="20% - Accent6 3 62" xfId="15582"/>
    <cellStyle name="20% - Accent6 3 63" xfId="15830"/>
    <cellStyle name="20% - Accent6 3 64" xfId="16086"/>
    <cellStyle name="20% - Accent6 3 65" xfId="16337"/>
    <cellStyle name="20% - Accent6 3 66" xfId="16588"/>
    <cellStyle name="20% - Accent6 3 67" xfId="16839"/>
    <cellStyle name="20% - Accent6 3 68" xfId="17090"/>
    <cellStyle name="20% - Accent6 3 69" xfId="17341"/>
    <cellStyle name="20% - Accent6 3 7" xfId="1773"/>
    <cellStyle name="20% - Accent6 3 70" xfId="17592"/>
    <cellStyle name="20% - Accent6 3 71" xfId="17843"/>
    <cellStyle name="20% - Accent6 3 72" xfId="18094"/>
    <cellStyle name="20% - Accent6 3 73" xfId="18345"/>
    <cellStyle name="20% - Accent6 3 74" xfId="18596"/>
    <cellStyle name="20% - Accent6 3 75" xfId="18847"/>
    <cellStyle name="20% - Accent6 3 76" xfId="19097"/>
    <cellStyle name="20% - Accent6 3 77" xfId="19349"/>
    <cellStyle name="20% - Accent6 3 78" xfId="19599"/>
    <cellStyle name="20% - Accent6 3 79" xfId="19855"/>
    <cellStyle name="20% - Accent6 3 8" xfId="2029"/>
    <cellStyle name="20% - Accent6 3 80" xfId="20107"/>
    <cellStyle name="20% - Accent6 3 81" xfId="20359"/>
    <cellStyle name="20% - Accent6 3 82" xfId="20611"/>
    <cellStyle name="20% - Accent6 3 83" xfId="20861"/>
    <cellStyle name="20% - Accent6 3 84" xfId="21111"/>
    <cellStyle name="20% - Accent6 3 85" xfId="21360"/>
    <cellStyle name="20% - Accent6 3 86" xfId="21604"/>
    <cellStyle name="20% - Accent6 3 87" xfId="21848"/>
    <cellStyle name="20% - Accent6 3 88" xfId="22089"/>
    <cellStyle name="20% - Accent6 3 9" xfId="2280"/>
    <cellStyle name="20% - Accent6 30" xfId="6876"/>
    <cellStyle name="20% - Accent6 31" xfId="7127"/>
    <cellStyle name="20% - Accent6 32" xfId="7378"/>
    <cellStyle name="20% - Accent6 33" xfId="7629"/>
    <cellStyle name="20% - Accent6 34" xfId="7880"/>
    <cellStyle name="20% - Accent6 35" xfId="8131"/>
    <cellStyle name="20% - Accent6 36" xfId="8382"/>
    <cellStyle name="20% - Accent6 37" xfId="8633"/>
    <cellStyle name="20% - Accent6 38" xfId="8884"/>
    <cellStyle name="20% - Accent6 39" xfId="9135"/>
    <cellStyle name="20% - Accent6 4" xfId="337"/>
    <cellStyle name="20% - Accent6 40" xfId="9386"/>
    <cellStyle name="20% - Accent6 41" xfId="9637"/>
    <cellStyle name="20% - Accent6 42" xfId="9888"/>
    <cellStyle name="20% - Accent6 43" xfId="10139"/>
    <cellStyle name="20% - Accent6 44" xfId="10390"/>
    <cellStyle name="20% - Accent6 45" xfId="10641"/>
    <cellStyle name="20% - Accent6 46" xfId="10892"/>
    <cellStyle name="20% - Accent6 47" xfId="11143"/>
    <cellStyle name="20% - Accent6 48" xfId="11394"/>
    <cellStyle name="20% - Accent6 49" xfId="11645"/>
    <cellStyle name="20% - Accent6 5" xfId="588"/>
    <cellStyle name="20% - Accent6 50" xfId="11896"/>
    <cellStyle name="20% - Accent6 51" xfId="12147"/>
    <cellStyle name="20% - Accent6 52" xfId="12398"/>
    <cellStyle name="20% - Accent6 53" xfId="12649"/>
    <cellStyle name="20% - Accent6 54" xfId="12900"/>
    <cellStyle name="20% - Accent6 55" xfId="13151"/>
    <cellStyle name="20% - Accent6 56" xfId="13402"/>
    <cellStyle name="20% - Accent6 57" xfId="13653"/>
    <cellStyle name="20% - Accent6 58" xfId="13904"/>
    <cellStyle name="20% - Accent6 59" xfId="14155"/>
    <cellStyle name="20% - Accent6 6" xfId="840"/>
    <cellStyle name="20% - Accent6 60" xfId="14406"/>
    <cellStyle name="20% - Accent6 61" xfId="14657"/>
    <cellStyle name="20% - Accent6 62" xfId="14908"/>
    <cellStyle name="20% - Accent6 63" xfId="15159"/>
    <cellStyle name="20% - Accent6 64" xfId="15409"/>
    <cellStyle name="20% - Accent6 65" xfId="15658"/>
    <cellStyle name="20% - Accent6 66" xfId="15913"/>
    <cellStyle name="20% - Accent6 67" xfId="16164"/>
    <cellStyle name="20% - Accent6 68" xfId="16415"/>
    <cellStyle name="20% - Accent6 69" xfId="16666"/>
    <cellStyle name="20% - Accent6 7" xfId="1095"/>
    <cellStyle name="20% - Accent6 70" xfId="16917"/>
    <cellStyle name="20% - Accent6 71" xfId="17168"/>
    <cellStyle name="20% - Accent6 72" xfId="17419"/>
    <cellStyle name="20% - Accent6 73" xfId="17670"/>
    <cellStyle name="20% - Accent6 74" xfId="17921"/>
    <cellStyle name="20% - Accent6 75" xfId="18172"/>
    <cellStyle name="20% - Accent6 76" xfId="18423"/>
    <cellStyle name="20% - Accent6 77" xfId="18674"/>
    <cellStyle name="20% - Accent6 78" xfId="18925"/>
    <cellStyle name="20% - Accent6 79" xfId="19175"/>
    <cellStyle name="20% - Accent6 8" xfId="1347"/>
    <cellStyle name="20% - Accent6 80" xfId="19426"/>
    <cellStyle name="20% - Accent6 81" xfId="19681"/>
    <cellStyle name="20% - Accent6 82" xfId="19933"/>
    <cellStyle name="20% - Accent6 83" xfId="20185"/>
    <cellStyle name="20% - Accent6 84" xfId="20437"/>
    <cellStyle name="20% - Accent6 85" xfId="20689"/>
    <cellStyle name="20% - Accent6 86" xfId="20939"/>
    <cellStyle name="20% - Accent6 87" xfId="21188"/>
    <cellStyle name="20% - Accent6 88" xfId="21436"/>
    <cellStyle name="20% - Accent6 89" xfId="21680"/>
    <cellStyle name="20% - Accent6 9" xfId="1601"/>
    <cellStyle name="20% - Accent6 90" xfId="21922"/>
    <cellStyle name="20% - Accent6 91" xfId="22231"/>
    <cellStyle name="20% - Accent6 92" xfId="22246"/>
    <cellStyle name="20% - Accent6 93" xfId="24688"/>
    <cellStyle name="20% - Accent6 94" xfId="24701"/>
    <cellStyle name="20% - Accent6 95" xfId="24719"/>
    <cellStyle name="20% - Accent6 96" xfId="24735"/>
    <cellStyle name="20% - Accent6 97" xfId="24751"/>
    <cellStyle name="40% - Accent1" xfId="49" builtinId="31" customBuiltin="1"/>
    <cellStyle name="40% - Accent1 10" xfId="1555"/>
    <cellStyle name="40% - Accent1 11" xfId="844"/>
    <cellStyle name="40% - Accent1 12" xfId="2031"/>
    <cellStyle name="40% - Accent1 13" xfId="2282"/>
    <cellStyle name="40% - Accent1 14" xfId="2533"/>
    <cellStyle name="40% - Accent1 15" xfId="2784"/>
    <cellStyle name="40% - Accent1 16" xfId="3035"/>
    <cellStyle name="40% - Accent1 17" xfId="3286"/>
    <cellStyle name="40% - Accent1 18" xfId="3537"/>
    <cellStyle name="40% - Accent1 19" xfId="3788"/>
    <cellStyle name="40% - Accent1 2" xfId="140"/>
    <cellStyle name="40% - Accent1 2 10" xfId="2441"/>
    <cellStyle name="40% - Accent1 2 11" xfId="2692"/>
    <cellStyle name="40% - Accent1 2 12" xfId="2943"/>
    <cellStyle name="40% - Accent1 2 13" xfId="3194"/>
    <cellStyle name="40% - Accent1 2 14" xfId="3445"/>
    <cellStyle name="40% - Accent1 2 15" xfId="3696"/>
    <cellStyle name="40% - Accent1 2 16" xfId="3947"/>
    <cellStyle name="40% - Accent1 2 17" xfId="4198"/>
    <cellStyle name="40% - Accent1 2 18" xfId="4449"/>
    <cellStyle name="40% - Accent1 2 19" xfId="4700"/>
    <cellStyle name="40% - Accent1 2 2" xfId="419"/>
    <cellStyle name="40% - Accent1 2 20" xfId="4951"/>
    <cellStyle name="40% - Accent1 2 21" xfId="5202"/>
    <cellStyle name="40% - Accent1 2 22" xfId="5453"/>
    <cellStyle name="40% - Accent1 2 23" xfId="5704"/>
    <cellStyle name="40% - Accent1 2 24" xfId="5955"/>
    <cellStyle name="40% - Accent1 2 25" xfId="6206"/>
    <cellStyle name="40% - Accent1 2 26" xfId="6457"/>
    <cellStyle name="40% - Accent1 2 27" xfId="6708"/>
    <cellStyle name="40% - Accent1 2 28" xfId="6959"/>
    <cellStyle name="40% - Accent1 2 29" xfId="7210"/>
    <cellStyle name="40% - Accent1 2 3" xfId="668"/>
    <cellStyle name="40% - Accent1 2 30" xfId="7461"/>
    <cellStyle name="40% - Accent1 2 31" xfId="7712"/>
    <cellStyle name="40% - Accent1 2 32" xfId="7963"/>
    <cellStyle name="40% - Accent1 2 33" xfId="8214"/>
    <cellStyle name="40% - Accent1 2 34" xfId="8465"/>
    <cellStyle name="40% - Accent1 2 35" xfId="8716"/>
    <cellStyle name="40% - Accent1 2 36" xfId="8967"/>
    <cellStyle name="40% - Accent1 2 37" xfId="9218"/>
    <cellStyle name="40% - Accent1 2 38" xfId="9469"/>
    <cellStyle name="40% - Accent1 2 39" xfId="9720"/>
    <cellStyle name="40% - Accent1 2 4" xfId="921"/>
    <cellStyle name="40% - Accent1 2 40" xfId="9971"/>
    <cellStyle name="40% - Accent1 2 41" xfId="10222"/>
    <cellStyle name="40% - Accent1 2 42" xfId="10473"/>
    <cellStyle name="40% - Accent1 2 43" xfId="10724"/>
    <cellStyle name="40% - Accent1 2 44" xfId="10975"/>
    <cellStyle name="40% - Accent1 2 45" xfId="11226"/>
    <cellStyle name="40% - Accent1 2 46" xfId="11477"/>
    <cellStyle name="40% - Accent1 2 47" xfId="11728"/>
    <cellStyle name="40% - Accent1 2 48" xfId="11979"/>
    <cellStyle name="40% - Accent1 2 49" xfId="12230"/>
    <cellStyle name="40% - Accent1 2 5" xfId="1176"/>
    <cellStyle name="40% - Accent1 2 50" xfId="12481"/>
    <cellStyle name="40% - Accent1 2 51" xfId="12732"/>
    <cellStyle name="40% - Accent1 2 52" xfId="12983"/>
    <cellStyle name="40% - Accent1 2 53" xfId="13234"/>
    <cellStyle name="40% - Accent1 2 54" xfId="13485"/>
    <cellStyle name="40% - Accent1 2 55" xfId="13736"/>
    <cellStyle name="40% - Accent1 2 56" xfId="13987"/>
    <cellStyle name="40% - Accent1 2 57" xfId="14238"/>
    <cellStyle name="40% - Accent1 2 58" xfId="14489"/>
    <cellStyle name="40% - Accent1 2 59" xfId="14740"/>
    <cellStyle name="40% - Accent1 2 6" xfId="1429"/>
    <cellStyle name="40% - Accent1 2 60" xfId="14990"/>
    <cellStyle name="40% - Accent1 2 61" xfId="15241"/>
    <cellStyle name="40% - Accent1 2 62" xfId="15492"/>
    <cellStyle name="40% - Accent1 2 63" xfId="15739"/>
    <cellStyle name="40% - Accent1 2 64" xfId="15996"/>
    <cellStyle name="40% - Accent1 2 65" xfId="16247"/>
    <cellStyle name="40% - Accent1 2 66" xfId="16498"/>
    <cellStyle name="40% - Accent1 2 67" xfId="16749"/>
    <cellStyle name="40% - Accent1 2 68" xfId="17000"/>
    <cellStyle name="40% - Accent1 2 69" xfId="17251"/>
    <cellStyle name="40% - Accent1 2 7" xfId="1682"/>
    <cellStyle name="40% - Accent1 2 70" xfId="17502"/>
    <cellStyle name="40% - Accent1 2 71" xfId="17753"/>
    <cellStyle name="40% - Accent1 2 72" xfId="18004"/>
    <cellStyle name="40% - Accent1 2 73" xfId="18255"/>
    <cellStyle name="40% - Accent1 2 74" xfId="18506"/>
    <cellStyle name="40% - Accent1 2 75" xfId="18756"/>
    <cellStyle name="40% - Accent1 2 76" xfId="19007"/>
    <cellStyle name="40% - Accent1 2 77" xfId="19258"/>
    <cellStyle name="40% - Accent1 2 78" xfId="19508"/>
    <cellStyle name="40% - Accent1 2 79" xfId="19764"/>
    <cellStyle name="40% - Accent1 2 8" xfId="1939"/>
    <cellStyle name="40% - Accent1 2 80" xfId="20016"/>
    <cellStyle name="40% - Accent1 2 81" xfId="20268"/>
    <cellStyle name="40% - Accent1 2 82" xfId="20520"/>
    <cellStyle name="40% - Accent1 2 83" xfId="20770"/>
    <cellStyle name="40% - Accent1 2 84" xfId="21020"/>
    <cellStyle name="40% - Accent1 2 85" xfId="21271"/>
    <cellStyle name="40% - Accent1 2 86" xfId="21515"/>
    <cellStyle name="40% - Accent1 2 87" xfId="21759"/>
    <cellStyle name="40% - Accent1 2 88" xfId="22000"/>
    <cellStyle name="40% - Accent1 2 9" xfId="2190"/>
    <cellStyle name="40% - Accent1 20" xfId="4039"/>
    <cellStyle name="40% - Accent1 21" xfId="4290"/>
    <cellStyle name="40% - Accent1 22" xfId="4541"/>
    <cellStyle name="40% - Accent1 23" xfId="4792"/>
    <cellStyle name="40% - Accent1 24" xfId="5043"/>
    <cellStyle name="40% - Accent1 25" xfId="5294"/>
    <cellStyle name="40% - Accent1 26" xfId="5545"/>
    <cellStyle name="40% - Accent1 27" xfId="5796"/>
    <cellStyle name="40% - Accent1 28" xfId="6047"/>
    <cellStyle name="40% - Accent1 29" xfId="6298"/>
    <cellStyle name="40% - Accent1 3" xfId="136"/>
    <cellStyle name="40% - Accent1 3 10" xfId="2437"/>
    <cellStyle name="40% - Accent1 3 11" xfId="2688"/>
    <cellStyle name="40% - Accent1 3 12" xfId="2939"/>
    <cellStyle name="40% - Accent1 3 13" xfId="3190"/>
    <cellStyle name="40% - Accent1 3 14" xfId="3441"/>
    <cellStyle name="40% - Accent1 3 15" xfId="3692"/>
    <cellStyle name="40% - Accent1 3 16" xfId="3943"/>
    <cellStyle name="40% - Accent1 3 17" xfId="4194"/>
    <cellStyle name="40% - Accent1 3 18" xfId="4445"/>
    <cellStyle name="40% - Accent1 3 19" xfId="4696"/>
    <cellStyle name="40% - Accent1 3 2" xfId="415"/>
    <cellStyle name="40% - Accent1 3 20" xfId="4947"/>
    <cellStyle name="40% - Accent1 3 21" xfId="5198"/>
    <cellStyle name="40% - Accent1 3 22" xfId="5449"/>
    <cellStyle name="40% - Accent1 3 23" xfId="5700"/>
    <cellStyle name="40% - Accent1 3 24" xfId="5951"/>
    <cellStyle name="40% - Accent1 3 25" xfId="6202"/>
    <cellStyle name="40% - Accent1 3 26" xfId="6453"/>
    <cellStyle name="40% - Accent1 3 27" xfId="6704"/>
    <cellStyle name="40% - Accent1 3 28" xfId="6955"/>
    <cellStyle name="40% - Accent1 3 29" xfId="7206"/>
    <cellStyle name="40% - Accent1 3 3" xfId="664"/>
    <cellStyle name="40% - Accent1 3 30" xfId="7457"/>
    <cellStyle name="40% - Accent1 3 31" xfId="7708"/>
    <cellStyle name="40% - Accent1 3 32" xfId="7959"/>
    <cellStyle name="40% - Accent1 3 33" xfId="8210"/>
    <cellStyle name="40% - Accent1 3 34" xfId="8461"/>
    <cellStyle name="40% - Accent1 3 35" xfId="8712"/>
    <cellStyle name="40% - Accent1 3 36" xfId="8963"/>
    <cellStyle name="40% - Accent1 3 37" xfId="9214"/>
    <cellStyle name="40% - Accent1 3 38" xfId="9465"/>
    <cellStyle name="40% - Accent1 3 39" xfId="9716"/>
    <cellStyle name="40% - Accent1 3 4" xfId="917"/>
    <cellStyle name="40% - Accent1 3 40" xfId="9967"/>
    <cellStyle name="40% - Accent1 3 41" xfId="10218"/>
    <cellStyle name="40% - Accent1 3 42" xfId="10469"/>
    <cellStyle name="40% - Accent1 3 43" xfId="10720"/>
    <cellStyle name="40% - Accent1 3 44" xfId="10971"/>
    <cellStyle name="40% - Accent1 3 45" xfId="11222"/>
    <cellStyle name="40% - Accent1 3 46" xfId="11473"/>
    <cellStyle name="40% - Accent1 3 47" xfId="11724"/>
    <cellStyle name="40% - Accent1 3 48" xfId="11975"/>
    <cellStyle name="40% - Accent1 3 49" xfId="12226"/>
    <cellStyle name="40% - Accent1 3 5" xfId="1172"/>
    <cellStyle name="40% - Accent1 3 50" xfId="12477"/>
    <cellStyle name="40% - Accent1 3 51" xfId="12728"/>
    <cellStyle name="40% - Accent1 3 52" xfId="12979"/>
    <cellStyle name="40% - Accent1 3 53" xfId="13230"/>
    <cellStyle name="40% - Accent1 3 54" xfId="13481"/>
    <cellStyle name="40% - Accent1 3 55" xfId="13732"/>
    <cellStyle name="40% - Accent1 3 56" xfId="13983"/>
    <cellStyle name="40% - Accent1 3 57" xfId="14234"/>
    <cellStyle name="40% - Accent1 3 58" xfId="14485"/>
    <cellStyle name="40% - Accent1 3 59" xfId="14736"/>
    <cellStyle name="40% - Accent1 3 6" xfId="1425"/>
    <cellStyle name="40% - Accent1 3 60" xfId="14986"/>
    <cellStyle name="40% - Accent1 3 61" xfId="15237"/>
    <cellStyle name="40% - Accent1 3 62" xfId="15488"/>
    <cellStyle name="40% - Accent1 3 63" xfId="15735"/>
    <cellStyle name="40% - Accent1 3 64" xfId="15992"/>
    <cellStyle name="40% - Accent1 3 65" xfId="16243"/>
    <cellStyle name="40% - Accent1 3 66" xfId="16494"/>
    <cellStyle name="40% - Accent1 3 67" xfId="16745"/>
    <cellStyle name="40% - Accent1 3 68" xfId="16996"/>
    <cellStyle name="40% - Accent1 3 69" xfId="17247"/>
    <cellStyle name="40% - Accent1 3 7" xfId="1678"/>
    <cellStyle name="40% - Accent1 3 70" xfId="17498"/>
    <cellStyle name="40% - Accent1 3 71" xfId="17749"/>
    <cellStyle name="40% - Accent1 3 72" xfId="18000"/>
    <cellStyle name="40% - Accent1 3 73" xfId="18251"/>
    <cellStyle name="40% - Accent1 3 74" xfId="18502"/>
    <cellStyle name="40% - Accent1 3 75" xfId="18752"/>
    <cellStyle name="40% - Accent1 3 76" xfId="19003"/>
    <cellStyle name="40% - Accent1 3 77" xfId="19254"/>
    <cellStyle name="40% - Accent1 3 78" xfId="19504"/>
    <cellStyle name="40% - Accent1 3 79" xfId="19760"/>
    <cellStyle name="40% - Accent1 3 8" xfId="1935"/>
    <cellStyle name="40% - Accent1 3 80" xfId="20012"/>
    <cellStyle name="40% - Accent1 3 81" xfId="20264"/>
    <cellStyle name="40% - Accent1 3 82" xfId="20516"/>
    <cellStyle name="40% - Accent1 3 83" xfId="20766"/>
    <cellStyle name="40% - Accent1 3 84" xfId="21016"/>
    <cellStyle name="40% - Accent1 3 85" xfId="21267"/>
    <cellStyle name="40% - Accent1 3 86" xfId="21511"/>
    <cellStyle name="40% - Accent1 3 87" xfId="21755"/>
    <cellStyle name="40% - Accent1 3 88" xfId="21996"/>
    <cellStyle name="40% - Accent1 3 9" xfId="2186"/>
    <cellStyle name="40% - Accent1 30" xfId="6549"/>
    <cellStyle name="40% - Accent1 31" xfId="6800"/>
    <cellStyle name="40% - Accent1 32" xfId="7051"/>
    <cellStyle name="40% - Accent1 33" xfId="7302"/>
    <cellStyle name="40% - Accent1 34" xfId="7553"/>
    <cellStyle name="40% - Accent1 35" xfId="7804"/>
    <cellStyle name="40% - Accent1 36" xfId="8055"/>
    <cellStyle name="40% - Accent1 37" xfId="8306"/>
    <cellStyle name="40% - Accent1 38" xfId="8557"/>
    <cellStyle name="40% - Accent1 39" xfId="8808"/>
    <cellStyle name="40% - Accent1 4" xfId="318"/>
    <cellStyle name="40% - Accent1 40" xfId="9059"/>
    <cellStyle name="40% - Accent1 41" xfId="9310"/>
    <cellStyle name="40% - Accent1 42" xfId="9561"/>
    <cellStyle name="40% - Accent1 43" xfId="9812"/>
    <cellStyle name="40% - Accent1 44" xfId="10063"/>
    <cellStyle name="40% - Accent1 45" xfId="10314"/>
    <cellStyle name="40% - Accent1 46" xfId="10565"/>
    <cellStyle name="40% - Accent1 47" xfId="10816"/>
    <cellStyle name="40% - Accent1 48" xfId="11067"/>
    <cellStyle name="40% - Accent1 49" xfId="11318"/>
    <cellStyle name="40% - Accent1 5" xfId="315"/>
    <cellStyle name="40% - Accent1 50" xfId="11569"/>
    <cellStyle name="40% - Accent1 51" xfId="11820"/>
    <cellStyle name="40% - Accent1 52" xfId="12071"/>
    <cellStyle name="40% - Accent1 53" xfId="12322"/>
    <cellStyle name="40% - Accent1 54" xfId="12573"/>
    <cellStyle name="40% - Accent1 55" xfId="12824"/>
    <cellStyle name="40% - Accent1 56" xfId="13075"/>
    <cellStyle name="40% - Accent1 57" xfId="13326"/>
    <cellStyle name="40% - Accent1 58" xfId="13577"/>
    <cellStyle name="40% - Accent1 59" xfId="13828"/>
    <cellStyle name="40% - Accent1 6" xfId="542"/>
    <cellStyle name="40% - Accent1 60" xfId="14079"/>
    <cellStyle name="40% - Accent1 61" xfId="14330"/>
    <cellStyle name="40% - Accent1 62" xfId="14581"/>
    <cellStyle name="40% - Accent1 63" xfId="14832"/>
    <cellStyle name="40% - Accent1 64" xfId="15083"/>
    <cellStyle name="40% - Accent1 65" xfId="15333"/>
    <cellStyle name="40% - Accent1 66" xfId="15616"/>
    <cellStyle name="40% - Accent1 67" xfId="15866"/>
    <cellStyle name="40% - Accent1 68" xfId="16088"/>
    <cellStyle name="40% - Accent1 69" xfId="16339"/>
    <cellStyle name="40% - Accent1 7" xfId="339"/>
    <cellStyle name="40% - Accent1 70" xfId="16590"/>
    <cellStyle name="40% - Accent1 71" xfId="16841"/>
    <cellStyle name="40% - Accent1 72" xfId="17092"/>
    <cellStyle name="40% - Accent1 73" xfId="17343"/>
    <cellStyle name="40% - Accent1 74" xfId="17594"/>
    <cellStyle name="40% - Accent1 75" xfId="17845"/>
    <cellStyle name="40% - Accent1 76" xfId="18096"/>
    <cellStyle name="40% - Accent1 77" xfId="18347"/>
    <cellStyle name="40% - Accent1 78" xfId="18598"/>
    <cellStyle name="40% - Accent1 79" xfId="18849"/>
    <cellStyle name="40% - Accent1 8" xfId="591"/>
    <cellStyle name="40% - Accent1 80" xfId="19099"/>
    <cellStyle name="40% - Accent1 81" xfId="18850"/>
    <cellStyle name="40% - Accent1 82" xfId="19634"/>
    <cellStyle name="40% - Accent1 83" xfId="19857"/>
    <cellStyle name="40% - Accent1 84" xfId="20109"/>
    <cellStyle name="40% - Accent1 85" xfId="20361"/>
    <cellStyle name="40% - Accent1 86" xfId="20613"/>
    <cellStyle name="40% - Accent1 87" xfId="20863"/>
    <cellStyle name="40% - Accent1 88" xfId="21113"/>
    <cellStyle name="40% - Accent1 89" xfId="21362"/>
    <cellStyle name="40% - Accent1 9" xfId="1044"/>
    <cellStyle name="40% - Accent1 90" xfId="21194"/>
    <cellStyle name="40% - Accent1 91" xfId="22232"/>
    <cellStyle name="40% - Accent1 92" xfId="22247"/>
    <cellStyle name="40% - Accent1 93" xfId="24689"/>
    <cellStyle name="40% - Accent1 94" xfId="24700"/>
    <cellStyle name="40% - Accent1 95" xfId="24718"/>
    <cellStyle name="40% - Accent1 96" xfId="24734"/>
    <cellStyle name="40% - Accent1 97" xfId="24750"/>
    <cellStyle name="40% - Accent2" xfId="53" builtinId="35" customBuiltin="1"/>
    <cellStyle name="40% - Accent2 10" xfId="319"/>
    <cellStyle name="40% - Accent2 11" xfId="1554"/>
    <cellStyle name="40% - Accent2 12" xfId="1521"/>
    <cellStyle name="40% - Accent2 13" xfId="314"/>
    <cellStyle name="40% - Accent2 14" xfId="2032"/>
    <cellStyle name="40% - Accent2 15" xfId="2283"/>
    <cellStyle name="40% - Accent2 16" xfId="2534"/>
    <cellStyle name="40% - Accent2 17" xfId="2785"/>
    <cellStyle name="40% - Accent2 18" xfId="3036"/>
    <cellStyle name="40% - Accent2 19" xfId="3287"/>
    <cellStyle name="40% - Accent2 2" xfId="143"/>
    <cellStyle name="40% - Accent2 2 10" xfId="2444"/>
    <cellStyle name="40% - Accent2 2 11" xfId="2695"/>
    <cellStyle name="40% - Accent2 2 12" xfId="2946"/>
    <cellStyle name="40% - Accent2 2 13" xfId="3197"/>
    <cellStyle name="40% - Accent2 2 14" xfId="3448"/>
    <cellStyle name="40% - Accent2 2 15" xfId="3699"/>
    <cellStyle name="40% - Accent2 2 16" xfId="3950"/>
    <cellStyle name="40% - Accent2 2 17" xfId="4201"/>
    <cellStyle name="40% - Accent2 2 18" xfId="4452"/>
    <cellStyle name="40% - Accent2 2 19" xfId="4703"/>
    <cellStyle name="40% - Accent2 2 2" xfId="422"/>
    <cellStyle name="40% - Accent2 2 20" xfId="4954"/>
    <cellStyle name="40% - Accent2 2 21" xfId="5205"/>
    <cellStyle name="40% - Accent2 2 22" xfId="5456"/>
    <cellStyle name="40% - Accent2 2 23" xfId="5707"/>
    <cellStyle name="40% - Accent2 2 24" xfId="5958"/>
    <cellStyle name="40% - Accent2 2 25" xfId="6209"/>
    <cellStyle name="40% - Accent2 2 26" xfId="6460"/>
    <cellStyle name="40% - Accent2 2 27" xfId="6711"/>
    <cellStyle name="40% - Accent2 2 28" xfId="6962"/>
    <cellStyle name="40% - Accent2 2 29" xfId="7213"/>
    <cellStyle name="40% - Accent2 2 3" xfId="671"/>
    <cellStyle name="40% - Accent2 2 30" xfId="7464"/>
    <cellStyle name="40% - Accent2 2 31" xfId="7715"/>
    <cellStyle name="40% - Accent2 2 32" xfId="7966"/>
    <cellStyle name="40% - Accent2 2 33" xfId="8217"/>
    <cellStyle name="40% - Accent2 2 34" xfId="8468"/>
    <cellStyle name="40% - Accent2 2 35" xfId="8719"/>
    <cellStyle name="40% - Accent2 2 36" xfId="8970"/>
    <cellStyle name="40% - Accent2 2 37" xfId="9221"/>
    <cellStyle name="40% - Accent2 2 38" xfId="9472"/>
    <cellStyle name="40% - Accent2 2 39" xfId="9723"/>
    <cellStyle name="40% - Accent2 2 4" xfId="924"/>
    <cellStyle name="40% - Accent2 2 40" xfId="9974"/>
    <cellStyle name="40% - Accent2 2 41" xfId="10225"/>
    <cellStyle name="40% - Accent2 2 42" xfId="10476"/>
    <cellStyle name="40% - Accent2 2 43" xfId="10727"/>
    <cellStyle name="40% - Accent2 2 44" xfId="10978"/>
    <cellStyle name="40% - Accent2 2 45" xfId="11229"/>
    <cellStyle name="40% - Accent2 2 46" xfId="11480"/>
    <cellStyle name="40% - Accent2 2 47" xfId="11731"/>
    <cellStyle name="40% - Accent2 2 48" xfId="11982"/>
    <cellStyle name="40% - Accent2 2 49" xfId="12233"/>
    <cellStyle name="40% - Accent2 2 5" xfId="1179"/>
    <cellStyle name="40% - Accent2 2 50" xfId="12484"/>
    <cellStyle name="40% - Accent2 2 51" xfId="12735"/>
    <cellStyle name="40% - Accent2 2 52" xfId="12986"/>
    <cellStyle name="40% - Accent2 2 53" xfId="13237"/>
    <cellStyle name="40% - Accent2 2 54" xfId="13488"/>
    <cellStyle name="40% - Accent2 2 55" xfId="13739"/>
    <cellStyle name="40% - Accent2 2 56" xfId="13990"/>
    <cellStyle name="40% - Accent2 2 57" xfId="14241"/>
    <cellStyle name="40% - Accent2 2 58" xfId="14492"/>
    <cellStyle name="40% - Accent2 2 59" xfId="14743"/>
    <cellStyle name="40% - Accent2 2 6" xfId="1432"/>
    <cellStyle name="40% - Accent2 2 60" xfId="14993"/>
    <cellStyle name="40% - Accent2 2 61" xfId="15244"/>
    <cellStyle name="40% - Accent2 2 62" xfId="15495"/>
    <cellStyle name="40% - Accent2 2 63" xfId="15742"/>
    <cellStyle name="40% - Accent2 2 64" xfId="15999"/>
    <cellStyle name="40% - Accent2 2 65" xfId="16250"/>
    <cellStyle name="40% - Accent2 2 66" xfId="16501"/>
    <cellStyle name="40% - Accent2 2 67" xfId="16752"/>
    <cellStyle name="40% - Accent2 2 68" xfId="17003"/>
    <cellStyle name="40% - Accent2 2 69" xfId="17254"/>
    <cellStyle name="40% - Accent2 2 7" xfId="1685"/>
    <cellStyle name="40% - Accent2 2 70" xfId="17505"/>
    <cellStyle name="40% - Accent2 2 71" xfId="17756"/>
    <cellStyle name="40% - Accent2 2 72" xfId="18007"/>
    <cellStyle name="40% - Accent2 2 73" xfId="18258"/>
    <cellStyle name="40% - Accent2 2 74" xfId="18509"/>
    <cellStyle name="40% - Accent2 2 75" xfId="18759"/>
    <cellStyle name="40% - Accent2 2 76" xfId="19010"/>
    <cellStyle name="40% - Accent2 2 77" xfId="19261"/>
    <cellStyle name="40% - Accent2 2 78" xfId="19511"/>
    <cellStyle name="40% - Accent2 2 79" xfId="19767"/>
    <cellStyle name="40% - Accent2 2 8" xfId="1942"/>
    <cellStyle name="40% - Accent2 2 80" xfId="20019"/>
    <cellStyle name="40% - Accent2 2 81" xfId="20271"/>
    <cellStyle name="40% - Accent2 2 82" xfId="20523"/>
    <cellStyle name="40% - Accent2 2 83" xfId="20773"/>
    <cellStyle name="40% - Accent2 2 84" xfId="21023"/>
    <cellStyle name="40% - Accent2 2 85" xfId="21274"/>
    <cellStyle name="40% - Accent2 2 86" xfId="21518"/>
    <cellStyle name="40% - Accent2 2 87" xfId="21762"/>
    <cellStyle name="40% - Accent2 2 88" xfId="22003"/>
    <cellStyle name="40% - Accent2 2 9" xfId="2193"/>
    <cellStyle name="40% - Accent2 20" xfId="3538"/>
    <cellStyle name="40% - Accent2 21" xfId="3789"/>
    <cellStyle name="40% - Accent2 22" xfId="4040"/>
    <cellStyle name="40% - Accent2 23" xfId="4291"/>
    <cellStyle name="40% - Accent2 24" xfId="4542"/>
    <cellStyle name="40% - Accent2 25" xfId="4793"/>
    <cellStyle name="40% - Accent2 26" xfId="5044"/>
    <cellStyle name="40% - Accent2 27" xfId="5295"/>
    <cellStyle name="40% - Accent2 28" xfId="5546"/>
    <cellStyle name="40% - Accent2 29" xfId="5797"/>
    <cellStyle name="40% - Accent2 3" xfId="145"/>
    <cellStyle name="40% - Accent2 3 10" xfId="2446"/>
    <cellStyle name="40% - Accent2 3 11" xfId="2697"/>
    <cellStyle name="40% - Accent2 3 12" xfId="2948"/>
    <cellStyle name="40% - Accent2 3 13" xfId="3199"/>
    <cellStyle name="40% - Accent2 3 14" xfId="3450"/>
    <cellStyle name="40% - Accent2 3 15" xfId="3701"/>
    <cellStyle name="40% - Accent2 3 16" xfId="3952"/>
    <cellStyle name="40% - Accent2 3 17" xfId="4203"/>
    <cellStyle name="40% - Accent2 3 18" xfId="4454"/>
    <cellStyle name="40% - Accent2 3 19" xfId="4705"/>
    <cellStyle name="40% - Accent2 3 2" xfId="424"/>
    <cellStyle name="40% - Accent2 3 20" xfId="4956"/>
    <cellStyle name="40% - Accent2 3 21" xfId="5207"/>
    <cellStyle name="40% - Accent2 3 22" xfId="5458"/>
    <cellStyle name="40% - Accent2 3 23" xfId="5709"/>
    <cellStyle name="40% - Accent2 3 24" xfId="5960"/>
    <cellStyle name="40% - Accent2 3 25" xfId="6211"/>
    <cellStyle name="40% - Accent2 3 26" xfId="6462"/>
    <cellStyle name="40% - Accent2 3 27" xfId="6713"/>
    <cellStyle name="40% - Accent2 3 28" xfId="6964"/>
    <cellStyle name="40% - Accent2 3 29" xfId="7215"/>
    <cellStyle name="40% - Accent2 3 3" xfId="673"/>
    <cellStyle name="40% - Accent2 3 30" xfId="7466"/>
    <cellStyle name="40% - Accent2 3 31" xfId="7717"/>
    <cellStyle name="40% - Accent2 3 32" xfId="7968"/>
    <cellStyle name="40% - Accent2 3 33" xfId="8219"/>
    <cellStyle name="40% - Accent2 3 34" xfId="8470"/>
    <cellStyle name="40% - Accent2 3 35" xfId="8721"/>
    <cellStyle name="40% - Accent2 3 36" xfId="8972"/>
    <cellStyle name="40% - Accent2 3 37" xfId="9223"/>
    <cellStyle name="40% - Accent2 3 38" xfId="9474"/>
    <cellStyle name="40% - Accent2 3 39" xfId="9725"/>
    <cellStyle name="40% - Accent2 3 4" xfId="926"/>
    <cellStyle name="40% - Accent2 3 40" xfId="9976"/>
    <cellStyle name="40% - Accent2 3 41" xfId="10227"/>
    <cellStyle name="40% - Accent2 3 42" xfId="10478"/>
    <cellStyle name="40% - Accent2 3 43" xfId="10729"/>
    <cellStyle name="40% - Accent2 3 44" xfId="10980"/>
    <cellStyle name="40% - Accent2 3 45" xfId="11231"/>
    <cellStyle name="40% - Accent2 3 46" xfId="11482"/>
    <cellStyle name="40% - Accent2 3 47" xfId="11733"/>
    <cellStyle name="40% - Accent2 3 48" xfId="11984"/>
    <cellStyle name="40% - Accent2 3 49" xfId="12235"/>
    <cellStyle name="40% - Accent2 3 5" xfId="1181"/>
    <cellStyle name="40% - Accent2 3 50" xfId="12486"/>
    <cellStyle name="40% - Accent2 3 51" xfId="12737"/>
    <cellStyle name="40% - Accent2 3 52" xfId="12988"/>
    <cellStyle name="40% - Accent2 3 53" xfId="13239"/>
    <cellStyle name="40% - Accent2 3 54" xfId="13490"/>
    <cellStyle name="40% - Accent2 3 55" xfId="13741"/>
    <cellStyle name="40% - Accent2 3 56" xfId="13992"/>
    <cellStyle name="40% - Accent2 3 57" xfId="14243"/>
    <cellStyle name="40% - Accent2 3 58" xfId="14494"/>
    <cellStyle name="40% - Accent2 3 59" xfId="14745"/>
    <cellStyle name="40% - Accent2 3 6" xfId="1434"/>
    <cellStyle name="40% - Accent2 3 60" xfId="14995"/>
    <cellStyle name="40% - Accent2 3 61" xfId="15246"/>
    <cellStyle name="40% - Accent2 3 62" xfId="15497"/>
    <cellStyle name="40% - Accent2 3 63" xfId="15744"/>
    <cellStyle name="40% - Accent2 3 64" xfId="16001"/>
    <cellStyle name="40% - Accent2 3 65" xfId="16252"/>
    <cellStyle name="40% - Accent2 3 66" xfId="16503"/>
    <cellStyle name="40% - Accent2 3 67" xfId="16754"/>
    <cellStyle name="40% - Accent2 3 68" xfId="17005"/>
    <cellStyle name="40% - Accent2 3 69" xfId="17256"/>
    <cellStyle name="40% - Accent2 3 7" xfId="1687"/>
    <cellStyle name="40% - Accent2 3 70" xfId="17507"/>
    <cellStyle name="40% - Accent2 3 71" xfId="17758"/>
    <cellStyle name="40% - Accent2 3 72" xfId="18009"/>
    <cellStyle name="40% - Accent2 3 73" xfId="18260"/>
    <cellStyle name="40% - Accent2 3 74" xfId="18511"/>
    <cellStyle name="40% - Accent2 3 75" xfId="18761"/>
    <cellStyle name="40% - Accent2 3 76" xfId="19012"/>
    <cellStyle name="40% - Accent2 3 77" xfId="19263"/>
    <cellStyle name="40% - Accent2 3 78" xfId="19513"/>
    <cellStyle name="40% - Accent2 3 79" xfId="19769"/>
    <cellStyle name="40% - Accent2 3 8" xfId="1944"/>
    <cellStyle name="40% - Accent2 3 80" xfId="20021"/>
    <cellStyle name="40% - Accent2 3 81" xfId="20273"/>
    <cellStyle name="40% - Accent2 3 82" xfId="20525"/>
    <cellStyle name="40% - Accent2 3 83" xfId="20775"/>
    <cellStyle name="40% - Accent2 3 84" xfId="21025"/>
    <cellStyle name="40% - Accent2 3 85" xfId="21276"/>
    <cellStyle name="40% - Accent2 3 86" xfId="21520"/>
    <cellStyle name="40% - Accent2 3 87" xfId="21764"/>
    <cellStyle name="40% - Accent2 3 88" xfId="22005"/>
    <cellStyle name="40% - Accent2 3 9" xfId="2195"/>
    <cellStyle name="40% - Accent2 30" xfId="6048"/>
    <cellStyle name="40% - Accent2 31" xfId="6299"/>
    <cellStyle name="40% - Accent2 32" xfId="6550"/>
    <cellStyle name="40% - Accent2 33" xfId="6801"/>
    <cellStyle name="40% - Accent2 34" xfId="7052"/>
    <cellStyle name="40% - Accent2 35" xfId="7303"/>
    <cellStyle name="40% - Accent2 36" xfId="7554"/>
    <cellStyle name="40% - Accent2 37" xfId="7805"/>
    <cellStyle name="40% - Accent2 38" xfId="8056"/>
    <cellStyle name="40% - Accent2 39" xfId="8307"/>
    <cellStyle name="40% - Accent2 4" xfId="322"/>
    <cellStyle name="40% - Accent2 40" xfId="8558"/>
    <cellStyle name="40% - Accent2 41" xfId="8809"/>
    <cellStyle name="40% - Accent2 42" xfId="9060"/>
    <cellStyle name="40% - Accent2 43" xfId="9311"/>
    <cellStyle name="40% - Accent2 44" xfId="9562"/>
    <cellStyle name="40% - Accent2 45" xfId="9813"/>
    <cellStyle name="40% - Accent2 46" xfId="10064"/>
    <cellStyle name="40% - Accent2 47" xfId="10315"/>
    <cellStyle name="40% - Accent2 48" xfId="10566"/>
    <cellStyle name="40% - Accent2 49" xfId="10817"/>
    <cellStyle name="40% - Accent2 5" xfId="332"/>
    <cellStyle name="40% - Accent2 50" xfId="11068"/>
    <cellStyle name="40% - Accent2 51" xfId="11319"/>
    <cellStyle name="40% - Accent2 52" xfId="11570"/>
    <cellStyle name="40% - Accent2 53" xfId="11821"/>
    <cellStyle name="40% - Accent2 54" xfId="12072"/>
    <cellStyle name="40% - Accent2 55" xfId="12323"/>
    <cellStyle name="40% - Accent2 56" xfId="12574"/>
    <cellStyle name="40% - Accent2 57" xfId="12825"/>
    <cellStyle name="40% - Accent2 58" xfId="13076"/>
    <cellStyle name="40% - Accent2 59" xfId="13327"/>
    <cellStyle name="40% - Accent2 6" xfId="324"/>
    <cellStyle name="40% - Accent2 60" xfId="13578"/>
    <cellStyle name="40% - Accent2 61" xfId="13829"/>
    <cellStyle name="40% - Accent2 62" xfId="14080"/>
    <cellStyle name="40% - Accent2 63" xfId="14331"/>
    <cellStyle name="40% - Accent2 64" xfId="14582"/>
    <cellStyle name="40% - Accent2 65" xfId="14833"/>
    <cellStyle name="40% - Accent2 66" xfId="15007"/>
    <cellStyle name="40% - Accent2 67" xfId="14664"/>
    <cellStyle name="40% - Accent2 68" xfId="15366"/>
    <cellStyle name="40% - Accent2 69" xfId="15334"/>
    <cellStyle name="40% - Accent2 7" xfId="842"/>
    <cellStyle name="40% - Accent2 70" xfId="16089"/>
    <cellStyle name="40% - Accent2 71" xfId="16340"/>
    <cellStyle name="40% - Accent2 72" xfId="16591"/>
    <cellStyle name="40% - Accent2 73" xfId="16842"/>
    <cellStyle name="40% - Accent2 74" xfId="17093"/>
    <cellStyle name="40% - Accent2 75" xfId="17344"/>
    <cellStyle name="40% - Accent2 76" xfId="17595"/>
    <cellStyle name="40% - Accent2 77" xfId="17846"/>
    <cellStyle name="40% - Accent2 78" xfId="18097"/>
    <cellStyle name="40% - Accent2 79" xfId="18348"/>
    <cellStyle name="40% - Accent2 8" xfId="1086"/>
    <cellStyle name="40% - Accent2 80" xfId="18599"/>
    <cellStyle name="40% - Accent2 81" xfId="18632"/>
    <cellStyle name="40% - Accent2 82" xfId="19132"/>
    <cellStyle name="40% - Accent2 83" xfId="19182"/>
    <cellStyle name="40% - Accent2 84" xfId="19352"/>
    <cellStyle name="40% - Accent2 85" xfId="19858"/>
    <cellStyle name="40% - Accent2 86" xfId="20110"/>
    <cellStyle name="40% - Accent2 87" xfId="20362"/>
    <cellStyle name="40% - Accent2 88" xfId="20614"/>
    <cellStyle name="40% - Accent2 89" xfId="20864"/>
    <cellStyle name="40% - Accent2 9" xfId="1342"/>
    <cellStyle name="40% - Accent2 90" xfId="21638"/>
    <cellStyle name="40% - Accent2 91" xfId="22233"/>
    <cellStyle name="40% - Accent2 92" xfId="22248"/>
    <cellStyle name="40% - Accent2 93" xfId="24690"/>
    <cellStyle name="40% - Accent2 94" xfId="24699"/>
    <cellStyle name="40% - Accent2 95" xfId="24717"/>
    <cellStyle name="40% - Accent2 96" xfId="24733"/>
    <cellStyle name="40% - Accent2 97" xfId="24749"/>
    <cellStyle name="40% - Accent3" xfId="57" builtinId="39" customBuiltin="1"/>
    <cellStyle name="40% - Accent3 10" xfId="1599"/>
    <cellStyle name="40% - Accent3 11" xfId="1851"/>
    <cellStyle name="40% - Accent3 12" xfId="1854"/>
    <cellStyle name="40% - Accent3 13" xfId="685"/>
    <cellStyle name="40% - Accent3 14" xfId="1446"/>
    <cellStyle name="40% - Accent3 15" xfId="2065"/>
    <cellStyle name="40% - Accent3 16" xfId="2316"/>
    <cellStyle name="40% - Accent3 17" xfId="2567"/>
    <cellStyle name="40% - Accent3 18" xfId="2818"/>
    <cellStyle name="40% - Accent3 19" xfId="3069"/>
    <cellStyle name="40% - Accent3 2" xfId="147"/>
    <cellStyle name="40% - Accent3 2 10" xfId="2448"/>
    <cellStyle name="40% - Accent3 2 11" xfId="2699"/>
    <cellStyle name="40% - Accent3 2 12" xfId="2950"/>
    <cellStyle name="40% - Accent3 2 13" xfId="3201"/>
    <cellStyle name="40% - Accent3 2 14" xfId="3452"/>
    <cellStyle name="40% - Accent3 2 15" xfId="3703"/>
    <cellStyle name="40% - Accent3 2 16" xfId="3954"/>
    <cellStyle name="40% - Accent3 2 17" xfId="4205"/>
    <cellStyle name="40% - Accent3 2 18" xfId="4456"/>
    <cellStyle name="40% - Accent3 2 19" xfId="4707"/>
    <cellStyle name="40% - Accent3 2 2" xfId="426"/>
    <cellStyle name="40% - Accent3 2 20" xfId="4958"/>
    <cellStyle name="40% - Accent3 2 21" xfId="5209"/>
    <cellStyle name="40% - Accent3 2 22" xfId="5460"/>
    <cellStyle name="40% - Accent3 2 23" xfId="5711"/>
    <cellStyle name="40% - Accent3 2 24" xfId="5962"/>
    <cellStyle name="40% - Accent3 2 25" xfId="6213"/>
    <cellStyle name="40% - Accent3 2 26" xfId="6464"/>
    <cellStyle name="40% - Accent3 2 27" xfId="6715"/>
    <cellStyle name="40% - Accent3 2 28" xfId="6966"/>
    <cellStyle name="40% - Accent3 2 29" xfId="7217"/>
    <cellStyle name="40% - Accent3 2 3" xfId="675"/>
    <cellStyle name="40% - Accent3 2 30" xfId="7468"/>
    <cellStyle name="40% - Accent3 2 31" xfId="7719"/>
    <cellStyle name="40% - Accent3 2 32" xfId="7970"/>
    <cellStyle name="40% - Accent3 2 33" xfId="8221"/>
    <cellStyle name="40% - Accent3 2 34" xfId="8472"/>
    <cellStyle name="40% - Accent3 2 35" xfId="8723"/>
    <cellStyle name="40% - Accent3 2 36" xfId="8974"/>
    <cellStyle name="40% - Accent3 2 37" xfId="9225"/>
    <cellStyle name="40% - Accent3 2 38" xfId="9476"/>
    <cellStyle name="40% - Accent3 2 39" xfId="9727"/>
    <cellStyle name="40% - Accent3 2 4" xfId="928"/>
    <cellStyle name="40% - Accent3 2 40" xfId="9978"/>
    <cellStyle name="40% - Accent3 2 41" xfId="10229"/>
    <cellStyle name="40% - Accent3 2 42" xfId="10480"/>
    <cellStyle name="40% - Accent3 2 43" xfId="10731"/>
    <cellStyle name="40% - Accent3 2 44" xfId="10982"/>
    <cellStyle name="40% - Accent3 2 45" xfId="11233"/>
    <cellStyle name="40% - Accent3 2 46" xfId="11484"/>
    <cellStyle name="40% - Accent3 2 47" xfId="11735"/>
    <cellStyle name="40% - Accent3 2 48" xfId="11986"/>
    <cellStyle name="40% - Accent3 2 49" xfId="12237"/>
    <cellStyle name="40% - Accent3 2 5" xfId="1183"/>
    <cellStyle name="40% - Accent3 2 50" xfId="12488"/>
    <cellStyle name="40% - Accent3 2 51" xfId="12739"/>
    <cellStyle name="40% - Accent3 2 52" xfId="12990"/>
    <cellStyle name="40% - Accent3 2 53" xfId="13241"/>
    <cellStyle name="40% - Accent3 2 54" xfId="13492"/>
    <cellStyle name="40% - Accent3 2 55" xfId="13743"/>
    <cellStyle name="40% - Accent3 2 56" xfId="13994"/>
    <cellStyle name="40% - Accent3 2 57" xfId="14245"/>
    <cellStyle name="40% - Accent3 2 58" xfId="14496"/>
    <cellStyle name="40% - Accent3 2 59" xfId="14747"/>
    <cellStyle name="40% - Accent3 2 6" xfId="1436"/>
    <cellStyle name="40% - Accent3 2 60" xfId="14997"/>
    <cellStyle name="40% - Accent3 2 61" xfId="15248"/>
    <cellStyle name="40% - Accent3 2 62" xfId="15499"/>
    <cellStyle name="40% - Accent3 2 63" xfId="15746"/>
    <cellStyle name="40% - Accent3 2 64" xfId="16003"/>
    <cellStyle name="40% - Accent3 2 65" xfId="16254"/>
    <cellStyle name="40% - Accent3 2 66" xfId="16505"/>
    <cellStyle name="40% - Accent3 2 67" xfId="16756"/>
    <cellStyle name="40% - Accent3 2 68" xfId="17007"/>
    <cellStyle name="40% - Accent3 2 69" xfId="17258"/>
    <cellStyle name="40% - Accent3 2 7" xfId="1689"/>
    <cellStyle name="40% - Accent3 2 70" xfId="17509"/>
    <cellStyle name="40% - Accent3 2 71" xfId="17760"/>
    <cellStyle name="40% - Accent3 2 72" xfId="18011"/>
    <cellStyle name="40% - Accent3 2 73" xfId="18262"/>
    <cellStyle name="40% - Accent3 2 74" xfId="18513"/>
    <cellStyle name="40% - Accent3 2 75" xfId="18763"/>
    <cellStyle name="40% - Accent3 2 76" xfId="19014"/>
    <cellStyle name="40% - Accent3 2 77" xfId="19265"/>
    <cellStyle name="40% - Accent3 2 78" xfId="19515"/>
    <cellStyle name="40% - Accent3 2 79" xfId="19771"/>
    <cellStyle name="40% - Accent3 2 8" xfId="1946"/>
    <cellStyle name="40% - Accent3 2 80" xfId="20023"/>
    <cellStyle name="40% - Accent3 2 81" xfId="20275"/>
    <cellStyle name="40% - Accent3 2 82" xfId="20527"/>
    <cellStyle name="40% - Accent3 2 83" xfId="20777"/>
    <cellStyle name="40% - Accent3 2 84" xfId="21027"/>
    <cellStyle name="40% - Accent3 2 85" xfId="21278"/>
    <cellStyle name="40% - Accent3 2 86" xfId="21522"/>
    <cellStyle name="40% - Accent3 2 87" xfId="21766"/>
    <cellStyle name="40% - Accent3 2 88" xfId="22007"/>
    <cellStyle name="40% - Accent3 2 9" xfId="2197"/>
    <cellStyle name="40% - Accent3 20" xfId="3320"/>
    <cellStyle name="40% - Accent3 21" xfId="3571"/>
    <cellStyle name="40% - Accent3 22" xfId="3822"/>
    <cellStyle name="40% - Accent3 23" xfId="4073"/>
    <cellStyle name="40% - Accent3 24" xfId="4324"/>
    <cellStyle name="40% - Accent3 25" xfId="4575"/>
    <cellStyle name="40% - Accent3 26" xfId="4826"/>
    <cellStyle name="40% - Accent3 27" xfId="5077"/>
    <cellStyle name="40% - Accent3 28" xfId="5328"/>
    <cellStyle name="40% - Accent3 29" xfId="5579"/>
    <cellStyle name="40% - Accent3 3" xfId="153"/>
    <cellStyle name="40% - Accent3 3 10" xfId="2454"/>
    <cellStyle name="40% - Accent3 3 11" xfId="2705"/>
    <cellStyle name="40% - Accent3 3 12" xfId="2956"/>
    <cellStyle name="40% - Accent3 3 13" xfId="3207"/>
    <cellStyle name="40% - Accent3 3 14" xfId="3458"/>
    <cellStyle name="40% - Accent3 3 15" xfId="3709"/>
    <cellStyle name="40% - Accent3 3 16" xfId="3960"/>
    <cellStyle name="40% - Accent3 3 17" xfId="4211"/>
    <cellStyle name="40% - Accent3 3 18" xfId="4462"/>
    <cellStyle name="40% - Accent3 3 19" xfId="4713"/>
    <cellStyle name="40% - Accent3 3 2" xfId="432"/>
    <cellStyle name="40% - Accent3 3 20" xfId="4964"/>
    <cellStyle name="40% - Accent3 3 21" xfId="5215"/>
    <cellStyle name="40% - Accent3 3 22" xfId="5466"/>
    <cellStyle name="40% - Accent3 3 23" xfId="5717"/>
    <cellStyle name="40% - Accent3 3 24" xfId="5968"/>
    <cellStyle name="40% - Accent3 3 25" xfId="6219"/>
    <cellStyle name="40% - Accent3 3 26" xfId="6470"/>
    <cellStyle name="40% - Accent3 3 27" xfId="6721"/>
    <cellStyle name="40% - Accent3 3 28" xfId="6972"/>
    <cellStyle name="40% - Accent3 3 29" xfId="7223"/>
    <cellStyle name="40% - Accent3 3 3" xfId="681"/>
    <cellStyle name="40% - Accent3 3 30" xfId="7474"/>
    <cellStyle name="40% - Accent3 3 31" xfId="7725"/>
    <cellStyle name="40% - Accent3 3 32" xfId="7976"/>
    <cellStyle name="40% - Accent3 3 33" xfId="8227"/>
    <cellStyle name="40% - Accent3 3 34" xfId="8478"/>
    <cellStyle name="40% - Accent3 3 35" xfId="8729"/>
    <cellStyle name="40% - Accent3 3 36" xfId="8980"/>
    <cellStyle name="40% - Accent3 3 37" xfId="9231"/>
    <cellStyle name="40% - Accent3 3 38" xfId="9482"/>
    <cellStyle name="40% - Accent3 3 39" xfId="9733"/>
    <cellStyle name="40% - Accent3 3 4" xfId="934"/>
    <cellStyle name="40% - Accent3 3 40" xfId="9984"/>
    <cellStyle name="40% - Accent3 3 41" xfId="10235"/>
    <cellStyle name="40% - Accent3 3 42" xfId="10486"/>
    <cellStyle name="40% - Accent3 3 43" xfId="10737"/>
    <cellStyle name="40% - Accent3 3 44" xfId="10988"/>
    <cellStyle name="40% - Accent3 3 45" xfId="11239"/>
    <cellStyle name="40% - Accent3 3 46" xfId="11490"/>
    <cellStyle name="40% - Accent3 3 47" xfId="11741"/>
    <cellStyle name="40% - Accent3 3 48" xfId="11992"/>
    <cellStyle name="40% - Accent3 3 49" xfId="12243"/>
    <cellStyle name="40% - Accent3 3 5" xfId="1189"/>
    <cellStyle name="40% - Accent3 3 50" xfId="12494"/>
    <cellStyle name="40% - Accent3 3 51" xfId="12745"/>
    <cellStyle name="40% - Accent3 3 52" xfId="12996"/>
    <cellStyle name="40% - Accent3 3 53" xfId="13247"/>
    <cellStyle name="40% - Accent3 3 54" xfId="13498"/>
    <cellStyle name="40% - Accent3 3 55" xfId="13749"/>
    <cellStyle name="40% - Accent3 3 56" xfId="14000"/>
    <cellStyle name="40% - Accent3 3 57" xfId="14251"/>
    <cellStyle name="40% - Accent3 3 58" xfId="14502"/>
    <cellStyle name="40% - Accent3 3 59" xfId="14753"/>
    <cellStyle name="40% - Accent3 3 6" xfId="1442"/>
    <cellStyle name="40% - Accent3 3 60" xfId="15003"/>
    <cellStyle name="40% - Accent3 3 61" xfId="15254"/>
    <cellStyle name="40% - Accent3 3 62" xfId="15505"/>
    <cellStyle name="40% - Accent3 3 63" xfId="15752"/>
    <cellStyle name="40% - Accent3 3 64" xfId="16009"/>
    <cellStyle name="40% - Accent3 3 65" xfId="16260"/>
    <cellStyle name="40% - Accent3 3 66" xfId="16511"/>
    <cellStyle name="40% - Accent3 3 67" xfId="16762"/>
    <cellStyle name="40% - Accent3 3 68" xfId="17013"/>
    <cellStyle name="40% - Accent3 3 69" xfId="17264"/>
    <cellStyle name="40% - Accent3 3 7" xfId="1695"/>
    <cellStyle name="40% - Accent3 3 70" xfId="17515"/>
    <cellStyle name="40% - Accent3 3 71" xfId="17766"/>
    <cellStyle name="40% - Accent3 3 72" xfId="18017"/>
    <cellStyle name="40% - Accent3 3 73" xfId="18268"/>
    <cellStyle name="40% - Accent3 3 74" xfId="18519"/>
    <cellStyle name="40% - Accent3 3 75" xfId="18769"/>
    <cellStyle name="40% - Accent3 3 76" xfId="19020"/>
    <cellStyle name="40% - Accent3 3 77" xfId="19271"/>
    <cellStyle name="40% - Accent3 3 78" xfId="19521"/>
    <cellStyle name="40% - Accent3 3 79" xfId="19777"/>
    <cellStyle name="40% - Accent3 3 8" xfId="1952"/>
    <cellStyle name="40% - Accent3 3 80" xfId="20029"/>
    <cellStyle name="40% - Accent3 3 81" xfId="20281"/>
    <cellStyle name="40% - Accent3 3 82" xfId="20533"/>
    <cellStyle name="40% - Accent3 3 83" xfId="20783"/>
    <cellStyle name="40% - Accent3 3 84" xfId="21033"/>
    <cellStyle name="40% - Accent3 3 85" xfId="21284"/>
    <cellStyle name="40% - Accent3 3 86" xfId="21528"/>
    <cellStyle name="40% - Accent3 3 87" xfId="21772"/>
    <cellStyle name="40% - Accent3 3 88" xfId="22013"/>
    <cellStyle name="40% - Accent3 3 9" xfId="2203"/>
    <cellStyle name="40% - Accent3 30" xfId="5830"/>
    <cellStyle name="40% - Accent3 31" xfId="6081"/>
    <cellStyle name="40% - Accent3 32" xfId="6332"/>
    <cellStyle name="40% - Accent3 33" xfId="6583"/>
    <cellStyle name="40% - Accent3 34" xfId="6834"/>
    <cellStyle name="40% - Accent3 35" xfId="7085"/>
    <cellStyle name="40% - Accent3 36" xfId="7336"/>
    <cellStyle name="40% - Accent3 37" xfId="7587"/>
    <cellStyle name="40% - Accent3 38" xfId="7838"/>
    <cellStyle name="40% - Accent3 39" xfId="8089"/>
    <cellStyle name="40% - Accent3 4" xfId="326"/>
    <cellStyle name="40% - Accent3 40" xfId="8340"/>
    <cellStyle name="40% - Accent3 41" xfId="8591"/>
    <cellStyle name="40% - Accent3 42" xfId="8842"/>
    <cellStyle name="40% - Accent3 43" xfId="9093"/>
    <cellStyle name="40% - Accent3 44" xfId="9344"/>
    <cellStyle name="40% - Accent3 45" xfId="9595"/>
    <cellStyle name="40% - Accent3 46" xfId="9846"/>
    <cellStyle name="40% - Accent3 47" xfId="10097"/>
    <cellStyle name="40% - Accent3 48" xfId="10348"/>
    <cellStyle name="40% - Accent3 49" xfId="10599"/>
    <cellStyle name="40% - Accent3 5" xfId="316"/>
    <cellStyle name="40% - Accent3 50" xfId="10850"/>
    <cellStyle name="40% - Accent3 51" xfId="11101"/>
    <cellStyle name="40% - Accent3 52" xfId="11352"/>
    <cellStyle name="40% - Accent3 53" xfId="11603"/>
    <cellStyle name="40% - Accent3 54" xfId="11854"/>
    <cellStyle name="40% - Accent3 55" xfId="12105"/>
    <cellStyle name="40% - Accent3 56" xfId="12356"/>
    <cellStyle name="40% - Accent3 57" xfId="12607"/>
    <cellStyle name="40% - Accent3 58" xfId="12858"/>
    <cellStyle name="40% - Accent3 59" xfId="13109"/>
    <cellStyle name="40% - Accent3 6" xfId="586"/>
    <cellStyle name="40% - Accent3 60" xfId="13360"/>
    <cellStyle name="40% - Accent3 61" xfId="13611"/>
    <cellStyle name="40% - Accent3 62" xfId="13862"/>
    <cellStyle name="40% - Accent3 63" xfId="14113"/>
    <cellStyle name="40% - Accent3 64" xfId="14364"/>
    <cellStyle name="40% - Accent3 65" xfId="14615"/>
    <cellStyle name="40% - Accent3 66" xfId="15660"/>
    <cellStyle name="40% - Accent3 67" xfId="15908"/>
    <cellStyle name="40% - Accent3 68" xfId="15911"/>
    <cellStyle name="40% - Accent3 69" xfId="15258"/>
    <cellStyle name="40% - Accent3 7" xfId="312"/>
    <cellStyle name="40% - Accent3 70" xfId="15416"/>
    <cellStyle name="40% - Accent3 71" xfId="16122"/>
    <cellStyle name="40% - Accent3 72" xfId="16373"/>
    <cellStyle name="40% - Accent3 73" xfId="16624"/>
    <cellStyle name="40% - Accent3 74" xfId="16875"/>
    <cellStyle name="40% - Accent3 75" xfId="17126"/>
    <cellStyle name="40% - Accent3 76" xfId="17377"/>
    <cellStyle name="40% - Accent3 77" xfId="17628"/>
    <cellStyle name="40% - Accent3 78" xfId="17879"/>
    <cellStyle name="40% - Accent3 79" xfId="18130"/>
    <cellStyle name="40% - Accent3 8" xfId="1097"/>
    <cellStyle name="40% - Accent3 80" xfId="18381"/>
    <cellStyle name="40% - Accent3 81" xfId="18882"/>
    <cellStyle name="40% - Accent3 82" xfId="18680"/>
    <cellStyle name="40% - Accent3 83" xfId="19679"/>
    <cellStyle name="40% - Accent3 84" xfId="18773"/>
    <cellStyle name="40% - Accent3 85" xfId="19181"/>
    <cellStyle name="40% - Accent3 86" xfId="19891"/>
    <cellStyle name="40% - Accent3 87" xfId="20143"/>
    <cellStyle name="40% - Accent3 88" xfId="20395"/>
    <cellStyle name="40% - Accent3 89" xfId="20647"/>
    <cellStyle name="40% - Accent3 9" xfId="1098"/>
    <cellStyle name="40% - Accent3 90" xfId="21037"/>
    <cellStyle name="40% - Accent3 91" xfId="22234"/>
    <cellStyle name="40% - Accent3 92" xfId="22249"/>
    <cellStyle name="40% - Accent3 93" xfId="24691"/>
    <cellStyle name="40% - Accent3 94" xfId="24698"/>
    <cellStyle name="40% - Accent3 95" xfId="24714"/>
    <cellStyle name="40% - Accent3 96" xfId="24730"/>
    <cellStyle name="40% - Accent3 97" xfId="24746"/>
    <cellStyle name="40% - Accent4" xfId="61" builtinId="43" customBuiltin="1"/>
    <cellStyle name="40% - Accent4 10" xfId="510"/>
    <cellStyle name="40% - Accent4 11" xfId="1268"/>
    <cellStyle name="40% - Accent4 12" xfId="1700"/>
    <cellStyle name="40% - Accent4 13" xfId="1522"/>
    <cellStyle name="40% - Accent4 14" xfId="2064"/>
    <cellStyle name="40% - Accent4 15" xfId="2315"/>
    <cellStyle name="40% - Accent4 16" xfId="2566"/>
    <cellStyle name="40% - Accent4 17" xfId="2817"/>
    <cellStyle name="40% - Accent4 18" xfId="3068"/>
    <cellStyle name="40% - Accent4 19" xfId="3319"/>
    <cellStyle name="40% - Accent4 2" xfId="150"/>
    <cellStyle name="40% - Accent4 2 10" xfId="2451"/>
    <cellStyle name="40% - Accent4 2 11" xfId="2702"/>
    <cellStyle name="40% - Accent4 2 12" xfId="2953"/>
    <cellStyle name="40% - Accent4 2 13" xfId="3204"/>
    <cellStyle name="40% - Accent4 2 14" xfId="3455"/>
    <cellStyle name="40% - Accent4 2 15" xfId="3706"/>
    <cellStyle name="40% - Accent4 2 16" xfId="3957"/>
    <cellStyle name="40% - Accent4 2 17" xfId="4208"/>
    <cellStyle name="40% - Accent4 2 18" xfId="4459"/>
    <cellStyle name="40% - Accent4 2 19" xfId="4710"/>
    <cellStyle name="40% - Accent4 2 2" xfId="429"/>
    <cellStyle name="40% - Accent4 2 20" xfId="4961"/>
    <cellStyle name="40% - Accent4 2 21" xfId="5212"/>
    <cellStyle name="40% - Accent4 2 22" xfId="5463"/>
    <cellStyle name="40% - Accent4 2 23" xfId="5714"/>
    <cellStyle name="40% - Accent4 2 24" xfId="5965"/>
    <cellStyle name="40% - Accent4 2 25" xfId="6216"/>
    <cellStyle name="40% - Accent4 2 26" xfId="6467"/>
    <cellStyle name="40% - Accent4 2 27" xfId="6718"/>
    <cellStyle name="40% - Accent4 2 28" xfId="6969"/>
    <cellStyle name="40% - Accent4 2 29" xfId="7220"/>
    <cellStyle name="40% - Accent4 2 3" xfId="678"/>
    <cellStyle name="40% - Accent4 2 30" xfId="7471"/>
    <cellStyle name="40% - Accent4 2 31" xfId="7722"/>
    <cellStyle name="40% - Accent4 2 32" xfId="7973"/>
    <cellStyle name="40% - Accent4 2 33" xfId="8224"/>
    <cellStyle name="40% - Accent4 2 34" xfId="8475"/>
    <cellStyle name="40% - Accent4 2 35" xfId="8726"/>
    <cellStyle name="40% - Accent4 2 36" xfId="8977"/>
    <cellStyle name="40% - Accent4 2 37" xfId="9228"/>
    <cellStyle name="40% - Accent4 2 38" xfId="9479"/>
    <cellStyle name="40% - Accent4 2 39" xfId="9730"/>
    <cellStyle name="40% - Accent4 2 4" xfId="931"/>
    <cellStyle name="40% - Accent4 2 40" xfId="9981"/>
    <cellStyle name="40% - Accent4 2 41" xfId="10232"/>
    <cellStyle name="40% - Accent4 2 42" xfId="10483"/>
    <cellStyle name="40% - Accent4 2 43" xfId="10734"/>
    <cellStyle name="40% - Accent4 2 44" xfId="10985"/>
    <cellStyle name="40% - Accent4 2 45" xfId="11236"/>
    <cellStyle name="40% - Accent4 2 46" xfId="11487"/>
    <cellStyle name="40% - Accent4 2 47" xfId="11738"/>
    <cellStyle name="40% - Accent4 2 48" xfId="11989"/>
    <cellStyle name="40% - Accent4 2 49" xfId="12240"/>
    <cellStyle name="40% - Accent4 2 5" xfId="1186"/>
    <cellStyle name="40% - Accent4 2 50" xfId="12491"/>
    <cellStyle name="40% - Accent4 2 51" xfId="12742"/>
    <cellStyle name="40% - Accent4 2 52" xfId="12993"/>
    <cellStyle name="40% - Accent4 2 53" xfId="13244"/>
    <cellStyle name="40% - Accent4 2 54" xfId="13495"/>
    <cellStyle name="40% - Accent4 2 55" xfId="13746"/>
    <cellStyle name="40% - Accent4 2 56" xfId="13997"/>
    <cellStyle name="40% - Accent4 2 57" xfId="14248"/>
    <cellStyle name="40% - Accent4 2 58" xfId="14499"/>
    <cellStyle name="40% - Accent4 2 59" xfId="14750"/>
    <cellStyle name="40% - Accent4 2 6" xfId="1439"/>
    <cellStyle name="40% - Accent4 2 60" xfId="15000"/>
    <cellStyle name="40% - Accent4 2 61" xfId="15251"/>
    <cellStyle name="40% - Accent4 2 62" xfId="15502"/>
    <cellStyle name="40% - Accent4 2 63" xfId="15749"/>
    <cellStyle name="40% - Accent4 2 64" xfId="16006"/>
    <cellStyle name="40% - Accent4 2 65" xfId="16257"/>
    <cellStyle name="40% - Accent4 2 66" xfId="16508"/>
    <cellStyle name="40% - Accent4 2 67" xfId="16759"/>
    <cellStyle name="40% - Accent4 2 68" xfId="17010"/>
    <cellStyle name="40% - Accent4 2 69" xfId="17261"/>
    <cellStyle name="40% - Accent4 2 7" xfId="1692"/>
    <cellStyle name="40% - Accent4 2 70" xfId="17512"/>
    <cellStyle name="40% - Accent4 2 71" xfId="17763"/>
    <cellStyle name="40% - Accent4 2 72" xfId="18014"/>
    <cellStyle name="40% - Accent4 2 73" xfId="18265"/>
    <cellStyle name="40% - Accent4 2 74" xfId="18516"/>
    <cellStyle name="40% - Accent4 2 75" xfId="18766"/>
    <cellStyle name="40% - Accent4 2 76" xfId="19017"/>
    <cellStyle name="40% - Accent4 2 77" xfId="19268"/>
    <cellStyle name="40% - Accent4 2 78" xfId="19518"/>
    <cellStyle name="40% - Accent4 2 79" xfId="19774"/>
    <cellStyle name="40% - Accent4 2 8" xfId="1949"/>
    <cellStyle name="40% - Accent4 2 80" xfId="20026"/>
    <cellStyle name="40% - Accent4 2 81" xfId="20278"/>
    <cellStyle name="40% - Accent4 2 82" xfId="20530"/>
    <cellStyle name="40% - Accent4 2 83" xfId="20780"/>
    <cellStyle name="40% - Accent4 2 84" xfId="21030"/>
    <cellStyle name="40% - Accent4 2 85" xfId="21281"/>
    <cellStyle name="40% - Accent4 2 86" xfId="21525"/>
    <cellStyle name="40% - Accent4 2 87" xfId="21769"/>
    <cellStyle name="40% - Accent4 2 88" xfId="22010"/>
    <cellStyle name="40% - Accent4 2 9" xfId="2200"/>
    <cellStyle name="40% - Accent4 20" xfId="3570"/>
    <cellStyle name="40% - Accent4 21" xfId="3821"/>
    <cellStyle name="40% - Accent4 22" xfId="4072"/>
    <cellStyle name="40% - Accent4 23" xfId="4323"/>
    <cellStyle name="40% - Accent4 24" xfId="4574"/>
    <cellStyle name="40% - Accent4 25" xfId="4825"/>
    <cellStyle name="40% - Accent4 26" xfId="5076"/>
    <cellStyle name="40% - Accent4 27" xfId="5327"/>
    <cellStyle name="40% - Accent4 28" xfId="5578"/>
    <cellStyle name="40% - Accent4 29" xfId="5829"/>
    <cellStyle name="40% - Accent4 3" xfId="141"/>
    <cellStyle name="40% - Accent4 3 10" xfId="2442"/>
    <cellStyle name="40% - Accent4 3 11" xfId="2693"/>
    <cellStyle name="40% - Accent4 3 12" xfId="2944"/>
    <cellStyle name="40% - Accent4 3 13" xfId="3195"/>
    <cellStyle name="40% - Accent4 3 14" xfId="3446"/>
    <cellStyle name="40% - Accent4 3 15" xfId="3697"/>
    <cellStyle name="40% - Accent4 3 16" xfId="3948"/>
    <cellStyle name="40% - Accent4 3 17" xfId="4199"/>
    <cellStyle name="40% - Accent4 3 18" xfId="4450"/>
    <cellStyle name="40% - Accent4 3 19" xfId="4701"/>
    <cellStyle name="40% - Accent4 3 2" xfId="420"/>
    <cellStyle name="40% - Accent4 3 20" xfId="4952"/>
    <cellStyle name="40% - Accent4 3 21" xfId="5203"/>
    <cellStyle name="40% - Accent4 3 22" xfId="5454"/>
    <cellStyle name="40% - Accent4 3 23" xfId="5705"/>
    <cellStyle name="40% - Accent4 3 24" xfId="5956"/>
    <cellStyle name="40% - Accent4 3 25" xfId="6207"/>
    <cellStyle name="40% - Accent4 3 26" xfId="6458"/>
    <cellStyle name="40% - Accent4 3 27" xfId="6709"/>
    <cellStyle name="40% - Accent4 3 28" xfId="6960"/>
    <cellStyle name="40% - Accent4 3 29" xfId="7211"/>
    <cellStyle name="40% - Accent4 3 3" xfId="669"/>
    <cellStyle name="40% - Accent4 3 30" xfId="7462"/>
    <cellStyle name="40% - Accent4 3 31" xfId="7713"/>
    <cellStyle name="40% - Accent4 3 32" xfId="7964"/>
    <cellStyle name="40% - Accent4 3 33" xfId="8215"/>
    <cellStyle name="40% - Accent4 3 34" xfId="8466"/>
    <cellStyle name="40% - Accent4 3 35" xfId="8717"/>
    <cellStyle name="40% - Accent4 3 36" xfId="8968"/>
    <cellStyle name="40% - Accent4 3 37" xfId="9219"/>
    <cellStyle name="40% - Accent4 3 38" xfId="9470"/>
    <cellStyle name="40% - Accent4 3 39" xfId="9721"/>
    <cellStyle name="40% - Accent4 3 4" xfId="922"/>
    <cellStyle name="40% - Accent4 3 40" xfId="9972"/>
    <cellStyle name="40% - Accent4 3 41" xfId="10223"/>
    <cellStyle name="40% - Accent4 3 42" xfId="10474"/>
    <cellStyle name="40% - Accent4 3 43" xfId="10725"/>
    <cellStyle name="40% - Accent4 3 44" xfId="10976"/>
    <cellStyle name="40% - Accent4 3 45" xfId="11227"/>
    <cellStyle name="40% - Accent4 3 46" xfId="11478"/>
    <cellStyle name="40% - Accent4 3 47" xfId="11729"/>
    <cellStyle name="40% - Accent4 3 48" xfId="11980"/>
    <cellStyle name="40% - Accent4 3 49" xfId="12231"/>
    <cellStyle name="40% - Accent4 3 5" xfId="1177"/>
    <cellStyle name="40% - Accent4 3 50" xfId="12482"/>
    <cellStyle name="40% - Accent4 3 51" xfId="12733"/>
    <cellStyle name="40% - Accent4 3 52" xfId="12984"/>
    <cellStyle name="40% - Accent4 3 53" xfId="13235"/>
    <cellStyle name="40% - Accent4 3 54" xfId="13486"/>
    <cellStyle name="40% - Accent4 3 55" xfId="13737"/>
    <cellStyle name="40% - Accent4 3 56" xfId="13988"/>
    <cellStyle name="40% - Accent4 3 57" xfId="14239"/>
    <cellStyle name="40% - Accent4 3 58" xfId="14490"/>
    <cellStyle name="40% - Accent4 3 59" xfId="14741"/>
    <cellStyle name="40% - Accent4 3 6" xfId="1430"/>
    <cellStyle name="40% - Accent4 3 60" xfId="14991"/>
    <cellStyle name="40% - Accent4 3 61" xfId="15242"/>
    <cellStyle name="40% - Accent4 3 62" xfId="15493"/>
    <cellStyle name="40% - Accent4 3 63" xfId="15740"/>
    <cellStyle name="40% - Accent4 3 64" xfId="15997"/>
    <cellStyle name="40% - Accent4 3 65" xfId="16248"/>
    <cellStyle name="40% - Accent4 3 66" xfId="16499"/>
    <cellStyle name="40% - Accent4 3 67" xfId="16750"/>
    <cellStyle name="40% - Accent4 3 68" xfId="17001"/>
    <cellStyle name="40% - Accent4 3 69" xfId="17252"/>
    <cellStyle name="40% - Accent4 3 7" xfId="1683"/>
    <cellStyle name="40% - Accent4 3 70" xfId="17503"/>
    <cellStyle name="40% - Accent4 3 71" xfId="17754"/>
    <cellStyle name="40% - Accent4 3 72" xfId="18005"/>
    <cellStyle name="40% - Accent4 3 73" xfId="18256"/>
    <cellStyle name="40% - Accent4 3 74" xfId="18507"/>
    <cellStyle name="40% - Accent4 3 75" xfId="18757"/>
    <cellStyle name="40% - Accent4 3 76" xfId="19008"/>
    <cellStyle name="40% - Accent4 3 77" xfId="19259"/>
    <cellStyle name="40% - Accent4 3 78" xfId="19509"/>
    <cellStyle name="40% - Accent4 3 79" xfId="19765"/>
    <cellStyle name="40% - Accent4 3 8" xfId="1940"/>
    <cellStyle name="40% - Accent4 3 80" xfId="20017"/>
    <cellStyle name="40% - Accent4 3 81" xfId="20269"/>
    <cellStyle name="40% - Accent4 3 82" xfId="20521"/>
    <cellStyle name="40% - Accent4 3 83" xfId="20771"/>
    <cellStyle name="40% - Accent4 3 84" xfId="21021"/>
    <cellStyle name="40% - Accent4 3 85" xfId="21272"/>
    <cellStyle name="40% - Accent4 3 86" xfId="21516"/>
    <cellStyle name="40% - Accent4 3 87" xfId="21760"/>
    <cellStyle name="40% - Accent4 3 88" xfId="22001"/>
    <cellStyle name="40% - Accent4 3 9" xfId="2191"/>
    <cellStyle name="40% - Accent4 30" xfId="6080"/>
    <cellStyle name="40% - Accent4 31" xfId="6331"/>
    <cellStyle name="40% - Accent4 32" xfId="6582"/>
    <cellStyle name="40% - Accent4 33" xfId="6833"/>
    <cellStyle name="40% - Accent4 34" xfId="7084"/>
    <cellStyle name="40% - Accent4 35" xfId="7335"/>
    <cellStyle name="40% - Accent4 36" xfId="7586"/>
    <cellStyle name="40% - Accent4 37" xfId="7837"/>
    <cellStyle name="40% - Accent4 38" xfId="8088"/>
    <cellStyle name="40% - Accent4 39" xfId="8339"/>
    <cellStyle name="40% - Accent4 4" xfId="330"/>
    <cellStyle name="40% - Accent4 40" xfId="8590"/>
    <cellStyle name="40% - Accent4 41" xfId="8841"/>
    <cellStyle name="40% - Accent4 42" xfId="9092"/>
    <cellStyle name="40% - Accent4 43" xfId="9343"/>
    <cellStyle name="40% - Accent4 44" xfId="9594"/>
    <cellStyle name="40% - Accent4 45" xfId="9845"/>
    <cellStyle name="40% - Accent4 46" xfId="10096"/>
    <cellStyle name="40% - Accent4 47" xfId="10347"/>
    <cellStyle name="40% - Accent4 48" xfId="10598"/>
    <cellStyle name="40% - Accent4 49" xfId="10849"/>
    <cellStyle name="40% - Accent4 5" xfId="327"/>
    <cellStyle name="40% - Accent4 50" xfId="11100"/>
    <cellStyle name="40% - Accent4 51" xfId="11351"/>
    <cellStyle name="40% - Accent4 52" xfId="11602"/>
    <cellStyle name="40% - Accent4 53" xfId="11853"/>
    <cellStyle name="40% - Accent4 54" xfId="12104"/>
    <cellStyle name="40% - Accent4 55" xfId="12355"/>
    <cellStyle name="40% - Accent4 56" xfId="12606"/>
    <cellStyle name="40% - Accent4 57" xfId="12857"/>
    <cellStyle name="40% - Accent4 58" xfId="13108"/>
    <cellStyle name="40% - Accent4 59" xfId="13359"/>
    <cellStyle name="40% - Accent4 6" xfId="313"/>
    <cellStyle name="40% - Accent4 60" xfId="13610"/>
    <cellStyle name="40% - Accent4 61" xfId="13861"/>
    <cellStyle name="40% - Accent4 62" xfId="14112"/>
    <cellStyle name="40% - Accent4 63" xfId="14363"/>
    <cellStyle name="40% - Accent4 64" xfId="14614"/>
    <cellStyle name="40% - Accent4 65" xfId="14865"/>
    <cellStyle name="40% - Accent4 66" xfId="15367"/>
    <cellStyle name="40% - Accent4 67" xfId="15661"/>
    <cellStyle name="40% - Accent4 68" xfId="15833"/>
    <cellStyle name="40% - Accent4 69" xfId="15415"/>
    <cellStyle name="40% - Accent4 7" xfId="1088"/>
    <cellStyle name="40% - Accent4 70" xfId="16121"/>
    <cellStyle name="40% - Accent4 71" xfId="16372"/>
    <cellStyle name="40% - Accent4 72" xfId="16623"/>
    <cellStyle name="40% - Accent4 73" xfId="16874"/>
    <cellStyle name="40% - Accent4 74" xfId="17125"/>
    <cellStyle name="40% - Accent4 75" xfId="17376"/>
    <cellStyle name="40% - Accent4 76" xfId="17627"/>
    <cellStyle name="40% - Accent4 77" xfId="17878"/>
    <cellStyle name="40% - Accent4 78" xfId="18129"/>
    <cellStyle name="40% - Accent4 79" xfId="18380"/>
    <cellStyle name="40% - Accent4 8" xfId="838"/>
    <cellStyle name="40% - Accent4 80" xfId="18631"/>
    <cellStyle name="40% - Accent4 81" xfId="18523"/>
    <cellStyle name="40% - Accent4 82" xfId="19430"/>
    <cellStyle name="40% - Accent4 83" xfId="19525"/>
    <cellStyle name="40% - Accent4 84" xfId="19276"/>
    <cellStyle name="40% - Accent4 85" xfId="19890"/>
    <cellStyle name="40% - Accent4 86" xfId="20142"/>
    <cellStyle name="40% - Accent4 87" xfId="20394"/>
    <cellStyle name="40% - Accent4 88" xfId="20646"/>
    <cellStyle name="40% - Accent4 89" xfId="20896"/>
    <cellStyle name="40% - Accent4 9" xfId="1093"/>
    <cellStyle name="40% - Accent4 90" xfId="21682"/>
    <cellStyle name="40% - Accent4 91" xfId="22235"/>
    <cellStyle name="40% - Accent4 92" xfId="22250"/>
    <cellStyle name="40% - Accent4 93" xfId="24692"/>
    <cellStyle name="40% - Accent4 94" xfId="24697"/>
    <cellStyle name="40% - Accent4 95" xfId="24713"/>
    <cellStyle name="40% - Accent4 96" xfId="24729"/>
    <cellStyle name="40% - Accent4 97" xfId="24745"/>
    <cellStyle name="40% - Accent5" xfId="65" builtinId="47" customBuiltin="1"/>
    <cellStyle name="40% - Accent5 10" xfId="1853"/>
    <cellStyle name="40% - Accent5 11" xfId="834"/>
    <cellStyle name="40% - Accent5 12" xfId="1349"/>
    <cellStyle name="40% - Accent5 13" xfId="1351"/>
    <cellStyle name="40% - Accent5 14" xfId="1193"/>
    <cellStyle name="40% - Accent5 15" xfId="1956"/>
    <cellStyle name="40% - Accent5 16" xfId="2207"/>
    <cellStyle name="40% - Accent5 17" xfId="2458"/>
    <cellStyle name="40% - Accent5 18" xfId="2709"/>
    <cellStyle name="40% - Accent5 19" xfId="2960"/>
    <cellStyle name="40% - Accent5 2" xfId="152"/>
    <cellStyle name="40% - Accent5 2 10" xfId="2453"/>
    <cellStyle name="40% - Accent5 2 11" xfId="2704"/>
    <cellStyle name="40% - Accent5 2 12" xfId="2955"/>
    <cellStyle name="40% - Accent5 2 13" xfId="3206"/>
    <cellStyle name="40% - Accent5 2 14" xfId="3457"/>
    <cellStyle name="40% - Accent5 2 15" xfId="3708"/>
    <cellStyle name="40% - Accent5 2 16" xfId="3959"/>
    <cellStyle name="40% - Accent5 2 17" xfId="4210"/>
    <cellStyle name="40% - Accent5 2 18" xfId="4461"/>
    <cellStyle name="40% - Accent5 2 19" xfId="4712"/>
    <cellStyle name="40% - Accent5 2 2" xfId="431"/>
    <cellStyle name="40% - Accent5 2 20" xfId="4963"/>
    <cellStyle name="40% - Accent5 2 21" xfId="5214"/>
    <cellStyle name="40% - Accent5 2 22" xfId="5465"/>
    <cellStyle name="40% - Accent5 2 23" xfId="5716"/>
    <cellStyle name="40% - Accent5 2 24" xfId="5967"/>
    <cellStyle name="40% - Accent5 2 25" xfId="6218"/>
    <cellStyle name="40% - Accent5 2 26" xfId="6469"/>
    <cellStyle name="40% - Accent5 2 27" xfId="6720"/>
    <cellStyle name="40% - Accent5 2 28" xfId="6971"/>
    <cellStyle name="40% - Accent5 2 29" xfId="7222"/>
    <cellStyle name="40% - Accent5 2 3" xfId="680"/>
    <cellStyle name="40% - Accent5 2 30" xfId="7473"/>
    <cellStyle name="40% - Accent5 2 31" xfId="7724"/>
    <cellStyle name="40% - Accent5 2 32" xfId="7975"/>
    <cellStyle name="40% - Accent5 2 33" xfId="8226"/>
    <cellStyle name="40% - Accent5 2 34" xfId="8477"/>
    <cellStyle name="40% - Accent5 2 35" xfId="8728"/>
    <cellStyle name="40% - Accent5 2 36" xfId="8979"/>
    <cellStyle name="40% - Accent5 2 37" xfId="9230"/>
    <cellStyle name="40% - Accent5 2 38" xfId="9481"/>
    <cellStyle name="40% - Accent5 2 39" xfId="9732"/>
    <cellStyle name="40% - Accent5 2 4" xfId="933"/>
    <cellStyle name="40% - Accent5 2 40" xfId="9983"/>
    <cellStyle name="40% - Accent5 2 41" xfId="10234"/>
    <cellStyle name="40% - Accent5 2 42" xfId="10485"/>
    <cellStyle name="40% - Accent5 2 43" xfId="10736"/>
    <cellStyle name="40% - Accent5 2 44" xfId="10987"/>
    <cellStyle name="40% - Accent5 2 45" xfId="11238"/>
    <cellStyle name="40% - Accent5 2 46" xfId="11489"/>
    <cellStyle name="40% - Accent5 2 47" xfId="11740"/>
    <cellStyle name="40% - Accent5 2 48" xfId="11991"/>
    <cellStyle name="40% - Accent5 2 49" xfId="12242"/>
    <cellStyle name="40% - Accent5 2 5" xfId="1188"/>
    <cellStyle name="40% - Accent5 2 50" xfId="12493"/>
    <cellStyle name="40% - Accent5 2 51" xfId="12744"/>
    <cellStyle name="40% - Accent5 2 52" xfId="12995"/>
    <cellStyle name="40% - Accent5 2 53" xfId="13246"/>
    <cellStyle name="40% - Accent5 2 54" xfId="13497"/>
    <cellStyle name="40% - Accent5 2 55" xfId="13748"/>
    <cellStyle name="40% - Accent5 2 56" xfId="13999"/>
    <cellStyle name="40% - Accent5 2 57" xfId="14250"/>
    <cellStyle name="40% - Accent5 2 58" xfId="14501"/>
    <cellStyle name="40% - Accent5 2 59" xfId="14752"/>
    <cellStyle name="40% - Accent5 2 6" xfId="1441"/>
    <cellStyle name="40% - Accent5 2 60" xfId="15002"/>
    <cellStyle name="40% - Accent5 2 61" xfId="15253"/>
    <cellStyle name="40% - Accent5 2 62" xfId="15504"/>
    <cellStyle name="40% - Accent5 2 63" xfId="15751"/>
    <cellStyle name="40% - Accent5 2 64" xfId="16008"/>
    <cellStyle name="40% - Accent5 2 65" xfId="16259"/>
    <cellStyle name="40% - Accent5 2 66" xfId="16510"/>
    <cellStyle name="40% - Accent5 2 67" xfId="16761"/>
    <cellStyle name="40% - Accent5 2 68" xfId="17012"/>
    <cellStyle name="40% - Accent5 2 69" xfId="17263"/>
    <cellStyle name="40% - Accent5 2 7" xfId="1694"/>
    <cellStyle name="40% - Accent5 2 70" xfId="17514"/>
    <cellStyle name="40% - Accent5 2 71" xfId="17765"/>
    <cellStyle name="40% - Accent5 2 72" xfId="18016"/>
    <cellStyle name="40% - Accent5 2 73" xfId="18267"/>
    <cellStyle name="40% - Accent5 2 74" xfId="18518"/>
    <cellStyle name="40% - Accent5 2 75" xfId="18768"/>
    <cellStyle name="40% - Accent5 2 76" xfId="19019"/>
    <cellStyle name="40% - Accent5 2 77" xfId="19270"/>
    <cellStyle name="40% - Accent5 2 78" xfId="19520"/>
    <cellStyle name="40% - Accent5 2 79" xfId="19776"/>
    <cellStyle name="40% - Accent5 2 8" xfId="1951"/>
    <cellStyle name="40% - Accent5 2 80" xfId="20028"/>
    <cellStyle name="40% - Accent5 2 81" xfId="20280"/>
    <cellStyle name="40% - Accent5 2 82" xfId="20532"/>
    <cellStyle name="40% - Accent5 2 83" xfId="20782"/>
    <cellStyle name="40% - Accent5 2 84" xfId="21032"/>
    <cellStyle name="40% - Accent5 2 85" xfId="21283"/>
    <cellStyle name="40% - Accent5 2 86" xfId="21527"/>
    <cellStyle name="40% - Accent5 2 87" xfId="21771"/>
    <cellStyle name="40% - Accent5 2 88" xfId="22012"/>
    <cellStyle name="40% - Accent5 2 9" xfId="2202"/>
    <cellStyle name="40% - Accent5 20" xfId="3211"/>
    <cellStyle name="40% - Accent5 21" xfId="3462"/>
    <cellStyle name="40% - Accent5 22" xfId="3713"/>
    <cellStyle name="40% - Accent5 23" xfId="3964"/>
    <cellStyle name="40% - Accent5 24" xfId="4215"/>
    <cellStyle name="40% - Accent5 25" xfId="4466"/>
    <cellStyle name="40% - Accent5 26" xfId="4717"/>
    <cellStyle name="40% - Accent5 27" xfId="4968"/>
    <cellStyle name="40% - Accent5 28" xfId="5219"/>
    <cellStyle name="40% - Accent5 29" xfId="5470"/>
    <cellStyle name="40% - Accent5 3" xfId="230"/>
    <cellStyle name="40% - Accent5 3 10" xfId="2530"/>
    <cellStyle name="40% - Accent5 3 11" xfId="2781"/>
    <cellStyle name="40% - Accent5 3 12" xfId="3032"/>
    <cellStyle name="40% - Accent5 3 13" xfId="3283"/>
    <cellStyle name="40% - Accent5 3 14" xfId="3534"/>
    <cellStyle name="40% - Accent5 3 15" xfId="3785"/>
    <cellStyle name="40% - Accent5 3 16" xfId="4036"/>
    <cellStyle name="40% - Accent5 3 17" xfId="4287"/>
    <cellStyle name="40% - Accent5 3 18" xfId="4538"/>
    <cellStyle name="40% - Accent5 3 19" xfId="4789"/>
    <cellStyle name="40% - Accent5 3 2" xfId="507"/>
    <cellStyle name="40% - Accent5 3 20" xfId="5040"/>
    <cellStyle name="40% - Accent5 3 21" xfId="5291"/>
    <cellStyle name="40% - Accent5 3 22" xfId="5542"/>
    <cellStyle name="40% - Accent5 3 23" xfId="5793"/>
    <cellStyle name="40% - Accent5 3 24" xfId="6044"/>
    <cellStyle name="40% - Accent5 3 25" xfId="6295"/>
    <cellStyle name="40% - Accent5 3 26" xfId="6546"/>
    <cellStyle name="40% - Accent5 3 27" xfId="6797"/>
    <cellStyle name="40% - Accent5 3 28" xfId="7048"/>
    <cellStyle name="40% - Accent5 3 29" xfId="7299"/>
    <cellStyle name="40% - Accent5 3 3" xfId="757"/>
    <cellStyle name="40% - Accent5 3 30" xfId="7550"/>
    <cellStyle name="40% - Accent5 3 31" xfId="7801"/>
    <cellStyle name="40% - Accent5 3 32" xfId="8052"/>
    <cellStyle name="40% - Accent5 3 33" xfId="8303"/>
    <cellStyle name="40% - Accent5 3 34" xfId="8554"/>
    <cellStyle name="40% - Accent5 3 35" xfId="8805"/>
    <cellStyle name="40% - Accent5 3 36" xfId="9056"/>
    <cellStyle name="40% - Accent5 3 37" xfId="9307"/>
    <cellStyle name="40% - Accent5 3 38" xfId="9558"/>
    <cellStyle name="40% - Accent5 3 39" xfId="9809"/>
    <cellStyle name="40% - Accent5 3 4" xfId="1010"/>
    <cellStyle name="40% - Accent5 3 40" xfId="10060"/>
    <cellStyle name="40% - Accent5 3 41" xfId="10311"/>
    <cellStyle name="40% - Accent5 3 42" xfId="10562"/>
    <cellStyle name="40% - Accent5 3 43" xfId="10813"/>
    <cellStyle name="40% - Accent5 3 44" xfId="11064"/>
    <cellStyle name="40% - Accent5 3 45" xfId="11315"/>
    <cellStyle name="40% - Accent5 3 46" xfId="11566"/>
    <cellStyle name="40% - Accent5 3 47" xfId="11817"/>
    <cellStyle name="40% - Accent5 3 48" xfId="12068"/>
    <cellStyle name="40% - Accent5 3 49" xfId="12319"/>
    <cellStyle name="40% - Accent5 3 5" xfId="1265"/>
    <cellStyle name="40% - Accent5 3 50" xfId="12570"/>
    <cellStyle name="40% - Accent5 3 51" xfId="12821"/>
    <cellStyle name="40% - Accent5 3 52" xfId="13072"/>
    <cellStyle name="40% - Accent5 3 53" xfId="13323"/>
    <cellStyle name="40% - Accent5 3 54" xfId="13574"/>
    <cellStyle name="40% - Accent5 3 55" xfId="13825"/>
    <cellStyle name="40% - Accent5 3 56" xfId="14076"/>
    <cellStyle name="40% - Accent5 3 57" xfId="14327"/>
    <cellStyle name="40% - Accent5 3 58" xfId="14578"/>
    <cellStyle name="40% - Accent5 3 59" xfId="14829"/>
    <cellStyle name="40% - Accent5 3 6" xfId="1518"/>
    <cellStyle name="40% - Accent5 3 60" xfId="15080"/>
    <cellStyle name="40% - Accent5 3 61" xfId="15330"/>
    <cellStyle name="40% - Accent5 3 62" xfId="15581"/>
    <cellStyle name="40% - Accent5 3 63" xfId="15829"/>
    <cellStyle name="40% - Accent5 3 64" xfId="16085"/>
    <cellStyle name="40% - Accent5 3 65" xfId="16336"/>
    <cellStyle name="40% - Accent5 3 66" xfId="16587"/>
    <cellStyle name="40% - Accent5 3 67" xfId="16838"/>
    <cellStyle name="40% - Accent5 3 68" xfId="17089"/>
    <cellStyle name="40% - Accent5 3 69" xfId="17340"/>
    <cellStyle name="40% - Accent5 3 7" xfId="1772"/>
    <cellStyle name="40% - Accent5 3 70" xfId="17591"/>
    <cellStyle name="40% - Accent5 3 71" xfId="17842"/>
    <cellStyle name="40% - Accent5 3 72" xfId="18093"/>
    <cellStyle name="40% - Accent5 3 73" xfId="18344"/>
    <cellStyle name="40% - Accent5 3 74" xfId="18595"/>
    <cellStyle name="40% - Accent5 3 75" xfId="18846"/>
    <cellStyle name="40% - Accent5 3 76" xfId="19096"/>
    <cellStyle name="40% - Accent5 3 77" xfId="19348"/>
    <cellStyle name="40% - Accent5 3 78" xfId="19598"/>
    <cellStyle name="40% - Accent5 3 79" xfId="19854"/>
    <cellStyle name="40% - Accent5 3 8" xfId="2028"/>
    <cellStyle name="40% - Accent5 3 80" xfId="20106"/>
    <cellStyle name="40% - Accent5 3 81" xfId="20358"/>
    <cellStyle name="40% - Accent5 3 82" xfId="20610"/>
    <cellStyle name="40% - Accent5 3 83" xfId="20860"/>
    <cellStyle name="40% - Accent5 3 84" xfId="21110"/>
    <cellStyle name="40% - Accent5 3 85" xfId="21359"/>
    <cellStyle name="40% - Accent5 3 86" xfId="21603"/>
    <cellStyle name="40% - Accent5 3 87" xfId="21847"/>
    <cellStyle name="40% - Accent5 3 88" xfId="22088"/>
    <cellStyle name="40% - Accent5 3 9" xfId="2279"/>
    <cellStyle name="40% - Accent5 30" xfId="5721"/>
    <cellStyle name="40% - Accent5 31" xfId="5972"/>
    <cellStyle name="40% - Accent5 32" xfId="6223"/>
    <cellStyle name="40% - Accent5 33" xfId="6474"/>
    <cellStyle name="40% - Accent5 34" xfId="6725"/>
    <cellStyle name="40% - Accent5 35" xfId="6976"/>
    <cellStyle name="40% - Accent5 36" xfId="7227"/>
    <cellStyle name="40% - Accent5 37" xfId="7478"/>
    <cellStyle name="40% - Accent5 38" xfId="7729"/>
    <cellStyle name="40% - Accent5 39" xfId="7980"/>
    <cellStyle name="40% - Accent5 4" xfId="334"/>
    <cellStyle name="40% - Accent5 40" xfId="8231"/>
    <cellStyle name="40% - Accent5 41" xfId="8482"/>
    <cellStyle name="40% - Accent5 42" xfId="8733"/>
    <cellStyle name="40% - Accent5 43" xfId="8984"/>
    <cellStyle name="40% - Accent5 44" xfId="9235"/>
    <cellStyle name="40% - Accent5 45" xfId="9486"/>
    <cellStyle name="40% - Accent5 46" xfId="9737"/>
    <cellStyle name="40% - Accent5 47" xfId="9988"/>
    <cellStyle name="40% - Accent5 48" xfId="10239"/>
    <cellStyle name="40% - Accent5 49" xfId="10490"/>
    <cellStyle name="40% - Accent5 5" xfId="585"/>
    <cellStyle name="40% - Accent5 50" xfId="10741"/>
    <cellStyle name="40% - Accent5 51" xfId="10992"/>
    <cellStyle name="40% - Accent5 52" xfId="11243"/>
    <cellStyle name="40% - Accent5 53" xfId="11494"/>
    <cellStyle name="40% - Accent5 54" xfId="11745"/>
    <cellStyle name="40% - Accent5 55" xfId="11996"/>
    <cellStyle name="40% - Accent5 56" xfId="12247"/>
    <cellStyle name="40% - Accent5 57" xfId="12498"/>
    <cellStyle name="40% - Accent5 58" xfId="12749"/>
    <cellStyle name="40% - Accent5 59" xfId="13000"/>
    <cellStyle name="40% - Accent5 6" xfId="837"/>
    <cellStyle name="40% - Accent5 60" xfId="13251"/>
    <cellStyle name="40% - Accent5 61" xfId="13502"/>
    <cellStyle name="40% - Accent5 62" xfId="13753"/>
    <cellStyle name="40% - Accent5 63" xfId="14004"/>
    <cellStyle name="40% - Accent5 64" xfId="14255"/>
    <cellStyle name="40% - Accent5 65" xfId="14506"/>
    <cellStyle name="40% - Accent5 66" xfId="15910"/>
    <cellStyle name="40% - Accent5 67" xfId="15117"/>
    <cellStyle name="40% - Accent5 68" xfId="15411"/>
    <cellStyle name="40% - Accent5 69" xfId="15413"/>
    <cellStyle name="40% - Accent5 7" xfId="1092"/>
    <cellStyle name="40% - Accent5 70" xfId="15584"/>
    <cellStyle name="40% - Accent5 71" xfId="16013"/>
    <cellStyle name="40% - Accent5 72" xfId="16264"/>
    <cellStyle name="40% - Accent5 73" xfId="16515"/>
    <cellStyle name="40% - Accent5 74" xfId="16766"/>
    <cellStyle name="40% - Accent5 75" xfId="17017"/>
    <cellStyle name="40% - Accent5 76" xfId="17268"/>
    <cellStyle name="40% - Accent5 77" xfId="17519"/>
    <cellStyle name="40% - Accent5 78" xfId="17770"/>
    <cellStyle name="40% - Accent5 79" xfId="18021"/>
    <cellStyle name="40% - Accent5 8" xfId="1344"/>
    <cellStyle name="40% - Accent5 80" xfId="18272"/>
    <cellStyle name="40% - Accent5 81" xfId="19678"/>
    <cellStyle name="40% - Accent5 82" xfId="19428"/>
    <cellStyle name="40% - Accent5 83" xfId="18883"/>
    <cellStyle name="40% - Accent5 84" xfId="19024"/>
    <cellStyle name="40% - Accent5 85" xfId="19635"/>
    <cellStyle name="40% - Accent5 86" xfId="19781"/>
    <cellStyle name="40% - Accent5 87" xfId="20033"/>
    <cellStyle name="40% - Accent5 88" xfId="20285"/>
    <cellStyle name="40% - Accent5 89" xfId="20537"/>
    <cellStyle name="40% - Accent5 9" xfId="1598"/>
    <cellStyle name="40% - Accent5 90" xfId="21394"/>
    <cellStyle name="40% - Accent5 91" xfId="22236"/>
    <cellStyle name="40% - Accent5 92" xfId="22251"/>
    <cellStyle name="40% - Accent5 93" xfId="24693"/>
    <cellStyle name="40% - Accent5 94" xfId="24696"/>
    <cellStyle name="40% - Accent5 95" xfId="24712"/>
    <cellStyle name="40% - Accent5 96" xfId="24728"/>
    <cellStyle name="40% - Accent5 97" xfId="24744"/>
    <cellStyle name="40% - Accent6" xfId="69" builtinId="51" customBuiltin="1"/>
    <cellStyle name="40% - Accent6 10" xfId="1857"/>
    <cellStyle name="40% - Accent6 11" xfId="2108"/>
    <cellStyle name="40% - Accent6 12" xfId="2359"/>
    <cellStyle name="40% - Accent6 13" xfId="2610"/>
    <cellStyle name="40% - Accent6 14" xfId="2861"/>
    <cellStyle name="40% - Accent6 15" xfId="3112"/>
    <cellStyle name="40% - Accent6 16" xfId="3363"/>
    <cellStyle name="40% - Accent6 17" xfId="3614"/>
    <cellStyle name="40% - Accent6 18" xfId="3865"/>
    <cellStyle name="40% - Accent6 19" xfId="4116"/>
    <cellStyle name="40% - Accent6 2" xfId="155"/>
    <cellStyle name="40% - Accent6 2 10" xfId="2456"/>
    <cellStyle name="40% - Accent6 2 11" xfId="2707"/>
    <cellStyle name="40% - Accent6 2 12" xfId="2958"/>
    <cellStyle name="40% - Accent6 2 13" xfId="3209"/>
    <cellStyle name="40% - Accent6 2 14" xfId="3460"/>
    <cellStyle name="40% - Accent6 2 15" xfId="3711"/>
    <cellStyle name="40% - Accent6 2 16" xfId="3962"/>
    <cellStyle name="40% - Accent6 2 17" xfId="4213"/>
    <cellStyle name="40% - Accent6 2 18" xfId="4464"/>
    <cellStyle name="40% - Accent6 2 19" xfId="4715"/>
    <cellStyle name="40% - Accent6 2 2" xfId="434"/>
    <cellStyle name="40% - Accent6 2 20" xfId="4966"/>
    <cellStyle name="40% - Accent6 2 21" xfId="5217"/>
    <cellStyle name="40% - Accent6 2 22" xfId="5468"/>
    <cellStyle name="40% - Accent6 2 23" xfId="5719"/>
    <cellStyle name="40% - Accent6 2 24" xfId="5970"/>
    <cellStyle name="40% - Accent6 2 25" xfId="6221"/>
    <cellStyle name="40% - Accent6 2 26" xfId="6472"/>
    <cellStyle name="40% - Accent6 2 27" xfId="6723"/>
    <cellStyle name="40% - Accent6 2 28" xfId="6974"/>
    <cellStyle name="40% - Accent6 2 29" xfId="7225"/>
    <cellStyle name="40% - Accent6 2 3" xfId="683"/>
    <cellStyle name="40% - Accent6 2 30" xfId="7476"/>
    <cellStyle name="40% - Accent6 2 31" xfId="7727"/>
    <cellStyle name="40% - Accent6 2 32" xfId="7978"/>
    <cellStyle name="40% - Accent6 2 33" xfId="8229"/>
    <cellStyle name="40% - Accent6 2 34" xfId="8480"/>
    <cellStyle name="40% - Accent6 2 35" xfId="8731"/>
    <cellStyle name="40% - Accent6 2 36" xfId="8982"/>
    <cellStyle name="40% - Accent6 2 37" xfId="9233"/>
    <cellStyle name="40% - Accent6 2 38" xfId="9484"/>
    <cellStyle name="40% - Accent6 2 39" xfId="9735"/>
    <cellStyle name="40% - Accent6 2 4" xfId="936"/>
    <cellStyle name="40% - Accent6 2 40" xfId="9986"/>
    <cellStyle name="40% - Accent6 2 41" xfId="10237"/>
    <cellStyle name="40% - Accent6 2 42" xfId="10488"/>
    <cellStyle name="40% - Accent6 2 43" xfId="10739"/>
    <cellStyle name="40% - Accent6 2 44" xfId="10990"/>
    <cellStyle name="40% - Accent6 2 45" xfId="11241"/>
    <cellStyle name="40% - Accent6 2 46" xfId="11492"/>
    <cellStyle name="40% - Accent6 2 47" xfId="11743"/>
    <cellStyle name="40% - Accent6 2 48" xfId="11994"/>
    <cellStyle name="40% - Accent6 2 49" xfId="12245"/>
    <cellStyle name="40% - Accent6 2 5" xfId="1191"/>
    <cellStyle name="40% - Accent6 2 50" xfId="12496"/>
    <cellStyle name="40% - Accent6 2 51" xfId="12747"/>
    <cellStyle name="40% - Accent6 2 52" xfId="12998"/>
    <cellStyle name="40% - Accent6 2 53" xfId="13249"/>
    <cellStyle name="40% - Accent6 2 54" xfId="13500"/>
    <cellStyle name="40% - Accent6 2 55" xfId="13751"/>
    <cellStyle name="40% - Accent6 2 56" xfId="14002"/>
    <cellStyle name="40% - Accent6 2 57" xfId="14253"/>
    <cellStyle name="40% - Accent6 2 58" xfId="14504"/>
    <cellStyle name="40% - Accent6 2 59" xfId="14755"/>
    <cellStyle name="40% - Accent6 2 6" xfId="1444"/>
    <cellStyle name="40% - Accent6 2 60" xfId="15005"/>
    <cellStyle name="40% - Accent6 2 61" xfId="15256"/>
    <cellStyle name="40% - Accent6 2 62" xfId="15507"/>
    <cellStyle name="40% - Accent6 2 63" xfId="15754"/>
    <cellStyle name="40% - Accent6 2 64" xfId="16011"/>
    <cellStyle name="40% - Accent6 2 65" xfId="16262"/>
    <cellStyle name="40% - Accent6 2 66" xfId="16513"/>
    <cellStyle name="40% - Accent6 2 67" xfId="16764"/>
    <cellStyle name="40% - Accent6 2 68" xfId="17015"/>
    <cellStyle name="40% - Accent6 2 69" xfId="17266"/>
    <cellStyle name="40% - Accent6 2 7" xfId="1697"/>
    <cellStyle name="40% - Accent6 2 70" xfId="17517"/>
    <cellStyle name="40% - Accent6 2 71" xfId="17768"/>
    <cellStyle name="40% - Accent6 2 72" xfId="18019"/>
    <cellStyle name="40% - Accent6 2 73" xfId="18270"/>
    <cellStyle name="40% - Accent6 2 74" xfId="18521"/>
    <cellStyle name="40% - Accent6 2 75" xfId="18771"/>
    <cellStyle name="40% - Accent6 2 76" xfId="19022"/>
    <cellStyle name="40% - Accent6 2 77" xfId="19273"/>
    <cellStyle name="40% - Accent6 2 78" xfId="19523"/>
    <cellStyle name="40% - Accent6 2 79" xfId="19779"/>
    <cellStyle name="40% - Accent6 2 8" xfId="1954"/>
    <cellStyle name="40% - Accent6 2 80" xfId="20031"/>
    <cellStyle name="40% - Accent6 2 81" xfId="20283"/>
    <cellStyle name="40% - Accent6 2 82" xfId="20535"/>
    <cellStyle name="40% - Accent6 2 83" xfId="20785"/>
    <cellStyle name="40% - Accent6 2 84" xfId="21035"/>
    <cellStyle name="40% - Accent6 2 85" xfId="21286"/>
    <cellStyle name="40% - Accent6 2 86" xfId="21530"/>
    <cellStyle name="40% - Accent6 2 87" xfId="21774"/>
    <cellStyle name="40% - Accent6 2 88" xfId="22015"/>
    <cellStyle name="40% - Accent6 2 9" xfId="2205"/>
    <cellStyle name="40% - Accent6 20" xfId="4367"/>
    <cellStyle name="40% - Accent6 21" xfId="4618"/>
    <cellStyle name="40% - Accent6 22" xfId="4869"/>
    <cellStyle name="40% - Accent6 23" xfId="5120"/>
    <cellStyle name="40% - Accent6 24" xfId="5371"/>
    <cellStyle name="40% - Accent6 25" xfId="5622"/>
    <cellStyle name="40% - Accent6 26" xfId="5873"/>
    <cellStyle name="40% - Accent6 27" xfId="6124"/>
    <cellStyle name="40% - Accent6 28" xfId="6375"/>
    <cellStyle name="40% - Accent6 29" xfId="6626"/>
    <cellStyle name="40% - Accent6 3" xfId="232"/>
    <cellStyle name="40% - Accent6 3 10" xfId="2532"/>
    <cellStyle name="40% - Accent6 3 11" xfId="2783"/>
    <cellStyle name="40% - Accent6 3 12" xfId="3034"/>
    <cellStyle name="40% - Accent6 3 13" xfId="3285"/>
    <cellStyle name="40% - Accent6 3 14" xfId="3536"/>
    <cellStyle name="40% - Accent6 3 15" xfId="3787"/>
    <cellStyle name="40% - Accent6 3 16" xfId="4038"/>
    <cellStyle name="40% - Accent6 3 17" xfId="4289"/>
    <cellStyle name="40% - Accent6 3 18" xfId="4540"/>
    <cellStyle name="40% - Accent6 3 19" xfId="4791"/>
    <cellStyle name="40% - Accent6 3 2" xfId="509"/>
    <cellStyle name="40% - Accent6 3 20" xfId="5042"/>
    <cellStyle name="40% - Accent6 3 21" xfId="5293"/>
    <cellStyle name="40% - Accent6 3 22" xfId="5544"/>
    <cellStyle name="40% - Accent6 3 23" xfId="5795"/>
    <cellStyle name="40% - Accent6 3 24" xfId="6046"/>
    <cellStyle name="40% - Accent6 3 25" xfId="6297"/>
    <cellStyle name="40% - Accent6 3 26" xfId="6548"/>
    <cellStyle name="40% - Accent6 3 27" xfId="6799"/>
    <cellStyle name="40% - Accent6 3 28" xfId="7050"/>
    <cellStyle name="40% - Accent6 3 29" xfId="7301"/>
    <cellStyle name="40% - Accent6 3 3" xfId="759"/>
    <cellStyle name="40% - Accent6 3 30" xfId="7552"/>
    <cellStyle name="40% - Accent6 3 31" xfId="7803"/>
    <cellStyle name="40% - Accent6 3 32" xfId="8054"/>
    <cellStyle name="40% - Accent6 3 33" xfId="8305"/>
    <cellStyle name="40% - Accent6 3 34" xfId="8556"/>
    <cellStyle name="40% - Accent6 3 35" xfId="8807"/>
    <cellStyle name="40% - Accent6 3 36" xfId="9058"/>
    <cellStyle name="40% - Accent6 3 37" xfId="9309"/>
    <cellStyle name="40% - Accent6 3 38" xfId="9560"/>
    <cellStyle name="40% - Accent6 3 39" xfId="9811"/>
    <cellStyle name="40% - Accent6 3 4" xfId="1012"/>
    <cellStyle name="40% - Accent6 3 40" xfId="10062"/>
    <cellStyle name="40% - Accent6 3 41" xfId="10313"/>
    <cellStyle name="40% - Accent6 3 42" xfId="10564"/>
    <cellStyle name="40% - Accent6 3 43" xfId="10815"/>
    <cellStyle name="40% - Accent6 3 44" xfId="11066"/>
    <cellStyle name="40% - Accent6 3 45" xfId="11317"/>
    <cellStyle name="40% - Accent6 3 46" xfId="11568"/>
    <cellStyle name="40% - Accent6 3 47" xfId="11819"/>
    <cellStyle name="40% - Accent6 3 48" xfId="12070"/>
    <cellStyle name="40% - Accent6 3 49" xfId="12321"/>
    <cellStyle name="40% - Accent6 3 5" xfId="1267"/>
    <cellStyle name="40% - Accent6 3 50" xfId="12572"/>
    <cellStyle name="40% - Accent6 3 51" xfId="12823"/>
    <cellStyle name="40% - Accent6 3 52" xfId="13074"/>
    <cellStyle name="40% - Accent6 3 53" xfId="13325"/>
    <cellStyle name="40% - Accent6 3 54" xfId="13576"/>
    <cellStyle name="40% - Accent6 3 55" xfId="13827"/>
    <cellStyle name="40% - Accent6 3 56" xfId="14078"/>
    <cellStyle name="40% - Accent6 3 57" xfId="14329"/>
    <cellStyle name="40% - Accent6 3 58" xfId="14580"/>
    <cellStyle name="40% - Accent6 3 59" xfId="14831"/>
    <cellStyle name="40% - Accent6 3 6" xfId="1520"/>
    <cellStyle name="40% - Accent6 3 60" xfId="15082"/>
    <cellStyle name="40% - Accent6 3 61" xfId="15332"/>
    <cellStyle name="40% - Accent6 3 62" xfId="15583"/>
    <cellStyle name="40% - Accent6 3 63" xfId="15831"/>
    <cellStyle name="40% - Accent6 3 64" xfId="16087"/>
    <cellStyle name="40% - Accent6 3 65" xfId="16338"/>
    <cellStyle name="40% - Accent6 3 66" xfId="16589"/>
    <cellStyle name="40% - Accent6 3 67" xfId="16840"/>
    <cellStyle name="40% - Accent6 3 68" xfId="17091"/>
    <cellStyle name="40% - Accent6 3 69" xfId="17342"/>
    <cellStyle name="40% - Accent6 3 7" xfId="1774"/>
    <cellStyle name="40% - Accent6 3 70" xfId="17593"/>
    <cellStyle name="40% - Accent6 3 71" xfId="17844"/>
    <cellStyle name="40% - Accent6 3 72" xfId="18095"/>
    <cellStyle name="40% - Accent6 3 73" xfId="18346"/>
    <cellStyle name="40% - Accent6 3 74" xfId="18597"/>
    <cellStyle name="40% - Accent6 3 75" xfId="18848"/>
    <cellStyle name="40% - Accent6 3 76" xfId="19098"/>
    <cellStyle name="40% - Accent6 3 77" xfId="19350"/>
    <cellStyle name="40% - Accent6 3 78" xfId="19600"/>
    <cellStyle name="40% - Accent6 3 79" xfId="19856"/>
    <cellStyle name="40% - Accent6 3 8" xfId="2030"/>
    <cellStyle name="40% - Accent6 3 80" xfId="20108"/>
    <cellStyle name="40% - Accent6 3 81" xfId="20360"/>
    <cellStyle name="40% - Accent6 3 82" xfId="20612"/>
    <cellStyle name="40% - Accent6 3 83" xfId="20862"/>
    <cellStyle name="40% - Accent6 3 84" xfId="21112"/>
    <cellStyle name="40% - Accent6 3 85" xfId="21361"/>
    <cellStyle name="40% - Accent6 3 86" xfId="21605"/>
    <cellStyle name="40% - Accent6 3 87" xfId="21849"/>
    <cellStyle name="40% - Accent6 3 88" xfId="22090"/>
    <cellStyle name="40% - Accent6 3 9" xfId="2281"/>
    <cellStyle name="40% - Accent6 30" xfId="6877"/>
    <cellStyle name="40% - Accent6 31" xfId="7128"/>
    <cellStyle name="40% - Accent6 32" xfId="7379"/>
    <cellStyle name="40% - Accent6 33" xfId="7630"/>
    <cellStyle name="40% - Accent6 34" xfId="7881"/>
    <cellStyle name="40% - Accent6 35" xfId="8132"/>
    <cellStyle name="40% - Accent6 36" xfId="8383"/>
    <cellStyle name="40% - Accent6 37" xfId="8634"/>
    <cellStyle name="40% - Accent6 38" xfId="8885"/>
    <cellStyle name="40% - Accent6 39" xfId="9136"/>
    <cellStyle name="40% - Accent6 4" xfId="338"/>
    <cellStyle name="40% - Accent6 40" xfId="9387"/>
    <cellStyle name="40% - Accent6 41" xfId="9638"/>
    <cellStyle name="40% - Accent6 42" xfId="9889"/>
    <cellStyle name="40% - Accent6 43" xfId="10140"/>
    <cellStyle name="40% - Accent6 44" xfId="10391"/>
    <cellStyle name="40% - Accent6 45" xfId="10642"/>
    <cellStyle name="40% - Accent6 46" xfId="10893"/>
    <cellStyle name="40% - Accent6 47" xfId="11144"/>
    <cellStyle name="40% - Accent6 48" xfId="11395"/>
    <cellStyle name="40% - Accent6 49" xfId="11646"/>
    <cellStyle name="40% - Accent6 5" xfId="589"/>
    <cellStyle name="40% - Accent6 50" xfId="11897"/>
    <cellStyle name="40% - Accent6 51" xfId="12148"/>
    <cellStyle name="40% - Accent6 52" xfId="12399"/>
    <cellStyle name="40% - Accent6 53" xfId="12650"/>
    <cellStyle name="40% - Accent6 54" xfId="12901"/>
    <cellStyle name="40% - Accent6 55" xfId="13152"/>
    <cellStyle name="40% - Accent6 56" xfId="13403"/>
    <cellStyle name="40% - Accent6 57" xfId="13654"/>
    <cellStyle name="40% - Accent6 58" xfId="13905"/>
    <cellStyle name="40% - Accent6 59" xfId="14156"/>
    <cellStyle name="40% - Accent6 6" xfId="841"/>
    <cellStyle name="40% - Accent6 60" xfId="14407"/>
    <cellStyle name="40% - Accent6 61" xfId="14658"/>
    <cellStyle name="40% - Accent6 62" xfId="14909"/>
    <cellStyle name="40% - Accent6 63" xfId="15160"/>
    <cellStyle name="40% - Accent6 64" xfId="15410"/>
    <cellStyle name="40% - Accent6 65" xfId="15659"/>
    <cellStyle name="40% - Accent6 66" xfId="15914"/>
    <cellStyle name="40% - Accent6 67" xfId="16165"/>
    <cellStyle name="40% - Accent6 68" xfId="16416"/>
    <cellStyle name="40% - Accent6 69" xfId="16667"/>
    <cellStyle name="40% - Accent6 7" xfId="1096"/>
    <cellStyle name="40% - Accent6 70" xfId="16918"/>
    <cellStyle name="40% - Accent6 71" xfId="17169"/>
    <cellStyle name="40% - Accent6 72" xfId="17420"/>
    <cellStyle name="40% - Accent6 73" xfId="17671"/>
    <cellStyle name="40% - Accent6 74" xfId="17922"/>
    <cellStyle name="40% - Accent6 75" xfId="18173"/>
    <cellStyle name="40% - Accent6 76" xfId="18424"/>
    <cellStyle name="40% - Accent6 77" xfId="18675"/>
    <cellStyle name="40% - Accent6 78" xfId="18926"/>
    <cellStyle name="40% - Accent6 79" xfId="19176"/>
    <cellStyle name="40% - Accent6 8" xfId="1348"/>
    <cellStyle name="40% - Accent6 80" xfId="19427"/>
    <cellStyle name="40% - Accent6 81" xfId="19682"/>
    <cellStyle name="40% - Accent6 82" xfId="19934"/>
    <cellStyle name="40% - Accent6 83" xfId="20186"/>
    <cellStyle name="40% - Accent6 84" xfId="20438"/>
    <cellStyle name="40% - Accent6 85" xfId="20690"/>
    <cellStyle name="40% - Accent6 86" xfId="20940"/>
    <cellStyle name="40% - Accent6 87" xfId="21189"/>
    <cellStyle name="40% - Accent6 88" xfId="21437"/>
    <cellStyle name="40% - Accent6 89" xfId="21681"/>
    <cellStyle name="40% - Accent6 9" xfId="1602"/>
    <cellStyle name="40% - Accent6 90" xfId="21923"/>
    <cellStyle name="40% - Accent6 91" xfId="22237"/>
    <cellStyle name="40% - Accent6 92" xfId="22252"/>
    <cellStyle name="40% - Accent6 93" xfId="24694"/>
    <cellStyle name="40% - Accent6 94" xfId="24695"/>
    <cellStyle name="40% - Accent6 95" xfId="24711"/>
    <cellStyle name="40% - Accent6 96" xfId="24727"/>
    <cellStyle name="40% - Accent6 97" xfId="24743"/>
    <cellStyle name="5pt" xfId="22261"/>
    <cellStyle name="60% - Accent1" xfId="50" builtinId="32" customBuiltin="1"/>
    <cellStyle name="60% - Accent2" xfId="54" builtinId="36" customBuiltin="1"/>
    <cellStyle name="60% - Accent3" xfId="58" builtinId="40" customBuiltin="1"/>
    <cellStyle name="60% - Accent4" xfId="62" builtinId="44" customBuiltin="1"/>
    <cellStyle name="60% - Accent5" xfId="66" builtinId="48" customBuiltin="1"/>
    <cellStyle name="60% - Accent6" xfId="70" builtinId="52" customBuiltin="1"/>
    <cellStyle name="7pt" xfId="22262"/>
    <cellStyle name="Accent1" xfId="47" builtinId="29" customBuiltin="1"/>
    <cellStyle name="Accent2" xfId="51" builtinId="33" customBuiltin="1"/>
    <cellStyle name="Accent3" xfId="55" builtinId="37" customBuiltin="1"/>
    <cellStyle name="Accent4" xfId="59" builtinId="41" customBuiltin="1"/>
    <cellStyle name="Accent5" xfId="63" builtinId="45" customBuiltin="1"/>
    <cellStyle name="Accent6" xfId="67" builtinId="49" customBuiltin="1"/>
    <cellStyle name="Bad" xfId="37" builtinId="27" customBuiltin="1"/>
    <cellStyle name="Calculation" xfId="41" builtinId="22" customBuiltin="1"/>
    <cellStyle name="Check Cell" xfId="43" builtinId="23" customBuiltin="1"/>
    <cellStyle name="Comma" xfId="1" builtinId="3"/>
    <cellStyle name="Comma 2" xfId="24667"/>
    <cellStyle name="Comma_Book2" xfId="2"/>
    <cellStyle name="data" xfId="3"/>
    <cellStyle name="Data1" xfId="4"/>
    <cellStyle name="Explanatory Text" xfId="45" builtinId="53" customBuiltin="1"/>
    <cellStyle name="Good" xfId="36"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5" builtinId="8"/>
    <cellStyle name="Hyperlink 2" xfId="22256"/>
    <cellStyle name="Input" xfId="39" builtinId="20" customBuiltin="1"/>
    <cellStyle name="Linked Cell" xfId="42" builtinId="24" customBuiltin="1"/>
    <cellStyle name="Neutral" xfId="38" builtinId="28" customBuiltin="1"/>
    <cellStyle name="Normal" xfId="0" builtinId="0"/>
    <cellStyle name="Normal 10" xfId="26"/>
    <cellStyle name="Normal 10 10" xfId="1608"/>
    <cellStyle name="Normal 10 11" xfId="1865"/>
    <cellStyle name="Normal 10 12" xfId="2116"/>
    <cellStyle name="Normal 10 13" xfId="2367"/>
    <cellStyle name="Normal 10 14" xfId="2618"/>
    <cellStyle name="Normal 10 15" xfId="2869"/>
    <cellStyle name="Normal 10 16" xfId="3120"/>
    <cellStyle name="Normal 10 17" xfId="3371"/>
    <cellStyle name="Normal 10 18" xfId="3622"/>
    <cellStyle name="Normal 10 19" xfId="3873"/>
    <cellStyle name="Normal 10 2" xfId="99"/>
    <cellStyle name="Normal 10 2 10" xfId="1898"/>
    <cellStyle name="Normal 10 2 11" xfId="2149"/>
    <cellStyle name="Normal 10 2 12" xfId="2400"/>
    <cellStyle name="Normal 10 2 13" xfId="2651"/>
    <cellStyle name="Normal 10 2 14" xfId="2902"/>
    <cellStyle name="Normal 10 2 15" xfId="3153"/>
    <cellStyle name="Normal 10 2 16" xfId="3404"/>
    <cellStyle name="Normal 10 2 17" xfId="3655"/>
    <cellStyle name="Normal 10 2 18" xfId="3906"/>
    <cellStyle name="Normal 10 2 19" xfId="4157"/>
    <cellStyle name="Normal 10 2 2" xfId="193"/>
    <cellStyle name="Normal 10 2 2 10" xfId="2493"/>
    <cellStyle name="Normal 10 2 2 11" xfId="2744"/>
    <cellStyle name="Normal 10 2 2 12" xfId="2995"/>
    <cellStyle name="Normal 10 2 2 13" xfId="3246"/>
    <cellStyle name="Normal 10 2 2 14" xfId="3497"/>
    <cellStyle name="Normal 10 2 2 15" xfId="3748"/>
    <cellStyle name="Normal 10 2 2 16" xfId="3999"/>
    <cellStyle name="Normal 10 2 2 17" xfId="4250"/>
    <cellStyle name="Normal 10 2 2 18" xfId="4501"/>
    <cellStyle name="Normal 10 2 2 19" xfId="4752"/>
    <cellStyle name="Normal 10 2 2 2" xfId="470"/>
    <cellStyle name="Normal 10 2 2 20" xfId="5003"/>
    <cellStyle name="Normal 10 2 2 21" xfId="5254"/>
    <cellStyle name="Normal 10 2 2 22" xfId="5505"/>
    <cellStyle name="Normal 10 2 2 23" xfId="5756"/>
    <cellStyle name="Normal 10 2 2 24" xfId="6007"/>
    <cellStyle name="Normal 10 2 2 25" xfId="6258"/>
    <cellStyle name="Normal 10 2 2 26" xfId="6509"/>
    <cellStyle name="Normal 10 2 2 27" xfId="6760"/>
    <cellStyle name="Normal 10 2 2 28" xfId="7011"/>
    <cellStyle name="Normal 10 2 2 29" xfId="7262"/>
    <cellStyle name="Normal 10 2 2 3" xfId="720"/>
    <cellStyle name="Normal 10 2 2 30" xfId="7513"/>
    <cellStyle name="Normal 10 2 2 31" xfId="7764"/>
    <cellStyle name="Normal 10 2 2 32" xfId="8015"/>
    <cellStyle name="Normal 10 2 2 33" xfId="8266"/>
    <cellStyle name="Normal 10 2 2 34" xfId="8517"/>
    <cellStyle name="Normal 10 2 2 35" xfId="8768"/>
    <cellStyle name="Normal 10 2 2 36" xfId="9019"/>
    <cellStyle name="Normal 10 2 2 37" xfId="9270"/>
    <cellStyle name="Normal 10 2 2 38" xfId="9521"/>
    <cellStyle name="Normal 10 2 2 39" xfId="9772"/>
    <cellStyle name="Normal 10 2 2 4" xfId="973"/>
    <cellStyle name="Normal 10 2 2 40" xfId="10023"/>
    <cellStyle name="Normal 10 2 2 41" xfId="10274"/>
    <cellStyle name="Normal 10 2 2 42" xfId="10525"/>
    <cellStyle name="Normal 10 2 2 43" xfId="10776"/>
    <cellStyle name="Normal 10 2 2 44" xfId="11027"/>
    <cellStyle name="Normal 10 2 2 45" xfId="11278"/>
    <cellStyle name="Normal 10 2 2 46" xfId="11529"/>
    <cellStyle name="Normal 10 2 2 47" xfId="11780"/>
    <cellStyle name="Normal 10 2 2 48" xfId="12031"/>
    <cellStyle name="Normal 10 2 2 49" xfId="12282"/>
    <cellStyle name="Normal 10 2 2 5" xfId="1228"/>
    <cellStyle name="Normal 10 2 2 50" xfId="12533"/>
    <cellStyle name="Normal 10 2 2 51" xfId="12784"/>
    <cellStyle name="Normal 10 2 2 52" xfId="13035"/>
    <cellStyle name="Normal 10 2 2 53" xfId="13286"/>
    <cellStyle name="Normal 10 2 2 54" xfId="13537"/>
    <cellStyle name="Normal 10 2 2 55" xfId="13788"/>
    <cellStyle name="Normal 10 2 2 56" xfId="14039"/>
    <cellStyle name="Normal 10 2 2 57" xfId="14290"/>
    <cellStyle name="Normal 10 2 2 58" xfId="14541"/>
    <cellStyle name="Normal 10 2 2 59" xfId="14792"/>
    <cellStyle name="Normal 10 2 2 6" xfId="1481"/>
    <cellStyle name="Normal 10 2 2 60" xfId="15043"/>
    <cellStyle name="Normal 10 2 2 61" xfId="15293"/>
    <cellStyle name="Normal 10 2 2 62" xfId="15544"/>
    <cellStyle name="Normal 10 2 2 63" xfId="15792"/>
    <cellStyle name="Normal 10 2 2 64" xfId="16048"/>
    <cellStyle name="Normal 10 2 2 65" xfId="16299"/>
    <cellStyle name="Normal 10 2 2 66" xfId="16550"/>
    <cellStyle name="Normal 10 2 2 67" xfId="16801"/>
    <cellStyle name="Normal 10 2 2 68" xfId="17052"/>
    <cellStyle name="Normal 10 2 2 69" xfId="17303"/>
    <cellStyle name="Normal 10 2 2 7" xfId="1735"/>
    <cellStyle name="Normal 10 2 2 70" xfId="17554"/>
    <cellStyle name="Normal 10 2 2 71" xfId="17805"/>
    <cellStyle name="Normal 10 2 2 72" xfId="18056"/>
    <cellStyle name="Normal 10 2 2 73" xfId="18307"/>
    <cellStyle name="Normal 10 2 2 74" xfId="18558"/>
    <cellStyle name="Normal 10 2 2 75" xfId="18809"/>
    <cellStyle name="Normal 10 2 2 76" xfId="19059"/>
    <cellStyle name="Normal 10 2 2 77" xfId="19311"/>
    <cellStyle name="Normal 10 2 2 78" xfId="19561"/>
    <cellStyle name="Normal 10 2 2 79" xfId="19817"/>
    <cellStyle name="Normal 10 2 2 8" xfId="1991"/>
    <cellStyle name="Normal 10 2 2 80" xfId="20069"/>
    <cellStyle name="Normal 10 2 2 81" xfId="20321"/>
    <cellStyle name="Normal 10 2 2 82" xfId="20573"/>
    <cellStyle name="Normal 10 2 2 83" xfId="20823"/>
    <cellStyle name="Normal 10 2 2 84" xfId="21073"/>
    <cellStyle name="Normal 10 2 2 85" xfId="21322"/>
    <cellStyle name="Normal 10 2 2 86" xfId="21566"/>
    <cellStyle name="Normal 10 2 2 87" xfId="21810"/>
    <cellStyle name="Normal 10 2 2 88" xfId="22051"/>
    <cellStyle name="Normal 10 2 2 9" xfId="2242"/>
    <cellStyle name="Normal 10 2 20" xfId="4408"/>
    <cellStyle name="Normal 10 2 21" xfId="4659"/>
    <cellStyle name="Normal 10 2 22" xfId="4910"/>
    <cellStyle name="Normal 10 2 23" xfId="5161"/>
    <cellStyle name="Normal 10 2 24" xfId="5412"/>
    <cellStyle name="Normal 10 2 25" xfId="5663"/>
    <cellStyle name="Normal 10 2 26" xfId="5914"/>
    <cellStyle name="Normal 10 2 27" xfId="6165"/>
    <cellStyle name="Normal 10 2 28" xfId="6416"/>
    <cellStyle name="Normal 10 2 29" xfId="6667"/>
    <cellStyle name="Normal 10 2 3" xfId="269"/>
    <cellStyle name="Normal 10 2 3 10" xfId="2569"/>
    <cellStyle name="Normal 10 2 3 11" xfId="2820"/>
    <cellStyle name="Normal 10 2 3 12" xfId="3071"/>
    <cellStyle name="Normal 10 2 3 13" xfId="3322"/>
    <cellStyle name="Normal 10 2 3 14" xfId="3573"/>
    <cellStyle name="Normal 10 2 3 15" xfId="3824"/>
    <cellStyle name="Normal 10 2 3 16" xfId="4075"/>
    <cellStyle name="Normal 10 2 3 17" xfId="4326"/>
    <cellStyle name="Normal 10 2 3 18" xfId="4577"/>
    <cellStyle name="Normal 10 2 3 19" xfId="4828"/>
    <cellStyle name="Normal 10 2 3 2" xfId="544"/>
    <cellStyle name="Normal 10 2 3 20" xfId="5079"/>
    <cellStyle name="Normal 10 2 3 21" xfId="5330"/>
    <cellStyle name="Normal 10 2 3 22" xfId="5581"/>
    <cellStyle name="Normal 10 2 3 23" xfId="5832"/>
    <cellStyle name="Normal 10 2 3 24" xfId="6083"/>
    <cellStyle name="Normal 10 2 3 25" xfId="6334"/>
    <cellStyle name="Normal 10 2 3 26" xfId="6585"/>
    <cellStyle name="Normal 10 2 3 27" xfId="6836"/>
    <cellStyle name="Normal 10 2 3 28" xfId="7087"/>
    <cellStyle name="Normal 10 2 3 29" xfId="7338"/>
    <cellStyle name="Normal 10 2 3 3" xfId="794"/>
    <cellStyle name="Normal 10 2 3 30" xfId="7589"/>
    <cellStyle name="Normal 10 2 3 31" xfId="7840"/>
    <cellStyle name="Normal 10 2 3 32" xfId="8091"/>
    <cellStyle name="Normal 10 2 3 33" xfId="8342"/>
    <cellStyle name="Normal 10 2 3 34" xfId="8593"/>
    <cellStyle name="Normal 10 2 3 35" xfId="8844"/>
    <cellStyle name="Normal 10 2 3 36" xfId="9095"/>
    <cellStyle name="Normal 10 2 3 37" xfId="9346"/>
    <cellStyle name="Normal 10 2 3 38" xfId="9597"/>
    <cellStyle name="Normal 10 2 3 39" xfId="9848"/>
    <cellStyle name="Normal 10 2 3 4" xfId="1046"/>
    <cellStyle name="Normal 10 2 3 40" xfId="10099"/>
    <cellStyle name="Normal 10 2 3 41" xfId="10350"/>
    <cellStyle name="Normal 10 2 3 42" xfId="10601"/>
    <cellStyle name="Normal 10 2 3 43" xfId="10852"/>
    <cellStyle name="Normal 10 2 3 44" xfId="11103"/>
    <cellStyle name="Normal 10 2 3 45" xfId="11354"/>
    <cellStyle name="Normal 10 2 3 46" xfId="11605"/>
    <cellStyle name="Normal 10 2 3 47" xfId="11856"/>
    <cellStyle name="Normal 10 2 3 48" xfId="12107"/>
    <cellStyle name="Normal 10 2 3 49" xfId="12358"/>
    <cellStyle name="Normal 10 2 3 5" xfId="1302"/>
    <cellStyle name="Normal 10 2 3 50" xfId="12609"/>
    <cellStyle name="Normal 10 2 3 51" xfId="12860"/>
    <cellStyle name="Normal 10 2 3 52" xfId="13111"/>
    <cellStyle name="Normal 10 2 3 53" xfId="13362"/>
    <cellStyle name="Normal 10 2 3 54" xfId="13613"/>
    <cellStyle name="Normal 10 2 3 55" xfId="13864"/>
    <cellStyle name="Normal 10 2 3 56" xfId="14115"/>
    <cellStyle name="Normal 10 2 3 57" xfId="14366"/>
    <cellStyle name="Normal 10 2 3 58" xfId="14617"/>
    <cellStyle name="Normal 10 2 3 59" xfId="14868"/>
    <cellStyle name="Normal 10 2 3 6" xfId="1557"/>
    <cellStyle name="Normal 10 2 3 60" xfId="15119"/>
    <cellStyle name="Normal 10 2 3 61" xfId="15369"/>
    <cellStyle name="Normal 10 2 3 62" xfId="15618"/>
    <cellStyle name="Normal 10 2 3 63" xfId="15868"/>
    <cellStyle name="Normal 10 2 3 64" xfId="16124"/>
    <cellStyle name="Normal 10 2 3 65" xfId="16375"/>
    <cellStyle name="Normal 10 2 3 66" xfId="16626"/>
    <cellStyle name="Normal 10 2 3 67" xfId="16877"/>
    <cellStyle name="Normal 10 2 3 68" xfId="17128"/>
    <cellStyle name="Normal 10 2 3 69" xfId="17379"/>
    <cellStyle name="Normal 10 2 3 7" xfId="1810"/>
    <cellStyle name="Normal 10 2 3 70" xfId="17630"/>
    <cellStyle name="Normal 10 2 3 71" xfId="17881"/>
    <cellStyle name="Normal 10 2 3 72" xfId="18132"/>
    <cellStyle name="Normal 10 2 3 73" xfId="18383"/>
    <cellStyle name="Normal 10 2 3 74" xfId="18634"/>
    <cellStyle name="Normal 10 2 3 75" xfId="18885"/>
    <cellStyle name="Normal 10 2 3 76" xfId="19135"/>
    <cellStyle name="Normal 10 2 3 77" xfId="19386"/>
    <cellStyle name="Normal 10 2 3 78" xfId="19637"/>
    <cellStyle name="Normal 10 2 3 79" xfId="19893"/>
    <cellStyle name="Normal 10 2 3 8" xfId="2067"/>
    <cellStyle name="Normal 10 2 3 80" xfId="20145"/>
    <cellStyle name="Normal 10 2 3 81" xfId="20397"/>
    <cellStyle name="Normal 10 2 3 82" xfId="20649"/>
    <cellStyle name="Normal 10 2 3 83" xfId="20899"/>
    <cellStyle name="Normal 10 2 3 84" xfId="21148"/>
    <cellStyle name="Normal 10 2 3 85" xfId="21396"/>
    <cellStyle name="Normal 10 2 3 86" xfId="21640"/>
    <cellStyle name="Normal 10 2 3 87" xfId="21882"/>
    <cellStyle name="Normal 10 2 3 88" xfId="22123"/>
    <cellStyle name="Normal 10 2 3 9" xfId="2318"/>
    <cellStyle name="Normal 10 2 30" xfId="6918"/>
    <cellStyle name="Normal 10 2 31" xfId="7169"/>
    <cellStyle name="Normal 10 2 32" xfId="7420"/>
    <cellStyle name="Normal 10 2 33" xfId="7671"/>
    <cellStyle name="Normal 10 2 34" xfId="7922"/>
    <cellStyle name="Normal 10 2 35" xfId="8173"/>
    <cellStyle name="Normal 10 2 36" xfId="8424"/>
    <cellStyle name="Normal 10 2 37" xfId="8675"/>
    <cellStyle name="Normal 10 2 38" xfId="8926"/>
    <cellStyle name="Normal 10 2 39" xfId="9177"/>
    <cellStyle name="Normal 10 2 4" xfId="378"/>
    <cellStyle name="Normal 10 2 40" xfId="9428"/>
    <cellStyle name="Normal 10 2 41" xfId="9679"/>
    <cellStyle name="Normal 10 2 42" xfId="9930"/>
    <cellStyle name="Normal 10 2 43" xfId="10181"/>
    <cellStyle name="Normal 10 2 44" xfId="10432"/>
    <cellStyle name="Normal 10 2 45" xfId="10683"/>
    <cellStyle name="Normal 10 2 46" xfId="10934"/>
    <cellStyle name="Normal 10 2 47" xfId="11185"/>
    <cellStyle name="Normal 10 2 48" xfId="11436"/>
    <cellStyle name="Normal 10 2 49" xfId="11687"/>
    <cellStyle name="Normal 10 2 5" xfId="627"/>
    <cellStyle name="Normal 10 2 50" xfId="11938"/>
    <cellStyle name="Normal 10 2 51" xfId="12189"/>
    <cellStyle name="Normal 10 2 52" xfId="12440"/>
    <cellStyle name="Normal 10 2 53" xfId="12691"/>
    <cellStyle name="Normal 10 2 54" xfId="12942"/>
    <cellStyle name="Normal 10 2 55" xfId="13193"/>
    <cellStyle name="Normal 10 2 56" xfId="13444"/>
    <cellStyle name="Normal 10 2 57" xfId="13695"/>
    <cellStyle name="Normal 10 2 58" xfId="13946"/>
    <cellStyle name="Normal 10 2 59" xfId="14197"/>
    <cellStyle name="Normal 10 2 6" xfId="880"/>
    <cellStyle name="Normal 10 2 60" xfId="14448"/>
    <cellStyle name="Normal 10 2 61" xfId="14699"/>
    <cellStyle name="Normal 10 2 62" xfId="14949"/>
    <cellStyle name="Normal 10 2 63" xfId="15200"/>
    <cellStyle name="Normal 10 2 64" xfId="15451"/>
    <cellStyle name="Normal 10 2 65" xfId="15698"/>
    <cellStyle name="Normal 10 2 66" xfId="15955"/>
    <cellStyle name="Normal 10 2 67" xfId="16206"/>
    <cellStyle name="Normal 10 2 68" xfId="16457"/>
    <cellStyle name="Normal 10 2 69" xfId="16708"/>
    <cellStyle name="Normal 10 2 7" xfId="1135"/>
    <cellStyle name="Normal 10 2 70" xfId="16959"/>
    <cellStyle name="Normal 10 2 71" xfId="17210"/>
    <cellStyle name="Normal 10 2 72" xfId="17461"/>
    <cellStyle name="Normal 10 2 73" xfId="17712"/>
    <cellStyle name="Normal 10 2 74" xfId="17963"/>
    <cellStyle name="Normal 10 2 75" xfId="18214"/>
    <cellStyle name="Normal 10 2 76" xfId="18465"/>
    <cellStyle name="Normal 10 2 77" xfId="18715"/>
    <cellStyle name="Normal 10 2 78" xfId="18966"/>
    <cellStyle name="Normal 10 2 79" xfId="19217"/>
    <cellStyle name="Normal 10 2 8" xfId="1388"/>
    <cellStyle name="Normal 10 2 80" xfId="19467"/>
    <cellStyle name="Normal 10 2 81" xfId="19723"/>
    <cellStyle name="Normal 10 2 82" xfId="19975"/>
    <cellStyle name="Normal 10 2 83" xfId="20227"/>
    <cellStyle name="Normal 10 2 84" xfId="20479"/>
    <cellStyle name="Normal 10 2 85" xfId="20729"/>
    <cellStyle name="Normal 10 2 86" xfId="20979"/>
    <cellStyle name="Normal 10 2 87" xfId="21230"/>
    <cellStyle name="Normal 10 2 88" xfId="21474"/>
    <cellStyle name="Normal 10 2 89" xfId="21718"/>
    <cellStyle name="Normal 10 2 9" xfId="1641"/>
    <cellStyle name="Normal 10 2 90" xfId="21959"/>
    <cellStyle name="Normal 10 2_XI Introductory Section (version 3)" xfId="22263"/>
    <cellStyle name="Normal 10 20" xfId="4124"/>
    <cellStyle name="Normal 10 21" xfId="4375"/>
    <cellStyle name="Normal 10 22" xfId="4626"/>
    <cellStyle name="Normal 10 23" xfId="4877"/>
    <cellStyle name="Normal 10 24" xfId="5128"/>
    <cellStyle name="Normal 10 25" xfId="5379"/>
    <cellStyle name="Normal 10 26" xfId="5630"/>
    <cellStyle name="Normal 10 27" xfId="5881"/>
    <cellStyle name="Normal 10 28" xfId="6132"/>
    <cellStyle name="Normal 10 29" xfId="6383"/>
    <cellStyle name="Normal 10 3" xfId="160"/>
    <cellStyle name="Normal 10 3 10" xfId="2460"/>
    <cellStyle name="Normal 10 3 11" xfId="2711"/>
    <cellStyle name="Normal 10 3 12" xfId="2962"/>
    <cellStyle name="Normal 10 3 13" xfId="3213"/>
    <cellStyle name="Normal 10 3 14" xfId="3464"/>
    <cellStyle name="Normal 10 3 15" xfId="3715"/>
    <cellStyle name="Normal 10 3 16" xfId="3966"/>
    <cellStyle name="Normal 10 3 17" xfId="4217"/>
    <cellStyle name="Normal 10 3 18" xfId="4468"/>
    <cellStyle name="Normal 10 3 19" xfId="4719"/>
    <cellStyle name="Normal 10 3 2" xfId="437"/>
    <cellStyle name="Normal 10 3 20" xfId="4970"/>
    <cellStyle name="Normal 10 3 21" xfId="5221"/>
    <cellStyle name="Normal 10 3 22" xfId="5472"/>
    <cellStyle name="Normal 10 3 23" xfId="5723"/>
    <cellStyle name="Normal 10 3 24" xfId="5974"/>
    <cellStyle name="Normal 10 3 25" xfId="6225"/>
    <cellStyle name="Normal 10 3 26" xfId="6476"/>
    <cellStyle name="Normal 10 3 27" xfId="6727"/>
    <cellStyle name="Normal 10 3 28" xfId="6978"/>
    <cellStyle name="Normal 10 3 29" xfId="7229"/>
    <cellStyle name="Normal 10 3 3" xfId="687"/>
    <cellStyle name="Normal 10 3 30" xfId="7480"/>
    <cellStyle name="Normal 10 3 31" xfId="7731"/>
    <cellStyle name="Normal 10 3 32" xfId="7982"/>
    <cellStyle name="Normal 10 3 33" xfId="8233"/>
    <cellStyle name="Normal 10 3 34" xfId="8484"/>
    <cellStyle name="Normal 10 3 35" xfId="8735"/>
    <cellStyle name="Normal 10 3 36" xfId="8986"/>
    <cellStyle name="Normal 10 3 37" xfId="9237"/>
    <cellStyle name="Normal 10 3 38" xfId="9488"/>
    <cellStyle name="Normal 10 3 39" xfId="9739"/>
    <cellStyle name="Normal 10 3 4" xfId="940"/>
    <cellStyle name="Normal 10 3 40" xfId="9990"/>
    <cellStyle name="Normal 10 3 41" xfId="10241"/>
    <cellStyle name="Normal 10 3 42" xfId="10492"/>
    <cellStyle name="Normal 10 3 43" xfId="10743"/>
    <cellStyle name="Normal 10 3 44" xfId="10994"/>
    <cellStyle name="Normal 10 3 45" xfId="11245"/>
    <cellStyle name="Normal 10 3 46" xfId="11496"/>
    <cellStyle name="Normal 10 3 47" xfId="11747"/>
    <cellStyle name="Normal 10 3 48" xfId="11998"/>
    <cellStyle name="Normal 10 3 49" xfId="12249"/>
    <cellStyle name="Normal 10 3 5" xfId="1195"/>
    <cellStyle name="Normal 10 3 50" xfId="12500"/>
    <cellStyle name="Normal 10 3 51" xfId="12751"/>
    <cellStyle name="Normal 10 3 52" xfId="13002"/>
    <cellStyle name="Normal 10 3 53" xfId="13253"/>
    <cellStyle name="Normal 10 3 54" xfId="13504"/>
    <cellStyle name="Normal 10 3 55" xfId="13755"/>
    <cellStyle name="Normal 10 3 56" xfId="14006"/>
    <cellStyle name="Normal 10 3 57" xfId="14257"/>
    <cellStyle name="Normal 10 3 58" xfId="14508"/>
    <cellStyle name="Normal 10 3 59" xfId="14759"/>
    <cellStyle name="Normal 10 3 6" xfId="1448"/>
    <cellStyle name="Normal 10 3 60" xfId="15010"/>
    <cellStyle name="Normal 10 3 61" xfId="15260"/>
    <cellStyle name="Normal 10 3 62" xfId="15511"/>
    <cellStyle name="Normal 10 3 63" xfId="15759"/>
    <cellStyle name="Normal 10 3 64" xfId="16015"/>
    <cellStyle name="Normal 10 3 65" xfId="16266"/>
    <cellStyle name="Normal 10 3 66" xfId="16517"/>
    <cellStyle name="Normal 10 3 67" xfId="16768"/>
    <cellStyle name="Normal 10 3 68" xfId="17019"/>
    <cellStyle name="Normal 10 3 69" xfId="17270"/>
    <cellStyle name="Normal 10 3 7" xfId="1702"/>
    <cellStyle name="Normal 10 3 70" xfId="17521"/>
    <cellStyle name="Normal 10 3 71" xfId="17772"/>
    <cellStyle name="Normal 10 3 72" xfId="18023"/>
    <cellStyle name="Normal 10 3 73" xfId="18274"/>
    <cellStyle name="Normal 10 3 74" xfId="18525"/>
    <cellStyle name="Normal 10 3 75" xfId="18776"/>
    <cellStyle name="Normal 10 3 76" xfId="19026"/>
    <cellStyle name="Normal 10 3 77" xfId="19278"/>
    <cellStyle name="Normal 10 3 78" xfId="19528"/>
    <cellStyle name="Normal 10 3 79" xfId="19784"/>
    <cellStyle name="Normal 10 3 8" xfId="1958"/>
    <cellStyle name="Normal 10 3 80" xfId="20036"/>
    <cellStyle name="Normal 10 3 81" xfId="20288"/>
    <cellStyle name="Normal 10 3 82" xfId="20540"/>
    <cellStyle name="Normal 10 3 83" xfId="20790"/>
    <cellStyle name="Normal 10 3 84" xfId="21040"/>
    <cellStyle name="Normal 10 3 85" xfId="21289"/>
    <cellStyle name="Normal 10 3 86" xfId="21533"/>
    <cellStyle name="Normal 10 3 87" xfId="21777"/>
    <cellStyle name="Normal 10 3 88" xfId="22018"/>
    <cellStyle name="Normal 10 3 9" xfId="2209"/>
    <cellStyle name="Normal 10 30" xfId="6634"/>
    <cellStyle name="Normal 10 31" xfId="6885"/>
    <cellStyle name="Normal 10 31 2" xfId="22264"/>
    <cellStyle name="Normal 10 32" xfId="7136"/>
    <cellStyle name="Normal 10 33" xfId="7387"/>
    <cellStyle name="Normal 10 34" xfId="7638"/>
    <cellStyle name="Normal 10 35" xfId="7889"/>
    <cellStyle name="Normal 10 36" xfId="8140"/>
    <cellStyle name="Normal 10 37" xfId="8391"/>
    <cellStyle name="Normal 10 38" xfId="8642"/>
    <cellStyle name="Normal 10 39" xfId="8893"/>
    <cellStyle name="Normal 10 4" xfId="236"/>
    <cellStyle name="Normal 10 4 10" xfId="2536"/>
    <cellStyle name="Normal 10 4 11" xfId="2787"/>
    <cellStyle name="Normal 10 4 12" xfId="3038"/>
    <cellStyle name="Normal 10 4 13" xfId="3289"/>
    <cellStyle name="Normal 10 4 14" xfId="3540"/>
    <cellStyle name="Normal 10 4 15" xfId="3791"/>
    <cellStyle name="Normal 10 4 16" xfId="4042"/>
    <cellStyle name="Normal 10 4 17" xfId="4293"/>
    <cellStyle name="Normal 10 4 18" xfId="4544"/>
    <cellStyle name="Normal 10 4 19" xfId="4795"/>
    <cellStyle name="Normal 10 4 2" xfId="512"/>
    <cellStyle name="Normal 10 4 20" xfId="5046"/>
    <cellStyle name="Normal 10 4 21" xfId="5297"/>
    <cellStyle name="Normal 10 4 22" xfId="5548"/>
    <cellStyle name="Normal 10 4 23" xfId="5799"/>
    <cellStyle name="Normal 10 4 24" xfId="6050"/>
    <cellStyle name="Normal 10 4 25" xfId="6301"/>
    <cellStyle name="Normal 10 4 26" xfId="6552"/>
    <cellStyle name="Normal 10 4 27" xfId="6803"/>
    <cellStyle name="Normal 10 4 28" xfId="7054"/>
    <cellStyle name="Normal 10 4 29" xfId="7305"/>
    <cellStyle name="Normal 10 4 3" xfId="762"/>
    <cellStyle name="Normal 10 4 30" xfId="7556"/>
    <cellStyle name="Normal 10 4 31" xfId="7807"/>
    <cellStyle name="Normal 10 4 32" xfId="8058"/>
    <cellStyle name="Normal 10 4 33" xfId="8309"/>
    <cellStyle name="Normal 10 4 34" xfId="8560"/>
    <cellStyle name="Normal 10 4 35" xfId="8811"/>
    <cellStyle name="Normal 10 4 36" xfId="9062"/>
    <cellStyle name="Normal 10 4 37" xfId="9313"/>
    <cellStyle name="Normal 10 4 38" xfId="9564"/>
    <cellStyle name="Normal 10 4 39" xfId="9815"/>
    <cellStyle name="Normal 10 4 4" xfId="1014"/>
    <cellStyle name="Normal 10 4 40" xfId="10066"/>
    <cellStyle name="Normal 10 4 41" xfId="10317"/>
    <cellStyle name="Normal 10 4 42" xfId="10568"/>
    <cellStyle name="Normal 10 4 43" xfId="10819"/>
    <cellStyle name="Normal 10 4 44" xfId="11070"/>
    <cellStyle name="Normal 10 4 45" xfId="11321"/>
    <cellStyle name="Normal 10 4 46" xfId="11572"/>
    <cellStyle name="Normal 10 4 47" xfId="11823"/>
    <cellStyle name="Normal 10 4 48" xfId="12074"/>
    <cellStyle name="Normal 10 4 49" xfId="12325"/>
    <cellStyle name="Normal 10 4 5" xfId="1270"/>
    <cellStyle name="Normal 10 4 50" xfId="12576"/>
    <cellStyle name="Normal 10 4 51" xfId="12827"/>
    <cellStyle name="Normal 10 4 52" xfId="13078"/>
    <cellStyle name="Normal 10 4 53" xfId="13329"/>
    <cellStyle name="Normal 10 4 54" xfId="13580"/>
    <cellStyle name="Normal 10 4 55" xfId="13831"/>
    <cellStyle name="Normal 10 4 56" xfId="14082"/>
    <cellStyle name="Normal 10 4 57" xfId="14333"/>
    <cellStyle name="Normal 10 4 58" xfId="14584"/>
    <cellStyle name="Normal 10 4 59" xfId="14835"/>
    <cellStyle name="Normal 10 4 6" xfId="1524"/>
    <cellStyle name="Normal 10 4 60" xfId="15086"/>
    <cellStyle name="Normal 10 4 61" xfId="15336"/>
    <cellStyle name="Normal 10 4 62" xfId="15586"/>
    <cellStyle name="Normal 10 4 63" xfId="15835"/>
    <cellStyle name="Normal 10 4 64" xfId="16091"/>
    <cellStyle name="Normal 10 4 65" xfId="16342"/>
    <cellStyle name="Normal 10 4 66" xfId="16593"/>
    <cellStyle name="Normal 10 4 67" xfId="16844"/>
    <cellStyle name="Normal 10 4 68" xfId="17095"/>
    <cellStyle name="Normal 10 4 69" xfId="17346"/>
    <cellStyle name="Normal 10 4 7" xfId="1777"/>
    <cellStyle name="Normal 10 4 70" xfId="17597"/>
    <cellStyle name="Normal 10 4 71" xfId="17848"/>
    <cellStyle name="Normal 10 4 72" xfId="18099"/>
    <cellStyle name="Normal 10 4 73" xfId="18350"/>
    <cellStyle name="Normal 10 4 74" xfId="18601"/>
    <cellStyle name="Normal 10 4 75" xfId="18852"/>
    <cellStyle name="Normal 10 4 76" xfId="19102"/>
    <cellStyle name="Normal 10 4 77" xfId="19354"/>
    <cellStyle name="Normal 10 4 78" xfId="19604"/>
    <cellStyle name="Normal 10 4 79" xfId="19860"/>
    <cellStyle name="Normal 10 4 8" xfId="2034"/>
    <cellStyle name="Normal 10 4 80" xfId="20112"/>
    <cellStyle name="Normal 10 4 81" xfId="20364"/>
    <cellStyle name="Normal 10 4 82" xfId="20616"/>
    <cellStyle name="Normal 10 4 83" xfId="20866"/>
    <cellStyle name="Normal 10 4 84" xfId="21116"/>
    <cellStyle name="Normal 10 4 85" xfId="21364"/>
    <cellStyle name="Normal 10 4 86" xfId="21608"/>
    <cellStyle name="Normal 10 4 87" xfId="21851"/>
    <cellStyle name="Normal 10 4 88" xfId="22092"/>
    <cellStyle name="Normal 10 4 9" xfId="2285"/>
    <cellStyle name="Normal 10 40" xfId="9144"/>
    <cellStyle name="Normal 10 41" xfId="9395"/>
    <cellStyle name="Normal 10 42" xfId="9646"/>
    <cellStyle name="Normal 10 43" xfId="9897"/>
    <cellStyle name="Normal 10 44" xfId="10148"/>
    <cellStyle name="Normal 10 45" xfId="10399"/>
    <cellStyle name="Normal 10 46" xfId="10650"/>
    <cellStyle name="Normal 10 47" xfId="10901"/>
    <cellStyle name="Normal 10 48" xfId="11152"/>
    <cellStyle name="Normal 10 49" xfId="11403"/>
    <cellStyle name="Normal 10 5" xfId="345"/>
    <cellStyle name="Normal 10 50" xfId="11654"/>
    <cellStyle name="Normal 10 51" xfId="11905"/>
    <cellStyle name="Normal 10 52" xfId="12156"/>
    <cellStyle name="Normal 10 53" xfId="12407"/>
    <cellStyle name="Normal 10 54" xfId="12658"/>
    <cellStyle name="Normal 10 55" xfId="12909"/>
    <cellStyle name="Normal 10 56" xfId="13160"/>
    <cellStyle name="Normal 10 57" xfId="13411"/>
    <cellStyle name="Normal 10 58" xfId="13662"/>
    <cellStyle name="Normal 10 59" xfId="13913"/>
    <cellStyle name="Normal 10 6" xfId="594"/>
    <cellStyle name="Normal 10 60" xfId="14164"/>
    <cellStyle name="Normal 10 61" xfId="14415"/>
    <cellStyle name="Normal 10 62" xfId="14666"/>
    <cellStyle name="Normal 10 63" xfId="14916"/>
    <cellStyle name="Normal 10 64" xfId="15167"/>
    <cellStyle name="Normal 10 65" xfId="15418"/>
    <cellStyle name="Normal 10 66" xfId="15665"/>
    <cellStyle name="Normal 10 67" xfId="15922"/>
    <cellStyle name="Normal 10 68" xfId="16173"/>
    <cellStyle name="Normal 10 69" xfId="16424"/>
    <cellStyle name="Normal 10 7" xfId="847"/>
    <cellStyle name="Normal 10 70" xfId="16675"/>
    <cellStyle name="Normal 10 71" xfId="16926"/>
    <cellStyle name="Normal 10 72" xfId="17177"/>
    <cellStyle name="Normal 10 73" xfId="17428"/>
    <cellStyle name="Normal 10 74" xfId="17679"/>
    <cellStyle name="Normal 10 75" xfId="17930"/>
    <cellStyle name="Normal 10 76" xfId="18181"/>
    <cellStyle name="Normal 10 77" xfId="18432"/>
    <cellStyle name="Normal 10 78" xfId="18682"/>
    <cellStyle name="Normal 10 79" xfId="18933"/>
    <cellStyle name="Normal 10 8" xfId="1102"/>
    <cellStyle name="Normal 10 80" xfId="19184"/>
    <cellStyle name="Normal 10 81" xfId="19434"/>
    <cellStyle name="Normal 10 82" xfId="19690"/>
    <cellStyle name="Normal 10 83" xfId="19942"/>
    <cellStyle name="Normal 10 84" xfId="20194"/>
    <cellStyle name="Normal 10 85" xfId="20446"/>
    <cellStyle name="Normal 10 86" xfId="20696"/>
    <cellStyle name="Normal 10 87" xfId="20946"/>
    <cellStyle name="Normal 10 88" xfId="21197"/>
    <cellStyle name="Normal 10 89" xfId="21441"/>
    <cellStyle name="Normal 10 9" xfId="1355"/>
    <cellStyle name="Normal 10 90" xfId="21685"/>
    <cellStyle name="Normal 10 91" xfId="21926"/>
    <cellStyle name="Normal 10_XI Introductory Section (version 3)" xfId="22265"/>
    <cellStyle name="Normal 100" xfId="22186"/>
    <cellStyle name="Normal 101" xfId="22187"/>
    <cellStyle name="Normal 102" xfId="22266"/>
    <cellStyle name="Normal 103" xfId="24678"/>
    <cellStyle name="Normal 104" xfId="22267"/>
    <cellStyle name="Normal 105" xfId="91"/>
    <cellStyle name="Normal 105 10" xfId="1633"/>
    <cellStyle name="Normal 105 11" xfId="1890"/>
    <cellStyle name="Normal 105 12" xfId="2141"/>
    <cellStyle name="Normal 105 13" xfId="2392"/>
    <cellStyle name="Normal 105 14" xfId="2643"/>
    <cellStyle name="Normal 105 15" xfId="2894"/>
    <cellStyle name="Normal 105 16" xfId="3145"/>
    <cellStyle name="Normal 105 17" xfId="3396"/>
    <cellStyle name="Normal 105 18" xfId="3647"/>
    <cellStyle name="Normal 105 19" xfId="3898"/>
    <cellStyle name="Normal 105 2" xfId="124"/>
    <cellStyle name="Normal 105 2 10" xfId="1923"/>
    <cellStyle name="Normal 105 2 11" xfId="2174"/>
    <cellStyle name="Normal 105 2 12" xfId="2425"/>
    <cellStyle name="Normal 105 2 13" xfId="2676"/>
    <cellStyle name="Normal 105 2 14" xfId="2927"/>
    <cellStyle name="Normal 105 2 15" xfId="3178"/>
    <cellStyle name="Normal 105 2 16" xfId="3429"/>
    <cellStyle name="Normal 105 2 17" xfId="3680"/>
    <cellStyle name="Normal 105 2 18" xfId="3931"/>
    <cellStyle name="Normal 105 2 19" xfId="4182"/>
    <cellStyle name="Normal 105 2 2" xfId="218"/>
    <cellStyle name="Normal 105 2 2 10" xfId="2518"/>
    <cellStyle name="Normal 105 2 2 11" xfId="2769"/>
    <cellStyle name="Normal 105 2 2 12" xfId="3020"/>
    <cellStyle name="Normal 105 2 2 13" xfId="3271"/>
    <cellStyle name="Normal 105 2 2 14" xfId="3522"/>
    <cellStyle name="Normal 105 2 2 15" xfId="3773"/>
    <cellStyle name="Normal 105 2 2 16" xfId="4024"/>
    <cellStyle name="Normal 105 2 2 17" xfId="4275"/>
    <cellStyle name="Normal 105 2 2 18" xfId="4526"/>
    <cellStyle name="Normal 105 2 2 19" xfId="4777"/>
    <cellStyle name="Normal 105 2 2 2" xfId="495"/>
    <cellStyle name="Normal 105 2 2 20" xfId="5028"/>
    <cellStyle name="Normal 105 2 2 21" xfId="5279"/>
    <cellStyle name="Normal 105 2 2 22" xfId="5530"/>
    <cellStyle name="Normal 105 2 2 23" xfId="5781"/>
    <cellStyle name="Normal 105 2 2 24" xfId="6032"/>
    <cellStyle name="Normal 105 2 2 25" xfId="6283"/>
    <cellStyle name="Normal 105 2 2 26" xfId="6534"/>
    <cellStyle name="Normal 105 2 2 27" xfId="6785"/>
    <cellStyle name="Normal 105 2 2 28" xfId="7036"/>
    <cellStyle name="Normal 105 2 2 29" xfId="7287"/>
    <cellStyle name="Normal 105 2 2 3" xfId="745"/>
    <cellStyle name="Normal 105 2 2 30" xfId="7538"/>
    <cellStyle name="Normal 105 2 2 31" xfId="7789"/>
    <cellStyle name="Normal 105 2 2 32" xfId="8040"/>
    <cellStyle name="Normal 105 2 2 33" xfId="8291"/>
    <cellStyle name="Normal 105 2 2 34" xfId="8542"/>
    <cellStyle name="Normal 105 2 2 35" xfId="8793"/>
    <cellStyle name="Normal 105 2 2 36" xfId="9044"/>
    <cellStyle name="Normal 105 2 2 37" xfId="9295"/>
    <cellStyle name="Normal 105 2 2 38" xfId="9546"/>
    <cellStyle name="Normal 105 2 2 39" xfId="9797"/>
    <cellStyle name="Normal 105 2 2 4" xfId="998"/>
    <cellStyle name="Normal 105 2 2 40" xfId="10048"/>
    <cellStyle name="Normal 105 2 2 41" xfId="10299"/>
    <cellStyle name="Normal 105 2 2 42" xfId="10550"/>
    <cellStyle name="Normal 105 2 2 43" xfId="10801"/>
    <cellStyle name="Normal 105 2 2 44" xfId="11052"/>
    <cellStyle name="Normal 105 2 2 45" xfId="11303"/>
    <cellStyle name="Normal 105 2 2 46" xfId="11554"/>
    <cellStyle name="Normal 105 2 2 47" xfId="11805"/>
    <cellStyle name="Normal 105 2 2 48" xfId="12056"/>
    <cellStyle name="Normal 105 2 2 49" xfId="12307"/>
    <cellStyle name="Normal 105 2 2 5" xfId="1253"/>
    <cellStyle name="Normal 105 2 2 50" xfId="12558"/>
    <cellStyle name="Normal 105 2 2 51" xfId="12809"/>
    <cellStyle name="Normal 105 2 2 52" xfId="13060"/>
    <cellStyle name="Normal 105 2 2 53" xfId="13311"/>
    <cellStyle name="Normal 105 2 2 54" xfId="13562"/>
    <cellStyle name="Normal 105 2 2 55" xfId="13813"/>
    <cellStyle name="Normal 105 2 2 56" xfId="14064"/>
    <cellStyle name="Normal 105 2 2 57" xfId="14315"/>
    <cellStyle name="Normal 105 2 2 58" xfId="14566"/>
    <cellStyle name="Normal 105 2 2 59" xfId="14817"/>
    <cellStyle name="Normal 105 2 2 6" xfId="1506"/>
    <cellStyle name="Normal 105 2 2 60" xfId="15068"/>
    <cellStyle name="Normal 105 2 2 61" xfId="15318"/>
    <cellStyle name="Normal 105 2 2 62" xfId="15569"/>
    <cellStyle name="Normal 105 2 2 63" xfId="15817"/>
    <cellStyle name="Normal 105 2 2 64" xfId="16073"/>
    <cellStyle name="Normal 105 2 2 65" xfId="16324"/>
    <cellStyle name="Normal 105 2 2 66" xfId="16575"/>
    <cellStyle name="Normal 105 2 2 67" xfId="16826"/>
    <cellStyle name="Normal 105 2 2 68" xfId="17077"/>
    <cellStyle name="Normal 105 2 2 69" xfId="17328"/>
    <cellStyle name="Normal 105 2 2 7" xfId="1760"/>
    <cellStyle name="Normal 105 2 2 70" xfId="17579"/>
    <cellStyle name="Normal 105 2 2 71" xfId="17830"/>
    <cellStyle name="Normal 105 2 2 72" xfId="18081"/>
    <cellStyle name="Normal 105 2 2 73" xfId="18332"/>
    <cellStyle name="Normal 105 2 2 74" xfId="18583"/>
    <cellStyle name="Normal 105 2 2 75" xfId="18834"/>
    <cellStyle name="Normal 105 2 2 76" xfId="19084"/>
    <cellStyle name="Normal 105 2 2 77" xfId="19336"/>
    <cellStyle name="Normal 105 2 2 78" xfId="19586"/>
    <cellStyle name="Normal 105 2 2 79" xfId="19842"/>
    <cellStyle name="Normal 105 2 2 8" xfId="2016"/>
    <cellStyle name="Normal 105 2 2 80" xfId="20094"/>
    <cellStyle name="Normal 105 2 2 81" xfId="20346"/>
    <cellStyle name="Normal 105 2 2 82" xfId="20598"/>
    <cellStyle name="Normal 105 2 2 83" xfId="20848"/>
    <cellStyle name="Normal 105 2 2 84" xfId="21098"/>
    <cellStyle name="Normal 105 2 2 85" xfId="21347"/>
    <cellStyle name="Normal 105 2 2 86" xfId="21591"/>
    <cellStyle name="Normal 105 2 2 87" xfId="21835"/>
    <cellStyle name="Normal 105 2 2 88" xfId="22076"/>
    <cellStyle name="Normal 105 2 2 9" xfId="2267"/>
    <cellStyle name="Normal 105 2 20" xfId="4433"/>
    <cellStyle name="Normal 105 2 21" xfId="4684"/>
    <cellStyle name="Normal 105 2 22" xfId="4935"/>
    <cellStyle name="Normal 105 2 23" xfId="5186"/>
    <cellStyle name="Normal 105 2 24" xfId="5437"/>
    <cellStyle name="Normal 105 2 25" xfId="5688"/>
    <cellStyle name="Normal 105 2 26" xfId="5939"/>
    <cellStyle name="Normal 105 2 27" xfId="6190"/>
    <cellStyle name="Normal 105 2 28" xfId="6441"/>
    <cellStyle name="Normal 105 2 29" xfId="6692"/>
    <cellStyle name="Normal 105 2 3" xfId="294"/>
    <cellStyle name="Normal 105 2 3 10" xfId="2594"/>
    <cellStyle name="Normal 105 2 3 11" xfId="2845"/>
    <cellStyle name="Normal 105 2 3 12" xfId="3096"/>
    <cellStyle name="Normal 105 2 3 13" xfId="3347"/>
    <cellStyle name="Normal 105 2 3 14" xfId="3598"/>
    <cellStyle name="Normal 105 2 3 15" xfId="3849"/>
    <cellStyle name="Normal 105 2 3 16" xfId="4100"/>
    <cellStyle name="Normal 105 2 3 17" xfId="4351"/>
    <cellStyle name="Normal 105 2 3 18" xfId="4602"/>
    <cellStyle name="Normal 105 2 3 19" xfId="4853"/>
    <cellStyle name="Normal 105 2 3 2" xfId="569"/>
    <cellStyle name="Normal 105 2 3 20" xfId="5104"/>
    <cellStyle name="Normal 105 2 3 21" xfId="5355"/>
    <cellStyle name="Normal 105 2 3 22" xfId="5606"/>
    <cellStyle name="Normal 105 2 3 23" xfId="5857"/>
    <cellStyle name="Normal 105 2 3 24" xfId="6108"/>
    <cellStyle name="Normal 105 2 3 25" xfId="6359"/>
    <cellStyle name="Normal 105 2 3 26" xfId="6610"/>
    <cellStyle name="Normal 105 2 3 27" xfId="6861"/>
    <cellStyle name="Normal 105 2 3 28" xfId="7112"/>
    <cellStyle name="Normal 105 2 3 29" xfId="7363"/>
    <cellStyle name="Normal 105 2 3 3" xfId="819"/>
    <cellStyle name="Normal 105 2 3 30" xfId="7614"/>
    <cellStyle name="Normal 105 2 3 31" xfId="7865"/>
    <cellStyle name="Normal 105 2 3 32" xfId="8116"/>
    <cellStyle name="Normal 105 2 3 33" xfId="8367"/>
    <cellStyle name="Normal 105 2 3 34" xfId="8618"/>
    <cellStyle name="Normal 105 2 3 35" xfId="8869"/>
    <cellStyle name="Normal 105 2 3 36" xfId="9120"/>
    <cellStyle name="Normal 105 2 3 37" xfId="9371"/>
    <cellStyle name="Normal 105 2 3 38" xfId="9622"/>
    <cellStyle name="Normal 105 2 3 39" xfId="9873"/>
    <cellStyle name="Normal 105 2 3 4" xfId="1071"/>
    <cellStyle name="Normal 105 2 3 40" xfId="10124"/>
    <cellStyle name="Normal 105 2 3 41" xfId="10375"/>
    <cellStyle name="Normal 105 2 3 42" xfId="10626"/>
    <cellStyle name="Normal 105 2 3 43" xfId="10877"/>
    <cellStyle name="Normal 105 2 3 44" xfId="11128"/>
    <cellStyle name="Normal 105 2 3 45" xfId="11379"/>
    <cellStyle name="Normal 105 2 3 46" xfId="11630"/>
    <cellStyle name="Normal 105 2 3 47" xfId="11881"/>
    <cellStyle name="Normal 105 2 3 48" xfId="12132"/>
    <cellStyle name="Normal 105 2 3 49" xfId="12383"/>
    <cellStyle name="Normal 105 2 3 5" xfId="1327"/>
    <cellStyle name="Normal 105 2 3 50" xfId="12634"/>
    <cellStyle name="Normal 105 2 3 51" xfId="12885"/>
    <cellStyle name="Normal 105 2 3 52" xfId="13136"/>
    <cellStyle name="Normal 105 2 3 53" xfId="13387"/>
    <cellStyle name="Normal 105 2 3 54" xfId="13638"/>
    <cellStyle name="Normal 105 2 3 55" xfId="13889"/>
    <cellStyle name="Normal 105 2 3 56" xfId="14140"/>
    <cellStyle name="Normal 105 2 3 57" xfId="14391"/>
    <cellStyle name="Normal 105 2 3 58" xfId="14642"/>
    <cellStyle name="Normal 105 2 3 59" xfId="14893"/>
    <cellStyle name="Normal 105 2 3 6" xfId="1582"/>
    <cellStyle name="Normal 105 2 3 60" xfId="15144"/>
    <cellStyle name="Normal 105 2 3 61" xfId="15394"/>
    <cellStyle name="Normal 105 2 3 62" xfId="15643"/>
    <cellStyle name="Normal 105 2 3 63" xfId="15893"/>
    <cellStyle name="Normal 105 2 3 64" xfId="16149"/>
    <cellStyle name="Normal 105 2 3 65" xfId="16400"/>
    <cellStyle name="Normal 105 2 3 66" xfId="16651"/>
    <cellStyle name="Normal 105 2 3 67" xfId="16902"/>
    <cellStyle name="Normal 105 2 3 68" xfId="17153"/>
    <cellStyle name="Normal 105 2 3 69" xfId="17404"/>
    <cellStyle name="Normal 105 2 3 7" xfId="1835"/>
    <cellStyle name="Normal 105 2 3 70" xfId="17655"/>
    <cellStyle name="Normal 105 2 3 71" xfId="17906"/>
    <cellStyle name="Normal 105 2 3 72" xfId="18157"/>
    <cellStyle name="Normal 105 2 3 73" xfId="18408"/>
    <cellStyle name="Normal 105 2 3 74" xfId="18659"/>
    <cellStyle name="Normal 105 2 3 75" xfId="18910"/>
    <cellStyle name="Normal 105 2 3 76" xfId="19160"/>
    <cellStyle name="Normal 105 2 3 77" xfId="19411"/>
    <cellStyle name="Normal 105 2 3 78" xfId="19662"/>
    <cellStyle name="Normal 105 2 3 79" xfId="19918"/>
    <cellStyle name="Normal 105 2 3 8" xfId="2092"/>
    <cellStyle name="Normal 105 2 3 80" xfId="20170"/>
    <cellStyle name="Normal 105 2 3 81" xfId="20422"/>
    <cellStyle name="Normal 105 2 3 82" xfId="20674"/>
    <cellStyle name="Normal 105 2 3 83" xfId="20924"/>
    <cellStyle name="Normal 105 2 3 84" xfId="21173"/>
    <cellStyle name="Normal 105 2 3 85" xfId="21421"/>
    <cellStyle name="Normal 105 2 3 86" xfId="21665"/>
    <cellStyle name="Normal 105 2 3 87" xfId="21907"/>
    <cellStyle name="Normal 105 2 3 88" xfId="22148"/>
    <cellStyle name="Normal 105 2 3 9" xfId="2343"/>
    <cellStyle name="Normal 105 2 30" xfId="6943"/>
    <cellStyle name="Normal 105 2 31" xfId="7194"/>
    <cellStyle name="Normal 105 2 32" xfId="7445"/>
    <cellStyle name="Normal 105 2 33" xfId="7696"/>
    <cellStyle name="Normal 105 2 34" xfId="7947"/>
    <cellStyle name="Normal 105 2 35" xfId="8198"/>
    <cellStyle name="Normal 105 2 36" xfId="8449"/>
    <cellStyle name="Normal 105 2 37" xfId="8700"/>
    <cellStyle name="Normal 105 2 38" xfId="8951"/>
    <cellStyle name="Normal 105 2 39" xfId="9202"/>
    <cellStyle name="Normal 105 2 4" xfId="403"/>
    <cellStyle name="Normal 105 2 40" xfId="9453"/>
    <cellStyle name="Normal 105 2 41" xfId="9704"/>
    <cellStyle name="Normal 105 2 42" xfId="9955"/>
    <cellStyle name="Normal 105 2 43" xfId="10206"/>
    <cellStyle name="Normal 105 2 44" xfId="10457"/>
    <cellStyle name="Normal 105 2 45" xfId="10708"/>
    <cellStyle name="Normal 105 2 46" xfId="10959"/>
    <cellStyle name="Normal 105 2 47" xfId="11210"/>
    <cellStyle name="Normal 105 2 48" xfId="11461"/>
    <cellStyle name="Normal 105 2 49" xfId="11712"/>
    <cellStyle name="Normal 105 2 5" xfId="652"/>
    <cellStyle name="Normal 105 2 50" xfId="11963"/>
    <cellStyle name="Normal 105 2 51" xfId="12214"/>
    <cellStyle name="Normal 105 2 52" xfId="12465"/>
    <cellStyle name="Normal 105 2 53" xfId="12716"/>
    <cellStyle name="Normal 105 2 54" xfId="12967"/>
    <cellStyle name="Normal 105 2 55" xfId="13218"/>
    <cellStyle name="Normal 105 2 56" xfId="13469"/>
    <cellStyle name="Normal 105 2 57" xfId="13720"/>
    <cellStyle name="Normal 105 2 58" xfId="13971"/>
    <cellStyle name="Normal 105 2 59" xfId="14222"/>
    <cellStyle name="Normal 105 2 6" xfId="905"/>
    <cellStyle name="Normal 105 2 60" xfId="14473"/>
    <cellStyle name="Normal 105 2 61" xfId="14724"/>
    <cellStyle name="Normal 105 2 62" xfId="14974"/>
    <cellStyle name="Normal 105 2 63" xfId="15225"/>
    <cellStyle name="Normal 105 2 64" xfId="15476"/>
    <cellStyle name="Normal 105 2 65" xfId="15723"/>
    <cellStyle name="Normal 105 2 66" xfId="15980"/>
    <cellStyle name="Normal 105 2 67" xfId="16231"/>
    <cellStyle name="Normal 105 2 68" xfId="16482"/>
    <cellStyle name="Normal 105 2 69" xfId="16733"/>
    <cellStyle name="Normal 105 2 7" xfId="1160"/>
    <cellStyle name="Normal 105 2 70" xfId="16984"/>
    <cellStyle name="Normal 105 2 71" xfId="17235"/>
    <cellStyle name="Normal 105 2 72" xfId="17486"/>
    <cellStyle name="Normal 105 2 73" xfId="17737"/>
    <cellStyle name="Normal 105 2 74" xfId="17988"/>
    <cellStyle name="Normal 105 2 75" xfId="18239"/>
    <cellStyle name="Normal 105 2 76" xfId="18490"/>
    <cellStyle name="Normal 105 2 77" xfId="18740"/>
    <cellStyle name="Normal 105 2 78" xfId="18991"/>
    <cellStyle name="Normal 105 2 79" xfId="19242"/>
    <cellStyle name="Normal 105 2 8" xfId="1413"/>
    <cellStyle name="Normal 105 2 80" xfId="19492"/>
    <cellStyle name="Normal 105 2 81" xfId="19748"/>
    <cellStyle name="Normal 105 2 82" xfId="20000"/>
    <cellStyle name="Normal 105 2 83" xfId="20252"/>
    <cellStyle name="Normal 105 2 84" xfId="20504"/>
    <cellStyle name="Normal 105 2 85" xfId="20754"/>
    <cellStyle name="Normal 105 2 86" xfId="21004"/>
    <cellStyle name="Normal 105 2 87" xfId="21255"/>
    <cellStyle name="Normal 105 2 88" xfId="21499"/>
    <cellStyle name="Normal 105 2 89" xfId="21743"/>
    <cellStyle name="Normal 105 2 9" xfId="1666"/>
    <cellStyle name="Normal 105 2 90" xfId="21984"/>
    <cellStyle name="Normal 105 20" xfId="4149"/>
    <cellStyle name="Normal 105 21" xfId="4400"/>
    <cellStyle name="Normal 105 22" xfId="4651"/>
    <cellStyle name="Normal 105 23" xfId="4902"/>
    <cellStyle name="Normal 105 24" xfId="5153"/>
    <cellStyle name="Normal 105 25" xfId="5404"/>
    <cellStyle name="Normal 105 26" xfId="5655"/>
    <cellStyle name="Normal 105 27" xfId="5906"/>
    <cellStyle name="Normal 105 28" xfId="6157"/>
    <cellStyle name="Normal 105 29" xfId="6408"/>
    <cellStyle name="Normal 105 3" xfId="185"/>
    <cellStyle name="Normal 105 3 10" xfId="2485"/>
    <cellStyle name="Normal 105 3 11" xfId="2736"/>
    <cellStyle name="Normal 105 3 12" xfId="2987"/>
    <cellStyle name="Normal 105 3 13" xfId="3238"/>
    <cellStyle name="Normal 105 3 14" xfId="3489"/>
    <cellStyle name="Normal 105 3 15" xfId="3740"/>
    <cellStyle name="Normal 105 3 16" xfId="3991"/>
    <cellStyle name="Normal 105 3 17" xfId="4242"/>
    <cellStyle name="Normal 105 3 18" xfId="4493"/>
    <cellStyle name="Normal 105 3 19" xfId="4744"/>
    <cellStyle name="Normal 105 3 2" xfId="462"/>
    <cellStyle name="Normal 105 3 20" xfId="4995"/>
    <cellStyle name="Normal 105 3 21" xfId="5246"/>
    <cellStyle name="Normal 105 3 22" xfId="5497"/>
    <cellStyle name="Normal 105 3 23" xfId="5748"/>
    <cellStyle name="Normal 105 3 24" xfId="5999"/>
    <cellStyle name="Normal 105 3 25" xfId="6250"/>
    <cellStyle name="Normal 105 3 26" xfId="6501"/>
    <cellStyle name="Normal 105 3 27" xfId="6752"/>
    <cellStyle name="Normal 105 3 28" xfId="7003"/>
    <cellStyle name="Normal 105 3 29" xfId="7254"/>
    <cellStyle name="Normal 105 3 3" xfId="712"/>
    <cellStyle name="Normal 105 3 30" xfId="7505"/>
    <cellStyle name="Normal 105 3 31" xfId="7756"/>
    <cellStyle name="Normal 105 3 32" xfId="8007"/>
    <cellStyle name="Normal 105 3 33" xfId="8258"/>
    <cellStyle name="Normal 105 3 34" xfId="8509"/>
    <cellStyle name="Normal 105 3 35" xfId="8760"/>
    <cellStyle name="Normal 105 3 36" xfId="9011"/>
    <cellStyle name="Normal 105 3 37" xfId="9262"/>
    <cellStyle name="Normal 105 3 38" xfId="9513"/>
    <cellStyle name="Normal 105 3 39" xfId="9764"/>
    <cellStyle name="Normal 105 3 4" xfId="965"/>
    <cellStyle name="Normal 105 3 40" xfId="10015"/>
    <cellStyle name="Normal 105 3 41" xfId="10266"/>
    <cellStyle name="Normal 105 3 42" xfId="10517"/>
    <cellStyle name="Normal 105 3 43" xfId="10768"/>
    <cellStyle name="Normal 105 3 44" xfId="11019"/>
    <cellStyle name="Normal 105 3 45" xfId="11270"/>
    <cellStyle name="Normal 105 3 46" xfId="11521"/>
    <cellStyle name="Normal 105 3 47" xfId="11772"/>
    <cellStyle name="Normal 105 3 48" xfId="12023"/>
    <cellStyle name="Normal 105 3 49" xfId="12274"/>
    <cellStyle name="Normal 105 3 5" xfId="1220"/>
    <cellStyle name="Normal 105 3 50" xfId="12525"/>
    <cellStyle name="Normal 105 3 51" xfId="12776"/>
    <cellStyle name="Normal 105 3 52" xfId="13027"/>
    <cellStyle name="Normal 105 3 53" xfId="13278"/>
    <cellStyle name="Normal 105 3 54" xfId="13529"/>
    <cellStyle name="Normal 105 3 55" xfId="13780"/>
    <cellStyle name="Normal 105 3 56" xfId="14031"/>
    <cellStyle name="Normal 105 3 57" xfId="14282"/>
    <cellStyle name="Normal 105 3 58" xfId="14533"/>
    <cellStyle name="Normal 105 3 59" xfId="14784"/>
    <cellStyle name="Normal 105 3 6" xfId="1473"/>
    <cellStyle name="Normal 105 3 60" xfId="15035"/>
    <cellStyle name="Normal 105 3 61" xfId="15285"/>
    <cellStyle name="Normal 105 3 62" xfId="15536"/>
    <cellStyle name="Normal 105 3 63" xfId="15784"/>
    <cellStyle name="Normal 105 3 64" xfId="16040"/>
    <cellStyle name="Normal 105 3 65" xfId="16291"/>
    <cellStyle name="Normal 105 3 66" xfId="16542"/>
    <cellStyle name="Normal 105 3 67" xfId="16793"/>
    <cellStyle name="Normal 105 3 68" xfId="17044"/>
    <cellStyle name="Normal 105 3 69" xfId="17295"/>
    <cellStyle name="Normal 105 3 7" xfId="1727"/>
    <cellStyle name="Normal 105 3 70" xfId="17546"/>
    <cellStyle name="Normal 105 3 71" xfId="17797"/>
    <cellStyle name="Normal 105 3 72" xfId="18048"/>
    <cellStyle name="Normal 105 3 73" xfId="18299"/>
    <cellStyle name="Normal 105 3 74" xfId="18550"/>
    <cellStyle name="Normal 105 3 75" xfId="18801"/>
    <cellStyle name="Normal 105 3 76" xfId="19051"/>
    <cellStyle name="Normal 105 3 77" xfId="19303"/>
    <cellStyle name="Normal 105 3 78" xfId="19553"/>
    <cellStyle name="Normal 105 3 79" xfId="19809"/>
    <cellStyle name="Normal 105 3 8" xfId="1983"/>
    <cellStyle name="Normal 105 3 80" xfId="20061"/>
    <cellStyle name="Normal 105 3 81" xfId="20313"/>
    <cellStyle name="Normal 105 3 82" xfId="20565"/>
    <cellStyle name="Normal 105 3 83" xfId="20815"/>
    <cellStyle name="Normal 105 3 84" xfId="21065"/>
    <cellStyle name="Normal 105 3 85" xfId="21314"/>
    <cellStyle name="Normal 105 3 86" xfId="21558"/>
    <cellStyle name="Normal 105 3 87" xfId="21802"/>
    <cellStyle name="Normal 105 3 88" xfId="22043"/>
    <cellStyle name="Normal 105 3 9" xfId="2234"/>
    <cellStyle name="Normal 105 30" xfId="6659"/>
    <cellStyle name="Normal 105 31" xfId="6910"/>
    <cellStyle name="Normal 105 32" xfId="7161"/>
    <cellStyle name="Normal 105 33" xfId="7412"/>
    <cellStyle name="Normal 105 34" xfId="7663"/>
    <cellStyle name="Normal 105 35" xfId="7914"/>
    <cellStyle name="Normal 105 36" xfId="8165"/>
    <cellStyle name="Normal 105 37" xfId="8416"/>
    <cellStyle name="Normal 105 38" xfId="8667"/>
    <cellStyle name="Normal 105 39" xfId="8918"/>
    <cellStyle name="Normal 105 4" xfId="261"/>
    <cellStyle name="Normal 105 4 10" xfId="2561"/>
    <cellStyle name="Normal 105 4 11" xfId="2812"/>
    <cellStyle name="Normal 105 4 12" xfId="3063"/>
    <cellStyle name="Normal 105 4 13" xfId="3314"/>
    <cellStyle name="Normal 105 4 14" xfId="3565"/>
    <cellStyle name="Normal 105 4 15" xfId="3816"/>
    <cellStyle name="Normal 105 4 16" xfId="4067"/>
    <cellStyle name="Normal 105 4 17" xfId="4318"/>
    <cellStyle name="Normal 105 4 18" xfId="4569"/>
    <cellStyle name="Normal 105 4 19" xfId="4820"/>
    <cellStyle name="Normal 105 4 2" xfId="537"/>
    <cellStyle name="Normal 105 4 20" xfId="5071"/>
    <cellStyle name="Normal 105 4 21" xfId="5322"/>
    <cellStyle name="Normal 105 4 22" xfId="5573"/>
    <cellStyle name="Normal 105 4 23" xfId="5824"/>
    <cellStyle name="Normal 105 4 24" xfId="6075"/>
    <cellStyle name="Normal 105 4 25" xfId="6326"/>
    <cellStyle name="Normal 105 4 26" xfId="6577"/>
    <cellStyle name="Normal 105 4 27" xfId="6828"/>
    <cellStyle name="Normal 105 4 28" xfId="7079"/>
    <cellStyle name="Normal 105 4 29" xfId="7330"/>
    <cellStyle name="Normal 105 4 3" xfId="787"/>
    <cellStyle name="Normal 105 4 30" xfId="7581"/>
    <cellStyle name="Normal 105 4 31" xfId="7832"/>
    <cellStyle name="Normal 105 4 32" xfId="8083"/>
    <cellStyle name="Normal 105 4 33" xfId="8334"/>
    <cellStyle name="Normal 105 4 34" xfId="8585"/>
    <cellStyle name="Normal 105 4 35" xfId="8836"/>
    <cellStyle name="Normal 105 4 36" xfId="9087"/>
    <cellStyle name="Normal 105 4 37" xfId="9338"/>
    <cellStyle name="Normal 105 4 38" xfId="9589"/>
    <cellStyle name="Normal 105 4 39" xfId="9840"/>
    <cellStyle name="Normal 105 4 4" xfId="1039"/>
    <cellStyle name="Normal 105 4 40" xfId="10091"/>
    <cellStyle name="Normal 105 4 41" xfId="10342"/>
    <cellStyle name="Normal 105 4 42" xfId="10593"/>
    <cellStyle name="Normal 105 4 43" xfId="10844"/>
    <cellStyle name="Normal 105 4 44" xfId="11095"/>
    <cellStyle name="Normal 105 4 45" xfId="11346"/>
    <cellStyle name="Normal 105 4 46" xfId="11597"/>
    <cellStyle name="Normal 105 4 47" xfId="11848"/>
    <cellStyle name="Normal 105 4 48" xfId="12099"/>
    <cellStyle name="Normal 105 4 49" xfId="12350"/>
    <cellStyle name="Normal 105 4 5" xfId="1295"/>
    <cellStyle name="Normal 105 4 50" xfId="12601"/>
    <cellStyle name="Normal 105 4 51" xfId="12852"/>
    <cellStyle name="Normal 105 4 52" xfId="13103"/>
    <cellStyle name="Normal 105 4 53" xfId="13354"/>
    <cellStyle name="Normal 105 4 54" xfId="13605"/>
    <cellStyle name="Normal 105 4 55" xfId="13856"/>
    <cellStyle name="Normal 105 4 56" xfId="14107"/>
    <cellStyle name="Normal 105 4 57" xfId="14358"/>
    <cellStyle name="Normal 105 4 58" xfId="14609"/>
    <cellStyle name="Normal 105 4 59" xfId="14860"/>
    <cellStyle name="Normal 105 4 6" xfId="1549"/>
    <cellStyle name="Normal 105 4 60" xfId="15111"/>
    <cellStyle name="Normal 105 4 61" xfId="15361"/>
    <cellStyle name="Normal 105 4 62" xfId="15611"/>
    <cellStyle name="Normal 105 4 63" xfId="15860"/>
    <cellStyle name="Normal 105 4 64" xfId="16116"/>
    <cellStyle name="Normal 105 4 65" xfId="16367"/>
    <cellStyle name="Normal 105 4 66" xfId="16618"/>
    <cellStyle name="Normal 105 4 67" xfId="16869"/>
    <cellStyle name="Normal 105 4 68" xfId="17120"/>
    <cellStyle name="Normal 105 4 69" xfId="17371"/>
    <cellStyle name="Normal 105 4 7" xfId="1802"/>
    <cellStyle name="Normal 105 4 70" xfId="17622"/>
    <cellStyle name="Normal 105 4 71" xfId="17873"/>
    <cellStyle name="Normal 105 4 72" xfId="18124"/>
    <cellStyle name="Normal 105 4 73" xfId="18375"/>
    <cellStyle name="Normal 105 4 74" xfId="18626"/>
    <cellStyle name="Normal 105 4 75" xfId="18877"/>
    <cellStyle name="Normal 105 4 76" xfId="19127"/>
    <cellStyle name="Normal 105 4 77" xfId="19379"/>
    <cellStyle name="Normal 105 4 78" xfId="19629"/>
    <cellStyle name="Normal 105 4 79" xfId="19885"/>
    <cellStyle name="Normal 105 4 8" xfId="2059"/>
    <cellStyle name="Normal 105 4 80" xfId="20137"/>
    <cellStyle name="Normal 105 4 81" xfId="20389"/>
    <cellStyle name="Normal 105 4 82" xfId="20641"/>
    <cellStyle name="Normal 105 4 83" xfId="20891"/>
    <cellStyle name="Normal 105 4 84" xfId="21141"/>
    <cellStyle name="Normal 105 4 85" xfId="21389"/>
    <cellStyle name="Normal 105 4 86" xfId="21633"/>
    <cellStyle name="Normal 105 4 87" xfId="21876"/>
    <cellStyle name="Normal 105 4 88" xfId="22117"/>
    <cellStyle name="Normal 105 4 9" xfId="2310"/>
    <cellStyle name="Normal 105 40" xfId="9169"/>
    <cellStyle name="Normal 105 41" xfId="9420"/>
    <cellStyle name="Normal 105 42" xfId="9671"/>
    <cellStyle name="Normal 105 43" xfId="9922"/>
    <cellStyle name="Normal 105 44" xfId="10173"/>
    <cellStyle name="Normal 105 45" xfId="10424"/>
    <cellStyle name="Normal 105 46" xfId="10675"/>
    <cellStyle name="Normal 105 47" xfId="10926"/>
    <cellStyle name="Normal 105 48" xfId="11177"/>
    <cellStyle name="Normal 105 49" xfId="11428"/>
    <cellStyle name="Normal 105 5" xfId="370"/>
    <cellStyle name="Normal 105 50" xfId="11679"/>
    <cellStyle name="Normal 105 51" xfId="11930"/>
    <cellStyle name="Normal 105 52" xfId="12181"/>
    <cellStyle name="Normal 105 53" xfId="12432"/>
    <cellStyle name="Normal 105 54" xfId="12683"/>
    <cellStyle name="Normal 105 55" xfId="12934"/>
    <cellStyle name="Normal 105 56" xfId="13185"/>
    <cellStyle name="Normal 105 57" xfId="13436"/>
    <cellStyle name="Normal 105 58" xfId="13687"/>
    <cellStyle name="Normal 105 59" xfId="13938"/>
    <cellStyle name="Normal 105 6" xfId="619"/>
    <cellStyle name="Normal 105 60" xfId="14189"/>
    <cellStyle name="Normal 105 61" xfId="14440"/>
    <cellStyle name="Normal 105 62" xfId="14691"/>
    <cellStyle name="Normal 105 63" xfId="14941"/>
    <cellStyle name="Normal 105 64" xfId="15192"/>
    <cellStyle name="Normal 105 65" xfId="15443"/>
    <cellStyle name="Normal 105 66" xfId="15690"/>
    <cellStyle name="Normal 105 67" xfId="15947"/>
    <cellStyle name="Normal 105 68" xfId="16198"/>
    <cellStyle name="Normal 105 69" xfId="16449"/>
    <cellStyle name="Normal 105 7" xfId="872"/>
    <cellStyle name="Normal 105 70" xfId="16700"/>
    <cellStyle name="Normal 105 71" xfId="16951"/>
    <cellStyle name="Normal 105 72" xfId="17202"/>
    <cellStyle name="Normal 105 73" xfId="17453"/>
    <cellStyle name="Normal 105 74" xfId="17704"/>
    <cellStyle name="Normal 105 75" xfId="17955"/>
    <cellStyle name="Normal 105 76" xfId="18206"/>
    <cellStyle name="Normal 105 77" xfId="18457"/>
    <cellStyle name="Normal 105 78" xfId="18707"/>
    <cellStyle name="Normal 105 79" xfId="18958"/>
    <cellStyle name="Normal 105 8" xfId="1127"/>
    <cellStyle name="Normal 105 80" xfId="19209"/>
    <cellStyle name="Normal 105 81" xfId="19459"/>
    <cellStyle name="Normal 105 82" xfId="19715"/>
    <cellStyle name="Normal 105 83" xfId="19967"/>
    <cellStyle name="Normal 105 84" xfId="20219"/>
    <cellStyle name="Normal 105 85" xfId="20471"/>
    <cellStyle name="Normal 105 86" xfId="20721"/>
    <cellStyle name="Normal 105 87" xfId="20971"/>
    <cellStyle name="Normal 105 88" xfId="21222"/>
    <cellStyle name="Normal 105 89" xfId="21466"/>
    <cellStyle name="Normal 105 9" xfId="1380"/>
    <cellStyle name="Normal 105 90" xfId="21710"/>
    <cellStyle name="Normal 105 91" xfId="21951"/>
    <cellStyle name="Normal 106" xfId="92"/>
    <cellStyle name="Normal 106 10" xfId="1634"/>
    <cellStyle name="Normal 106 11" xfId="1891"/>
    <cellStyle name="Normal 106 12" xfId="2142"/>
    <cellStyle name="Normal 106 13" xfId="2393"/>
    <cellStyle name="Normal 106 14" xfId="2644"/>
    <cellStyle name="Normal 106 15" xfId="2895"/>
    <cellStyle name="Normal 106 16" xfId="3146"/>
    <cellStyle name="Normal 106 17" xfId="3397"/>
    <cellStyle name="Normal 106 18" xfId="3648"/>
    <cellStyle name="Normal 106 19" xfId="3899"/>
    <cellStyle name="Normal 106 2" xfId="125"/>
    <cellStyle name="Normal 106 2 10" xfId="1924"/>
    <cellStyle name="Normal 106 2 11" xfId="2175"/>
    <cellStyle name="Normal 106 2 12" xfId="2426"/>
    <cellStyle name="Normal 106 2 13" xfId="2677"/>
    <cellStyle name="Normal 106 2 14" xfId="2928"/>
    <cellStyle name="Normal 106 2 15" xfId="3179"/>
    <cellStyle name="Normal 106 2 16" xfId="3430"/>
    <cellStyle name="Normal 106 2 17" xfId="3681"/>
    <cellStyle name="Normal 106 2 18" xfId="3932"/>
    <cellStyle name="Normal 106 2 19" xfId="4183"/>
    <cellStyle name="Normal 106 2 2" xfId="219"/>
    <cellStyle name="Normal 106 2 2 10" xfId="2519"/>
    <cellStyle name="Normal 106 2 2 11" xfId="2770"/>
    <cellStyle name="Normal 106 2 2 12" xfId="3021"/>
    <cellStyle name="Normal 106 2 2 13" xfId="3272"/>
    <cellStyle name="Normal 106 2 2 14" xfId="3523"/>
    <cellStyle name="Normal 106 2 2 15" xfId="3774"/>
    <cellStyle name="Normal 106 2 2 16" xfId="4025"/>
    <cellStyle name="Normal 106 2 2 17" xfId="4276"/>
    <cellStyle name="Normal 106 2 2 18" xfId="4527"/>
    <cellStyle name="Normal 106 2 2 19" xfId="4778"/>
    <cellStyle name="Normal 106 2 2 2" xfId="496"/>
    <cellStyle name="Normal 106 2 2 20" xfId="5029"/>
    <cellStyle name="Normal 106 2 2 21" xfId="5280"/>
    <cellStyle name="Normal 106 2 2 22" xfId="5531"/>
    <cellStyle name="Normal 106 2 2 23" xfId="5782"/>
    <cellStyle name="Normal 106 2 2 24" xfId="6033"/>
    <cellStyle name="Normal 106 2 2 25" xfId="6284"/>
    <cellStyle name="Normal 106 2 2 26" xfId="6535"/>
    <cellStyle name="Normal 106 2 2 27" xfId="6786"/>
    <cellStyle name="Normal 106 2 2 28" xfId="7037"/>
    <cellStyle name="Normal 106 2 2 29" xfId="7288"/>
    <cellStyle name="Normal 106 2 2 3" xfId="746"/>
    <cellStyle name="Normal 106 2 2 30" xfId="7539"/>
    <cellStyle name="Normal 106 2 2 31" xfId="7790"/>
    <cellStyle name="Normal 106 2 2 32" xfId="8041"/>
    <cellStyle name="Normal 106 2 2 33" xfId="8292"/>
    <cellStyle name="Normal 106 2 2 34" xfId="8543"/>
    <cellStyle name="Normal 106 2 2 35" xfId="8794"/>
    <cellStyle name="Normal 106 2 2 36" xfId="9045"/>
    <cellStyle name="Normal 106 2 2 37" xfId="9296"/>
    <cellStyle name="Normal 106 2 2 38" xfId="9547"/>
    <cellStyle name="Normal 106 2 2 39" xfId="9798"/>
    <cellStyle name="Normal 106 2 2 4" xfId="999"/>
    <cellStyle name="Normal 106 2 2 40" xfId="10049"/>
    <cellStyle name="Normal 106 2 2 41" xfId="10300"/>
    <cellStyle name="Normal 106 2 2 42" xfId="10551"/>
    <cellStyle name="Normal 106 2 2 43" xfId="10802"/>
    <cellStyle name="Normal 106 2 2 44" xfId="11053"/>
    <cellStyle name="Normal 106 2 2 45" xfId="11304"/>
    <cellStyle name="Normal 106 2 2 46" xfId="11555"/>
    <cellStyle name="Normal 106 2 2 47" xfId="11806"/>
    <cellStyle name="Normal 106 2 2 48" xfId="12057"/>
    <cellStyle name="Normal 106 2 2 49" xfId="12308"/>
    <cellStyle name="Normal 106 2 2 5" xfId="1254"/>
    <cellStyle name="Normal 106 2 2 50" xfId="12559"/>
    <cellStyle name="Normal 106 2 2 51" xfId="12810"/>
    <cellStyle name="Normal 106 2 2 52" xfId="13061"/>
    <cellStyle name="Normal 106 2 2 53" xfId="13312"/>
    <cellStyle name="Normal 106 2 2 54" xfId="13563"/>
    <cellStyle name="Normal 106 2 2 55" xfId="13814"/>
    <cellStyle name="Normal 106 2 2 56" xfId="14065"/>
    <cellStyle name="Normal 106 2 2 57" xfId="14316"/>
    <cellStyle name="Normal 106 2 2 58" xfId="14567"/>
    <cellStyle name="Normal 106 2 2 59" xfId="14818"/>
    <cellStyle name="Normal 106 2 2 6" xfId="1507"/>
    <cellStyle name="Normal 106 2 2 60" xfId="15069"/>
    <cellStyle name="Normal 106 2 2 61" xfId="15319"/>
    <cellStyle name="Normal 106 2 2 62" xfId="15570"/>
    <cellStyle name="Normal 106 2 2 63" xfId="15818"/>
    <cellStyle name="Normal 106 2 2 64" xfId="16074"/>
    <cellStyle name="Normal 106 2 2 65" xfId="16325"/>
    <cellStyle name="Normal 106 2 2 66" xfId="16576"/>
    <cellStyle name="Normal 106 2 2 67" xfId="16827"/>
    <cellStyle name="Normal 106 2 2 68" xfId="17078"/>
    <cellStyle name="Normal 106 2 2 69" xfId="17329"/>
    <cellStyle name="Normal 106 2 2 7" xfId="1761"/>
    <cellStyle name="Normal 106 2 2 70" xfId="17580"/>
    <cellStyle name="Normal 106 2 2 71" xfId="17831"/>
    <cellStyle name="Normal 106 2 2 72" xfId="18082"/>
    <cellStyle name="Normal 106 2 2 73" xfId="18333"/>
    <cellStyle name="Normal 106 2 2 74" xfId="18584"/>
    <cellStyle name="Normal 106 2 2 75" xfId="18835"/>
    <cellStyle name="Normal 106 2 2 76" xfId="19085"/>
    <cellStyle name="Normal 106 2 2 77" xfId="19337"/>
    <cellStyle name="Normal 106 2 2 78" xfId="19587"/>
    <cellStyle name="Normal 106 2 2 79" xfId="19843"/>
    <cellStyle name="Normal 106 2 2 8" xfId="2017"/>
    <cellStyle name="Normal 106 2 2 80" xfId="20095"/>
    <cellStyle name="Normal 106 2 2 81" xfId="20347"/>
    <cellStyle name="Normal 106 2 2 82" xfId="20599"/>
    <cellStyle name="Normal 106 2 2 83" xfId="20849"/>
    <cellStyle name="Normal 106 2 2 84" xfId="21099"/>
    <cellStyle name="Normal 106 2 2 85" xfId="21348"/>
    <cellStyle name="Normal 106 2 2 86" xfId="21592"/>
    <cellStyle name="Normal 106 2 2 87" xfId="21836"/>
    <cellStyle name="Normal 106 2 2 88" xfId="22077"/>
    <cellStyle name="Normal 106 2 2 9" xfId="2268"/>
    <cellStyle name="Normal 106 2 20" xfId="4434"/>
    <cellStyle name="Normal 106 2 21" xfId="4685"/>
    <cellStyle name="Normal 106 2 22" xfId="4936"/>
    <cellStyle name="Normal 106 2 23" xfId="5187"/>
    <cellStyle name="Normal 106 2 24" xfId="5438"/>
    <cellStyle name="Normal 106 2 25" xfId="5689"/>
    <cellStyle name="Normal 106 2 26" xfId="5940"/>
    <cellStyle name="Normal 106 2 27" xfId="6191"/>
    <cellStyle name="Normal 106 2 28" xfId="6442"/>
    <cellStyle name="Normal 106 2 29" xfId="6693"/>
    <cellStyle name="Normal 106 2 3" xfId="295"/>
    <cellStyle name="Normal 106 2 3 10" xfId="2595"/>
    <cellStyle name="Normal 106 2 3 11" xfId="2846"/>
    <cellStyle name="Normal 106 2 3 12" xfId="3097"/>
    <cellStyle name="Normal 106 2 3 13" xfId="3348"/>
    <cellStyle name="Normal 106 2 3 14" xfId="3599"/>
    <cellStyle name="Normal 106 2 3 15" xfId="3850"/>
    <cellStyle name="Normal 106 2 3 16" xfId="4101"/>
    <cellStyle name="Normal 106 2 3 17" xfId="4352"/>
    <cellStyle name="Normal 106 2 3 18" xfId="4603"/>
    <cellStyle name="Normal 106 2 3 19" xfId="4854"/>
    <cellStyle name="Normal 106 2 3 2" xfId="570"/>
    <cellStyle name="Normal 106 2 3 20" xfId="5105"/>
    <cellStyle name="Normal 106 2 3 21" xfId="5356"/>
    <cellStyle name="Normal 106 2 3 22" xfId="5607"/>
    <cellStyle name="Normal 106 2 3 23" xfId="5858"/>
    <cellStyle name="Normal 106 2 3 24" xfId="6109"/>
    <cellStyle name="Normal 106 2 3 25" xfId="6360"/>
    <cellStyle name="Normal 106 2 3 26" xfId="6611"/>
    <cellStyle name="Normal 106 2 3 27" xfId="6862"/>
    <cellStyle name="Normal 106 2 3 28" xfId="7113"/>
    <cellStyle name="Normal 106 2 3 29" xfId="7364"/>
    <cellStyle name="Normal 106 2 3 3" xfId="820"/>
    <cellStyle name="Normal 106 2 3 30" xfId="7615"/>
    <cellStyle name="Normal 106 2 3 31" xfId="7866"/>
    <cellStyle name="Normal 106 2 3 32" xfId="8117"/>
    <cellStyle name="Normal 106 2 3 33" xfId="8368"/>
    <cellStyle name="Normal 106 2 3 34" xfId="8619"/>
    <cellStyle name="Normal 106 2 3 35" xfId="8870"/>
    <cellStyle name="Normal 106 2 3 36" xfId="9121"/>
    <cellStyle name="Normal 106 2 3 37" xfId="9372"/>
    <cellStyle name="Normal 106 2 3 38" xfId="9623"/>
    <cellStyle name="Normal 106 2 3 39" xfId="9874"/>
    <cellStyle name="Normal 106 2 3 4" xfId="1072"/>
    <cellStyle name="Normal 106 2 3 40" xfId="10125"/>
    <cellStyle name="Normal 106 2 3 41" xfId="10376"/>
    <cellStyle name="Normal 106 2 3 42" xfId="10627"/>
    <cellStyle name="Normal 106 2 3 43" xfId="10878"/>
    <cellStyle name="Normal 106 2 3 44" xfId="11129"/>
    <cellStyle name="Normal 106 2 3 45" xfId="11380"/>
    <cellStyle name="Normal 106 2 3 46" xfId="11631"/>
    <cellStyle name="Normal 106 2 3 47" xfId="11882"/>
    <cellStyle name="Normal 106 2 3 48" xfId="12133"/>
    <cellStyle name="Normal 106 2 3 49" xfId="12384"/>
    <cellStyle name="Normal 106 2 3 5" xfId="1328"/>
    <cellStyle name="Normal 106 2 3 50" xfId="12635"/>
    <cellStyle name="Normal 106 2 3 51" xfId="12886"/>
    <cellStyle name="Normal 106 2 3 52" xfId="13137"/>
    <cellStyle name="Normal 106 2 3 53" xfId="13388"/>
    <cellStyle name="Normal 106 2 3 54" xfId="13639"/>
    <cellStyle name="Normal 106 2 3 55" xfId="13890"/>
    <cellStyle name="Normal 106 2 3 56" xfId="14141"/>
    <cellStyle name="Normal 106 2 3 57" xfId="14392"/>
    <cellStyle name="Normal 106 2 3 58" xfId="14643"/>
    <cellStyle name="Normal 106 2 3 59" xfId="14894"/>
    <cellStyle name="Normal 106 2 3 6" xfId="1583"/>
    <cellStyle name="Normal 106 2 3 60" xfId="15145"/>
    <cellStyle name="Normal 106 2 3 61" xfId="15395"/>
    <cellStyle name="Normal 106 2 3 62" xfId="15644"/>
    <cellStyle name="Normal 106 2 3 63" xfId="15894"/>
    <cellStyle name="Normal 106 2 3 64" xfId="16150"/>
    <cellStyle name="Normal 106 2 3 65" xfId="16401"/>
    <cellStyle name="Normal 106 2 3 66" xfId="16652"/>
    <cellStyle name="Normal 106 2 3 67" xfId="16903"/>
    <cellStyle name="Normal 106 2 3 68" xfId="17154"/>
    <cellStyle name="Normal 106 2 3 69" xfId="17405"/>
    <cellStyle name="Normal 106 2 3 7" xfId="1836"/>
    <cellStyle name="Normal 106 2 3 70" xfId="17656"/>
    <cellStyle name="Normal 106 2 3 71" xfId="17907"/>
    <cellStyle name="Normal 106 2 3 72" xfId="18158"/>
    <cellStyle name="Normal 106 2 3 73" xfId="18409"/>
    <cellStyle name="Normal 106 2 3 74" xfId="18660"/>
    <cellStyle name="Normal 106 2 3 75" xfId="18911"/>
    <cellStyle name="Normal 106 2 3 76" xfId="19161"/>
    <cellStyle name="Normal 106 2 3 77" xfId="19412"/>
    <cellStyle name="Normal 106 2 3 78" xfId="19663"/>
    <cellStyle name="Normal 106 2 3 79" xfId="19919"/>
    <cellStyle name="Normal 106 2 3 8" xfId="2093"/>
    <cellStyle name="Normal 106 2 3 80" xfId="20171"/>
    <cellStyle name="Normal 106 2 3 81" xfId="20423"/>
    <cellStyle name="Normal 106 2 3 82" xfId="20675"/>
    <cellStyle name="Normal 106 2 3 83" xfId="20925"/>
    <cellStyle name="Normal 106 2 3 84" xfId="21174"/>
    <cellStyle name="Normal 106 2 3 85" xfId="21422"/>
    <cellStyle name="Normal 106 2 3 86" xfId="21666"/>
    <cellStyle name="Normal 106 2 3 87" xfId="21908"/>
    <cellStyle name="Normal 106 2 3 88" xfId="22149"/>
    <cellStyle name="Normal 106 2 3 9" xfId="2344"/>
    <cellStyle name="Normal 106 2 30" xfId="6944"/>
    <cellStyle name="Normal 106 2 31" xfId="7195"/>
    <cellStyle name="Normal 106 2 32" xfId="7446"/>
    <cellStyle name="Normal 106 2 33" xfId="7697"/>
    <cellStyle name="Normal 106 2 34" xfId="7948"/>
    <cellStyle name="Normal 106 2 35" xfId="8199"/>
    <cellStyle name="Normal 106 2 36" xfId="8450"/>
    <cellStyle name="Normal 106 2 37" xfId="8701"/>
    <cellStyle name="Normal 106 2 38" xfId="8952"/>
    <cellStyle name="Normal 106 2 39" xfId="9203"/>
    <cellStyle name="Normal 106 2 4" xfId="404"/>
    <cellStyle name="Normal 106 2 40" xfId="9454"/>
    <cellStyle name="Normal 106 2 41" xfId="9705"/>
    <cellStyle name="Normal 106 2 42" xfId="9956"/>
    <cellStyle name="Normal 106 2 43" xfId="10207"/>
    <cellStyle name="Normal 106 2 44" xfId="10458"/>
    <cellStyle name="Normal 106 2 45" xfId="10709"/>
    <cellStyle name="Normal 106 2 46" xfId="10960"/>
    <cellStyle name="Normal 106 2 47" xfId="11211"/>
    <cellStyle name="Normal 106 2 48" xfId="11462"/>
    <cellStyle name="Normal 106 2 49" xfId="11713"/>
    <cellStyle name="Normal 106 2 5" xfId="653"/>
    <cellStyle name="Normal 106 2 50" xfId="11964"/>
    <cellStyle name="Normal 106 2 51" xfId="12215"/>
    <cellStyle name="Normal 106 2 52" xfId="12466"/>
    <cellStyle name="Normal 106 2 53" xfId="12717"/>
    <cellStyle name="Normal 106 2 54" xfId="12968"/>
    <cellStyle name="Normal 106 2 55" xfId="13219"/>
    <cellStyle name="Normal 106 2 56" xfId="13470"/>
    <cellStyle name="Normal 106 2 57" xfId="13721"/>
    <cellStyle name="Normal 106 2 58" xfId="13972"/>
    <cellStyle name="Normal 106 2 59" xfId="14223"/>
    <cellStyle name="Normal 106 2 6" xfId="906"/>
    <cellStyle name="Normal 106 2 60" xfId="14474"/>
    <cellStyle name="Normal 106 2 61" xfId="14725"/>
    <cellStyle name="Normal 106 2 62" xfId="14975"/>
    <cellStyle name="Normal 106 2 63" xfId="15226"/>
    <cellStyle name="Normal 106 2 64" xfId="15477"/>
    <cellStyle name="Normal 106 2 65" xfId="15724"/>
    <cellStyle name="Normal 106 2 66" xfId="15981"/>
    <cellStyle name="Normal 106 2 67" xfId="16232"/>
    <cellStyle name="Normal 106 2 68" xfId="16483"/>
    <cellStyle name="Normal 106 2 69" xfId="16734"/>
    <cellStyle name="Normal 106 2 7" xfId="1161"/>
    <cellStyle name="Normal 106 2 70" xfId="16985"/>
    <cellStyle name="Normal 106 2 71" xfId="17236"/>
    <cellStyle name="Normal 106 2 72" xfId="17487"/>
    <cellStyle name="Normal 106 2 73" xfId="17738"/>
    <cellStyle name="Normal 106 2 74" xfId="17989"/>
    <cellStyle name="Normal 106 2 75" xfId="18240"/>
    <cellStyle name="Normal 106 2 76" xfId="18491"/>
    <cellStyle name="Normal 106 2 77" xfId="18741"/>
    <cellStyle name="Normal 106 2 78" xfId="18992"/>
    <cellStyle name="Normal 106 2 79" xfId="19243"/>
    <cellStyle name="Normal 106 2 8" xfId="1414"/>
    <cellStyle name="Normal 106 2 80" xfId="19493"/>
    <cellStyle name="Normal 106 2 81" xfId="19749"/>
    <cellStyle name="Normal 106 2 82" xfId="20001"/>
    <cellStyle name="Normal 106 2 83" xfId="20253"/>
    <cellStyle name="Normal 106 2 84" xfId="20505"/>
    <cellStyle name="Normal 106 2 85" xfId="20755"/>
    <cellStyle name="Normal 106 2 86" xfId="21005"/>
    <cellStyle name="Normal 106 2 87" xfId="21256"/>
    <cellStyle name="Normal 106 2 88" xfId="21500"/>
    <cellStyle name="Normal 106 2 89" xfId="21744"/>
    <cellStyle name="Normal 106 2 9" xfId="1667"/>
    <cellStyle name="Normal 106 2 90" xfId="21985"/>
    <cellStyle name="Normal 106 20" xfId="4150"/>
    <cellStyle name="Normal 106 21" xfId="4401"/>
    <cellStyle name="Normal 106 22" xfId="4652"/>
    <cellStyle name="Normal 106 23" xfId="4903"/>
    <cellStyle name="Normal 106 24" xfId="5154"/>
    <cellStyle name="Normal 106 25" xfId="5405"/>
    <cellStyle name="Normal 106 26" xfId="5656"/>
    <cellStyle name="Normal 106 27" xfId="5907"/>
    <cellStyle name="Normal 106 28" xfId="6158"/>
    <cellStyle name="Normal 106 29" xfId="6409"/>
    <cellStyle name="Normal 106 3" xfId="186"/>
    <cellStyle name="Normal 106 3 10" xfId="2486"/>
    <cellStyle name="Normal 106 3 11" xfId="2737"/>
    <cellStyle name="Normal 106 3 12" xfId="2988"/>
    <cellStyle name="Normal 106 3 13" xfId="3239"/>
    <cellStyle name="Normal 106 3 14" xfId="3490"/>
    <cellStyle name="Normal 106 3 15" xfId="3741"/>
    <cellStyle name="Normal 106 3 16" xfId="3992"/>
    <cellStyle name="Normal 106 3 17" xfId="4243"/>
    <cellStyle name="Normal 106 3 18" xfId="4494"/>
    <cellStyle name="Normal 106 3 19" xfId="4745"/>
    <cellStyle name="Normal 106 3 2" xfId="463"/>
    <cellStyle name="Normal 106 3 20" xfId="4996"/>
    <cellStyle name="Normal 106 3 21" xfId="5247"/>
    <cellStyle name="Normal 106 3 22" xfId="5498"/>
    <cellStyle name="Normal 106 3 23" xfId="5749"/>
    <cellStyle name="Normal 106 3 24" xfId="6000"/>
    <cellStyle name="Normal 106 3 25" xfId="6251"/>
    <cellStyle name="Normal 106 3 26" xfId="6502"/>
    <cellStyle name="Normal 106 3 27" xfId="6753"/>
    <cellStyle name="Normal 106 3 28" xfId="7004"/>
    <cellStyle name="Normal 106 3 29" xfId="7255"/>
    <cellStyle name="Normal 106 3 3" xfId="713"/>
    <cellStyle name="Normal 106 3 30" xfId="7506"/>
    <cellStyle name="Normal 106 3 31" xfId="7757"/>
    <cellStyle name="Normal 106 3 32" xfId="8008"/>
    <cellStyle name="Normal 106 3 33" xfId="8259"/>
    <cellStyle name="Normal 106 3 34" xfId="8510"/>
    <cellStyle name="Normal 106 3 35" xfId="8761"/>
    <cellStyle name="Normal 106 3 36" xfId="9012"/>
    <cellStyle name="Normal 106 3 37" xfId="9263"/>
    <cellStyle name="Normal 106 3 38" xfId="9514"/>
    <cellStyle name="Normal 106 3 39" xfId="9765"/>
    <cellStyle name="Normal 106 3 4" xfId="966"/>
    <cellStyle name="Normal 106 3 40" xfId="10016"/>
    <cellStyle name="Normal 106 3 41" xfId="10267"/>
    <cellStyle name="Normal 106 3 42" xfId="10518"/>
    <cellStyle name="Normal 106 3 43" xfId="10769"/>
    <cellStyle name="Normal 106 3 44" xfId="11020"/>
    <cellStyle name="Normal 106 3 45" xfId="11271"/>
    <cellStyle name="Normal 106 3 46" xfId="11522"/>
    <cellStyle name="Normal 106 3 47" xfId="11773"/>
    <cellStyle name="Normal 106 3 48" xfId="12024"/>
    <cellStyle name="Normal 106 3 49" xfId="12275"/>
    <cellStyle name="Normal 106 3 5" xfId="1221"/>
    <cellStyle name="Normal 106 3 50" xfId="12526"/>
    <cellStyle name="Normal 106 3 51" xfId="12777"/>
    <cellStyle name="Normal 106 3 52" xfId="13028"/>
    <cellStyle name="Normal 106 3 53" xfId="13279"/>
    <cellStyle name="Normal 106 3 54" xfId="13530"/>
    <cellStyle name="Normal 106 3 55" xfId="13781"/>
    <cellStyle name="Normal 106 3 56" xfId="14032"/>
    <cellStyle name="Normal 106 3 57" xfId="14283"/>
    <cellStyle name="Normal 106 3 58" xfId="14534"/>
    <cellStyle name="Normal 106 3 59" xfId="14785"/>
    <cellStyle name="Normal 106 3 6" xfId="1474"/>
    <cellStyle name="Normal 106 3 60" xfId="15036"/>
    <cellStyle name="Normal 106 3 61" xfId="15286"/>
    <cellStyle name="Normal 106 3 62" xfId="15537"/>
    <cellStyle name="Normal 106 3 63" xfId="15785"/>
    <cellStyle name="Normal 106 3 64" xfId="16041"/>
    <cellStyle name="Normal 106 3 65" xfId="16292"/>
    <cellStyle name="Normal 106 3 66" xfId="16543"/>
    <cellStyle name="Normal 106 3 67" xfId="16794"/>
    <cellStyle name="Normal 106 3 68" xfId="17045"/>
    <cellStyle name="Normal 106 3 69" xfId="17296"/>
    <cellStyle name="Normal 106 3 7" xfId="1728"/>
    <cellStyle name="Normal 106 3 70" xfId="17547"/>
    <cellStyle name="Normal 106 3 71" xfId="17798"/>
    <cellStyle name="Normal 106 3 72" xfId="18049"/>
    <cellStyle name="Normal 106 3 73" xfId="18300"/>
    <cellStyle name="Normal 106 3 74" xfId="18551"/>
    <cellStyle name="Normal 106 3 75" xfId="18802"/>
    <cellStyle name="Normal 106 3 76" xfId="19052"/>
    <cellStyle name="Normal 106 3 77" xfId="19304"/>
    <cellStyle name="Normal 106 3 78" xfId="19554"/>
    <cellStyle name="Normal 106 3 79" xfId="19810"/>
    <cellStyle name="Normal 106 3 8" xfId="1984"/>
    <cellStyle name="Normal 106 3 80" xfId="20062"/>
    <cellStyle name="Normal 106 3 81" xfId="20314"/>
    <cellStyle name="Normal 106 3 82" xfId="20566"/>
    <cellStyle name="Normal 106 3 83" xfId="20816"/>
    <cellStyle name="Normal 106 3 84" xfId="21066"/>
    <cellStyle name="Normal 106 3 85" xfId="21315"/>
    <cellStyle name="Normal 106 3 86" xfId="21559"/>
    <cellStyle name="Normal 106 3 87" xfId="21803"/>
    <cellStyle name="Normal 106 3 88" xfId="22044"/>
    <cellStyle name="Normal 106 3 9" xfId="2235"/>
    <cellStyle name="Normal 106 30" xfId="6660"/>
    <cellStyle name="Normal 106 31" xfId="6911"/>
    <cellStyle name="Normal 106 32" xfId="7162"/>
    <cellStyle name="Normal 106 33" xfId="7413"/>
    <cellStyle name="Normal 106 34" xfId="7664"/>
    <cellStyle name="Normal 106 35" xfId="7915"/>
    <cellStyle name="Normal 106 36" xfId="8166"/>
    <cellStyle name="Normal 106 37" xfId="8417"/>
    <cellStyle name="Normal 106 38" xfId="8668"/>
    <cellStyle name="Normal 106 39" xfId="8919"/>
    <cellStyle name="Normal 106 4" xfId="262"/>
    <cellStyle name="Normal 106 4 10" xfId="2562"/>
    <cellStyle name="Normal 106 4 11" xfId="2813"/>
    <cellStyle name="Normal 106 4 12" xfId="3064"/>
    <cellStyle name="Normal 106 4 13" xfId="3315"/>
    <cellStyle name="Normal 106 4 14" xfId="3566"/>
    <cellStyle name="Normal 106 4 15" xfId="3817"/>
    <cellStyle name="Normal 106 4 16" xfId="4068"/>
    <cellStyle name="Normal 106 4 17" xfId="4319"/>
    <cellStyle name="Normal 106 4 18" xfId="4570"/>
    <cellStyle name="Normal 106 4 19" xfId="4821"/>
    <cellStyle name="Normal 106 4 2" xfId="538"/>
    <cellStyle name="Normal 106 4 20" xfId="5072"/>
    <cellStyle name="Normal 106 4 21" xfId="5323"/>
    <cellStyle name="Normal 106 4 22" xfId="5574"/>
    <cellStyle name="Normal 106 4 23" xfId="5825"/>
    <cellStyle name="Normal 106 4 24" xfId="6076"/>
    <cellStyle name="Normal 106 4 25" xfId="6327"/>
    <cellStyle name="Normal 106 4 26" xfId="6578"/>
    <cellStyle name="Normal 106 4 27" xfId="6829"/>
    <cellStyle name="Normal 106 4 28" xfId="7080"/>
    <cellStyle name="Normal 106 4 29" xfId="7331"/>
    <cellStyle name="Normal 106 4 3" xfId="788"/>
    <cellStyle name="Normal 106 4 30" xfId="7582"/>
    <cellStyle name="Normal 106 4 31" xfId="7833"/>
    <cellStyle name="Normal 106 4 32" xfId="8084"/>
    <cellStyle name="Normal 106 4 33" xfId="8335"/>
    <cellStyle name="Normal 106 4 34" xfId="8586"/>
    <cellStyle name="Normal 106 4 35" xfId="8837"/>
    <cellStyle name="Normal 106 4 36" xfId="9088"/>
    <cellStyle name="Normal 106 4 37" xfId="9339"/>
    <cellStyle name="Normal 106 4 38" xfId="9590"/>
    <cellStyle name="Normal 106 4 39" xfId="9841"/>
    <cellStyle name="Normal 106 4 4" xfId="1040"/>
    <cellStyle name="Normal 106 4 40" xfId="10092"/>
    <cellStyle name="Normal 106 4 41" xfId="10343"/>
    <cellStyle name="Normal 106 4 42" xfId="10594"/>
    <cellStyle name="Normal 106 4 43" xfId="10845"/>
    <cellStyle name="Normal 106 4 44" xfId="11096"/>
    <cellStyle name="Normal 106 4 45" xfId="11347"/>
    <cellStyle name="Normal 106 4 46" xfId="11598"/>
    <cellStyle name="Normal 106 4 47" xfId="11849"/>
    <cellStyle name="Normal 106 4 48" xfId="12100"/>
    <cellStyle name="Normal 106 4 49" xfId="12351"/>
    <cellStyle name="Normal 106 4 5" xfId="1296"/>
    <cellStyle name="Normal 106 4 50" xfId="12602"/>
    <cellStyle name="Normal 106 4 51" xfId="12853"/>
    <cellStyle name="Normal 106 4 52" xfId="13104"/>
    <cellStyle name="Normal 106 4 53" xfId="13355"/>
    <cellStyle name="Normal 106 4 54" xfId="13606"/>
    <cellStyle name="Normal 106 4 55" xfId="13857"/>
    <cellStyle name="Normal 106 4 56" xfId="14108"/>
    <cellStyle name="Normal 106 4 57" xfId="14359"/>
    <cellStyle name="Normal 106 4 58" xfId="14610"/>
    <cellStyle name="Normal 106 4 59" xfId="14861"/>
    <cellStyle name="Normal 106 4 6" xfId="1550"/>
    <cellStyle name="Normal 106 4 60" xfId="15112"/>
    <cellStyle name="Normal 106 4 61" xfId="15362"/>
    <cellStyle name="Normal 106 4 62" xfId="15612"/>
    <cellStyle name="Normal 106 4 63" xfId="15861"/>
    <cellStyle name="Normal 106 4 64" xfId="16117"/>
    <cellStyle name="Normal 106 4 65" xfId="16368"/>
    <cellStyle name="Normal 106 4 66" xfId="16619"/>
    <cellStyle name="Normal 106 4 67" xfId="16870"/>
    <cellStyle name="Normal 106 4 68" xfId="17121"/>
    <cellStyle name="Normal 106 4 69" xfId="17372"/>
    <cellStyle name="Normal 106 4 7" xfId="1803"/>
    <cellStyle name="Normal 106 4 70" xfId="17623"/>
    <cellStyle name="Normal 106 4 71" xfId="17874"/>
    <cellStyle name="Normal 106 4 72" xfId="18125"/>
    <cellStyle name="Normal 106 4 73" xfId="18376"/>
    <cellStyle name="Normal 106 4 74" xfId="18627"/>
    <cellStyle name="Normal 106 4 75" xfId="18878"/>
    <cellStyle name="Normal 106 4 76" xfId="19128"/>
    <cellStyle name="Normal 106 4 77" xfId="19380"/>
    <cellStyle name="Normal 106 4 78" xfId="19630"/>
    <cellStyle name="Normal 106 4 79" xfId="19886"/>
    <cellStyle name="Normal 106 4 8" xfId="2060"/>
    <cellStyle name="Normal 106 4 80" xfId="20138"/>
    <cellStyle name="Normal 106 4 81" xfId="20390"/>
    <cellStyle name="Normal 106 4 82" xfId="20642"/>
    <cellStyle name="Normal 106 4 83" xfId="20892"/>
    <cellStyle name="Normal 106 4 84" xfId="21142"/>
    <cellStyle name="Normal 106 4 85" xfId="21390"/>
    <cellStyle name="Normal 106 4 86" xfId="21634"/>
    <cellStyle name="Normal 106 4 87" xfId="21877"/>
    <cellStyle name="Normal 106 4 88" xfId="22118"/>
    <cellStyle name="Normal 106 4 9" xfId="2311"/>
    <cellStyle name="Normal 106 40" xfId="9170"/>
    <cellStyle name="Normal 106 41" xfId="9421"/>
    <cellStyle name="Normal 106 42" xfId="9672"/>
    <cellStyle name="Normal 106 43" xfId="9923"/>
    <cellStyle name="Normal 106 44" xfId="10174"/>
    <cellStyle name="Normal 106 45" xfId="10425"/>
    <cellStyle name="Normal 106 46" xfId="10676"/>
    <cellStyle name="Normal 106 47" xfId="10927"/>
    <cellStyle name="Normal 106 48" xfId="11178"/>
    <cellStyle name="Normal 106 49" xfId="11429"/>
    <cellStyle name="Normal 106 5" xfId="371"/>
    <cellStyle name="Normal 106 50" xfId="11680"/>
    <cellStyle name="Normal 106 51" xfId="11931"/>
    <cellStyle name="Normal 106 52" xfId="12182"/>
    <cellStyle name="Normal 106 53" xfId="12433"/>
    <cellStyle name="Normal 106 54" xfId="12684"/>
    <cellStyle name="Normal 106 55" xfId="12935"/>
    <cellStyle name="Normal 106 56" xfId="13186"/>
    <cellStyle name="Normal 106 57" xfId="13437"/>
    <cellStyle name="Normal 106 58" xfId="13688"/>
    <cellStyle name="Normal 106 59" xfId="13939"/>
    <cellStyle name="Normal 106 6" xfId="620"/>
    <cellStyle name="Normal 106 60" xfId="14190"/>
    <cellStyle name="Normal 106 61" xfId="14441"/>
    <cellStyle name="Normal 106 62" xfId="14692"/>
    <cellStyle name="Normal 106 63" xfId="14942"/>
    <cellStyle name="Normal 106 64" xfId="15193"/>
    <cellStyle name="Normal 106 65" xfId="15444"/>
    <cellStyle name="Normal 106 66" xfId="15691"/>
    <cellStyle name="Normal 106 67" xfId="15948"/>
    <cellStyle name="Normal 106 68" xfId="16199"/>
    <cellStyle name="Normal 106 69" xfId="16450"/>
    <cellStyle name="Normal 106 7" xfId="873"/>
    <cellStyle name="Normal 106 70" xfId="16701"/>
    <cellStyle name="Normal 106 71" xfId="16952"/>
    <cellStyle name="Normal 106 72" xfId="17203"/>
    <cellStyle name="Normal 106 73" xfId="17454"/>
    <cellStyle name="Normal 106 74" xfId="17705"/>
    <cellStyle name="Normal 106 75" xfId="17956"/>
    <cellStyle name="Normal 106 76" xfId="18207"/>
    <cellStyle name="Normal 106 77" xfId="18458"/>
    <cellStyle name="Normal 106 78" xfId="18708"/>
    <cellStyle name="Normal 106 79" xfId="18959"/>
    <cellStyle name="Normal 106 8" xfId="1128"/>
    <cellStyle name="Normal 106 80" xfId="19210"/>
    <cellStyle name="Normal 106 81" xfId="19460"/>
    <cellStyle name="Normal 106 82" xfId="19716"/>
    <cellStyle name="Normal 106 83" xfId="19968"/>
    <cellStyle name="Normal 106 84" xfId="20220"/>
    <cellStyle name="Normal 106 85" xfId="20472"/>
    <cellStyle name="Normal 106 86" xfId="20722"/>
    <cellStyle name="Normal 106 87" xfId="20972"/>
    <cellStyle name="Normal 106 88" xfId="21223"/>
    <cellStyle name="Normal 106 89" xfId="21467"/>
    <cellStyle name="Normal 106 9" xfId="1381"/>
    <cellStyle name="Normal 106 90" xfId="21711"/>
    <cellStyle name="Normal 106 91" xfId="21952"/>
    <cellStyle name="Normal 107" xfId="24679"/>
    <cellStyle name="Normal 108" xfId="15008"/>
    <cellStyle name="Normal 109" xfId="24680"/>
    <cellStyle name="Normal 11" xfId="129"/>
    <cellStyle name="Normal 11 10" xfId="1928"/>
    <cellStyle name="Normal 11 11" xfId="2179"/>
    <cellStyle name="Normal 11 12" xfId="2430"/>
    <cellStyle name="Normal 11 13" xfId="2681"/>
    <cellStyle name="Normal 11 14" xfId="2932"/>
    <cellStyle name="Normal 11 15" xfId="3183"/>
    <cellStyle name="Normal 11 16" xfId="3434"/>
    <cellStyle name="Normal 11 17" xfId="3685"/>
    <cellStyle name="Normal 11 18" xfId="3936"/>
    <cellStyle name="Normal 11 19" xfId="4187"/>
    <cellStyle name="Normal 11 2" xfId="223"/>
    <cellStyle name="Normal 11 2 10" xfId="2523"/>
    <cellStyle name="Normal 11 2 11" xfId="2774"/>
    <cellStyle name="Normal 11 2 12" xfId="3025"/>
    <cellStyle name="Normal 11 2 13" xfId="3276"/>
    <cellStyle name="Normal 11 2 14" xfId="3527"/>
    <cellStyle name="Normal 11 2 15" xfId="3778"/>
    <cellStyle name="Normal 11 2 16" xfId="4029"/>
    <cellStyle name="Normal 11 2 17" xfId="4280"/>
    <cellStyle name="Normal 11 2 18" xfId="4531"/>
    <cellStyle name="Normal 11 2 19" xfId="4782"/>
    <cellStyle name="Normal 11 2 2" xfId="500"/>
    <cellStyle name="Normal 11 2 20" xfId="5033"/>
    <cellStyle name="Normal 11 2 21" xfId="5284"/>
    <cellStyle name="Normal 11 2 22" xfId="5535"/>
    <cellStyle name="Normal 11 2 23" xfId="5786"/>
    <cellStyle name="Normal 11 2 24" xfId="6037"/>
    <cellStyle name="Normal 11 2 25" xfId="6288"/>
    <cellStyle name="Normal 11 2 26" xfId="6539"/>
    <cellStyle name="Normal 11 2 27" xfId="6790"/>
    <cellStyle name="Normal 11 2 28" xfId="7041"/>
    <cellStyle name="Normal 11 2 29" xfId="7292"/>
    <cellStyle name="Normal 11 2 3" xfId="750"/>
    <cellStyle name="Normal 11 2 30" xfId="7543"/>
    <cellStyle name="Normal 11 2 31" xfId="7794"/>
    <cellStyle name="Normal 11 2 32" xfId="8045"/>
    <cellStyle name="Normal 11 2 33" xfId="8296"/>
    <cellStyle name="Normal 11 2 34" xfId="8547"/>
    <cellStyle name="Normal 11 2 35" xfId="8798"/>
    <cellStyle name="Normal 11 2 36" xfId="9049"/>
    <cellStyle name="Normal 11 2 37" xfId="9300"/>
    <cellStyle name="Normal 11 2 38" xfId="9551"/>
    <cellStyle name="Normal 11 2 39" xfId="9802"/>
    <cellStyle name="Normal 11 2 4" xfId="1003"/>
    <cellStyle name="Normal 11 2 40" xfId="10053"/>
    <cellStyle name="Normal 11 2 41" xfId="10304"/>
    <cellStyle name="Normal 11 2 42" xfId="10555"/>
    <cellStyle name="Normal 11 2 43" xfId="10806"/>
    <cellStyle name="Normal 11 2 44" xfId="11057"/>
    <cellStyle name="Normal 11 2 45" xfId="11308"/>
    <cellStyle name="Normal 11 2 46" xfId="11559"/>
    <cellStyle name="Normal 11 2 47" xfId="11810"/>
    <cellStyle name="Normal 11 2 48" xfId="12061"/>
    <cellStyle name="Normal 11 2 49" xfId="12312"/>
    <cellStyle name="Normal 11 2 5" xfId="1258"/>
    <cellStyle name="Normal 11 2 50" xfId="12563"/>
    <cellStyle name="Normal 11 2 51" xfId="12814"/>
    <cellStyle name="Normal 11 2 52" xfId="13065"/>
    <cellStyle name="Normal 11 2 53" xfId="13316"/>
    <cellStyle name="Normal 11 2 54" xfId="13567"/>
    <cellStyle name="Normal 11 2 55" xfId="13818"/>
    <cellStyle name="Normal 11 2 56" xfId="14069"/>
    <cellStyle name="Normal 11 2 57" xfId="14320"/>
    <cellStyle name="Normal 11 2 58" xfId="14571"/>
    <cellStyle name="Normal 11 2 59" xfId="14822"/>
    <cellStyle name="Normal 11 2 6" xfId="1511"/>
    <cellStyle name="Normal 11 2 60" xfId="15073"/>
    <cellStyle name="Normal 11 2 61" xfId="15323"/>
    <cellStyle name="Normal 11 2 62" xfId="15574"/>
    <cellStyle name="Normal 11 2 63" xfId="15822"/>
    <cellStyle name="Normal 11 2 64" xfId="16078"/>
    <cellStyle name="Normal 11 2 65" xfId="16329"/>
    <cellStyle name="Normal 11 2 66" xfId="16580"/>
    <cellStyle name="Normal 11 2 67" xfId="16831"/>
    <cellStyle name="Normal 11 2 68" xfId="17082"/>
    <cellStyle name="Normal 11 2 69" xfId="17333"/>
    <cellStyle name="Normal 11 2 7" xfId="1765"/>
    <cellStyle name="Normal 11 2 70" xfId="17584"/>
    <cellStyle name="Normal 11 2 71" xfId="17835"/>
    <cellStyle name="Normal 11 2 72" xfId="18086"/>
    <cellStyle name="Normal 11 2 73" xfId="18337"/>
    <cellStyle name="Normal 11 2 74" xfId="18588"/>
    <cellStyle name="Normal 11 2 75" xfId="18839"/>
    <cellStyle name="Normal 11 2 76" xfId="19089"/>
    <cellStyle name="Normal 11 2 77" xfId="19341"/>
    <cellStyle name="Normal 11 2 78" xfId="19591"/>
    <cellStyle name="Normal 11 2 79" xfId="19847"/>
    <cellStyle name="Normal 11 2 8" xfId="2021"/>
    <cellStyle name="Normal 11 2 80" xfId="20099"/>
    <cellStyle name="Normal 11 2 81" xfId="20351"/>
    <cellStyle name="Normal 11 2 82" xfId="20603"/>
    <cellStyle name="Normal 11 2 83" xfId="20853"/>
    <cellStyle name="Normal 11 2 84" xfId="21103"/>
    <cellStyle name="Normal 11 2 85" xfId="21352"/>
    <cellStyle name="Normal 11 2 86" xfId="21596"/>
    <cellStyle name="Normal 11 2 87" xfId="21840"/>
    <cellStyle name="Normal 11 2 88" xfId="22081"/>
    <cellStyle name="Normal 11 2 9" xfId="2272"/>
    <cellStyle name="Normal 11 20" xfId="4438"/>
    <cellStyle name="Normal 11 21" xfId="4689"/>
    <cellStyle name="Normal 11 22" xfId="4940"/>
    <cellStyle name="Normal 11 23" xfId="5191"/>
    <cellStyle name="Normal 11 24" xfId="5442"/>
    <cellStyle name="Normal 11 25" xfId="5693"/>
    <cellStyle name="Normal 11 26" xfId="5944"/>
    <cellStyle name="Normal 11 27" xfId="6195"/>
    <cellStyle name="Normal 11 28" xfId="6446"/>
    <cellStyle name="Normal 11 29" xfId="6697"/>
    <cellStyle name="Normal 11 3" xfId="299"/>
    <cellStyle name="Normal 11 3 10" xfId="2599"/>
    <cellStyle name="Normal 11 3 11" xfId="2850"/>
    <cellStyle name="Normal 11 3 12" xfId="3101"/>
    <cellStyle name="Normal 11 3 13" xfId="3352"/>
    <cellStyle name="Normal 11 3 14" xfId="3603"/>
    <cellStyle name="Normal 11 3 15" xfId="3854"/>
    <cellStyle name="Normal 11 3 16" xfId="4105"/>
    <cellStyle name="Normal 11 3 17" xfId="4356"/>
    <cellStyle name="Normal 11 3 18" xfId="4607"/>
    <cellStyle name="Normal 11 3 19" xfId="4858"/>
    <cellStyle name="Normal 11 3 2" xfId="574"/>
    <cellStyle name="Normal 11 3 20" xfId="5109"/>
    <cellStyle name="Normal 11 3 21" xfId="5360"/>
    <cellStyle name="Normal 11 3 22" xfId="5611"/>
    <cellStyle name="Normal 11 3 23" xfId="5862"/>
    <cellStyle name="Normal 11 3 24" xfId="6113"/>
    <cellStyle name="Normal 11 3 25" xfId="6364"/>
    <cellStyle name="Normal 11 3 26" xfId="6615"/>
    <cellStyle name="Normal 11 3 27" xfId="6866"/>
    <cellStyle name="Normal 11 3 28" xfId="7117"/>
    <cellStyle name="Normal 11 3 29" xfId="7368"/>
    <cellStyle name="Normal 11 3 3" xfId="824"/>
    <cellStyle name="Normal 11 3 30" xfId="7619"/>
    <cellStyle name="Normal 11 3 31" xfId="7870"/>
    <cellStyle name="Normal 11 3 32" xfId="8121"/>
    <cellStyle name="Normal 11 3 33" xfId="8372"/>
    <cellStyle name="Normal 11 3 34" xfId="8623"/>
    <cellStyle name="Normal 11 3 35" xfId="8874"/>
    <cellStyle name="Normal 11 3 36" xfId="9125"/>
    <cellStyle name="Normal 11 3 37" xfId="9376"/>
    <cellStyle name="Normal 11 3 38" xfId="9627"/>
    <cellStyle name="Normal 11 3 39" xfId="9878"/>
    <cellStyle name="Normal 11 3 4" xfId="1076"/>
    <cellStyle name="Normal 11 3 40" xfId="10129"/>
    <cellStyle name="Normal 11 3 41" xfId="10380"/>
    <cellStyle name="Normal 11 3 42" xfId="10631"/>
    <cellStyle name="Normal 11 3 43" xfId="10882"/>
    <cellStyle name="Normal 11 3 44" xfId="11133"/>
    <cellStyle name="Normal 11 3 45" xfId="11384"/>
    <cellStyle name="Normal 11 3 46" xfId="11635"/>
    <cellStyle name="Normal 11 3 47" xfId="11886"/>
    <cellStyle name="Normal 11 3 48" xfId="12137"/>
    <cellStyle name="Normal 11 3 49" xfId="12388"/>
    <cellStyle name="Normal 11 3 5" xfId="1332"/>
    <cellStyle name="Normal 11 3 50" xfId="12639"/>
    <cellStyle name="Normal 11 3 51" xfId="12890"/>
    <cellStyle name="Normal 11 3 52" xfId="13141"/>
    <cellStyle name="Normal 11 3 53" xfId="13392"/>
    <cellStyle name="Normal 11 3 54" xfId="13643"/>
    <cellStyle name="Normal 11 3 55" xfId="13894"/>
    <cellStyle name="Normal 11 3 56" xfId="14145"/>
    <cellStyle name="Normal 11 3 57" xfId="14396"/>
    <cellStyle name="Normal 11 3 58" xfId="14647"/>
    <cellStyle name="Normal 11 3 59" xfId="14898"/>
    <cellStyle name="Normal 11 3 6" xfId="1587"/>
    <cellStyle name="Normal 11 3 60" xfId="15149"/>
    <cellStyle name="Normal 11 3 61" xfId="15399"/>
    <cellStyle name="Normal 11 3 62" xfId="15648"/>
    <cellStyle name="Normal 11 3 63" xfId="15898"/>
    <cellStyle name="Normal 11 3 64" xfId="16154"/>
    <cellStyle name="Normal 11 3 65" xfId="16405"/>
    <cellStyle name="Normal 11 3 66" xfId="16656"/>
    <cellStyle name="Normal 11 3 67" xfId="16907"/>
    <cellStyle name="Normal 11 3 68" xfId="17158"/>
    <cellStyle name="Normal 11 3 69" xfId="17409"/>
    <cellStyle name="Normal 11 3 7" xfId="1840"/>
    <cellStyle name="Normal 11 3 70" xfId="17660"/>
    <cellStyle name="Normal 11 3 71" xfId="17911"/>
    <cellStyle name="Normal 11 3 72" xfId="18162"/>
    <cellStyle name="Normal 11 3 73" xfId="18413"/>
    <cellStyle name="Normal 11 3 74" xfId="18664"/>
    <cellStyle name="Normal 11 3 75" xfId="18915"/>
    <cellStyle name="Normal 11 3 76" xfId="19165"/>
    <cellStyle name="Normal 11 3 77" xfId="19416"/>
    <cellStyle name="Normal 11 3 78" xfId="19667"/>
    <cellStyle name="Normal 11 3 79" xfId="19923"/>
    <cellStyle name="Normal 11 3 8" xfId="2097"/>
    <cellStyle name="Normal 11 3 80" xfId="20175"/>
    <cellStyle name="Normal 11 3 81" xfId="20427"/>
    <cellStyle name="Normal 11 3 82" xfId="20679"/>
    <cellStyle name="Normal 11 3 83" xfId="20929"/>
    <cellStyle name="Normal 11 3 84" xfId="21178"/>
    <cellStyle name="Normal 11 3 85" xfId="21426"/>
    <cellStyle name="Normal 11 3 86" xfId="21670"/>
    <cellStyle name="Normal 11 3 87" xfId="21912"/>
    <cellStyle name="Normal 11 3 88" xfId="22153"/>
    <cellStyle name="Normal 11 3 9" xfId="2348"/>
    <cellStyle name="Normal 11 30" xfId="6948"/>
    <cellStyle name="Normal 11 31" xfId="7199"/>
    <cellStyle name="Normal 11 31 2" xfId="22268"/>
    <cellStyle name="Normal 11 31_XI Introductory Section (version 3)" xfId="22269"/>
    <cellStyle name="Normal 11 32" xfId="7450"/>
    <cellStyle name="Normal 11 33" xfId="7701"/>
    <cellStyle name="Normal 11 34" xfId="7952"/>
    <cellStyle name="Normal 11 35" xfId="8203"/>
    <cellStyle name="Normal 11 36" xfId="8454"/>
    <cellStyle name="Normal 11 37" xfId="8705"/>
    <cellStyle name="Normal 11 38" xfId="8956"/>
    <cellStyle name="Normal 11 39" xfId="9207"/>
    <cellStyle name="Normal 11 4" xfId="408"/>
    <cellStyle name="Normal 11 40" xfId="9458"/>
    <cellStyle name="Normal 11 41" xfId="9709"/>
    <cellStyle name="Normal 11 42" xfId="9960"/>
    <cellStyle name="Normal 11 43" xfId="10211"/>
    <cellStyle name="Normal 11 44" xfId="10462"/>
    <cellStyle name="Normal 11 45" xfId="10713"/>
    <cellStyle name="Normal 11 46" xfId="10964"/>
    <cellStyle name="Normal 11 47" xfId="11215"/>
    <cellStyle name="Normal 11 48" xfId="11466"/>
    <cellStyle name="Normal 11 49" xfId="11717"/>
    <cellStyle name="Normal 11 5" xfId="657"/>
    <cellStyle name="Normal 11 50" xfId="11968"/>
    <cellStyle name="Normal 11 51" xfId="12219"/>
    <cellStyle name="Normal 11 52" xfId="12470"/>
    <cellStyle name="Normal 11 53" xfId="12721"/>
    <cellStyle name="Normal 11 54" xfId="12972"/>
    <cellStyle name="Normal 11 55" xfId="13223"/>
    <cellStyle name="Normal 11 56" xfId="13474"/>
    <cellStyle name="Normal 11 57" xfId="13725"/>
    <cellStyle name="Normal 11 58" xfId="13976"/>
    <cellStyle name="Normal 11 59" xfId="14227"/>
    <cellStyle name="Normal 11 6" xfId="910"/>
    <cellStyle name="Normal 11 60" xfId="14478"/>
    <cellStyle name="Normal 11 61" xfId="14729"/>
    <cellStyle name="Normal 11 62" xfId="14979"/>
    <cellStyle name="Normal 11 63" xfId="15230"/>
    <cellStyle name="Normal 11 64" xfId="15481"/>
    <cellStyle name="Normal 11 65" xfId="15728"/>
    <cellStyle name="Normal 11 66" xfId="15985"/>
    <cellStyle name="Normal 11 67" xfId="16236"/>
    <cellStyle name="Normal 11 68" xfId="16487"/>
    <cellStyle name="Normal 11 69" xfId="16738"/>
    <cellStyle name="Normal 11 7" xfId="1165"/>
    <cellStyle name="Normal 11 70" xfId="16989"/>
    <cellStyle name="Normal 11 71" xfId="17240"/>
    <cellStyle name="Normal 11 72" xfId="17491"/>
    <cellStyle name="Normal 11 73" xfId="17742"/>
    <cellStyle name="Normal 11 74" xfId="17993"/>
    <cellStyle name="Normal 11 75" xfId="18244"/>
    <cellStyle name="Normal 11 76" xfId="18495"/>
    <cellStyle name="Normal 11 77" xfId="18745"/>
    <cellStyle name="Normal 11 78" xfId="18996"/>
    <cellStyle name="Normal 11 79" xfId="19247"/>
    <cellStyle name="Normal 11 8" xfId="1418"/>
    <cellStyle name="Normal 11 80" xfId="19497"/>
    <cellStyle name="Normal 11 81" xfId="19753"/>
    <cellStyle name="Normal 11 82" xfId="20005"/>
    <cellStyle name="Normal 11 83" xfId="20257"/>
    <cellStyle name="Normal 11 84" xfId="20509"/>
    <cellStyle name="Normal 11 85" xfId="20759"/>
    <cellStyle name="Normal 11 86" xfId="21009"/>
    <cellStyle name="Normal 11 87" xfId="21260"/>
    <cellStyle name="Normal 11 88" xfId="21504"/>
    <cellStyle name="Normal 11 89" xfId="21748"/>
    <cellStyle name="Normal 11 9" xfId="1671"/>
    <cellStyle name="Normal 11 90" xfId="21989"/>
    <cellStyle name="Normal 11_XI Introductory Section (version 3)" xfId="22270"/>
    <cellStyle name="Normal 110" xfId="24681"/>
    <cellStyle name="Normal 111" xfId="24763"/>
    <cellStyle name="Normal 113" xfId="22188"/>
    <cellStyle name="Normal 114" xfId="22189"/>
    <cellStyle name="Normal 115" xfId="24682"/>
    <cellStyle name="Normal 116" xfId="24710"/>
    <cellStyle name="Normal 117" xfId="24726"/>
    <cellStyle name="Normal 118" xfId="93"/>
    <cellStyle name="Normal 118 10" xfId="1635"/>
    <cellStyle name="Normal 118 11" xfId="1892"/>
    <cellStyle name="Normal 118 12" xfId="2143"/>
    <cellStyle name="Normal 118 13" xfId="2394"/>
    <cellStyle name="Normal 118 14" xfId="2645"/>
    <cellStyle name="Normal 118 15" xfId="2896"/>
    <cellStyle name="Normal 118 16" xfId="3147"/>
    <cellStyle name="Normal 118 17" xfId="3398"/>
    <cellStyle name="Normal 118 18" xfId="3649"/>
    <cellStyle name="Normal 118 19" xfId="3900"/>
    <cellStyle name="Normal 118 2" xfId="126"/>
    <cellStyle name="Normal 118 2 10" xfId="1925"/>
    <cellStyle name="Normal 118 2 11" xfId="2176"/>
    <cellStyle name="Normal 118 2 12" xfId="2427"/>
    <cellStyle name="Normal 118 2 13" xfId="2678"/>
    <cellStyle name="Normal 118 2 14" xfId="2929"/>
    <cellStyle name="Normal 118 2 15" xfId="3180"/>
    <cellStyle name="Normal 118 2 16" xfId="3431"/>
    <cellStyle name="Normal 118 2 17" xfId="3682"/>
    <cellStyle name="Normal 118 2 18" xfId="3933"/>
    <cellStyle name="Normal 118 2 19" xfId="4184"/>
    <cellStyle name="Normal 118 2 2" xfId="220"/>
    <cellStyle name="Normal 118 2 2 10" xfId="2520"/>
    <cellStyle name="Normal 118 2 2 11" xfId="2771"/>
    <cellStyle name="Normal 118 2 2 12" xfId="3022"/>
    <cellStyle name="Normal 118 2 2 13" xfId="3273"/>
    <cellStyle name="Normal 118 2 2 14" xfId="3524"/>
    <cellStyle name="Normal 118 2 2 15" xfId="3775"/>
    <cellStyle name="Normal 118 2 2 16" xfId="4026"/>
    <cellStyle name="Normal 118 2 2 17" xfId="4277"/>
    <cellStyle name="Normal 118 2 2 18" xfId="4528"/>
    <cellStyle name="Normal 118 2 2 19" xfId="4779"/>
    <cellStyle name="Normal 118 2 2 2" xfId="497"/>
    <cellStyle name="Normal 118 2 2 20" xfId="5030"/>
    <cellStyle name="Normal 118 2 2 21" xfId="5281"/>
    <cellStyle name="Normal 118 2 2 22" xfId="5532"/>
    <cellStyle name="Normal 118 2 2 23" xfId="5783"/>
    <cellStyle name="Normal 118 2 2 24" xfId="6034"/>
    <cellStyle name="Normal 118 2 2 25" xfId="6285"/>
    <cellStyle name="Normal 118 2 2 26" xfId="6536"/>
    <cellStyle name="Normal 118 2 2 27" xfId="6787"/>
    <cellStyle name="Normal 118 2 2 28" xfId="7038"/>
    <cellStyle name="Normal 118 2 2 29" xfId="7289"/>
    <cellStyle name="Normal 118 2 2 3" xfId="747"/>
    <cellStyle name="Normal 118 2 2 30" xfId="7540"/>
    <cellStyle name="Normal 118 2 2 31" xfId="7791"/>
    <cellStyle name="Normal 118 2 2 32" xfId="8042"/>
    <cellStyle name="Normal 118 2 2 33" xfId="8293"/>
    <cellStyle name="Normal 118 2 2 34" xfId="8544"/>
    <cellStyle name="Normal 118 2 2 35" xfId="8795"/>
    <cellStyle name="Normal 118 2 2 36" xfId="9046"/>
    <cellStyle name="Normal 118 2 2 37" xfId="9297"/>
    <cellStyle name="Normal 118 2 2 38" xfId="9548"/>
    <cellStyle name="Normal 118 2 2 39" xfId="9799"/>
    <cellStyle name="Normal 118 2 2 4" xfId="1000"/>
    <cellStyle name="Normal 118 2 2 40" xfId="10050"/>
    <cellStyle name="Normal 118 2 2 41" xfId="10301"/>
    <cellStyle name="Normal 118 2 2 42" xfId="10552"/>
    <cellStyle name="Normal 118 2 2 43" xfId="10803"/>
    <cellStyle name="Normal 118 2 2 44" xfId="11054"/>
    <cellStyle name="Normal 118 2 2 45" xfId="11305"/>
    <cellStyle name="Normal 118 2 2 46" xfId="11556"/>
    <cellStyle name="Normal 118 2 2 47" xfId="11807"/>
    <cellStyle name="Normal 118 2 2 48" xfId="12058"/>
    <cellStyle name="Normal 118 2 2 49" xfId="12309"/>
    <cellStyle name="Normal 118 2 2 5" xfId="1255"/>
    <cellStyle name="Normal 118 2 2 50" xfId="12560"/>
    <cellStyle name="Normal 118 2 2 51" xfId="12811"/>
    <cellStyle name="Normal 118 2 2 52" xfId="13062"/>
    <cellStyle name="Normal 118 2 2 53" xfId="13313"/>
    <cellStyle name="Normal 118 2 2 54" xfId="13564"/>
    <cellStyle name="Normal 118 2 2 55" xfId="13815"/>
    <cellStyle name="Normal 118 2 2 56" xfId="14066"/>
    <cellStyle name="Normal 118 2 2 57" xfId="14317"/>
    <cellStyle name="Normal 118 2 2 58" xfId="14568"/>
    <cellStyle name="Normal 118 2 2 59" xfId="14819"/>
    <cellStyle name="Normal 118 2 2 6" xfId="1508"/>
    <cellStyle name="Normal 118 2 2 60" xfId="15070"/>
    <cellStyle name="Normal 118 2 2 61" xfId="15320"/>
    <cellStyle name="Normal 118 2 2 62" xfId="15571"/>
    <cellStyle name="Normal 118 2 2 63" xfId="15819"/>
    <cellStyle name="Normal 118 2 2 64" xfId="16075"/>
    <cellStyle name="Normal 118 2 2 65" xfId="16326"/>
    <cellStyle name="Normal 118 2 2 66" xfId="16577"/>
    <cellStyle name="Normal 118 2 2 67" xfId="16828"/>
    <cellStyle name="Normal 118 2 2 68" xfId="17079"/>
    <cellStyle name="Normal 118 2 2 69" xfId="17330"/>
    <cellStyle name="Normal 118 2 2 7" xfId="1762"/>
    <cellStyle name="Normal 118 2 2 70" xfId="17581"/>
    <cellStyle name="Normal 118 2 2 71" xfId="17832"/>
    <cellStyle name="Normal 118 2 2 72" xfId="18083"/>
    <cellStyle name="Normal 118 2 2 73" xfId="18334"/>
    <cellStyle name="Normal 118 2 2 74" xfId="18585"/>
    <cellStyle name="Normal 118 2 2 75" xfId="18836"/>
    <cellStyle name="Normal 118 2 2 76" xfId="19086"/>
    <cellStyle name="Normal 118 2 2 77" xfId="19338"/>
    <cellStyle name="Normal 118 2 2 78" xfId="19588"/>
    <cellStyle name="Normal 118 2 2 79" xfId="19844"/>
    <cellStyle name="Normal 118 2 2 8" xfId="2018"/>
    <cellStyle name="Normal 118 2 2 80" xfId="20096"/>
    <cellStyle name="Normal 118 2 2 81" xfId="20348"/>
    <cellStyle name="Normal 118 2 2 82" xfId="20600"/>
    <cellStyle name="Normal 118 2 2 83" xfId="20850"/>
    <cellStyle name="Normal 118 2 2 84" xfId="21100"/>
    <cellStyle name="Normal 118 2 2 85" xfId="21349"/>
    <cellStyle name="Normal 118 2 2 86" xfId="21593"/>
    <cellStyle name="Normal 118 2 2 87" xfId="21837"/>
    <cellStyle name="Normal 118 2 2 88" xfId="22078"/>
    <cellStyle name="Normal 118 2 2 9" xfId="2269"/>
    <cellStyle name="Normal 118 2 20" xfId="4435"/>
    <cellStyle name="Normal 118 2 21" xfId="4686"/>
    <cellStyle name="Normal 118 2 22" xfId="4937"/>
    <cellStyle name="Normal 118 2 23" xfId="5188"/>
    <cellStyle name="Normal 118 2 24" xfId="5439"/>
    <cellStyle name="Normal 118 2 25" xfId="5690"/>
    <cellStyle name="Normal 118 2 26" xfId="5941"/>
    <cellStyle name="Normal 118 2 27" xfId="6192"/>
    <cellStyle name="Normal 118 2 28" xfId="6443"/>
    <cellStyle name="Normal 118 2 29" xfId="6694"/>
    <cellStyle name="Normal 118 2 3" xfId="296"/>
    <cellStyle name="Normal 118 2 3 10" xfId="2596"/>
    <cellStyle name="Normal 118 2 3 11" xfId="2847"/>
    <cellStyle name="Normal 118 2 3 12" xfId="3098"/>
    <cellStyle name="Normal 118 2 3 13" xfId="3349"/>
    <cellStyle name="Normal 118 2 3 14" xfId="3600"/>
    <cellStyle name="Normal 118 2 3 15" xfId="3851"/>
    <cellStyle name="Normal 118 2 3 16" xfId="4102"/>
    <cellStyle name="Normal 118 2 3 17" xfId="4353"/>
    <cellStyle name="Normal 118 2 3 18" xfId="4604"/>
    <cellStyle name="Normal 118 2 3 19" xfId="4855"/>
    <cellStyle name="Normal 118 2 3 2" xfId="571"/>
    <cellStyle name="Normal 118 2 3 20" xfId="5106"/>
    <cellStyle name="Normal 118 2 3 21" xfId="5357"/>
    <cellStyle name="Normal 118 2 3 22" xfId="5608"/>
    <cellStyle name="Normal 118 2 3 23" xfId="5859"/>
    <cellStyle name="Normal 118 2 3 24" xfId="6110"/>
    <cellStyle name="Normal 118 2 3 25" xfId="6361"/>
    <cellStyle name="Normal 118 2 3 26" xfId="6612"/>
    <cellStyle name="Normal 118 2 3 27" xfId="6863"/>
    <cellStyle name="Normal 118 2 3 28" xfId="7114"/>
    <cellStyle name="Normal 118 2 3 29" xfId="7365"/>
    <cellStyle name="Normal 118 2 3 3" xfId="821"/>
    <cellStyle name="Normal 118 2 3 30" xfId="7616"/>
    <cellStyle name="Normal 118 2 3 31" xfId="7867"/>
    <cellStyle name="Normal 118 2 3 32" xfId="8118"/>
    <cellStyle name="Normal 118 2 3 33" xfId="8369"/>
    <cellStyle name="Normal 118 2 3 34" xfId="8620"/>
    <cellStyle name="Normal 118 2 3 35" xfId="8871"/>
    <cellStyle name="Normal 118 2 3 36" xfId="9122"/>
    <cellStyle name="Normal 118 2 3 37" xfId="9373"/>
    <cellStyle name="Normal 118 2 3 38" xfId="9624"/>
    <cellStyle name="Normal 118 2 3 39" xfId="9875"/>
    <cellStyle name="Normal 118 2 3 4" xfId="1073"/>
    <cellStyle name="Normal 118 2 3 40" xfId="10126"/>
    <cellStyle name="Normal 118 2 3 41" xfId="10377"/>
    <cellStyle name="Normal 118 2 3 42" xfId="10628"/>
    <cellStyle name="Normal 118 2 3 43" xfId="10879"/>
    <cellStyle name="Normal 118 2 3 44" xfId="11130"/>
    <cellStyle name="Normal 118 2 3 45" xfId="11381"/>
    <cellStyle name="Normal 118 2 3 46" xfId="11632"/>
    <cellStyle name="Normal 118 2 3 47" xfId="11883"/>
    <cellStyle name="Normal 118 2 3 48" xfId="12134"/>
    <cellStyle name="Normal 118 2 3 49" xfId="12385"/>
    <cellStyle name="Normal 118 2 3 5" xfId="1329"/>
    <cellStyle name="Normal 118 2 3 50" xfId="12636"/>
    <cellStyle name="Normal 118 2 3 51" xfId="12887"/>
    <cellStyle name="Normal 118 2 3 52" xfId="13138"/>
    <cellStyle name="Normal 118 2 3 53" xfId="13389"/>
    <cellStyle name="Normal 118 2 3 54" xfId="13640"/>
    <cellStyle name="Normal 118 2 3 55" xfId="13891"/>
    <cellStyle name="Normal 118 2 3 56" xfId="14142"/>
    <cellStyle name="Normal 118 2 3 57" xfId="14393"/>
    <cellStyle name="Normal 118 2 3 58" xfId="14644"/>
    <cellStyle name="Normal 118 2 3 59" xfId="14895"/>
    <cellStyle name="Normal 118 2 3 6" xfId="1584"/>
    <cellStyle name="Normal 118 2 3 60" xfId="15146"/>
    <cellStyle name="Normal 118 2 3 61" xfId="15396"/>
    <cellStyle name="Normal 118 2 3 62" xfId="15645"/>
    <cellStyle name="Normal 118 2 3 63" xfId="15895"/>
    <cellStyle name="Normal 118 2 3 64" xfId="16151"/>
    <cellStyle name="Normal 118 2 3 65" xfId="16402"/>
    <cellStyle name="Normal 118 2 3 66" xfId="16653"/>
    <cellStyle name="Normal 118 2 3 67" xfId="16904"/>
    <cellStyle name="Normal 118 2 3 68" xfId="17155"/>
    <cellStyle name="Normal 118 2 3 69" xfId="17406"/>
    <cellStyle name="Normal 118 2 3 7" xfId="1837"/>
    <cellStyle name="Normal 118 2 3 70" xfId="17657"/>
    <cellStyle name="Normal 118 2 3 71" xfId="17908"/>
    <cellStyle name="Normal 118 2 3 72" xfId="18159"/>
    <cellStyle name="Normal 118 2 3 73" xfId="18410"/>
    <cellStyle name="Normal 118 2 3 74" xfId="18661"/>
    <cellStyle name="Normal 118 2 3 75" xfId="18912"/>
    <cellStyle name="Normal 118 2 3 76" xfId="19162"/>
    <cellStyle name="Normal 118 2 3 77" xfId="19413"/>
    <cellStyle name="Normal 118 2 3 78" xfId="19664"/>
    <cellStyle name="Normal 118 2 3 79" xfId="19920"/>
    <cellStyle name="Normal 118 2 3 8" xfId="2094"/>
    <cellStyle name="Normal 118 2 3 80" xfId="20172"/>
    <cellStyle name="Normal 118 2 3 81" xfId="20424"/>
    <cellStyle name="Normal 118 2 3 82" xfId="20676"/>
    <cellStyle name="Normal 118 2 3 83" xfId="20926"/>
    <cellStyle name="Normal 118 2 3 84" xfId="21175"/>
    <cellStyle name="Normal 118 2 3 85" xfId="21423"/>
    <cellStyle name="Normal 118 2 3 86" xfId="21667"/>
    <cellStyle name="Normal 118 2 3 87" xfId="21909"/>
    <cellStyle name="Normal 118 2 3 88" xfId="22150"/>
    <cellStyle name="Normal 118 2 3 9" xfId="2345"/>
    <cellStyle name="Normal 118 2 30" xfId="6945"/>
    <cellStyle name="Normal 118 2 31" xfId="7196"/>
    <cellStyle name="Normal 118 2 32" xfId="7447"/>
    <cellStyle name="Normal 118 2 33" xfId="7698"/>
    <cellStyle name="Normal 118 2 34" xfId="7949"/>
    <cellStyle name="Normal 118 2 35" xfId="8200"/>
    <cellStyle name="Normal 118 2 36" xfId="8451"/>
    <cellStyle name="Normal 118 2 37" xfId="8702"/>
    <cellStyle name="Normal 118 2 38" xfId="8953"/>
    <cellStyle name="Normal 118 2 39" xfId="9204"/>
    <cellStyle name="Normal 118 2 4" xfId="405"/>
    <cellStyle name="Normal 118 2 40" xfId="9455"/>
    <cellStyle name="Normal 118 2 41" xfId="9706"/>
    <cellStyle name="Normal 118 2 42" xfId="9957"/>
    <cellStyle name="Normal 118 2 43" xfId="10208"/>
    <cellStyle name="Normal 118 2 44" xfId="10459"/>
    <cellStyle name="Normal 118 2 45" xfId="10710"/>
    <cellStyle name="Normal 118 2 46" xfId="10961"/>
    <cellStyle name="Normal 118 2 47" xfId="11212"/>
    <cellStyle name="Normal 118 2 48" xfId="11463"/>
    <cellStyle name="Normal 118 2 49" xfId="11714"/>
    <cellStyle name="Normal 118 2 5" xfId="654"/>
    <cellStyle name="Normal 118 2 50" xfId="11965"/>
    <cellStyle name="Normal 118 2 51" xfId="12216"/>
    <cellStyle name="Normal 118 2 52" xfId="12467"/>
    <cellStyle name="Normal 118 2 53" xfId="12718"/>
    <cellStyle name="Normal 118 2 54" xfId="12969"/>
    <cellStyle name="Normal 118 2 55" xfId="13220"/>
    <cellStyle name="Normal 118 2 56" xfId="13471"/>
    <cellStyle name="Normal 118 2 57" xfId="13722"/>
    <cellStyle name="Normal 118 2 58" xfId="13973"/>
    <cellStyle name="Normal 118 2 59" xfId="14224"/>
    <cellStyle name="Normal 118 2 6" xfId="907"/>
    <cellStyle name="Normal 118 2 60" xfId="14475"/>
    <cellStyle name="Normal 118 2 61" xfId="14726"/>
    <cellStyle name="Normal 118 2 62" xfId="14976"/>
    <cellStyle name="Normal 118 2 63" xfId="15227"/>
    <cellStyle name="Normal 118 2 64" xfId="15478"/>
    <cellStyle name="Normal 118 2 65" xfId="15725"/>
    <cellStyle name="Normal 118 2 66" xfId="15982"/>
    <cellStyle name="Normal 118 2 67" xfId="16233"/>
    <cellStyle name="Normal 118 2 68" xfId="16484"/>
    <cellStyle name="Normal 118 2 69" xfId="16735"/>
    <cellStyle name="Normal 118 2 7" xfId="1162"/>
    <cellStyle name="Normal 118 2 70" xfId="16986"/>
    <cellStyle name="Normal 118 2 71" xfId="17237"/>
    <cellStyle name="Normal 118 2 72" xfId="17488"/>
    <cellStyle name="Normal 118 2 73" xfId="17739"/>
    <cellStyle name="Normal 118 2 74" xfId="17990"/>
    <cellStyle name="Normal 118 2 75" xfId="18241"/>
    <cellStyle name="Normal 118 2 76" xfId="18492"/>
    <cellStyle name="Normal 118 2 77" xfId="18742"/>
    <cellStyle name="Normal 118 2 78" xfId="18993"/>
    <cellStyle name="Normal 118 2 79" xfId="19244"/>
    <cellStyle name="Normal 118 2 8" xfId="1415"/>
    <cellStyle name="Normal 118 2 80" xfId="19494"/>
    <cellStyle name="Normal 118 2 81" xfId="19750"/>
    <cellStyle name="Normal 118 2 82" xfId="20002"/>
    <cellStyle name="Normal 118 2 83" xfId="20254"/>
    <cellStyle name="Normal 118 2 84" xfId="20506"/>
    <cellStyle name="Normal 118 2 85" xfId="20756"/>
    <cellStyle name="Normal 118 2 86" xfId="21006"/>
    <cellStyle name="Normal 118 2 87" xfId="21257"/>
    <cellStyle name="Normal 118 2 88" xfId="21501"/>
    <cellStyle name="Normal 118 2 89" xfId="21745"/>
    <cellStyle name="Normal 118 2 9" xfId="1668"/>
    <cellStyle name="Normal 118 2 90" xfId="21986"/>
    <cellStyle name="Normal 118 20" xfId="4151"/>
    <cellStyle name="Normal 118 21" xfId="4402"/>
    <cellStyle name="Normal 118 22" xfId="4653"/>
    <cellStyle name="Normal 118 23" xfId="4904"/>
    <cellStyle name="Normal 118 24" xfId="5155"/>
    <cellStyle name="Normal 118 25" xfId="5406"/>
    <cellStyle name="Normal 118 26" xfId="5657"/>
    <cellStyle name="Normal 118 27" xfId="5908"/>
    <cellStyle name="Normal 118 28" xfId="6159"/>
    <cellStyle name="Normal 118 29" xfId="6410"/>
    <cellStyle name="Normal 118 3" xfId="187"/>
    <cellStyle name="Normal 118 3 10" xfId="2487"/>
    <cellStyle name="Normal 118 3 11" xfId="2738"/>
    <cellStyle name="Normal 118 3 12" xfId="2989"/>
    <cellStyle name="Normal 118 3 13" xfId="3240"/>
    <cellStyle name="Normal 118 3 14" xfId="3491"/>
    <cellStyle name="Normal 118 3 15" xfId="3742"/>
    <cellStyle name="Normal 118 3 16" xfId="3993"/>
    <cellStyle name="Normal 118 3 17" xfId="4244"/>
    <cellStyle name="Normal 118 3 18" xfId="4495"/>
    <cellStyle name="Normal 118 3 19" xfId="4746"/>
    <cellStyle name="Normal 118 3 2" xfId="464"/>
    <cellStyle name="Normal 118 3 20" xfId="4997"/>
    <cellStyle name="Normal 118 3 21" xfId="5248"/>
    <cellStyle name="Normal 118 3 22" xfId="5499"/>
    <cellStyle name="Normal 118 3 23" xfId="5750"/>
    <cellStyle name="Normal 118 3 24" xfId="6001"/>
    <cellStyle name="Normal 118 3 25" xfId="6252"/>
    <cellStyle name="Normal 118 3 26" xfId="6503"/>
    <cellStyle name="Normal 118 3 27" xfId="6754"/>
    <cellStyle name="Normal 118 3 28" xfId="7005"/>
    <cellStyle name="Normal 118 3 29" xfId="7256"/>
    <cellStyle name="Normal 118 3 3" xfId="714"/>
    <cellStyle name="Normal 118 3 30" xfId="7507"/>
    <cellStyle name="Normal 118 3 31" xfId="7758"/>
    <cellStyle name="Normal 118 3 32" xfId="8009"/>
    <cellStyle name="Normal 118 3 33" xfId="8260"/>
    <cellStyle name="Normal 118 3 34" xfId="8511"/>
    <cellStyle name="Normal 118 3 35" xfId="8762"/>
    <cellStyle name="Normal 118 3 36" xfId="9013"/>
    <cellStyle name="Normal 118 3 37" xfId="9264"/>
    <cellStyle name="Normal 118 3 38" xfId="9515"/>
    <cellStyle name="Normal 118 3 39" xfId="9766"/>
    <cellStyle name="Normal 118 3 4" xfId="967"/>
    <cellStyle name="Normal 118 3 40" xfId="10017"/>
    <cellStyle name="Normal 118 3 41" xfId="10268"/>
    <cellStyle name="Normal 118 3 42" xfId="10519"/>
    <cellStyle name="Normal 118 3 43" xfId="10770"/>
    <cellStyle name="Normal 118 3 44" xfId="11021"/>
    <cellStyle name="Normal 118 3 45" xfId="11272"/>
    <cellStyle name="Normal 118 3 46" xfId="11523"/>
    <cellStyle name="Normal 118 3 47" xfId="11774"/>
    <cellStyle name="Normal 118 3 48" xfId="12025"/>
    <cellStyle name="Normal 118 3 49" xfId="12276"/>
    <cellStyle name="Normal 118 3 5" xfId="1222"/>
    <cellStyle name="Normal 118 3 50" xfId="12527"/>
    <cellStyle name="Normal 118 3 51" xfId="12778"/>
    <cellStyle name="Normal 118 3 52" xfId="13029"/>
    <cellStyle name="Normal 118 3 53" xfId="13280"/>
    <cellStyle name="Normal 118 3 54" xfId="13531"/>
    <cellStyle name="Normal 118 3 55" xfId="13782"/>
    <cellStyle name="Normal 118 3 56" xfId="14033"/>
    <cellStyle name="Normal 118 3 57" xfId="14284"/>
    <cellStyle name="Normal 118 3 58" xfId="14535"/>
    <cellStyle name="Normal 118 3 59" xfId="14786"/>
    <cellStyle name="Normal 118 3 6" xfId="1475"/>
    <cellStyle name="Normal 118 3 60" xfId="15037"/>
    <cellStyle name="Normal 118 3 61" xfId="15287"/>
    <cellStyle name="Normal 118 3 62" xfId="15538"/>
    <cellStyle name="Normal 118 3 63" xfId="15786"/>
    <cellStyle name="Normal 118 3 64" xfId="16042"/>
    <cellStyle name="Normal 118 3 65" xfId="16293"/>
    <cellStyle name="Normal 118 3 66" xfId="16544"/>
    <cellStyle name="Normal 118 3 67" xfId="16795"/>
    <cellStyle name="Normal 118 3 68" xfId="17046"/>
    <cellStyle name="Normal 118 3 69" xfId="17297"/>
    <cellStyle name="Normal 118 3 7" xfId="1729"/>
    <cellStyle name="Normal 118 3 70" xfId="17548"/>
    <cellStyle name="Normal 118 3 71" xfId="17799"/>
    <cellStyle name="Normal 118 3 72" xfId="18050"/>
    <cellStyle name="Normal 118 3 73" xfId="18301"/>
    <cellStyle name="Normal 118 3 74" xfId="18552"/>
    <cellStyle name="Normal 118 3 75" xfId="18803"/>
    <cellStyle name="Normal 118 3 76" xfId="19053"/>
    <cellStyle name="Normal 118 3 77" xfId="19305"/>
    <cellStyle name="Normal 118 3 78" xfId="19555"/>
    <cellStyle name="Normal 118 3 79" xfId="19811"/>
    <cellStyle name="Normal 118 3 8" xfId="1985"/>
    <cellStyle name="Normal 118 3 80" xfId="20063"/>
    <cellStyle name="Normal 118 3 81" xfId="20315"/>
    <cellStyle name="Normal 118 3 82" xfId="20567"/>
    <cellStyle name="Normal 118 3 83" xfId="20817"/>
    <cellStyle name="Normal 118 3 84" xfId="21067"/>
    <cellStyle name="Normal 118 3 85" xfId="21316"/>
    <cellStyle name="Normal 118 3 86" xfId="21560"/>
    <cellStyle name="Normal 118 3 87" xfId="21804"/>
    <cellStyle name="Normal 118 3 88" xfId="22045"/>
    <cellStyle name="Normal 118 3 9" xfId="2236"/>
    <cellStyle name="Normal 118 30" xfId="6661"/>
    <cellStyle name="Normal 118 31" xfId="6912"/>
    <cellStyle name="Normal 118 32" xfId="7163"/>
    <cellStyle name="Normal 118 33" xfId="7414"/>
    <cellStyle name="Normal 118 34" xfId="7665"/>
    <cellStyle name="Normal 118 35" xfId="7916"/>
    <cellStyle name="Normal 118 36" xfId="8167"/>
    <cellStyle name="Normal 118 37" xfId="8418"/>
    <cellStyle name="Normal 118 38" xfId="8669"/>
    <cellStyle name="Normal 118 39" xfId="8920"/>
    <cellStyle name="Normal 118 4" xfId="263"/>
    <cellStyle name="Normal 118 4 10" xfId="2563"/>
    <cellStyle name="Normal 118 4 11" xfId="2814"/>
    <cellStyle name="Normal 118 4 12" xfId="3065"/>
    <cellStyle name="Normal 118 4 13" xfId="3316"/>
    <cellStyle name="Normal 118 4 14" xfId="3567"/>
    <cellStyle name="Normal 118 4 15" xfId="3818"/>
    <cellStyle name="Normal 118 4 16" xfId="4069"/>
    <cellStyle name="Normal 118 4 17" xfId="4320"/>
    <cellStyle name="Normal 118 4 18" xfId="4571"/>
    <cellStyle name="Normal 118 4 19" xfId="4822"/>
    <cellStyle name="Normal 118 4 2" xfId="539"/>
    <cellStyle name="Normal 118 4 20" xfId="5073"/>
    <cellStyle name="Normal 118 4 21" xfId="5324"/>
    <cellStyle name="Normal 118 4 22" xfId="5575"/>
    <cellStyle name="Normal 118 4 23" xfId="5826"/>
    <cellStyle name="Normal 118 4 24" xfId="6077"/>
    <cellStyle name="Normal 118 4 25" xfId="6328"/>
    <cellStyle name="Normal 118 4 26" xfId="6579"/>
    <cellStyle name="Normal 118 4 27" xfId="6830"/>
    <cellStyle name="Normal 118 4 28" xfId="7081"/>
    <cellStyle name="Normal 118 4 29" xfId="7332"/>
    <cellStyle name="Normal 118 4 3" xfId="789"/>
    <cellStyle name="Normal 118 4 30" xfId="7583"/>
    <cellStyle name="Normal 118 4 31" xfId="7834"/>
    <cellStyle name="Normal 118 4 32" xfId="8085"/>
    <cellStyle name="Normal 118 4 33" xfId="8336"/>
    <cellStyle name="Normal 118 4 34" xfId="8587"/>
    <cellStyle name="Normal 118 4 35" xfId="8838"/>
    <cellStyle name="Normal 118 4 36" xfId="9089"/>
    <cellStyle name="Normal 118 4 37" xfId="9340"/>
    <cellStyle name="Normal 118 4 38" xfId="9591"/>
    <cellStyle name="Normal 118 4 39" xfId="9842"/>
    <cellStyle name="Normal 118 4 4" xfId="1041"/>
    <cellStyle name="Normal 118 4 40" xfId="10093"/>
    <cellStyle name="Normal 118 4 41" xfId="10344"/>
    <cellStyle name="Normal 118 4 42" xfId="10595"/>
    <cellStyle name="Normal 118 4 43" xfId="10846"/>
    <cellStyle name="Normal 118 4 44" xfId="11097"/>
    <cellStyle name="Normal 118 4 45" xfId="11348"/>
    <cellStyle name="Normal 118 4 46" xfId="11599"/>
    <cellStyle name="Normal 118 4 47" xfId="11850"/>
    <cellStyle name="Normal 118 4 48" xfId="12101"/>
    <cellStyle name="Normal 118 4 49" xfId="12352"/>
    <cellStyle name="Normal 118 4 5" xfId="1297"/>
    <cellStyle name="Normal 118 4 50" xfId="12603"/>
    <cellStyle name="Normal 118 4 51" xfId="12854"/>
    <cellStyle name="Normal 118 4 52" xfId="13105"/>
    <cellStyle name="Normal 118 4 53" xfId="13356"/>
    <cellStyle name="Normal 118 4 54" xfId="13607"/>
    <cellStyle name="Normal 118 4 55" xfId="13858"/>
    <cellStyle name="Normal 118 4 56" xfId="14109"/>
    <cellStyle name="Normal 118 4 57" xfId="14360"/>
    <cellStyle name="Normal 118 4 58" xfId="14611"/>
    <cellStyle name="Normal 118 4 59" xfId="14862"/>
    <cellStyle name="Normal 118 4 6" xfId="1551"/>
    <cellStyle name="Normal 118 4 60" xfId="15113"/>
    <cellStyle name="Normal 118 4 61" xfId="15363"/>
    <cellStyle name="Normal 118 4 62" xfId="15613"/>
    <cellStyle name="Normal 118 4 63" xfId="15862"/>
    <cellStyle name="Normal 118 4 64" xfId="16118"/>
    <cellStyle name="Normal 118 4 65" xfId="16369"/>
    <cellStyle name="Normal 118 4 66" xfId="16620"/>
    <cellStyle name="Normal 118 4 67" xfId="16871"/>
    <cellStyle name="Normal 118 4 68" xfId="17122"/>
    <cellStyle name="Normal 118 4 69" xfId="17373"/>
    <cellStyle name="Normal 118 4 7" xfId="1804"/>
    <cellStyle name="Normal 118 4 70" xfId="17624"/>
    <cellStyle name="Normal 118 4 71" xfId="17875"/>
    <cellStyle name="Normal 118 4 72" xfId="18126"/>
    <cellStyle name="Normal 118 4 73" xfId="18377"/>
    <cellStyle name="Normal 118 4 74" xfId="18628"/>
    <cellStyle name="Normal 118 4 75" xfId="18879"/>
    <cellStyle name="Normal 118 4 76" xfId="19129"/>
    <cellStyle name="Normal 118 4 77" xfId="19381"/>
    <cellStyle name="Normal 118 4 78" xfId="19631"/>
    <cellStyle name="Normal 118 4 79" xfId="19887"/>
    <cellStyle name="Normal 118 4 8" xfId="2061"/>
    <cellStyle name="Normal 118 4 80" xfId="20139"/>
    <cellStyle name="Normal 118 4 81" xfId="20391"/>
    <cellStyle name="Normal 118 4 82" xfId="20643"/>
    <cellStyle name="Normal 118 4 83" xfId="20893"/>
    <cellStyle name="Normal 118 4 84" xfId="21143"/>
    <cellStyle name="Normal 118 4 85" xfId="21391"/>
    <cellStyle name="Normal 118 4 86" xfId="21635"/>
    <cellStyle name="Normal 118 4 87" xfId="21878"/>
    <cellStyle name="Normal 118 4 88" xfId="22119"/>
    <cellStyle name="Normal 118 4 9" xfId="2312"/>
    <cellStyle name="Normal 118 40" xfId="9171"/>
    <cellStyle name="Normal 118 41" xfId="9422"/>
    <cellStyle name="Normal 118 42" xfId="9673"/>
    <cellStyle name="Normal 118 43" xfId="9924"/>
    <cellStyle name="Normal 118 44" xfId="10175"/>
    <cellStyle name="Normal 118 45" xfId="10426"/>
    <cellStyle name="Normal 118 46" xfId="10677"/>
    <cellStyle name="Normal 118 47" xfId="10928"/>
    <cellStyle name="Normal 118 48" xfId="11179"/>
    <cellStyle name="Normal 118 49" xfId="11430"/>
    <cellStyle name="Normal 118 5" xfId="372"/>
    <cellStyle name="Normal 118 50" xfId="11681"/>
    <cellStyle name="Normal 118 51" xfId="11932"/>
    <cellStyle name="Normal 118 52" xfId="12183"/>
    <cellStyle name="Normal 118 53" xfId="12434"/>
    <cellStyle name="Normal 118 54" xfId="12685"/>
    <cellStyle name="Normal 118 55" xfId="12936"/>
    <cellStyle name="Normal 118 56" xfId="13187"/>
    <cellStyle name="Normal 118 57" xfId="13438"/>
    <cellStyle name="Normal 118 58" xfId="13689"/>
    <cellStyle name="Normal 118 59" xfId="13940"/>
    <cellStyle name="Normal 118 6" xfId="621"/>
    <cellStyle name="Normal 118 60" xfId="14191"/>
    <cellStyle name="Normal 118 61" xfId="14442"/>
    <cellStyle name="Normal 118 62" xfId="14693"/>
    <cellStyle name="Normal 118 63" xfId="14943"/>
    <cellStyle name="Normal 118 64" xfId="15194"/>
    <cellStyle name="Normal 118 65" xfId="15445"/>
    <cellStyle name="Normal 118 66" xfId="15692"/>
    <cellStyle name="Normal 118 67" xfId="15949"/>
    <cellStyle name="Normal 118 68" xfId="16200"/>
    <cellStyle name="Normal 118 69" xfId="16451"/>
    <cellStyle name="Normal 118 7" xfId="874"/>
    <cellStyle name="Normal 118 70" xfId="16702"/>
    <cellStyle name="Normal 118 71" xfId="16953"/>
    <cellStyle name="Normal 118 72" xfId="17204"/>
    <cellStyle name="Normal 118 73" xfId="17455"/>
    <cellStyle name="Normal 118 74" xfId="17706"/>
    <cellStyle name="Normal 118 75" xfId="17957"/>
    <cellStyle name="Normal 118 76" xfId="18208"/>
    <cellStyle name="Normal 118 77" xfId="18459"/>
    <cellStyle name="Normal 118 78" xfId="18709"/>
    <cellStyle name="Normal 118 79" xfId="18960"/>
    <cellStyle name="Normal 118 8" xfId="1129"/>
    <cellStyle name="Normal 118 80" xfId="19211"/>
    <cellStyle name="Normal 118 81" xfId="19461"/>
    <cellStyle name="Normal 118 82" xfId="19717"/>
    <cellStyle name="Normal 118 83" xfId="19969"/>
    <cellStyle name="Normal 118 84" xfId="20221"/>
    <cellStyle name="Normal 118 85" xfId="20473"/>
    <cellStyle name="Normal 118 86" xfId="20723"/>
    <cellStyle name="Normal 118 87" xfId="20973"/>
    <cellStyle name="Normal 118 88" xfId="21224"/>
    <cellStyle name="Normal 118 89" xfId="21468"/>
    <cellStyle name="Normal 118 9" xfId="1382"/>
    <cellStyle name="Normal 118 90" xfId="21712"/>
    <cellStyle name="Normal 118 91" xfId="21953"/>
    <cellStyle name="Normal 119" xfId="94"/>
    <cellStyle name="Normal 119 10" xfId="1636"/>
    <cellStyle name="Normal 119 11" xfId="1893"/>
    <cellStyle name="Normal 119 12" xfId="2144"/>
    <cellStyle name="Normal 119 13" xfId="2395"/>
    <cellStyle name="Normal 119 14" xfId="2646"/>
    <cellStyle name="Normal 119 15" xfId="2897"/>
    <cellStyle name="Normal 119 16" xfId="3148"/>
    <cellStyle name="Normal 119 17" xfId="3399"/>
    <cellStyle name="Normal 119 18" xfId="3650"/>
    <cellStyle name="Normal 119 19" xfId="3901"/>
    <cellStyle name="Normal 119 2" xfId="127"/>
    <cellStyle name="Normal 119 2 10" xfId="1926"/>
    <cellStyle name="Normal 119 2 11" xfId="2177"/>
    <cellStyle name="Normal 119 2 12" xfId="2428"/>
    <cellStyle name="Normal 119 2 13" xfId="2679"/>
    <cellStyle name="Normal 119 2 14" xfId="2930"/>
    <cellStyle name="Normal 119 2 15" xfId="3181"/>
    <cellStyle name="Normal 119 2 16" xfId="3432"/>
    <cellStyle name="Normal 119 2 17" xfId="3683"/>
    <cellStyle name="Normal 119 2 18" xfId="3934"/>
    <cellStyle name="Normal 119 2 19" xfId="4185"/>
    <cellStyle name="Normal 119 2 2" xfId="221"/>
    <cellStyle name="Normal 119 2 2 10" xfId="2521"/>
    <cellStyle name="Normal 119 2 2 11" xfId="2772"/>
    <cellStyle name="Normal 119 2 2 12" xfId="3023"/>
    <cellStyle name="Normal 119 2 2 13" xfId="3274"/>
    <cellStyle name="Normal 119 2 2 14" xfId="3525"/>
    <cellStyle name="Normal 119 2 2 15" xfId="3776"/>
    <cellStyle name="Normal 119 2 2 16" xfId="4027"/>
    <cellStyle name="Normal 119 2 2 17" xfId="4278"/>
    <cellStyle name="Normal 119 2 2 18" xfId="4529"/>
    <cellStyle name="Normal 119 2 2 19" xfId="4780"/>
    <cellStyle name="Normal 119 2 2 2" xfId="498"/>
    <cellStyle name="Normal 119 2 2 20" xfId="5031"/>
    <cellStyle name="Normal 119 2 2 21" xfId="5282"/>
    <cellStyle name="Normal 119 2 2 22" xfId="5533"/>
    <cellStyle name="Normal 119 2 2 23" xfId="5784"/>
    <cellStyle name="Normal 119 2 2 24" xfId="6035"/>
    <cellStyle name="Normal 119 2 2 25" xfId="6286"/>
    <cellStyle name="Normal 119 2 2 26" xfId="6537"/>
    <cellStyle name="Normal 119 2 2 27" xfId="6788"/>
    <cellStyle name="Normal 119 2 2 28" xfId="7039"/>
    <cellStyle name="Normal 119 2 2 29" xfId="7290"/>
    <cellStyle name="Normal 119 2 2 3" xfId="748"/>
    <cellStyle name="Normal 119 2 2 30" xfId="7541"/>
    <cellStyle name="Normal 119 2 2 31" xfId="7792"/>
    <cellStyle name="Normal 119 2 2 32" xfId="8043"/>
    <cellStyle name="Normal 119 2 2 33" xfId="8294"/>
    <cellStyle name="Normal 119 2 2 34" xfId="8545"/>
    <cellStyle name="Normal 119 2 2 35" xfId="8796"/>
    <cellStyle name="Normal 119 2 2 36" xfId="9047"/>
    <cellStyle name="Normal 119 2 2 37" xfId="9298"/>
    <cellStyle name="Normal 119 2 2 38" xfId="9549"/>
    <cellStyle name="Normal 119 2 2 39" xfId="9800"/>
    <cellStyle name="Normal 119 2 2 4" xfId="1001"/>
    <cellStyle name="Normal 119 2 2 40" xfId="10051"/>
    <cellStyle name="Normal 119 2 2 41" xfId="10302"/>
    <cellStyle name="Normal 119 2 2 42" xfId="10553"/>
    <cellStyle name="Normal 119 2 2 43" xfId="10804"/>
    <cellStyle name="Normal 119 2 2 44" xfId="11055"/>
    <cellStyle name="Normal 119 2 2 45" xfId="11306"/>
    <cellStyle name="Normal 119 2 2 46" xfId="11557"/>
    <cellStyle name="Normal 119 2 2 47" xfId="11808"/>
    <cellStyle name="Normal 119 2 2 48" xfId="12059"/>
    <cellStyle name="Normal 119 2 2 49" xfId="12310"/>
    <cellStyle name="Normal 119 2 2 5" xfId="1256"/>
    <cellStyle name="Normal 119 2 2 50" xfId="12561"/>
    <cellStyle name="Normal 119 2 2 51" xfId="12812"/>
    <cellStyle name="Normal 119 2 2 52" xfId="13063"/>
    <cellStyle name="Normal 119 2 2 53" xfId="13314"/>
    <cellStyle name="Normal 119 2 2 54" xfId="13565"/>
    <cellStyle name="Normal 119 2 2 55" xfId="13816"/>
    <cellStyle name="Normal 119 2 2 56" xfId="14067"/>
    <cellStyle name="Normal 119 2 2 57" xfId="14318"/>
    <cellStyle name="Normal 119 2 2 58" xfId="14569"/>
    <cellStyle name="Normal 119 2 2 59" xfId="14820"/>
    <cellStyle name="Normal 119 2 2 6" xfId="1509"/>
    <cellStyle name="Normal 119 2 2 60" xfId="15071"/>
    <cellStyle name="Normal 119 2 2 61" xfId="15321"/>
    <cellStyle name="Normal 119 2 2 62" xfId="15572"/>
    <cellStyle name="Normal 119 2 2 63" xfId="15820"/>
    <cellStyle name="Normal 119 2 2 64" xfId="16076"/>
    <cellStyle name="Normal 119 2 2 65" xfId="16327"/>
    <cellStyle name="Normal 119 2 2 66" xfId="16578"/>
    <cellStyle name="Normal 119 2 2 67" xfId="16829"/>
    <cellStyle name="Normal 119 2 2 68" xfId="17080"/>
    <cellStyle name="Normal 119 2 2 69" xfId="17331"/>
    <cellStyle name="Normal 119 2 2 7" xfId="1763"/>
    <cellStyle name="Normal 119 2 2 70" xfId="17582"/>
    <cellStyle name="Normal 119 2 2 71" xfId="17833"/>
    <cellStyle name="Normal 119 2 2 72" xfId="18084"/>
    <cellStyle name="Normal 119 2 2 73" xfId="18335"/>
    <cellStyle name="Normal 119 2 2 74" xfId="18586"/>
    <cellStyle name="Normal 119 2 2 75" xfId="18837"/>
    <cellStyle name="Normal 119 2 2 76" xfId="19087"/>
    <cellStyle name="Normal 119 2 2 77" xfId="19339"/>
    <cellStyle name="Normal 119 2 2 78" xfId="19589"/>
    <cellStyle name="Normal 119 2 2 79" xfId="19845"/>
    <cellStyle name="Normal 119 2 2 8" xfId="2019"/>
    <cellStyle name="Normal 119 2 2 80" xfId="20097"/>
    <cellStyle name="Normal 119 2 2 81" xfId="20349"/>
    <cellStyle name="Normal 119 2 2 82" xfId="20601"/>
    <cellStyle name="Normal 119 2 2 83" xfId="20851"/>
    <cellStyle name="Normal 119 2 2 84" xfId="21101"/>
    <cellStyle name="Normal 119 2 2 85" xfId="21350"/>
    <cellStyle name="Normal 119 2 2 86" xfId="21594"/>
    <cellStyle name="Normal 119 2 2 87" xfId="21838"/>
    <cellStyle name="Normal 119 2 2 88" xfId="22079"/>
    <cellStyle name="Normal 119 2 2 9" xfId="2270"/>
    <cellStyle name="Normal 119 2 20" xfId="4436"/>
    <cellStyle name="Normal 119 2 21" xfId="4687"/>
    <cellStyle name="Normal 119 2 22" xfId="4938"/>
    <cellStyle name="Normal 119 2 23" xfId="5189"/>
    <cellStyle name="Normal 119 2 24" xfId="5440"/>
    <cellStyle name="Normal 119 2 25" xfId="5691"/>
    <cellStyle name="Normal 119 2 26" xfId="5942"/>
    <cellStyle name="Normal 119 2 27" xfId="6193"/>
    <cellStyle name="Normal 119 2 28" xfId="6444"/>
    <cellStyle name="Normal 119 2 29" xfId="6695"/>
    <cellStyle name="Normal 119 2 3" xfId="297"/>
    <cellStyle name="Normal 119 2 3 10" xfId="2597"/>
    <cellStyle name="Normal 119 2 3 11" xfId="2848"/>
    <cellStyle name="Normal 119 2 3 12" xfId="3099"/>
    <cellStyle name="Normal 119 2 3 13" xfId="3350"/>
    <cellStyle name="Normal 119 2 3 14" xfId="3601"/>
    <cellStyle name="Normal 119 2 3 15" xfId="3852"/>
    <cellStyle name="Normal 119 2 3 16" xfId="4103"/>
    <cellStyle name="Normal 119 2 3 17" xfId="4354"/>
    <cellStyle name="Normal 119 2 3 18" xfId="4605"/>
    <cellStyle name="Normal 119 2 3 19" xfId="4856"/>
    <cellStyle name="Normal 119 2 3 2" xfId="572"/>
    <cellStyle name="Normal 119 2 3 20" xfId="5107"/>
    <cellStyle name="Normal 119 2 3 21" xfId="5358"/>
    <cellStyle name="Normal 119 2 3 22" xfId="5609"/>
    <cellStyle name="Normal 119 2 3 23" xfId="5860"/>
    <cellStyle name="Normal 119 2 3 24" xfId="6111"/>
    <cellStyle name="Normal 119 2 3 25" xfId="6362"/>
    <cellStyle name="Normal 119 2 3 26" xfId="6613"/>
    <cellStyle name="Normal 119 2 3 27" xfId="6864"/>
    <cellStyle name="Normal 119 2 3 28" xfId="7115"/>
    <cellStyle name="Normal 119 2 3 29" xfId="7366"/>
    <cellStyle name="Normal 119 2 3 3" xfId="822"/>
    <cellStyle name="Normal 119 2 3 30" xfId="7617"/>
    <cellStyle name="Normal 119 2 3 31" xfId="7868"/>
    <cellStyle name="Normal 119 2 3 32" xfId="8119"/>
    <cellStyle name="Normal 119 2 3 33" xfId="8370"/>
    <cellStyle name="Normal 119 2 3 34" xfId="8621"/>
    <cellStyle name="Normal 119 2 3 35" xfId="8872"/>
    <cellStyle name="Normal 119 2 3 36" xfId="9123"/>
    <cellStyle name="Normal 119 2 3 37" xfId="9374"/>
    <cellStyle name="Normal 119 2 3 38" xfId="9625"/>
    <cellStyle name="Normal 119 2 3 39" xfId="9876"/>
    <cellStyle name="Normal 119 2 3 4" xfId="1074"/>
    <cellStyle name="Normal 119 2 3 40" xfId="10127"/>
    <cellStyle name="Normal 119 2 3 41" xfId="10378"/>
    <cellStyle name="Normal 119 2 3 42" xfId="10629"/>
    <cellStyle name="Normal 119 2 3 43" xfId="10880"/>
    <cellStyle name="Normal 119 2 3 44" xfId="11131"/>
    <cellStyle name="Normal 119 2 3 45" xfId="11382"/>
    <cellStyle name="Normal 119 2 3 46" xfId="11633"/>
    <cellStyle name="Normal 119 2 3 47" xfId="11884"/>
    <cellStyle name="Normal 119 2 3 48" xfId="12135"/>
    <cellStyle name="Normal 119 2 3 49" xfId="12386"/>
    <cellStyle name="Normal 119 2 3 5" xfId="1330"/>
    <cellStyle name="Normal 119 2 3 50" xfId="12637"/>
    <cellStyle name="Normal 119 2 3 51" xfId="12888"/>
    <cellStyle name="Normal 119 2 3 52" xfId="13139"/>
    <cellStyle name="Normal 119 2 3 53" xfId="13390"/>
    <cellStyle name="Normal 119 2 3 54" xfId="13641"/>
    <cellStyle name="Normal 119 2 3 55" xfId="13892"/>
    <cellStyle name="Normal 119 2 3 56" xfId="14143"/>
    <cellStyle name="Normal 119 2 3 57" xfId="14394"/>
    <cellStyle name="Normal 119 2 3 58" xfId="14645"/>
    <cellStyle name="Normal 119 2 3 59" xfId="14896"/>
    <cellStyle name="Normal 119 2 3 6" xfId="1585"/>
    <cellStyle name="Normal 119 2 3 60" xfId="15147"/>
    <cellStyle name="Normal 119 2 3 61" xfId="15397"/>
    <cellStyle name="Normal 119 2 3 62" xfId="15646"/>
    <cellStyle name="Normal 119 2 3 63" xfId="15896"/>
    <cellStyle name="Normal 119 2 3 64" xfId="16152"/>
    <cellStyle name="Normal 119 2 3 65" xfId="16403"/>
    <cellStyle name="Normal 119 2 3 66" xfId="16654"/>
    <cellStyle name="Normal 119 2 3 67" xfId="16905"/>
    <cellStyle name="Normal 119 2 3 68" xfId="17156"/>
    <cellStyle name="Normal 119 2 3 69" xfId="17407"/>
    <cellStyle name="Normal 119 2 3 7" xfId="1838"/>
    <cellStyle name="Normal 119 2 3 70" xfId="17658"/>
    <cellStyle name="Normal 119 2 3 71" xfId="17909"/>
    <cellStyle name="Normal 119 2 3 72" xfId="18160"/>
    <cellStyle name="Normal 119 2 3 73" xfId="18411"/>
    <cellStyle name="Normal 119 2 3 74" xfId="18662"/>
    <cellStyle name="Normal 119 2 3 75" xfId="18913"/>
    <cellStyle name="Normal 119 2 3 76" xfId="19163"/>
    <cellStyle name="Normal 119 2 3 77" xfId="19414"/>
    <cellStyle name="Normal 119 2 3 78" xfId="19665"/>
    <cellStyle name="Normal 119 2 3 79" xfId="19921"/>
    <cellStyle name="Normal 119 2 3 8" xfId="2095"/>
    <cellStyle name="Normal 119 2 3 80" xfId="20173"/>
    <cellStyle name="Normal 119 2 3 81" xfId="20425"/>
    <cellStyle name="Normal 119 2 3 82" xfId="20677"/>
    <cellStyle name="Normal 119 2 3 83" xfId="20927"/>
    <cellStyle name="Normal 119 2 3 84" xfId="21176"/>
    <cellStyle name="Normal 119 2 3 85" xfId="21424"/>
    <cellStyle name="Normal 119 2 3 86" xfId="21668"/>
    <cellStyle name="Normal 119 2 3 87" xfId="21910"/>
    <cellStyle name="Normal 119 2 3 88" xfId="22151"/>
    <cellStyle name="Normal 119 2 3 9" xfId="2346"/>
    <cellStyle name="Normal 119 2 30" xfId="6946"/>
    <cellStyle name="Normal 119 2 31" xfId="7197"/>
    <cellStyle name="Normal 119 2 32" xfId="7448"/>
    <cellStyle name="Normal 119 2 33" xfId="7699"/>
    <cellStyle name="Normal 119 2 34" xfId="7950"/>
    <cellStyle name="Normal 119 2 35" xfId="8201"/>
    <cellStyle name="Normal 119 2 36" xfId="8452"/>
    <cellStyle name="Normal 119 2 37" xfId="8703"/>
    <cellStyle name="Normal 119 2 38" xfId="8954"/>
    <cellStyle name="Normal 119 2 39" xfId="9205"/>
    <cellStyle name="Normal 119 2 4" xfId="406"/>
    <cellStyle name="Normal 119 2 40" xfId="9456"/>
    <cellStyle name="Normal 119 2 41" xfId="9707"/>
    <cellStyle name="Normal 119 2 42" xfId="9958"/>
    <cellStyle name="Normal 119 2 43" xfId="10209"/>
    <cellStyle name="Normal 119 2 44" xfId="10460"/>
    <cellStyle name="Normal 119 2 45" xfId="10711"/>
    <cellStyle name="Normal 119 2 46" xfId="10962"/>
    <cellStyle name="Normal 119 2 47" xfId="11213"/>
    <cellStyle name="Normal 119 2 48" xfId="11464"/>
    <cellStyle name="Normal 119 2 49" xfId="11715"/>
    <cellStyle name="Normal 119 2 5" xfId="655"/>
    <cellStyle name="Normal 119 2 50" xfId="11966"/>
    <cellStyle name="Normal 119 2 51" xfId="12217"/>
    <cellStyle name="Normal 119 2 52" xfId="12468"/>
    <cellStyle name="Normal 119 2 53" xfId="12719"/>
    <cellStyle name="Normal 119 2 54" xfId="12970"/>
    <cellStyle name="Normal 119 2 55" xfId="13221"/>
    <cellStyle name="Normal 119 2 56" xfId="13472"/>
    <cellStyle name="Normal 119 2 57" xfId="13723"/>
    <cellStyle name="Normal 119 2 58" xfId="13974"/>
    <cellStyle name="Normal 119 2 59" xfId="14225"/>
    <cellStyle name="Normal 119 2 6" xfId="908"/>
    <cellStyle name="Normal 119 2 60" xfId="14476"/>
    <cellStyle name="Normal 119 2 61" xfId="14727"/>
    <cellStyle name="Normal 119 2 62" xfId="14977"/>
    <cellStyle name="Normal 119 2 63" xfId="15228"/>
    <cellStyle name="Normal 119 2 64" xfId="15479"/>
    <cellStyle name="Normal 119 2 65" xfId="15726"/>
    <cellStyle name="Normal 119 2 66" xfId="15983"/>
    <cellStyle name="Normal 119 2 67" xfId="16234"/>
    <cellStyle name="Normal 119 2 68" xfId="16485"/>
    <cellStyle name="Normal 119 2 69" xfId="16736"/>
    <cellStyle name="Normal 119 2 7" xfId="1163"/>
    <cellStyle name="Normal 119 2 70" xfId="16987"/>
    <cellStyle name="Normal 119 2 71" xfId="17238"/>
    <cellStyle name="Normal 119 2 72" xfId="17489"/>
    <cellStyle name="Normal 119 2 73" xfId="17740"/>
    <cellStyle name="Normal 119 2 74" xfId="17991"/>
    <cellStyle name="Normal 119 2 75" xfId="18242"/>
    <cellStyle name="Normal 119 2 76" xfId="18493"/>
    <cellStyle name="Normal 119 2 77" xfId="18743"/>
    <cellStyle name="Normal 119 2 78" xfId="18994"/>
    <cellStyle name="Normal 119 2 79" xfId="19245"/>
    <cellStyle name="Normal 119 2 8" xfId="1416"/>
    <cellStyle name="Normal 119 2 80" xfId="19495"/>
    <cellStyle name="Normal 119 2 81" xfId="19751"/>
    <cellStyle name="Normal 119 2 82" xfId="20003"/>
    <cellStyle name="Normal 119 2 83" xfId="20255"/>
    <cellStyle name="Normal 119 2 84" xfId="20507"/>
    <cellStyle name="Normal 119 2 85" xfId="20757"/>
    <cellStyle name="Normal 119 2 86" xfId="21007"/>
    <cellStyle name="Normal 119 2 87" xfId="21258"/>
    <cellStyle name="Normal 119 2 88" xfId="21502"/>
    <cellStyle name="Normal 119 2 89" xfId="21746"/>
    <cellStyle name="Normal 119 2 9" xfId="1669"/>
    <cellStyle name="Normal 119 2 90" xfId="21987"/>
    <cellStyle name="Normal 119 20" xfId="4152"/>
    <cellStyle name="Normal 119 21" xfId="4403"/>
    <cellStyle name="Normal 119 22" xfId="4654"/>
    <cellStyle name="Normal 119 23" xfId="4905"/>
    <cellStyle name="Normal 119 24" xfId="5156"/>
    <cellStyle name="Normal 119 25" xfId="5407"/>
    <cellStyle name="Normal 119 26" xfId="5658"/>
    <cellStyle name="Normal 119 27" xfId="5909"/>
    <cellStyle name="Normal 119 28" xfId="6160"/>
    <cellStyle name="Normal 119 29" xfId="6411"/>
    <cellStyle name="Normal 119 3" xfId="188"/>
    <cellStyle name="Normal 119 3 10" xfId="2488"/>
    <cellStyle name="Normal 119 3 11" xfId="2739"/>
    <cellStyle name="Normal 119 3 12" xfId="2990"/>
    <cellStyle name="Normal 119 3 13" xfId="3241"/>
    <cellStyle name="Normal 119 3 14" xfId="3492"/>
    <cellStyle name="Normal 119 3 15" xfId="3743"/>
    <cellStyle name="Normal 119 3 16" xfId="3994"/>
    <cellStyle name="Normal 119 3 17" xfId="4245"/>
    <cellStyle name="Normal 119 3 18" xfId="4496"/>
    <cellStyle name="Normal 119 3 19" xfId="4747"/>
    <cellStyle name="Normal 119 3 2" xfId="465"/>
    <cellStyle name="Normal 119 3 20" xfId="4998"/>
    <cellStyle name="Normal 119 3 21" xfId="5249"/>
    <cellStyle name="Normal 119 3 22" xfId="5500"/>
    <cellStyle name="Normal 119 3 23" xfId="5751"/>
    <cellStyle name="Normal 119 3 24" xfId="6002"/>
    <cellStyle name="Normal 119 3 25" xfId="6253"/>
    <cellStyle name="Normal 119 3 26" xfId="6504"/>
    <cellStyle name="Normal 119 3 27" xfId="6755"/>
    <cellStyle name="Normal 119 3 28" xfId="7006"/>
    <cellStyle name="Normal 119 3 29" xfId="7257"/>
    <cellStyle name="Normal 119 3 3" xfId="715"/>
    <cellStyle name="Normal 119 3 30" xfId="7508"/>
    <cellStyle name="Normal 119 3 31" xfId="7759"/>
    <cellStyle name="Normal 119 3 32" xfId="8010"/>
    <cellStyle name="Normal 119 3 33" xfId="8261"/>
    <cellStyle name="Normal 119 3 34" xfId="8512"/>
    <cellStyle name="Normal 119 3 35" xfId="8763"/>
    <cellStyle name="Normal 119 3 36" xfId="9014"/>
    <cellStyle name="Normal 119 3 37" xfId="9265"/>
    <cellStyle name="Normal 119 3 38" xfId="9516"/>
    <cellStyle name="Normal 119 3 39" xfId="9767"/>
    <cellStyle name="Normal 119 3 4" xfId="968"/>
    <cellStyle name="Normal 119 3 40" xfId="10018"/>
    <cellStyle name="Normal 119 3 41" xfId="10269"/>
    <cellStyle name="Normal 119 3 42" xfId="10520"/>
    <cellStyle name="Normal 119 3 43" xfId="10771"/>
    <cellStyle name="Normal 119 3 44" xfId="11022"/>
    <cellStyle name="Normal 119 3 45" xfId="11273"/>
    <cellStyle name="Normal 119 3 46" xfId="11524"/>
    <cellStyle name="Normal 119 3 47" xfId="11775"/>
    <cellStyle name="Normal 119 3 48" xfId="12026"/>
    <cellStyle name="Normal 119 3 49" xfId="12277"/>
    <cellStyle name="Normal 119 3 5" xfId="1223"/>
    <cellStyle name="Normal 119 3 50" xfId="12528"/>
    <cellStyle name="Normal 119 3 51" xfId="12779"/>
    <cellStyle name="Normal 119 3 52" xfId="13030"/>
    <cellStyle name="Normal 119 3 53" xfId="13281"/>
    <cellStyle name="Normal 119 3 54" xfId="13532"/>
    <cellStyle name="Normal 119 3 55" xfId="13783"/>
    <cellStyle name="Normal 119 3 56" xfId="14034"/>
    <cellStyle name="Normal 119 3 57" xfId="14285"/>
    <cellStyle name="Normal 119 3 58" xfId="14536"/>
    <cellStyle name="Normal 119 3 59" xfId="14787"/>
    <cellStyle name="Normal 119 3 6" xfId="1476"/>
    <cellStyle name="Normal 119 3 60" xfId="15038"/>
    <cellStyle name="Normal 119 3 61" xfId="15288"/>
    <cellStyle name="Normal 119 3 62" xfId="15539"/>
    <cellStyle name="Normal 119 3 63" xfId="15787"/>
    <cellStyle name="Normal 119 3 64" xfId="16043"/>
    <cellStyle name="Normal 119 3 65" xfId="16294"/>
    <cellStyle name="Normal 119 3 66" xfId="16545"/>
    <cellStyle name="Normal 119 3 67" xfId="16796"/>
    <cellStyle name="Normal 119 3 68" xfId="17047"/>
    <cellStyle name="Normal 119 3 69" xfId="17298"/>
    <cellStyle name="Normal 119 3 7" xfId="1730"/>
    <cellStyle name="Normal 119 3 70" xfId="17549"/>
    <cellStyle name="Normal 119 3 71" xfId="17800"/>
    <cellStyle name="Normal 119 3 72" xfId="18051"/>
    <cellStyle name="Normal 119 3 73" xfId="18302"/>
    <cellStyle name="Normal 119 3 74" xfId="18553"/>
    <cellStyle name="Normal 119 3 75" xfId="18804"/>
    <cellStyle name="Normal 119 3 76" xfId="19054"/>
    <cellStyle name="Normal 119 3 77" xfId="19306"/>
    <cellStyle name="Normal 119 3 78" xfId="19556"/>
    <cellStyle name="Normal 119 3 79" xfId="19812"/>
    <cellStyle name="Normal 119 3 8" xfId="1986"/>
    <cellStyle name="Normal 119 3 80" xfId="20064"/>
    <cellStyle name="Normal 119 3 81" xfId="20316"/>
    <cellStyle name="Normal 119 3 82" xfId="20568"/>
    <cellStyle name="Normal 119 3 83" xfId="20818"/>
    <cellStyle name="Normal 119 3 84" xfId="21068"/>
    <cellStyle name="Normal 119 3 85" xfId="21317"/>
    <cellStyle name="Normal 119 3 86" xfId="21561"/>
    <cellStyle name="Normal 119 3 87" xfId="21805"/>
    <cellStyle name="Normal 119 3 88" xfId="22046"/>
    <cellStyle name="Normal 119 3 9" xfId="2237"/>
    <cellStyle name="Normal 119 30" xfId="6662"/>
    <cellStyle name="Normal 119 31" xfId="6913"/>
    <cellStyle name="Normal 119 32" xfId="7164"/>
    <cellStyle name="Normal 119 33" xfId="7415"/>
    <cellStyle name="Normal 119 34" xfId="7666"/>
    <cellStyle name="Normal 119 35" xfId="7917"/>
    <cellStyle name="Normal 119 36" xfId="8168"/>
    <cellStyle name="Normal 119 37" xfId="8419"/>
    <cellStyle name="Normal 119 38" xfId="8670"/>
    <cellStyle name="Normal 119 39" xfId="8921"/>
    <cellStyle name="Normal 119 4" xfId="264"/>
    <cellStyle name="Normal 119 4 10" xfId="2564"/>
    <cellStyle name="Normal 119 4 11" xfId="2815"/>
    <cellStyle name="Normal 119 4 12" xfId="3066"/>
    <cellStyle name="Normal 119 4 13" xfId="3317"/>
    <cellStyle name="Normal 119 4 14" xfId="3568"/>
    <cellStyle name="Normal 119 4 15" xfId="3819"/>
    <cellStyle name="Normal 119 4 16" xfId="4070"/>
    <cellStyle name="Normal 119 4 17" xfId="4321"/>
    <cellStyle name="Normal 119 4 18" xfId="4572"/>
    <cellStyle name="Normal 119 4 19" xfId="4823"/>
    <cellStyle name="Normal 119 4 2" xfId="540"/>
    <cellStyle name="Normal 119 4 20" xfId="5074"/>
    <cellStyle name="Normal 119 4 21" xfId="5325"/>
    <cellStyle name="Normal 119 4 22" xfId="5576"/>
    <cellStyle name="Normal 119 4 23" xfId="5827"/>
    <cellStyle name="Normal 119 4 24" xfId="6078"/>
    <cellStyle name="Normal 119 4 25" xfId="6329"/>
    <cellStyle name="Normal 119 4 26" xfId="6580"/>
    <cellStyle name="Normal 119 4 27" xfId="6831"/>
    <cellStyle name="Normal 119 4 28" xfId="7082"/>
    <cellStyle name="Normal 119 4 29" xfId="7333"/>
    <cellStyle name="Normal 119 4 3" xfId="790"/>
    <cellStyle name="Normal 119 4 30" xfId="7584"/>
    <cellStyle name="Normal 119 4 31" xfId="7835"/>
    <cellStyle name="Normal 119 4 32" xfId="8086"/>
    <cellStyle name="Normal 119 4 33" xfId="8337"/>
    <cellStyle name="Normal 119 4 34" xfId="8588"/>
    <cellStyle name="Normal 119 4 35" xfId="8839"/>
    <cellStyle name="Normal 119 4 36" xfId="9090"/>
    <cellStyle name="Normal 119 4 37" xfId="9341"/>
    <cellStyle name="Normal 119 4 38" xfId="9592"/>
    <cellStyle name="Normal 119 4 39" xfId="9843"/>
    <cellStyle name="Normal 119 4 4" xfId="1042"/>
    <cellStyle name="Normal 119 4 40" xfId="10094"/>
    <cellStyle name="Normal 119 4 41" xfId="10345"/>
    <cellStyle name="Normal 119 4 42" xfId="10596"/>
    <cellStyle name="Normal 119 4 43" xfId="10847"/>
    <cellStyle name="Normal 119 4 44" xfId="11098"/>
    <cellStyle name="Normal 119 4 45" xfId="11349"/>
    <cellStyle name="Normal 119 4 46" xfId="11600"/>
    <cellStyle name="Normal 119 4 47" xfId="11851"/>
    <cellStyle name="Normal 119 4 48" xfId="12102"/>
    <cellStyle name="Normal 119 4 49" xfId="12353"/>
    <cellStyle name="Normal 119 4 5" xfId="1298"/>
    <cellStyle name="Normal 119 4 50" xfId="12604"/>
    <cellStyle name="Normal 119 4 51" xfId="12855"/>
    <cellStyle name="Normal 119 4 52" xfId="13106"/>
    <cellStyle name="Normal 119 4 53" xfId="13357"/>
    <cellStyle name="Normal 119 4 54" xfId="13608"/>
    <cellStyle name="Normal 119 4 55" xfId="13859"/>
    <cellStyle name="Normal 119 4 56" xfId="14110"/>
    <cellStyle name="Normal 119 4 57" xfId="14361"/>
    <cellStyle name="Normal 119 4 58" xfId="14612"/>
    <cellStyle name="Normal 119 4 59" xfId="14863"/>
    <cellStyle name="Normal 119 4 6" xfId="1552"/>
    <cellStyle name="Normal 119 4 60" xfId="15114"/>
    <cellStyle name="Normal 119 4 61" xfId="15364"/>
    <cellStyle name="Normal 119 4 62" xfId="15614"/>
    <cellStyle name="Normal 119 4 63" xfId="15863"/>
    <cellStyle name="Normal 119 4 64" xfId="16119"/>
    <cellStyle name="Normal 119 4 65" xfId="16370"/>
    <cellStyle name="Normal 119 4 66" xfId="16621"/>
    <cellStyle name="Normal 119 4 67" xfId="16872"/>
    <cellStyle name="Normal 119 4 68" xfId="17123"/>
    <cellStyle name="Normal 119 4 69" xfId="17374"/>
    <cellStyle name="Normal 119 4 7" xfId="1805"/>
    <cellStyle name="Normal 119 4 70" xfId="17625"/>
    <cellStyle name="Normal 119 4 71" xfId="17876"/>
    <cellStyle name="Normal 119 4 72" xfId="18127"/>
    <cellStyle name="Normal 119 4 73" xfId="18378"/>
    <cellStyle name="Normal 119 4 74" xfId="18629"/>
    <cellStyle name="Normal 119 4 75" xfId="18880"/>
    <cellStyle name="Normal 119 4 76" xfId="19130"/>
    <cellStyle name="Normal 119 4 77" xfId="19382"/>
    <cellStyle name="Normal 119 4 78" xfId="19632"/>
    <cellStyle name="Normal 119 4 79" xfId="19888"/>
    <cellStyle name="Normal 119 4 8" xfId="2062"/>
    <cellStyle name="Normal 119 4 80" xfId="20140"/>
    <cellStyle name="Normal 119 4 81" xfId="20392"/>
    <cellStyle name="Normal 119 4 82" xfId="20644"/>
    <cellStyle name="Normal 119 4 83" xfId="20894"/>
    <cellStyle name="Normal 119 4 84" xfId="21144"/>
    <cellStyle name="Normal 119 4 85" xfId="21392"/>
    <cellStyle name="Normal 119 4 86" xfId="21636"/>
    <cellStyle name="Normal 119 4 87" xfId="21879"/>
    <cellStyle name="Normal 119 4 88" xfId="22120"/>
    <cellStyle name="Normal 119 4 9" xfId="2313"/>
    <cellStyle name="Normal 119 40" xfId="9172"/>
    <cellStyle name="Normal 119 41" xfId="9423"/>
    <cellStyle name="Normal 119 42" xfId="9674"/>
    <cellStyle name="Normal 119 43" xfId="9925"/>
    <cellStyle name="Normal 119 44" xfId="10176"/>
    <cellStyle name="Normal 119 45" xfId="10427"/>
    <cellStyle name="Normal 119 46" xfId="10678"/>
    <cellStyle name="Normal 119 47" xfId="10929"/>
    <cellStyle name="Normal 119 48" xfId="11180"/>
    <cellStyle name="Normal 119 49" xfId="11431"/>
    <cellStyle name="Normal 119 5" xfId="373"/>
    <cellStyle name="Normal 119 50" xfId="11682"/>
    <cellStyle name="Normal 119 51" xfId="11933"/>
    <cellStyle name="Normal 119 52" xfId="12184"/>
    <cellStyle name="Normal 119 53" xfId="12435"/>
    <cellStyle name="Normal 119 54" xfId="12686"/>
    <cellStyle name="Normal 119 55" xfId="12937"/>
    <cellStyle name="Normal 119 56" xfId="13188"/>
    <cellStyle name="Normal 119 57" xfId="13439"/>
    <cellStyle name="Normal 119 58" xfId="13690"/>
    <cellStyle name="Normal 119 59" xfId="13941"/>
    <cellStyle name="Normal 119 6" xfId="622"/>
    <cellStyle name="Normal 119 60" xfId="14192"/>
    <cellStyle name="Normal 119 61" xfId="14443"/>
    <cellStyle name="Normal 119 62" xfId="14694"/>
    <cellStyle name="Normal 119 63" xfId="14944"/>
    <cellStyle name="Normal 119 64" xfId="15195"/>
    <cellStyle name="Normal 119 65" xfId="15446"/>
    <cellStyle name="Normal 119 66" xfId="15693"/>
    <cellStyle name="Normal 119 67" xfId="15950"/>
    <cellStyle name="Normal 119 68" xfId="16201"/>
    <cellStyle name="Normal 119 69" xfId="16452"/>
    <cellStyle name="Normal 119 7" xfId="875"/>
    <cellStyle name="Normal 119 70" xfId="16703"/>
    <cellStyle name="Normal 119 71" xfId="16954"/>
    <cellStyle name="Normal 119 72" xfId="17205"/>
    <cellStyle name="Normal 119 73" xfId="17456"/>
    <cellStyle name="Normal 119 74" xfId="17707"/>
    <cellStyle name="Normal 119 75" xfId="17958"/>
    <cellStyle name="Normal 119 76" xfId="18209"/>
    <cellStyle name="Normal 119 77" xfId="18460"/>
    <cellStyle name="Normal 119 78" xfId="18710"/>
    <cellStyle name="Normal 119 79" xfId="18961"/>
    <cellStyle name="Normal 119 8" xfId="1130"/>
    <cellStyle name="Normal 119 80" xfId="19212"/>
    <cellStyle name="Normal 119 81" xfId="19462"/>
    <cellStyle name="Normal 119 82" xfId="19718"/>
    <cellStyle name="Normal 119 83" xfId="19970"/>
    <cellStyle name="Normal 119 84" xfId="20222"/>
    <cellStyle name="Normal 119 85" xfId="20474"/>
    <cellStyle name="Normal 119 86" xfId="20724"/>
    <cellStyle name="Normal 119 87" xfId="20974"/>
    <cellStyle name="Normal 119 88" xfId="21225"/>
    <cellStyle name="Normal 119 89" xfId="21469"/>
    <cellStyle name="Normal 119 9" xfId="1383"/>
    <cellStyle name="Normal 119 90" xfId="21713"/>
    <cellStyle name="Normal 119 91" xfId="21954"/>
    <cellStyle name="Normal 12" xfId="130"/>
    <cellStyle name="Normal 12 10" xfId="1929"/>
    <cellStyle name="Normal 12 11" xfId="2180"/>
    <cellStyle name="Normal 12 12" xfId="2431"/>
    <cellStyle name="Normal 12 13" xfId="2682"/>
    <cellStyle name="Normal 12 14" xfId="2933"/>
    <cellStyle name="Normal 12 15" xfId="3184"/>
    <cellStyle name="Normal 12 16" xfId="3435"/>
    <cellStyle name="Normal 12 17" xfId="3686"/>
    <cellStyle name="Normal 12 18" xfId="3937"/>
    <cellStyle name="Normal 12 19" xfId="4188"/>
    <cellStyle name="Normal 12 2" xfId="224"/>
    <cellStyle name="Normal 12 2 10" xfId="2524"/>
    <cellStyle name="Normal 12 2 11" xfId="2775"/>
    <cellStyle name="Normal 12 2 12" xfId="3026"/>
    <cellStyle name="Normal 12 2 13" xfId="3277"/>
    <cellStyle name="Normal 12 2 14" xfId="3528"/>
    <cellStyle name="Normal 12 2 15" xfId="3779"/>
    <cellStyle name="Normal 12 2 16" xfId="4030"/>
    <cellStyle name="Normal 12 2 17" xfId="4281"/>
    <cellStyle name="Normal 12 2 18" xfId="4532"/>
    <cellStyle name="Normal 12 2 19" xfId="4783"/>
    <cellStyle name="Normal 12 2 2" xfId="501"/>
    <cellStyle name="Normal 12 2 20" xfId="5034"/>
    <cellStyle name="Normal 12 2 21" xfId="5285"/>
    <cellStyle name="Normal 12 2 22" xfId="5536"/>
    <cellStyle name="Normal 12 2 23" xfId="5787"/>
    <cellStyle name="Normal 12 2 24" xfId="6038"/>
    <cellStyle name="Normal 12 2 25" xfId="6289"/>
    <cellStyle name="Normal 12 2 26" xfId="6540"/>
    <cellStyle name="Normal 12 2 27" xfId="6791"/>
    <cellStyle name="Normal 12 2 28" xfId="7042"/>
    <cellStyle name="Normal 12 2 29" xfId="7293"/>
    <cellStyle name="Normal 12 2 3" xfId="751"/>
    <cellStyle name="Normal 12 2 30" xfId="7544"/>
    <cellStyle name="Normal 12 2 31" xfId="7795"/>
    <cellStyle name="Normal 12 2 32" xfId="8046"/>
    <cellStyle name="Normal 12 2 33" xfId="8297"/>
    <cellStyle name="Normal 12 2 34" xfId="8548"/>
    <cellStyle name="Normal 12 2 35" xfId="8799"/>
    <cellStyle name="Normal 12 2 36" xfId="9050"/>
    <cellStyle name="Normal 12 2 37" xfId="9301"/>
    <cellStyle name="Normal 12 2 38" xfId="9552"/>
    <cellStyle name="Normal 12 2 39" xfId="9803"/>
    <cellStyle name="Normal 12 2 4" xfId="1004"/>
    <cellStyle name="Normal 12 2 40" xfId="10054"/>
    <cellStyle name="Normal 12 2 41" xfId="10305"/>
    <cellStyle name="Normal 12 2 42" xfId="10556"/>
    <cellStyle name="Normal 12 2 43" xfId="10807"/>
    <cellStyle name="Normal 12 2 44" xfId="11058"/>
    <cellStyle name="Normal 12 2 45" xfId="11309"/>
    <cellStyle name="Normal 12 2 46" xfId="11560"/>
    <cellStyle name="Normal 12 2 47" xfId="11811"/>
    <cellStyle name="Normal 12 2 48" xfId="12062"/>
    <cellStyle name="Normal 12 2 49" xfId="12313"/>
    <cellStyle name="Normal 12 2 5" xfId="1259"/>
    <cellStyle name="Normal 12 2 50" xfId="12564"/>
    <cellStyle name="Normal 12 2 51" xfId="12815"/>
    <cellStyle name="Normal 12 2 52" xfId="13066"/>
    <cellStyle name="Normal 12 2 53" xfId="13317"/>
    <cellStyle name="Normal 12 2 54" xfId="13568"/>
    <cellStyle name="Normal 12 2 55" xfId="13819"/>
    <cellStyle name="Normal 12 2 56" xfId="14070"/>
    <cellStyle name="Normal 12 2 57" xfId="14321"/>
    <cellStyle name="Normal 12 2 58" xfId="14572"/>
    <cellStyle name="Normal 12 2 59" xfId="14823"/>
    <cellStyle name="Normal 12 2 6" xfId="1512"/>
    <cellStyle name="Normal 12 2 60" xfId="15074"/>
    <cellStyle name="Normal 12 2 61" xfId="15324"/>
    <cellStyle name="Normal 12 2 62" xfId="15575"/>
    <cellStyle name="Normal 12 2 63" xfId="15823"/>
    <cellStyle name="Normal 12 2 64" xfId="16079"/>
    <cellStyle name="Normal 12 2 65" xfId="16330"/>
    <cellStyle name="Normal 12 2 66" xfId="16581"/>
    <cellStyle name="Normal 12 2 67" xfId="16832"/>
    <cellStyle name="Normal 12 2 68" xfId="17083"/>
    <cellStyle name="Normal 12 2 69" xfId="17334"/>
    <cellStyle name="Normal 12 2 7" xfId="1766"/>
    <cellStyle name="Normal 12 2 70" xfId="17585"/>
    <cellStyle name="Normal 12 2 71" xfId="17836"/>
    <cellStyle name="Normal 12 2 72" xfId="18087"/>
    <cellStyle name="Normal 12 2 73" xfId="18338"/>
    <cellStyle name="Normal 12 2 74" xfId="18589"/>
    <cellStyle name="Normal 12 2 75" xfId="18840"/>
    <cellStyle name="Normal 12 2 76" xfId="19090"/>
    <cellStyle name="Normal 12 2 77" xfId="19342"/>
    <cellStyle name="Normal 12 2 78" xfId="19592"/>
    <cellStyle name="Normal 12 2 79" xfId="19848"/>
    <cellStyle name="Normal 12 2 8" xfId="2022"/>
    <cellStyle name="Normal 12 2 80" xfId="20100"/>
    <cellStyle name="Normal 12 2 81" xfId="20352"/>
    <cellStyle name="Normal 12 2 82" xfId="20604"/>
    <cellStyle name="Normal 12 2 83" xfId="20854"/>
    <cellStyle name="Normal 12 2 84" xfId="21104"/>
    <cellStyle name="Normal 12 2 85" xfId="21353"/>
    <cellStyle name="Normal 12 2 86" xfId="21597"/>
    <cellStyle name="Normal 12 2 87" xfId="21841"/>
    <cellStyle name="Normal 12 2 88" xfId="22082"/>
    <cellStyle name="Normal 12 2 9" xfId="2273"/>
    <cellStyle name="Normal 12 20" xfId="4439"/>
    <cellStyle name="Normal 12 21" xfId="4690"/>
    <cellStyle name="Normal 12 22" xfId="4941"/>
    <cellStyle name="Normal 12 23" xfId="5192"/>
    <cellStyle name="Normal 12 24" xfId="5443"/>
    <cellStyle name="Normal 12 25" xfId="5694"/>
    <cellStyle name="Normal 12 26" xfId="5945"/>
    <cellStyle name="Normal 12 27" xfId="6196"/>
    <cellStyle name="Normal 12 28" xfId="6447"/>
    <cellStyle name="Normal 12 29" xfId="6698"/>
    <cellStyle name="Normal 12 3" xfId="300"/>
    <cellStyle name="Normal 12 3 10" xfId="2600"/>
    <cellStyle name="Normal 12 3 11" xfId="2851"/>
    <cellStyle name="Normal 12 3 12" xfId="3102"/>
    <cellStyle name="Normal 12 3 13" xfId="3353"/>
    <cellStyle name="Normal 12 3 14" xfId="3604"/>
    <cellStyle name="Normal 12 3 15" xfId="3855"/>
    <cellStyle name="Normal 12 3 16" xfId="4106"/>
    <cellStyle name="Normal 12 3 17" xfId="4357"/>
    <cellStyle name="Normal 12 3 18" xfId="4608"/>
    <cellStyle name="Normal 12 3 19" xfId="4859"/>
    <cellStyle name="Normal 12 3 2" xfId="575"/>
    <cellStyle name="Normal 12 3 20" xfId="5110"/>
    <cellStyle name="Normal 12 3 21" xfId="5361"/>
    <cellStyle name="Normal 12 3 22" xfId="5612"/>
    <cellStyle name="Normal 12 3 23" xfId="5863"/>
    <cellStyle name="Normal 12 3 24" xfId="6114"/>
    <cellStyle name="Normal 12 3 25" xfId="6365"/>
    <cellStyle name="Normal 12 3 26" xfId="6616"/>
    <cellStyle name="Normal 12 3 27" xfId="6867"/>
    <cellStyle name="Normal 12 3 28" xfId="7118"/>
    <cellStyle name="Normal 12 3 29" xfId="7369"/>
    <cellStyle name="Normal 12 3 3" xfId="825"/>
    <cellStyle name="Normal 12 3 30" xfId="7620"/>
    <cellStyle name="Normal 12 3 31" xfId="7871"/>
    <cellStyle name="Normal 12 3 32" xfId="8122"/>
    <cellStyle name="Normal 12 3 33" xfId="8373"/>
    <cellStyle name="Normal 12 3 34" xfId="8624"/>
    <cellStyle name="Normal 12 3 35" xfId="8875"/>
    <cellStyle name="Normal 12 3 36" xfId="9126"/>
    <cellStyle name="Normal 12 3 37" xfId="9377"/>
    <cellStyle name="Normal 12 3 38" xfId="9628"/>
    <cellStyle name="Normal 12 3 39" xfId="9879"/>
    <cellStyle name="Normal 12 3 4" xfId="1077"/>
    <cellStyle name="Normal 12 3 40" xfId="10130"/>
    <cellStyle name="Normal 12 3 41" xfId="10381"/>
    <cellStyle name="Normal 12 3 42" xfId="10632"/>
    <cellStyle name="Normal 12 3 43" xfId="10883"/>
    <cellStyle name="Normal 12 3 44" xfId="11134"/>
    <cellStyle name="Normal 12 3 45" xfId="11385"/>
    <cellStyle name="Normal 12 3 46" xfId="11636"/>
    <cellStyle name="Normal 12 3 47" xfId="11887"/>
    <cellStyle name="Normal 12 3 48" xfId="12138"/>
    <cellStyle name="Normal 12 3 49" xfId="12389"/>
    <cellStyle name="Normal 12 3 5" xfId="1333"/>
    <cellStyle name="Normal 12 3 50" xfId="12640"/>
    <cellStyle name="Normal 12 3 51" xfId="12891"/>
    <cellStyle name="Normal 12 3 52" xfId="13142"/>
    <cellStyle name="Normal 12 3 53" xfId="13393"/>
    <cellStyle name="Normal 12 3 54" xfId="13644"/>
    <cellStyle name="Normal 12 3 55" xfId="13895"/>
    <cellStyle name="Normal 12 3 56" xfId="14146"/>
    <cellStyle name="Normal 12 3 57" xfId="14397"/>
    <cellStyle name="Normal 12 3 58" xfId="14648"/>
    <cellStyle name="Normal 12 3 59" xfId="14899"/>
    <cellStyle name="Normal 12 3 6" xfId="1588"/>
    <cellStyle name="Normal 12 3 60" xfId="15150"/>
    <cellStyle name="Normal 12 3 61" xfId="15400"/>
    <cellStyle name="Normal 12 3 62" xfId="15649"/>
    <cellStyle name="Normal 12 3 63" xfId="15899"/>
    <cellStyle name="Normal 12 3 64" xfId="16155"/>
    <cellStyle name="Normal 12 3 65" xfId="16406"/>
    <cellStyle name="Normal 12 3 66" xfId="16657"/>
    <cellStyle name="Normal 12 3 67" xfId="16908"/>
    <cellStyle name="Normal 12 3 68" xfId="17159"/>
    <cellStyle name="Normal 12 3 69" xfId="17410"/>
    <cellStyle name="Normal 12 3 7" xfId="1841"/>
    <cellStyle name="Normal 12 3 70" xfId="17661"/>
    <cellStyle name="Normal 12 3 71" xfId="17912"/>
    <cellStyle name="Normal 12 3 72" xfId="18163"/>
    <cellStyle name="Normal 12 3 73" xfId="18414"/>
    <cellStyle name="Normal 12 3 74" xfId="18665"/>
    <cellStyle name="Normal 12 3 75" xfId="18916"/>
    <cellStyle name="Normal 12 3 76" xfId="19166"/>
    <cellStyle name="Normal 12 3 77" xfId="19417"/>
    <cellStyle name="Normal 12 3 78" xfId="19668"/>
    <cellStyle name="Normal 12 3 79" xfId="19924"/>
    <cellStyle name="Normal 12 3 8" xfId="2098"/>
    <cellStyle name="Normal 12 3 80" xfId="20176"/>
    <cellStyle name="Normal 12 3 81" xfId="20428"/>
    <cellStyle name="Normal 12 3 82" xfId="20680"/>
    <cellStyle name="Normal 12 3 83" xfId="20930"/>
    <cellStyle name="Normal 12 3 84" xfId="21179"/>
    <cellStyle name="Normal 12 3 85" xfId="21427"/>
    <cellStyle name="Normal 12 3 86" xfId="21671"/>
    <cellStyle name="Normal 12 3 87" xfId="21913"/>
    <cellStyle name="Normal 12 3 88" xfId="22154"/>
    <cellStyle name="Normal 12 3 9" xfId="2349"/>
    <cellStyle name="Normal 12 30" xfId="6949"/>
    <cellStyle name="Normal 12 31" xfId="7200"/>
    <cellStyle name="Normal 12 32" xfId="7451"/>
    <cellStyle name="Normal 12 33" xfId="7702"/>
    <cellStyle name="Normal 12 34" xfId="7953"/>
    <cellStyle name="Normal 12 35" xfId="8204"/>
    <cellStyle name="Normal 12 36" xfId="8455"/>
    <cellStyle name="Normal 12 37" xfId="8706"/>
    <cellStyle name="Normal 12 38" xfId="8957"/>
    <cellStyle name="Normal 12 39" xfId="9208"/>
    <cellStyle name="Normal 12 4" xfId="409"/>
    <cellStyle name="Normal 12 40" xfId="9459"/>
    <cellStyle name="Normal 12 41" xfId="9710"/>
    <cellStyle name="Normal 12 42" xfId="9961"/>
    <cellStyle name="Normal 12 43" xfId="10212"/>
    <cellStyle name="Normal 12 44" xfId="10463"/>
    <cellStyle name="Normal 12 45" xfId="10714"/>
    <cellStyle name="Normal 12 46" xfId="10965"/>
    <cellStyle name="Normal 12 47" xfId="11216"/>
    <cellStyle name="Normal 12 48" xfId="11467"/>
    <cellStyle name="Normal 12 49" xfId="11718"/>
    <cellStyle name="Normal 12 5" xfId="658"/>
    <cellStyle name="Normal 12 50" xfId="11969"/>
    <cellStyle name="Normal 12 51" xfId="12220"/>
    <cellStyle name="Normal 12 52" xfId="12471"/>
    <cellStyle name="Normal 12 53" xfId="12722"/>
    <cellStyle name="Normal 12 54" xfId="12973"/>
    <cellStyle name="Normal 12 55" xfId="13224"/>
    <cellStyle name="Normal 12 56" xfId="13475"/>
    <cellStyle name="Normal 12 57" xfId="13726"/>
    <cellStyle name="Normal 12 58" xfId="13977"/>
    <cellStyle name="Normal 12 59" xfId="14228"/>
    <cellStyle name="Normal 12 6" xfId="911"/>
    <cellStyle name="Normal 12 60" xfId="14479"/>
    <cellStyle name="Normal 12 61" xfId="14730"/>
    <cellStyle name="Normal 12 62" xfId="14980"/>
    <cellStyle name="Normal 12 63" xfId="15231"/>
    <cellStyle name="Normal 12 64" xfId="15482"/>
    <cellStyle name="Normal 12 65" xfId="15729"/>
    <cellStyle name="Normal 12 66" xfId="15986"/>
    <cellStyle name="Normal 12 67" xfId="16237"/>
    <cellStyle name="Normal 12 68" xfId="16488"/>
    <cellStyle name="Normal 12 69" xfId="16739"/>
    <cellStyle name="Normal 12 7" xfId="1166"/>
    <cellStyle name="Normal 12 70" xfId="16990"/>
    <cellStyle name="Normal 12 71" xfId="17241"/>
    <cellStyle name="Normal 12 72" xfId="17492"/>
    <cellStyle name="Normal 12 73" xfId="17743"/>
    <cellStyle name="Normal 12 74" xfId="17994"/>
    <cellStyle name="Normal 12 75" xfId="18245"/>
    <cellStyle name="Normal 12 76" xfId="18496"/>
    <cellStyle name="Normal 12 77" xfId="18746"/>
    <cellStyle name="Normal 12 78" xfId="18997"/>
    <cellStyle name="Normal 12 79" xfId="19248"/>
    <cellStyle name="Normal 12 8" xfId="1419"/>
    <cellStyle name="Normal 12 80" xfId="19498"/>
    <cellStyle name="Normal 12 81" xfId="19754"/>
    <cellStyle name="Normal 12 82" xfId="20006"/>
    <cellStyle name="Normal 12 83" xfId="20258"/>
    <cellStyle name="Normal 12 84" xfId="20510"/>
    <cellStyle name="Normal 12 85" xfId="20760"/>
    <cellStyle name="Normal 12 86" xfId="21010"/>
    <cellStyle name="Normal 12 87" xfId="21261"/>
    <cellStyle name="Normal 12 88" xfId="21505"/>
    <cellStyle name="Normal 12 89" xfId="21749"/>
    <cellStyle name="Normal 12 9" xfId="1672"/>
    <cellStyle name="Normal 12 90" xfId="21990"/>
    <cellStyle name="Normal 120" xfId="95"/>
    <cellStyle name="Normal 120 10" xfId="1894"/>
    <cellStyle name="Normal 120 11" xfId="2145"/>
    <cellStyle name="Normal 120 12" xfId="2396"/>
    <cellStyle name="Normal 120 13" xfId="2647"/>
    <cellStyle name="Normal 120 14" xfId="2898"/>
    <cellStyle name="Normal 120 15" xfId="3149"/>
    <cellStyle name="Normal 120 16" xfId="3400"/>
    <cellStyle name="Normal 120 17" xfId="3651"/>
    <cellStyle name="Normal 120 18" xfId="3902"/>
    <cellStyle name="Normal 120 19" xfId="4153"/>
    <cellStyle name="Normal 120 2" xfId="189"/>
    <cellStyle name="Normal 120 2 10" xfId="2489"/>
    <cellStyle name="Normal 120 2 11" xfId="2740"/>
    <cellStyle name="Normal 120 2 12" xfId="2991"/>
    <cellStyle name="Normal 120 2 13" xfId="3242"/>
    <cellStyle name="Normal 120 2 14" xfId="3493"/>
    <cellStyle name="Normal 120 2 15" xfId="3744"/>
    <cellStyle name="Normal 120 2 16" xfId="3995"/>
    <cellStyle name="Normal 120 2 17" xfId="4246"/>
    <cellStyle name="Normal 120 2 18" xfId="4497"/>
    <cellStyle name="Normal 120 2 19" xfId="4748"/>
    <cellStyle name="Normal 120 2 2" xfId="466"/>
    <cellStyle name="Normal 120 2 20" xfId="4999"/>
    <cellStyle name="Normal 120 2 21" xfId="5250"/>
    <cellStyle name="Normal 120 2 22" xfId="5501"/>
    <cellStyle name="Normal 120 2 23" xfId="5752"/>
    <cellStyle name="Normal 120 2 24" xfId="6003"/>
    <cellStyle name="Normal 120 2 25" xfId="6254"/>
    <cellStyle name="Normal 120 2 26" xfId="6505"/>
    <cellStyle name="Normal 120 2 27" xfId="6756"/>
    <cellStyle name="Normal 120 2 28" xfId="7007"/>
    <cellStyle name="Normal 120 2 29" xfId="7258"/>
    <cellStyle name="Normal 120 2 3" xfId="716"/>
    <cellStyle name="Normal 120 2 30" xfId="7509"/>
    <cellStyle name="Normal 120 2 31" xfId="7760"/>
    <cellStyle name="Normal 120 2 32" xfId="8011"/>
    <cellStyle name="Normal 120 2 33" xfId="8262"/>
    <cellStyle name="Normal 120 2 34" xfId="8513"/>
    <cellStyle name="Normal 120 2 35" xfId="8764"/>
    <cellStyle name="Normal 120 2 36" xfId="9015"/>
    <cellStyle name="Normal 120 2 37" xfId="9266"/>
    <cellStyle name="Normal 120 2 38" xfId="9517"/>
    <cellStyle name="Normal 120 2 39" xfId="9768"/>
    <cellStyle name="Normal 120 2 4" xfId="969"/>
    <cellStyle name="Normal 120 2 40" xfId="10019"/>
    <cellStyle name="Normal 120 2 41" xfId="10270"/>
    <cellStyle name="Normal 120 2 42" xfId="10521"/>
    <cellStyle name="Normal 120 2 43" xfId="10772"/>
    <cellStyle name="Normal 120 2 44" xfId="11023"/>
    <cellStyle name="Normal 120 2 45" xfId="11274"/>
    <cellStyle name="Normal 120 2 46" xfId="11525"/>
    <cellStyle name="Normal 120 2 47" xfId="11776"/>
    <cellStyle name="Normal 120 2 48" xfId="12027"/>
    <cellStyle name="Normal 120 2 49" xfId="12278"/>
    <cellStyle name="Normal 120 2 5" xfId="1224"/>
    <cellStyle name="Normal 120 2 50" xfId="12529"/>
    <cellStyle name="Normal 120 2 51" xfId="12780"/>
    <cellStyle name="Normal 120 2 52" xfId="13031"/>
    <cellStyle name="Normal 120 2 53" xfId="13282"/>
    <cellStyle name="Normal 120 2 54" xfId="13533"/>
    <cellStyle name="Normal 120 2 55" xfId="13784"/>
    <cellStyle name="Normal 120 2 56" xfId="14035"/>
    <cellStyle name="Normal 120 2 57" xfId="14286"/>
    <cellStyle name="Normal 120 2 58" xfId="14537"/>
    <cellStyle name="Normal 120 2 59" xfId="14788"/>
    <cellStyle name="Normal 120 2 6" xfId="1477"/>
    <cellStyle name="Normal 120 2 60" xfId="15039"/>
    <cellStyle name="Normal 120 2 61" xfId="15289"/>
    <cellStyle name="Normal 120 2 62" xfId="15540"/>
    <cellStyle name="Normal 120 2 63" xfId="15788"/>
    <cellStyle name="Normal 120 2 64" xfId="16044"/>
    <cellStyle name="Normal 120 2 65" xfId="16295"/>
    <cellStyle name="Normal 120 2 66" xfId="16546"/>
    <cellStyle name="Normal 120 2 67" xfId="16797"/>
    <cellStyle name="Normal 120 2 68" xfId="17048"/>
    <cellStyle name="Normal 120 2 69" xfId="17299"/>
    <cellStyle name="Normal 120 2 7" xfId="1731"/>
    <cellStyle name="Normal 120 2 70" xfId="17550"/>
    <cellStyle name="Normal 120 2 71" xfId="17801"/>
    <cellStyle name="Normal 120 2 72" xfId="18052"/>
    <cellStyle name="Normal 120 2 73" xfId="18303"/>
    <cellStyle name="Normal 120 2 74" xfId="18554"/>
    <cellStyle name="Normal 120 2 75" xfId="18805"/>
    <cellStyle name="Normal 120 2 76" xfId="19055"/>
    <cellStyle name="Normal 120 2 77" xfId="19307"/>
    <cellStyle name="Normal 120 2 78" xfId="19557"/>
    <cellStyle name="Normal 120 2 79" xfId="19813"/>
    <cellStyle name="Normal 120 2 8" xfId="1987"/>
    <cellStyle name="Normal 120 2 80" xfId="20065"/>
    <cellStyle name="Normal 120 2 81" xfId="20317"/>
    <cellStyle name="Normal 120 2 82" xfId="20569"/>
    <cellStyle name="Normal 120 2 83" xfId="20819"/>
    <cellStyle name="Normal 120 2 84" xfId="21069"/>
    <cellStyle name="Normal 120 2 85" xfId="21318"/>
    <cellStyle name="Normal 120 2 86" xfId="21562"/>
    <cellStyle name="Normal 120 2 87" xfId="21806"/>
    <cellStyle name="Normal 120 2 88" xfId="22047"/>
    <cellStyle name="Normal 120 2 9" xfId="2238"/>
    <cellStyle name="Normal 120 20" xfId="4404"/>
    <cellStyle name="Normal 120 21" xfId="4655"/>
    <cellStyle name="Normal 120 22" xfId="4906"/>
    <cellStyle name="Normal 120 23" xfId="5157"/>
    <cellStyle name="Normal 120 24" xfId="5408"/>
    <cellStyle name="Normal 120 25" xfId="5659"/>
    <cellStyle name="Normal 120 26" xfId="5910"/>
    <cellStyle name="Normal 120 27" xfId="6161"/>
    <cellStyle name="Normal 120 28" xfId="6412"/>
    <cellStyle name="Normal 120 29" xfId="6663"/>
    <cellStyle name="Normal 120 3" xfId="265"/>
    <cellStyle name="Normal 120 3 10" xfId="2565"/>
    <cellStyle name="Normal 120 3 11" xfId="2816"/>
    <cellStyle name="Normal 120 3 12" xfId="3067"/>
    <cellStyle name="Normal 120 3 13" xfId="3318"/>
    <cellStyle name="Normal 120 3 14" xfId="3569"/>
    <cellStyle name="Normal 120 3 15" xfId="3820"/>
    <cellStyle name="Normal 120 3 16" xfId="4071"/>
    <cellStyle name="Normal 120 3 17" xfId="4322"/>
    <cellStyle name="Normal 120 3 18" xfId="4573"/>
    <cellStyle name="Normal 120 3 19" xfId="4824"/>
    <cellStyle name="Normal 120 3 2" xfId="541"/>
    <cellStyle name="Normal 120 3 20" xfId="5075"/>
    <cellStyle name="Normal 120 3 21" xfId="5326"/>
    <cellStyle name="Normal 120 3 22" xfId="5577"/>
    <cellStyle name="Normal 120 3 23" xfId="5828"/>
    <cellStyle name="Normal 120 3 24" xfId="6079"/>
    <cellStyle name="Normal 120 3 25" xfId="6330"/>
    <cellStyle name="Normal 120 3 26" xfId="6581"/>
    <cellStyle name="Normal 120 3 27" xfId="6832"/>
    <cellStyle name="Normal 120 3 28" xfId="7083"/>
    <cellStyle name="Normal 120 3 29" xfId="7334"/>
    <cellStyle name="Normal 120 3 3" xfId="791"/>
    <cellStyle name="Normal 120 3 30" xfId="7585"/>
    <cellStyle name="Normal 120 3 31" xfId="7836"/>
    <cellStyle name="Normal 120 3 32" xfId="8087"/>
    <cellStyle name="Normal 120 3 33" xfId="8338"/>
    <cellStyle name="Normal 120 3 34" xfId="8589"/>
    <cellStyle name="Normal 120 3 35" xfId="8840"/>
    <cellStyle name="Normal 120 3 36" xfId="9091"/>
    <cellStyle name="Normal 120 3 37" xfId="9342"/>
    <cellStyle name="Normal 120 3 38" xfId="9593"/>
    <cellStyle name="Normal 120 3 39" xfId="9844"/>
    <cellStyle name="Normal 120 3 4" xfId="1043"/>
    <cellStyle name="Normal 120 3 40" xfId="10095"/>
    <cellStyle name="Normal 120 3 41" xfId="10346"/>
    <cellStyle name="Normal 120 3 42" xfId="10597"/>
    <cellStyle name="Normal 120 3 43" xfId="10848"/>
    <cellStyle name="Normal 120 3 44" xfId="11099"/>
    <cellStyle name="Normal 120 3 45" xfId="11350"/>
    <cellStyle name="Normal 120 3 46" xfId="11601"/>
    <cellStyle name="Normal 120 3 47" xfId="11852"/>
    <cellStyle name="Normal 120 3 48" xfId="12103"/>
    <cellStyle name="Normal 120 3 49" xfId="12354"/>
    <cellStyle name="Normal 120 3 5" xfId="1299"/>
    <cellStyle name="Normal 120 3 50" xfId="12605"/>
    <cellStyle name="Normal 120 3 51" xfId="12856"/>
    <cellStyle name="Normal 120 3 52" xfId="13107"/>
    <cellStyle name="Normal 120 3 53" xfId="13358"/>
    <cellStyle name="Normal 120 3 54" xfId="13609"/>
    <cellStyle name="Normal 120 3 55" xfId="13860"/>
    <cellStyle name="Normal 120 3 56" xfId="14111"/>
    <cellStyle name="Normal 120 3 57" xfId="14362"/>
    <cellStyle name="Normal 120 3 58" xfId="14613"/>
    <cellStyle name="Normal 120 3 59" xfId="14864"/>
    <cellStyle name="Normal 120 3 6" xfId="1553"/>
    <cellStyle name="Normal 120 3 60" xfId="15115"/>
    <cellStyle name="Normal 120 3 61" xfId="15365"/>
    <cellStyle name="Normal 120 3 62" xfId="15615"/>
    <cellStyle name="Normal 120 3 63" xfId="15864"/>
    <cellStyle name="Normal 120 3 64" xfId="16120"/>
    <cellStyle name="Normal 120 3 65" xfId="16371"/>
    <cellStyle name="Normal 120 3 66" xfId="16622"/>
    <cellStyle name="Normal 120 3 67" xfId="16873"/>
    <cellStyle name="Normal 120 3 68" xfId="17124"/>
    <cellStyle name="Normal 120 3 69" xfId="17375"/>
    <cellStyle name="Normal 120 3 7" xfId="1806"/>
    <cellStyle name="Normal 120 3 70" xfId="17626"/>
    <cellStyle name="Normal 120 3 71" xfId="17877"/>
    <cellStyle name="Normal 120 3 72" xfId="18128"/>
    <cellStyle name="Normal 120 3 73" xfId="18379"/>
    <cellStyle name="Normal 120 3 74" xfId="18630"/>
    <cellStyle name="Normal 120 3 75" xfId="18881"/>
    <cellStyle name="Normal 120 3 76" xfId="19131"/>
    <cellStyle name="Normal 120 3 77" xfId="19383"/>
    <cellStyle name="Normal 120 3 78" xfId="19633"/>
    <cellStyle name="Normal 120 3 79" xfId="19889"/>
    <cellStyle name="Normal 120 3 8" xfId="2063"/>
    <cellStyle name="Normal 120 3 80" xfId="20141"/>
    <cellStyle name="Normal 120 3 81" xfId="20393"/>
    <cellStyle name="Normal 120 3 82" xfId="20645"/>
    <cellStyle name="Normal 120 3 83" xfId="20895"/>
    <cellStyle name="Normal 120 3 84" xfId="21145"/>
    <cellStyle name="Normal 120 3 85" xfId="21393"/>
    <cellStyle name="Normal 120 3 86" xfId="21637"/>
    <cellStyle name="Normal 120 3 87" xfId="21880"/>
    <cellStyle name="Normal 120 3 88" xfId="22121"/>
    <cellStyle name="Normal 120 3 9" xfId="2314"/>
    <cellStyle name="Normal 120 30" xfId="6914"/>
    <cellStyle name="Normal 120 31" xfId="7165"/>
    <cellStyle name="Normal 120 32" xfId="7416"/>
    <cellStyle name="Normal 120 33" xfId="7667"/>
    <cellStyle name="Normal 120 34" xfId="7918"/>
    <cellStyle name="Normal 120 35" xfId="8169"/>
    <cellStyle name="Normal 120 36" xfId="8420"/>
    <cellStyle name="Normal 120 37" xfId="8671"/>
    <cellStyle name="Normal 120 38" xfId="8922"/>
    <cellStyle name="Normal 120 39" xfId="9173"/>
    <cellStyle name="Normal 120 4" xfId="374"/>
    <cellStyle name="Normal 120 40" xfId="9424"/>
    <cellStyle name="Normal 120 41" xfId="9675"/>
    <cellStyle name="Normal 120 42" xfId="9926"/>
    <cellStyle name="Normal 120 43" xfId="10177"/>
    <cellStyle name="Normal 120 44" xfId="10428"/>
    <cellStyle name="Normal 120 45" xfId="10679"/>
    <cellStyle name="Normal 120 46" xfId="10930"/>
    <cellStyle name="Normal 120 47" xfId="11181"/>
    <cellStyle name="Normal 120 48" xfId="11432"/>
    <cellStyle name="Normal 120 49" xfId="11683"/>
    <cellStyle name="Normal 120 5" xfId="623"/>
    <cellStyle name="Normal 120 50" xfId="11934"/>
    <cellStyle name="Normal 120 51" xfId="12185"/>
    <cellStyle name="Normal 120 52" xfId="12436"/>
    <cellStyle name="Normal 120 53" xfId="12687"/>
    <cellStyle name="Normal 120 54" xfId="12938"/>
    <cellStyle name="Normal 120 55" xfId="13189"/>
    <cellStyle name="Normal 120 56" xfId="13440"/>
    <cellStyle name="Normal 120 57" xfId="13691"/>
    <cellStyle name="Normal 120 58" xfId="13942"/>
    <cellStyle name="Normal 120 59" xfId="14193"/>
    <cellStyle name="Normal 120 6" xfId="876"/>
    <cellStyle name="Normal 120 60" xfId="14444"/>
    <cellStyle name="Normal 120 61" xfId="14695"/>
    <cellStyle name="Normal 120 62" xfId="14945"/>
    <cellStyle name="Normal 120 63" xfId="15196"/>
    <cellStyle name="Normal 120 64" xfId="15447"/>
    <cellStyle name="Normal 120 65" xfId="15694"/>
    <cellStyle name="Normal 120 66" xfId="15951"/>
    <cellStyle name="Normal 120 67" xfId="16202"/>
    <cellStyle name="Normal 120 68" xfId="16453"/>
    <cellStyle name="Normal 120 69" xfId="16704"/>
    <cellStyle name="Normal 120 7" xfId="1131"/>
    <cellStyle name="Normal 120 70" xfId="16955"/>
    <cellStyle name="Normal 120 71" xfId="17206"/>
    <cellStyle name="Normal 120 72" xfId="17457"/>
    <cellStyle name="Normal 120 73" xfId="17708"/>
    <cellStyle name="Normal 120 74" xfId="17959"/>
    <cellStyle name="Normal 120 75" xfId="18210"/>
    <cellStyle name="Normal 120 76" xfId="18461"/>
    <cellStyle name="Normal 120 77" xfId="18711"/>
    <cellStyle name="Normal 120 78" xfId="18962"/>
    <cellStyle name="Normal 120 79" xfId="19213"/>
    <cellStyle name="Normal 120 8" xfId="1384"/>
    <cellStyle name="Normal 120 80" xfId="19463"/>
    <cellStyle name="Normal 120 81" xfId="19719"/>
    <cellStyle name="Normal 120 82" xfId="19971"/>
    <cellStyle name="Normal 120 83" xfId="20223"/>
    <cellStyle name="Normal 120 84" xfId="20475"/>
    <cellStyle name="Normal 120 85" xfId="20725"/>
    <cellStyle name="Normal 120 86" xfId="20975"/>
    <cellStyle name="Normal 120 87" xfId="21226"/>
    <cellStyle name="Normal 120 88" xfId="21470"/>
    <cellStyle name="Normal 120 89" xfId="21714"/>
    <cellStyle name="Normal 120 9" xfId="1637"/>
    <cellStyle name="Normal 120 90" xfId="21955"/>
    <cellStyle name="Normal 121" xfId="24742"/>
    <cellStyle name="Normal 122" xfId="24758"/>
    <cellStyle name="Normal 126" xfId="18774"/>
    <cellStyle name="Normal 128" xfId="18430"/>
    <cellStyle name="Normal 129" xfId="19100"/>
    <cellStyle name="Normal 13" xfId="131"/>
    <cellStyle name="Normal 13 10" xfId="1930"/>
    <cellStyle name="Normal 13 11" xfId="2181"/>
    <cellStyle name="Normal 13 12" xfId="2432"/>
    <cellStyle name="Normal 13 13" xfId="2683"/>
    <cellStyle name="Normal 13 14" xfId="2934"/>
    <cellStyle name="Normal 13 15" xfId="3185"/>
    <cellStyle name="Normal 13 16" xfId="3436"/>
    <cellStyle name="Normal 13 17" xfId="3687"/>
    <cellStyle name="Normal 13 18" xfId="3938"/>
    <cellStyle name="Normal 13 19" xfId="4189"/>
    <cellStyle name="Normal 13 2" xfId="225"/>
    <cellStyle name="Normal 13 2 10" xfId="2525"/>
    <cellStyle name="Normal 13 2 11" xfId="2776"/>
    <cellStyle name="Normal 13 2 12" xfId="3027"/>
    <cellStyle name="Normal 13 2 13" xfId="3278"/>
    <cellStyle name="Normal 13 2 14" xfId="3529"/>
    <cellStyle name="Normal 13 2 15" xfId="3780"/>
    <cellStyle name="Normal 13 2 16" xfId="4031"/>
    <cellStyle name="Normal 13 2 17" xfId="4282"/>
    <cellStyle name="Normal 13 2 18" xfId="4533"/>
    <cellStyle name="Normal 13 2 19" xfId="4784"/>
    <cellStyle name="Normal 13 2 2" xfId="502"/>
    <cellStyle name="Normal 13 2 20" xfId="5035"/>
    <cellStyle name="Normal 13 2 21" xfId="5286"/>
    <cellStyle name="Normal 13 2 22" xfId="5537"/>
    <cellStyle name="Normal 13 2 23" xfId="5788"/>
    <cellStyle name="Normal 13 2 24" xfId="6039"/>
    <cellStyle name="Normal 13 2 25" xfId="6290"/>
    <cellStyle name="Normal 13 2 26" xfId="6541"/>
    <cellStyle name="Normal 13 2 27" xfId="6792"/>
    <cellStyle name="Normal 13 2 28" xfId="7043"/>
    <cellStyle name="Normal 13 2 29" xfId="7294"/>
    <cellStyle name="Normal 13 2 3" xfId="752"/>
    <cellStyle name="Normal 13 2 30" xfId="7545"/>
    <cellStyle name="Normal 13 2 31" xfId="7796"/>
    <cellStyle name="Normal 13 2 32" xfId="8047"/>
    <cellStyle name="Normal 13 2 33" xfId="8298"/>
    <cellStyle name="Normal 13 2 34" xfId="8549"/>
    <cellStyle name="Normal 13 2 35" xfId="8800"/>
    <cellStyle name="Normal 13 2 36" xfId="9051"/>
    <cellStyle name="Normal 13 2 37" xfId="9302"/>
    <cellStyle name="Normal 13 2 38" xfId="9553"/>
    <cellStyle name="Normal 13 2 39" xfId="9804"/>
    <cellStyle name="Normal 13 2 4" xfId="1005"/>
    <cellStyle name="Normal 13 2 40" xfId="10055"/>
    <cellStyle name="Normal 13 2 41" xfId="10306"/>
    <cellStyle name="Normal 13 2 42" xfId="10557"/>
    <cellStyle name="Normal 13 2 43" xfId="10808"/>
    <cellStyle name="Normal 13 2 44" xfId="11059"/>
    <cellStyle name="Normal 13 2 45" xfId="11310"/>
    <cellStyle name="Normal 13 2 46" xfId="11561"/>
    <cellStyle name="Normal 13 2 47" xfId="11812"/>
    <cellStyle name="Normal 13 2 48" xfId="12063"/>
    <cellStyle name="Normal 13 2 49" xfId="12314"/>
    <cellStyle name="Normal 13 2 5" xfId="1260"/>
    <cellStyle name="Normal 13 2 50" xfId="12565"/>
    <cellStyle name="Normal 13 2 51" xfId="12816"/>
    <cellStyle name="Normal 13 2 52" xfId="13067"/>
    <cellStyle name="Normal 13 2 53" xfId="13318"/>
    <cellStyle name="Normal 13 2 54" xfId="13569"/>
    <cellStyle name="Normal 13 2 55" xfId="13820"/>
    <cellStyle name="Normal 13 2 56" xfId="14071"/>
    <cellStyle name="Normal 13 2 57" xfId="14322"/>
    <cellStyle name="Normal 13 2 58" xfId="14573"/>
    <cellStyle name="Normal 13 2 59" xfId="14824"/>
    <cellStyle name="Normal 13 2 6" xfId="1513"/>
    <cellStyle name="Normal 13 2 60" xfId="15075"/>
    <cellStyle name="Normal 13 2 61" xfId="15325"/>
    <cellStyle name="Normal 13 2 62" xfId="15576"/>
    <cellStyle name="Normal 13 2 63" xfId="15824"/>
    <cellStyle name="Normal 13 2 64" xfId="16080"/>
    <cellStyle name="Normal 13 2 65" xfId="16331"/>
    <cellStyle name="Normal 13 2 66" xfId="16582"/>
    <cellStyle name="Normal 13 2 67" xfId="16833"/>
    <cellStyle name="Normal 13 2 68" xfId="17084"/>
    <cellStyle name="Normal 13 2 69" xfId="17335"/>
    <cellStyle name="Normal 13 2 7" xfId="1767"/>
    <cellStyle name="Normal 13 2 70" xfId="17586"/>
    <cellStyle name="Normal 13 2 71" xfId="17837"/>
    <cellStyle name="Normal 13 2 72" xfId="18088"/>
    <cellStyle name="Normal 13 2 73" xfId="18339"/>
    <cellStyle name="Normal 13 2 74" xfId="18590"/>
    <cellStyle name="Normal 13 2 75" xfId="18841"/>
    <cellStyle name="Normal 13 2 76" xfId="19091"/>
    <cellStyle name="Normal 13 2 77" xfId="19343"/>
    <cellStyle name="Normal 13 2 78" xfId="19593"/>
    <cellStyle name="Normal 13 2 79" xfId="19849"/>
    <cellStyle name="Normal 13 2 8" xfId="2023"/>
    <cellStyle name="Normal 13 2 80" xfId="20101"/>
    <cellStyle name="Normal 13 2 81" xfId="20353"/>
    <cellStyle name="Normal 13 2 82" xfId="20605"/>
    <cellStyle name="Normal 13 2 83" xfId="20855"/>
    <cellStyle name="Normal 13 2 84" xfId="21105"/>
    <cellStyle name="Normal 13 2 85" xfId="21354"/>
    <cellStyle name="Normal 13 2 86" xfId="21598"/>
    <cellStyle name="Normal 13 2 87" xfId="21842"/>
    <cellStyle name="Normal 13 2 88" xfId="22083"/>
    <cellStyle name="Normal 13 2 9" xfId="2274"/>
    <cellStyle name="Normal 13 20" xfId="4440"/>
    <cellStyle name="Normal 13 21" xfId="4691"/>
    <cellStyle name="Normal 13 22" xfId="4942"/>
    <cellStyle name="Normal 13 23" xfId="5193"/>
    <cellStyle name="Normal 13 24" xfId="5444"/>
    <cellStyle name="Normal 13 25" xfId="5695"/>
    <cellStyle name="Normal 13 26" xfId="5946"/>
    <cellStyle name="Normal 13 27" xfId="6197"/>
    <cellStyle name="Normal 13 28" xfId="6448"/>
    <cellStyle name="Normal 13 29" xfId="6699"/>
    <cellStyle name="Normal 13 3" xfId="301"/>
    <cellStyle name="Normal 13 3 10" xfId="2601"/>
    <cellStyle name="Normal 13 3 11" xfId="2852"/>
    <cellStyle name="Normal 13 3 12" xfId="3103"/>
    <cellStyle name="Normal 13 3 13" xfId="3354"/>
    <cellStyle name="Normal 13 3 14" xfId="3605"/>
    <cellStyle name="Normal 13 3 15" xfId="3856"/>
    <cellStyle name="Normal 13 3 16" xfId="4107"/>
    <cellStyle name="Normal 13 3 17" xfId="4358"/>
    <cellStyle name="Normal 13 3 18" xfId="4609"/>
    <cellStyle name="Normal 13 3 19" xfId="4860"/>
    <cellStyle name="Normal 13 3 2" xfId="576"/>
    <cellStyle name="Normal 13 3 20" xfId="5111"/>
    <cellStyle name="Normal 13 3 21" xfId="5362"/>
    <cellStyle name="Normal 13 3 22" xfId="5613"/>
    <cellStyle name="Normal 13 3 23" xfId="5864"/>
    <cellStyle name="Normal 13 3 24" xfId="6115"/>
    <cellStyle name="Normal 13 3 25" xfId="6366"/>
    <cellStyle name="Normal 13 3 26" xfId="6617"/>
    <cellStyle name="Normal 13 3 27" xfId="6868"/>
    <cellStyle name="Normal 13 3 28" xfId="7119"/>
    <cellStyle name="Normal 13 3 29" xfId="7370"/>
    <cellStyle name="Normal 13 3 3" xfId="826"/>
    <cellStyle name="Normal 13 3 30" xfId="7621"/>
    <cellStyle name="Normal 13 3 31" xfId="7872"/>
    <cellStyle name="Normal 13 3 32" xfId="8123"/>
    <cellStyle name="Normal 13 3 33" xfId="8374"/>
    <cellStyle name="Normal 13 3 34" xfId="8625"/>
    <cellStyle name="Normal 13 3 35" xfId="8876"/>
    <cellStyle name="Normal 13 3 36" xfId="9127"/>
    <cellStyle name="Normal 13 3 37" xfId="9378"/>
    <cellStyle name="Normal 13 3 38" xfId="9629"/>
    <cellStyle name="Normal 13 3 39" xfId="9880"/>
    <cellStyle name="Normal 13 3 4" xfId="1078"/>
    <cellStyle name="Normal 13 3 40" xfId="10131"/>
    <cellStyle name="Normal 13 3 41" xfId="10382"/>
    <cellStyle name="Normal 13 3 42" xfId="10633"/>
    <cellStyle name="Normal 13 3 43" xfId="10884"/>
    <cellStyle name="Normal 13 3 44" xfId="11135"/>
    <cellStyle name="Normal 13 3 45" xfId="11386"/>
    <cellStyle name="Normal 13 3 46" xfId="11637"/>
    <cellStyle name="Normal 13 3 47" xfId="11888"/>
    <cellStyle name="Normal 13 3 48" xfId="12139"/>
    <cellStyle name="Normal 13 3 49" xfId="12390"/>
    <cellStyle name="Normal 13 3 5" xfId="1334"/>
    <cellStyle name="Normal 13 3 50" xfId="12641"/>
    <cellStyle name="Normal 13 3 51" xfId="12892"/>
    <cellStyle name="Normal 13 3 52" xfId="13143"/>
    <cellStyle name="Normal 13 3 53" xfId="13394"/>
    <cellStyle name="Normal 13 3 54" xfId="13645"/>
    <cellStyle name="Normal 13 3 55" xfId="13896"/>
    <cellStyle name="Normal 13 3 56" xfId="14147"/>
    <cellStyle name="Normal 13 3 57" xfId="14398"/>
    <cellStyle name="Normal 13 3 58" xfId="14649"/>
    <cellStyle name="Normal 13 3 59" xfId="14900"/>
    <cellStyle name="Normal 13 3 6" xfId="1589"/>
    <cellStyle name="Normal 13 3 60" xfId="15151"/>
    <cellStyle name="Normal 13 3 61" xfId="15401"/>
    <cellStyle name="Normal 13 3 62" xfId="15650"/>
    <cellStyle name="Normal 13 3 63" xfId="15900"/>
    <cellStyle name="Normal 13 3 64" xfId="16156"/>
    <cellStyle name="Normal 13 3 65" xfId="16407"/>
    <cellStyle name="Normal 13 3 66" xfId="16658"/>
    <cellStyle name="Normal 13 3 67" xfId="16909"/>
    <cellStyle name="Normal 13 3 68" xfId="17160"/>
    <cellStyle name="Normal 13 3 69" xfId="17411"/>
    <cellStyle name="Normal 13 3 7" xfId="1842"/>
    <cellStyle name="Normal 13 3 70" xfId="17662"/>
    <cellStyle name="Normal 13 3 71" xfId="17913"/>
    <cellStyle name="Normal 13 3 72" xfId="18164"/>
    <cellStyle name="Normal 13 3 73" xfId="18415"/>
    <cellStyle name="Normal 13 3 74" xfId="18666"/>
    <cellStyle name="Normal 13 3 75" xfId="18917"/>
    <cellStyle name="Normal 13 3 76" xfId="19167"/>
    <cellStyle name="Normal 13 3 77" xfId="19418"/>
    <cellStyle name="Normal 13 3 78" xfId="19669"/>
    <cellStyle name="Normal 13 3 79" xfId="19925"/>
    <cellStyle name="Normal 13 3 8" xfId="2099"/>
    <cellStyle name="Normal 13 3 80" xfId="20177"/>
    <cellStyle name="Normal 13 3 81" xfId="20429"/>
    <cellStyle name="Normal 13 3 82" xfId="20681"/>
    <cellStyle name="Normal 13 3 83" xfId="20931"/>
    <cellStyle name="Normal 13 3 84" xfId="21180"/>
    <cellStyle name="Normal 13 3 85" xfId="21428"/>
    <cellStyle name="Normal 13 3 86" xfId="21672"/>
    <cellStyle name="Normal 13 3 87" xfId="21914"/>
    <cellStyle name="Normal 13 3 88" xfId="22155"/>
    <cellStyle name="Normal 13 3 9" xfId="2350"/>
    <cellStyle name="Normal 13 30" xfId="6950"/>
    <cellStyle name="Normal 13 31" xfId="7201"/>
    <cellStyle name="Normal 13 32" xfId="7452"/>
    <cellStyle name="Normal 13 33" xfId="7703"/>
    <cellStyle name="Normal 13 34" xfId="7954"/>
    <cellStyle name="Normal 13 35" xfId="8205"/>
    <cellStyle name="Normal 13 36" xfId="8456"/>
    <cellStyle name="Normal 13 37" xfId="8707"/>
    <cellStyle name="Normal 13 38" xfId="8958"/>
    <cellStyle name="Normal 13 39" xfId="9209"/>
    <cellStyle name="Normal 13 4" xfId="410"/>
    <cellStyle name="Normal 13 40" xfId="9460"/>
    <cellStyle name="Normal 13 41" xfId="9711"/>
    <cellStyle name="Normal 13 42" xfId="9962"/>
    <cellStyle name="Normal 13 43" xfId="10213"/>
    <cellStyle name="Normal 13 44" xfId="10464"/>
    <cellStyle name="Normal 13 45" xfId="10715"/>
    <cellStyle name="Normal 13 46" xfId="10966"/>
    <cellStyle name="Normal 13 47" xfId="11217"/>
    <cellStyle name="Normal 13 48" xfId="11468"/>
    <cellStyle name="Normal 13 49" xfId="11719"/>
    <cellStyle name="Normal 13 5" xfId="659"/>
    <cellStyle name="Normal 13 50" xfId="11970"/>
    <cellStyle name="Normal 13 51" xfId="12221"/>
    <cellStyle name="Normal 13 52" xfId="12472"/>
    <cellStyle name="Normal 13 53" xfId="12723"/>
    <cellStyle name="Normal 13 54" xfId="12974"/>
    <cellStyle name="Normal 13 55" xfId="13225"/>
    <cellStyle name="Normal 13 56" xfId="13476"/>
    <cellStyle name="Normal 13 57" xfId="13727"/>
    <cellStyle name="Normal 13 58" xfId="13978"/>
    <cellStyle name="Normal 13 59" xfId="14229"/>
    <cellStyle name="Normal 13 6" xfId="912"/>
    <cellStyle name="Normal 13 60" xfId="14480"/>
    <cellStyle name="Normal 13 61" xfId="14731"/>
    <cellStyle name="Normal 13 62" xfId="14981"/>
    <cellStyle name="Normal 13 63" xfId="15232"/>
    <cellStyle name="Normal 13 64" xfId="15483"/>
    <cellStyle name="Normal 13 65" xfId="15730"/>
    <cellStyle name="Normal 13 66" xfId="15987"/>
    <cellStyle name="Normal 13 67" xfId="16238"/>
    <cellStyle name="Normal 13 68" xfId="16489"/>
    <cellStyle name="Normal 13 69" xfId="16740"/>
    <cellStyle name="Normal 13 7" xfId="1167"/>
    <cellStyle name="Normal 13 70" xfId="16991"/>
    <cellStyle name="Normal 13 71" xfId="17242"/>
    <cellStyle name="Normal 13 72" xfId="17493"/>
    <cellStyle name="Normal 13 73" xfId="17744"/>
    <cellStyle name="Normal 13 74" xfId="17995"/>
    <cellStyle name="Normal 13 75" xfId="18246"/>
    <cellStyle name="Normal 13 76" xfId="18497"/>
    <cellStyle name="Normal 13 77" xfId="18747"/>
    <cellStyle name="Normal 13 78" xfId="18998"/>
    <cellStyle name="Normal 13 79" xfId="19249"/>
    <cellStyle name="Normal 13 8" xfId="1420"/>
    <cellStyle name="Normal 13 80" xfId="19499"/>
    <cellStyle name="Normal 13 81" xfId="19755"/>
    <cellStyle name="Normal 13 82" xfId="20007"/>
    <cellStyle name="Normal 13 83" xfId="20259"/>
    <cellStyle name="Normal 13 84" xfId="20511"/>
    <cellStyle name="Normal 13 85" xfId="20761"/>
    <cellStyle name="Normal 13 86" xfId="21011"/>
    <cellStyle name="Normal 13 87" xfId="21262"/>
    <cellStyle name="Normal 13 88" xfId="21506"/>
    <cellStyle name="Normal 13 89" xfId="21750"/>
    <cellStyle name="Normal 13 9" xfId="1673"/>
    <cellStyle name="Normal 13 90" xfId="21991"/>
    <cellStyle name="Normal 13 91" xfId="24764"/>
    <cellStyle name="Normal 130" xfId="19782"/>
    <cellStyle name="Normal 131" xfId="20034"/>
    <cellStyle name="Normal 132" xfId="20286"/>
    <cellStyle name="Normal 133" xfId="20538"/>
    <cellStyle name="Normal 134" xfId="20788"/>
    <cellStyle name="Normal 135" xfId="21038"/>
    <cellStyle name="Normal 136" xfId="21195"/>
    <cellStyle name="Normal 14" xfId="27"/>
    <cellStyle name="Normal 14 10" xfId="1609"/>
    <cellStyle name="Normal 14 11" xfId="1866"/>
    <cellStyle name="Normal 14 12" xfId="2117"/>
    <cellStyle name="Normal 14 13" xfId="2368"/>
    <cellStyle name="Normal 14 14" xfId="2619"/>
    <cellStyle name="Normal 14 15" xfId="2870"/>
    <cellStyle name="Normal 14 16" xfId="3121"/>
    <cellStyle name="Normal 14 17" xfId="3372"/>
    <cellStyle name="Normal 14 18" xfId="3623"/>
    <cellStyle name="Normal 14 19" xfId="3874"/>
    <cellStyle name="Normal 14 2" xfId="100"/>
    <cellStyle name="Normal 14 2 10" xfId="1899"/>
    <cellStyle name="Normal 14 2 11" xfId="2150"/>
    <cellStyle name="Normal 14 2 12" xfId="2401"/>
    <cellStyle name="Normal 14 2 13" xfId="2652"/>
    <cellStyle name="Normal 14 2 14" xfId="2903"/>
    <cellStyle name="Normal 14 2 15" xfId="3154"/>
    <cellStyle name="Normal 14 2 16" xfId="3405"/>
    <cellStyle name="Normal 14 2 17" xfId="3656"/>
    <cellStyle name="Normal 14 2 18" xfId="3907"/>
    <cellStyle name="Normal 14 2 19" xfId="4158"/>
    <cellStyle name="Normal 14 2 2" xfId="194"/>
    <cellStyle name="Normal 14 2 2 10" xfId="2494"/>
    <cellStyle name="Normal 14 2 2 11" xfId="2745"/>
    <cellStyle name="Normal 14 2 2 12" xfId="2996"/>
    <cellStyle name="Normal 14 2 2 13" xfId="3247"/>
    <cellStyle name="Normal 14 2 2 14" xfId="3498"/>
    <cellStyle name="Normal 14 2 2 15" xfId="3749"/>
    <cellStyle name="Normal 14 2 2 16" xfId="4000"/>
    <cellStyle name="Normal 14 2 2 17" xfId="4251"/>
    <cellStyle name="Normal 14 2 2 18" xfId="4502"/>
    <cellStyle name="Normal 14 2 2 19" xfId="4753"/>
    <cellStyle name="Normal 14 2 2 2" xfId="471"/>
    <cellStyle name="Normal 14 2 2 20" xfId="5004"/>
    <cellStyle name="Normal 14 2 2 21" xfId="5255"/>
    <cellStyle name="Normal 14 2 2 22" xfId="5506"/>
    <cellStyle name="Normal 14 2 2 23" xfId="5757"/>
    <cellStyle name="Normal 14 2 2 24" xfId="6008"/>
    <cellStyle name="Normal 14 2 2 25" xfId="6259"/>
    <cellStyle name="Normal 14 2 2 26" xfId="6510"/>
    <cellStyle name="Normal 14 2 2 27" xfId="6761"/>
    <cellStyle name="Normal 14 2 2 28" xfId="7012"/>
    <cellStyle name="Normal 14 2 2 29" xfId="7263"/>
    <cellStyle name="Normal 14 2 2 3" xfId="721"/>
    <cellStyle name="Normal 14 2 2 30" xfId="7514"/>
    <cellStyle name="Normal 14 2 2 31" xfId="7765"/>
    <cellStyle name="Normal 14 2 2 32" xfId="8016"/>
    <cellStyle name="Normal 14 2 2 33" xfId="8267"/>
    <cellStyle name="Normal 14 2 2 34" xfId="8518"/>
    <cellStyle name="Normal 14 2 2 35" xfId="8769"/>
    <cellStyle name="Normal 14 2 2 36" xfId="9020"/>
    <cellStyle name="Normal 14 2 2 37" xfId="9271"/>
    <cellStyle name="Normal 14 2 2 38" xfId="9522"/>
    <cellStyle name="Normal 14 2 2 39" xfId="9773"/>
    <cellStyle name="Normal 14 2 2 4" xfId="974"/>
    <cellStyle name="Normal 14 2 2 40" xfId="10024"/>
    <cellStyle name="Normal 14 2 2 41" xfId="10275"/>
    <cellStyle name="Normal 14 2 2 42" xfId="10526"/>
    <cellStyle name="Normal 14 2 2 43" xfId="10777"/>
    <cellStyle name="Normal 14 2 2 44" xfId="11028"/>
    <cellStyle name="Normal 14 2 2 45" xfId="11279"/>
    <cellStyle name="Normal 14 2 2 46" xfId="11530"/>
    <cellStyle name="Normal 14 2 2 47" xfId="11781"/>
    <cellStyle name="Normal 14 2 2 48" xfId="12032"/>
    <cellStyle name="Normal 14 2 2 49" xfId="12283"/>
    <cellStyle name="Normal 14 2 2 5" xfId="1229"/>
    <cellStyle name="Normal 14 2 2 50" xfId="12534"/>
    <cellStyle name="Normal 14 2 2 51" xfId="12785"/>
    <cellStyle name="Normal 14 2 2 52" xfId="13036"/>
    <cellStyle name="Normal 14 2 2 53" xfId="13287"/>
    <cellStyle name="Normal 14 2 2 54" xfId="13538"/>
    <cellStyle name="Normal 14 2 2 55" xfId="13789"/>
    <cellStyle name="Normal 14 2 2 56" xfId="14040"/>
    <cellStyle name="Normal 14 2 2 57" xfId="14291"/>
    <cellStyle name="Normal 14 2 2 58" xfId="14542"/>
    <cellStyle name="Normal 14 2 2 59" xfId="14793"/>
    <cellStyle name="Normal 14 2 2 6" xfId="1482"/>
    <cellStyle name="Normal 14 2 2 60" xfId="15044"/>
    <cellStyle name="Normal 14 2 2 61" xfId="15294"/>
    <cellStyle name="Normal 14 2 2 62" xfId="15545"/>
    <cellStyle name="Normal 14 2 2 63" xfId="15793"/>
    <cellStyle name="Normal 14 2 2 64" xfId="16049"/>
    <cellStyle name="Normal 14 2 2 65" xfId="16300"/>
    <cellStyle name="Normal 14 2 2 66" xfId="16551"/>
    <cellStyle name="Normal 14 2 2 67" xfId="16802"/>
    <cellStyle name="Normal 14 2 2 68" xfId="17053"/>
    <cellStyle name="Normal 14 2 2 69" xfId="17304"/>
    <cellStyle name="Normal 14 2 2 7" xfId="1736"/>
    <cellStyle name="Normal 14 2 2 70" xfId="17555"/>
    <cellStyle name="Normal 14 2 2 71" xfId="17806"/>
    <cellStyle name="Normal 14 2 2 72" xfId="18057"/>
    <cellStyle name="Normal 14 2 2 73" xfId="18308"/>
    <cellStyle name="Normal 14 2 2 74" xfId="18559"/>
    <cellStyle name="Normal 14 2 2 75" xfId="18810"/>
    <cellStyle name="Normal 14 2 2 76" xfId="19060"/>
    <cellStyle name="Normal 14 2 2 77" xfId="19312"/>
    <cellStyle name="Normal 14 2 2 78" xfId="19562"/>
    <cellStyle name="Normal 14 2 2 79" xfId="19818"/>
    <cellStyle name="Normal 14 2 2 8" xfId="1992"/>
    <cellStyle name="Normal 14 2 2 80" xfId="20070"/>
    <cellStyle name="Normal 14 2 2 81" xfId="20322"/>
    <cellStyle name="Normal 14 2 2 82" xfId="20574"/>
    <cellStyle name="Normal 14 2 2 83" xfId="20824"/>
    <cellStyle name="Normal 14 2 2 84" xfId="21074"/>
    <cellStyle name="Normal 14 2 2 85" xfId="21323"/>
    <cellStyle name="Normal 14 2 2 86" xfId="21567"/>
    <cellStyle name="Normal 14 2 2 87" xfId="21811"/>
    <cellStyle name="Normal 14 2 2 88" xfId="22052"/>
    <cellStyle name="Normal 14 2 2 9" xfId="2243"/>
    <cellStyle name="Normal 14 2 20" xfId="4409"/>
    <cellStyle name="Normal 14 2 21" xfId="4660"/>
    <cellStyle name="Normal 14 2 22" xfId="4911"/>
    <cellStyle name="Normal 14 2 23" xfId="5162"/>
    <cellStyle name="Normal 14 2 24" xfId="5413"/>
    <cellStyle name="Normal 14 2 25" xfId="5664"/>
    <cellStyle name="Normal 14 2 26" xfId="5915"/>
    <cellStyle name="Normal 14 2 27" xfId="6166"/>
    <cellStyle name="Normal 14 2 28" xfId="6417"/>
    <cellStyle name="Normal 14 2 29" xfId="6668"/>
    <cellStyle name="Normal 14 2 3" xfId="270"/>
    <cellStyle name="Normal 14 2 3 10" xfId="2570"/>
    <cellStyle name="Normal 14 2 3 11" xfId="2821"/>
    <cellStyle name="Normal 14 2 3 12" xfId="3072"/>
    <cellStyle name="Normal 14 2 3 13" xfId="3323"/>
    <cellStyle name="Normal 14 2 3 14" xfId="3574"/>
    <cellStyle name="Normal 14 2 3 15" xfId="3825"/>
    <cellStyle name="Normal 14 2 3 16" xfId="4076"/>
    <cellStyle name="Normal 14 2 3 17" xfId="4327"/>
    <cellStyle name="Normal 14 2 3 18" xfId="4578"/>
    <cellStyle name="Normal 14 2 3 19" xfId="4829"/>
    <cellStyle name="Normal 14 2 3 2" xfId="545"/>
    <cellStyle name="Normal 14 2 3 20" xfId="5080"/>
    <cellStyle name="Normal 14 2 3 21" xfId="5331"/>
    <cellStyle name="Normal 14 2 3 22" xfId="5582"/>
    <cellStyle name="Normal 14 2 3 23" xfId="5833"/>
    <cellStyle name="Normal 14 2 3 24" xfId="6084"/>
    <cellStyle name="Normal 14 2 3 25" xfId="6335"/>
    <cellStyle name="Normal 14 2 3 26" xfId="6586"/>
    <cellStyle name="Normal 14 2 3 27" xfId="6837"/>
    <cellStyle name="Normal 14 2 3 28" xfId="7088"/>
    <cellStyle name="Normal 14 2 3 29" xfId="7339"/>
    <cellStyle name="Normal 14 2 3 3" xfId="795"/>
    <cellStyle name="Normal 14 2 3 30" xfId="7590"/>
    <cellStyle name="Normal 14 2 3 31" xfId="7841"/>
    <cellStyle name="Normal 14 2 3 32" xfId="8092"/>
    <cellStyle name="Normal 14 2 3 33" xfId="8343"/>
    <cellStyle name="Normal 14 2 3 34" xfId="8594"/>
    <cellStyle name="Normal 14 2 3 35" xfId="8845"/>
    <cellStyle name="Normal 14 2 3 36" xfId="9096"/>
    <cellStyle name="Normal 14 2 3 37" xfId="9347"/>
    <cellStyle name="Normal 14 2 3 38" xfId="9598"/>
    <cellStyle name="Normal 14 2 3 39" xfId="9849"/>
    <cellStyle name="Normal 14 2 3 4" xfId="1047"/>
    <cellStyle name="Normal 14 2 3 40" xfId="10100"/>
    <cellStyle name="Normal 14 2 3 41" xfId="10351"/>
    <cellStyle name="Normal 14 2 3 42" xfId="10602"/>
    <cellStyle name="Normal 14 2 3 43" xfId="10853"/>
    <cellStyle name="Normal 14 2 3 44" xfId="11104"/>
    <cellStyle name="Normal 14 2 3 45" xfId="11355"/>
    <cellStyle name="Normal 14 2 3 46" xfId="11606"/>
    <cellStyle name="Normal 14 2 3 47" xfId="11857"/>
    <cellStyle name="Normal 14 2 3 48" xfId="12108"/>
    <cellStyle name="Normal 14 2 3 49" xfId="12359"/>
    <cellStyle name="Normal 14 2 3 5" xfId="1303"/>
    <cellStyle name="Normal 14 2 3 50" xfId="12610"/>
    <cellStyle name="Normal 14 2 3 51" xfId="12861"/>
    <cellStyle name="Normal 14 2 3 52" xfId="13112"/>
    <cellStyle name="Normal 14 2 3 53" xfId="13363"/>
    <cellStyle name="Normal 14 2 3 54" xfId="13614"/>
    <cellStyle name="Normal 14 2 3 55" xfId="13865"/>
    <cellStyle name="Normal 14 2 3 56" xfId="14116"/>
    <cellStyle name="Normal 14 2 3 57" xfId="14367"/>
    <cellStyle name="Normal 14 2 3 58" xfId="14618"/>
    <cellStyle name="Normal 14 2 3 59" xfId="14869"/>
    <cellStyle name="Normal 14 2 3 6" xfId="1558"/>
    <cellStyle name="Normal 14 2 3 60" xfId="15120"/>
    <cellStyle name="Normal 14 2 3 61" xfId="15370"/>
    <cellStyle name="Normal 14 2 3 62" xfId="15619"/>
    <cellStyle name="Normal 14 2 3 63" xfId="15869"/>
    <cellStyle name="Normal 14 2 3 64" xfId="16125"/>
    <cellStyle name="Normal 14 2 3 65" xfId="16376"/>
    <cellStyle name="Normal 14 2 3 66" xfId="16627"/>
    <cellStyle name="Normal 14 2 3 67" xfId="16878"/>
    <cellStyle name="Normal 14 2 3 68" xfId="17129"/>
    <cellStyle name="Normal 14 2 3 69" xfId="17380"/>
    <cellStyle name="Normal 14 2 3 7" xfId="1811"/>
    <cellStyle name="Normal 14 2 3 70" xfId="17631"/>
    <cellStyle name="Normal 14 2 3 71" xfId="17882"/>
    <cellStyle name="Normal 14 2 3 72" xfId="18133"/>
    <cellStyle name="Normal 14 2 3 73" xfId="18384"/>
    <cellStyle name="Normal 14 2 3 74" xfId="18635"/>
    <cellStyle name="Normal 14 2 3 75" xfId="18886"/>
    <cellStyle name="Normal 14 2 3 76" xfId="19136"/>
    <cellStyle name="Normal 14 2 3 77" xfId="19387"/>
    <cellStyle name="Normal 14 2 3 78" xfId="19638"/>
    <cellStyle name="Normal 14 2 3 79" xfId="19894"/>
    <cellStyle name="Normal 14 2 3 8" xfId="2068"/>
    <cellStyle name="Normal 14 2 3 80" xfId="20146"/>
    <cellStyle name="Normal 14 2 3 81" xfId="20398"/>
    <cellStyle name="Normal 14 2 3 82" xfId="20650"/>
    <cellStyle name="Normal 14 2 3 83" xfId="20900"/>
    <cellStyle name="Normal 14 2 3 84" xfId="21149"/>
    <cellStyle name="Normal 14 2 3 85" xfId="21397"/>
    <cellStyle name="Normal 14 2 3 86" xfId="21641"/>
    <cellStyle name="Normal 14 2 3 87" xfId="21883"/>
    <cellStyle name="Normal 14 2 3 88" xfId="22124"/>
    <cellStyle name="Normal 14 2 3 9" xfId="2319"/>
    <cellStyle name="Normal 14 2 30" xfId="6919"/>
    <cellStyle name="Normal 14 2 31" xfId="7170"/>
    <cellStyle name="Normal 14 2 32" xfId="7421"/>
    <cellStyle name="Normal 14 2 33" xfId="7672"/>
    <cellStyle name="Normal 14 2 34" xfId="7923"/>
    <cellStyle name="Normal 14 2 35" xfId="8174"/>
    <cellStyle name="Normal 14 2 36" xfId="8425"/>
    <cellStyle name="Normal 14 2 37" xfId="8676"/>
    <cellStyle name="Normal 14 2 38" xfId="8927"/>
    <cellStyle name="Normal 14 2 39" xfId="9178"/>
    <cellStyle name="Normal 14 2 4" xfId="379"/>
    <cellStyle name="Normal 14 2 40" xfId="9429"/>
    <cellStyle name="Normal 14 2 41" xfId="9680"/>
    <cellStyle name="Normal 14 2 42" xfId="9931"/>
    <cellStyle name="Normal 14 2 43" xfId="10182"/>
    <cellStyle name="Normal 14 2 44" xfId="10433"/>
    <cellStyle name="Normal 14 2 45" xfId="10684"/>
    <cellStyle name="Normal 14 2 46" xfId="10935"/>
    <cellStyle name="Normal 14 2 47" xfId="11186"/>
    <cellStyle name="Normal 14 2 48" xfId="11437"/>
    <cellStyle name="Normal 14 2 49" xfId="11688"/>
    <cellStyle name="Normal 14 2 5" xfId="628"/>
    <cellStyle name="Normal 14 2 50" xfId="11939"/>
    <cellStyle name="Normal 14 2 51" xfId="12190"/>
    <cellStyle name="Normal 14 2 52" xfId="12441"/>
    <cellStyle name="Normal 14 2 53" xfId="12692"/>
    <cellStyle name="Normal 14 2 54" xfId="12943"/>
    <cellStyle name="Normal 14 2 55" xfId="13194"/>
    <cellStyle name="Normal 14 2 56" xfId="13445"/>
    <cellStyle name="Normal 14 2 57" xfId="13696"/>
    <cellStyle name="Normal 14 2 58" xfId="13947"/>
    <cellStyle name="Normal 14 2 59" xfId="14198"/>
    <cellStyle name="Normal 14 2 6" xfId="881"/>
    <cellStyle name="Normal 14 2 60" xfId="14449"/>
    <cellStyle name="Normal 14 2 61" xfId="14700"/>
    <cellStyle name="Normal 14 2 62" xfId="14950"/>
    <cellStyle name="Normal 14 2 63" xfId="15201"/>
    <cellStyle name="Normal 14 2 64" xfId="15452"/>
    <cellStyle name="Normal 14 2 65" xfId="15699"/>
    <cellStyle name="Normal 14 2 66" xfId="15956"/>
    <cellStyle name="Normal 14 2 67" xfId="16207"/>
    <cellStyle name="Normal 14 2 68" xfId="16458"/>
    <cellStyle name="Normal 14 2 69" xfId="16709"/>
    <cellStyle name="Normal 14 2 7" xfId="1136"/>
    <cellStyle name="Normal 14 2 70" xfId="16960"/>
    <cellStyle name="Normal 14 2 71" xfId="17211"/>
    <cellStyle name="Normal 14 2 72" xfId="17462"/>
    <cellStyle name="Normal 14 2 73" xfId="17713"/>
    <cellStyle name="Normal 14 2 74" xfId="17964"/>
    <cellStyle name="Normal 14 2 75" xfId="18215"/>
    <cellStyle name="Normal 14 2 76" xfId="18466"/>
    <cellStyle name="Normal 14 2 77" xfId="18716"/>
    <cellStyle name="Normal 14 2 78" xfId="18967"/>
    <cellStyle name="Normal 14 2 79" xfId="19218"/>
    <cellStyle name="Normal 14 2 8" xfId="1389"/>
    <cellStyle name="Normal 14 2 80" xfId="19468"/>
    <cellStyle name="Normal 14 2 81" xfId="19724"/>
    <cellStyle name="Normal 14 2 82" xfId="19976"/>
    <cellStyle name="Normal 14 2 83" xfId="20228"/>
    <cellStyle name="Normal 14 2 84" xfId="20480"/>
    <cellStyle name="Normal 14 2 85" xfId="20730"/>
    <cellStyle name="Normal 14 2 86" xfId="20980"/>
    <cellStyle name="Normal 14 2 87" xfId="21231"/>
    <cellStyle name="Normal 14 2 88" xfId="21475"/>
    <cellStyle name="Normal 14 2 89" xfId="21719"/>
    <cellStyle name="Normal 14 2 9" xfId="1642"/>
    <cellStyle name="Normal 14 2 90" xfId="21960"/>
    <cellStyle name="Normal 14 20" xfId="4125"/>
    <cellStyle name="Normal 14 21" xfId="4376"/>
    <cellStyle name="Normal 14 22" xfId="4627"/>
    <cellStyle name="Normal 14 23" xfId="4878"/>
    <cellStyle name="Normal 14 24" xfId="5129"/>
    <cellStyle name="Normal 14 25" xfId="5380"/>
    <cellStyle name="Normal 14 26" xfId="5631"/>
    <cellStyle name="Normal 14 27" xfId="5882"/>
    <cellStyle name="Normal 14 28" xfId="6133"/>
    <cellStyle name="Normal 14 29" xfId="6384"/>
    <cellStyle name="Normal 14 3" xfId="161"/>
    <cellStyle name="Normal 14 3 10" xfId="2461"/>
    <cellStyle name="Normal 14 3 11" xfId="2712"/>
    <cellStyle name="Normal 14 3 12" xfId="2963"/>
    <cellStyle name="Normal 14 3 13" xfId="3214"/>
    <cellStyle name="Normal 14 3 14" xfId="3465"/>
    <cellStyle name="Normal 14 3 15" xfId="3716"/>
    <cellStyle name="Normal 14 3 16" xfId="3967"/>
    <cellStyle name="Normal 14 3 17" xfId="4218"/>
    <cellStyle name="Normal 14 3 18" xfId="4469"/>
    <cellStyle name="Normal 14 3 19" xfId="4720"/>
    <cellStyle name="Normal 14 3 2" xfId="438"/>
    <cellStyle name="Normal 14 3 20" xfId="4971"/>
    <cellStyle name="Normal 14 3 21" xfId="5222"/>
    <cellStyle name="Normal 14 3 22" xfId="5473"/>
    <cellStyle name="Normal 14 3 23" xfId="5724"/>
    <cellStyle name="Normal 14 3 24" xfId="5975"/>
    <cellStyle name="Normal 14 3 25" xfId="6226"/>
    <cellStyle name="Normal 14 3 26" xfId="6477"/>
    <cellStyle name="Normal 14 3 27" xfId="6728"/>
    <cellStyle name="Normal 14 3 28" xfId="6979"/>
    <cellStyle name="Normal 14 3 29" xfId="7230"/>
    <cellStyle name="Normal 14 3 3" xfId="688"/>
    <cellStyle name="Normal 14 3 30" xfId="7481"/>
    <cellStyle name="Normal 14 3 31" xfId="7732"/>
    <cellStyle name="Normal 14 3 32" xfId="7983"/>
    <cellStyle name="Normal 14 3 33" xfId="8234"/>
    <cellStyle name="Normal 14 3 34" xfId="8485"/>
    <cellStyle name="Normal 14 3 35" xfId="8736"/>
    <cellStyle name="Normal 14 3 36" xfId="8987"/>
    <cellStyle name="Normal 14 3 37" xfId="9238"/>
    <cellStyle name="Normal 14 3 38" xfId="9489"/>
    <cellStyle name="Normal 14 3 39" xfId="9740"/>
    <cellStyle name="Normal 14 3 4" xfId="941"/>
    <cellStyle name="Normal 14 3 40" xfId="9991"/>
    <cellStyle name="Normal 14 3 41" xfId="10242"/>
    <cellStyle name="Normal 14 3 42" xfId="10493"/>
    <cellStyle name="Normal 14 3 43" xfId="10744"/>
    <cellStyle name="Normal 14 3 44" xfId="10995"/>
    <cellStyle name="Normal 14 3 45" xfId="11246"/>
    <cellStyle name="Normal 14 3 46" xfId="11497"/>
    <cellStyle name="Normal 14 3 47" xfId="11748"/>
    <cellStyle name="Normal 14 3 48" xfId="11999"/>
    <cellStyle name="Normal 14 3 49" xfId="12250"/>
    <cellStyle name="Normal 14 3 5" xfId="1196"/>
    <cellStyle name="Normal 14 3 50" xfId="12501"/>
    <cellStyle name="Normal 14 3 51" xfId="12752"/>
    <cellStyle name="Normal 14 3 52" xfId="13003"/>
    <cellStyle name="Normal 14 3 53" xfId="13254"/>
    <cellStyle name="Normal 14 3 54" xfId="13505"/>
    <cellStyle name="Normal 14 3 55" xfId="13756"/>
    <cellStyle name="Normal 14 3 56" xfId="14007"/>
    <cellStyle name="Normal 14 3 57" xfId="14258"/>
    <cellStyle name="Normal 14 3 58" xfId="14509"/>
    <cellStyle name="Normal 14 3 59" xfId="14760"/>
    <cellStyle name="Normal 14 3 6" xfId="1449"/>
    <cellStyle name="Normal 14 3 60" xfId="15011"/>
    <cellStyle name="Normal 14 3 61" xfId="15261"/>
    <cellStyle name="Normal 14 3 62" xfId="15512"/>
    <cellStyle name="Normal 14 3 63" xfId="15760"/>
    <cellStyle name="Normal 14 3 64" xfId="16016"/>
    <cellStyle name="Normal 14 3 65" xfId="16267"/>
    <cellStyle name="Normal 14 3 66" xfId="16518"/>
    <cellStyle name="Normal 14 3 67" xfId="16769"/>
    <cellStyle name="Normal 14 3 68" xfId="17020"/>
    <cellStyle name="Normal 14 3 69" xfId="17271"/>
    <cellStyle name="Normal 14 3 7" xfId="1703"/>
    <cellStyle name="Normal 14 3 70" xfId="17522"/>
    <cellStyle name="Normal 14 3 71" xfId="17773"/>
    <cellStyle name="Normal 14 3 72" xfId="18024"/>
    <cellStyle name="Normal 14 3 73" xfId="18275"/>
    <cellStyle name="Normal 14 3 74" xfId="18526"/>
    <cellStyle name="Normal 14 3 75" xfId="18777"/>
    <cellStyle name="Normal 14 3 76" xfId="19027"/>
    <cellStyle name="Normal 14 3 77" xfId="19279"/>
    <cellStyle name="Normal 14 3 78" xfId="19529"/>
    <cellStyle name="Normal 14 3 79" xfId="19785"/>
    <cellStyle name="Normal 14 3 8" xfId="1959"/>
    <cellStyle name="Normal 14 3 80" xfId="20037"/>
    <cellStyle name="Normal 14 3 81" xfId="20289"/>
    <cellStyle name="Normal 14 3 82" xfId="20541"/>
    <cellStyle name="Normal 14 3 83" xfId="20791"/>
    <cellStyle name="Normal 14 3 84" xfId="21041"/>
    <cellStyle name="Normal 14 3 85" xfId="21290"/>
    <cellStyle name="Normal 14 3 86" xfId="21534"/>
    <cellStyle name="Normal 14 3 87" xfId="21778"/>
    <cellStyle name="Normal 14 3 88" xfId="22019"/>
    <cellStyle name="Normal 14 3 9" xfId="2210"/>
    <cellStyle name="Normal 14 30" xfId="6635"/>
    <cellStyle name="Normal 14 31" xfId="6886"/>
    <cellStyle name="Normal 14 32" xfId="7137"/>
    <cellStyle name="Normal 14 33" xfId="7388"/>
    <cellStyle name="Normal 14 34" xfId="7639"/>
    <cellStyle name="Normal 14 35" xfId="7890"/>
    <cellStyle name="Normal 14 36" xfId="8141"/>
    <cellStyle name="Normal 14 37" xfId="8392"/>
    <cellStyle name="Normal 14 38" xfId="8643"/>
    <cellStyle name="Normal 14 39" xfId="8894"/>
    <cellStyle name="Normal 14 4" xfId="237"/>
    <cellStyle name="Normal 14 4 10" xfId="2537"/>
    <cellStyle name="Normal 14 4 11" xfId="2788"/>
    <cellStyle name="Normal 14 4 12" xfId="3039"/>
    <cellStyle name="Normal 14 4 13" xfId="3290"/>
    <cellStyle name="Normal 14 4 14" xfId="3541"/>
    <cellStyle name="Normal 14 4 15" xfId="3792"/>
    <cellStyle name="Normal 14 4 16" xfId="4043"/>
    <cellStyle name="Normal 14 4 17" xfId="4294"/>
    <cellStyle name="Normal 14 4 18" xfId="4545"/>
    <cellStyle name="Normal 14 4 19" xfId="4796"/>
    <cellStyle name="Normal 14 4 2" xfId="513"/>
    <cellStyle name="Normal 14 4 20" xfId="5047"/>
    <cellStyle name="Normal 14 4 21" xfId="5298"/>
    <cellStyle name="Normal 14 4 22" xfId="5549"/>
    <cellStyle name="Normal 14 4 23" xfId="5800"/>
    <cellStyle name="Normal 14 4 24" xfId="6051"/>
    <cellStyle name="Normal 14 4 25" xfId="6302"/>
    <cellStyle name="Normal 14 4 26" xfId="6553"/>
    <cellStyle name="Normal 14 4 27" xfId="6804"/>
    <cellStyle name="Normal 14 4 28" xfId="7055"/>
    <cellStyle name="Normal 14 4 29" xfId="7306"/>
    <cellStyle name="Normal 14 4 3" xfId="763"/>
    <cellStyle name="Normal 14 4 30" xfId="7557"/>
    <cellStyle name="Normal 14 4 31" xfId="7808"/>
    <cellStyle name="Normal 14 4 32" xfId="8059"/>
    <cellStyle name="Normal 14 4 33" xfId="8310"/>
    <cellStyle name="Normal 14 4 34" xfId="8561"/>
    <cellStyle name="Normal 14 4 35" xfId="8812"/>
    <cellStyle name="Normal 14 4 36" xfId="9063"/>
    <cellStyle name="Normal 14 4 37" xfId="9314"/>
    <cellStyle name="Normal 14 4 38" xfId="9565"/>
    <cellStyle name="Normal 14 4 39" xfId="9816"/>
    <cellStyle name="Normal 14 4 4" xfId="1015"/>
    <cellStyle name="Normal 14 4 40" xfId="10067"/>
    <cellStyle name="Normal 14 4 41" xfId="10318"/>
    <cellStyle name="Normal 14 4 42" xfId="10569"/>
    <cellStyle name="Normal 14 4 43" xfId="10820"/>
    <cellStyle name="Normal 14 4 44" xfId="11071"/>
    <cellStyle name="Normal 14 4 45" xfId="11322"/>
    <cellStyle name="Normal 14 4 46" xfId="11573"/>
    <cellStyle name="Normal 14 4 47" xfId="11824"/>
    <cellStyle name="Normal 14 4 48" xfId="12075"/>
    <cellStyle name="Normal 14 4 49" xfId="12326"/>
    <cellStyle name="Normal 14 4 5" xfId="1271"/>
    <cellStyle name="Normal 14 4 50" xfId="12577"/>
    <cellStyle name="Normal 14 4 51" xfId="12828"/>
    <cellStyle name="Normal 14 4 52" xfId="13079"/>
    <cellStyle name="Normal 14 4 53" xfId="13330"/>
    <cellStyle name="Normal 14 4 54" xfId="13581"/>
    <cellStyle name="Normal 14 4 55" xfId="13832"/>
    <cellStyle name="Normal 14 4 56" xfId="14083"/>
    <cellStyle name="Normal 14 4 57" xfId="14334"/>
    <cellStyle name="Normal 14 4 58" xfId="14585"/>
    <cellStyle name="Normal 14 4 59" xfId="14836"/>
    <cellStyle name="Normal 14 4 6" xfId="1525"/>
    <cellStyle name="Normal 14 4 60" xfId="15087"/>
    <cellStyle name="Normal 14 4 61" xfId="15337"/>
    <cellStyle name="Normal 14 4 62" xfId="15587"/>
    <cellStyle name="Normal 14 4 63" xfId="15836"/>
    <cellStyle name="Normal 14 4 64" xfId="16092"/>
    <cellStyle name="Normal 14 4 65" xfId="16343"/>
    <cellStyle name="Normal 14 4 66" xfId="16594"/>
    <cellStyle name="Normal 14 4 67" xfId="16845"/>
    <cellStyle name="Normal 14 4 68" xfId="17096"/>
    <cellStyle name="Normal 14 4 69" xfId="17347"/>
    <cellStyle name="Normal 14 4 7" xfId="1778"/>
    <cellStyle name="Normal 14 4 70" xfId="17598"/>
    <cellStyle name="Normal 14 4 71" xfId="17849"/>
    <cellStyle name="Normal 14 4 72" xfId="18100"/>
    <cellStyle name="Normal 14 4 73" xfId="18351"/>
    <cellStyle name="Normal 14 4 74" xfId="18602"/>
    <cellStyle name="Normal 14 4 75" xfId="18853"/>
    <cellStyle name="Normal 14 4 76" xfId="19103"/>
    <cellStyle name="Normal 14 4 77" xfId="19355"/>
    <cellStyle name="Normal 14 4 78" xfId="19605"/>
    <cellStyle name="Normal 14 4 79" xfId="19861"/>
    <cellStyle name="Normal 14 4 8" xfId="2035"/>
    <cellStyle name="Normal 14 4 80" xfId="20113"/>
    <cellStyle name="Normal 14 4 81" xfId="20365"/>
    <cellStyle name="Normal 14 4 82" xfId="20617"/>
    <cellStyle name="Normal 14 4 83" xfId="20867"/>
    <cellStyle name="Normal 14 4 84" xfId="21117"/>
    <cellStyle name="Normal 14 4 85" xfId="21365"/>
    <cellStyle name="Normal 14 4 86" xfId="21609"/>
    <cellStyle name="Normal 14 4 87" xfId="21852"/>
    <cellStyle name="Normal 14 4 88" xfId="22093"/>
    <cellStyle name="Normal 14 4 9" xfId="2286"/>
    <cellStyle name="Normal 14 40" xfId="9145"/>
    <cellStyle name="Normal 14 41" xfId="9396"/>
    <cellStyle name="Normal 14 42" xfId="9647"/>
    <cellStyle name="Normal 14 43" xfId="9898"/>
    <cellStyle name="Normal 14 44" xfId="10149"/>
    <cellStyle name="Normal 14 45" xfId="10400"/>
    <cellStyle name="Normal 14 46" xfId="10651"/>
    <cellStyle name="Normal 14 47" xfId="10902"/>
    <cellStyle name="Normal 14 48" xfId="11153"/>
    <cellStyle name="Normal 14 49" xfId="11404"/>
    <cellStyle name="Normal 14 5" xfId="346"/>
    <cellStyle name="Normal 14 50" xfId="11655"/>
    <cellStyle name="Normal 14 51" xfId="11906"/>
    <cellStyle name="Normal 14 52" xfId="12157"/>
    <cellStyle name="Normal 14 53" xfId="12408"/>
    <cellStyle name="Normal 14 54" xfId="12659"/>
    <cellStyle name="Normal 14 55" xfId="12910"/>
    <cellStyle name="Normal 14 56" xfId="13161"/>
    <cellStyle name="Normal 14 57" xfId="13412"/>
    <cellStyle name="Normal 14 58" xfId="13663"/>
    <cellStyle name="Normal 14 59" xfId="13914"/>
    <cellStyle name="Normal 14 6" xfId="595"/>
    <cellStyle name="Normal 14 60" xfId="14165"/>
    <cellStyle name="Normal 14 61" xfId="14416"/>
    <cellStyle name="Normal 14 62" xfId="14667"/>
    <cellStyle name="Normal 14 63" xfId="14917"/>
    <cellStyle name="Normal 14 64" xfId="15168"/>
    <cellStyle name="Normal 14 65" xfId="15419"/>
    <cellStyle name="Normal 14 66" xfId="15666"/>
    <cellStyle name="Normal 14 67" xfId="15923"/>
    <cellStyle name="Normal 14 68" xfId="16174"/>
    <cellStyle name="Normal 14 69" xfId="16425"/>
    <cellStyle name="Normal 14 7" xfId="848"/>
    <cellStyle name="Normal 14 70" xfId="16676"/>
    <cellStyle name="Normal 14 71" xfId="16927"/>
    <cellStyle name="Normal 14 72" xfId="17178"/>
    <cellStyle name="Normal 14 73" xfId="17429"/>
    <cellStyle name="Normal 14 74" xfId="17680"/>
    <cellStyle name="Normal 14 75" xfId="17931"/>
    <cellStyle name="Normal 14 76" xfId="18182"/>
    <cellStyle name="Normal 14 77" xfId="18433"/>
    <cellStyle name="Normal 14 78" xfId="18683"/>
    <cellStyle name="Normal 14 79" xfId="18934"/>
    <cellStyle name="Normal 14 8" xfId="1103"/>
    <cellStyle name="Normal 14 80" xfId="19185"/>
    <cellStyle name="Normal 14 81" xfId="19435"/>
    <cellStyle name="Normal 14 82" xfId="19691"/>
    <cellStyle name="Normal 14 83" xfId="19943"/>
    <cellStyle name="Normal 14 84" xfId="20195"/>
    <cellStyle name="Normal 14 85" xfId="20447"/>
    <cellStyle name="Normal 14 86" xfId="20697"/>
    <cellStyle name="Normal 14 87" xfId="20947"/>
    <cellStyle name="Normal 14 88" xfId="21198"/>
    <cellStyle name="Normal 14 89" xfId="21442"/>
    <cellStyle name="Normal 14 9" xfId="1356"/>
    <cellStyle name="Normal 14 90" xfId="21686"/>
    <cellStyle name="Normal 14 91" xfId="21927"/>
    <cellStyle name="Normal 149" xfId="22190"/>
    <cellStyle name="Normal 15" xfId="28"/>
    <cellStyle name="Normal 15 10" xfId="1610"/>
    <cellStyle name="Normal 15 11" xfId="1867"/>
    <cellStyle name="Normal 15 12" xfId="2118"/>
    <cellStyle name="Normal 15 13" xfId="2369"/>
    <cellStyle name="Normal 15 14" xfId="2620"/>
    <cellStyle name="Normal 15 15" xfId="2871"/>
    <cellStyle name="Normal 15 16" xfId="3122"/>
    <cellStyle name="Normal 15 17" xfId="3373"/>
    <cellStyle name="Normal 15 18" xfId="3624"/>
    <cellStyle name="Normal 15 19" xfId="3875"/>
    <cellStyle name="Normal 15 2" xfId="101"/>
    <cellStyle name="Normal 15 2 10" xfId="1900"/>
    <cellStyle name="Normal 15 2 11" xfId="2151"/>
    <cellStyle name="Normal 15 2 12" xfId="2402"/>
    <cellStyle name="Normal 15 2 13" xfId="2653"/>
    <cellStyle name="Normal 15 2 14" xfId="2904"/>
    <cellStyle name="Normal 15 2 15" xfId="3155"/>
    <cellStyle name="Normal 15 2 16" xfId="3406"/>
    <cellStyle name="Normal 15 2 17" xfId="3657"/>
    <cellStyle name="Normal 15 2 18" xfId="3908"/>
    <cellStyle name="Normal 15 2 19" xfId="4159"/>
    <cellStyle name="Normal 15 2 2" xfId="195"/>
    <cellStyle name="Normal 15 2 2 10" xfId="2495"/>
    <cellStyle name="Normal 15 2 2 11" xfId="2746"/>
    <cellStyle name="Normal 15 2 2 12" xfId="2997"/>
    <cellStyle name="Normal 15 2 2 13" xfId="3248"/>
    <cellStyle name="Normal 15 2 2 14" xfId="3499"/>
    <cellStyle name="Normal 15 2 2 15" xfId="3750"/>
    <cellStyle name="Normal 15 2 2 16" xfId="4001"/>
    <cellStyle name="Normal 15 2 2 17" xfId="4252"/>
    <cellStyle name="Normal 15 2 2 18" xfId="4503"/>
    <cellStyle name="Normal 15 2 2 19" xfId="4754"/>
    <cellStyle name="Normal 15 2 2 2" xfId="472"/>
    <cellStyle name="Normal 15 2 2 20" xfId="5005"/>
    <cellStyle name="Normal 15 2 2 21" xfId="5256"/>
    <cellStyle name="Normal 15 2 2 22" xfId="5507"/>
    <cellStyle name="Normal 15 2 2 23" xfId="5758"/>
    <cellStyle name="Normal 15 2 2 24" xfId="6009"/>
    <cellStyle name="Normal 15 2 2 25" xfId="6260"/>
    <cellStyle name="Normal 15 2 2 26" xfId="6511"/>
    <cellStyle name="Normal 15 2 2 27" xfId="6762"/>
    <cellStyle name="Normal 15 2 2 28" xfId="7013"/>
    <cellStyle name="Normal 15 2 2 29" xfId="7264"/>
    <cellStyle name="Normal 15 2 2 3" xfId="722"/>
    <cellStyle name="Normal 15 2 2 30" xfId="7515"/>
    <cellStyle name="Normal 15 2 2 31" xfId="7766"/>
    <cellStyle name="Normal 15 2 2 32" xfId="8017"/>
    <cellStyle name="Normal 15 2 2 33" xfId="8268"/>
    <cellStyle name="Normal 15 2 2 34" xfId="8519"/>
    <cellStyle name="Normal 15 2 2 35" xfId="8770"/>
    <cellStyle name="Normal 15 2 2 36" xfId="9021"/>
    <cellStyle name="Normal 15 2 2 37" xfId="9272"/>
    <cellStyle name="Normal 15 2 2 38" xfId="9523"/>
    <cellStyle name="Normal 15 2 2 39" xfId="9774"/>
    <cellStyle name="Normal 15 2 2 4" xfId="975"/>
    <cellStyle name="Normal 15 2 2 40" xfId="10025"/>
    <cellStyle name="Normal 15 2 2 41" xfId="10276"/>
    <cellStyle name="Normal 15 2 2 42" xfId="10527"/>
    <cellStyle name="Normal 15 2 2 43" xfId="10778"/>
    <cellStyle name="Normal 15 2 2 44" xfId="11029"/>
    <cellStyle name="Normal 15 2 2 45" xfId="11280"/>
    <cellStyle name="Normal 15 2 2 46" xfId="11531"/>
    <cellStyle name="Normal 15 2 2 47" xfId="11782"/>
    <cellStyle name="Normal 15 2 2 48" xfId="12033"/>
    <cellStyle name="Normal 15 2 2 49" xfId="12284"/>
    <cellStyle name="Normal 15 2 2 5" xfId="1230"/>
    <cellStyle name="Normal 15 2 2 50" xfId="12535"/>
    <cellStyle name="Normal 15 2 2 51" xfId="12786"/>
    <cellStyle name="Normal 15 2 2 52" xfId="13037"/>
    <cellStyle name="Normal 15 2 2 53" xfId="13288"/>
    <cellStyle name="Normal 15 2 2 54" xfId="13539"/>
    <cellStyle name="Normal 15 2 2 55" xfId="13790"/>
    <cellStyle name="Normal 15 2 2 56" xfId="14041"/>
    <cellStyle name="Normal 15 2 2 57" xfId="14292"/>
    <cellStyle name="Normal 15 2 2 58" xfId="14543"/>
    <cellStyle name="Normal 15 2 2 59" xfId="14794"/>
    <cellStyle name="Normal 15 2 2 6" xfId="1483"/>
    <cellStyle name="Normal 15 2 2 60" xfId="15045"/>
    <cellStyle name="Normal 15 2 2 61" xfId="15295"/>
    <cellStyle name="Normal 15 2 2 62" xfId="15546"/>
    <cellStyle name="Normal 15 2 2 63" xfId="15794"/>
    <cellStyle name="Normal 15 2 2 64" xfId="16050"/>
    <cellStyle name="Normal 15 2 2 65" xfId="16301"/>
    <cellStyle name="Normal 15 2 2 66" xfId="16552"/>
    <cellStyle name="Normal 15 2 2 67" xfId="16803"/>
    <cellStyle name="Normal 15 2 2 68" xfId="17054"/>
    <cellStyle name="Normal 15 2 2 69" xfId="17305"/>
    <cellStyle name="Normal 15 2 2 7" xfId="1737"/>
    <cellStyle name="Normal 15 2 2 70" xfId="17556"/>
    <cellStyle name="Normal 15 2 2 71" xfId="17807"/>
    <cellStyle name="Normal 15 2 2 72" xfId="18058"/>
    <cellStyle name="Normal 15 2 2 73" xfId="18309"/>
    <cellStyle name="Normal 15 2 2 74" xfId="18560"/>
    <cellStyle name="Normal 15 2 2 75" xfId="18811"/>
    <cellStyle name="Normal 15 2 2 76" xfId="19061"/>
    <cellStyle name="Normal 15 2 2 77" xfId="19313"/>
    <cellStyle name="Normal 15 2 2 78" xfId="19563"/>
    <cellStyle name="Normal 15 2 2 79" xfId="19819"/>
    <cellStyle name="Normal 15 2 2 8" xfId="1993"/>
    <cellStyle name="Normal 15 2 2 80" xfId="20071"/>
    <cellStyle name="Normal 15 2 2 81" xfId="20323"/>
    <cellStyle name="Normal 15 2 2 82" xfId="20575"/>
    <cellStyle name="Normal 15 2 2 83" xfId="20825"/>
    <cellStyle name="Normal 15 2 2 84" xfId="21075"/>
    <cellStyle name="Normal 15 2 2 85" xfId="21324"/>
    <cellStyle name="Normal 15 2 2 86" xfId="21568"/>
    <cellStyle name="Normal 15 2 2 87" xfId="21812"/>
    <cellStyle name="Normal 15 2 2 88" xfId="22053"/>
    <cellStyle name="Normal 15 2 2 9" xfId="2244"/>
    <cellStyle name="Normal 15 2 20" xfId="4410"/>
    <cellStyle name="Normal 15 2 21" xfId="4661"/>
    <cellStyle name="Normal 15 2 22" xfId="4912"/>
    <cellStyle name="Normal 15 2 23" xfId="5163"/>
    <cellStyle name="Normal 15 2 24" xfId="5414"/>
    <cellStyle name="Normal 15 2 25" xfId="5665"/>
    <cellStyle name="Normal 15 2 26" xfId="5916"/>
    <cellStyle name="Normal 15 2 27" xfId="6167"/>
    <cellStyle name="Normal 15 2 28" xfId="6418"/>
    <cellStyle name="Normal 15 2 29" xfId="6669"/>
    <cellStyle name="Normal 15 2 3" xfId="271"/>
    <cellStyle name="Normal 15 2 3 10" xfId="2571"/>
    <cellStyle name="Normal 15 2 3 11" xfId="2822"/>
    <cellStyle name="Normal 15 2 3 12" xfId="3073"/>
    <cellStyle name="Normal 15 2 3 13" xfId="3324"/>
    <cellStyle name="Normal 15 2 3 14" xfId="3575"/>
    <cellStyle name="Normal 15 2 3 15" xfId="3826"/>
    <cellStyle name="Normal 15 2 3 16" xfId="4077"/>
    <cellStyle name="Normal 15 2 3 17" xfId="4328"/>
    <cellStyle name="Normal 15 2 3 18" xfId="4579"/>
    <cellStyle name="Normal 15 2 3 19" xfId="4830"/>
    <cellStyle name="Normal 15 2 3 2" xfId="546"/>
    <cellStyle name="Normal 15 2 3 20" xfId="5081"/>
    <cellStyle name="Normal 15 2 3 21" xfId="5332"/>
    <cellStyle name="Normal 15 2 3 22" xfId="5583"/>
    <cellStyle name="Normal 15 2 3 23" xfId="5834"/>
    <cellStyle name="Normal 15 2 3 24" xfId="6085"/>
    <cellStyle name="Normal 15 2 3 25" xfId="6336"/>
    <cellStyle name="Normal 15 2 3 26" xfId="6587"/>
    <cellStyle name="Normal 15 2 3 27" xfId="6838"/>
    <cellStyle name="Normal 15 2 3 28" xfId="7089"/>
    <cellStyle name="Normal 15 2 3 29" xfId="7340"/>
    <cellStyle name="Normal 15 2 3 3" xfId="796"/>
    <cellStyle name="Normal 15 2 3 30" xfId="7591"/>
    <cellStyle name="Normal 15 2 3 31" xfId="7842"/>
    <cellStyle name="Normal 15 2 3 32" xfId="8093"/>
    <cellStyle name="Normal 15 2 3 33" xfId="8344"/>
    <cellStyle name="Normal 15 2 3 34" xfId="8595"/>
    <cellStyle name="Normal 15 2 3 35" xfId="8846"/>
    <cellStyle name="Normal 15 2 3 36" xfId="9097"/>
    <cellStyle name="Normal 15 2 3 37" xfId="9348"/>
    <cellStyle name="Normal 15 2 3 38" xfId="9599"/>
    <cellStyle name="Normal 15 2 3 39" xfId="9850"/>
    <cellStyle name="Normal 15 2 3 4" xfId="1048"/>
    <cellStyle name="Normal 15 2 3 40" xfId="10101"/>
    <cellStyle name="Normal 15 2 3 41" xfId="10352"/>
    <cellStyle name="Normal 15 2 3 42" xfId="10603"/>
    <cellStyle name="Normal 15 2 3 43" xfId="10854"/>
    <cellStyle name="Normal 15 2 3 44" xfId="11105"/>
    <cellStyle name="Normal 15 2 3 45" xfId="11356"/>
    <cellStyle name="Normal 15 2 3 46" xfId="11607"/>
    <cellStyle name="Normal 15 2 3 47" xfId="11858"/>
    <cellStyle name="Normal 15 2 3 48" xfId="12109"/>
    <cellStyle name="Normal 15 2 3 49" xfId="12360"/>
    <cellStyle name="Normal 15 2 3 5" xfId="1304"/>
    <cellStyle name="Normal 15 2 3 50" xfId="12611"/>
    <cellStyle name="Normal 15 2 3 51" xfId="12862"/>
    <cellStyle name="Normal 15 2 3 52" xfId="13113"/>
    <cellStyle name="Normal 15 2 3 53" xfId="13364"/>
    <cellStyle name="Normal 15 2 3 54" xfId="13615"/>
    <cellStyle name="Normal 15 2 3 55" xfId="13866"/>
    <cellStyle name="Normal 15 2 3 56" xfId="14117"/>
    <cellStyle name="Normal 15 2 3 57" xfId="14368"/>
    <cellStyle name="Normal 15 2 3 58" xfId="14619"/>
    <cellStyle name="Normal 15 2 3 59" xfId="14870"/>
    <cellStyle name="Normal 15 2 3 6" xfId="1559"/>
    <cellStyle name="Normal 15 2 3 60" xfId="15121"/>
    <cellStyle name="Normal 15 2 3 61" xfId="15371"/>
    <cellStyle name="Normal 15 2 3 62" xfId="15620"/>
    <cellStyle name="Normal 15 2 3 63" xfId="15870"/>
    <cellStyle name="Normal 15 2 3 64" xfId="16126"/>
    <cellStyle name="Normal 15 2 3 65" xfId="16377"/>
    <cellStyle name="Normal 15 2 3 66" xfId="16628"/>
    <cellStyle name="Normal 15 2 3 67" xfId="16879"/>
    <cellStyle name="Normal 15 2 3 68" xfId="17130"/>
    <cellStyle name="Normal 15 2 3 69" xfId="17381"/>
    <cellStyle name="Normal 15 2 3 7" xfId="1812"/>
    <cellStyle name="Normal 15 2 3 70" xfId="17632"/>
    <cellStyle name="Normal 15 2 3 71" xfId="17883"/>
    <cellStyle name="Normal 15 2 3 72" xfId="18134"/>
    <cellStyle name="Normal 15 2 3 73" xfId="18385"/>
    <cellStyle name="Normal 15 2 3 74" xfId="18636"/>
    <cellStyle name="Normal 15 2 3 75" xfId="18887"/>
    <cellStyle name="Normal 15 2 3 76" xfId="19137"/>
    <cellStyle name="Normal 15 2 3 77" xfId="19388"/>
    <cellStyle name="Normal 15 2 3 78" xfId="19639"/>
    <cellStyle name="Normal 15 2 3 79" xfId="19895"/>
    <cellStyle name="Normal 15 2 3 8" xfId="2069"/>
    <cellStyle name="Normal 15 2 3 80" xfId="20147"/>
    <cellStyle name="Normal 15 2 3 81" xfId="20399"/>
    <cellStyle name="Normal 15 2 3 82" xfId="20651"/>
    <cellStyle name="Normal 15 2 3 83" xfId="20901"/>
    <cellStyle name="Normal 15 2 3 84" xfId="21150"/>
    <cellStyle name="Normal 15 2 3 85" xfId="21398"/>
    <cellStyle name="Normal 15 2 3 86" xfId="21642"/>
    <cellStyle name="Normal 15 2 3 87" xfId="21884"/>
    <cellStyle name="Normal 15 2 3 88" xfId="22125"/>
    <cellStyle name="Normal 15 2 3 9" xfId="2320"/>
    <cellStyle name="Normal 15 2 30" xfId="6920"/>
    <cellStyle name="Normal 15 2 31" xfId="7171"/>
    <cellStyle name="Normal 15 2 32" xfId="7422"/>
    <cellStyle name="Normal 15 2 33" xfId="7673"/>
    <cellStyle name="Normal 15 2 34" xfId="7924"/>
    <cellStyle name="Normal 15 2 35" xfId="8175"/>
    <cellStyle name="Normal 15 2 36" xfId="8426"/>
    <cellStyle name="Normal 15 2 37" xfId="8677"/>
    <cellStyle name="Normal 15 2 38" xfId="8928"/>
    <cellStyle name="Normal 15 2 39" xfId="9179"/>
    <cellStyle name="Normal 15 2 4" xfId="380"/>
    <cellStyle name="Normal 15 2 40" xfId="9430"/>
    <cellStyle name="Normal 15 2 41" xfId="9681"/>
    <cellStyle name="Normal 15 2 42" xfId="9932"/>
    <cellStyle name="Normal 15 2 43" xfId="10183"/>
    <cellStyle name="Normal 15 2 44" xfId="10434"/>
    <cellStyle name="Normal 15 2 45" xfId="10685"/>
    <cellStyle name="Normal 15 2 46" xfId="10936"/>
    <cellStyle name="Normal 15 2 47" xfId="11187"/>
    <cellStyle name="Normal 15 2 48" xfId="11438"/>
    <cellStyle name="Normal 15 2 49" xfId="11689"/>
    <cellStyle name="Normal 15 2 5" xfId="629"/>
    <cellStyle name="Normal 15 2 50" xfId="11940"/>
    <cellStyle name="Normal 15 2 51" xfId="12191"/>
    <cellStyle name="Normal 15 2 52" xfId="12442"/>
    <cellStyle name="Normal 15 2 53" xfId="12693"/>
    <cellStyle name="Normal 15 2 54" xfId="12944"/>
    <cellStyle name="Normal 15 2 55" xfId="13195"/>
    <cellStyle name="Normal 15 2 56" xfId="13446"/>
    <cellStyle name="Normal 15 2 57" xfId="13697"/>
    <cellStyle name="Normal 15 2 58" xfId="13948"/>
    <cellStyle name="Normal 15 2 59" xfId="14199"/>
    <cellStyle name="Normal 15 2 6" xfId="882"/>
    <cellStyle name="Normal 15 2 60" xfId="14450"/>
    <cellStyle name="Normal 15 2 61" xfId="14701"/>
    <cellStyle name="Normal 15 2 62" xfId="14951"/>
    <cellStyle name="Normal 15 2 63" xfId="15202"/>
    <cellStyle name="Normal 15 2 64" xfId="15453"/>
    <cellStyle name="Normal 15 2 65" xfId="15700"/>
    <cellStyle name="Normal 15 2 66" xfId="15957"/>
    <cellStyle name="Normal 15 2 67" xfId="16208"/>
    <cellStyle name="Normal 15 2 68" xfId="16459"/>
    <cellStyle name="Normal 15 2 69" xfId="16710"/>
    <cellStyle name="Normal 15 2 7" xfId="1137"/>
    <cellStyle name="Normal 15 2 70" xfId="16961"/>
    <cellStyle name="Normal 15 2 71" xfId="17212"/>
    <cellStyle name="Normal 15 2 72" xfId="17463"/>
    <cellStyle name="Normal 15 2 73" xfId="17714"/>
    <cellStyle name="Normal 15 2 74" xfId="17965"/>
    <cellStyle name="Normal 15 2 75" xfId="18216"/>
    <cellStyle name="Normal 15 2 76" xfId="18467"/>
    <cellStyle name="Normal 15 2 77" xfId="18717"/>
    <cellStyle name="Normal 15 2 78" xfId="18968"/>
    <cellStyle name="Normal 15 2 79" xfId="19219"/>
    <cellStyle name="Normal 15 2 8" xfId="1390"/>
    <cellStyle name="Normal 15 2 80" xfId="19469"/>
    <cellStyle name="Normal 15 2 81" xfId="19725"/>
    <cellStyle name="Normal 15 2 82" xfId="19977"/>
    <cellStyle name="Normal 15 2 83" xfId="20229"/>
    <cellStyle name="Normal 15 2 84" xfId="20481"/>
    <cellStyle name="Normal 15 2 85" xfId="20731"/>
    <cellStyle name="Normal 15 2 86" xfId="20981"/>
    <cellStyle name="Normal 15 2 87" xfId="21232"/>
    <cellStyle name="Normal 15 2 88" xfId="21476"/>
    <cellStyle name="Normal 15 2 89" xfId="21720"/>
    <cellStyle name="Normal 15 2 9" xfId="1643"/>
    <cellStyle name="Normal 15 2 90" xfId="21961"/>
    <cellStyle name="Normal 15 20" xfId="4126"/>
    <cellStyle name="Normal 15 21" xfId="4377"/>
    <cellStyle name="Normal 15 22" xfId="4628"/>
    <cellStyle name="Normal 15 23" xfId="4879"/>
    <cellStyle name="Normal 15 24" xfId="5130"/>
    <cellStyle name="Normal 15 25" xfId="5381"/>
    <cellStyle name="Normal 15 26" xfId="5632"/>
    <cellStyle name="Normal 15 27" xfId="5883"/>
    <cellStyle name="Normal 15 28" xfId="6134"/>
    <cellStyle name="Normal 15 29" xfId="6385"/>
    <cellStyle name="Normal 15 3" xfId="162"/>
    <cellStyle name="Normal 15 3 10" xfId="2462"/>
    <cellStyle name="Normal 15 3 11" xfId="2713"/>
    <cellStyle name="Normal 15 3 12" xfId="2964"/>
    <cellStyle name="Normal 15 3 13" xfId="3215"/>
    <cellStyle name="Normal 15 3 14" xfId="3466"/>
    <cellStyle name="Normal 15 3 15" xfId="3717"/>
    <cellStyle name="Normal 15 3 16" xfId="3968"/>
    <cellStyle name="Normal 15 3 17" xfId="4219"/>
    <cellStyle name="Normal 15 3 18" xfId="4470"/>
    <cellStyle name="Normal 15 3 19" xfId="4721"/>
    <cellStyle name="Normal 15 3 2" xfId="439"/>
    <cellStyle name="Normal 15 3 20" xfId="4972"/>
    <cellStyle name="Normal 15 3 21" xfId="5223"/>
    <cellStyle name="Normal 15 3 22" xfId="5474"/>
    <cellStyle name="Normal 15 3 23" xfId="5725"/>
    <cellStyle name="Normal 15 3 24" xfId="5976"/>
    <cellStyle name="Normal 15 3 25" xfId="6227"/>
    <cellStyle name="Normal 15 3 26" xfId="6478"/>
    <cellStyle name="Normal 15 3 27" xfId="6729"/>
    <cellStyle name="Normal 15 3 28" xfId="6980"/>
    <cellStyle name="Normal 15 3 29" xfId="7231"/>
    <cellStyle name="Normal 15 3 3" xfId="689"/>
    <cellStyle name="Normal 15 3 30" xfId="7482"/>
    <cellStyle name="Normal 15 3 31" xfId="7733"/>
    <cellStyle name="Normal 15 3 32" xfId="7984"/>
    <cellStyle name="Normal 15 3 33" xfId="8235"/>
    <cellStyle name="Normal 15 3 34" xfId="8486"/>
    <cellStyle name="Normal 15 3 35" xfId="8737"/>
    <cellStyle name="Normal 15 3 36" xfId="8988"/>
    <cellStyle name="Normal 15 3 37" xfId="9239"/>
    <cellStyle name="Normal 15 3 38" xfId="9490"/>
    <cellStyle name="Normal 15 3 39" xfId="9741"/>
    <cellStyle name="Normal 15 3 4" xfId="942"/>
    <cellStyle name="Normal 15 3 40" xfId="9992"/>
    <cellStyle name="Normal 15 3 41" xfId="10243"/>
    <cellStyle name="Normal 15 3 42" xfId="10494"/>
    <cellStyle name="Normal 15 3 43" xfId="10745"/>
    <cellStyle name="Normal 15 3 44" xfId="10996"/>
    <cellStyle name="Normal 15 3 45" xfId="11247"/>
    <cellStyle name="Normal 15 3 46" xfId="11498"/>
    <cellStyle name="Normal 15 3 47" xfId="11749"/>
    <cellStyle name="Normal 15 3 48" xfId="12000"/>
    <cellStyle name="Normal 15 3 49" xfId="12251"/>
    <cellStyle name="Normal 15 3 5" xfId="1197"/>
    <cellStyle name="Normal 15 3 50" xfId="12502"/>
    <cellStyle name="Normal 15 3 51" xfId="12753"/>
    <cellStyle name="Normal 15 3 52" xfId="13004"/>
    <cellStyle name="Normal 15 3 53" xfId="13255"/>
    <cellStyle name="Normal 15 3 54" xfId="13506"/>
    <cellStyle name="Normal 15 3 55" xfId="13757"/>
    <cellStyle name="Normal 15 3 56" xfId="14008"/>
    <cellStyle name="Normal 15 3 57" xfId="14259"/>
    <cellStyle name="Normal 15 3 58" xfId="14510"/>
    <cellStyle name="Normal 15 3 59" xfId="14761"/>
    <cellStyle name="Normal 15 3 6" xfId="1450"/>
    <cellStyle name="Normal 15 3 60" xfId="15012"/>
    <cellStyle name="Normal 15 3 61" xfId="15262"/>
    <cellStyle name="Normal 15 3 62" xfId="15513"/>
    <cellStyle name="Normal 15 3 63" xfId="15761"/>
    <cellStyle name="Normal 15 3 64" xfId="16017"/>
    <cellStyle name="Normal 15 3 65" xfId="16268"/>
    <cellStyle name="Normal 15 3 66" xfId="16519"/>
    <cellStyle name="Normal 15 3 67" xfId="16770"/>
    <cellStyle name="Normal 15 3 68" xfId="17021"/>
    <cellStyle name="Normal 15 3 69" xfId="17272"/>
    <cellStyle name="Normal 15 3 7" xfId="1704"/>
    <cellStyle name="Normal 15 3 70" xfId="17523"/>
    <cellStyle name="Normal 15 3 71" xfId="17774"/>
    <cellStyle name="Normal 15 3 72" xfId="18025"/>
    <cellStyle name="Normal 15 3 73" xfId="18276"/>
    <cellStyle name="Normal 15 3 74" xfId="18527"/>
    <cellStyle name="Normal 15 3 75" xfId="18778"/>
    <cellStyle name="Normal 15 3 76" xfId="19028"/>
    <cellStyle name="Normal 15 3 77" xfId="19280"/>
    <cellStyle name="Normal 15 3 78" xfId="19530"/>
    <cellStyle name="Normal 15 3 79" xfId="19786"/>
    <cellStyle name="Normal 15 3 8" xfId="1960"/>
    <cellStyle name="Normal 15 3 80" xfId="20038"/>
    <cellStyle name="Normal 15 3 81" xfId="20290"/>
    <cellStyle name="Normal 15 3 82" xfId="20542"/>
    <cellStyle name="Normal 15 3 83" xfId="20792"/>
    <cellStyle name="Normal 15 3 84" xfId="21042"/>
    <cellStyle name="Normal 15 3 85" xfId="21291"/>
    <cellStyle name="Normal 15 3 86" xfId="21535"/>
    <cellStyle name="Normal 15 3 87" xfId="21779"/>
    <cellStyle name="Normal 15 3 88" xfId="22020"/>
    <cellStyle name="Normal 15 3 9" xfId="2211"/>
    <cellStyle name="Normal 15 30" xfId="6636"/>
    <cellStyle name="Normal 15 31" xfId="6887"/>
    <cellStyle name="Normal 15 32" xfId="7138"/>
    <cellStyle name="Normal 15 33" xfId="7389"/>
    <cellStyle name="Normal 15 34" xfId="7640"/>
    <cellStyle name="Normal 15 35" xfId="7891"/>
    <cellStyle name="Normal 15 36" xfId="8142"/>
    <cellStyle name="Normal 15 37" xfId="8393"/>
    <cellStyle name="Normal 15 38" xfId="8644"/>
    <cellStyle name="Normal 15 39" xfId="8895"/>
    <cellStyle name="Normal 15 4" xfId="238"/>
    <cellStyle name="Normal 15 4 10" xfId="2538"/>
    <cellStyle name="Normal 15 4 11" xfId="2789"/>
    <cellStyle name="Normal 15 4 12" xfId="3040"/>
    <cellStyle name="Normal 15 4 13" xfId="3291"/>
    <cellStyle name="Normal 15 4 14" xfId="3542"/>
    <cellStyle name="Normal 15 4 15" xfId="3793"/>
    <cellStyle name="Normal 15 4 16" xfId="4044"/>
    <cellStyle name="Normal 15 4 17" xfId="4295"/>
    <cellStyle name="Normal 15 4 18" xfId="4546"/>
    <cellStyle name="Normal 15 4 19" xfId="4797"/>
    <cellStyle name="Normal 15 4 2" xfId="514"/>
    <cellStyle name="Normal 15 4 20" xfId="5048"/>
    <cellStyle name="Normal 15 4 21" xfId="5299"/>
    <cellStyle name="Normal 15 4 22" xfId="5550"/>
    <cellStyle name="Normal 15 4 23" xfId="5801"/>
    <cellStyle name="Normal 15 4 24" xfId="6052"/>
    <cellStyle name="Normal 15 4 25" xfId="6303"/>
    <cellStyle name="Normal 15 4 26" xfId="6554"/>
    <cellStyle name="Normal 15 4 27" xfId="6805"/>
    <cellStyle name="Normal 15 4 28" xfId="7056"/>
    <cellStyle name="Normal 15 4 29" xfId="7307"/>
    <cellStyle name="Normal 15 4 3" xfId="764"/>
    <cellStyle name="Normal 15 4 30" xfId="7558"/>
    <cellStyle name="Normal 15 4 31" xfId="7809"/>
    <cellStyle name="Normal 15 4 32" xfId="8060"/>
    <cellStyle name="Normal 15 4 33" xfId="8311"/>
    <cellStyle name="Normal 15 4 34" xfId="8562"/>
    <cellStyle name="Normal 15 4 35" xfId="8813"/>
    <cellStyle name="Normal 15 4 36" xfId="9064"/>
    <cellStyle name="Normal 15 4 37" xfId="9315"/>
    <cellStyle name="Normal 15 4 38" xfId="9566"/>
    <cellStyle name="Normal 15 4 39" xfId="9817"/>
    <cellStyle name="Normal 15 4 4" xfId="1016"/>
    <cellStyle name="Normal 15 4 40" xfId="10068"/>
    <cellStyle name="Normal 15 4 41" xfId="10319"/>
    <cellStyle name="Normal 15 4 42" xfId="10570"/>
    <cellStyle name="Normal 15 4 43" xfId="10821"/>
    <cellStyle name="Normal 15 4 44" xfId="11072"/>
    <cellStyle name="Normal 15 4 45" xfId="11323"/>
    <cellStyle name="Normal 15 4 46" xfId="11574"/>
    <cellStyle name="Normal 15 4 47" xfId="11825"/>
    <cellStyle name="Normal 15 4 48" xfId="12076"/>
    <cellStyle name="Normal 15 4 49" xfId="12327"/>
    <cellStyle name="Normal 15 4 5" xfId="1272"/>
    <cellStyle name="Normal 15 4 50" xfId="12578"/>
    <cellStyle name="Normal 15 4 51" xfId="12829"/>
    <cellStyle name="Normal 15 4 52" xfId="13080"/>
    <cellStyle name="Normal 15 4 53" xfId="13331"/>
    <cellStyle name="Normal 15 4 54" xfId="13582"/>
    <cellStyle name="Normal 15 4 55" xfId="13833"/>
    <cellStyle name="Normal 15 4 56" xfId="14084"/>
    <cellStyle name="Normal 15 4 57" xfId="14335"/>
    <cellStyle name="Normal 15 4 58" xfId="14586"/>
    <cellStyle name="Normal 15 4 59" xfId="14837"/>
    <cellStyle name="Normal 15 4 6" xfId="1526"/>
    <cellStyle name="Normal 15 4 60" xfId="15088"/>
    <cellStyle name="Normal 15 4 61" xfId="15338"/>
    <cellStyle name="Normal 15 4 62" xfId="15588"/>
    <cellStyle name="Normal 15 4 63" xfId="15837"/>
    <cellStyle name="Normal 15 4 64" xfId="16093"/>
    <cellStyle name="Normal 15 4 65" xfId="16344"/>
    <cellStyle name="Normal 15 4 66" xfId="16595"/>
    <cellStyle name="Normal 15 4 67" xfId="16846"/>
    <cellStyle name="Normal 15 4 68" xfId="17097"/>
    <cellStyle name="Normal 15 4 69" xfId="17348"/>
    <cellStyle name="Normal 15 4 7" xfId="1779"/>
    <cellStyle name="Normal 15 4 70" xfId="17599"/>
    <cellStyle name="Normal 15 4 71" xfId="17850"/>
    <cellStyle name="Normal 15 4 72" xfId="18101"/>
    <cellStyle name="Normal 15 4 73" xfId="18352"/>
    <cellStyle name="Normal 15 4 74" xfId="18603"/>
    <cellStyle name="Normal 15 4 75" xfId="18854"/>
    <cellStyle name="Normal 15 4 76" xfId="19104"/>
    <cellStyle name="Normal 15 4 77" xfId="19356"/>
    <cellStyle name="Normal 15 4 78" xfId="19606"/>
    <cellStyle name="Normal 15 4 79" xfId="19862"/>
    <cellStyle name="Normal 15 4 8" xfId="2036"/>
    <cellStyle name="Normal 15 4 80" xfId="20114"/>
    <cellStyle name="Normal 15 4 81" xfId="20366"/>
    <cellStyle name="Normal 15 4 82" xfId="20618"/>
    <cellStyle name="Normal 15 4 83" xfId="20868"/>
    <cellStyle name="Normal 15 4 84" xfId="21118"/>
    <cellStyle name="Normal 15 4 85" xfId="21366"/>
    <cellStyle name="Normal 15 4 86" xfId="21610"/>
    <cellStyle name="Normal 15 4 87" xfId="21853"/>
    <cellStyle name="Normal 15 4 88" xfId="22094"/>
    <cellStyle name="Normal 15 4 9" xfId="2287"/>
    <cellStyle name="Normal 15 40" xfId="9146"/>
    <cellStyle name="Normal 15 41" xfId="9397"/>
    <cellStyle name="Normal 15 42" xfId="9648"/>
    <cellStyle name="Normal 15 43" xfId="9899"/>
    <cellStyle name="Normal 15 44" xfId="10150"/>
    <cellStyle name="Normal 15 45" xfId="10401"/>
    <cellStyle name="Normal 15 46" xfId="10652"/>
    <cellStyle name="Normal 15 47" xfId="10903"/>
    <cellStyle name="Normal 15 48" xfId="11154"/>
    <cellStyle name="Normal 15 49" xfId="11405"/>
    <cellStyle name="Normal 15 5" xfId="347"/>
    <cellStyle name="Normal 15 50" xfId="11656"/>
    <cellStyle name="Normal 15 51" xfId="11907"/>
    <cellStyle name="Normal 15 52" xfId="12158"/>
    <cellStyle name="Normal 15 53" xfId="12409"/>
    <cellStyle name="Normal 15 54" xfId="12660"/>
    <cellStyle name="Normal 15 55" xfId="12911"/>
    <cellStyle name="Normal 15 56" xfId="13162"/>
    <cellStyle name="Normal 15 57" xfId="13413"/>
    <cellStyle name="Normal 15 58" xfId="13664"/>
    <cellStyle name="Normal 15 59" xfId="13915"/>
    <cellStyle name="Normal 15 6" xfId="596"/>
    <cellStyle name="Normal 15 60" xfId="14166"/>
    <cellStyle name="Normal 15 61" xfId="14417"/>
    <cellStyle name="Normal 15 62" xfId="14668"/>
    <cellStyle name="Normal 15 63" xfId="14918"/>
    <cellStyle name="Normal 15 64" xfId="15169"/>
    <cellStyle name="Normal 15 65" xfId="15420"/>
    <cellStyle name="Normal 15 66" xfId="15667"/>
    <cellStyle name="Normal 15 67" xfId="15924"/>
    <cellStyle name="Normal 15 68" xfId="16175"/>
    <cellStyle name="Normal 15 69" xfId="16426"/>
    <cellStyle name="Normal 15 7" xfId="849"/>
    <cellStyle name="Normal 15 70" xfId="16677"/>
    <cellStyle name="Normal 15 71" xfId="16928"/>
    <cellStyle name="Normal 15 72" xfId="17179"/>
    <cellStyle name="Normal 15 73" xfId="17430"/>
    <cellStyle name="Normal 15 74" xfId="17681"/>
    <cellStyle name="Normal 15 75" xfId="17932"/>
    <cellStyle name="Normal 15 76" xfId="18183"/>
    <cellStyle name="Normal 15 77" xfId="18434"/>
    <cellStyle name="Normal 15 78" xfId="18684"/>
    <cellStyle name="Normal 15 79" xfId="18935"/>
    <cellStyle name="Normal 15 8" xfId="1104"/>
    <cellStyle name="Normal 15 80" xfId="19186"/>
    <cellStyle name="Normal 15 81" xfId="19436"/>
    <cellStyle name="Normal 15 82" xfId="19692"/>
    <cellStyle name="Normal 15 83" xfId="19944"/>
    <cellStyle name="Normal 15 84" xfId="20196"/>
    <cellStyle name="Normal 15 85" xfId="20448"/>
    <cellStyle name="Normal 15 86" xfId="20698"/>
    <cellStyle name="Normal 15 87" xfId="20948"/>
    <cellStyle name="Normal 15 88" xfId="21199"/>
    <cellStyle name="Normal 15 89" xfId="21443"/>
    <cellStyle name="Normal 15 9" xfId="1357"/>
    <cellStyle name="Normal 15 90" xfId="21687"/>
    <cellStyle name="Normal 15 91" xfId="21928"/>
    <cellStyle name="Normal 150" xfId="22191"/>
    <cellStyle name="Normal 151" xfId="22192"/>
    <cellStyle name="Normal 152" xfId="22193"/>
    <cellStyle name="Normal 153" xfId="22194"/>
    <cellStyle name="Normal 154" xfId="22195"/>
    <cellStyle name="Normal 155" xfId="22196"/>
    <cellStyle name="Normal 156" xfId="22197"/>
    <cellStyle name="Normal 157" xfId="22198"/>
    <cellStyle name="Normal 158" xfId="22199"/>
    <cellStyle name="Normal 159" xfId="22200"/>
    <cellStyle name="Normal 16" xfId="132"/>
    <cellStyle name="Normal 16 10" xfId="1931"/>
    <cellStyle name="Normal 16 11" xfId="2182"/>
    <cellStyle name="Normal 16 12" xfId="2433"/>
    <cellStyle name="Normal 16 13" xfId="2684"/>
    <cellStyle name="Normal 16 14" xfId="2935"/>
    <cellStyle name="Normal 16 15" xfId="3186"/>
    <cellStyle name="Normal 16 16" xfId="3437"/>
    <cellStyle name="Normal 16 17" xfId="3688"/>
    <cellStyle name="Normal 16 18" xfId="3939"/>
    <cellStyle name="Normal 16 19" xfId="4190"/>
    <cellStyle name="Normal 16 2" xfId="226"/>
    <cellStyle name="Normal 16 2 10" xfId="2526"/>
    <cellStyle name="Normal 16 2 11" xfId="2777"/>
    <cellStyle name="Normal 16 2 12" xfId="3028"/>
    <cellStyle name="Normal 16 2 13" xfId="3279"/>
    <cellStyle name="Normal 16 2 14" xfId="3530"/>
    <cellStyle name="Normal 16 2 15" xfId="3781"/>
    <cellStyle name="Normal 16 2 16" xfId="4032"/>
    <cellStyle name="Normal 16 2 17" xfId="4283"/>
    <cellStyle name="Normal 16 2 18" xfId="4534"/>
    <cellStyle name="Normal 16 2 19" xfId="4785"/>
    <cellStyle name="Normal 16 2 2" xfId="503"/>
    <cellStyle name="Normal 16 2 20" xfId="5036"/>
    <cellStyle name="Normal 16 2 21" xfId="5287"/>
    <cellStyle name="Normal 16 2 22" xfId="5538"/>
    <cellStyle name="Normal 16 2 23" xfId="5789"/>
    <cellStyle name="Normal 16 2 24" xfId="6040"/>
    <cellStyle name="Normal 16 2 25" xfId="6291"/>
    <cellStyle name="Normal 16 2 26" xfId="6542"/>
    <cellStyle name="Normal 16 2 27" xfId="6793"/>
    <cellStyle name="Normal 16 2 28" xfId="7044"/>
    <cellStyle name="Normal 16 2 29" xfId="7295"/>
    <cellStyle name="Normal 16 2 3" xfId="753"/>
    <cellStyle name="Normal 16 2 30" xfId="7546"/>
    <cellStyle name="Normal 16 2 31" xfId="7797"/>
    <cellStyle name="Normal 16 2 32" xfId="8048"/>
    <cellStyle name="Normal 16 2 33" xfId="8299"/>
    <cellStyle name="Normal 16 2 34" xfId="8550"/>
    <cellStyle name="Normal 16 2 35" xfId="8801"/>
    <cellStyle name="Normal 16 2 36" xfId="9052"/>
    <cellStyle name="Normal 16 2 37" xfId="9303"/>
    <cellStyle name="Normal 16 2 38" xfId="9554"/>
    <cellStyle name="Normal 16 2 39" xfId="9805"/>
    <cellStyle name="Normal 16 2 4" xfId="1006"/>
    <cellStyle name="Normal 16 2 40" xfId="10056"/>
    <cellStyle name="Normal 16 2 41" xfId="10307"/>
    <cellStyle name="Normal 16 2 42" xfId="10558"/>
    <cellStyle name="Normal 16 2 43" xfId="10809"/>
    <cellStyle name="Normal 16 2 44" xfId="11060"/>
    <cellStyle name="Normal 16 2 45" xfId="11311"/>
    <cellStyle name="Normal 16 2 46" xfId="11562"/>
    <cellStyle name="Normal 16 2 47" xfId="11813"/>
    <cellStyle name="Normal 16 2 48" xfId="12064"/>
    <cellStyle name="Normal 16 2 49" xfId="12315"/>
    <cellStyle name="Normal 16 2 5" xfId="1261"/>
    <cellStyle name="Normal 16 2 50" xfId="12566"/>
    <cellStyle name="Normal 16 2 51" xfId="12817"/>
    <cellStyle name="Normal 16 2 52" xfId="13068"/>
    <cellStyle name="Normal 16 2 53" xfId="13319"/>
    <cellStyle name="Normal 16 2 54" xfId="13570"/>
    <cellStyle name="Normal 16 2 55" xfId="13821"/>
    <cellStyle name="Normal 16 2 56" xfId="14072"/>
    <cellStyle name="Normal 16 2 57" xfId="14323"/>
    <cellStyle name="Normal 16 2 58" xfId="14574"/>
    <cellStyle name="Normal 16 2 59" xfId="14825"/>
    <cellStyle name="Normal 16 2 6" xfId="1514"/>
    <cellStyle name="Normal 16 2 60" xfId="15076"/>
    <cellStyle name="Normal 16 2 61" xfId="15326"/>
    <cellStyle name="Normal 16 2 62" xfId="15577"/>
    <cellStyle name="Normal 16 2 63" xfId="15825"/>
    <cellStyle name="Normal 16 2 64" xfId="16081"/>
    <cellStyle name="Normal 16 2 65" xfId="16332"/>
    <cellStyle name="Normal 16 2 66" xfId="16583"/>
    <cellStyle name="Normal 16 2 67" xfId="16834"/>
    <cellStyle name="Normal 16 2 68" xfId="17085"/>
    <cellStyle name="Normal 16 2 69" xfId="17336"/>
    <cellStyle name="Normal 16 2 7" xfId="1768"/>
    <cellStyle name="Normal 16 2 70" xfId="17587"/>
    <cellStyle name="Normal 16 2 71" xfId="17838"/>
    <cellStyle name="Normal 16 2 72" xfId="18089"/>
    <cellStyle name="Normal 16 2 73" xfId="18340"/>
    <cellStyle name="Normal 16 2 74" xfId="18591"/>
    <cellStyle name="Normal 16 2 75" xfId="18842"/>
    <cellStyle name="Normal 16 2 76" xfId="19092"/>
    <cellStyle name="Normal 16 2 77" xfId="19344"/>
    <cellStyle name="Normal 16 2 78" xfId="19594"/>
    <cellStyle name="Normal 16 2 79" xfId="19850"/>
    <cellStyle name="Normal 16 2 8" xfId="2024"/>
    <cellStyle name="Normal 16 2 80" xfId="20102"/>
    <cellStyle name="Normal 16 2 81" xfId="20354"/>
    <cellStyle name="Normal 16 2 82" xfId="20606"/>
    <cellStyle name="Normal 16 2 83" xfId="20856"/>
    <cellStyle name="Normal 16 2 84" xfId="21106"/>
    <cellStyle name="Normal 16 2 85" xfId="21355"/>
    <cellStyle name="Normal 16 2 86" xfId="21599"/>
    <cellStyle name="Normal 16 2 87" xfId="21843"/>
    <cellStyle name="Normal 16 2 88" xfId="22084"/>
    <cellStyle name="Normal 16 2 9" xfId="2275"/>
    <cellStyle name="Normal 16 20" xfId="4441"/>
    <cellStyle name="Normal 16 21" xfId="4692"/>
    <cellStyle name="Normal 16 22" xfId="4943"/>
    <cellStyle name="Normal 16 23" xfId="5194"/>
    <cellStyle name="Normal 16 24" xfId="5445"/>
    <cellStyle name="Normal 16 25" xfId="5696"/>
    <cellStyle name="Normal 16 26" xfId="5947"/>
    <cellStyle name="Normal 16 27" xfId="6198"/>
    <cellStyle name="Normal 16 28" xfId="6449"/>
    <cellStyle name="Normal 16 29" xfId="6700"/>
    <cellStyle name="Normal 16 3" xfId="302"/>
    <cellStyle name="Normal 16 3 10" xfId="2602"/>
    <cellStyle name="Normal 16 3 11" xfId="2853"/>
    <cellStyle name="Normal 16 3 12" xfId="3104"/>
    <cellStyle name="Normal 16 3 13" xfId="3355"/>
    <cellStyle name="Normal 16 3 14" xfId="3606"/>
    <cellStyle name="Normal 16 3 15" xfId="3857"/>
    <cellStyle name="Normal 16 3 16" xfId="4108"/>
    <cellStyle name="Normal 16 3 17" xfId="4359"/>
    <cellStyle name="Normal 16 3 18" xfId="4610"/>
    <cellStyle name="Normal 16 3 19" xfId="4861"/>
    <cellStyle name="Normal 16 3 2" xfId="577"/>
    <cellStyle name="Normal 16 3 20" xfId="5112"/>
    <cellStyle name="Normal 16 3 21" xfId="5363"/>
    <cellStyle name="Normal 16 3 22" xfId="5614"/>
    <cellStyle name="Normal 16 3 23" xfId="5865"/>
    <cellStyle name="Normal 16 3 24" xfId="6116"/>
    <cellStyle name="Normal 16 3 25" xfId="6367"/>
    <cellStyle name="Normal 16 3 26" xfId="6618"/>
    <cellStyle name="Normal 16 3 27" xfId="6869"/>
    <cellStyle name="Normal 16 3 28" xfId="7120"/>
    <cellStyle name="Normal 16 3 29" xfId="7371"/>
    <cellStyle name="Normal 16 3 3" xfId="827"/>
    <cellStyle name="Normal 16 3 30" xfId="7622"/>
    <cellStyle name="Normal 16 3 31" xfId="7873"/>
    <cellStyle name="Normal 16 3 32" xfId="8124"/>
    <cellStyle name="Normal 16 3 33" xfId="8375"/>
    <cellStyle name="Normal 16 3 34" xfId="8626"/>
    <cellStyle name="Normal 16 3 35" xfId="8877"/>
    <cellStyle name="Normal 16 3 36" xfId="9128"/>
    <cellStyle name="Normal 16 3 37" xfId="9379"/>
    <cellStyle name="Normal 16 3 38" xfId="9630"/>
    <cellStyle name="Normal 16 3 39" xfId="9881"/>
    <cellStyle name="Normal 16 3 4" xfId="1079"/>
    <cellStyle name="Normal 16 3 40" xfId="10132"/>
    <cellStyle name="Normal 16 3 41" xfId="10383"/>
    <cellStyle name="Normal 16 3 42" xfId="10634"/>
    <cellStyle name="Normal 16 3 43" xfId="10885"/>
    <cellStyle name="Normal 16 3 44" xfId="11136"/>
    <cellStyle name="Normal 16 3 45" xfId="11387"/>
    <cellStyle name="Normal 16 3 46" xfId="11638"/>
    <cellStyle name="Normal 16 3 47" xfId="11889"/>
    <cellStyle name="Normal 16 3 48" xfId="12140"/>
    <cellStyle name="Normal 16 3 49" xfId="12391"/>
    <cellStyle name="Normal 16 3 5" xfId="1335"/>
    <cellStyle name="Normal 16 3 50" xfId="12642"/>
    <cellStyle name="Normal 16 3 51" xfId="12893"/>
    <cellStyle name="Normal 16 3 52" xfId="13144"/>
    <cellStyle name="Normal 16 3 53" xfId="13395"/>
    <cellStyle name="Normal 16 3 54" xfId="13646"/>
    <cellStyle name="Normal 16 3 55" xfId="13897"/>
    <cellStyle name="Normal 16 3 56" xfId="14148"/>
    <cellStyle name="Normal 16 3 57" xfId="14399"/>
    <cellStyle name="Normal 16 3 58" xfId="14650"/>
    <cellStyle name="Normal 16 3 59" xfId="14901"/>
    <cellStyle name="Normal 16 3 6" xfId="1590"/>
    <cellStyle name="Normal 16 3 60" xfId="15152"/>
    <cellStyle name="Normal 16 3 61" xfId="15402"/>
    <cellStyle name="Normal 16 3 62" xfId="15651"/>
    <cellStyle name="Normal 16 3 63" xfId="15901"/>
    <cellStyle name="Normal 16 3 64" xfId="16157"/>
    <cellStyle name="Normal 16 3 65" xfId="16408"/>
    <cellStyle name="Normal 16 3 66" xfId="16659"/>
    <cellStyle name="Normal 16 3 67" xfId="16910"/>
    <cellStyle name="Normal 16 3 68" xfId="17161"/>
    <cellStyle name="Normal 16 3 69" xfId="17412"/>
    <cellStyle name="Normal 16 3 7" xfId="1843"/>
    <cellStyle name="Normal 16 3 70" xfId="17663"/>
    <cellStyle name="Normal 16 3 71" xfId="17914"/>
    <cellStyle name="Normal 16 3 72" xfId="18165"/>
    <cellStyle name="Normal 16 3 73" xfId="18416"/>
    <cellStyle name="Normal 16 3 74" xfId="18667"/>
    <cellStyle name="Normal 16 3 75" xfId="18918"/>
    <cellStyle name="Normal 16 3 76" xfId="19168"/>
    <cellStyle name="Normal 16 3 77" xfId="19419"/>
    <cellStyle name="Normal 16 3 78" xfId="19670"/>
    <cellStyle name="Normal 16 3 79" xfId="19926"/>
    <cellStyle name="Normal 16 3 8" xfId="2100"/>
    <cellStyle name="Normal 16 3 80" xfId="20178"/>
    <cellStyle name="Normal 16 3 81" xfId="20430"/>
    <cellStyle name="Normal 16 3 82" xfId="20682"/>
    <cellStyle name="Normal 16 3 83" xfId="20932"/>
    <cellStyle name="Normal 16 3 84" xfId="21181"/>
    <cellStyle name="Normal 16 3 85" xfId="21429"/>
    <cellStyle name="Normal 16 3 86" xfId="21673"/>
    <cellStyle name="Normal 16 3 87" xfId="21915"/>
    <cellStyle name="Normal 16 3 88" xfId="22156"/>
    <cellStyle name="Normal 16 3 9" xfId="2351"/>
    <cellStyle name="Normal 16 30" xfId="6951"/>
    <cellStyle name="Normal 16 31" xfId="7202"/>
    <cellStyle name="Normal 16 32" xfId="7453"/>
    <cellStyle name="Normal 16 33" xfId="7704"/>
    <cellStyle name="Normal 16 34" xfId="7955"/>
    <cellStyle name="Normal 16 35" xfId="8206"/>
    <cellStyle name="Normal 16 36" xfId="8457"/>
    <cellStyle name="Normal 16 37" xfId="8708"/>
    <cellStyle name="Normal 16 38" xfId="8959"/>
    <cellStyle name="Normal 16 39" xfId="9210"/>
    <cellStyle name="Normal 16 4" xfId="411"/>
    <cellStyle name="Normal 16 40" xfId="9461"/>
    <cellStyle name="Normal 16 41" xfId="9712"/>
    <cellStyle name="Normal 16 42" xfId="9963"/>
    <cellStyle name="Normal 16 43" xfId="10214"/>
    <cellStyle name="Normal 16 44" xfId="10465"/>
    <cellStyle name="Normal 16 45" xfId="10716"/>
    <cellStyle name="Normal 16 46" xfId="10967"/>
    <cellStyle name="Normal 16 47" xfId="11218"/>
    <cellStyle name="Normal 16 48" xfId="11469"/>
    <cellStyle name="Normal 16 49" xfId="11720"/>
    <cellStyle name="Normal 16 5" xfId="660"/>
    <cellStyle name="Normal 16 50" xfId="11971"/>
    <cellStyle name="Normal 16 51" xfId="12222"/>
    <cellStyle name="Normal 16 52" xfId="12473"/>
    <cellStyle name="Normal 16 53" xfId="12724"/>
    <cellStyle name="Normal 16 54" xfId="12975"/>
    <cellStyle name="Normal 16 55" xfId="13226"/>
    <cellStyle name="Normal 16 56" xfId="13477"/>
    <cellStyle name="Normal 16 57" xfId="13728"/>
    <cellStyle name="Normal 16 58" xfId="13979"/>
    <cellStyle name="Normal 16 59" xfId="14230"/>
    <cellStyle name="Normal 16 6" xfId="913"/>
    <cellStyle name="Normal 16 60" xfId="14481"/>
    <cellStyle name="Normal 16 61" xfId="14732"/>
    <cellStyle name="Normal 16 62" xfId="14982"/>
    <cellStyle name="Normal 16 63" xfId="15233"/>
    <cellStyle name="Normal 16 64" xfId="15484"/>
    <cellStyle name="Normal 16 65" xfId="15731"/>
    <cellStyle name="Normal 16 66" xfId="15988"/>
    <cellStyle name="Normal 16 67" xfId="16239"/>
    <cellStyle name="Normal 16 68" xfId="16490"/>
    <cellStyle name="Normal 16 69" xfId="16741"/>
    <cellStyle name="Normal 16 7" xfId="1168"/>
    <cellStyle name="Normal 16 70" xfId="16992"/>
    <cellStyle name="Normal 16 71" xfId="17243"/>
    <cellStyle name="Normal 16 72" xfId="17494"/>
    <cellStyle name="Normal 16 73" xfId="17745"/>
    <cellStyle name="Normal 16 74" xfId="17996"/>
    <cellStyle name="Normal 16 75" xfId="18247"/>
    <cellStyle name="Normal 16 76" xfId="18498"/>
    <cellStyle name="Normal 16 77" xfId="18748"/>
    <cellStyle name="Normal 16 78" xfId="18999"/>
    <cellStyle name="Normal 16 79" xfId="19250"/>
    <cellStyle name="Normal 16 8" xfId="1421"/>
    <cellStyle name="Normal 16 80" xfId="19500"/>
    <cellStyle name="Normal 16 81" xfId="19756"/>
    <cellStyle name="Normal 16 82" xfId="20008"/>
    <cellStyle name="Normal 16 83" xfId="20260"/>
    <cellStyle name="Normal 16 84" xfId="20512"/>
    <cellStyle name="Normal 16 85" xfId="20762"/>
    <cellStyle name="Normal 16 86" xfId="21012"/>
    <cellStyle name="Normal 16 87" xfId="21263"/>
    <cellStyle name="Normal 16 88" xfId="21507"/>
    <cellStyle name="Normal 16 89" xfId="21751"/>
    <cellStyle name="Normal 16 9" xfId="1674"/>
    <cellStyle name="Normal 16 90" xfId="21992"/>
    <cellStyle name="Normal 16 91" xfId="24765"/>
    <cellStyle name="Normal 160" xfId="22201"/>
    <cellStyle name="Normal 161" xfId="22202"/>
    <cellStyle name="Normal 162" xfId="22203"/>
    <cellStyle name="Normal 163" xfId="22204"/>
    <cellStyle name="Normal 164" xfId="22205"/>
    <cellStyle name="Normal 165" xfId="22206"/>
    <cellStyle name="Normal 166" xfId="22207"/>
    <cellStyle name="Normal 167" xfId="22208"/>
    <cellStyle name="Normal 168" xfId="22209"/>
    <cellStyle name="Normal 169" xfId="22210"/>
    <cellStyle name="Normal 17" xfId="29"/>
    <cellStyle name="Normal 17 10" xfId="1611"/>
    <cellStyle name="Normal 17 11" xfId="1868"/>
    <cellStyle name="Normal 17 12" xfId="2119"/>
    <cellStyle name="Normal 17 13" xfId="2370"/>
    <cellStyle name="Normal 17 14" xfId="2621"/>
    <cellStyle name="Normal 17 15" xfId="2872"/>
    <cellStyle name="Normal 17 16" xfId="3123"/>
    <cellStyle name="Normal 17 17" xfId="3374"/>
    <cellStyle name="Normal 17 18" xfId="3625"/>
    <cellStyle name="Normal 17 19" xfId="3876"/>
    <cellStyle name="Normal 17 2" xfId="102"/>
    <cellStyle name="Normal 17 2 10" xfId="1901"/>
    <cellStyle name="Normal 17 2 11" xfId="2152"/>
    <cellStyle name="Normal 17 2 12" xfId="2403"/>
    <cellStyle name="Normal 17 2 13" xfId="2654"/>
    <cellStyle name="Normal 17 2 14" xfId="2905"/>
    <cellStyle name="Normal 17 2 15" xfId="3156"/>
    <cellStyle name="Normal 17 2 16" xfId="3407"/>
    <cellStyle name="Normal 17 2 17" xfId="3658"/>
    <cellStyle name="Normal 17 2 18" xfId="3909"/>
    <cellStyle name="Normal 17 2 19" xfId="4160"/>
    <cellStyle name="Normal 17 2 2" xfId="196"/>
    <cellStyle name="Normal 17 2 2 10" xfId="2496"/>
    <cellStyle name="Normal 17 2 2 11" xfId="2747"/>
    <cellStyle name="Normal 17 2 2 12" xfId="2998"/>
    <cellStyle name="Normal 17 2 2 13" xfId="3249"/>
    <cellStyle name="Normal 17 2 2 14" xfId="3500"/>
    <cellStyle name="Normal 17 2 2 15" xfId="3751"/>
    <cellStyle name="Normal 17 2 2 16" xfId="4002"/>
    <cellStyle name="Normal 17 2 2 17" xfId="4253"/>
    <cellStyle name="Normal 17 2 2 18" xfId="4504"/>
    <cellStyle name="Normal 17 2 2 19" xfId="4755"/>
    <cellStyle name="Normal 17 2 2 2" xfId="473"/>
    <cellStyle name="Normal 17 2 2 20" xfId="5006"/>
    <cellStyle name="Normal 17 2 2 21" xfId="5257"/>
    <cellStyle name="Normal 17 2 2 22" xfId="5508"/>
    <cellStyle name="Normal 17 2 2 23" xfId="5759"/>
    <cellStyle name="Normal 17 2 2 24" xfId="6010"/>
    <cellStyle name="Normal 17 2 2 25" xfId="6261"/>
    <cellStyle name="Normal 17 2 2 26" xfId="6512"/>
    <cellStyle name="Normal 17 2 2 27" xfId="6763"/>
    <cellStyle name="Normal 17 2 2 28" xfId="7014"/>
    <cellStyle name="Normal 17 2 2 29" xfId="7265"/>
    <cellStyle name="Normal 17 2 2 3" xfId="723"/>
    <cellStyle name="Normal 17 2 2 30" xfId="7516"/>
    <cellStyle name="Normal 17 2 2 31" xfId="7767"/>
    <cellStyle name="Normal 17 2 2 32" xfId="8018"/>
    <cellStyle name="Normal 17 2 2 33" xfId="8269"/>
    <cellStyle name="Normal 17 2 2 34" xfId="8520"/>
    <cellStyle name="Normal 17 2 2 35" xfId="8771"/>
    <cellStyle name="Normal 17 2 2 36" xfId="9022"/>
    <cellStyle name="Normal 17 2 2 37" xfId="9273"/>
    <cellStyle name="Normal 17 2 2 38" xfId="9524"/>
    <cellStyle name="Normal 17 2 2 39" xfId="9775"/>
    <cellStyle name="Normal 17 2 2 4" xfId="976"/>
    <cellStyle name="Normal 17 2 2 40" xfId="10026"/>
    <cellStyle name="Normal 17 2 2 41" xfId="10277"/>
    <cellStyle name="Normal 17 2 2 42" xfId="10528"/>
    <cellStyle name="Normal 17 2 2 43" xfId="10779"/>
    <cellStyle name="Normal 17 2 2 44" xfId="11030"/>
    <cellStyle name="Normal 17 2 2 45" xfId="11281"/>
    <cellStyle name="Normal 17 2 2 46" xfId="11532"/>
    <cellStyle name="Normal 17 2 2 47" xfId="11783"/>
    <cellStyle name="Normal 17 2 2 48" xfId="12034"/>
    <cellStyle name="Normal 17 2 2 49" xfId="12285"/>
    <cellStyle name="Normal 17 2 2 5" xfId="1231"/>
    <cellStyle name="Normal 17 2 2 50" xfId="12536"/>
    <cellStyle name="Normal 17 2 2 51" xfId="12787"/>
    <cellStyle name="Normal 17 2 2 52" xfId="13038"/>
    <cellStyle name="Normal 17 2 2 53" xfId="13289"/>
    <cellStyle name="Normal 17 2 2 54" xfId="13540"/>
    <cellStyle name="Normal 17 2 2 55" xfId="13791"/>
    <cellStyle name="Normal 17 2 2 56" xfId="14042"/>
    <cellStyle name="Normal 17 2 2 57" xfId="14293"/>
    <cellStyle name="Normal 17 2 2 58" xfId="14544"/>
    <cellStyle name="Normal 17 2 2 59" xfId="14795"/>
    <cellStyle name="Normal 17 2 2 6" xfId="1484"/>
    <cellStyle name="Normal 17 2 2 60" xfId="15046"/>
    <cellStyle name="Normal 17 2 2 61" xfId="15296"/>
    <cellStyle name="Normal 17 2 2 62" xfId="15547"/>
    <cellStyle name="Normal 17 2 2 63" xfId="15795"/>
    <cellStyle name="Normal 17 2 2 64" xfId="16051"/>
    <cellStyle name="Normal 17 2 2 65" xfId="16302"/>
    <cellStyle name="Normal 17 2 2 66" xfId="16553"/>
    <cellStyle name="Normal 17 2 2 67" xfId="16804"/>
    <cellStyle name="Normal 17 2 2 68" xfId="17055"/>
    <cellStyle name="Normal 17 2 2 69" xfId="17306"/>
    <cellStyle name="Normal 17 2 2 7" xfId="1738"/>
    <cellStyle name="Normal 17 2 2 70" xfId="17557"/>
    <cellStyle name="Normal 17 2 2 71" xfId="17808"/>
    <cellStyle name="Normal 17 2 2 72" xfId="18059"/>
    <cellStyle name="Normal 17 2 2 73" xfId="18310"/>
    <cellStyle name="Normal 17 2 2 74" xfId="18561"/>
    <cellStyle name="Normal 17 2 2 75" xfId="18812"/>
    <cellStyle name="Normal 17 2 2 76" xfId="19062"/>
    <cellStyle name="Normal 17 2 2 77" xfId="19314"/>
    <cellStyle name="Normal 17 2 2 78" xfId="19564"/>
    <cellStyle name="Normal 17 2 2 79" xfId="19820"/>
    <cellStyle name="Normal 17 2 2 8" xfId="1994"/>
    <cellStyle name="Normal 17 2 2 80" xfId="20072"/>
    <cellStyle name="Normal 17 2 2 81" xfId="20324"/>
    <cellStyle name="Normal 17 2 2 82" xfId="20576"/>
    <cellStyle name="Normal 17 2 2 83" xfId="20826"/>
    <cellStyle name="Normal 17 2 2 84" xfId="21076"/>
    <cellStyle name="Normal 17 2 2 85" xfId="21325"/>
    <cellStyle name="Normal 17 2 2 86" xfId="21569"/>
    <cellStyle name="Normal 17 2 2 87" xfId="21813"/>
    <cellStyle name="Normal 17 2 2 88" xfId="22054"/>
    <cellStyle name="Normal 17 2 2 9" xfId="2245"/>
    <cellStyle name="Normal 17 2 20" xfId="4411"/>
    <cellStyle name="Normal 17 2 21" xfId="4662"/>
    <cellStyle name="Normal 17 2 22" xfId="4913"/>
    <cellStyle name="Normal 17 2 23" xfId="5164"/>
    <cellStyle name="Normal 17 2 24" xfId="5415"/>
    <cellStyle name="Normal 17 2 25" xfId="5666"/>
    <cellStyle name="Normal 17 2 26" xfId="5917"/>
    <cellStyle name="Normal 17 2 27" xfId="6168"/>
    <cellStyle name="Normal 17 2 28" xfId="6419"/>
    <cellStyle name="Normal 17 2 29" xfId="6670"/>
    <cellStyle name="Normal 17 2 3" xfId="272"/>
    <cellStyle name="Normal 17 2 3 10" xfId="2572"/>
    <cellStyle name="Normal 17 2 3 11" xfId="2823"/>
    <cellStyle name="Normal 17 2 3 12" xfId="3074"/>
    <cellStyle name="Normal 17 2 3 13" xfId="3325"/>
    <cellStyle name="Normal 17 2 3 14" xfId="3576"/>
    <cellStyle name="Normal 17 2 3 15" xfId="3827"/>
    <cellStyle name="Normal 17 2 3 16" xfId="4078"/>
    <cellStyle name="Normal 17 2 3 17" xfId="4329"/>
    <cellStyle name="Normal 17 2 3 18" xfId="4580"/>
    <cellStyle name="Normal 17 2 3 19" xfId="4831"/>
    <cellStyle name="Normal 17 2 3 2" xfId="547"/>
    <cellStyle name="Normal 17 2 3 20" xfId="5082"/>
    <cellStyle name="Normal 17 2 3 21" xfId="5333"/>
    <cellStyle name="Normal 17 2 3 22" xfId="5584"/>
    <cellStyle name="Normal 17 2 3 23" xfId="5835"/>
    <cellStyle name="Normal 17 2 3 24" xfId="6086"/>
    <cellStyle name="Normal 17 2 3 25" xfId="6337"/>
    <cellStyle name="Normal 17 2 3 26" xfId="6588"/>
    <cellStyle name="Normal 17 2 3 27" xfId="6839"/>
    <cellStyle name="Normal 17 2 3 28" xfId="7090"/>
    <cellStyle name="Normal 17 2 3 29" xfId="7341"/>
    <cellStyle name="Normal 17 2 3 3" xfId="797"/>
    <cellStyle name="Normal 17 2 3 30" xfId="7592"/>
    <cellStyle name="Normal 17 2 3 31" xfId="7843"/>
    <cellStyle name="Normal 17 2 3 32" xfId="8094"/>
    <cellStyle name="Normal 17 2 3 33" xfId="8345"/>
    <cellStyle name="Normal 17 2 3 34" xfId="8596"/>
    <cellStyle name="Normal 17 2 3 35" xfId="8847"/>
    <cellStyle name="Normal 17 2 3 36" xfId="9098"/>
    <cellStyle name="Normal 17 2 3 37" xfId="9349"/>
    <cellStyle name="Normal 17 2 3 38" xfId="9600"/>
    <cellStyle name="Normal 17 2 3 39" xfId="9851"/>
    <cellStyle name="Normal 17 2 3 4" xfId="1049"/>
    <cellStyle name="Normal 17 2 3 40" xfId="10102"/>
    <cellStyle name="Normal 17 2 3 41" xfId="10353"/>
    <cellStyle name="Normal 17 2 3 42" xfId="10604"/>
    <cellStyle name="Normal 17 2 3 43" xfId="10855"/>
    <cellStyle name="Normal 17 2 3 44" xfId="11106"/>
    <cellStyle name="Normal 17 2 3 45" xfId="11357"/>
    <cellStyle name="Normal 17 2 3 46" xfId="11608"/>
    <cellStyle name="Normal 17 2 3 47" xfId="11859"/>
    <cellStyle name="Normal 17 2 3 48" xfId="12110"/>
    <cellStyle name="Normal 17 2 3 49" xfId="12361"/>
    <cellStyle name="Normal 17 2 3 5" xfId="1305"/>
    <cellStyle name="Normal 17 2 3 50" xfId="12612"/>
    <cellStyle name="Normal 17 2 3 51" xfId="12863"/>
    <cellStyle name="Normal 17 2 3 52" xfId="13114"/>
    <cellStyle name="Normal 17 2 3 53" xfId="13365"/>
    <cellStyle name="Normal 17 2 3 54" xfId="13616"/>
    <cellStyle name="Normal 17 2 3 55" xfId="13867"/>
    <cellStyle name="Normal 17 2 3 56" xfId="14118"/>
    <cellStyle name="Normal 17 2 3 57" xfId="14369"/>
    <cellStyle name="Normal 17 2 3 58" xfId="14620"/>
    <cellStyle name="Normal 17 2 3 59" xfId="14871"/>
    <cellStyle name="Normal 17 2 3 6" xfId="1560"/>
    <cellStyle name="Normal 17 2 3 60" xfId="15122"/>
    <cellStyle name="Normal 17 2 3 61" xfId="15372"/>
    <cellStyle name="Normal 17 2 3 62" xfId="15621"/>
    <cellStyle name="Normal 17 2 3 63" xfId="15871"/>
    <cellStyle name="Normal 17 2 3 64" xfId="16127"/>
    <cellStyle name="Normal 17 2 3 65" xfId="16378"/>
    <cellStyle name="Normal 17 2 3 66" xfId="16629"/>
    <cellStyle name="Normal 17 2 3 67" xfId="16880"/>
    <cellStyle name="Normal 17 2 3 68" xfId="17131"/>
    <cellStyle name="Normal 17 2 3 69" xfId="17382"/>
    <cellStyle name="Normal 17 2 3 7" xfId="1813"/>
    <cellStyle name="Normal 17 2 3 70" xfId="17633"/>
    <cellStyle name="Normal 17 2 3 71" xfId="17884"/>
    <cellStyle name="Normal 17 2 3 72" xfId="18135"/>
    <cellStyle name="Normal 17 2 3 73" xfId="18386"/>
    <cellStyle name="Normal 17 2 3 74" xfId="18637"/>
    <cellStyle name="Normal 17 2 3 75" xfId="18888"/>
    <cellStyle name="Normal 17 2 3 76" xfId="19138"/>
    <cellStyle name="Normal 17 2 3 77" xfId="19389"/>
    <cellStyle name="Normal 17 2 3 78" xfId="19640"/>
    <cellStyle name="Normal 17 2 3 79" xfId="19896"/>
    <cellStyle name="Normal 17 2 3 8" xfId="2070"/>
    <cellStyle name="Normal 17 2 3 80" xfId="20148"/>
    <cellStyle name="Normal 17 2 3 81" xfId="20400"/>
    <cellStyle name="Normal 17 2 3 82" xfId="20652"/>
    <cellStyle name="Normal 17 2 3 83" xfId="20902"/>
    <cellStyle name="Normal 17 2 3 84" xfId="21151"/>
    <cellStyle name="Normal 17 2 3 85" xfId="21399"/>
    <cellStyle name="Normal 17 2 3 86" xfId="21643"/>
    <cellStyle name="Normal 17 2 3 87" xfId="21885"/>
    <cellStyle name="Normal 17 2 3 88" xfId="22126"/>
    <cellStyle name="Normal 17 2 3 9" xfId="2321"/>
    <cellStyle name="Normal 17 2 30" xfId="6921"/>
    <cellStyle name="Normal 17 2 31" xfId="7172"/>
    <cellStyle name="Normal 17 2 32" xfId="7423"/>
    <cellStyle name="Normal 17 2 33" xfId="7674"/>
    <cellStyle name="Normal 17 2 34" xfId="7925"/>
    <cellStyle name="Normal 17 2 35" xfId="8176"/>
    <cellStyle name="Normal 17 2 36" xfId="8427"/>
    <cellStyle name="Normal 17 2 37" xfId="8678"/>
    <cellStyle name="Normal 17 2 38" xfId="8929"/>
    <cellStyle name="Normal 17 2 39" xfId="9180"/>
    <cellStyle name="Normal 17 2 4" xfId="381"/>
    <cellStyle name="Normal 17 2 40" xfId="9431"/>
    <cellStyle name="Normal 17 2 41" xfId="9682"/>
    <cellStyle name="Normal 17 2 42" xfId="9933"/>
    <cellStyle name="Normal 17 2 43" xfId="10184"/>
    <cellStyle name="Normal 17 2 44" xfId="10435"/>
    <cellStyle name="Normal 17 2 45" xfId="10686"/>
    <cellStyle name="Normal 17 2 46" xfId="10937"/>
    <cellStyle name="Normal 17 2 47" xfId="11188"/>
    <cellStyle name="Normal 17 2 48" xfId="11439"/>
    <cellStyle name="Normal 17 2 49" xfId="11690"/>
    <cellStyle name="Normal 17 2 5" xfId="630"/>
    <cellStyle name="Normal 17 2 50" xfId="11941"/>
    <cellStyle name="Normal 17 2 51" xfId="12192"/>
    <cellStyle name="Normal 17 2 52" xfId="12443"/>
    <cellStyle name="Normal 17 2 53" xfId="12694"/>
    <cellStyle name="Normal 17 2 54" xfId="12945"/>
    <cellStyle name="Normal 17 2 55" xfId="13196"/>
    <cellStyle name="Normal 17 2 56" xfId="13447"/>
    <cellStyle name="Normal 17 2 57" xfId="13698"/>
    <cellStyle name="Normal 17 2 58" xfId="13949"/>
    <cellStyle name="Normal 17 2 59" xfId="14200"/>
    <cellStyle name="Normal 17 2 6" xfId="883"/>
    <cellStyle name="Normal 17 2 60" xfId="14451"/>
    <cellStyle name="Normal 17 2 61" xfId="14702"/>
    <cellStyle name="Normal 17 2 62" xfId="14952"/>
    <cellStyle name="Normal 17 2 63" xfId="15203"/>
    <cellStyle name="Normal 17 2 64" xfId="15454"/>
    <cellStyle name="Normal 17 2 65" xfId="15701"/>
    <cellStyle name="Normal 17 2 66" xfId="15958"/>
    <cellStyle name="Normal 17 2 67" xfId="16209"/>
    <cellStyle name="Normal 17 2 68" xfId="16460"/>
    <cellStyle name="Normal 17 2 69" xfId="16711"/>
    <cellStyle name="Normal 17 2 7" xfId="1138"/>
    <cellStyle name="Normal 17 2 70" xfId="16962"/>
    <cellStyle name="Normal 17 2 71" xfId="17213"/>
    <cellStyle name="Normal 17 2 72" xfId="17464"/>
    <cellStyle name="Normal 17 2 73" xfId="17715"/>
    <cellStyle name="Normal 17 2 74" xfId="17966"/>
    <cellStyle name="Normal 17 2 75" xfId="18217"/>
    <cellStyle name="Normal 17 2 76" xfId="18468"/>
    <cellStyle name="Normal 17 2 77" xfId="18718"/>
    <cellStyle name="Normal 17 2 78" xfId="18969"/>
    <cellStyle name="Normal 17 2 79" xfId="19220"/>
    <cellStyle name="Normal 17 2 8" xfId="1391"/>
    <cellStyle name="Normal 17 2 80" xfId="19470"/>
    <cellStyle name="Normal 17 2 81" xfId="19726"/>
    <cellStyle name="Normal 17 2 82" xfId="19978"/>
    <cellStyle name="Normal 17 2 83" xfId="20230"/>
    <cellStyle name="Normal 17 2 84" xfId="20482"/>
    <cellStyle name="Normal 17 2 85" xfId="20732"/>
    <cellStyle name="Normal 17 2 86" xfId="20982"/>
    <cellStyle name="Normal 17 2 87" xfId="21233"/>
    <cellStyle name="Normal 17 2 88" xfId="21477"/>
    <cellStyle name="Normal 17 2 89" xfId="21721"/>
    <cellStyle name="Normal 17 2 9" xfId="1644"/>
    <cellStyle name="Normal 17 2 90" xfId="21962"/>
    <cellStyle name="Normal 17 20" xfId="4127"/>
    <cellStyle name="Normal 17 21" xfId="4378"/>
    <cellStyle name="Normal 17 22" xfId="4629"/>
    <cellStyle name="Normal 17 23" xfId="4880"/>
    <cellStyle name="Normal 17 24" xfId="5131"/>
    <cellStyle name="Normal 17 25" xfId="5382"/>
    <cellStyle name="Normal 17 26" xfId="5633"/>
    <cellStyle name="Normal 17 27" xfId="5884"/>
    <cellStyle name="Normal 17 28" xfId="6135"/>
    <cellStyle name="Normal 17 29" xfId="6386"/>
    <cellStyle name="Normal 17 3" xfId="163"/>
    <cellStyle name="Normal 17 3 10" xfId="2463"/>
    <cellStyle name="Normal 17 3 11" xfId="2714"/>
    <cellStyle name="Normal 17 3 12" xfId="2965"/>
    <cellStyle name="Normal 17 3 13" xfId="3216"/>
    <cellStyle name="Normal 17 3 14" xfId="3467"/>
    <cellStyle name="Normal 17 3 15" xfId="3718"/>
    <cellStyle name="Normal 17 3 16" xfId="3969"/>
    <cellStyle name="Normal 17 3 17" xfId="4220"/>
    <cellStyle name="Normal 17 3 18" xfId="4471"/>
    <cellStyle name="Normal 17 3 19" xfId="4722"/>
    <cellStyle name="Normal 17 3 2" xfId="440"/>
    <cellStyle name="Normal 17 3 20" xfId="4973"/>
    <cellStyle name="Normal 17 3 21" xfId="5224"/>
    <cellStyle name="Normal 17 3 22" xfId="5475"/>
    <cellStyle name="Normal 17 3 23" xfId="5726"/>
    <cellStyle name="Normal 17 3 24" xfId="5977"/>
    <cellStyle name="Normal 17 3 25" xfId="6228"/>
    <cellStyle name="Normal 17 3 26" xfId="6479"/>
    <cellStyle name="Normal 17 3 27" xfId="6730"/>
    <cellStyle name="Normal 17 3 28" xfId="6981"/>
    <cellStyle name="Normal 17 3 29" xfId="7232"/>
    <cellStyle name="Normal 17 3 3" xfId="690"/>
    <cellStyle name="Normal 17 3 30" xfId="7483"/>
    <cellStyle name="Normal 17 3 31" xfId="7734"/>
    <cellStyle name="Normal 17 3 32" xfId="7985"/>
    <cellStyle name="Normal 17 3 33" xfId="8236"/>
    <cellStyle name="Normal 17 3 34" xfId="8487"/>
    <cellStyle name="Normal 17 3 35" xfId="8738"/>
    <cellStyle name="Normal 17 3 36" xfId="8989"/>
    <cellStyle name="Normal 17 3 37" xfId="9240"/>
    <cellStyle name="Normal 17 3 38" xfId="9491"/>
    <cellStyle name="Normal 17 3 39" xfId="9742"/>
    <cellStyle name="Normal 17 3 4" xfId="943"/>
    <cellStyle name="Normal 17 3 40" xfId="9993"/>
    <cellStyle name="Normal 17 3 41" xfId="10244"/>
    <cellStyle name="Normal 17 3 42" xfId="10495"/>
    <cellStyle name="Normal 17 3 43" xfId="10746"/>
    <cellStyle name="Normal 17 3 44" xfId="10997"/>
    <cellStyle name="Normal 17 3 45" xfId="11248"/>
    <cellStyle name="Normal 17 3 46" xfId="11499"/>
    <cellStyle name="Normal 17 3 47" xfId="11750"/>
    <cellStyle name="Normal 17 3 48" xfId="12001"/>
    <cellStyle name="Normal 17 3 49" xfId="12252"/>
    <cellStyle name="Normal 17 3 5" xfId="1198"/>
    <cellStyle name="Normal 17 3 50" xfId="12503"/>
    <cellStyle name="Normal 17 3 51" xfId="12754"/>
    <cellStyle name="Normal 17 3 52" xfId="13005"/>
    <cellStyle name="Normal 17 3 53" xfId="13256"/>
    <cellStyle name="Normal 17 3 54" xfId="13507"/>
    <cellStyle name="Normal 17 3 55" xfId="13758"/>
    <cellStyle name="Normal 17 3 56" xfId="14009"/>
    <cellStyle name="Normal 17 3 57" xfId="14260"/>
    <cellStyle name="Normal 17 3 58" xfId="14511"/>
    <cellStyle name="Normal 17 3 59" xfId="14762"/>
    <cellStyle name="Normal 17 3 6" xfId="1451"/>
    <cellStyle name="Normal 17 3 60" xfId="15013"/>
    <cellStyle name="Normal 17 3 61" xfId="15263"/>
    <cellStyle name="Normal 17 3 62" xfId="15514"/>
    <cellStyle name="Normal 17 3 63" xfId="15762"/>
    <cellStyle name="Normal 17 3 64" xfId="16018"/>
    <cellStyle name="Normal 17 3 65" xfId="16269"/>
    <cellStyle name="Normal 17 3 66" xfId="16520"/>
    <cellStyle name="Normal 17 3 67" xfId="16771"/>
    <cellStyle name="Normal 17 3 68" xfId="17022"/>
    <cellStyle name="Normal 17 3 69" xfId="17273"/>
    <cellStyle name="Normal 17 3 7" xfId="1705"/>
    <cellStyle name="Normal 17 3 70" xfId="17524"/>
    <cellStyle name="Normal 17 3 71" xfId="17775"/>
    <cellStyle name="Normal 17 3 72" xfId="18026"/>
    <cellStyle name="Normal 17 3 73" xfId="18277"/>
    <cellStyle name="Normal 17 3 74" xfId="18528"/>
    <cellStyle name="Normal 17 3 75" xfId="18779"/>
    <cellStyle name="Normal 17 3 76" xfId="19029"/>
    <cellStyle name="Normal 17 3 77" xfId="19281"/>
    <cellStyle name="Normal 17 3 78" xfId="19531"/>
    <cellStyle name="Normal 17 3 79" xfId="19787"/>
    <cellStyle name="Normal 17 3 8" xfId="1961"/>
    <cellStyle name="Normal 17 3 80" xfId="20039"/>
    <cellStyle name="Normal 17 3 81" xfId="20291"/>
    <cellStyle name="Normal 17 3 82" xfId="20543"/>
    <cellStyle name="Normal 17 3 83" xfId="20793"/>
    <cellStyle name="Normal 17 3 84" xfId="21043"/>
    <cellStyle name="Normal 17 3 85" xfId="21292"/>
    <cellStyle name="Normal 17 3 86" xfId="21536"/>
    <cellStyle name="Normal 17 3 87" xfId="21780"/>
    <cellStyle name="Normal 17 3 88" xfId="22021"/>
    <cellStyle name="Normal 17 3 9" xfId="2212"/>
    <cellStyle name="Normal 17 30" xfId="6637"/>
    <cellStyle name="Normal 17 31" xfId="6888"/>
    <cellStyle name="Normal 17 32" xfId="7139"/>
    <cellStyle name="Normal 17 33" xfId="7390"/>
    <cellStyle name="Normal 17 34" xfId="7641"/>
    <cellStyle name="Normal 17 35" xfId="7892"/>
    <cellStyle name="Normal 17 36" xfId="8143"/>
    <cellStyle name="Normal 17 37" xfId="8394"/>
    <cellStyle name="Normal 17 38" xfId="8645"/>
    <cellStyle name="Normal 17 39" xfId="8896"/>
    <cellStyle name="Normal 17 4" xfId="239"/>
    <cellStyle name="Normal 17 4 10" xfId="2539"/>
    <cellStyle name="Normal 17 4 11" xfId="2790"/>
    <cellStyle name="Normal 17 4 12" xfId="3041"/>
    <cellStyle name="Normal 17 4 13" xfId="3292"/>
    <cellStyle name="Normal 17 4 14" xfId="3543"/>
    <cellStyle name="Normal 17 4 15" xfId="3794"/>
    <cellStyle name="Normal 17 4 16" xfId="4045"/>
    <cellStyle name="Normal 17 4 17" xfId="4296"/>
    <cellStyle name="Normal 17 4 18" xfId="4547"/>
    <cellStyle name="Normal 17 4 19" xfId="4798"/>
    <cellStyle name="Normal 17 4 2" xfId="515"/>
    <cellStyle name="Normal 17 4 20" xfId="5049"/>
    <cellStyle name="Normal 17 4 21" xfId="5300"/>
    <cellStyle name="Normal 17 4 22" xfId="5551"/>
    <cellStyle name="Normal 17 4 23" xfId="5802"/>
    <cellStyle name="Normal 17 4 24" xfId="6053"/>
    <cellStyle name="Normal 17 4 25" xfId="6304"/>
    <cellStyle name="Normal 17 4 26" xfId="6555"/>
    <cellStyle name="Normal 17 4 27" xfId="6806"/>
    <cellStyle name="Normal 17 4 28" xfId="7057"/>
    <cellStyle name="Normal 17 4 29" xfId="7308"/>
    <cellStyle name="Normal 17 4 3" xfId="765"/>
    <cellStyle name="Normal 17 4 30" xfId="7559"/>
    <cellStyle name="Normal 17 4 31" xfId="7810"/>
    <cellStyle name="Normal 17 4 32" xfId="8061"/>
    <cellStyle name="Normal 17 4 33" xfId="8312"/>
    <cellStyle name="Normal 17 4 34" xfId="8563"/>
    <cellStyle name="Normal 17 4 35" xfId="8814"/>
    <cellStyle name="Normal 17 4 36" xfId="9065"/>
    <cellStyle name="Normal 17 4 37" xfId="9316"/>
    <cellStyle name="Normal 17 4 38" xfId="9567"/>
    <cellStyle name="Normal 17 4 39" xfId="9818"/>
    <cellStyle name="Normal 17 4 4" xfId="1017"/>
    <cellStyle name="Normal 17 4 40" xfId="10069"/>
    <cellStyle name="Normal 17 4 41" xfId="10320"/>
    <cellStyle name="Normal 17 4 42" xfId="10571"/>
    <cellStyle name="Normal 17 4 43" xfId="10822"/>
    <cellStyle name="Normal 17 4 44" xfId="11073"/>
    <cellStyle name="Normal 17 4 45" xfId="11324"/>
    <cellStyle name="Normal 17 4 46" xfId="11575"/>
    <cellStyle name="Normal 17 4 47" xfId="11826"/>
    <cellStyle name="Normal 17 4 48" xfId="12077"/>
    <cellStyle name="Normal 17 4 49" xfId="12328"/>
    <cellStyle name="Normal 17 4 5" xfId="1273"/>
    <cellStyle name="Normal 17 4 50" xfId="12579"/>
    <cellStyle name="Normal 17 4 51" xfId="12830"/>
    <cellStyle name="Normal 17 4 52" xfId="13081"/>
    <cellStyle name="Normal 17 4 53" xfId="13332"/>
    <cellStyle name="Normal 17 4 54" xfId="13583"/>
    <cellStyle name="Normal 17 4 55" xfId="13834"/>
    <cellStyle name="Normal 17 4 56" xfId="14085"/>
    <cellStyle name="Normal 17 4 57" xfId="14336"/>
    <cellStyle name="Normal 17 4 58" xfId="14587"/>
    <cellStyle name="Normal 17 4 59" xfId="14838"/>
    <cellStyle name="Normal 17 4 6" xfId="1527"/>
    <cellStyle name="Normal 17 4 60" xfId="15089"/>
    <cellStyle name="Normal 17 4 61" xfId="15339"/>
    <cellStyle name="Normal 17 4 62" xfId="15589"/>
    <cellStyle name="Normal 17 4 63" xfId="15838"/>
    <cellStyle name="Normal 17 4 64" xfId="16094"/>
    <cellStyle name="Normal 17 4 65" xfId="16345"/>
    <cellStyle name="Normal 17 4 66" xfId="16596"/>
    <cellStyle name="Normal 17 4 67" xfId="16847"/>
    <cellStyle name="Normal 17 4 68" xfId="17098"/>
    <cellStyle name="Normal 17 4 69" xfId="17349"/>
    <cellStyle name="Normal 17 4 7" xfId="1780"/>
    <cellStyle name="Normal 17 4 70" xfId="17600"/>
    <cellStyle name="Normal 17 4 71" xfId="17851"/>
    <cellStyle name="Normal 17 4 72" xfId="18102"/>
    <cellStyle name="Normal 17 4 73" xfId="18353"/>
    <cellStyle name="Normal 17 4 74" xfId="18604"/>
    <cellStyle name="Normal 17 4 75" xfId="18855"/>
    <cellStyle name="Normal 17 4 76" xfId="19105"/>
    <cellStyle name="Normal 17 4 77" xfId="19357"/>
    <cellStyle name="Normal 17 4 78" xfId="19607"/>
    <cellStyle name="Normal 17 4 79" xfId="19863"/>
    <cellStyle name="Normal 17 4 8" xfId="2037"/>
    <cellStyle name="Normal 17 4 80" xfId="20115"/>
    <cellStyle name="Normal 17 4 81" xfId="20367"/>
    <cellStyle name="Normal 17 4 82" xfId="20619"/>
    <cellStyle name="Normal 17 4 83" xfId="20869"/>
    <cellStyle name="Normal 17 4 84" xfId="21119"/>
    <cellStyle name="Normal 17 4 85" xfId="21367"/>
    <cellStyle name="Normal 17 4 86" xfId="21611"/>
    <cellStyle name="Normal 17 4 87" xfId="21854"/>
    <cellStyle name="Normal 17 4 88" xfId="22095"/>
    <cellStyle name="Normal 17 4 9" xfId="2288"/>
    <cellStyle name="Normal 17 40" xfId="9147"/>
    <cellStyle name="Normal 17 41" xfId="9398"/>
    <cellStyle name="Normal 17 42" xfId="9649"/>
    <cellStyle name="Normal 17 43" xfId="9900"/>
    <cellStyle name="Normal 17 44" xfId="10151"/>
    <cellStyle name="Normal 17 45" xfId="10402"/>
    <cellStyle name="Normal 17 46" xfId="10653"/>
    <cellStyle name="Normal 17 47" xfId="10904"/>
    <cellStyle name="Normal 17 48" xfId="11155"/>
    <cellStyle name="Normal 17 49" xfId="11406"/>
    <cellStyle name="Normal 17 5" xfId="348"/>
    <cellStyle name="Normal 17 50" xfId="11657"/>
    <cellStyle name="Normal 17 51" xfId="11908"/>
    <cellStyle name="Normal 17 52" xfId="12159"/>
    <cellStyle name="Normal 17 53" xfId="12410"/>
    <cellStyle name="Normal 17 54" xfId="12661"/>
    <cellStyle name="Normal 17 55" xfId="12912"/>
    <cellStyle name="Normal 17 56" xfId="13163"/>
    <cellStyle name="Normal 17 57" xfId="13414"/>
    <cellStyle name="Normal 17 58" xfId="13665"/>
    <cellStyle name="Normal 17 59" xfId="13916"/>
    <cellStyle name="Normal 17 6" xfId="597"/>
    <cellStyle name="Normal 17 60" xfId="14167"/>
    <cellStyle name="Normal 17 61" xfId="14418"/>
    <cellStyle name="Normal 17 62" xfId="14669"/>
    <cellStyle name="Normal 17 63" xfId="14919"/>
    <cellStyle name="Normal 17 64" xfId="15170"/>
    <cellStyle name="Normal 17 65" xfId="15421"/>
    <cellStyle name="Normal 17 66" xfId="15668"/>
    <cellStyle name="Normal 17 67" xfId="15925"/>
    <cellStyle name="Normal 17 68" xfId="16176"/>
    <cellStyle name="Normal 17 69" xfId="16427"/>
    <cellStyle name="Normal 17 7" xfId="850"/>
    <cellStyle name="Normal 17 70" xfId="16678"/>
    <cellStyle name="Normal 17 71" xfId="16929"/>
    <cellStyle name="Normal 17 72" xfId="17180"/>
    <cellStyle name="Normal 17 73" xfId="17431"/>
    <cellStyle name="Normal 17 74" xfId="17682"/>
    <cellStyle name="Normal 17 75" xfId="17933"/>
    <cellStyle name="Normal 17 76" xfId="18184"/>
    <cellStyle name="Normal 17 77" xfId="18435"/>
    <cellStyle name="Normal 17 78" xfId="18685"/>
    <cellStyle name="Normal 17 79" xfId="18936"/>
    <cellStyle name="Normal 17 8" xfId="1105"/>
    <cellStyle name="Normal 17 80" xfId="19187"/>
    <cellStyle name="Normal 17 81" xfId="19437"/>
    <cellStyle name="Normal 17 82" xfId="19693"/>
    <cellStyle name="Normal 17 83" xfId="19945"/>
    <cellStyle name="Normal 17 84" xfId="20197"/>
    <cellStyle name="Normal 17 85" xfId="20449"/>
    <cellStyle name="Normal 17 86" xfId="20699"/>
    <cellStyle name="Normal 17 87" xfId="20949"/>
    <cellStyle name="Normal 17 88" xfId="21200"/>
    <cellStyle name="Normal 17 89" xfId="21444"/>
    <cellStyle name="Normal 17 9" xfId="1358"/>
    <cellStyle name="Normal 17 90" xfId="21688"/>
    <cellStyle name="Normal 17 91" xfId="21929"/>
    <cellStyle name="Normal 170" xfId="22211"/>
    <cellStyle name="Normal 171" xfId="22212"/>
    <cellStyle name="Normal 172" xfId="22213"/>
    <cellStyle name="Normal 173" xfId="22214"/>
    <cellStyle name="Normal 174" xfId="22215"/>
    <cellStyle name="Normal 175" xfId="22216"/>
    <cellStyle name="Normal 176" xfId="22217"/>
    <cellStyle name="Normal 177" xfId="22218"/>
    <cellStyle name="Normal 178" xfId="22219"/>
    <cellStyle name="Normal 18" xfId="133"/>
    <cellStyle name="Normal 18 10" xfId="1932"/>
    <cellStyle name="Normal 18 11" xfId="2183"/>
    <cellStyle name="Normal 18 12" xfId="2434"/>
    <cellStyle name="Normal 18 13" xfId="2685"/>
    <cellStyle name="Normal 18 14" xfId="2936"/>
    <cellStyle name="Normal 18 15" xfId="3187"/>
    <cellStyle name="Normal 18 16" xfId="3438"/>
    <cellStyle name="Normal 18 17" xfId="3689"/>
    <cellStyle name="Normal 18 18" xfId="3940"/>
    <cellStyle name="Normal 18 19" xfId="4191"/>
    <cellStyle name="Normal 18 2" xfId="227"/>
    <cellStyle name="Normal 18 2 10" xfId="2527"/>
    <cellStyle name="Normal 18 2 11" xfId="2778"/>
    <cellStyle name="Normal 18 2 12" xfId="3029"/>
    <cellStyle name="Normal 18 2 13" xfId="3280"/>
    <cellStyle name="Normal 18 2 14" xfId="3531"/>
    <cellStyle name="Normal 18 2 15" xfId="3782"/>
    <cellStyle name="Normal 18 2 16" xfId="4033"/>
    <cellStyle name="Normal 18 2 17" xfId="4284"/>
    <cellStyle name="Normal 18 2 18" xfId="4535"/>
    <cellStyle name="Normal 18 2 19" xfId="4786"/>
    <cellStyle name="Normal 18 2 2" xfId="504"/>
    <cellStyle name="Normal 18 2 20" xfId="5037"/>
    <cellStyle name="Normal 18 2 21" xfId="5288"/>
    <cellStyle name="Normal 18 2 22" xfId="5539"/>
    <cellStyle name="Normal 18 2 23" xfId="5790"/>
    <cellStyle name="Normal 18 2 24" xfId="6041"/>
    <cellStyle name="Normal 18 2 25" xfId="6292"/>
    <cellStyle name="Normal 18 2 26" xfId="6543"/>
    <cellStyle name="Normal 18 2 27" xfId="6794"/>
    <cellStyle name="Normal 18 2 28" xfId="7045"/>
    <cellStyle name="Normal 18 2 29" xfId="7296"/>
    <cellStyle name="Normal 18 2 3" xfId="754"/>
    <cellStyle name="Normal 18 2 30" xfId="7547"/>
    <cellStyle name="Normal 18 2 31" xfId="7798"/>
    <cellStyle name="Normal 18 2 32" xfId="8049"/>
    <cellStyle name="Normal 18 2 33" xfId="8300"/>
    <cellStyle name="Normal 18 2 34" xfId="8551"/>
    <cellStyle name="Normal 18 2 35" xfId="8802"/>
    <cellStyle name="Normal 18 2 36" xfId="9053"/>
    <cellStyle name="Normal 18 2 37" xfId="9304"/>
    <cellStyle name="Normal 18 2 38" xfId="9555"/>
    <cellStyle name="Normal 18 2 39" xfId="9806"/>
    <cellStyle name="Normal 18 2 4" xfId="1007"/>
    <cellStyle name="Normal 18 2 40" xfId="10057"/>
    <cellStyle name="Normal 18 2 41" xfId="10308"/>
    <cellStyle name="Normal 18 2 42" xfId="10559"/>
    <cellStyle name="Normal 18 2 43" xfId="10810"/>
    <cellStyle name="Normal 18 2 44" xfId="11061"/>
    <cellStyle name="Normal 18 2 45" xfId="11312"/>
    <cellStyle name="Normal 18 2 46" xfId="11563"/>
    <cellStyle name="Normal 18 2 47" xfId="11814"/>
    <cellStyle name="Normal 18 2 48" xfId="12065"/>
    <cellStyle name="Normal 18 2 49" xfId="12316"/>
    <cellStyle name="Normal 18 2 5" xfId="1262"/>
    <cellStyle name="Normal 18 2 50" xfId="12567"/>
    <cellStyle name="Normal 18 2 51" xfId="12818"/>
    <cellStyle name="Normal 18 2 52" xfId="13069"/>
    <cellStyle name="Normal 18 2 53" xfId="13320"/>
    <cellStyle name="Normal 18 2 54" xfId="13571"/>
    <cellStyle name="Normal 18 2 55" xfId="13822"/>
    <cellStyle name="Normal 18 2 56" xfId="14073"/>
    <cellStyle name="Normal 18 2 57" xfId="14324"/>
    <cellStyle name="Normal 18 2 58" xfId="14575"/>
    <cellStyle name="Normal 18 2 59" xfId="14826"/>
    <cellStyle name="Normal 18 2 6" xfId="1515"/>
    <cellStyle name="Normal 18 2 60" xfId="15077"/>
    <cellStyle name="Normal 18 2 61" xfId="15327"/>
    <cellStyle name="Normal 18 2 62" xfId="15578"/>
    <cellStyle name="Normal 18 2 63" xfId="15826"/>
    <cellStyle name="Normal 18 2 64" xfId="16082"/>
    <cellStyle name="Normal 18 2 65" xfId="16333"/>
    <cellStyle name="Normal 18 2 66" xfId="16584"/>
    <cellStyle name="Normal 18 2 67" xfId="16835"/>
    <cellStyle name="Normal 18 2 68" xfId="17086"/>
    <cellStyle name="Normal 18 2 69" xfId="17337"/>
    <cellStyle name="Normal 18 2 7" xfId="1769"/>
    <cellStyle name="Normal 18 2 70" xfId="17588"/>
    <cellStyle name="Normal 18 2 71" xfId="17839"/>
    <cellStyle name="Normal 18 2 72" xfId="18090"/>
    <cellStyle name="Normal 18 2 73" xfId="18341"/>
    <cellStyle name="Normal 18 2 74" xfId="18592"/>
    <cellStyle name="Normal 18 2 75" xfId="18843"/>
    <cellStyle name="Normal 18 2 76" xfId="19093"/>
    <cellStyle name="Normal 18 2 77" xfId="19345"/>
    <cellStyle name="Normal 18 2 78" xfId="19595"/>
    <cellStyle name="Normal 18 2 79" xfId="19851"/>
    <cellStyle name="Normal 18 2 8" xfId="2025"/>
    <cellStyle name="Normal 18 2 80" xfId="20103"/>
    <cellStyle name="Normal 18 2 81" xfId="20355"/>
    <cellStyle name="Normal 18 2 82" xfId="20607"/>
    <cellStyle name="Normal 18 2 83" xfId="20857"/>
    <cellStyle name="Normal 18 2 84" xfId="21107"/>
    <cellStyle name="Normal 18 2 85" xfId="21356"/>
    <cellStyle name="Normal 18 2 86" xfId="21600"/>
    <cellStyle name="Normal 18 2 87" xfId="21844"/>
    <cellStyle name="Normal 18 2 88" xfId="22085"/>
    <cellStyle name="Normal 18 2 9" xfId="2276"/>
    <cellStyle name="Normal 18 20" xfId="4442"/>
    <cellStyle name="Normal 18 21" xfId="4693"/>
    <cellStyle name="Normal 18 22" xfId="4944"/>
    <cellStyle name="Normal 18 23" xfId="5195"/>
    <cellStyle name="Normal 18 24" xfId="5446"/>
    <cellStyle name="Normal 18 25" xfId="5697"/>
    <cellStyle name="Normal 18 26" xfId="5948"/>
    <cellStyle name="Normal 18 27" xfId="6199"/>
    <cellStyle name="Normal 18 28" xfId="6450"/>
    <cellStyle name="Normal 18 29" xfId="6701"/>
    <cellStyle name="Normal 18 3" xfId="303"/>
    <cellStyle name="Normal 18 3 10" xfId="2603"/>
    <cellStyle name="Normal 18 3 11" xfId="2854"/>
    <cellStyle name="Normal 18 3 12" xfId="3105"/>
    <cellStyle name="Normal 18 3 13" xfId="3356"/>
    <cellStyle name="Normal 18 3 14" xfId="3607"/>
    <cellStyle name="Normal 18 3 15" xfId="3858"/>
    <cellStyle name="Normal 18 3 16" xfId="4109"/>
    <cellStyle name="Normal 18 3 17" xfId="4360"/>
    <cellStyle name="Normal 18 3 18" xfId="4611"/>
    <cellStyle name="Normal 18 3 19" xfId="4862"/>
    <cellStyle name="Normal 18 3 2" xfId="578"/>
    <cellStyle name="Normal 18 3 20" xfId="5113"/>
    <cellStyle name="Normal 18 3 21" xfId="5364"/>
    <cellStyle name="Normal 18 3 22" xfId="5615"/>
    <cellStyle name="Normal 18 3 23" xfId="5866"/>
    <cellStyle name="Normal 18 3 24" xfId="6117"/>
    <cellStyle name="Normal 18 3 25" xfId="6368"/>
    <cellStyle name="Normal 18 3 26" xfId="6619"/>
    <cellStyle name="Normal 18 3 27" xfId="6870"/>
    <cellStyle name="Normal 18 3 28" xfId="7121"/>
    <cellStyle name="Normal 18 3 29" xfId="7372"/>
    <cellStyle name="Normal 18 3 3" xfId="828"/>
    <cellStyle name="Normal 18 3 30" xfId="7623"/>
    <cellStyle name="Normal 18 3 31" xfId="7874"/>
    <cellStyle name="Normal 18 3 32" xfId="8125"/>
    <cellStyle name="Normal 18 3 33" xfId="8376"/>
    <cellStyle name="Normal 18 3 34" xfId="8627"/>
    <cellStyle name="Normal 18 3 35" xfId="8878"/>
    <cellStyle name="Normal 18 3 36" xfId="9129"/>
    <cellStyle name="Normal 18 3 37" xfId="9380"/>
    <cellStyle name="Normal 18 3 38" xfId="9631"/>
    <cellStyle name="Normal 18 3 39" xfId="9882"/>
    <cellStyle name="Normal 18 3 4" xfId="1080"/>
    <cellStyle name="Normal 18 3 40" xfId="10133"/>
    <cellStyle name="Normal 18 3 41" xfId="10384"/>
    <cellStyle name="Normal 18 3 42" xfId="10635"/>
    <cellStyle name="Normal 18 3 43" xfId="10886"/>
    <cellStyle name="Normal 18 3 44" xfId="11137"/>
    <cellStyle name="Normal 18 3 45" xfId="11388"/>
    <cellStyle name="Normal 18 3 46" xfId="11639"/>
    <cellStyle name="Normal 18 3 47" xfId="11890"/>
    <cellStyle name="Normal 18 3 48" xfId="12141"/>
    <cellStyle name="Normal 18 3 49" xfId="12392"/>
    <cellStyle name="Normal 18 3 5" xfId="1336"/>
    <cellStyle name="Normal 18 3 50" xfId="12643"/>
    <cellStyle name="Normal 18 3 51" xfId="12894"/>
    <cellStyle name="Normal 18 3 52" xfId="13145"/>
    <cellStyle name="Normal 18 3 53" xfId="13396"/>
    <cellStyle name="Normal 18 3 54" xfId="13647"/>
    <cellStyle name="Normal 18 3 55" xfId="13898"/>
    <cellStyle name="Normal 18 3 56" xfId="14149"/>
    <cellStyle name="Normal 18 3 57" xfId="14400"/>
    <cellStyle name="Normal 18 3 58" xfId="14651"/>
    <cellStyle name="Normal 18 3 59" xfId="14902"/>
    <cellStyle name="Normal 18 3 6" xfId="1591"/>
    <cellStyle name="Normal 18 3 60" xfId="15153"/>
    <cellStyle name="Normal 18 3 61" xfId="15403"/>
    <cellStyle name="Normal 18 3 62" xfId="15652"/>
    <cellStyle name="Normal 18 3 63" xfId="15902"/>
    <cellStyle name="Normal 18 3 64" xfId="16158"/>
    <cellStyle name="Normal 18 3 65" xfId="16409"/>
    <cellStyle name="Normal 18 3 66" xfId="16660"/>
    <cellStyle name="Normal 18 3 67" xfId="16911"/>
    <cellStyle name="Normal 18 3 68" xfId="17162"/>
    <cellStyle name="Normal 18 3 69" xfId="17413"/>
    <cellStyle name="Normal 18 3 7" xfId="1844"/>
    <cellStyle name="Normal 18 3 70" xfId="17664"/>
    <cellStyle name="Normal 18 3 71" xfId="17915"/>
    <cellStyle name="Normal 18 3 72" xfId="18166"/>
    <cellStyle name="Normal 18 3 73" xfId="18417"/>
    <cellStyle name="Normal 18 3 74" xfId="18668"/>
    <cellStyle name="Normal 18 3 75" xfId="18919"/>
    <cellStyle name="Normal 18 3 76" xfId="19169"/>
    <cellStyle name="Normal 18 3 77" xfId="19420"/>
    <cellStyle name="Normal 18 3 78" xfId="19671"/>
    <cellStyle name="Normal 18 3 79" xfId="19927"/>
    <cellStyle name="Normal 18 3 8" xfId="2101"/>
    <cellStyle name="Normal 18 3 80" xfId="20179"/>
    <cellStyle name="Normal 18 3 81" xfId="20431"/>
    <cellStyle name="Normal 18 3 82" xfId="20683"/>
    <cellStyle name="Normal 18 3 83" xfId="20933"/>
    <cellStyle name="Normal 18 3 84" xfId="21182"/>
    <cellStyle name="Normal 18 3 85" xfId="21430"/>
    <cellStyle name="Normal 18 3 86" xfId="21674"/>
    <cellStyle name="Normal 18 3 87" xfId="21916"/>
    <cellStyle name="Normal 18 3 88" xfId="22157"/>
    <cellStyle name="Normal 18 3 9" xfId="2352"/>
    <cellStyle name="Normal 18 30" xfId="6952"/>
    <cellStyle name="Normal 18 31" xfId="7203"/>
    <cellStyle name="Normal 18 32" xfId="7454"/>
    <cellStyle name="Normal 18 33" xfId="7705"/>
    <cellStyle name="Normal 18 34" xfId="7956"/>
    <cellStyle name="Normal 18 35" xfId="8207"/>
    <cellStyle name="Normal 18 36" xfId="8458"/>
    <cellStyle name="Normal 18 37" xfId="8709"/>
    <cellStyle name="Normal 18 38" xfId="8960"/>
    <cellStyle name="Normal 18 39" xfId="9211"/>
    <cellStyle name="Normal 18 4" xfId="412"/>
    <cellStyle name="Normal 18 40" xfId="9462"/>
    <cellStyle name="Normal 18 41" xfId="9713"/>
    <cellStyle name="Normal 18 42" xfId="9964"/>
    <cellStyle name="Normal 18 43" xfId="10215"/>
    <cellStyle name="Normal 18 44" xfId="10466"/>
    <cellStyle name="Normal 18 45" xfId="10717"/>
    <cellStyle name="Normal 18 46" xfId="10968"/>
    <cellStyle name="Normal 18 47" xfId="11219"/>
    <cellStyle name="Normal 18 48" xfId="11470"/>
    <cellStyle name="Normal 18 49" xfId="11721"/>
    <cellStyle name="Normal 18 5" xfId="661"/>
    <cellStyle name="Normal 18 50" xfId="11972"/>
    <cellStyle name="Normal 18 51" xfId="12223"/>
    <cellStyle name="Normal 18 52" xfId="12474"/>
    <cellStyle name="Normal 18 53" xfId="12725"/>
    <cellStyle name="Normal 18 54" xfId="12976"/>
    <cellStyle name="Normal 18 55" xfId="13227"/>
    <cellStyle name="Normal 18 56" xfId="13478"/>
    <cellStyle name="Normal 18 57" xfId="13729"/>
    <cellStyle name="Normal 18 58" xfId="13980"/>
    <cellStyle name="Normal 18 59" xfId="14231"/>
    <cellStyle name="Normal 18 6" xfId="914"/>
    <cellStyle name="Normal 18 60" xfId="14482"/>
    <cellStyle name="Normal 18 61" xfId="14733"/>
    <cellStyle name="Normal 18 62" xfId="14983"/>
    <cellStyle name="Normal 18 63" xfId="15234"/>
    <cellStyle name="Normal 18 64" xfId="15485"/>
    <cellStyle name="Normal 18 65" xfId="15732"/>
    <cellStyle name="Normal 18 66" xfId="15989"/>
    <cellStyle name="Normal 18 67" xfId="16240"/>
    <cellStyle name="Normal 18 68" xfId="16491"/>
    <cellStyle name="Normal 18 69" xfId="16742"/>
    <cellStyle name="Normal 18 7" xfId="1169"/>
    <cellStyle name="Normal 18 70" xfId="16993"/>
    <cellStyle name="Normal 18 71" xfId="17244"/>
    <cellStyle name="Normal 18 72" xfId="17495"/>
    <cellStyle name="Normal 18 73" xfId="17746"/>
    <cellStyle name="Normal 18 74" xfId="17997"/>
    <cellStyle name="Normal 18 75" xfId="18248"/>
    <cellStyle name="Normal 18 76" xfId="18499"/>
    <cellStyle name="Normal 18 77" xfId="18749"/>
    <cellStyle name="Normal 18 78" xfId="19000"/>
    <cellStyle name="Normal 18 79" xfId="19251"/>
    <cellStyle name="Normal 18 8" xfId="1422"/>
    <cellStyle name="Normal 18 80" xfId="19501"/>
    <cellStyle name="Normal 18 81" xfId="19757"/>
    <cellStyle name="Normal 18 82" xfId="20009"/>
    <cellStyle name="Normal 18 83" xfId="20261"/>
    <cellStyle name="Normal 18 84" xfId="20513"/>
    <cellStyle name="Normal 18 85" xfId="20763"/>
    <cellStyle name="Normal 18 86" xfId="21013"/>
    <cellStyle name="Normal 18 87" xfId="21264"/>
    <cellStyle name="Normal 18 88" xfId="21508"/>
    <cellStyle name="Normal 18 89" xfId="21752"/>
    <cellStyle name="Normal 18 9" xfId="1675"/>
    <cellStyle name="Normal 18 90" xfId="21993"/>
    <cellStyle name="Normal 19" xfId="134"/>
    <cellStyle name="Normal 19 10" xfId="1933"/>
    <cellStyle name="Normal 19 11" xfId="2184"/>
    <cellStyle name="Normal 19 12" xfId="2435"/>
    <cellStyle name="Normal 19 13" xfId="2686"/>
    <cellStyle name="Normal 19 14" xfId="2937"/>
    <cellStyle name="Normal 19 15" xfId="3188"/>
    <cellStyle name="Normal 19 16" xfId="3439"/>
    <cellStyle name="Normal 19 17" xfId="3690"/>
    <cellStyle name="Normal 19 18" xfId="3941"/>
    <cellStyle name="Normal 19 19" xfId="4192"/>
    <cellStyle name="Normal 19 2" xfId="228"/>
    <cellStyle name="Normal 19 2 10" xfId="2528"/>
    <cellStyle name="Normal 19 2 11" xfId="2779"/>
    <cellStyle name="Normal 19 2 12" xfId="3030"/>
    <cellStyle name="Normal 19 2 13" xfId="3281"/>
    <cellStyle name="Normal 19 2 14" xfId="3532"/>
    <cellStyle name="Normal 19 2 15" xfId="3783"/>
    <cellStyle name="Normal 19 2 16" xfId="4034"/>
    <cellStyle name="Normal 19 2 17" xfId="4285"/>
    <cellStyle name="Normal 19 2 18" xfId="4536"/>
    <cellStyle name="Normal 19 2 19" xfId="4787"/>
    <cellStyle name="Normal 19 2 2" xfId="505"/>
    <cellStyle name="Normal 19 2 20" xfId="5038"/>
    <cellStyle name="Normal 19 2 21" xfId="5289"/>
    <cellStyle name="Normal 19 2 22" xfId="5540"/>
    <cellStyle name="Normal 19 2 23" xfId="5791"/>
    <cellStyle name="Normal 19 2 24" xfId="6042"/>
    <cellStyle name="Normal 19 2 25" xfId="6293"/>
    <cellStyle name="Normal 19 2 26" xfId="6544"/>
    <cellStyle name="Normal 19 2 27" xfId="6795"/>
    <cellStyle name="Normal 19 2 28" xfId="7046"/>
    <cellStyle name="Normal 19 2 29" xfId="7297"/>
    <cellStyle name="Normal 19 2 3" xfId="755"/>
    <cellStyle name="Normal 19 2 30" xfId="7548"/>
    <cellStyle name="Normal 19 2 31" xfId="7799"/>
    <cellStyle name="Normal 19 2 32" xfId="8050"/>
    <cellStyle name="Normal 19 2 33" xfId="8301"/>
    <cellStyle name="Normal 19 2 34" xfId="8552"/>
    <cellStyle name="Normal 19 2 35" xfId="8803"/>
    <cellStyle name="Normal 19 2 36" xfId="9054"/>
    <cellStyle name="Normal 19 2 37" xfId="9305"/>
    <cellStyle name="Normal 19 2 38" xfId="9556"/>
    <cellStyle name="Normal 19 2 39" xfId="9807"/>
    <cellStyle name="Normal 19 2 4" xfId="1008"/>
    <cellStyle name="Normal 19 2 40" xfId="10058"/>
    <cellStyle name="Normal 19 2 41" xfId="10309"/>
    <cellStyle name="Normal 19 2 42" xfId="10560"/>
    <cellStyle name="Normal 19 2 43" xfId="10811"/>
    <cellStyle name="Normal 19 2 44" xfId="11062"/>
    <cellStyle name="Normal 19 2 45" xfId="11313"/>
    <cellStyle name="Normal 19 2 46" xfId="11564"/>
    <cellStyle name="Normal 19 2 47" xfId="11815"/>
    <cellStyle name="Normal 19 2 48" xfId="12066"/>
    <cellStyle name="Normal 19 2 49" xfId="12317"/>
    <cellStyle name="Normal 19 2 5" xfId="1263"/>
    <cellStyle name="Normal 19 2 50" xfId="12568"/>
    <cellStyle name="Normal 19 2 51" xfId="12819"/>
    <cellStyle name="Normal 19 2 52" xfId="13070"/>
    <cellStyle name="Normal 19 2 53" xfId="13321"/>
    <cellStyle name="Normal 19 2 54" xfId="13572"/>
    <cellStyle name="Normal 19 2 55" xfId="13823"/>
    <cellStyle name="Normal 19 2 56" xfId="14074"/>
    <cellStyle name="Normal 19 2 57" xfId="14325"/>
    <cellStyle name="Normal 19 2 58" xfId="14576"/>
    <cellStyle name="Normal 19 2 59" xfId="14827"/>
    <cellStyle name="Normal 19 2 6" xfId="1516"/>
    <cellStyle name="Normal 19 2 60" xfId="15078"/>
    <cellStyle name="Normal 19 2 61" xfId="15328"/>
    <cellStyle name="Normal 19 2 62" xfId="15579"/>
    <cellStyle name="Normal 19 2 63" xfId="15827"/>
    <cellStyle name="Normal 19 2 64" xfId="16083"/>
    <cellStyle name="Normal 19 2 65" xfId="16334"/>
    <cellStyle name="Normal 19 2 66" xfId="16585"/>
    <cellStyle name="Normal 19 2 67" xfId="16836"/>
    <cellStyle name="Normal 19 2 68" xfId="17087"/>
    <cellStyle name="Normal 19 2 69" xfId="17338"/>
    <cellStyle name="Normal 19 2 7" xfId="1770"/>
    <cellStyle name="Normal 19 2 70" xfId="17589"/>
    <cellStyle name="Normal 19 2 71" xfId="17840"/>
    <cellStyle name="Normal 19 2 72" xfId="18091"/>
    <cellStyle name="Normal 19 2 73" xfId="18342"/>
    <cellStyle name="Normal 19 2 74" xfId="18593"/>
    <cellStyle name="Normal 19 2 75" xfId="18844"/>
    <cellStyle name="Normal 19 2 76" xfId="19094"/>
    <cellStyle name="Normal 19 2 77" xfId="19346"/>
    <cellStyle name="Normal 19 2 78" xfId="19596"/>
    <cellStyle name="Normal 19 2 79" xfId="19852"/>
    <cellStyle name="Normal 19 2 8" xfId="2026"/>
    <cellStyle name="Normal 19 2 80" xfId="20104"/>
    <cellStyle name="Normal 19 2 81" xfId="20356"/>
    <cellStyle name="Normal 19 2 82" xfId="20608"/>
    <cellStyle name="Normal 19 2 83" xfId="20858"/>
    <cellStyle name="Normal 19 2 84" xfId="21108"/>
    <cellStyle name="Normal 19 2 85" xfId="21357"/>
    <cellStyle name="Normal 19 2 86" xfId="21601"/>
    <cellStyle name="Normal 19 2 87" xfId="21845"/>
    <cellStyle name="Normal 19 2 88" xfId="22086"/>
    <cellStyle name="Normal 19 2 9" xfId="2277"/>
    <cellStyle name="Normal 19 2_XI Introductory Section (version 3)" xfId="22271"/>
    <cellStyle name="Normal 19 20" xfId="4443"/>
    <cellStyle name="Normal 19 21" xfId="4694"/>
    <cellStyle name="Normal 19 22" xfId="4945"/>
    <cellStyle name="Normal 19 23" xfId="5196"/>
    <cellStyle name="Normal 19 24" xfId="5447"/>
    <cellStyle name="Normal 19 25" xfId="5698"/>
    <cellStyle name="Normal 19 26" xfId="5949"/>
    <cellStyle name="Normal 19 27" xfId="6200"/>
    <cellStyle name="Normal 19 28" xfId="6451"/>
    <cellStyle name="Normal 19 29" xfId="6702"/>
    <cellStyle name="Normal 19 3" xfId="304"/>
    <cellStyle name="Normal 19 3 10" xfId="2604"/>
    <cellStyle name="Normal 19 3 11" xfId="2855"/>
    <cellStyle name="Normal 19 3 12" xfId="3106"/>
    <cellStyle name="Normal 19 3 13" xfId="3357"/>
    <cellStyle name="Normal 19 3 14" xfId="3608"/>
    <cellStyle name="Normal 19 3 15" xfId="3859"/>
    <cellStyle name="Normal 19 3 16" xfId="4110"/>
    <cellStyle name="Normal 19 3 17" xfId="4361"/>
    <cellStyle name="Normal 19 3 18" xfId="4612"/>
    <cellStyle name="Normal 19 3 19" xfId="4863"/>
    <cellStyle name="Normal 19 3 2" xfId="579"/>
    <cellStyle name="Normal 19 3 20" xfId="5114"/>
    <cellStyle name="Normal 19 3 21" xfId="5365"/>
    <cellStyle name="Normal 19 3 22" xfId="5616"/>
    <cellStyle name="Normal 19 3 23" xfId="5867"/>
    <cellStyle name="Normal 19 3 24" xfId="6118"/>
    <cellStyle name="Normal 19 3 25" xfId="6369"/>
    <cellStyle name="Normal 19 3 26" xfId="6620"/>
    <cellStyle name="Normal 19 3 27" xfId="6871"/>
    <cellStyle name="Normal 19 3 28" xfId="7122"/>
    <cellStyle name="Normal 19 3 29" xfId="7373"/>
    <cellStyle name="Normal 19 3 3" xfId="829"/>
    <cellStyle name="Normal 19 3 30" xfId="7624"/>
    <cellStyle name="Normal 19 3 31" xfId="7875"/>
    <cellStyle name="Normal 19 3 32" xfId="8126"/>
    <cellStyle name="Normal 19 3 33" xfId="8377"/>
    <cellStyle name="Normal 19 3 34" xfId="8628"/>
    <cellStyle name="Normal 19 3 35" xfId="8879"/>
    <cellStyle name="Normal 19 3 36" xfId="9130"/>
    <cellStyle name="Normal 19 3 37" xfId="9381"/>
    <cellStyle name="Normal 19 3 38" xfId="9632"/>
    <cellStyle name="Normal 19 3 39" xfId="9883"/>
    <cellStyle name="Normal 19 3 4" xfId="1081"/>
    <cellStyle name="Normal 19 3 40" xfId="10134"/>
    <cellStyle name="Normal 19 3 41" xfId="10385"/>
    <cellStyle name="Normal 19 3 42" xfId="10636"/>
    <cellStyle name="Normal 19 3 43" xfId="10887"/>
    <cellStyle name="Normal 19 3 44" xfId="11138"/>
    <cellStyle name="Normal 19 3 45" xfId="11389"/>
    <cellStyle name="Normal 19 3 46" xfId="11640"/>
    <cellStyle name="Normal 19 3 47" xfId="11891"/>
    <cellStyle name="Normal 19 3 48" xfId="12142"/>
    <cellStyle name="Normal 19 3 49" xfId="12393"/>
    <cellStyle name="Normal 19 3 5" xfId="1337"/>
    <cellStyle name="Normal 19 3 50" xfId="12644"/>
    <cellStyle name="Normal 19 3 51" xfId="12895"/>
    <cellStyle name="Normal 19 3 52" xfId="13146"/>
    <cellStyle name="Normal 19 3 53" xfId="13397"/>
    <cellStyle name="Normal 19 3 54" xfId="13648"/>
    <cellStyle name="Normal 19 3 55" xfId="13899"/>
    <cellStyle name="Normal 19 3 56" xfId="14150"/>
    <cellStyle name="Normal 19 3 57" xfId="14401"/>
    <cellStyle name="Normal 19 3 58" xfId="14652"/>
    <cellStyle name="Normal 19 3 59" xfId="14903"/>
    <cellStyle name="Normal 19 3 6" xfId="1592"/>
    <cellStyle name="Normal 19 3 60" xfId="15154"/>
    <cellStyle name="Normal 19 3 61" xfId="15404"/>
    <cellStyle name="Normal 19 3 62" xfId="15653"/>
    <cellStyle name="Normal 19 3 63" xfId="15903"/>
    <cellStyle name="Normal 19 3 64" xfId="16159"/>
    <cellStyle name="Normal 19 3 65" xfId="16410"/>
    <cellStyle name="Normal 19 3 66" xfId="16661"/>
    <cellStyle name="Normal 19 3 67" xfId="16912"/>
    <cellStyle name="Normal 19 3 68" xfId="17163"/>
    <cellStyle name="Normal 19 3 69" xfId="17414"/>
    <cellStyle name="Normal 19 3 7" xfId="1845"/>
    <cellStyle name="Normal 19 3 70" xfId="17665"/>
    <cellStyle name="Normal 19 3 71" xfId="17916"/>
    <cellStyle name="Normal 19 3 72" xfId="18167"/>
    <cellStyle name="Normal 19 3 73" xfId="18418"/>
    <cellStyle name="Normal 19 3 74" xfId="18669"/>
    <cellStyle name="Normal 19 3 75" xfId="18920"/>
    <cellStyle name="Normal 19 3 76" xfId="19170"/>
    <cellStyle name="Normal 19 3 77" xfId="19421"/>
    <cellStyle name="Normal 19 3 78" xfId="19672"/>
    <cellStyle name="Normal 19 3 79" xfId="19928"/>
    <cellStyle name="Normal 19 3 8" xfId="2102"/>
    <cellStyle name="Normal 19 3 80" xfId="20180"/>
    <cellStyle name="Normal 19 3 81" xfId="20432"/>
    <cellStyle name="Normal 19 3 82" xfId="20684"/>
    <cellStyle name="Normal 19 3 83" xfId="20934"/>
    <cellStyle name="Normal 19 3 84" xfId="21183"/>
    <cellStyle name="Normal 19 3 85" xfId="21431"/>
    <cellStyle name="Normal 19 3 86" xfId="21675"/>
    <cellStyle name="Normal 19 3 87" xfId="21917"/>
    <cellStyle name="Normal 19 3 88" xfId="22158"/>
    <cellStyle name="Normal 19 3 9" xfId="2353"/>
    <cellStyle name="Normal 19 30" xfId="6953"/>
    <cellStyle name="Normal 19 31" xfId="7204"/>
    <cellStyle name="Normal 19 32" xfId="7455"/>
    <cellStyle name="Normal 19 33" xfId="7706"/>
    <cellStyle name="Normal 19 34" xfId="7957"/>
    <cellStyle name="Normal 19 35" xfId="8208"/>
    <cellStyle name="Normal 19 36" xfId="8459"/>
    <cellStyle name="Normal 19 37" xfId="8710"/>
    <cellStyle name="Normal 19 38" xfId="8961"/>
    <cellStyle name="Normal 19 39" xfId="9212"/>
    <cellStyle name="Normal 19 4" xfId="413"/>
    <cellStyle name="Normal 19 40" xfId="9463"/>
    <cellStyle name="Normal 19 41" xfId="9714"/>
    <cellStyle name="Normal 19 42" xfId="9965"/>
    <cellStyle name="Normal 19 43" xfId="10216"/>
    <cellStyle name="Normal 19 44" xfId="10467"/>
    <cellStyle name="Normal 19 45" xfId="10718"/>
    <cellStyle name="Normal 19 46" xfId="10969"/>
    <cellStyle name="Normal 19 47" xfId="11220"/>
    <cellStyle name="Normal 19 48" xfId="11471"/>
    <cellStyle name="Normal 19 49" xfId="11722"/>
    <cellStyle name="Normal 19 5" xfId="662"/>
    <cellStyle name="Normal 19 50" xfId="11973"/>
    <cellStyle name="Normal 19 51" xfId="12224"/>
    <cellStyle name="Normal 19 52" xfId="12475"/>
    <cellStyle name="Normal 19 53" xfId="12726"/>
    <cellStyle name="Normal 19 54" xfId="12977"/>
    <cellStyle name="Normal 19 55" xfId="13228"/>
    <cellStyle name="Normal 19 56" xfId="13479"/>
    <cellStyle name="Normal 19 57" xfId="13730"/>
    <cellStyle name="Normal 19 58" xfId="13981"/>
    <cellStyle name="Normal 19 59" xfId="14232"/>
    <cellStyle name="Normal 19 6" xfId="915"/>
    <cellStyle name="Normal 19 60" xfId="14483"/>
    <cellStyle name="Normal 19 61" xfId="14734"/>
    <cellStyle name="Normal 19 62" xfId="14984"/>
    <cellStyle name="Normal 19 63" xfId="15235"/>
    <cellStyle name="Normal 19 64" xfId="15486"/>
    <cellStyle name="Normal 19 65" xfId="15733"/>
    <cellStyle name="Normal 19 66" xfId="15990"/>
    <cellStyle name="Normal 19 67" xfId="16241"/>
    <cellStyle name="Normal 19 68" xfId="16492"/>
    <cellStyle name="Normal 19 69" xfId="16743"/>
    <cellStyle name="Normal 19 7" xfId="1170"/>
    <cellStyle name="Normal 19 70" xfId="16994"/>
    <cellStyle name="Normal 19 71" xfId="17245"/>
    <cellStyle name="Normal 19 72" xfId="17496"/>
    <cellStyle name="Normal 19 73" xfId="17747"/>
    <cellStyle name="Normal 19 74" xfId="17998"/>
    <cellStyle name="Normal 19 75" xfId="18249"/>
    <cellStyle name="Normal 19 76" xfId="18500"/>
    <cellStyle name="Normal 19 77" xfId="18750"/>
    <cellStyle name="Normal 19 78" xfId="19001"/>
    <cellStyle name="Normal 19 79" xfId="19252"/>
    <cellStyle name="Normal 19 8" xfId="1423"/>
    <cellStyle name="Normal 19 80" xfId="19502"/>
    <cellStyle name="Normal 19 81" xfId="19758"/>
    <cellStyle name="Normal 19 82" xfId="20010"/>
    <cellStyle name="Normal 19 83" xfId="20262"/>
    <cellStyle name="Normal 19 84" xfId="20514"/>
    <cellStyle name="Normal 19 85" xfId="20764"/>
    <cellStyle name="Normal 19 86" xfId="21014"/>
    <cellStyle name="Normal 19 87" xfId="21265"/>
    <cellStyle name="Normal 19 88" xfId="21509"/>
    <cellStyle name="Normal 19 89" xfId="21753"/>
    <cellStyle name="Normal 19 9" xfId="1676"/>
    <cellStyle name="Normal 19 90" xfId="21994"/>
    <cellStyle name="Normal 19_XI Introductory Section (version 3)" xfId="22272"/>
    <cellStyle name="Normal 2" xfId="6"/>
    <cellStyle name="Normal 2 10" xfId="22273"/>
    <cellStyle name="Normal 2 11" xfId="22274"/>
    <cellStyle name="Normal 2 12" xfId="22275"/>
    <cellStyle name="Normal 2 13" xfId="22276"/>
    <cellStyle name="Normal 2 14" xfId="22277"/>
    <cellStyle name="Normal 2 15" xfId="22278"/>
    <cellStyle name="Normal 2 15 2" xfId="22279"/>
    <cellStyle name="Normal 2 15 3" xfId="22280"/>
    <cellStyle name="Normal 2 15 4" xfId="22281"/>
    <cellStyle name="Normal 2 15 5" xfId="22282"/>
    <cellStyle name="Normal 2 15 6" xfId="22283"/>
    <cellStyle name="Normal 2 15 7" xfId="22284"/>
    <cellStyle name="Normal 2 15 8" xfId="22285"/>
    <cellStyle name="Normal 2 15 9" xfId="22286"/>
    <cellStyle name="Normal 2 16" xfId="22287"/>
    <cellStyle name="Normal 2 16 2" xfId="22288"/>
    <cellStyle name="Normal 2 17" xfId="22289"/>
    <cellStyle name="Normal 2 18" xfId="22290"/>
    <cellStyle name="Normal 2 19" xfId="22291"/>
    <cellStyle name="Normal 2 2" xfId="96"/>
    <cellStyle name="Normal 2 2 10" xfId="1606"/>
    <cellStyle name="Normal 2 2 11" xfId="1861"/>
    <cellStyle name="Normal 2 2 12" xfId="2112"/>
    <cellStyle name="Normal 2 2 12 2" xfId="22292"/>
    <cellStyle name="Normal 2 2 12_XI Introductory Section (version 3)" xfId="22293"/>
    <cellStyle name="Normal 2 2 13" xfId="2363"/>
    <cellStyle name="Normal 2 2 14" xfId="2614"/>
    <cellStyle name="Normal 2 2 15" xfId="2865"/>
    <cellStyle name="Normal 2 2 16" xfId="3116"/>
    <cellStyle name="Normal 2 2 16 2" xfId="22294"/>
    <cellStyle name="Normal 2 2 16 2 2" xfId="22295"/>
    <cellStyle name="Normal 2 2 16 2_REVISIONS SORRY" xfId="22296"/>
    <cellStyle name="Normal 2 2 16_REVISIONS SORRY" xfId="22297"/>
    <cellStyle name="Normal 2 2 17" xfId="3367"/>
    <cellStyle name="Normal 2 2 17 2" xfId="22298"/>
    <cellStyle name="Normal 2 2 17 3" xfId="22299"/>
    <cellStyle name="Normal 2 2 17_XI Introductory Section (version 3)" xfId="22300"/>
    <cellStyle name="Normal 2 2 18" xfId="3618"/>
    <cellStyle name="Normal 2 2 18 2" xfId="22301"/>
    <cellStyle name="Normal 2 2 18 2 2" xfId="22302"/>
    <cellStyle name="Normal 2 2 18 3" xfId="22303"/>
    <cellStyle name="Normal 2 2 18_XI Introductory Section (version 3)" xfId="22304"/>
    <cellStyle name="Normal 2 2 19" xfId="3869"/>
    <cellStyle name="Normal 2 2 19 2" xfId="22305"/>
    <cellStyle name="Normal 2 2 19_XI Introductory Section (version 3)" xfId="22306"/>
    <cellStyle name="Normal 2 2 2" xfId="97"/>
    <cellStyle name="Normal 2 2 2 10" xfId="1895"/>
    <cellStyle name="Normal 2 2 2 11" xfId="2146"/>
    <cellStyle name="Normal 2 2 2 12" xfId="2397"/>
    <cellStyle name="Normal 2 2 2 12 2" xfId="22307"/>
    <cellStyle name="Normal 2 2 2 13" xfId="2648"/>
    <cellStyle name="Normal 2 2 2 14" xfId="2899"/>
    <cellStyle name="Normal 2 2 2 15" xfId="3150"/>
    <cellStyle name="Normal 2 2 2 16" xfId="3401"/>
    <cellStyle name="Normal 2 2 2 16 2" xfId="22308"/>
    <cellStyle name="Normal 2 2 2 16 2 2" xfId="22309"/>
    <cellStyle name="Normal 2 2 2 16 2_REVISIONS SORRY" xfId="22310"/>
    <cellStyle name="Normal 2 2 2 16_REVISIONS SORRY" xfId="22311"/>
    <cellStyle name="Normal 2 2 2 17" xfId="3652"/>
    <cellStyle name="Normal 2 2 2 17 2" xfId="22312"/>
    <cellStyle name="Normal 2 2 2 17 3" xfId="22313"/>
    <cellStyle name="Normal 2 2 2 18" xfId="3903"/>
    <cellStyle name="Normal 2 2 2 18 2" xfId="22314"/>
    <cellStyle name="Normal 2 2 2 18 2 2" xfId="22315"/>
    <cellStyle name="Normal 2 2 2 18 2_XI Introductory Section (version 3)" xfId="22316"/>
    <cellStyle name="Normal 2 2 2 18 3" xfId="22317"/>
    <cellStyle name="Normal 2 2 2 19" xfId="4154"/>
    <cellStyle name="Normal 2 2 2 19 2" xfId="22318"/>
    <cellStyle name="Normal 2 2 2 2" xfId="190"/>
    <cellStyle name="Normal 2 2 2 2 10" xfId="1896"/>
    <cellStyle name="Normal 2 2 2 2 11" xfId="2147"/>
    <cellStyle name="Normal 2 2 2 2 11 2" xfId="22319"/>
    <cellStyle name="Normal 2 2 2 2 11_XI Introductory Section (version 3)" xfId="22320"/>
    <cellStyle name="Normal 2 2 2 2 12" xfId="2398"/>
    <cellStyle name="Normal 2 2 2 2 13" xfId="2649"/>
    <cellStyle name="Normal 2 2 2 2 14" xfId="2900"/>
    <cellStyle name="Normal 2 2 2 2 15" xfId="3151"/>
    <cellStyle name="Normal 2 2 2 2 15 2" xfId="22321"/>
    <cellStyle name="Normal 2 2 2 2 15 2 2" xfId="22322"/>
    <cellStyle name="Normal 2 2 2 2 15 2_REVISIONS SORRY" xfId="22323"/>
    <cellStyle name="Normal 2 2 2 2 15_REVISIONS SORRY" xfId="22324"/>
    <cellStyle name="Normal 2 2 2 2 16" xfId="3402"/>
    <cellStyle name="Normal 2 2 2 2 16 2" xfId="22325"/>
    <cellStyle name="Normal 2 2 2 2 16 3" xfId="22326"/>
    <cellStyle name="Normal 2 2 2 2 16_XI Introductory Section (version 3)" xfId="22327"/>
    <cellStyle name="Normal 2 2 2 2 17" xfId="3653"/>
    <cellStyle name="Normal 2 2 2 2 17 2" xfId="22328"/>
    <cellStyle name="Normal 2 2 2 2 17 2 2" xfId="22329"/>
    <cellStyle name="Normal 2 2 2 2 17 3" xfId="22330"/>
    <cellStyle name="Normal 2 2 2 2 17_XI Introductory Section (version 3)" xfId="22331"/>
    <cellStyle name="Normal 2 2 2 2 18" xfId="3904"/>
    <cellStyle name="Normal 2 2 2 2 18 2" xfId="22332"/>
    <cellStyle name="Normal 2 2 2 2 18_XI Introductory Section (version 3)" xfId="22333"/>
    <cellStyle name="Normal 2 2 2 2 19" xfId="4155"/>
    <cellStyle name="Normal 2 2 2 2 19 2" xfId="22334"/>
    <cellStyle name="Normal 2 2 2 2 19_XI Introductory Section (version 3)" xfId="22335"/>
    <cellStyle name="Normal 2 2 2 2 2" xfId="191"/>
    <cellStyle name="Normal 2 2 2 2 2 10" xfId="2490"/>
    <cellStyle name="Normal 2 2 2 2 2 11" xfId="2741"/>
    <cellStyle name="Normal 2 2 2 2 2 11 2" xfId="22336"/>
    <cellStyle name="Normal 2 2 2 2 2 12" xfId="2992"/>
    <cellStyle name="Normal 2 2 2 2 2 13" xfId="3243"/>
    <cellStyle name="Normal 2 2 2 2 2 14" xfId="3494"/>
    <cellStyle name="Normal 2 2 2 2 2 15" xfId="3745"/>
    <cellStyle name="Normal 2 2 2 2 2 15 2" xfId="22337"/>
    <cellStyle name="Normal 2 2 2 2 2 15 2 2" xfId="22338"/>
    <cellStyle name="Normal 2 2 2 2 2 15 2_REVISIONS SORRY" xfId="22339"/>
    <cellStyle name="Normal 2 2 2 2 2 15_REVISIONS SORRY" xfId="22340"/>
    <cellStyle name="Normal 2 2 2 2 2 16" xfId="3996"/>
    <cellStyle name="Normal 2 2 2 2 2 16 2" xfId="22341"/>
    <cellStyle name="Normal 2 2 2 2 2 16 3" xfId="22342"/>
    <cellStyle name="Normal 2 2 2 2 2 17" xfId="4247"/>
    <cellStyle name="Normal 2 2 2 2 2 17 2" xfId="22343"/>
    <cellStyle name="Normal 2 2 2 2 2 17 2 2" xfId="22344"/>
    <cellStyle name="Normal 2 2 2 2 2 17 2_XI Introductory Section (version 3)" xfId="22345"/>
    <cellStyle name="Normal 2 2 2 2 2 17 3" xfId="22346"/>
    <cellStyle name="Normal 2 2 2 2 2 18" xfId="4498"/>
    <cellStyle name="Normal 2 2 2 2 2 18 2" xfId="22347"/>
    <cellStyle name="Normal 2 2 2 2 2 19" xfId="4749"/>
    <cellStyle name="Normal 2 2 2 2 2 19 2" xfId="22348"/>
    <cellStyle name="Normal 2 2 2 2 2 2" xfId="467"/>
    <cellStyle name="Normal 2 2 2 2 2 2 10" xfId="2491"/>
    <cellStyle name="Normal 2 2 2 2 2 2 11" xfId="2742"/>
    <cellStyle name="Normal 2 2 2 2 2 2 11 2" xfId="22349"/>
    <cellStyle name="Normal 2 2 2 2 2 2 11_XI Introductory Section (version 3)" xfId="22350"/>
    <cellStyle name="Normal 2 2 2 2 2 2 12" xfId="2993"/>
    <cellStyle name="Normal 2 2 2 2 2 2 13" xfId="3244"/>
    <cellStyle name="Normal 2 2 2 2 2 2 14" xfId="3495"/>
    <cellStyle name="Normal 2 2 2 2 2 2 15" xfId="3746"/>
    <cellStyle name="Normal 2 2 2 2 2 2 15 2" xfId="22351"/>
    <cellStyle name="Normal 2 2 2 2 2 2 15 2 2" xfId="22352"/>
    <cellStyle name="Normal 2 2 2 2 2 2 15 2_REVISIONS SORRY" xfId="22353"/>
    <cellStyle name="Normal 2 2 2 2 2 2 15_REVISIONS SORRY" xfId="22354"/>
    <cellStyle name="Normal 2 2 2 2 2 2 16" xfId="3997"/>
    <cellStyle name="Normal 2 2 2 2 2 2 16 2" xfId="22355"/>
    <cellStyle name="Normal 2 2 2 2 2 2 16 3" xfId="22356"/>
    <cellStyle name="Normal 2 2 2 2 2 2 16_XI Introductory Section (version 3)" xfId="22357"/>
    <cellStyle name="Normal 2 2 2 2 2 2 17" xfId="4248"/>
    <cellStyle name="Normal 2 2 2 2 2 2 17 2" xfId="22358"/>
    <cellStyle name="Normal 2 2 2 2 2 2 17 2 2" xfId="22359"/>
    <cellStyle name="Normal 2 2 2 2 2 2 17 3" xfId="22360"/>
    <cellStyle name="Normal 2 2 2 2 2 2 17_XI Introductory Section (version 3)" xfId="22361"/>
    <cellStyle name="Normal 2 2 2 2 2 2 18" xfId="4499"/>
    <cellStyle name="Normal 2 2 2 2 2 2 18 2" xfId="22362"/>
    <cellStyle name="Normal 2 2 2 2 2 2 18_XI Introductory Section (version 3)" xfId="22363"/>
    <cellStyle name="Normal 2 2 2 2 2 2 19" xfId="4750"/>
    <cellStyle name="Normal 2 2 2 2 2 2 19 2" xfId="22364"/>
    <cellStyle name="Normal 2 2 2 2 2 2 19_XI Introductory Section (version 3)" xfId="22365"/>
    <cellStyle name="Normal 2 2 2 2 2 2 2" xfId="468"/>
    <cellStyle name="Normal 2 2 2 2 2 2 2 10" xfId="22366"/>
    <cellStyle name="Normal 2 2 2 2 2 2 2 11" xfId="22367"/>
    <cellStyle name="Normal 2 2 2 2 2 2 2 12" xfId="22368"/>
    <cellStyle name="Normal 2 2 2 2 2 2 2 12 2" xfId="22369"/>
    <cellStyle name="Normal 2 2 2 2 2 2 2 12 2 2" xfId="22370"/>
    <cellStyle name="Normal 2 2 2 2 2 2 2 12 2_REVISIONS SORRY" xfId="22371"/>
    <cellStyle name="Normal 2 2 2 2 2 2 2 12_REVISIONS SORRY" xfId="22372"/>
    <cellStyle name="Normal 2 2 2 2 2 2 2 13" xfId="22373"/>
    <cellStyle name="Normal 2 2 2 2 2 2 2 13 2" xfId="22374"/>
    <cellStyle name="Normal 2 2 2 2 2 2 2 13 3" xfId="22375"/>
    <cellStyle name="Normal 2 2 2 2 2 2 2 14" xfId="22376"/>
    <cellStyle name="Normal 2 2 2 2 2 2 2 14 2" xfId="22377"/>
    <cellStyle name="Normal 2 2 2 2 2 2 2 14 2 2" xfId="22378"/>
    <cellStyle name="Normal 2 2 2 2 2 2 2 14 2_XI Introductory Section (version 3)" xfId="22379"/>
    <cellStyle name="Normal 2 2 2 2 2 2 2 14 3" xfId="22380"/>
    <cellStyle name="Normal 2 2 2 2 2 2 2 15" xfId="22381"/>
    <cellStyle name="Normal 2 2 2 2 2 2 2 15 2" xfId="22382"/>
    <cellStyle name="Normal 2 2 2 2 2 2 2 16" xfId="22383"/>
    <cellStyle name="Normal 2 2 2 2 2 2 2 16 2" xfId="22384"/>
    <cellStyle name="Normal 2 2 2 2 2 2 2 17" xfId="22385"/>
    <cellStyle name="Normal 2 2 2 2 2 2 2 18" xfId="22386"/>
    <cellStyle name="Normal 2 2 2 2 2 2 2 19" xfId="22387"/>
    <cellStyle name="Normal 2 2 2 2 2 2 2 2" xfId="22388"/>
    <cellStyle name="Normal 2 2 2 2 2 2 2 2 10" xfId="22389"/>
    <cellStyle name="Normal 2 2 2 2 2 2 2 2 11" xfId="22390"/>
    <cellStyle name="Normal 2 2 2 2 2 2 2 2 12" xfId="22391"/>
    <cellStyle name="Normal 2 2 2 2 2 2 2 2 12 2" xfId="22392"/>
    <cellStyle name="Normal 2 2 2 2 2 2 2 2 12 2 2" xfId="22393"/>
    <cellStyle name="Normal 2 2 2 2 2 2 2 2 12 2_REVISIONS SORRY" xfId="22394"/>
    <cellStyle name="Normal 2 2 2 2 2 2 2 2 12_REVISIONS SORRY" xfId="22395"/>
    <cellStyle name="Normal 2 2 2 2 2 2 2 2 13" xfId="22396"/>
    <cellStyle name="Normal 2 2 2 2 2 2 2 2 13 2" xfId="22397"/>
    <cellStyle name="Normal 2 2 2 2 2 2 2 2 13 3" xfId="22398"/>
    <cellStyle name="Normal 2 2 2 2 2 2 2 2 13_XI Introductory Section (version 3)" xfId="22399"/>
    <cellStyle name="Normal 2 2 2 2 2 2 2 2 14" xfId="22400"/>
    <cellStyle name="Normal 2 2 2 2 2 2 2 2 14 2" xfId="22401"/>
    <cellStyle name="Normal 2 2 2 2 2 2 2 2 14 2 2" xfId="22402"/>
    <cellStyle name="Normal 2 2 2 2 2 2 2 2 14 3" xfId="22403"/>
    <cellStyle name="Normal 2 2 2 2 2 2 2 2 14_XI Introductory Section (version 3)" xfId="22404"/>
    <cellStyle name="Normal 2 2 2 2 2 2 2 2 15" xfId="22405"/>
    <cellStyle name="Normal 2 2 2 2 2 2 2 2 15 2" xfId="22406"/>
    <cellStyle name="Normal 2 2 2 2 2 2 2 2 15_XI Introductory Section (version 3)" xfId="22407"/>
    <cellStyle name="Normal 2 2 2 2 2 2 2 2 16" xfId="22408"/>
    <cellStyle name="Normal 2 2 2 2 2 2 2 2 16 2" xfId="22409"/>
    <cellStyle name="Normal 2 2 2 2 2 2 2 2 16_XI Introductory Section (version 3)" xfId="22410"/>
    <cellStyle name="Normal 2 2 2 2 2 2 2 2 17" xfId="22411"/>
    <cellStyle name="Normal 2 2 2 2 2 2 2 2 18" xfId="22412"/>
    <cellStyle name="Normal 2 2 2 2 2 2 2 2 19" xfId="22413"/>
    <cellStyle name="Normal 2 2 2 2 2 2 2 2 2" xfId="22414"/>
    <cellStyle name="Normal 2 2 2 2 2 2 2 2 2 10" xfId="22415"/>
    <cellStyle name="Normal 2 2 2 2 2 2 2 2 2 11" xfId="22416"/>
    <cellStyle name="Normal 2 2 2 2 2 2 2 2 2 11 2" xfId="22417"/>
    <cellStyle name="Normal 2 2 2 2 2 2 2 2 2 11 2 2" xfId="22418"/>
    <cellStyle name="Normal 2 2 2 2 2 2 2 2 2 11 2_REVISIONS SORRY" xfId="22419"/>
    <cellStyle name="Normal 2 2 2 2 2 2 2 2 2 11_REVISIONS SORRY" xfId="22420"/>
    <cellStyle name="Normal 2 2 2 2 2 2 2 2 2 12" xfId="22421"/>
    <cellStyle name="Normal 2 2 2 2 2 2 2 2 2 12 2" xfId="22422"/>
    <cellStyle name="Normal 2 2 2 2 2 2 2 2 2 12 3" xfId="22423"/>
    <cellStyle name="Normal 2 2 2 2 2 2 2 2 2 13" xfId="22424"/>
    <cellStyle name="Normal 2 2 2 2 2 2 2 2 2 13 2" xfId="22425"/>
    <cellStyle name="Normal 2 2 2 2 2 2 2 2 2 13 2 2" xfId="22426"/>
    <cellStyle name="Normal 2 2 2 2 2 2 2 2 2 13 2_XI Introductory Section (version 3)" xfId="22427"/>
    <cellStyle name="Normal 2 2 2 2 2 2 2 2 2 13 3" xfId="22428"/>
    <cellStyle name="Normal 2 2 2 2 2 2 2 2 2 14" xfId="22429"/>
    <cellStyle name="Normal 2 2 2 2 2 2 2 2 2 14 2" xfId="22430"/>
    <cellStyle name="Normal 2 2 2 2 2 2 2 2 2 15" xfId="22431"/>
    <cellStyle name="Normal 2 2 2 2 2 2 2 2 2 15 2" xfId="22432"/>
    <cellStyle name="Normal 2 2 2 2 2 2 2 2 2 16" xfId="22433"/>
    <cellStyle name="Normal 2 2 2 2 2 2 2 2 2 17" xfId="22434"/>
    <cellStyle name="Normal 2 2 2 2 2 2 2 2 2 18" xfId="22435"/>
    <cellStyle name="Normal 2 2 2 2 2 2 2 2 2 19" xfId="22436"/>
    <cellStyle name="Normal 2 2 2 2 2 2 2 2 2 19 2" xfId="22437"/>
    <cellStyle name="Normal 2 2 2 2 2 2 2 2 2 19 3" xfId="22438"/>
    <cellStyle name="Normal 2 2 2 2 2 2 2 2 2 19 4" xfId="22439"/>
    <cellStyle name="Normal 2 2 2 2 2 2 2 2 2 19 5" xfId="22440"/>
    <cellStyle name="Normal 2 2 2 2 2 2 2 2 2 19 6" xfId="22441"/>
    <cellStyle name="Normal 2 2 2 2 2 2 2 2 2 19 7" xfId="22442"/>
    <cellStyle name="Normal 2 2 2 2 2 2 2 2 2 19 8" xfId="22443"/>
    <cellStyle name="Normal 2 2 2 2 2 2 2 2 2 2" xfId="22444"/>
    <cellStyle name="Normal 2 2 2 2 2 2 2 2 2 2 10" xfId="22445"/>
    <cellStyle name="Normal 2 2 2 2 2 2 2 2 2 2 10 2" xfId="22446"/>
    <cellStyle name="Normal 2 2 2 2 2 2 2 2 2 2 10 2 2" xfId="22447"/>
    <cellStyle name="Normal 2 2 2 2 2 2 2 2 2 2 10 2_REVISIONS SORRY" xfId="22448"/>
    <cellStyle name="Normal 2 2 2 2 2 2 2 2 2 2 10_REVISIONS SORRY" xfId="22449"/>
    <cellStyle name="Normal 2 2 2 2 2 2 2 2 2 2 11" xfId="22450"/>
    <cellStyle name="Normal 2 2 2 2 2 2 2 2 2 2 11 2" xfId="22451"/>
    <cellStyle name="Normal 2 2 2 2 2 2 2 2 2 2 11 3" xfId="22452"/>
    <cellStyle name="Normal 2 2 2 2 2 2 2 2 2 2 11_XI Introductory Section (version 3)" xfId="22453"/>
    <cellStyle name="Normal 2 2 2 2 2 2 2 2 2 2 12" xfId="22454"/>
    <cellStyle name="Normal 2 2 2 2 2 2 2 2 2 2 12 2" xfId="22455"/>
    <cellStyle name="Normal 2 2 2 2 2 2 2 2 2 2 12 2 2" xfId="22456"/>
    <cellStyle name="Normal 2 2 2 2 2 2 2 2 2 2 12 3" xfId="22457"/>
    <cellStyle name="Normal 2 2 2 2 2 2 2 2 2 2 12_XI Introductory Section (version 3)" xfId="22458"/>
    <cellStyle name="Normal 2 2 2 2 2 2 2 2 2 2 13" xfId="22459"/>
    <cellStyle name="Normal 2 2 2 2 2 2 2 2 2 2 13 2" xfId="22460"/>
    <cellStyle name="Normal 2 2 2 2 2 2 2 2 2 2 13_XI Introductory Section (version 3)" xfId="22461"/>
    <cellStyle name="Normal 2 2 2 2 2 2 2 2 2 2 14" xfId="22462"/>
    <cellStyle name="Normal 2 2 2 2 2 2 2 2 2 2 14 2" xfId="22463"/>
    <cellStyle name="Normal 2 2 2 2 2 2 2 2 2 2 14_XI Introductory Section (version 3)" xfId="22464"/>
    <cellStyle name="Normal 2 2 2 2 2 2 2 2 2 2 15" xfId="22465"/>
    <cellStyle name="Normal 2 2 2 2 2 2 2 2 2 2 16" xfId="22466"/>
    <cellStyle name="Normal 2 2 2 2 2 2 2 2 2 2 17" xfId="22467"/>
    <cellStyle name="Normal 2 2 2 2 2 2 2 2 2 2 18" xfId="22468"/>
    <cellStyle name="Normal 2 2 2 2 2 2 2 2 2 2 18 2" xfId="22469"/>
    <cellStyle name="Normal 2 2 2 2 2 2 2 2 2 2 18 3" xfId="22470"/>
    <cellStyle name="Normal 2 2 2 2 2 2 2 2 2 2 18 4" xfId="22471"/>
    <cellStyle name="Normal 2 2 2 2 2 2 2 2 2 2 18 5" xfId="22472"/>
    <cellStyle name="Normal 2 2 2 2 2 2 2 2 2 2 18 6" xfId="22473"/>
    <cellStyle name="Normal 2 2 2 2 2 2 2 2 2 2 18 7" xfId="22474"/>
    <cellStyle name="Normal 2 2 2 2 2 2 2 2 2 2 18 8" xfId="22475"/>
    <cellStyle name="Normal 2 2 2 2 2 2 2 2 2 2 18_XI Introductory Section (version 3)" xfId="22476"/>
    <cellStyle name="Normal 2 2 2 2 2 2 2 2 2 2 19" xfId="22477"/>
    <cellStyle name="Normal 2 2 2 2 2 2 2 2 2 2 2" xfId="22478"/>
    <cellStyle name="Normal 2 2 2 2 2 2 2 2 2 2 2 10" xfId="22479"/>
    <cellStyle name="Normal 2 2 2 2 2 2 2 2 2 2 2 10 2" xfId="22480"/>
    <cellStyle name="Normal 2 2 2 2 2 2 2 2 2 2 2 10 2 2" xfId="22481"/>
    <cellStyle name="Normal 2 2 2 2 2 2 2 2 2 2 2 10 2_REVISIONS SORRY" xfId="22482"/>
    <cellStyle name="Normal 2 2 2 2 2 2 2 2 2 2 2 10_REVISIONS SORRY" xfId="22483"/>
    <cellStyle name="Normal 2 2 2 2 2 2 2 2 2 2 2 11" xfId="22484"/>
    <cellStyle name="Normal 2 2 2 2 2 2 2 2 2 2 2 11 2" xfId="22485"/>
    <cellStyle name="Normal 2 2 2 2 2 2 2 2 2 2 2 11 3" xfId="22486"/>
    <cellStyle name="Normal 2 2 2 2 2 2 2 2 2 2 2 12" xfId="22487"/>
    <cellStyle name="Normal 2 2 2 2 2 2 2 2 2 2 2 12 2" xfId="22488"/>
    <cellStyle name="Normal 2 2 2 2 2 2 2 2 2 2 2 12 2 2" xfId="22489"/>
    <cellStyle name="Normal 2 2 2 2 2 2 2 2 2 2 2 12 2_XI Introductory Section (version 3)" xfId="22490"/>
    <cellStyle name="Normal 2 2 2 2 2 2 2 2 2 2 2 12 3" xfId="22491"/>
    <cellStyle name="Normal 2 2 2 2 2 2 2 2 2 2 2 13" xfId="22492"/>
    <cellStyle name="Normal 2 2 2 2 2 2 2 2 2 2 2 13 2" xfId="22493"/>
    <cellStyle name="Normal 2 2 2 2 2 2 2 2 2 2 2 14" xfId="22494"/>
    <cellStyle name="Normal 2 2 2 2 2 2 2 2 2 2 2 14 2" xfId="22495"/>
    <cellStyle name="Normal 2 2 2 2 2 2 2 2 2 2 2 15" xfId="22496"/>
    <cellStyle name="Normal 2 2 2 2 2 2 2 2 2 2 2 16" xfId="22497"/>
    <cellStyle name="Normal 2 2 2 2 2 2 2 2 2 2 2 17" xfId="22498"/>
    <cellStyle name="Normal 2 2 2 2 2 2 2 2 2 2 2 18" xfId="22499"/>
    <cellStyle name="Normal 2 2 2 2 2 2 2 2 2 2 2 18 2" xfId="22500"/>
    <cellStyle name="Normal 2 2 2 2 2 2 2 2 2 2 2 18 3" xfId="22501"/>
    <cellStyle name="Normal 2 2 2 2 2 2 2 2 2 2 2 18 4" xfId="22502"/>
    <cellStyle name="Normal 2 2 2 2 2 2 2 2 2 2 2 18 5" xfId="22503"/>
    <cellStyle name="Normal 2 2 2 2 2 2 2 2 2 2 2 18 6" xfId="22504"/>
    <cellStyle name="Normal 2 2 2 2 2 2 2 2 2 2 2 18 7" xfId="22505"/>
    <cellStyle name="Normal 2 2 2 2 2 2 2 2 2 2 2 18 8" xfId="22506"/>
    <cellStyle name="Normal 2 2 2 2 2 2 2 2 2 2 2 19" xfId="22507"/>
    <cellStyle name="Normal 2 2 2 2 2 2 2 2 2 2 2 2" xfId="22508"/>
    <cellStyle name="Normal 2 2 2 2 2 2 2 2 2 2 2 2 10" xfId="22509"/>
    <cellStyle name="Normal 2 2 2 2 2 2 2 2 2 2 2 2 10 2" xfId="22510"/>
    <cellStyle name="Normal 2 2 2 2 2 2 2 2 2 2 2 2 10 2 2" xfId="22511"/>
    <cellStyle name="Normal 2 2 2 2 2 2 2 2 2 2 2 2 10 3" xfId="22512"/>
    <cellStyle name="Normal 2 2 2 2 2 2 2 2 2 2 2 2 10_XI Introductory Section (version 3)" xfId="22513"/>
    <cellStyle name="Normal 2 2 2 2 2 2 2 2 2 2 2 2 11" xfId="22514"/>
    <cellStyle name="Normal 2 2 2 2 2 2 2 2 2 2 2 2 11 2" xfId="22515"/>
    <cellStyle name="Normal 2 2 2 2 2 2 2 2 2 2 2 2 11_XI Introductory Section (version 3)" xfId="22516"/>
    <cellStyle name="Normal 2 2 2 2 2 2 2 2 2 2 2 2 12" xfId="22517"/>
    <cellStyle name="Normal 2 2 2 2 2 2 2 2 2 2 2 2 12 2" xfId="22518"/>
    <cellStyle name="Normal 2 2 2 2 2 2 2 2 2 2 2 2 12_XI Introductory Section (version 3)" xfId="22519"/>
    <cellStyle name="Normal 2 2 2 2 2 2 2 2 2 2 2 2 13" xfId="22520"/>
    <cellStyle name="Normal 2 2 2 2 2 2 2 2 2 2 2 2 14" xfId="22521"/>
    <cellStyle name="Normal 2 2 2 2 2 2 2 2 2 2 2 2 15" xfId="22522"/>
    <cellStyle name="Normal 2 2 2 2 2 2 2 2 2 2 2 2 16" xfId="22523"/>
    <cellStyle name="Normal 2 2 2 2 2 2 2 2 2 2 2 2 16 2" xfId="22524"/>
    <cellStyle name="Normal 2 2 2 2 2 2 2 2 2 2 2 2 16 3" xfId="22525"/>
    <cellStyle name="Normal 2 2 2 2 2 2 2 2 2 2 2 2 16 4" xfId="22526"/>
    <cellStyle name="Normal 2 2 2 2 2 2 2 2 2 2 2 2 16 5" xfId="22527"/>
    <cellStyle name="Normal 2 2 2 2 2 2 2 2 2 2 2 2 16 6" xfId="22528"/>
    <cellStyle name="Normal 2 2 2 2 2 2 2 2 2 2 2 2 16 7" xfId="22529"/>
    <cellStyle name="Normal 2 2 2 2 2 2 2 2 2 2 2 2 16 8" xfId="22530"/>
    <cellStyle name="Normal 2 2 2 2 2 2 2 2 2 2 2 2 16_XI Introductory Section (version 3)" xfId="22531"/>
    <cellStyle name="Normal 2 2 2 2 2 2 2 2 2 2 2 2 17" xfId="22532"/>
    <cellStyle name="Normal 2 2 2 2 2 2 2 2 2 2 2 2 18" xfId="22533"/>
    <cellStyle name="Normal 2 2 2 2 2 2 2 2 2 2 2 2 19" xfId="22534"/>
    <cellStyle name="Normal 2 2 2 2 2 2 2 2 2 2 2 2 2" xfId="22535"/>
    <cellStyle name="Normal 2 2 2 2 2 2 2 2 2 2 2 2 2 10" xfId="22536"/>
    <cellStyle name="Normal 2 2 2 2 2 2 2 2 2 2 2 2 2 10 2" xfId="22537"/>
    <cellStyle name="Normal 2 2 2 2 2 2 2 2 2 2 2 2 2 10 2 2" xfId="22538"/>
    <cellStyle name="Normal 2 2 2 2 2 2 2 2 2 2 2 2 2 10 2_XI Introductory Section (version 3)" xfId="22539"/>
    <cellStyle name="Normal 2 2 2 2 2 2 2 2 2 2 2 2 2 10 3" xfId="22540"/>
    <cellStyle name="Normal 2 2 2 2 2 2 2 2 2 2 2 2 2 11" xfId="22541"/>
    <cellStyle name="Normal 2 2 2 2 2 2 2 2 2 2 2 2 2 11 2" xfId="22542"/>
    <cellStyle name="Normal 2 2 2 2 2 2 2 2 2 2 2 2 2 12" xfId="22543"/>
    <cellStyle name="Normal 2 2 2 2 2 2 2 2 2 2 2 2 2 12 2" xfId="22544"/>
    <cellStyle name="Normal 2 2 2 2 2 2 2 2 2 2 2 2 2 13" xfId="22545"/>
    <cellStyle name="Normal 2 2 2 2 2 2 2 2 2 2 2 2 2 14" xfId="22546"/>
    <cellStyle name="Normal 2 2 2 2 2 2 2 2 2 2 2 2 2 15" xfId="22547"/>
    <cellStyle name="Normal 2 2 2 2 2 2 2 2 2 2 2 2 2 16" xfId="22548"/>
    <cellStyle name="Normal 2 2 2 2 2 2 2 2 2 2 2 2 2 16 2" xfId="22549"/>
    <cellStyle name="Normal 2 2 2 2 2 2 2 2 2 2 2 2 2 16 3" xfId="22550"/>
    <cellStyle name="Normal 2 2 2 2 2 2 2 2 2 2 2 2 2 16 4" xfId="22551"/>
    <cellStyle name="Normal 2 2 2 2 2 2 2 2 2 2 2 2 2 16 5" xfId="22552"/>
    <cellStyle name="Normal 2 2 2 2 2 2 2 2 2 2 2 2 2 16 6" xfId="22553"/>
    <cellStyle name="Normal 2 2 2 2 2 2 2 2 2 2 2 2 2 16 7" xfId="22554"/>
    <cellStyle name="Normal 2 2 2 2 2 2 2 2 2 2 2 2 2 16 8" xfId="22555"/>
    <cellStyle name="Normal 2 2 2 2 2 2 2 2 2 2 2 2 2 17" xfId="22556"/>
    <cellStyle name="Normal 2 2 2 2 2 2 2 2 2 2 2 2 2 18" xfId="22557"/>
    <cellStyle name="Normal 2 2 2 2 2 2 2 2 2 2 2 2 2 19" xfId="22558"/>
    <cellStyle name="Normal 2 2 2 2 2 2 2 2 2 2 2 2 2 2" xfId="22559"/>
    <cellStyle name="Normal 2 2 2 2 2 2 2 2 2 2 2 2 2 2 10" xfId="22560"/>
    <cellStyle name="Normal 2 2 2 2 2 2 2 2 2 2 2 2 2 2 10 2" xfId="22561"/>
    <cellStyle name="Normal 2 2 2 2 2 2 2 2 2 2 2 2 2 2 10_XI Introductory Section (version 3)" xfId="22562"/>
    <cellStyle name="Normal 2 2 2 2 2 2 2 2 2 2 2 2 2 2 11" xfId="22563"/>
    <cellStyle name="Normal 2 2 2 2 2 2 2 2 2 2 2 2 2 2 12" xfId="22564"/>
    <cellStyle name="Normal 2 2 2 2 2 2 2 2 2 2 2 2 2 2 13" xfId="22565"/>
    <cellStyle name="Normal 2 2 2 2 2 2 2 2 2 2 2 2 2 2 14" xfId="22566"/>
    <cellStyle name="Normal 2 2 2 2 2 2 2 2 2 2 2 2 2 2 14 2" xfId="22567"/>
    <cellStyle name="Normal 2 2 2 2 2 2 2 2 2 2 2 2 2 2 14 3" xfId="22568"/>
    <cellStyle name="Normal 2 2 2 2 2 2 2 2 2 2 2 2 2 2 14 4" xfId="22569"/>
    <cellStyle name="Normal 2 2 2 2 2 2 2 2 2 2 2 2 2 2 14 5" xfId="22570"/>
    <cellStyle name="Normal 2 2 2 2 2 2 2 2 2 2 2 2 2 2 14 6" xfId="22571"/>
    <cellStyle name="Normal 2 2 2 2 2 2 2 2 2 2 2 2 2 2 14 7" xfId="22572"/>
    <cellStyle name="Normal 2 2 2 2 2 2 2 2 2 2 2 2 2 2 14 8" xfId="22573"/>
    <cellStyle name="Normal 2 2 2 2 2 2 2 2 2 2 2 2 2 2 14_XI Introductory Section (version 3)" xfId="22574"/>
    <cellStyle name="Normal 2 2 2 2 2 2 2 2 2 2 2 2 2 2 15" xfId="22575"/>
    <cellStyle name="Normal 2 2 2 2 2 2 2 2 2 2 2 2 2 2 16" xfId="22576"/>
    <cellStyle name="Normal 2 2 2 2 2 2 2 2 2 2 2 2 2 2 17" xfId="22577"/>
    <cellStyle name="Normal 2 2 2 2 2 2 2 2 2 2 2 2 2 2 18" xfId="22578"/>
    <cellStyle name="Normal 2 2 2 2 2 2 2 2 2 2 2 2 2 2 19" xfId="22579"/>
    <cellStyle name="Normal 2 2 2 2 2 2 2 2 2 2 2 2 2 2 2" xfId="22580"/>
    <cellStyle name="Normal 2 2 2 2 2 2 2 2 2 2 2 2 2 2 2 10" xfId="22581"/>
    <cellStyle name="Normal 2 2 2 2 2 2 2 2 2 2 2 2 2 2 2 10 2" xfId="22582"/>
    <cellStyle name="Normal 2 2 2 2 2 2 2 2 2 2 2 2 2 2 2 11" xfId="22583"/>
    <cellStyle name="Normal 2 2 2 2 2 2 2 2 2 2 2 2 2 2 2 12" xfId="22584"/>
    <cellStyle name="Normal 2 2 2 2 2 2 2 2 2 2 2 2 2 2 2 13" xfId="22585"/>
    <cellStyle name="Normal 2 2 2 2 2 2 2 2 2 2 2 2 2 2 2 14" xfId="22586"/>
    <cellStyle name="Normal 2 2 2 2 2 2 2 2 2 2 2 2 2 2 2 14 2" xfId="22587"/>
    <cellStyle name="Normal 2 2 2 2 2 2 2 2 2 2 2 2 2 2 2 14 3" xfId="22588"/>
    <cellStyle name="Normal 2 2 2 2 2 2 2 2 2 2 2 2 2 2 2 14 4" xfId="22589"/>
    <cellStyle name="Normal 2 2 2 2 2 2 2 2 2 2 2 2 2 2 2 14 5" xfId="22590"/>
    <cellStyle name="Normal 2 2 2 2 2 2 2 2 2 2 2 2 2 2 2 14 6" xfId="22591"/>
    <cellStyle name="Normal 2 2 2 2 2 2 2 2 2 2 2 2 2 2 2 14 7" xfId="22592"/>
    <cellStyle name="Normal 2 2 2 2 2 2 2 2 2 2 2 2 2 2 2 14 8" xfId="22593"/>
    <cellStyle name="Normal 2 2 2 2 2 2 2 2 2 2 2 2 2 2 2 15" xfId="22594"/>
    <cellStyle name="Normal 2 2 2 2 2 2 2 2 2 2 2 2 2 2 2 16" xfId="22595"/>
    <cellStyle name="Normal 2 2 2 2 2 2 2 2 2 2 2 2 2 2 2 17" xfId="22596"/>
    <cellStyle name="Normal 2 2 2 2 2 2 2 2 2 2 2 2 2 2 2 18" xfId="22597"/>
    <cellStyle name="Normal 2 2 2 2 2 2 2 2 2 2 2 2 2 2 2 19" xfId="22598"/>
    <cellStyle name="Normal 2 2 2 2 2 2 2 2 2 2 2 2 2 2 2 2" xfId="22599"/>
    <cellStyle name="Normal 2 2 2 2 2 2 2 2 2 2 2 2 2 2 2 2 10" xfId="22600"/>
    <cellStyle name="Normal 2 2 2 2 2 2 2 2 2 2 2 2 2 2 2 2 11" xfId="22601"/>
    <cellStyle name="Normal 2 2 2 2 2 2 2 2 2 2 2 2 2 2 2 2 12" xfId="22602"/>
    <cellStyle name="Normal 2 2 2 2 2 2 2 2 2 2 2 2 2 2 2 2 12 2" xfId="22603"/>
    <cellStyle name="Normal 2 2 2 2 2 2 2 2 2 2 2 2 2 2 2 2 12 3" xfId="22604"/>
    <cellStyle name="Normal 2 2 2 2 2 2 2 2 2 2 2 2 2 2 2 2 12 4" xfId="22605"/>
    <cellStyle name="Normal 2 2 2 2 2 2 2 2 2 2 2 2 2 2 2 2 12 5" xfId="22606"/>
    <cellStyle name="Normal 2 2 2 2 2 2 2 2 2 2 2 2 2 2 2 2 12 6" xfId="22607"/>
    <cellStyle name="Normal 2 2 2 2 2 2 2 2 2 2 2 2 2 2 2 2 12 7" xfId="22608"/>
    <cellStyle name="Normal 2 2 2 2 2 2 2 2 2 2 2 2 2 2 2 2 12 8" xfId="22609"/>
    <cellStyle name="Normal 2 2 2 2 2 2 2 2 2 2 2 2 2 2 2 2 12_XI Introductory Section (version 3)" xfId="22610"/>
    <cellStyle name="Normal 2 2 2 2 2 2 2 2 2 2 2 2 2 2 2 2 13" xfId="22611"/>
    <cellStyle name="Normal 2 2 2 2 2 2 2 2 2 2 2 2 2 2 2 2 14" xfId="22612"/>
    <cellStyle name="Normal 2 2 2 2 2 2 2 2 2 2 2 2 2 2 2 2 15" xfId="22613"/>
    <cellStyle name="Normal 2 2 2 2 2 2 2 2 2 2 2 2 2 2 2 2 16" xfId="22614"/>
    <cellStyle name="Normal 2 2 2 2 2 2 2 2 2 2 2 2 2 2 2 2 17" xfId="22615"/>
    <cellStyle name="Normal 2 2 2 2 2 2 2 2 2 2 2 2 2 2 2 2 18" xfId="22616"/>
    <cellStyle name="Normal 2 2 2 2 2 2 2 2 2 2 2 2 2 2 2 2 19" xfId="22617"/>
    <cellStyle name="Normal 2 2 2 2 2 2 2 2 2 2 2 2 2 2 2 2 2" xfId="22618"/>
    <cellStyle name="Normal 2 2 2 2 2 2 2 2 2 2 2 2 2 2 2 2 2 10" xfId="22619"/>
    <cellStyle name="Normal 2 2 2 2 2 2 2 2 2 2 2 2 2 2 2 2 2 11" xfId="22620"/>
    <cellStyle name="Normal 2 2 2 2 2 2 2 2 2 2 2 2 2 2 2 2 2 12" xfId="22621"/>
    <cellStyle name="Normal 2 2 2 2 2 2 2 2 2 2 2 2 2 2 2 2 2 12 2" xfId="22622"/>
    <cellStyle name="Normal 2 2 2 2 2 2 2 2 2 2 2 2 2 2 2 2 2 12 3" xfId="22623"/>
    <cellStyle name="Normal 2 2 2 2 2 2 2 2 2 2 2 2 2 2 2 2 2 12 4" xfId="22624"/>
    <cellStyle name="Normal 2 2 2 2 2 2 2 2 2 2 2 2 2 2 2 2 2 12 5" xfId="22625"/>
    <cellStyle name="Normal 2 2 2 2 2 2 2 2 2 2 2 2 2 2 2 2 2 12 6" xfId="22626"/>
    <cellStyle name="Normal 2 2 2 2 2 2 2 2 2 2 2 2 2 2 2 2 2 12 7" xfId="22627"/>
    <cellStyle name="Normal 2 2 2 2 2 2 2 2 2 2 2 2 2 2 2 2 2 12 8" xfId="22628"/>
    <cellStyle name="Normal 2 2 2 2 2 2 2 2 2 2 2 2 2 2 2 2 2 13" xfId="22629"/>
    <cellStyle name="Normal 2 2 2 2 2 2 2 2 2 2 2 2 2 2 2 2 2 14" xfId="22630"/>
    <cellStyle name="Normal 2 2 2 2 2 2 2 2 2 2 2 2 2 2 2 2 2 15" xfId="22631"/>
    <cellStyle name="Normal 2 2 2 2 2 2 2 2 2 2 2 2 2 2 2 2 2 16" xfId="22632"/>
    <cellStyle name="Normal 2 2 2 2 2 2 2 2 2 2 2 2 2 2 2 2 2 17" xfId="22633"/>
    <cellStyle name="Normal 2 2 2 2 2 2 2 2 2 2 2 2 2 2 2 2 2 18" xfId="22634"/>
    <cellStyle name="Normal 2 2 2 2 2 2 2 2 2 2 2 2 2 2 2 2 2 19" xfId="22635"/>
    <cellStyle name="Normal 2 2 2 2 2 2 2 2 2 2 2 2 2 2 2 2 2 2" xfId="22636"/>
    <cellStyle name="Normal 2 2 2 2 2 2 2 2 2 2 2 2 2 2 2 2 2 2 10" xfId="22637"/>
    <cellStyle name="Normal 2 2 2 2 2 2 2 2 2 2 2 2 2 2 2 2 2 2 11" xfId="22638"/>
    <cellStyle name="Normal 2 2 2 2 2 2 2 2 2 2 2 2 2 2 2 2 2 2 11 2" xfId="22639"/>
    <cellStyle name="Normal 2 2 2 2 2 2 2 2 2 2 2 2 2 2 2 2 2 2 11 3" xfId="22640"/>
    <cellStyle name="Normal 2 2 2 2 2 2 2 2 2 2 2 2 2 2 2 2 2 2 11 4" xfId="22641"/>
    <cellStyle name="Normal 2 2 2 2 2 2 2 2 2 2 2 2 2 2 2 2 2 2 11 5" xfId="22642"/>
    <cellStyle name="Normal 2 2 2 2 2 2 2 2 2 2 2 2 2 2 2 2 2 2 11 6" xfId="22643"/>
    <cellStyle name="Normal 2 2 2 2 2 2 2 2 2 2 2 2 2 2 2 2 2 2 11 7" xfId="22644"/>
    <cellStyle name="Normal 2 2 2 2 2 2 2 2 2 2 2 2 2 2 2 2 2 2 11 8" xfId="22645"/>
    <cellStyle name="Normal 2 2 2 2 2 2 2 2 2 2 2 2 2 2 2 2 2 2 11_XI Introductory Section (version 3)" xfId="22646"/>
    <cellStyle name="Normal 2 2 2 2 2 2 2 2 2 2 2 2 2 2 2 2 2 2 12" xfId="22647"/>
    <cellStyle name="Normal 2 2 2 2 2 2 2 2 2 2 2 2 2 2 2 2 2 2 13" xfId="22648"/>
    <cellStyle name="Normal 2 2 2 2 2 2 2 2 2 2 2 2 2 2 2 2 2 2 14" xfId="22649"/>
    <cellStyle name="Normal 2 2 2 2 2 2 2 2 2 2 2 2 2 2 2 2 2 2 15" xfId="22650"/>
    <cellStyle name="Normal 2 2 2 2 2 2 2 2 2 2 2 2 2 2 2 2 2 2 16" xfId="22651"/>
    <cellStyle name="Normal 2 2 2 2 2 2 2 2 2 2 2 2 2 2 2 2 2 2 17" xfId="22652"/>
    <cellStyle name="Normal 2 2 2 2 2 2 2 2 2 2 2 2 2 2 2 2 2 2 18" xfId="22653"/>
    <cellStyle name="Normal 2 2 2 2 2 2 2 2 2 2 2 2 2 2 2 2 2 2 19" xfId="22654"/>
    <cellStyle name="Normal 2 2 2 2 2 2 2 2 2 2 2 2 2 2 2 2 2 2 19 2" xfId="22655"/>
    <cellStyle name="Normal 2 2 2 2 2 2 2 2 2 2 2 2 2 2 2 2 2 2 19_REVISIONS SORRY" xfId="22656"/>
    <cellStyle name="Normal 2 2 2 2 2 2 2 2 2 2 2 2 2 2 2 2 2 2 2" xfId="22657"/>
    <cellStyle name="Normal 2 2 2 2 2 2 2 2 2 2 2 2 2 2 2 2 2 2 2 10" xfId="22658"/>
    <cellStyle name="Normal 2 2 2 2 2 2 2 2 2 2 2 2 2 2 2 2 2 2 2 10 2" xfId="22659"/>
    <cellStyle name="Normal 2 2 2 2 2 2 2 2 2 2 2 2 2 2 2 2 2 2 2 10 3" xfId="22660"/>
    <cellStyle name="Normal 2 2 2 2 2 2 2 2 2 2 2 2 2 2 2 2 2 2 2 10 4" xfId="22661"/>
    <cellStyle name="Normal 2 2 2 2 2 2 2 2 2 2 2 2 2 2 2 2 2 2 2 10 5" xfId="22662"/>
    <cellStyle name="Normal 2 2 2 2 2 2 2 2 2 2 2 2 2 2 2 2 2 2 2 10 6" xfId="22663"/>
    <cellStyle name="Normal 2 2 2 2 2 2 2 2 2 2 2 2 2 2 2 2 2 2 2 10 7" xfId="22664"/>
    <cellStyle name="Normal 2 2 2 2 2 2 2 2 2 2 2 2 2 2 2 2 2 2 2 10 8" xfId="22665"/>
    <cellStyle name="Normal 2 2 2 2 2 2 2 2 2 2 2 2 2 2 2 2 2 2 2 11" xfId="22666"/>
    <cellStyle name="Normal 2 2 2 2 2 2 2 2 2 2 2 2 2 2 2 2 2 2 2 12" xfId="22667"/>
    <cellStyle name="Normal 2 2 2 2 2 2 2 2 2 2 2 2 2 2 2 2 2 2 2 13" xfId="22668"/>
    <cellStyle name="Normal 2 2 2 2 2 2 2 2 2 2 2 2 2 2 2 2 2 2 2 14" xfId="22669"/>
    <cellStyle name="Normal 2 2 2 2 2 2 2 2 2 2 2 2 2 2 2 2 2 2 2 15" xfId="22670"/>
    <cellStyle name="Normal 2 2 2 2 2 2 2 2 2 2 2 2 2 2 2 2 2 2 2 16" xfId="22671"/>
    <cellStyle name="Normal 2 2 2 2 2 2 2 2 2 2 2 2 2 2 2 2 2 2 2 17" xfId="22672"/>
    <cellStyle name="Normal 2 2 2 2 2 2 2 2 2 2 2 2 2 2 2 2 2 2 2 18" xfId="22673"/>
    <cellStyle name="Normal 2 2 2 2 2 2 2 2 2 2 2 2 2 2 2 2 2 2 2 18 2" xfId="22674"/>
    <cellStyle name="Normal 2 2 2 2 2 2 2 2 2 2 2 2 2 2 2 2 2 2 2 18_REVISIONS SORRY" xfId="22675"/>
    <cellStyle name="Normal 2 2 2 2 2 2 2 2 2 2 2 2 2 2 2 2 2 2 2 19" xfId="22676"/>
    <cellStyle name="Normal 2 2 2 2 2 2 2 2 2 2 2 2 2 2 2 2 2 2 2 2" xfId="22677"/>
    <cellStyle name="Normal 2 2 2 2 2 2 2 2 2 2 2 2 2 2 2 2 2 2 2 2 10" xfId="22678"/>
    <cellStyle name="Normal 2 2 2 2 2 2 2 2 2 2 2 2 2 2 2 2 2 2 2 2 10 2" xfId="22679"/>
    <cellStyle name="Normal 2 2 2 2 2 2 2 2 2 2 2 2 2 2 2 2 2 2 2 2 10 3" xfId="22680"/>
    <cellStyle name="Normal 2 2 2 2 2 2 2 2 2 2 2 2 2 2 2 2 2 2 2 2 10 4" xfId="22681"/>
    <cellStyle name="Normal 2 2 2 2 2 2 2 2 2 2 2 2 2 2 2 2 2 2 2 2 10 5" xfId="22682"/>
    <cellStyle name="Normal 2 2 2 2 2 2 2 2 2 2 2 2 2 2 2 2 2 2 2 2 10 6" xfId="22683"/>
    <cellStyle name="Normal 2 2 2 2 2 2 2 2 2 2 2 2 2 2 2 2 2 2 2 2 10 7" xfId="22684"/>
    <cellStyle name="Normal 2 2 2 2 2 2 2 2 2 2 2 2 2 2 2 2 2 2 2 2 10 8" xfId="22685"/>
    <cellStyle name="Normal 2 2 2 2 2 2 2 2 2 2 2 2 2 2 2 2 2 2 2 2 10_XI Introductory Section (version 3)" xfId="22686"/>
    <cellStyle name="Normal 2 2 2 2 2 2 2 2 2 2 2 2 2 2 2 2 2 2 2 2 11" xfId="22687"/>
    <cellStyle name="Normal 2 2 2 2 2 2 2 2 2 2 2 2 2 2 2 2 2 2 2 2 12" xfId="22688"/>
    <cellStyle name="Normal 2 2 2 2 2 2 2 2 2 2 2 2 2 2 2 2 2 2 2 2 13" xfId="22689"/>
    <cellStyle name="Normal 2 2 2 2 2 2 2 2 2 2 2 2 2 2 2 2 2 2 2 2 14" xfId="22690"/>
    <cellStyle name="Normal 2 2 2 2 2 2 2 2 2 2 2 2 2 2 2 2 2 2 2 2 15" xfId="22691"/>
    <cellStyle name="Normal 2 2 2 2 2 2 2 2 2 2 2 2 2 2 2 2 2 2 2 2 16" xfId="22692"/>
    <cellStyle name="Normal 2 2 2 2 2 2 2 2 2 2 2 2 2 2 2 2 2 2 2 2 17" xfId="22693"/>
    <cellStyle name="Normal 2 2 2 2 2 2 2 2 2 2 2 2 2 2 2 2 2 2 2 2 18" xfId="22694"/>
    <cellStyle name="Normal 2 2 2 2 2 2 2 2 2 2 2 2 2 2 2 2 2 2 2 2 18 2" xfId="22695"/>
    <cellStyle name="Normal 2 2 2 2 2 2 2 2 2 2 2 2 2 2 2 2 2 2 2 2 18_REVISIONS SORRY" xfId="22696"/>
    <cellStyle name="Normal 2 2 2 2 2 2 2 2 2 2 2 2 2 2 2 2 2 2 2 2 19" xfId="22697"/>
    <cellStyle name="Normal 2 2 2 2 2 2 2 2 2 2 2 2 2 2 2 2 2 2 2 2 2" xfId="22698"/>
    <cellStyle name="Normal 2 2 2 2 2 2 2 2 2 2 2 2 2 2 2 2 2 2 2 2 2 10" xfId="22699"/>
    <cellStyle name="Normal 2 2 2 2 2 2 2 2 2 2 2 2 2 2 2 2 2 2 2 2 2 11" xfId="22700"/>
    <cellStyle name="Normal 2 2 2 2 2 2 2 2 2 2 2 2 2 2 2 2 2 2 2 2 2 12" xfId="22701"/>
    <cellStyle name="Normal 2 2 2 2 2 2 2 2 2 2 2 2 2 2 2 2 2 2 2 2 2 13" xfId="22702"/>
    <cellStyle name="Normal 2 2 2 2 2 2 2 2 2 2 2 2 2 2 2 2 2 2 2 2 2 14" xfId="22703"/>
    <cellStyle name="Normal 2 2 2 2 2 2 2 2 2 2 2 2 2 2 2 2 2 2 2 2 2 15" xfId="22704"/>
    <cellStyle name="Normal 2 2 2 2 2 2 2 2 2 2 2 2 2 2 2 2 2 2 2 2 2 16" xfId="22705"/>
    <cellStyle name="Normal 2 2 2 2 2 2 2 2 2 2 2 2 2 2 2 2 2 2 2 2 2 17" xfId="22706"/>
    <cellStyle name="Normal 2 2 2 2 2 2 2 2 2 2 2 2 2 2 2 2 2 2 2 2 2 17 2" xfId="22707"/>
    <cellStyle name="Normal 2 2 2 2 2 2 2 2 2 2 2 2 2 2 2 2 2 2 2 2 2 17_REVISIONS SORRY" xfId="22708"/>
    <cellStyle name="Normal 2 2 2 2 2 2 2 2 2 2 2 2 2 2 2 2 2 2 2 2 2 18" xfId="22709"/>
    <cellStyle name="Normal 2 2 2 2 2 2 2 2 2 2 2 2 2 2 2 2 2 2 2 2 2 19" xfId="22710"/>
    <cellStyle name="Normal 2 2 2 2 2 2 2 2 2 2 2 2 2 2 2 2 2 2 2 2 2 2" xfId="22711"/>
    <cellStyle name="Normal 2 2 2 2 2 2 2 2 2 2 2 2 2 2 2 2 2 2 2 2 2 2 10" xfId="22712"/>
    <cellStyle name="Normal 2 2 2 2 2 2 2 2 2 2 2 2 2 2 2 2 2 2 2 2 2 2 11" xfId="22713"/>
    <cellStyle name="Normal 2 2 2 2 2 2 2 2 2 2 2 2 2 2 2 2 2 2 2 2 2 2 12" xfId="22714"/>
    <cellStyle name="Normal 2 2 2 2 2 2 2 2 2 2 2 2 2 2 2 2 2 2 2 2 2 2 13" xfId="22715"/>
    <cellStyle name="Normal 2 2 2 2 2 2 2 2 2 2 2 2 2 2 2 2 2 2 2 2 2 2 14" xfId="22716"/>
    <cellStyle name="Normal 2 2 2 2 2 2 2 2 2 2 2 2 2 2 2 2 2 2 2 2 2 2 15" xfId="22717"/>
    <cellStyle name="Normal 2 2 2 2 2 2 2 2 2 2 2 2 2 2 2 2 2 2 2 2 2 2 16" xfId="22718"/>
    <cellStyle name="Normal 2 2 2 2 2 2 2 2 2 2 2 2 2 2 2 2 2 2 2 2 2 2 16 2" xfId="22719"/>
    <cellStyle name="Normal 2 2 2 2 2 2 2 2 2 2 2 2 2 2 2 2 2 2 2 2 2 2 16_REVISIONS SORRY" xfId="22720"/>
    <cellStyle name="Normal 2 2 2 2 2 2 2 2 2 2 2 2 2 2 2 2 2 2 2 2 2 2 17" xfId="22721"/>
    <cellStyle name="Normal 2 2 2 2 2 2 2 2 2 2 2 2 2 2 2 2 2 2 2 2 2 2 18" xfId="22722"/>
    <cellStyle name="Normal 2 2 2 2 2 2 2 2 2 2 2 2 2 2 2 2 2 2 2 2 2 2 19" xfId="22723"/>
    <cellStyle name="Normal 2 2 2 2 2 2 2 2 2 2 2 2 2 2 2 2 2 2 2 2 2 2 19 2" xfId="22724"/>
    <cellStyle name="Normal 2 2 2 2 2 2 2 2 2 2 2 2 2 2 2 2 2 2 2 2 2 2 19 2 2" xfId="22725"/>
    <cellStyle name="Normal 2 2 2 2 2 2 2 2 2 2 2 2 2 2 2 2 2 2 2 2 2 2 19_XI Introductory Section (version 3)" xfId="22726"/>
    <cellStyle name="Normal 2 2 2 2 2 2 2 2 2 2 2 2 2 2 2 2 2 2 2 2 2 2 2" xfId="22727"/>
    <cellStyle name="Normal 2 2 2 2 2 2 2 2 2 2 2 2 2 2 2 2 2 2 2 2 2 2 2 10" xfId="22728"/>
    <cellStyle name="Normal 2 2 2 2 2 2 2 2 2 2 2 2 2 2 2 2 2 2 2 2 2 2 2 11" xfId="22729"/>
    <cellStyle name="Normal 2 2 2 2 2 2 2 2 2 2 2 2 2 2 2 2 2 2 2 2 2 2 2 12" xfId="22730"/>
    <cellStyle name="Normal 2 2 2 2 2 2 2 2 2 2 2 2 2 2 2 2 2 2 2 2 2 2 2 13" xfId="22731"/>
    <cellStyle name="Normal 2 2 2 2 2 2 2 2 2 2 2 2 2 2 2 2 2 2 2 2 2 2 2 14" xfId="22732"/>
    <cellStyle name="Normal 2 2 2 2 2 2 2 2 2 2 2 2 2 2 2 2 2 2 2 2 2 2 2 15" xfId="22733"/>
    <cellStyle name="Normal 2 2 2 2 2 2 2 2 2 2 2 2 2 2 2 2 2 2 2 2 2 2 2 16" xfId="22734"/>
    <cellStyle name="Normal 2 2 2 2 2 2 2 2 2 2 2 2 2 2 2 2 2 2 2 2 2 2 2 16 2" xfId="22735"/>
    <cellStyle name="Normal 2 2 2 2 2 2 2 2 2 2 2 2 2 2 2 2 2 2 2 2 2 2 2 16_REVISIONS SORRY" xfId="22736"/>
    <cellStyle name="Normal 2 2 2 2 2 2 2 2 2 2 2 2 2 2 2 2 2 2 2 2 2 2 2 17" xfId="22737"/>
    <cellStyle name="Normal 2 2 2 2 2 2 2 2 2 2 2 2 2 2 2 2 2 2 2 2 2 2 2 18" xfId="22738"/>
    <cellStyle name="Normal 2 2 2 2 2 2 2 2 2 2 2 2 2 2 2 2 2 2 2 2 2 2 2 19" xfId="22739"/>
    <cellStyle name="Normal 2 2 2 2 2 2 2 2 2 2 2 2 2 2 2 2 2 2 2 2 2 2 2 19 2" xfId="22740"/>
    <cellStyle name="Normal 2 2 2 2 2 2 2 2 2 2 2 2 2 2 2 2 2 2 2 2 2 2 2 19 2 2" xfId="22741"/>
    <cellStyle name="Normal 2 2 2 2 2 2 2 2 2 2 2 2 2 2 2 2 2 2 2 2 2 2 2 19 2_XI Introductory Section (version 3)" xfId="22742"/>
    <cellStyle name="Normal 2 2 2 2 2 2 2 2 2 2 2 2 2 2 2 2 2 2 2 2 2 2 2 2" xfId="22743"/>
    <cellStyle name="Normal 2 2 2 2 2 2 2 2 2 2 2 2 2 2 2 2 2 2 2 2 2 2 2 2 10" xfId="22744"/>
    <cellStyle name="Normal 2 2 2 2 2 2 2 2 2 2 2 2 2 2 2 2 2 2 2 2 2 2 2 2 11" xfId="22745"/>
    <cellStyle name="Normal 2 2 2 2 2 2 2 2 2 2 2 2 2 2 2 2 2 2 2 2 2 2 2 2 12" xfId="22746"/>
    <cellStyle name="Normal 2 2 2 2 2 2 2 2 2 2 2 2 2 2 2 2 2 2 2 2 2 2 2 2 13" xfId="22747"/>
    <cellStyle name="Normal 2 2 2 2 2 2 2 2 2 2 2 2 2 2 2 2 2 2 2 2 2 2 2 2 14" xfId="22748"/>
    <cellStyle name="Normal 2 2 2 2 2 2 2 2 2 2 2 2 2 2 2 2 2 2 2 2 2 2 2 2 15" xfId="22749"/>
    <cellStyle name="Normal 2 2 2 2 2 2 2 2 2 2 2 2 2 2 2 2 2 2 2 2 2 2 2 2 15 2" xfId="22750"/>
    <cellStyle name="Normal 2 2 2 2 2 2 2 2 2 2 2 2 2 2 2 2 2 2 2 2 2 2 2 2 15_REVISIONS SORRY" xfId="22751"/>
    <cellStyle name="Normal 2 2 2 2 2 2 2 2 2 2 2 2 2 2 2 2 2 2 2 2 2 2 2 2 16" xfId="22752"/>
    <cellStyle name="Normal 2 2 2 2 2 2 2 2 2 2 2 2 2 2 2 2 2 2 2 2 2 2 2 2 17" xfId="22753"/>
    <cellStyle name="Normal 2 2 2 2 2 2 2 2 2 2 2 2 2 2 2 2 2 2 2 2 2 2 2 2 18" xfId="22754"/>
    <cellStyle name="Normal 2 2 2 2 2 2 2 2 2 2 2 2 2 2 2 2 2 2 2 2 2 2 2 2 18 2" xfId="22755"/>
    <cellStyle name="Normal 2 2 2 2 2 2 2 2 2 2 2 2 2 2 2 2 2 2 2 2 2 2 2 2 18 2 2" xfId="22756"/>
    <cellStyle name="Normal 2 2 2 2 2 2 2 2 2 2 2 2 2 2 2 2 2 2 2 2 2 2 2 2 18_XI Introductory Section (version 3)" xfId="22757"/>
    <cellStyle name="Normal 2 2 2 2 2 2 2 2 2 2 2 2 2 2 2 2 2 2 2 2 2 2 2 2 19" xfId="22758"/>
    <cellStyle name="Normal 2 2 2 2 2 2 2 2 2 2 2 2 2 2 2 2 2 2 2 2 2 2 2 2 2" xfId="22759"/>
    <cellStyle name="Normal 2 2 2 2 2 2 2 2 2 2 2 2 2 2 2 2 2 2 2 2 2 2 2 2 2 10" xfId="22760"/>
    <cellStyle name="Normal 2 2 2 2 2 2 2 2 2 2 2 2 2 2 2 2 2 2 2 2 2 2 2 2 2 11" xfId="22761"/>
    <cellStyle name="Normal 2 2 2 2 2 2 2 2 2 2 2 2 2 2 2 2 2 2 2 2 2 2 2 2 2 12" xfId="22762"/>
    <cellStyle name="Normal 2 2 2 2 2 2 2 2 2 2 2 2 2 2 2 2 2 2 2 2 2 2 2 2 2 13" xfId="22763"/>
    <cellStyle name="Normal 2 2 2 2 2 2 2 2 2 2 2 2 2 2 2 2 2 2 2 2 2 2 2 2 2 14" xfId="22764"/>
    <cellStyle name="Normal 2 2 2 2 2 2 2 2 2 2 2 2 2 2 2 2 2 2 2 2 2 2 2 2 2 15" xfId="22765"/>
    <cellStyle name="Normal 2 2 2 2 2 2 2 2 2 2 2 2 2 2 2 2 2 2 2 2 2 2 2 2 2 15 2" xfId="22766"/>
    <cellStyle name="Normal 2 2 2 2 2 2 2 2 2 2 2 2 2 2 2 2 2 2 2 2 2 2 2 2 2 15_REVISIONS SORRY" xfId="22767"/>
    <cellStyle name="Normal 2 2 2 2 2 2 2 2 2 2 2 2 2 2 2 2 2 2 2 2 2 2 2 2 2 16" xfId="22768"/>
    <cellStyle name="Normal 2 2 2 2 2 2 2 2 2 2 2 2 2 2 2 2 2 2 2 2 2 2 2 2 2 17" xfId="22769"/>
    <cellStyle name="Normal 2 2 2 2 2 2 2 2 2 2 2 2 2 2 2 2 2 2 2 2 2 2 2 2 2 18" xfId="22770"/>
    <cellStyle name="Normal 2 2 2 2 2 2 2 2 2 2 2 2 2 2 2 2 2 2 2 2 2 2 2 2 2 18 2" xfId="22771"/>
    <cellStyle name="Normal 2 2 2 2 2 2 2 2 2 2 2 2 2 2 2 2 2 2 2 2 2 2 2 2 2 18 2 2" xfId="22772"/>
    <cellStyle name="Normal 2 2 2 2 2 2 2 2 2 2 2 2 2 2 2 2 2 2 2 2 2 2 2 2 2 18 2_XI Introductory Section (version 3)" xfId="22773"/>
    <cellStyle name="Normal 2 2 2 2 2 2 2 2 2 2 2 2 2 2 2 2 2 2 2 2 2 2 2 2 2 19" xfId="22774"/>
    <cellStyle name="Normal 2 2 2 2 2 2 2 2 2 2 2 2 2 2 2 2 2 2 2 2 2 2 2 2 2 2" xfId="22775"/>
    <cellStyle name="Normal 2 2 2 2 2 2 2 2 2 2 2 2 2 2 2 2 2 2 2 2 2 2 2 2 2 2 10" xfId="22776"/>
    <cellStyle name="Normal 2 2 2 2 2 2 2 2 2 2 2 2 2 2 2 2 2 2 2 2 2 2 2 2 2 2 11" xfId="22777"/>
    <cellStyle name="Normal 2 2 2 2 2 2 2 2 2 2 2 2 2 2 2 2 2 2 2 2 2 2 2 2 2 2 12" xfId="22778"/>
    <cellStyle name="Normal 2 2 2 2 2 2 2 2 2 2 2 2 2 2 2 2 2 2 2 2 2 2 2 2 2 2 13" xfId="22779"/>
    <cellStyle name="Normal 2 2 2 2 2 2 2 2 2 2 2 2 2 2 2 2 2 2 2 2 2 2 2 2 2 2 14" xfId="22780"/>
    <cellStyle name="Normal 2 2 2 2 2 2 2 2 2 2 2 2 2 2 2 2 2 2 2 2 2 2 2 2 2 2 14 2" xfId="22781"/>
    <cellStyle name="Normal 2 2 2 2 2 2 2 2 2 2 2 2 2 2 2 2 2 2 2 2 2 2 2 2 2 2 14_REVISIONS SORRY" xfId="22782"/>
    <cellStyle name="Normal 2 2 2 2 2 2 2 2 2 2 2 2 2 2 2 2 2 2 2 2 2 2 2 2 2 2 15" xfId="22783"/>
    <cellStyle name="Normal 2 2 2 2 2 2 2 2 2 2 2 2 2 2 2 2 2 2 2 2 2 2 2 2 2 2 16" xfId="22784"/>
    <cellStyle name="Normal 2 2 2 2 2 2 2 2 2 2 2 2 2 2 2 2 2 2 2 2 2 2 2 2 2 2 17" xfId="22785"/>
    <cellStyle name="Normal 2 2 2 2 2 2 2 2 2 2 2 2 2 2 2 2 2 2 2 2 2 2 2 2 2 2 17 2" xfId="22786"/>
    <cellStyle name="Normal 2 2 2 2 2 2 2 2 2 2 2 2 2 2 2 2 2 2 2 2 2 2 2 2 2 2 17 2 2" xfId="22787"/>
    <cellStyle name="Normal 2 2 2 2 2 2 2 2 2 2 2 2 2 2 2 2 2 2 2 2 2 2 2 2 2 2 17_XI Introductory Section (version 3)" xfId="22788"/>
    <cellStyle name="Normal 2 2 2 2 2 2 2 2 2 2 2 2 2 2 2 2 2 2 2 2 2 2 2 2 2 2 18" xfId="22789"/>
    <cellStyle name="Normal 2 2 2 2 2 2 2 2 2 2 2 2 2 2 2 2 2 2 2 2 2 2 2 2 2 2 19" xfId="22790"/>
    <cellStyle name="Normal 2 2 2 2 2 2 2 2 2 2 2 2 2 2 2 2 2 2 2 2 2 2 2 2 2 2 19 2" xfId="22791"/>
    <cellStyle name="Normal 2 2 2 2 2 2 2 2 2 2 2 2 2 2 2 2 2 2 2 2 2 2 2 2 2 2 19_XI Introductory Section (version 3)" xfId="22792"/>
    <cellStyle name="Normal 2 2 2 2 2 2 2 2 2 2 2 2 2 2 2 2 2 2 2 2 2 2 2 2 2 2 2" xfId="22793"/>
    <cellStyle name="Normal 2 2 2 2 2 2 2 2 2 2 2 2 2 2 2 2 2 2 2 2 2 2 2 2 2 2 2 10" xfId="22794"/>
    <cellStyle name="Normal 2 2 2 2 2 2 2 2 2 2 2 2 2 2 2 2 2 2 2 2 2 2 2 2 2 2 2 11" xfId="22795"/>
    <cellStyle name="Normal 2 2 2 2 2 2 2 2 2 2 2 2 2 2 2 2 2 2 2 2 2 2 2 2 2 2 2 12" xfId="22796"/>
    <cellStyle name="Normal 2 2 2 2 2 2 2 2 2 2 2 2 2 2 2 2 2 2 2 2 2 2 2 2 2 2 2 13" xfId="22797"/>
    <cellStyle name="Normal 2 2 2 2 2 2 2 2 2 2 2 2 2 2 2 2 2 2 2 2 2 2 2 2 2 2 2 14" xfId="22798"/>
    <cellStyle name="Normal 2 2 2 2 2 2 2 2 2 2 2 2 2 2 2 2 2 2 2 2 2 2 2 2 2 2 2 14 2" xfId="22799"/>
    <cellStyle name="Normal 2 2 2 2 2 2 2 2 2 2 2 2 2 2 2 2 2 2 2 2 2 2 2 2 2 2 2 14_REVISIONS SORRY" xfId="22800"/>
    <cellStyle name="Normal 2 2 2 2 2 2 2 2 2 2 2 2 2 2 2 2 2 2 2 2 2 2 2 2 2 2 2 15" xfId="22801"/>
    <cellStyle name="Normal 2 2 2 2 2 2 2 2 2 2 2 2 2 2 2 2 2 2 2 2 2 2 2 2 2 2 2 16" xfId="22802"/>
    <cellStyle name="Normal 2 2 2 2 2 2 2 2 2 2 2 2 2 2 2 2 2 2 2 2 2 2 2 2 2 2 2 17" xfId="22803"/>
    <cellStyle name="Normal 2 2 2 2 2 2 2 2 2 2 2 2 2 2 2 2 2 2 2 2 2 2 2 2 2 2 2 17 2" xfId="22804"/>
    <cellStyle name="Normal 2 2 2 2 2 2 2 2 2 2 2 2 2 2 2 2 2 2 2 2 2 2 2 2 2 2 2 17 2 2" xfId="22805"/>
    <cellStyle name="Normal 2 2 2 2 2 2 2 2 2 2 2 2 2 2 2 2 2 2 2 2 2 2 2 2 2 2 2 17 2_XI Introductory Section (version 3)" xfId="22806"/>
    <cellStyle name="Normal 2 2 2 2 2 2 2 2 2 2 2 2 2 2 2 2 2 2 2 2 2 2 2 2 2 2 2 18" xfId="22807"/>
    <cellStyle name="Normal 2 2 2 2 2 2 2 2 2 2 2 2 2 2 2 2 2 2 2 2 2 2 2 2 2 2 2 19" xfId="22808"/>
    <cellStyle name="Normal 2 2 2 2 2 2 2 2 2 2 2 2 2 2 2 2 2 2 2 2 2 2 2 2 2 2 2 19 2" xfId="22809"/>
    <cellStyle name="Normal 2 2 2 2 2 2 2 2 2 2 2 2 2 2 2 2 2 2 2 2 2 2 2 2 2 2 2 2" xfId="22810"/>
    <cellStyle name="Normal 2 2 2 2 2 2 2 2 2 2 2 2 2 2 2 2 2 2 2 2 2 2 2 2 2 2 2 2 10" xfId="22811"/>
    <cellStyle name="Normal 2 2 2 2 2 2 2 2 2 2 2 2 2 2 2 2 2 2 2 2 2 2 2 2 2 2 2 2 11" xfId="22812"/>
    <cellStyle name="Normal 2 2 2 2 2 2 2 2 2 2 2 2 2 2 2 2 2 2 2 2 2 2 2 2 2 2 2 2 11 2" xfId="22813"/>
    <cellStyle name="Normal 2 2 2 2 2 2 2 2 2 2 2 2 2 2 2 2 2 2 2 2 2 2 2 2 2 2 2 2 11_REVISIONS SORRY" xfId="22814"/>
    <cellStyle name="Normal 2 2 2 2 2 2 2 2 2 2 2 2 2 2 2 2 2 2 2 2 2 2 2 2 2 2 2 2 12" xfId="22815"/>
    <cellStyle name="Normal 2 2 2 2 2 2 2 2 2 2 2 2 2 2 2 2 2 2 2 2 2 2 2 2 2 2 2 2 13" xfId="22816"/>
    <cellStyle name="Normal 2 2 2 2 2 2 2 2 2 2 2 2 2 2 2 2 2 2 2 2 2 2 2 2 2 2 2 2 14" xfId="22817"/>
    <cellStyle name="Normal 2 2 2 2 2 2 2 2 2 2 2 2 2 2 2 2 2 2 2 2 2 2 2 2 2 2 2 2 14 2" xfId="22818"/>
    <cellStyle name="Normal 2 2 2 2 2 2 2 2 2 2 2 2 2 2 2 2 2 2 2 2 2 2 2 2 2 2 2 2 14 2 2" xfId="22819"/>
    <cellStyle name="Normal 2 2 2 2 2 2 2 2 2 2 2 2 2 2 2 2 2 2 2 2 2 2 2 2 2 2 2 2 14_XI Introductory Section (version 3)" xfId="22820"/>
    <cellStyle name="Normal 2 2 2 2 2 2 2 2 2 2 2 2 2 2 2 2 2 2 2 2 2 2 2 2 2 2 2 2 15" xfId="22821"/>
    <cellStyle name="Normal 2 2 2 2 2 2 2 2 2 2 2 2 2 2 2 2 2 2 2 2 2 2 2 2 2 2 2 2 16" xfId="22822"/>
    <cellStyle name="Normal 2 2 2 2 2 2 2 2 2 2 2 2 2 2 2 2 2 2 2 2 2 2 2 2 2 2 2 2 16 2" xfId="22823"/>
    <cellStyle name="Normal 2 2 2 2 2 2 2 2 2 2 2 2 2 2 2 2 2 2 2 2 2 2 2 2 2 2 2 2 16_XI Introductory Section (version 3)" xfId="22824"/>
    <cellStyle name="Normal 2 2 2 2 2 2 2 2 2 2 2 2 2 2 2 2 2 2 2 2 2 2 2 2 2 2 2 2 17" xfId="22825"/>
    <cellStyle name="Normal 2 2 2 2 2 2 2 2 2 2 2 2 2 2 2 2 2 2 2 2 2 2 2 2 2 2 2 2 18" xfId="22826"/>
    <cellStyle name="Normal 2 2 2 2 2 2 2 2 2 2 2 2 2 2 2 2 2 2 2 2 2 2 2 2 2 2 2 2 19" xfId="22827"/>
    <cellStyle name="Normal 2 2 2 2 2 2 2 2 2 2 2 2 2 2 2 2 2 2 2 2 2 2 2 2 2 2 2 2 19 2" xfId="22828"/>
    <cellStyle name="Normal 2 2 2 2 2 2 2 2 2 2 2 2 2 2 2 2 2 2 2 2 2 2 2 2 2 2 2 2 19_XI Introductory Section (version 3)" xfId="22829"/>
    <cellStyle name="Normal 2 2 2 2 2 2 2 2 2 2 2 2 2 2 2 2 2 2 2 2 2 2 2 2 2 2 2 2 2" xfId="22830"/>
    <cellStyle name="Normal 2 2 2 2 2 2 2 2 2 2 2 2 2 2 2 2 2 2 2 2 2 2 2 2 2 2 2 2 2 10" xfId="22831"/>
    <cellStyle name="Normal 2 2 2 2 2 2 2 2 2 2 2 2 2 2 2 2 2 2 2 2 2 2 2 2 2 2 2 2 2 10 2" xfId="22832"/>
    <cellStyle name="Normal 2 2 2 2 2 2 2 2 2 2 2 2 2 2 2 2 2 2 2 2 2 2 2 2 2 2 2 2 2 10_REVISIONS SORRY" xfId="22833"/>
    <cellStyle name="Normal 2 2 2 2 2 2 2 2 2 2 2 2 2 2 2 2 2 2 2 2 2 2 2 2 2 2 2 2 2 11" xfId="22834"/>
    <cellStyle name="Normal 2 2 2 2 2 2 2 2 2 2 2 2 2 2 2 2 2 2 2 2 2 2 2 2 2 2 2 2 2 12" xfId="22835"/>
    <cellStyle name="Normal 2 2 2 2 2 2 2 2 2 2 2 2 2 2 2 2 2 2 2 2 2 2 2 2 2 2 2 2 2 13" xfId="22836"/>
    <cellStyle name="Normal 2 2 2 2 2 2 2 2 2 2 2 2 2 2 2 2 2 2 2 2 2 2 2 2 2 2 2 2 2 13 2" xfId="22837"/>
    <cellStyle name="Normal 2 2 2 2 2 2 2 2 2 2 2 2 2 2 2 2 2 2 2 2 2 2 2 2 2 2 2 2 2 13 2 2" xfId="22838"/>
    <cellStyle name="Normal 2 2 2 2 2 2 2 2 2 2 2 2 2 2 2 2 2 2 2 2 2 2 2 2 2 2 2 2 2 13 2_XI Introductory Section (version 3)" xfId="22839"/>
    <cellStyle name="Normal 2 2 2 2 2 2 2 2 2 2 2 2 2 2 2 2 2 2 2 2 2 2 2 2 2 2 2 2 2 14" xfId="22840"/>
    <cellStyle name="Normal 2 2 2 2 2 2 2 2 2 2 2 2 2 2 2 2 2 2 2 2 2 2 2 2 2 2 2 2 2 15" xfId="22841"/>
    <cellStyle name="Normal 2 2 2 2 2 2 2 2 2 2 2 2 2 2 2 2 2 2 2 2 2 2 2 2 2 2 2 2 2 15 2" xfId="22842"/>
    <cellStyle name="Normal 2 2 2 2 2 2 2 2 2 2 2 2 2 2 2 2 2 2 2 2 2 2 2 2 2 2 2 2 2 16" xfId="22843"/>
    <cellStyle name="Normal 2 2 2 2 2 2 2 2 2 2 2 2 2 2 2 2 2 2 2 2 2 2 2 2 2 2 2 2 2 17" xfId="22844"/>
    <cellStyle name="Normal 2 2 2 2 2 2 2 2 2 2 2 2 2 2 2 2 2 2 2 2 2 2 2 2 2 2 2 2 2 18" xfId="22845"/>
    <cellStyle name="Normal 2 2 2 2 2 2 2 2 2 2 2 2 2 2 2 2 2 2 2 2 2 2 2 2 2 2 2 2 2 18 2" xfId="22846"/>
    <cellStyle name="Normal 2 2 2 2 2 2 2 2 2 2 2 2 2 2 2 2 2 2 2 2 2 2 2 2 2 2 2 2 2 19" xfId="22847"/>
    <cellStyle name="Normal 2 2 2 2 2 2 2 2 2 2 2 2 2 2 2 2 2 2 2 2 2 2 2 2 2 2 2 2 2 2" xfId="22848"/>
    <cellStyle name="Normal 2 2 2 2 2 2 2 2 2 2 2 2 2 2 2 2 2 2 2 2 2 2 2 2 2 2 2 2 2 2 10" xfId="22849"/>
    <cellStyle name="Normal 2 2 2 2 2 2 2 2 2 2 2 2 2 2 2 2 2 2 2 2 2 2 2 2 2 2 2 2 2 2 11" xfId="22850"/>
    <cellStyle name="Normal 2 2 2 2 2 2 2 2 2 2 2 2 2 2 2 2 2 2 2 2 2 2 2 2 2 2 2 2 2 2 11 2" xfId="22851"/>
    <cellStyle name="Normal 2 2 2 2 2 2 2 2 2 2 2 2 2 2 2 2 2 2 2 2 2 2 2 2 2 2 2 2 2 2 11_XI Introductory Section (version 3)" xfId="22852"/>
    <cellStyle name="Normal 2 2 2 2 2 2 2 2 2 2 2 2 2 2 2 2 2 2 2 2 2 2 2 2 2 2 2 2 2 2 12" xfId="22853"/>
    <cellStyle name="Normal 2 2 2 2 2 2 2 2 2 2 2 2 2 2 2 2 2 2 2 2 2 2 2 2 2 2 2 2 2 2 13" xfId="22854"/>
    <cellStyle name="Normal 2 2 2 2 2 2 2 2 2 2 2 2 2 2 2 2 2 2 2 2 2 2 2 2 2 2 2 2 2 2 14" xfId="22855"/>
    <cellStyle name="Normal 2 2 2 2 2 2 2 2 2 2 2 2 2 2 2 2 2 2 2 2 2 2 2 2 2 2 2 2 2 2 14 2" xfId="22856"/>
    <cellStyle name="Normal 2 2 2 2 2 2 2 2 2 2 2 2 2 2 2 2 2 2 2 2 2 2 2 2 2 2 2 2 2 2 14 3" xfId="22857"/>
    <cellStyle name="Normal 2 2 2 2 2 2 2 2 2 2 2 2 2 2 2 2 2 2 2 2 2 2 2 2 2 2 2 2 2 2 14 4" xfId="22858"/>
    <cellStyle name="Normal 2 2 2 2 2 2 2 2 2 2 2 2 2 2 2 2 2 2 2 2 2 2 2 2 2 2 2 2 2 2 14_XI Introductory Section (version 3)" xfId="22859"/>
    <cellStyle name="Normal 2 2 2 2 2 2 2 2 2 2 2 2 2 2 2 2 2 2 2 2 2 2 2 2 2 2 2 2 2 2 15" xfId="22860"/>
    <cellStyle name="Normal 2 2 2 2 2 2 2 2 2 2 2 2 2 2 2 2 2 2 2 2 2 2 2 2 2 2 2 2 2 2 16" xfId="22861"/>
    <cellStyle name="Normal 2 2 2 2 2 2 2 2 2 2 2 2 2 2 2 2 2 2 2 2 2 2 2 2 2 2 2 2 2 2 2" xfId="22862"/>
    <cellStyle name="Normal 2 2 2 2 2 2 2 2 2 2 2 2 2 2 2 2 2 2 2 2 2 2 2 2 2 2 2 2 2 2 2 10" xfId="22863"/>
    <cellStyle name="Normal 2 2 2 2 2 2 2 2 2 2 2 2 2 2 2 2 2 2 2 2 2 2 2 2 2 2 2 2 2 2 2 11" xfId="22864"/>
    <cellStyle name="Normal 2 2 2 2 2 2 2 2 2 2 2 2 2 2 2 2 2 2 2 2 2 2 2 2 2 2 2 2 2 2 2 11 2" xfId="22865"/>
    <cellStyle name="Normal 2 2 2 2 2 2 2 2 2 2 2 2 2 2 2 2 2 2 2 2 2 2 2 2 2 2 2 2 2 2 2 12" xfId="22866"/>
    <cellStyle name="Normal 2 2 2 2 2 2 2 2 2 2 2 2 2 2 2 2 2 2 2 2 2 2 2 2 2 2 2 2 2 2 2 13" xfId="22867"/>
    <cellStyle name="Normal 2 2 2 2 2 2 2 2 2 2 2 2 2 2 2 2 2 2 2 2 2 2 2 2 2 2 2 2 2 2 2 14" xfId="22868"/>
    <cellStyle name="Normal 2 2 2 2 2 2 2 2 2 2 2 2 2 2 2 2 2 2 2 2 2 2 2 2 2 2 2 2 2 2 2 14 2" xfId="22869"/>
    <cellStyle name="Normal 2 2 2 2 2 2 2 2 2 2 2 2 2 2 2 2 2 2 2 2 2 2 2 2 2 2 2 2 2 2 2 14 3" xfId="22870"/>
    <cellStyle name="Normal 2 2 2 2 2 2 2 2 2 2 2 2 2 2 2 2 2 2 2 2 2 2 2 2 2 2 2 2 2 2 2 14 4" xfId="22871"/>
    <cellStyle name="Normal 2 2 2 2 2 2 2 2 2 2 2 2 2 2 2 2 2 2 2 2 2 2 2 2 2 2 2 2 2 2 2 15" xfId="22872"/>
    <cellStyle name="Normal 2 2 2 2 2 2 2 2 2 2 2 2 2 2 2 2 2 2 2 2 2 2 2 2 2 2 2 2 2 2 2 16" xfId="22873"/>
    <cellStyle name="Normal 2 2 2 2 2 2 2 2 2 2 2 2 2 2 2 2 2 2 2 2 2 2 2 2 2 2 2 2 2 2 2 2" xfId="22874"/>
    <cellStyle name="Normal 2 2 2 2 2 2 2 2 2 2 2 2 2 2 2 2 2 2 2 2 2 2 2 2 2 2 2 2 2 2 2 2 10" xfId="22875"/>
    <cellStyle name="Normal 2 2 2 2 2 2 2 2 2 2 2 2 2 2 2 2 2 2 2 2 2 2 2 2 2 2 2 2 2 2 2 2 11" xfId="22876"/>
    <cellStyle name="Normal 2 2 2 2 2 2 2 2 2 2 2 2 2 2 2 2 2 2 2 2 2 2 2 2 2 2 2 2 2 2 2 2 11 2" xfId="22877"/>
    <cellStyle name="Normal 2 2 2 2 2 2 2 2 2 2 2 2 2 2 2 2 2 2 2 2 2 2 2 2 2 2 2 2 2 2 2 2 11_XI Introductory Section (version 3)" xfId="22878"/>
    <cellStyle name="Normal 2 2 2 2 2 2 2 2 2 2 2 2 2 2 2 2 2 2 2 2 2 2 2 2 2 2 2 2 2 2 2 2 12" xfId="22879"/>
    <cellStyle name="Normal 2 2 2 2 2 2 2 2 2 2 2 2 2 2 2 2 2 2 2 2 2 2 2 2 2 2 2 2 2 2 2 2 13" xfId="22880"/>
    <cellStyle name="Normal 2 2 2 2 2 2 2 2 2 2 2 2 2 2 2 2 2 2 2 2 2 2 2 2 2 2 2 2 2 2 2 2 14" xfId="22881"/>
    <cellStyle name="Normal 2 2 2 2 2 2 2 2 2 2 2 2 2 2 2 2 2 2 2 2 2 2 2 2 2 2 2 2 2 2 2 2 14 2" xfId="22882"/>
    <cellStyle name="Normal 2 2 2 2 2 2 2 2 2 2 2 2 2 2 2 2 2 2 2 2 2 2 2 2 2 2 2 2 2 2 2 2 14 3" xfId="22883"/>
    <cellStyle name="Normal 2 2 2 2 2 2 2 2 2 2 2 2 2 2 2 2 2 2 2 2 2 2 2 2 2 2 2 2 2 2 2 2 14 4" xfId="22884"/>
    <cellStyle name="Normal 2 2 2 2 2 2 2 2 2 2 2 2 2 2 2 2 2 2 2 2 2 2 2 2 2 2 2 2 2 2 2 2 14_XI Introductory Section (version 3)" xfId="22885"/>
    <cellStyle name="Normal 2 2 2 2 2 2 2 2 2 2 2 2 2 2 2 2 2 2 2 2 2 2 2 2 2 2 2 2 2 2 2 2 15" xfId="22886"/>
    <cellStyle name="Normal 2 2 2 2 2 2 2 2 2 2 2 2 2 2 2 2 2 2 2 2 2 2 2 2 2 2 2 2 2 2 2 2 16" xfId="22887"/>
    <cellStyle name="Normal 2 2 2 2 2 2 2 2 2 2 2 2 2 2 2 2 2 2 2 2 2 2 2 2 2 2 2 2 2 2 2 2 2" xfId="22888"/>
    <cellStyle name="Normal 2 2 2 2 2 2 2 2 2 2 2 2 2 2 2 2 2 2 2 2 2 2 2 2 2 2 2 2 2 2 2 2 2 10" xfId="22889"/>
    <cellStyle name="Normal 2 2 2 2 2 2 2 2 2 2 2 2 2 2 2 2 2 2 2 2 2 2 2 2 2 2 2 2 2 2 2 2 2 11" xfId="22890"/>
    <cellStyle name="Normal 2 2 2 2 2 2 2 2 2 2 2 2 2 2 2 2 2 2 2 2 2 2 2 2 2 2 2 2 2 2 2 2 2 11 2" xfId="22891"/>
    <cellStyle name="Normal 2 2 2 2 2 2 2 2 2 2 2 2 2 2 2 2 2 2 2 2 2 2 2 2 2 2 2 2 2 2 2 2 2 11 3" xfId="22892"/>
    <cellStyle name="Normal 2 2 2 2 2 2 2 2 2 2 2 2 2 2 2 2 2 2 2 2 2 2 2 2 2 2 2 2 2 2 2 2 2 11 4" xfId="22893"/>
    <cellStyle name="Normal 2 2 2 2 2 2 2 2 2 2 2 2 2 2 2 2 2 2 2 2 2 2 2 2 2 2 2 2 2 2 2 2 2 12" xfId="22894"/>
    <cellStyle name="Normal 2 2 2 2 2 2 2 2 2 2 2 2 2 2 2 2 2 2 2 2 2 2 2 2 2 2 2 2 2 2 2 2 2 13" xfId="22895"/>
    <cellStyle name="Normal 2 2 2 2 2 2 2 2 2 2 2 2 2 2 2 2 2 2 2 2 2 2 2 2 2 2 2 2 2 2 2 2 2 2" xfId="22896"/>
    <cellStyle name="Normal 2 2 2 2 2 2 2 2 2 2 2 2 2 2 2 2 2 2 2 2 2 2 2 2 2 2 2 2 2 2 2 2 2 2 10" xfId="22897"/>
    <cellStyle name="Normal 2 2 2 2 2 2 2 2 2 2 2 2 2 2 2 2 2 2 2 2 2 2 2 2 2 2 2 2 2 2 2 2 2 2 10 2" xfId="22898"/>
    <cellStyle name="Normal 2 2 2 2 2 2 2 2 2 2 2 2 2 2 2 2 2 2 2 2 2 2 2 2 2 2 2 2 2 2 2 2 2 2 10 3" xfId="22899"/>
    <cellStyle name="Normal 2 2 2 2 2 2 2 2 2 2 2 2 2 2 2 2 2 2 2 2 2 2 2 2 2 2 2 2 2 2 2 2 2 2 10 4" xfId="22900"/>
    <cellStyle name="Normal 2 2 2 2 2 2 2 2 2 2 2 2 2 2 2 2 2 2 2 2 2 2 2 2 2 2 2 2 2 2 2 2 2 2 10_XI Introductory Section (version 3)" xfId="22901"/>
    <cellStyle name="Normal 2 2 2 2 2 2 2 2 2 2 2 2 2 2 2 2 2 2 2 2 2 2 2 2 2 2 2 2 2 2 2 2 2 2 11" xfId="22902"/>
    <cellStyle name="Normal 2 2 2 2 2 2 2 2 2 2 2 2 2 2 2 2 2 2 2 2 2 2 2 2 2 2 2 2 2 2 2 2 2 2 12" xfId="22903"/>
    <cellStyle name="Normal 2 2 2 2 2 2 2 2 2 2 2 2 2 2 2 2 2 2 2 2 2 2 2 2 2 2 2 2 2 2 2 2 2 2 2" xfId="22904"/>
    <cellStyle name="Normal 2 2 2 2 2 2 2 2 2 2 2 2 2 2 2 2 2 2 2 2 2 2 2 2 2 2 2 2 2 2 2 2 2 2 2 10" xfId="22905"/>
    <cellStyle name="Normal 2 2 2 2 2 2 2 2 2 2 2 2 2 2 2 2 2 2 2 2 2 2 2 2 2 2 2 2 2 2 2 2 2 2 2 10 2" xfId="22906"/>
    <cellStyle name="Normal 2 2 2 2 2 2 2 2 2 2 2 2 2 2 2 2 2 2 2 2 2 2 2 2 2 2 2 2 2 2 2 2 2 2 2 10 3" xfId="22907"/>
    <cellStyle name="Normal 2 2 2 2 2 2 2 2 2 2 2 2 2 2 2 2 2 2 2 2 2 2 2 2 2 2 2 2 2 2 2 2 2 2 2 10 4" xfId="22908"/>
    <cellStyle name="Normal 2 2 2 2 2 2 2 2 2 2 2 2 2 2 2 2 2 2 2 2 2 2 2 2 2 2 2 2 2 2 2 2 2 2 2 11" xfId="22909"/>
    <cellStyle name="Normal 2 2 2 2 2 2 2 2 2 2 2 2 2 2 2 2 2 2 2 2 2 2 2 2 2 2 2 2 2 2 2 2 2 2 2 12" xfId="22910"/>
    <cellStyle name="Normal 2 2 2 2 2 2 2 2 2 2 2 2 2 2 2 2 2 2 2 2 2 2 2 2 2 2 2 2 2 2 2 2 2 2 2 2" xfId="22911"/>
    <cellStyle name="Normal 2 2 2 2 2 2 2 2 2 2 2 2 2 2 2 2 2 2 2 2 2 2 2 2 2 2 2 2 2 2 2 2 2 2 2 2 10" xfId="22912"/>
    <cellStyle name="Normal 2 2 2 2 2 2 2 2 2 2 2 2 2 2 2 2 2 2 2 2 2 2 2 2 2 2 2 2 2 2 2 2 2 2 2 2 11" xfId="22913"/>
    <cellStyle name="Normal 2 2 2 2 2 2 2 2 2 2 2 2 2 2 2 2 2 2 2 2 2 2 2 2 2 2 2 2 2 2 2 2 2 2 2 2 2" xfId="22914"/>
    <cellStyle name="Normal 2 2 2 2 2 2 2 2 2 2 2 2 2 2 2 2 2 2 2 2 2 2 2 2 2 2 2 2 2 2 2 2 2 2 2 2 2 10" xfId="22915"/>
    <cellStyle name="Normal 2 2 2 2 2 2 2 2 2 2 2 2 2 2 2 2 2 2 2 2 2 2 2 2 2 2 2 2 2 2 2 2 2 2 2 2 2 11" xfId="22916"/>
    <cellStyle name="Normal 2 2 2 2 2 2 2 2 2 2 2 2 2 2 2 2 2 2 2 2 2 2 2 2 2 2 2 2 2 2 2 2 2 2 2 2 2 2" xfId="22917"/>
    <cellStyle name="Normal 2 2 2 2 2 2 2 2 2 2 2 2 2 2 2 2 2 2 2 2 2 2 2 2 2 2 2 2 2 2 2 2 2 2 2 2 2 2 10" xfId="22918"/>
    <cellStyle name="Normal 2 2 2 2 2 2 2 2 2 2 2 2 2 2 2 2 2 2 2 2 2 2 2 2 2 2 2 2 2 2 2 2 2 2 2 2 2 2 11" xfId="22919"/>
    <cellStyle name="Normal 2 2 2 2 2 2 2 2 2 2 2 2 2 2 2 2 2 2 2 2 2 2 2 2 2 2 2 2 2 2 2 2 2 2 2 2 2 2 2" xfId="22920"/>
    <cellStyle name="Normal 2 2 2 2 2 2 2 2 2 2 2 2 2 2 2 2 2 2 2 2 2 2 2 2 2 2 2 2 2 2 2 2 2 2 2 2 2 2 2 2" xfId="22921"/>
    <cellStyle name="Normal 2 2 2 2 2 2 2 2 2 2 2 2 2 2 2 2 2 2 2 2 2 2 2 2 2 2 2 2 2 2 2 2 2 2 2 2 2 2 2 2 2" xfId="22922"/>
    <cellStyle name="Normal 2 2 2 2 2 2 2 2 2 2 2 2 2 2 2 2 2 2 2 2 2 2 2 2 2 2 2 2 2 2 2 2 2 2 2 2 2 2 2 2 2 2" xfId="22923"/>
    <cellStyle name="Normal 2 2 2 2 2 2 2 2 2 2 2 2 2 2 2 2 2 2 2 2 2 2 2 2 2 2 2 2 2 2 2 2 2 2 2 2 2 2 2 2 2 2 2" xfId="22924"/>
    <cellStyle name="Normal 2 2 2 2 2 2 2 2 2 2 2 2 2 2 2 2 2 2 2 2 2 2 2 2 2 2 2 2 2 2 2 2 2 2 2 2 2 2 2 2 2 2 2 2" xfId="22925"/>
    <cellStyle name="Normal 2 2 2 2 2 2 2 2 2 2 2 2 2 2 2 2 2 2 2 2 2 2 2 2 2 2 2 2 2 2 2 2 2 2 2 2 2 2 2 2 2 2 2 2 2" xfId="22926"/>
    <cellStyle name="Normal 2 2 2 2 2 2 2 2 2 2 2 2 2 2 2 2 2 2 2 2 2 2 2 2 2 2 2 2 2 2 2 2 2 2 2 2 2 2 2 2 2 2 2 2 2 2" xfId="22927"/>
    <cellStyle name="Normal 2 2 2 2 2 2 2 2 2 2 2 2 2 2 2 2 2 2 2 2 2 2 2 2 2 2 2 2 2 2 2 2 2 2 2 2 2 2 2 2 2 2 2 2 2 2 2" xfId="22928"/>
    <cellStyle name="Normal 2 2 2 2 2 2 2 2 2 2 2 2 2 2 2 2 2 2 2 2 2 2 2 2 2 2 2 2 2 2 2 2 2 2 2 2 2 2 2 2 2 2 2 2 2 2 2 2" xfId="22929"/>
    <cellStyle name="Normal 2 2 2 2 2 2 2 2 2 2 2 2 2 2 2 2 2 2 2 2 2 2 2 2 2 2 2 2 2 2 2 2 2 2 2 2 2 2 2 2 2 2 2 2 2 2_XI Introductory Section (version 3)" xfId="22930"/>
    <cellStyle name="Normal 2 2 2 2 2 2 2 2 2 2 2 2 2 2 2 2 2 2 2 2 2 2 2 2 2 2 2 2 2 2 2 2 2 2 2 2 2 2 2 2 2 2 2 2_XI Introductory Section (version 3)" xfId="22931"/>
    <cellStyle name="Normal 2 2 2 2 2 2 2 2 2 2 2 2 2 2 2 2 2 2 2 2 2 2 2 2 2 2 2 2 2 2 2 2 2 2 2 2 2 2 2 2 2 2 2 3" xfId="22932"/>
    <cellStyle name="Normal 2 2 2 2 2 2 2 2 2 2 2 2 2 2 2 2 2 2 2 2 2 2 2 2 2 2 2 2 2 2 2 2 2 2 2 2 2 2 2 2 2 2 3" xfId="22933"/>
    <cellStyle name="Normal 2 2 2 2 2 2 2 2 2 2 2 2 2 2 2 2 2 2 2 2 2 2 2 2 2 2 2 2 2 2 2 2 2 2 2 2 2 2 2 2 2 2 4" xfId="22934"/>
    <cellStyle name="Normal 2 2 2 2 2 2 2 2 2 2 2 2 2 2 2 2 2 2 2 2 2 2 2 2 2 2 2 2 2 2 2 2 2 2 2 2 2 2 2 2 2 2 5" xfId="22935"/>
    <cellStyle name="Normal 2 2 2 2 2 2 2 2 2 2 2 2 2 2 2 2 2 2 2 2 2 2 2 2 2 2 2 2 2 2 2 2 2 2 2 2 2 2 2 2 2 2_XI Introductory Section (version 3)" xfId="22936"/>
    <cellStyle name="Normal 2 2 2 2 2 2 2 2 2 2 2 2 2 2 2 2 2 2 2 2 2 2 2 2 2 2 2 2 2 2 2 2 2 2 2 2 2 2 2 2 2 3" xfId="22937"/>
    <cellStyle name="Normal 2 2 2 2 2 2 2 2 2 2 2 2 2 2 2 2 2 2 2 2 2 2 2 2 2 2 2 2 2 2 2 2 2 2 2 2 2 2 2 2 2 3 2" xfId="22938"/>
    <cellStyle name="Normal 2 2 2 2 2 2 2 2 2 2 2 2 2 2 2 2 2 2 2 2 2 2 2 2 2 2 2 2 2 2 2 2 2 2 2 2 2 2 2 2 2 3 3" xfId="22939"/>
    <cellStyle name="Normal 2 2 2 2 2 2 2 2 2 2 2 2 2 2 2 2 2 2 2 2 2 2 2 2 2 2 2 2 2 2 2 2 2 2 2 2 2 2 2 2 2 3 4" xfId="22940"/>
    <cellStyle name="Normal 2 2 2 2 2 2 2 2 2 2 2 2 2 2 2 2 2 2 2 2 2 2 2 2 2 2 2 2 2 2 2 2 2 2 2 2 2 2 2 2 2 4" xfId="22941"/>
    <cellStyle name="Normal 2 2 2 2 2 2 2 2 2 2 2 2 2 2 2 2 2 2 2 2 2 2 2 2 2 2 2 2 2 2 2 2 2 2 2 2 2 2 2 2 2 5" xfId="22942"/>
    <cellStyle name="Normal 2 2 2 2 2 2 2 2 2 2 2 2 2 2 2 2 2 2 2 2 2 2 2 2 2 2 2 2 2 2 2 2 2 2 2 2 2 2 2 2 3" xfId="22943"/>
    <cellStyle name="Normal 2 2 2 2 2 2 2 2 2 2 2 2 2 2 2 2 2 2 2 2 2 2 2 2 2 2 2 2 2 2 2 2 2 2 2 2 2 2 2 2 4" xfId="22944"/>
    <cellStyle name="Normal 2 2 2 2 2 2 2 2 2 2 2 2 2 2 2 2 2 2 2 2 2 2 2 2 2 2 2 2 2 2 2 2 2 2 2 2 2 2 2 2 5" xfId="22945"/>
    <cellStyle name="Normal 2 2 2 2 2 2 2 2 2 2 2 2 2 2 2 2 2 2 2 2 2 2 2 2 2 2 2 2 2 2 2 2 2 2 2 2 2 2 2 2 6" xfId="22946"/>
    <cellStyle name="Normal 2 2 2 2 2 2 2 2 2 2 2 2 2 2 2 2 2 2 2 2 2 2 2 2 2 2 2 2 2 2 2 2 2 2 2 2 2 2 2 2 6 2" xfId="22947"/>
    <cellStyle name="Normal 2 2 2 2 2 2 2 2 2 2 2 2 2 2 2 2 2 2 2 2 2 2 2 2 2 2 2 2 2 2 2 2 2 2 2 2 2 2 2 2 6 3" xfId="22948"/>
    <cellStyle name="Normal 2 2 2 2 2 2 2 2 2 2 2 2 2 2 2 2 2 2 2 2 2 2 2 2 2 2 2 2 2 2 2 2 2 2 2 2 2 2 2 2 6 4" xfId="22949"/>
    <cellStyle name="Normal 2 2 2 2 2 2 2 2 2 2 2 2 2 2 2 2 2 2 2 2 2 2 2 2 2 2 2 2 2 2 2 2 2 2 2 2 2 2 2 2 6_XI Introductory Section (version 3)" xfId="22950"/>
    <cellStyle name="Normal 2 2 2 2 2 2 2 2 2 2 2 2 2 2 2 2 2 2 2 2 2 2 2 2 2 2 2 2 2 2 2 2 2 2 2 2 2 2 2 2 7" xfId="22951"/>
    <cellStyle name="Normal 2 2 2 2 2 2 2 2 2 2 2 2 2 2 2 2 2 2 2 2 2 2 2 2 2 2 2 2 2 2 2 2 2 2 2 2 2 2 2 2 8" xfId="22952"/>
    <cellStyle name="Normal 2 2 2 2 2 2 2 2 2 2 2 2 2 2 2 2 2 2 2 2 2 2 2 2 2 2 2 2 2 2 2 2 2 2 2 2 2 2 2 2_XI Introductory Section (version 3)" xfId="22953"/>
    <cellStyle name="Normal 2 2 2 2 2 2 2 2 2 2 2 2 2 2 2 2 2 2 2 2 2 2 2 2 2 2 2 2 2 2 2 2 2 2 2 2 2 2 2 3" xfId="22954"/>
    <cellStyle name="Normal 2 2 2 2 2 2 2 2 2 2 2 2 2 2 2 2 2 2 2 2 2 2 2 2 2 2 2 2 2 2 2 2 2 2 2 2 2 2 2 3 2" xfId="22955"/>
    <cellStyle name="Normal 2 2 2 2 2 2 2 2 2 2 2 2 2 2 2 2 2 2 2 2 2 2 2 2 2 2 2 2 2 2 2 2 2 2 2 2 2 2 2 4" xfId="22956"/>
    <cellStyle name="Normal 2 2 2 2 2 2 2 2 2 2 2 2 2 2 2 2 2 2 2 2 2 2 2 2 2 2 2 2 2 2 2 2 2 2 2 2 2 2 2 5" xfId="22957"/>
    <cellStyle name="Normal 2 2 2 2 2 2 2 2 2 2 2 2 2 2 2 2 2 2 2 2 2 2 2 2 2 2 2 2 2 2 2 2 2 2 2 2 2 2 2 6" xfId="22958"/>
    <cellStyle name="Normal 2 2 2 2 2 2 2 2 2 2 2 2 2 2 2 2 2 2 2 2 2 2 2 2 2 2 2 2 2 2 2 2 2 2 2 2 2 2 2 6 2" xfId="22959"/>
    <cellStyle name="Normal 2 2 2 2 2 2 2 2 2 2 2 2 2 2 2 2 2 2 2 2 2 2 2 2 2 2 2 2 2 2 2 2 2 2 2 2 2 2 2 6 3" xfId="22960"/>
    <cellStyle name="Normal 2 2 2 2 2 2 2 2 2 2 2 2 2 2 2 2 2 2 2 2 2 2 2 2 2 2 2 2 2 2 2 2 2 2 2 2 2 2 2 6 4" xfId="22961"/>
    <cellStyle name="Normal 2 2 2 2 2 2 2 2 2 2 2 2 2 2 2 2 2 2 2 2 2 2 2 2 2 2 2 2 2 2 2 2 2 2 2 2 2 2 2 7" xfId="22962"/>
    <cellStyle name="Normal 2 2 2 2 2 2 2 2 2 2 2 2 2 2 2 2 2 2 2 2 2 2 2 2 2 2 2 2 2 2 2 2 2 2 2 2 2 2 2 8" xfId="22963"/>
    <cellStyle name="Normal 2 2 2 2 2 2 2 2 2 2 2 2 2 2 2 2 2 2 2 2 2 2 2 2 2 2 2 2 2 2 2 2 2 2 2 2 2 2 3" xfId="22964"/>
    <cellStyle name="Normal 2 2 2 2 2 2 2 2 2 2 2 2 2 2 2 2 2 2 2 2 2 2 2 2 2 2 2 2 2 2 2 2 2 2 2 2 2 2 4" xfId="22965"/>
    <cellStyle name="Normal 2 2 2 2 2 2 2 2 2 2 2 2 2 2 2 2 2 2 2 2 2 2 2 2 2 2 2 2 2 2 2 2 2 2 2 2 2 2 5" xfId="22966"/>
    <cellStyle name="Normal 2 2 2 2 2 2 2 2 2 2 2 2 2 2 2 2 2 2 2 2 2 2 2 2 2 2 2 2 2 2 2 2 2 2 2 2 2 2 6" xfId="22967"/>
    <cellStyle name="Normal 2 2 2 2 2 2 2 2 2 2 2 2 2 2 2 2 2 2 2 2 2 2 2 2 2 2 2 2 2 2 2 2 2 2 2 2 2 2 6 2" xfId="22968"/>
    <cellStyle name="Normal 2 2 2 2 2 2 2 2 2 2 2 2 2 2 2 2 2 2 2 2 2 2 2 2 2 2 2 2 2 2 2 2 2 2 2 2 2 2 6_XI Introductory Section (version 3)" xfId="22969"/>
    <cellStyle name="Normal 2 2 2 2 2 2 2 2 2 2 2 2 2 2 2 2 2 2 2 2 2 2 2 2 2 2 2 2 2 2 2 2 2 2 2 2 2 2 7" xfId="22970"/>
    <cellStyle name="Normal 2 2 2 2 2 2 2 2 2 2 2 2 2 2 2 2 2 2 2 2 2 2 2 2 2 2 2 2 2 2 2 2 2 2 2 2 2 2 8" xfId="22971"/>
    <cellStyle name="Normal 2 2 2 2 2 2 2 2 2 2 2 2 2 2 2 2 2 2 2 2 2 2 2 2 2 2 2 2 2 2 2 2 2 2 2 2 2 2 9" xfId="22972"/>
    <cellStyle name="Normal 2 2 2 2 2 2 2 2 2 2 2 2 2 2 2 2 2 2 2 2 2 2 2 2 2 2 2 2 2 2 2 2 2 2 2 2 2 2 9 2" xfId="22973"/>
    <cellStyle name="Normal 2 2 2 2 2 2 2 2 2 2 2 2 2 2 2 2 2 2 2 2 2 2 2 2 2 2 2 2 2 2 2 2 2 2 2 2 2 2 9 3" xfId="22974"/>
    <cellStyle name="Normal 2 2 2 2 2 2 2 2 2 2 2 2 2 2 2 2 2 2 2 2 2 2 2 2 2 2 2 2 2 2 2 2 2 2 2 2 2 2 9 4" xfId="22975"/>
    <cellStyle name="Normal 2 2 2 2 2 2 2 2 2 2 2 2 2 2 2 2 2 2 2 2 2 2 2 2 2 2 2 2 2 2 2 2 2 2 2 2 2 2 9_XI Introductory Section (version 3)" xfId="22976"/>
    <cellStyle name="Normal 2 2 2 2 2 2 2 2 2 2 2 2 2 2 2 2 2 2 2 2 2 2 2 2 2 2 2 2 2 2 2 2 2 2 2 2 2 2_XI Introductory Section (version 3)" xfId="22977"/>
    <cellStyle name="Normal 2 2 2 2 2 2 2 2 2 2 2 2 2 2 2 2 2 2 2 2 2 2 2 2 2 2 2 2 2 2 2 2 2 2 2 2 2 3" xfId="22978"/>
    <cellStyle name="Normal 2 2 2 2 2 2 2 2 2 2 2 2 2 2 2 2 2 2 2 2 2 2 2 2 2 2 2 2 2 2 2 2 2 2 2 2 2 3 2" xfId="22979"/>
    <cellStyle name="Normal 2 2 2 2 2 2 2 2 2 2 2 2 2 2 2 2 2 2 2 2 2 2 2 2 2 2 2 2 2 2 2 2 2 2 2 2 2 4" xfId="22980"/>
    <cellStyle name="Normal 2 2 2 2 2 2 2 2 2 2 2 2 2 2 2 2 2 2 2 2 2 2 2 2 2 2 2 2 2 2 2 2 2 2 2 2 2 5" xfId="22981"/>
    <cellStyle name="Normal 2 2 2 2 2 2 2 2 2 2 2 2 2 2 2 2 2 2 2 2 2 2 2 2 2 2 2 2 2 2 2 2 2 2 2 2 2 6" xfId="22982"/>
    <cellStyle name="Normal 2 2 2 2 2 2 2 2 2 2 2 2 2 2 2 2 2 2 2 2 2 2 2 2 2 2 2 2 2 2 2 2 2 2 2 2 2 6 2" xfId="22983"/>
    <cellStyle name="Normal 2 2 2 2 2 2 2 2 2 2 2 2 2 2 2 2 2 2 2 2 2 2 2 2 2 2 2 2 2 2 2 2 2 2 2 2 2 7" xfId="22984"/>
    <cellStyle name="Normal 2 2 2 2 2 2 2 2 2 2 2 2 2 2 2 2 2 2 2 2 2 2 2 2 2 2 2 2 2 2 2 2 2 2 2 2 2 8" xfId="22985"/>
    <cellStyle name="Normal 2 2 2 2 2 2 2 2 2 2 2 2 2 2 2 2 2 2 2 2 2 2 2 2 2 2 2 2 2 2 2 2 2 2 2 2 2 9" xfId="22986"/>
    <cellStyle name="Normal 2 2 2 2 2 2 2 2 2 2 2 2 2 2 2 2 2 2 2 2 2 2 2 2 2 2 2 2 2 2 2 2 2 2 2 2 2 9 2" xfId="22987"/>
    <cellStyle name="Normal 2 2 2 2 2 2 2 2 2 2 2 2 2 2 2 2 2 2 2 2 2 2 2 2 2 2 2 2 2 2 2 2 2 2 2 2 2 9 3" xfId="22988"/>
    <cellStyle name="Normal 2 2 2 2 2 2 2 2 2 2 2 2 2 2 2 2 2 2 2 2 2 2 2 2 2 2 2 2 2 2 2 2 2 2 2 2 2 9 4" xfId="22989"/>
    <cellStyle name="Normal 2 2 2 2 2 2 2 2 2 2 2 2 2 2 2 2 2 2 2 2 2 2 2 2 2 2 2 2 2 2 2 2 2 2 2 2 3" xfId="22990"/>
    <cellStyle name="Normal 2 2 2 2 2 2 2 2 2 2 2 2 2 2 2 2 2 2 2 2 2 2 2 2 2 2 2 2 2 2 2 2 2 2 2 2 3 2" xfId="22991"/>
    <cellStyle name="Normal 2 2 2 2 2 2 2 2 2 2 2 2 2 2 2 2 2 2 2 2 2 2 2 2 2 2 2 2 2 2 2 2 2 2 2 2 4" xfId="22992"/>
    <cellStyle name="Normal 2 2 2 2 2 2 2 2 2 2 2 2 2 2 2 2 2 2 2 2 2 2 2 2 2 2 2 2 2 2 2 2 2 2 2 2 5" xfId="22993"/>
    <cellStyle name="Normal 2 2 2 2 2 2 2 2 2 2 2 2 2 2 2 2 2 2 2 2 2 2 2 2 2 2 2 2 2 2 2 2 2 2 2 2 6" xfId="22994"/>
    <cellStyle name="Normal 2 2 2 2 2 2 2 2 2 2 2 2 2 2 2 2 2 2 2 2 2 2 2 2 2 2 2 2 2 2 2 2 2 2 2 2 6 2" xfId="22995"/>
    <cellStyle name="Normal 2 2 2 2 2 2 2 2 2 2 2 2 2 2 2 2 2 2 2 2 2 2 2 2 2 2 2 2 2 2 2 2 2 2 2 2 7" xfId="22996"/>
    <cellStyle name="Normal 2 2 2 2 2 2 2 2 2 2 2 2 2 2 2 2 2 2 2 2 2 2 2 2 2 2 2 2 2 2 2 2 2 2 2 2 8" xfId="22997"/>
    <cellStyle name="Normal 2 2 2 2 2 2 2 2 2 2 2 2 2 2 2 2 2 2 2 2 2 2 2 2 2 2 2 2 2 2 2 2 2 2 2 2 9" xfId="22998"/>
    <cellStyle name="Normal 2 2 2 2 2 2 2 2 2 2 2 2 2 2 2 2 2 2 2 2 2 2 2 2 2 2 2 2 2 2 2 2 2 2 2 2 9 2" xfId="22999"/>
    <cellStyle name="Normal 2 2 2 2 2 2 2 2 2 2 2 2 2 2 2 2 2 2 2 2 2 2 2 2 2 2 2 2 2 2 2 2 2 2 2 2 9 3" xfId="23000"/>
    <cellStyle name="Normal 2 2 2 2 2 2 2 2 2 2 2 2 2 2 2 2 2 2 2 2 2 2 2 2 2 2 2 2 2 2 2 2 2 2 2 2 9 4" xfId="23001"/>
    <cellStyle name="Normal 2 2 2 2 2 2 2 2 2 2 2 2 2 2 2 2 2 2 2 2 2 2 2 2 2 2 2 2 2 2 2 2 2 2 2 2_XI Introductory Section (version 3)" xfId="23002"/>
    <cellStyle name="Normal 2 2 2 2 2 2 2 2 2 2 2 2 2 2 2 2 2 2 2 2 2 2 2 2 2 2 2 2 2 2 2 2 2 2 2 3" xfId="23003"/>
    <cellStyle name="Normal 2 2 2 2 2 2 2 2 2 2 2 2 2 2 2 2 2 2 2 2 2 2 2 2 2 2 2 2 2 2 2 2 2 2 2 4" xfId="23004"/>
    <cellStyle name="Normal 2 2 2 2 2 2 2 2 2 2 2 2 2 2 2 2 2 2 2 2 2 2 2 2 2 2 2 2 2 2 2 2 2 2 2 4 2" xfId="23005"/>
    <cellStyle name="Normal 2 2 2 2 2 2 2 2 2 2 2 2 2 2 2 2 2 2 2 2 2 2 2 2 2 2 2 2 2 2 2 2 2 2 2 5" xfId="23006"/>
    <cellStyle name="Normal 2 2 2 2 2 2 2 2 2 2 2 2 2 2 2 2 2 2 2 2 2 2 2 2 2 2 2 2 2 2 2 2 2 2 2 6" xfId="23007"/>
    <cellStyle name="Normal 2 2 2 2 2 2 2 2 2 2 2 2 2 2 2 2 2 2 2 2 2 2 2 2 2 2 2 2 2 2 2 2 2 2 2 7" xfId="23008"/>
    <cellStyle name="Normal 2 2 2 2 2 2 2 2 2 2 2 2 2 2 2 2 2 2 2 2 2 2 2 2 2 2 2 2 2 2 2 2 2 2 2 7 2" xfId="23009"/>
    <cellStyle name="Normal 2 2 2 2 2 2 2 2 2 2 2 2 2 2 2 2 2 2 2 2 2 2 2 2 2 2 2 2 2 2 2 2 2 2 2 8" xfId="23010"/>
    <cellStyle name="Normal 2 2 2 2 2 2 2 2 2 2 2 2 2 2 2 2 2 2 2 2 2 2 2 2 2 2 2 2 2 2 2 2 2 2 2 9" xfId="23011"/>
    <cellStyle name="Normal 2 2 2 2 2 2 2 2 2 2 2 2 2 2 2 2 2 2 2 2 2 2 2 2 2 2 2 2 2 2 2 2 2 2 3" xfId="23012"/>
    <cellStyle name="Normal 2 2 2 2 2 2 2 2 2 2 2 2 2 2 2 2 2 2 2 2 2 2 2 2 2 2 2 2 2 2 2 2 2 2 3 2" xfId="23013"/>
    <cellStyle name="Normal 2 2 2 2 2 2 2 2 2 2 2 2 2 2 2 2 2 2 2 2 2 2 2 2 2 2 2 2 2 2 2 2 2 2 4" xfId="23014"/>
    <cellStyle name="Normal 2 2 2 2 2 2 2 2 2 2 2 2 2 2 2 2 2 2 2 2 2 2 2 2 2 2 2 2 2 2 2 2 2 2 4 2" xfId="23015"/>
    <cellStyle name="Normal 2 2 2 2 2 2 2 2 2 2 2 2 2 2 2 2 2 2 2 2 2 2 2 2 2 2 2 2 2 2 2 2 2 2 5" xfId="23016"/>
    <cellStyle name="Normal 2 2 2 2 2 2 2 2 2 2 2 2 2 2 2 2 2 2 2 2 2 2 2 2 2 2 2 2 2 2 2 2 2 2 6" xfId="23017"/>
    <cellStyle name="Normal 2 2 2 2 2 2 2 2 2 2 2 2 2 2 2 2 2 2 2 2 2 2 2 2 2 2 2 2 2 2 2 2 2 2 7" xfId="23018"/>
    <cellStyle name="Normal 2 2 2 2 2 2 2 2 2 2 2 2 2 2 2 2 2 2 2 2 2 2 2 2 2 2 2 2 2 2 2 2 2 2 7 2" xfId="23019"/>
    <cellStyle name="Normal 2 2 2 2 2 2 2 2 2 2 2 2 2 2 2 2 2 2 2 2 2 2 2 2 2 2 2 2 2 2 2 2 2 2 8" xfId="23020"/>
    <cellStyle name="Normal 2 2 2 2 2 2 2 2 2 2 2 2 2 2 2 2 2 2 2 2 2 2 2 2 2 2 2 2 2 2 2 2 2 2 9" xfId="23021"/>
    <cellStyle name="Normal 2 2 2 2 2 2 2 2 2 2 2 2 2 2 2 2 2 2 2 2 2 2 2 2 2 2 2 2 2 2 2 2 2 2_XI Introductory Section (version 3)" xfId="23022"/>
    <cellStyle name="Normal 2 2 2 2 2 2 2 2 2 2 2 2 2 2 2 2 2 2 2 2 2 2 2 2 2 2 2 2 2 2 2 2 2 3" xfId="23023"/>
    <cellStyle name="Normal 2 2 2 2 2 2 2 2 2 2 2 2 2 2 2 2 2 2 2 2 2 2 2 2 2 2 2 2 2 2 2 2 2 3 2" xfId="23024"/>
    <cellStyle name="Normal 2 2 2 2 2 2 2 2 2 2 2 2 2 2 2 2 2 2 2 2 2 2 2 2 2 2 2 2 2 2 2 2 2 3 2 2" xfId="23025"/>
    <cellStyle name="Normal 2 2 2 2 2 2 2 2 2 2 2 2 2 2 2 2 2 2 2 2 2 2 2 2 2 2 2 2 2 2 2 2 2 4" xfId="23026"/>
    <cellStyle name="Normal 2 2 2 2 2 2 2 2 2 2 2 2 2 2 2 2 2 2 2 2 2 2 2 2 2 2 2 2 2 2 2 2 2 5" xfId="23027"/>
    <cellStyle name="Normal 2 2 2 2 2 2 2 2 2 2 2 2 2 2 2 2 2 2 2 2 2 2 2 2 2 2 2 2 2 2 2 2 2 5 2" xfId="23028"/>
    <cellStyle name="Normal 2 2 2 2 2 2 2 2 2 2 2 2 2 2 2 2 2 2 2 2 2 2 2 2 2 2 2 2 2 2 2 2 2 6" xfId="23029"/>
    <cellStyle name="Normal 2 2 2 2 2 2 2 2 2 2 2 2 2 2 2 2 2 2 2 2 2 2 2 2 2 2 2 2 2 2 2 2 2 7" xfId="23030"/>
    <cellStyle name="Normal 2 2 2 2 2 2 2 2 2 2 2 2 2 2 2 2 2 2 2 2 2 2 2 2 2 2 2 2 2 2 2 2 2 8" xfId="23031"/>
    <cellStyle name="Normal 2 2 2 2 2 2 2 2 2 2 2 2 2 2 2 2 2 2 2 2 2 2 2 2 2 2 2 2 2 2 2 2 2 8 2" xfId="23032"/>
    <cellStyle name="Normal 2 2 2 2 2 2 2 2 2 2 2 2 2 2 2 2 2 2 2 2 2 2 2 2 2 2 2 2 2 2 2 2 2 9" xfId="23033"/>
    <cellStyle name="Normal 2 2 2 2 2 2 2 2 2 2 2 2 2 2 2 2 2 2 2 2 2 2 2 2 2 2 2 2 2 2 2 2 3" xfId="23034"/>
    <cellStyle name="Normal 2 2 2 2 2 2 2 2 2 2 2 2 2 2 2 2 2 2 2 2 2 2 2 2 2 2 2 2 2 2 2 2 4" xfId="23035"/>
    <cellStyle name="Normal 2 2 2 2 2 2 2 2 2 2 2 2 2 2 2 2 2 2 2 2 2 2 2 2 2 2 2 2 2 2 2 2 5" xfId="23036"/>
    <cellStyle name="Normal 2 2 2 2 2 2 2 2 2 2 2 2 2 2 2 2 2 2 2 2 2 2 2 2 2 2 2 2 2 2 2 2 6" xfId="23037"/>
    <cellStyle name="Normal 2 2 2 2 2 2 2 2 2 2 2 2 2 2 2 2 2 2 2 2 2 2 2 2 2 2 2 2 2 2 2 2 6 2" xfId="23038"/>
    <cellStyle name="Normal 2 2 2 2 2 2 2 2 2 2 2 2 2 2 2 2 2 2 2 2 2 2 2 2 2 2 2 2 2 2 2 2 6 2 2" xfId="23039"/>
    <cellStyle name="Normal 2 2 2 2 2 2 2 2 2 2 2 2 2 2 2 2 2 2 2 2 2 2 2 2 2 2 2 2 2 2 2 2 7" xfId="23040"/>
    <cellStyle name="Normal 2 2 2 2 2 2 2 2 2 2 2 2 2 2 2 2 2 2 2 2 2 2 2 2 2 2 2 2 2 2 2 2 8" xfId="23041"/>
    <cellStyle name="Normal 2 2 2 2 2 2 2 2 2 2 2 2 2 2 2 2 2 2 2 2 2 2 2 2 2 2 2 2 2 2 2 2 8 2" xfId="23042"/>
    <cellStyle name="Normal 2 2 2 2 2 2 2 2 2 2 2 2 2 2 2 2 2 2 2 2 2 2 2 2 2 2 2 2 2 2 2 2 9" xfId="23043"/>
    <cellStyle name="Normal 2 2 2 2 2 2 2 2 2 2 2 2 2 2 2 2 2 2 2 2 2 2 2 2 2 2 2 2 2 2 2 2_XI Introductory Section (version 3)" xfId="23044"/>
    <cellStyle name="Normal 2 2 2 2 2 2 2 2 2 2 2 2 2 2 2 2 2 2 2 2 2 2 2 2 2 2 2 2 2 2 2 3" xfId="23045"/>
    <cellStyle name="Normal 2 2 2 2 2 2 2 2 2 2 2 2 2 2 2 2 2 2 2 2 2 2 2 2 2 2 2 2 2 2 2 3 2" xfId="23046"/>
    <cellStyle name="Normal 2 2 2 2 2 2 2 2 2 2 2 2 2 2 2 2 2 2 2 2 2 2 2 2 2 2 2 2 2 2 2 3_REVISIONS SORRY" xfId="23047"/>
    <cellStyle name="Normal 2 2 2 2 2 2 2 2 2 2 2 2 2 2 2 2 2 2 2 2 2 2 2 2 2 2 2 2 2 2 2 4" xfId="23048"/>
    <cellStyle name="Normal 2 2 2 2 2 2 2 2 2 2 2 2 2 2 2 2 2 2 2 2 2 2 2 2 2 2 2 2 2 2 2 5" xfId="23049"/>
    <cellStyle name="Normal 2 2 2 2 2 2 2 2 2 2 2 2 2 2 2 2 2 2 2 2 2 2 2 2 2 2 2 2 2 2 2 6" xfId="23050"/>
    <cellStyle name="Normal 2 2 2 2 2 2 2 2 2 2 2 2 2 2 2 2 2 2 2 2 2 2 2 2 2 2 2 2 2 2 2 6 2" xfId="23051"/>
    <cellStyle name="Normal 2 2 2 2 2 2 2 2 2 2 2 2 2 2 2 2 2 2 2 2 2 2 2 2 2 2 2 2 2 2 2 6 2 2" xfId="23052"/>
    <cellStyle name="Normal 2 2 2 2 2 2 2 2 2 2 2 2 2 2 2 2 2 2 2 2 2 2 2 2 2 2 2 2 2 2 2 7" xfId="23053"/>
    <cellStyle name="Normal 2 2 2 2 2 2 2 2 2 2 2 2 2 2 2 2 2 2 2 2 2 2 2 2 2 2 2 2 2 2 2 8" xfId="23054"/>
    <cellStyle name="Normal 2 2 2 2 2 2 2 2 2 2 2 2 2 2 2 2 2 2 2 2 2 2 2 2 2 2 2 2 2 2 2 8 2" xfId="23055"/>
    <cellStyle name="Normal 2 2 2 2 2 2 2 2 2 2 2 2 2 2 2 2 2 2 2 2 2 2 2 2 2 2 2 2 2 2 2 9" xfId="23056"/>
    <cellStyle name="Normal 2 2 2 2 2 2 2 2 2 2 2 2 2 2 2 2 2 2 2 2 2 2 2 2 2 2 2 2 2 2 3" xfId="23057"/>
    <cellStyle name="Normal 2 2 2 2 2 2 2 2 2 2 2 2 2 2 2 2 2 2 2 2 2 2 2 2 2 2 2 2 2 2 3 2" xfId="23058"/>
    <cellStyle name="Normal 2 2 2 2 2 2 2 2 2 2 2 2 2 2 2 2 2 2 2 2 2 2 2 2 2 2 2 2 2 2 3_REVISIONS SORRY" xfId="23059"/>
    <cellStyle name="Normal 2 2 2 2 2 2 2 2 2 2 2 2 2 2 2 2 2 2 2 2 2 2 2 2 2 2 2 2 2 2 4" xfId="23060"/>
    <cellStyle name="Normal 2 2 2 2 2 2 2 2 2 2 2 2 2 2 2 2 2 2 2 2 2 2 2 2 2 2 2 2 2 2 5" xfId="23061"/>
    <cellStyle name="Normal 2 2 2 2 2 2 2 2 2 2 2 2 2 2 2 2 2 2 2 2 2 2 2 2 2 2 2 2 2 2 6" xfId="23062"/>
    <cellStyle name="Normal 2 2 2 2 2 2 2 2 2 2 2 2 2 2 2 2 2 2 2 2 2 2 2 2 2 2 2 2 2 2 6 2" xfId="23063"/>
    <cellStyle name="Normal 2 2 2 2 2 2 2 2 2 2 2 2 2 2 2 2 2 2 2 2 2 2 2 2 2 2 2 2 2 2 6 2 2" xfId="23064"/>
    <cellStyle name="Normal 2 2 2 2 2 2 2 2 2 2 2 2 2 2 2 2 2 2 2 2 2 2 2 2 2 2 2 2 2 2 7" xfId="23065"/>
    <cellStyle name="Normal 2 2 2 2 2 2 2 2 2 2 2 2 2 2 2 2 2 2 2 2 2 2 2 2 2 2 2 2 2 2 8" xfId="23066"/>
    <cellStyle name="Normal 2 2 2 2 2 2 2 2 2 2 2 2 2 2 2 2 2 2 2 2 2 2 2 2 2 2 2 2 2 2 8 2" xfId="23067"/>
    <cellStyle name="Normal 2 2 2 2 2 2 2 2 2 2 2 2 2 2 2 2 2 2 2 2 2 2 2 2 2 2 2 2 2 2 9" xfId="23068"/>
    <cellStyle name="Normal 2 2 2 2 2 2 2 2 2 2 2 2 2 2 2 2 2 2 2 2 2 2 2 2 2 2 2 2 2 2_XI Introductory Section (version 3)" xfId="23069"/>
    <cellStyle name="Normal 2 2 2 2 2 2 2 2 2 2 2 2 2 2 2 2 2 2 2 2 2 2 2 2 2 2 2 2 2 20" xfId="23070"/>
    <cellStyle name="Normal 2 2 2 2 2 2 2 2 2 2 2 2 2 2 2 2 2 2 2 2 2 2 2 2 2 2 2 2 2 21" xfId="23071"/>
    <cellStyle name="Normal 2 2 2 2 2 2 2 2 2 2 2 2 2 2 2 2 2 2 2 2 2 2 2 2 2 2 2 2 2 21 2" xfId="23072"/>
    <cellStyle name="Normal 2 2 2 2 2 2 2 2 2 2 2 2 2 2 2 2 2 2 2 2 2 2 2 2 2 2 2 2 2 21 3" xfId="23073"/>
    <cellStyle name="Normal 2 2 2 2 2 2 2 2 2 2 2 2 2 2 2 2 2 2 2 2 2 2 2 2 2 2 2 2 2 21 4" xfId="23074"/>
    <cellStyle name="Normal 2 2 2 2 2 2 2 2 2 2 2 2 2 2 2 2 2 2 2 2 2 2 2 2 2 2 2 2 2 22" xfId="23075"/>
    <cellStyle name="Normal 2 2 2 2 2 2 2 2 2 2 2 2 2 2 2 2 2 2 2 2 2 2 2 2 2 2 2 2 2 23" xfId="23076"/>
    <cellStyle name="Normal 2 2 2 2 2 2 2 2 2 2 2 2 2 2 2 2 2 2 2 2 2 2 2 2 2 2 2 2 2 3" xfId="23077"/>
    <cellStyle name="Normal 2 2 2 2 2 2 2 2 2 2 2 2 2 2 2 2 2 2 2 2 2 2 2 2 2 2 2 2 2 4" xfId="23078"/>
    <cellStyle name="Normal 2 2 2 2 2 2 2 2 2 2 2 2 2 2 2 2 2 2 2 2 2 2 2 2 2 2 2 2 2 5" xfId="23079"/>
    <cellStyle name="Normal 2 2 2 2 2 2 2 2 2 2 2 2 2 2 2 2 2 2 2 2 2 2 2 2 2 2 2 2 2 6" xfId="23080"/>
    <cellStyle name="Normal 2 2 2 2 2 2 2 2 2 2 2 2 2 2 2 2 2 2 2 2 2 2 2 2 2 2 2 2 2 7" xfId="23081"/>
    <cellStyle name="Normal 2 2 2 2 2 2 2 2 2 2 2 2 2 2 2 2 2 2 2 2 2 2 2 2 2 2 2 2 2 8" xfId="23082"/>
    <cellStyle name="Normal 2 2 2 2 2 2 2 2 2 2 2 2 2 2 2 2 2 2 2 2 2 2 2 2 2 2 2 2 2 9" xfId="23083"/>
    <cellStyle name="Normal 2 2 2 2 2 2 2 2 2 2 2 2 2 2 2 2 2 2 2 2 2 2 2 2 2 2 2 2 20" xfId="23084"/>
    <cellStyle name="Normal 2 2 2 2 2 2 2 2 2 2 2 2 2 2 2 2 2 2 2 2 2 2 2 2 2 2 2 2 21" xfId="23085"/>
    <cellStyle name="Normal 2 2 2 2 2 2 2 2 2 2 2 2 2 2 2 2 2 2 2 2 2 2 2 2 2 2 2 2 22" xfId="23086"/>
    <cellStyle name="Normal 2 2 2 2 2 2 2 2 2 2 2 2 2 2 2 2 2 2 2 2 2 2 2 2 2 2 2 2 22 2" xfId="23087"/>
    <cellStyle name="Normal 2 2 2 2 2 2 2 2 2 2 2 2 2 2 2 2 2 2 2 2 2 2 2 2 2 2 2 2 22 3" xfId="23088"/>
    <cellStyle name="Normal 2 2 2 2 2 2 2 2 2 2 2 2 2 2 2 2 2 2 2 2 2 2 2 2 2 2 2 2 22 4" xfId="23089"/>
    <cellStyle name="Normal 2 2 2 2 2 2 2 2 2 2 2 2 2 2 2 2 2 2 2 2 2 2 2 2 2 2 2 2 23" xfId="23090"/>
    <cellStyle name="Normal 2 2 2 2 2 2 2 2 2 2 2 2 2 2 2 2 2 2 2 2 2 2 2 2 2 2 2 2 24" xfId="23091"/>
    <cellStyle name="Normal 2 2 2 2 2 2 2 2 2 2 2 2 2 2 2 2 2 2 2 2 2 2 2 2 2 2 2 2 3" xfId="23092"/>
    <cellStyle name="Normal 2 2 2 2 2 2 2 2 2 2 2 2 2 2 2 2 2 2 2 2 2 2 2 2 2 2 2 2 4" xfId="23093"/>
    <cellStyle name="Normal 2 2 2 2 2 2 2 2 2 2 2 2 2 2 2 2 2 2 2 2 2 2 2 2 2 2 2 2 5" xfId="23094"/>
    <cellStyle name="Normal 2 2 2 2 2 2 2 2 2 2 2 2 2 2 2 2 2 2 2 2 2 2 2 2 2 2 2 2 6" xfId="23095"/>
    <cellStyle name="Normal 2 2 2 2 2 2 2 2 2 2 2 2 2 2 2 2 2 2 2 2 2 2 2 2 2 2 2 2 7" xfId="23096"/>
    <cellStyle name="Normal 2 2 2 2 2 2 2 2 2 2 2 2 2 2 2 2 2 2 2 2 2 2 2 2 2 2 2 2 8" xfId="23097"/>
    <cellStyle name="Normal 2 2 2 2 2 2 2 2 2 2 2 2 2 2 2 2 2 2 2 2 2 2 2 2 2 2 2 2 9" xfId="23098"/>
    <cellStyle name="Normal 2 2 2 2 2 2 2 2 2 2 2 2 2 2 2 2 2 2 2 2 2 2 2 2 2 2 2 2_XI Introductory Section (version 3)" xfId="23099"/>
    <cellStyle name="Normal 2 2 2 2 2 2 2 2 2 2 2 2 2 2 2 2 2 2 2 2 2 2 2 2 2 2 2 20" xfId="23100"/>
    <cellStyle name="Normal 2 2 2 2 2 2 2 2 2 2 2 2 2 2 2 2 2 2 2 2 2 2 2 2 2 2 2 21" xfId="23101"/>
    <cellStyle name="Normal 2 2 2 2 2 2 2 2 2 2 2 2 2 2 2 2 2 2 2 2 2 2 2 2 2 2 2 22" xfId="23102"/>
    <cellStyle name="Normal 2 2 2 2 2 2 2 2 2 2 2 2 2 2 2 2 2 2 2 2 2 2 2 2 2 2 2 22 2" xfId="23103"/>
    <cellStyle name="Normal 2 2 2 2 2 2 2 2 2 2 2 2 2 2 2 2 2 2 2 2 2 2 2 2 2 2 2 23" xfId="23104"/>
    <cellStyle name="Normal 2 2 2 2 2 2 2 2 2 2 2 2 2 2 2 2 2 2 2 2 2 2 2 2 2 2 2 24" xfId="23105"/>
    <cellStyle name="Normal 2 2 2 2 2 2 2 2 2 2 2 2 2 2 2 2 2 2 2 2 2 2 2 2 2 2 2 25" xfId="23106"/>
    <cellStyle name="Normal 2 2 2 2 2 2 2 2 2 2 2 2 2 2 2 2 2 2 2 2 2 2 2 2 2 2 2 25 2" xfId="23107"/>
    <cellStyle name="Normal 2 2 2 2 2 2 2 2 2 2 2 2 2 2 2 2 2 2 2 2 2 2 2 2 2 2 2 25 3" xfId="23108"/>
    <cellStyle name="Normal 2 2 2 2 2 2 2 2 2 2 2 2 2 2 2 2 2 2 2 2 2 2 2 2 2 2 2 25 4" xfId="23109"/>
    <cellStyle name="Normal 2 2 2 2 2 2 2 2 2 2 2 2 2 2 2 2 2 2 2 2 2 2 2 2 2 2 2 26" xfId="23110"/>
    <cellStyle name="Normal 2 2 2 2 2 2 2 2 2 2 2 2 2 2 2 2 2 2 2 2 2 2 2 2 2 2 2 27" xfId="23111"/>
    <cellStyle name="Normal 2 2 2 2 2 2 2 2 2 2 2 2 2 2 2 2 2 2 2 2 2 2 2 2 2 2 2 3" xfId="23112"/>
    <cellStyle name="Normal 2 2 2 2 2 2 2 2 2 2 2 2 2 2 2 2 2 2 2 2 2 2 2 2 2 2 2 4" xfId="23113"/>
    <cellStyle name="Normal 2 2 2 2 2 2 2 2 2 2 2 2 2 2 2 2 2 2 2 2 2 2 2 2 2 2 2 5" xfId="23114"/>
    <cellStyle name="Normal 2 2 2 2 2 2 2 2 2 2 2 2 2 2 2 2 2 2 2 2 2 2 2 2 2 2 2 6" xfId="23115"/>
    <cellStyle name="Normal 2 2 2 2 2 2 2 2 2 2 2 2 2 2 2 2 2 2 2 2 2 2 2 2 2 2 2 6 2" xfId="23116"/>
    <cellStyle name="Normal 2 2 2 2 2 2 2 2 2 2 2 2 2 2 2 2 2 2 2 2 2 2 2 2 2 2 2 6 3" xfId="23117"/>
    <cellStyle name="Normal 2 2 2 2 2 2 2 2 2 2 2 2 2 2 2 2 2 2 2 2 2 2 2 2 2 2 2 6 4" xfId="23118"/>
    <cellStyle name="Normal 2 2 2 2 2 2 2 2 2 2 2 2 2 2 2 2 2 2 2 2 2 2 2 2 2 2 2 6 5" xfId="23119"/>
    <cellStyle name="Normal 2 2 2 2 2 2 2 2 2 2 2 2 2 2 2 2 2 2 2 2 2 2 2 2 2 2 2 6 6" xfId="23120"/>
    <cellStyle name="Normal 2 2 2 2 2 2 2 2 2 2 2 2 2 2 2 2 2 2 2 2 2 2 2 2 2 2 2 6 7" xfId="23121"/>
    <cellStyle name="Normal 2 2 2 2 2 2 2 2 2 2 2 2 2 2 2 2 2 2 2 2 2 2 2 2 2 2 2 6 8" xfId="23122"/>
    <cellStyle name="Normal 2 2 2 2 2 2 2 2 2 2 2 2 2 2 2 2 2 2 2 2 2 2 2 2 2 2 2 7" xfId="23123"/>
    <cellStyle name="Normal 2 2 2 2 2 2 2 2 2 2 2 2 2 2 2 2 2 2 2 2 2 2 2 2 2 2 2 8" xfId="23124"/>
    <cellStyle name="Normal 2 2 2 2 2 2 2 2 2 2 2 2 2 2 2 2 2 2 2 2 2 2 2 2 2 2 2 9" xfId="23125"/>
    <cellStyle name="Normal 2 2 2 2 2 2 2 2 2 2 2 2 2 2 2 2 2 2 2 2 2 2 2 2 2 2 20" xfId="23126"/>
    <cellStyle name="Normal 2 2 2 2 2 2 2 2 2 2 2 2 2 2 2 2 2 2 2 2 2 2 2 2 2 2 21" xfId="23127"/>
    <cellStyle name="Normal 2 2 2 2 2 2 2 2 2 2 2 2 2 2 2 2 2 2 2 2 2 2 2 2 2 2 22" xfId="23128"/>
    <cellStyle name="Normal 2 2 2 2 2 2 2 2 2 2 2 2 2 2 2 2 2 2 2 2 2 2 2 2 2 2 22 2" xfId="23129"/>
    <cellStyle name="Normal 2 2 2 2 2 2 2 2 2 2 2 2 2 2 2 2 2 2 2 2 2 2 2 2 2 2 23" xfId="23130"/>
    <cellStyle name="Normal 2 2 2 2 2 2 2 2 2 2 2 2 2 2 2 2 2 2 2 2 2 2 2 2 2 2 24" xfId="23131"/>
    <cellStyle name="Normal 2 2 2 2 2 2 2 2 2 2 2 2 2 2 2 2 2 2 2 2 2 2 2 2 2 2 25" xfId="23132"/>
    <cellStyle name="Normal 2 2 2 2 2 2 2 2 2 2 2 2 2 2 2 2 2 2 2 2 2 2 2 2 2 2 25 2" xfId="23133"/>
    <cellStyle name="Normal 2 2 2 2 2 2 2 2 2 2 2 2 2 2 2 2 2 2 2 2 2 2 2 2 2 2 25 3" xfId="23134"/>
    <cellStyle name="Normal 2 2 2 2 2 2 2 2 2 2 2 2 2 2 2 2 2 2 2 2 2 2 2 2 2 2 25 4" xfId="23135"/>
    <cellStyle name="Normal 2 2 2 2 2 2 2 2 2 2 2 2 2 2 2 2 2 2 2 2 2 2 2 2 2 2 26" xfId="23136"/>
    <cellStyle name="Normal 2 2 2 2 2 2 2 2 2 2 2 2 2 2 2 2 2 2 2 2 2 2 2 2 2 2 27" xfId="23137"/>
    <cellStyle name="Normal 2 2 2 2 2 2 2 2 2 2 2 2 2 2 2 2 2 2 2 2 2 2 2 2 2 2 3" xfId="23138"/>
    <cellStyle name="Normal 2 2 2 2 2 2 2 2 2 2 2 2 2 2 2 2 2 2 2 2 2 2 2 2 2 2 4" xfId="23139"/>
    <cellStyle name="Normal 2 2 2 2 2 2 2 2 2 2 2 2 2 2 2 2 2 2 2 2 2 2 2 2 2 2 5" xfId="23140"/>
    <cellStyle name="Normal 2 2 2 2 2 2 2 2 2 2 2 2 2 2 2 2 2 2 2 2 2 2 2 2 2 2 6" xfId="23141"/>
    <cellStyle name="Normal 2 2 2 2 2 2 2 2 2 2 2 2 2 2 2 2 2 2 2 2 2 2 2 2 2 2 6 2" xfId="23142"/>
    <cellStyle name="Normal 2 2 2 2 2 2 2 2 2 2 2 2 2 2 2 2 2 2 2 2 2 2 2 2 2 2 6 3" xfId="23143"/>
    <cellStyle name="Normal 2 2 2 2 2 2 2 2 2 2 2 2 2 2 2 2 2 2 2 2 2 2 2 2 2 2 6 4" xfId="23144"/>
    <cellStyle name="Normal 2 2 2 2 2 2 2 2 2 2 2 2 2 2 2 2 2 2 2 2 2 2 2 2 2 2 6 5" xfId="23145"/>
    <cellStyle name="Normal 2 2 2 2 2 2 2 2 2 2 2 2 2 2 2 2 2 2 2 2 2 2 2 2 2 2 6 6" xfId="23146"/>
    <cellStyle name="Normal 2 2 2 2 2 2 2 2 2 2 2 2 2 2 2 2 2 2 2 2 2 2 2 2 2 2 6 7" xfId="23147"/>
    <cellStyle name="Normal 2 2 2 2 2 2 2 2 2 2 2 2 2 2 2 2 2 2 2 2 2 2 2 2 2 2 6 8" xfId="23148"/>
    <cellStyle name="Normal 2 2 2 2 2 2 2 2 2 2 2 2 2 2 2 2 2 2 2 2 2 2 2 2 2 2 7" xfId="23149"/>
    <cellStyle name="Normal 2 2 2 2 2 2 2 2 2 2 2 2 2 2 2 2 2 2 2 2 2 2 2 2 2 2 8" xfId="23150"/>
    <cellStyle name="Normal 2 2 2 2 2 2 2 2 2 2 2 2 2 2 2 2 2 2 2 2 2 2 2 2 2 2 9" xfId="23151"/>
    <cellStyle name="Normal 2 2 2 2 2 2 2 2 2 2 2 2 2 2 2 2 2 2 2 2 2 2 2 2 2 2_XI Introductory Section (version 3)" xfId="23152"/>
    <cellStyle name="Normal 2 2 2 2 2 2 2 2 2 2 2 2 2 2 2 2 2 2 2 2 2 2 2 2 2 20" xfId="23153"/>
    <cellStyle name="Normal 2 2 2 2 2 2 2 2 2 2 2 2 2 2 2 2 2 2 2 2 2 2 2 2 2 20 2" xfId="23154"/>
    <cellStyle name="Normal 2 2 2 2 2 2 2 2 2 2 2 2 2 2 2 2 2 2 2 2 2 2 2 2 2 21" xfId="23155"/>
    <cellStyle name="Normal 2 2 2 2 2 2 2 2 2 2 2 2 2 2 2 2 2 2 2 2 2 2 2 2 2 22" xfId="23156"/>
    <cellStyle name="Normal 2 2 2 2 2 2 2 2 2 2 2 2 2 2 2 2 2 2 2 2 2 2 2 2 2 23" xfId="23157"/>
    <cellStyle name="Normal 2 2 2 2 2 2 2 2 2 2 2 2 2 2 2 2 2 2 2 2 2 2 2 2 2 23 2" xfId="23158"/>
    <cellStyle name="Normal 2 2 2 2 2 2 2 2 2 2 2 2 2 2 2 2 2 2 2 2 2 2 2 2 2 24" xfId="23159"/>
    <cellStyle name="Normal 2 2 2 2 2 2 2 2 2 2 2 2 2 2 2 2 2 2 2 2 2 2 2 2 2 25" xfId="23160"/>
    <cellStyle name="Normal 2 2 2 2 2 2 2 2 2 2 2 2 2 2 2 2 2 2 2 2 2 2 2 2 2 26" xfId="23161"/>
    <cellStyle name="Normal 2 2 2 2 2 2 2 2 2 2 2 2 2 2 2 2 2 2 2 2 2 2 2 2 2 26 2" xfId="23162"/>
    <cellStyle name="Normal 2 2 2 2 2 2 2 2 2 2 2 2 2 2 2 2 2 2 2 2 2 2 2 2 2 26 3" xfId="23163"/>
    <cellStyle name="Normal 2 2 2 2 2 2 2 2 2 2 2 2 2 2 2 2 2 2 2 2 2 2 2 2 2 26 4" xfId="23164"/>
    <cellStyle name="Normal 2 2 2 2 2 2 2 2 2 2 2 2 2 2 2 2 2 2 2 2 2 2 2 2 2 27" xfId="23165"/>
    <cellStyle name="Normal 2 2 2 2 2 2 2 2 2 2 2 2 2 2 2 2 2 2 2 2 2 2 2 2 2 28" xfId="23166"/>
    <cellStyle name="Normal 2 2 2 2 2 2 2 2 2 2 2 2 2 2 2 2 2 2 2 2 2 2 2 2 2 3" xfId="23167"/>
    <cellStyle name="Normal 2 2 2 2 2 2 2 2 2 2 2 2 2 2 2 2 2 2 2 2 2 2 2 2 2 4" xfId="23168"/>
    <cellStyle name="Normal 2 2 2 2 2 2 2 2 2 2 2 2 2 2 2 2 2 2 2 2 2 2 2 2 2 5" xfId="23169"/>
    <cellStyle name="Normal 2 2 2 2 2 2 2 2 2 2 2 2 2 2 2 2 2 2 2 2 2 2 2 2 2 6" xfId="23170"/>
    <cellStyle name="Normal 2 2 2 2 2 2 2 2 2 2 2 2 2 2 2 2 2 2 2 2 2 2 2 2 2 7" xfId="23171"/>
    <cellStyle name="Normal 2 2 2 2 2 2 2 2 2 2 2 2 2 2 2 2 2 2 2 2 2 2 2 2 2 7 2" xfId="23172"/>
    <cellStyle name="Normal 2 2 2 2 2 2 2 2 2 2 2 2 2 2 2 2 2 2 2 2 2 2 2 2 2 7 3" xfId="23173"/>
    <cellStyle name="Normal 2 2 2 2 2 2 2 2 2 2 2 2 2 2 2 2 2 2 2 2 2 2 2 2 2 7 4" xfId="23174"/>
    <cellStyle name="Normal 2 2 2 2 2 2 2 2 2 2 2 2 2 2 2 2 2 2 2 2 2 2 2 2 2 7 5" xfId="23175"/>
    <cellStyle name="Normal 2 2 2 2 2 2 2 2 2 2 2 2 2 2 2 2 2 2 2 2 2 2 2 2 2 7 6" xfId="23176"/>
    <cellStyle name="Normal 2 2 2 2 2 2 2 2 2 2 2 2 2 2 2 2 2 2 2 2 2 2 2 2 2 7 7" xfId="23177"/>
    <cellStyle name="Normal 2 2 2 2 2 2 2 2 2 2 2 2 2 2 2 2 2 2 2 2 2 2 2 2 2 7 8" xfId="23178"/>
    <cellStyle name="Normal 2 2 2 2 2 2 2 2 2 2 2 2 2 2 2 2 2 2 2 2 2 2 2 2 2 8" xfId="23179"/>
    <cellStyle name="Normal 2 2 2 2 2 2 2 2 2 2 2 2 2 2 2 2 2 2 2 2 2 2 2 2 2 9" xfId="23180"/>
    <cellStyle name="Normal 2 2 2 2 2 2 2 2 2 2 2 2 2 2 2 2 2 2 2 2 2 2 2 2 20" xfId="23181"/>
    <cellStyle name="Normal 2 2 2 2 2 2 2 2 2 2 2 2 2 2 2 2 2 2 2 2 2 2 2 2 20 2" xfId="23182"/>
    <cellStyle name="Normal 2 2 2 2 2 2 2 2 2 2 2 2 2 2 2 2 2 2 2 2 2 2 2 2 21" xfId="23183"/>
    <cellStyle name="Normal 2 2 2 2 2 2 2 2 2 2 2 2 2 2 2 2 2 2 2 2 2 2 2 2 22" xfId="23184"/>
    <cellStyle name="Normal 2 2 2 2 2 2 2 2 2 2 2 2 2 2 2 2 2 2 2 2 2 2 2 2 23" xfId="23185"/>
    <cellStyle name="Normal 2 2 2 2 2 2 2 2 2 2 2 2 2 2 2 2 2 2 2 2 2 2 2 2 23 2" xfId="23186"/>
    <cellStyle name="Normal 2 2 2 2 2 2 2 2 2 2 2 2 2 2 2 2 2 2 2 2 2 2 2 2 24" xfId="23187"/>
    <cellStyle name="Normal 2 2 2 2 2 2 2 2 2 2 2 2 2 2 2 2 2 2 2 2 2 2 2 2 25" xfId="23188"/>
    <cellStyle name="Normal 2 2 2 2 2 2 2 2 2 2 2 2 2 2 2 2 2 2 2 2 2 2 2 2 26" xfId="23189"/>
    <cellStyle name="Normal 2 2 2 2 2 2 2 2 2 2 2 2 2 2 2 2 2 2 2 2 2 2 2 2 26 2" xfId="23190"/>
    <cellStyle name="Normal 2 2 2 2 2 2 2 2 2 2 2 2 2 2 2 2 2 2 2 2 2 2 2 2 26 3" xfId="23191"/>
    <cellStyle name="Normal 2 2 2 2 2 2 2 2 2 2 2 2 2 2 2 2 2 2 2 2 2 2 2 2 26 4" xfId="23192"/>
    <cellStyle name="Normal 2 2 2 2 2 2 2 2 2 2 2 2 2 2 2 2 2 2 2 2 2 2 2 2 27" xfId="23193"/>
    <cellStyle name="Normal 2 2 2 2 2 2 2 2 2 2 2 2 2 2 2 2 2 2 2 2 2 2 2 2 28" xfId="23194"/>
    <cellStyle name="Normal 2 2 2 2 2 2 2 2 2 2 2 2 2 2 2 2 2 2 2 2 2 2 2 2 3" xfId="23195"/>
    <cellStyle name="Normal 2 2 2 2 2 2 2 2 2 2 2 2 2 2 2 2 2 2 2 2 2 2 2 2 4" xfId="23196"/>
    <cellStyle name="Normal 2 2 2 2 2 2 2 2 2 2 2 2 2 2 2 2 2 2 2 2 2 2 2 2 5" xfId="23197"/>
    <cellStyle name="Normal 2 2 2 2 2 2 2 2 2 2 2 2 2 2 2 2 2 2 2 2 2 2 2 2 6" xfId="23198"/>
    <cellStyle name="Normal 2 2 2 2 2 2 2 2 2 2 2 2 2 2 2 2 2 2 2 2 2 2 2 2 7" xfId="23199"/>
    <cellStyle name="Normal 2 2 2 2 2 2 2 2 2 2 2 2 2 2 2 2 2 2 2 2 2 2 2 2 7 2" xfId="23200"/>
    <cellStyle name="Normal 2 2 2 2 2 2 2 2 2 2 2 2 2 2 2 2 2 2 2 2 2 2 2 2 7 3" xfId="23201"/>
    <cellStyle name="Normal 2 2 2 2 2 2 2 2 2 2 2 2 2 2 2 2 2 2 2 2 2 2 2 2 7 4" xfId="23202"/>
    <cellStyle name="Normal 2 2 2 2 2 2 2 2 2 2 2 2 2 2 2 2 2 2 2 2 2 2 2 2 7 5" xfId="23203"/>
    <cellStyle name="Normal 2 2 2 2 2 2 2 2 2 2 2 2 2 2 2 2 2 2 2 2 2 2 2 2 7 6" xfId="23204"/>
    <cellStyle name="Normal 2 2 2 2 2 2 2 2 2 2 2 2 2 2 2 2 2 2 2 2 2 2 2 2 7 7" xfId="23205"/>
    <cellStyle name="Normal 2 2 2 2 2 2 2 2 2 2 2 2 2 2 2 2 2 2 2 2 2 2 2 2 7 8" xfId="23206"/>
    <cellStyle name="Normal 2 2 2 2 2 2 2 2 2 2 2 2 2 2 2 2 2 2 2 2 2 2 2 2 8" xfId="23207"/>
    <cellStyle name="Normal 2 2 2 2 2 2 2 2 2 2 2 2 2 2 2 2 2 2 2 2 2 2 2 2 9" xfId="23208"/>
    <cellStyle name="Normal 2 2 2 2 2 2 2 2 2 2 2 2 2 2 2 2 2 2 2 2 2 2 2 2_XI Introductory Section (version 3)" xfId="23209"/>
    <cellStyle name="Normal 2 2 2 2 2 2 2 2 2 2 2 2 2 2 2 2 2 2 2 2 2 2 2 20" xfId="23210"/>
    <cellStyle name="Normal 2 2 2 2 2 2 2 2 2 2 2 2 2 2 2 2 2 2 2 2 2 2 2 21" xfId="23211"/>
    <cellStyle name="Normal 2 2 2 2 2 2 2 2 2 2 2 2 2 2 2 2 2 2 2 2 2 2 2 21 2" xfId="23212"/>
    <cellStyle name="Normal 2 2 2 2 2 2 2 2 2 2 2 2 2 2 2 2 2 2 2 2 2 2 2 22" xfId="23213"/>
    <cellStyle name="Normal 2 2 2 2 2 2 2 2 2 2 2 2 2 2 2 2 2 2 2 2 2 2 2 23" xfId="23214"/>
    <cellStyle name="Normal 2 2 2 2 2 2 2 2 2 2 2 2 2 2 2 2 2 2 2 2 2 2 2 24" xfId="23215"/>
    <cellStyle name="Normal 2 2 2 2 2 2 2 2 2 2 2 2 2 2 2 2 2 2 2 2 2 2 2 24 2" xfId="23216"/>
    <cellStyle name="Normal 2 2 2 2 2 2 2 2 2 2 2 2 2 2 2 2 2 2 2 2 2 2 2 25" xfId="23217"/>
    <cellStyle name="Normal 2 2 2 2 2 2 2 2 2 2 2 2 2 2 2 2 2 2 2 2 2 2 2 26" xfId="23218"/>
    <cellStyle name="Normal 2 2 2 2 2 2 2 2 2 2 2 2 2 2 2 2 2 2 2 2 2 2 2 27" xfId="23219"/>
    <cellStyle name="Normal 2 2 2 2 2 2 2 2 2 2 2 2 2 2 2 2 2 2 2 2 2 2 2 27 2" xfId="23220"/>
    <cellStyle name="Normal 2 2 2 2 2 2 2 2 2 2 2 2 2 2 2 2 2 2 2 2 2 2 2 27 3" xfId="23221"/>
    <cellStyle name="Normal 2 2 2 2 2 2 2 2 2 2 2 2 2 2 2 2 2 2 2 2 2 2 2 27 4" xfId="23222"/>
    <cellStyle name="Normal 2 2 2 2 2 2 2 2 2 2 2 2 2 2 2 2 2 2 2 2 2 2 2 28" xfId="23223"/>
    <cellStyle name="Normal 2 2 2 2 2 2 2 2 2 2 2 2 2 2 2 2 2 2 2 2 2 2 2 29" xfId="23224"/>
    <cellStyle name="Normal 2 2 2 2 2 2 2 2 2 2 2 2 2 2 2 2 2 2 2 2 2 2 2 3" xfId="23225"/>
    <cellStyle name="Normal 2 2 2 2 2 2 2 2 2 2 2 2 2 2 2 2 2 2 2 2 2 2 2 4" xfId="23226"/>
    <cellStyle name="Normal 2 2 2 2 2 2 2 2 2 2 2 2 2 2 2 2 2 2 2 2 2 2 2 5" xfId="23227"/>
    <cellStyle name="Normal 2 2 2 2 2 2 2 2 2 2 2 2 2 2 2 2 2 2 2 2 2 2 2 6" xfId="23228"/>
    <cellStyle name="Normal 2 2 2 2 2 2 2 2 2 2 2 2 2 2 2 2 2 2 2 2 2 2 2 7" xfId="23229"/>
    <cellStyle name="Normal 2 2 2 2 2 2 2 2 2 2 2 2 2 2 2 2 2 2 2 2 2 2 2 8" xfId="23230"/>
    <cellStyle name="Normal 2 2 2 2 2 2 2 2 2 2 2 2 2 2 2 2 2 2 2 2 2 2 2 8 2" xfId="23231"/>
    <cellStyle name="Normal 2 2 2 2 2 2 2 2 2 2 2 2 2 2 2 2 2 2 2 2 2 2 2 8 3" xfId="23232"/>
    <cellStyle name="Normal 2 2 2 2 2 2 2 2 2 2 2 2 2 2 2 2 2 2 2 2 2 2 2 8 4" xfId="23233"/>
    <cellStyle name="Normal 2 2 2 2 2 2 2 2 2 2 2 2 2 2 2 2 2 2 2 2 2 2 2 8 5" xfId="23234"/>
    <cellStyle name="Normal 2 2 2 2 2 2 2 2 2 2 2 2 2 2 2 2 2 2 2 2 2 2 2 8 6" xfId="23235"/>
    <cellStyle name="Normal 2 2 2 2 2 2 2 2 2 2 2 2 2 2 2 2 2 2 2 2 2 2 2 8 7" xfId="23236"/>
    <cellStyle name="Normal 2 2 2 2 2 2 2 2 2 2 2 2 2 2 2 2 2 2 2 2 2 2 2 8 8" xfId="23237"/>
    <cellStyle name="Normal 2 2 2 2 2 2 2 2 2 2 2 2 2 2 2 2 2 2 2 2 2 2 2 9" xfId="23238"/>
    <cellStyle name="Normal 2 2 2 2 2 2 2 2 2 2 2 2 2 2 2 2 2 2 2 2 2 2 20" xfId="23239"/>
    <cellStyle name="Normal 2 2 2 2 2 2 2 2 2 2 2 2 2 2 2 2 2 2 2 2 2 2 21" xfId="23240"/>
    <cellStyle name="Normal 2 2 2 2 2 2 2 2 2 2 2 2 2 2 2 2 2 2 2 2 2 2 21 2" xfId="23241"/>
    <cellStyle name="Normal 2 2 2 2 2 2 2 2 2 2 2 2 2 2 2 2 2 2 2 2 2 2 22" xfId="23242"/>
    <cellStyle name="Normal 2 2 2 2 2 2 2 2 2 2 2 2 2 2 2 2 2 2 2 2 2 2 23" xfId="23243"/>
    <cellStyle name="Normal 2 2 2 2 2 2 2 2 2 2 2 2 2 2 2 2 2 2 2 2 2 2 24" xfId="23244"/>
    <cellStyle name="Normal 2 2 2 2 2 2 2 2 2 2 2 2 2 2 2 2 2 2 2 2 2 2 24 2" xfId="23245"/>
    <cellStyle name="Normal 2 2 2 2 2 2 2 2 2 2 2 2 2 2 2 2 2 2 2 2 2 2 25" xfId="23246"/>
    <cellStyle name="Normal 2 2 2 2 2 2 2 2 2 2 2 2 2 2 2 2 2 2 2 2 2 2 26" xfId="23247"/>
    <cellStyle name="Normal 2 2 2 2 2 2 2 2 2 2 2 2 2 2 2 2 2 2 2 2 2 2 27" xfId="23248"/>
    <cellStyle name="Normal 2 2 2 2 2 2 2 2 2 2 2 2 2 2 2 2 2 2 2 2 2 2 27 2" xfId="23249"/>
    <cellStyle name="Normal 2 2 2 2 2 2 2 2 2 2 2 2 2 2 2 2 2 2 2 2 2 2 27 3" xfId="23250"/>
    <cellStyle name="Normal 2 2 2 2 2 2 2 2 2 2 2 2 2 2 2 2 2 2 2 2 2 2 27 4" xfId="23251"/>
    <cellStyle name="Normal 2 2 2 2 2 2 2 2 2 2 2 2 2 2 2 2 2 2 2 2 2 2 28" xfId="23252"/>
    <cellStyle name="Normal 2 2 2 2 2 2 2 2 2 2 2 2 2 2 2 2 2 2 2 2 2 2 29" xfId="23253"/>
    <cellStyle name="Normal 2 2 2 2 2 2 2 2 2 2 2 2 2 2 2 2 2 2 2 2 2 2 3" xfId="23254"/>
    <cellStyle name="Normal 2 2 2 2 2 2 2 2 2 2 2 2 2 2 2 2 2 2 2 2 2 2 3 2" xfId="23255"/>
    <cellStyle name="Normal 2 2 2 2 2 2 2 2 2 2 2 2 2 2 2 2 2 2 2 2 2 2 4" xfId="23256"/>
    <cellStyle name="Normal 2 2 2 2 2 2 2 2 2 2 2 2 2 2 2 2 2 2 2 2 2 2 5" xfId="23257"/>
    <cellStyle name="Normal 2 2 2 2 2 2 2 2 2 2 2 2 2 2 2 2 2 2 2 2 2 2 6" xfId="23258"/>
    <cellStyle name="Normal 2 2 2 2 2 2 2 2 2 2 2 2 2 2 2 2 2 2 2 2 2 2 7" xfId="23259"/>
    <cellStyle name="Normal 2 2 2 2 2 2 2 2 2 2 2 2 2 2 2 2 2 2 2 2 2 2 8" xfId="23260"/>
    <cellStyle name="Normal 2 2 2 2 2 2 2 2 2 2 2 2 2 2 2 2 2 2 2 2 2 2 8 2" xfId="23261"/>
    <cellStyle name="Normal 2 2 2 2 2 2 2 2 2 2 2 2 2 2 2 2 2 2 2 2 2 2 8 3" xfId="23262"/>
    <cellStyle name="Normal 2 2 2 2 2 2 2 2 2 2 2 2 2 2 2 2 2 2 2 2 2 2 8 4" xfId="23263"/>
    <cellStyle name="Normal 2 2 2 2 2 2 2 2 2 2 2 2 2 2 2 2 2 2 2 2 2 2 8 5" xfId="23264"/>
    <cellStyle name="Normal 2 2 2 2 2 2 2 2 2 2 2 2 2 2 2 2 2 2 2 2 2 2 8 6" xfId="23265"/>
    <cellStyle name="Normal 2 2 2 2 2 2 2 2 2 2 2 2 2 2 2 2 2 2 2 2 2 2 8 7" xfId="23266"/>
    <cellStyle name="Normal 2 2 2 2 2 2 2 2 2 2 2 2 2 2 2 2 2 2 2 2 2 2 8 8" xfId="23267"/>
    <cellStyle name="Normal 2 2 2 2 2 2 2 2 2 2 2 2 2 2 2 2 2 2 2 2 2 2 9" xfId="23268"/>
    <cellStyle name="Normal 2 2 2 2 2 2 2 2 2 2 2 2 2 2 2 2 2 2 2 2 2 2_XI Introductory Section (version 3)" xfId="23269"/>
    <cellStyle name="Normal 2 2 2 2 2 2 2 2 2 2 2 2 2 2 2 2 2 2 2 2 2 20" xfId="23270"/>
    <cellStyle name="Normal 2 2 2 2 2 2 2 2 2 2 2 2 2 2 2 2 2 2 2 2 2 20 2" xfId="23271"/>
    <cellStyle name="Normal 2 2 2 2 2 2 2 2 2 2 2 2 2 2 2 2 2 2 2 2 2 20 2 2" xfId="23272"/>
    <cellStyle name="Normal 2 2 2 2 2 2 2 2 2 2 2 2 2 2 2 2 2 2 2 2 2 21" xfId="23273"/>
    <cellStyle name="Normal 2 2 2 2 2 2 2 2 2 2 2 2 2 2 2 2 2 2 2 2 2 22" xfId="23274"/>
    <cellStyle name="Normal 2 2 2 2 2 2 2 2 2 2 2 2 2 2 2 2 2 2 2 2 2 22 2" xfId="23275"/>
    <cellStyle name="Normal 2 2 2 2 2 2 2 2 2 2 2 2 2 2 2 2 2 2 2 2 2 23" xfId="23276"/>
    <cellStyle name="Normal 2 2 2 2 2 2 2 2 2 2 2 2 2 2 2 2 2 2 2 2 2 24" xfId="23277"/>
    <cellStyle name="Normal 2 2 2 2 2 2 2 2 2 2 2 2 2 2 2 2 2 2 2 2 2 25" xfId="23278"/>
    <cellStyle name="Normal 2 2 2 2 2 2 2 2 2 2 2 2 2 2 2 2 2 2 2 2 2 25 2" xfId="23279"/>
    <cellStyle name="Normal 2 2 2 2 2 2 2 2 2 2 2 2 2 2 2 2 2 2 2 2 2 26" xfId="23280"/>
    <cellStyle name="Normal 2 2 2 2 2 2 2 2 2 2 2 2 2 2 2 2 2 2 2 2 2 27" xfId="23281"/>
    <cellStyle name="Normal 2 2 2 2 2 2 2 2 2 2 2 2 2 2 2 2 2 2 2 2 2 28" xfId="23282"/>
    <cellStyle name="Normal 2 2 2 2 2 2 2 2 2 2 2 2 2 2 2 2 2 2 2 2 2 28 2" xfId="23283"/>
    <cellStyle name="Normal 2 2 2 2 2 2 2 2 2 2 2 2 2 2 2 2 2 2 2 2 2 28 3" xfId="23284"/>
    <cellStyle name="Normal 2 2 2 2 2 2 2 2 2 2 2 2 2 2 2 2 2 2 2 2 2 28 4" xfId="23285"/>
    <cellStyle name="Normal 2 2 2 2 2 2 2 2 2 2 2 2 2 2 2 2 2 2 2 2 2 29" xfId="23286"/>
    <cellStyle name="Normal 2 2 2 2 2 2 2 2 2 2 2 2 2 2 2 2 2 2 2 2 2 3" xfId="23287"/>
    <cellStyle name="Normal 2 2 2 2 2 2 2 2 2 2 2 2 2 2 2 2 2 2 2 2 2 3 2" xfId="23288"/>
    <cellStyle name="Normal 2 2 2 2 2 2 2 2 2 2 2 2 2 2 2 2 2 2 2 2 2 3 2 2" xfId="23289"/>
    <cellStyle name="Normal 2 2 2 2 2 2 2 2 2 2 2 2 2 2 2 2 2 2 2 2 2 30" xfId="23290"/>
    <cellStyle name="Normal 2 2 2 2 2 2 2 2 2 2 2 2 2 2 2 2 2 2 2 2 2 31" xfId="23291"/>
    <cellStyle name="Normal 2 2 2 2 2 2 2 2 2 2 2 2 2 2 2 2 2 2 2 2 2 4" xfId="23292"/>
    <cellStyle name="Normal 2 2 2 2 2 2 2 2 2 2 2 2 2 2 2 2 2 2 2 2 2 5" xfId="23293"/>
    <cellStyle name="Normal 2 2 2 2 2 2 2 2 2 2 2 2 2 2 2 2 2 2 2 2 2 6" xfId="23294"/>
    <cellStyle name="Normal 2 2 2 2 2 2 2 2 2 2 2 2 2 2 2 2 2 2 2 2 2 7" xfId="23295"/>
    <cellStyle name="Normal 2 2 2 2 2 2 2 2 2 2 2 2 2 2 2 2 2 2 2 2 2 8" xfId="23296"/>
    <cellStyle name="Normal 2 2 2 2 2 2 2 2 2 2 2 2 2 2 2 2 2 2 2 2 2 9" xfId="23297"/>
    <cellStyle name="Normal 2 2 2 2 2 2 2 2 2 2 2 2 2 2 2 2 2 2 2 2 2 9 2" xfId="23298"/>
    <cellStyle name="Normal 2 2 2 2 2 2 2 2 2 2 2 2 2 2 2 2 2 2 2 2 2 9 3" xfId="23299"/>
    <cellStyle name="Normal 2 2 2 2 2 2 2 2 2 2 2 2 2 2 2 2 2 2 2 2 2 9 4" xfId="23300"/>
    <cellStyle name="Normal 2 2 2 2 2 2 2 2 2 2 2 2 2 2 2 2 2 2 2 2 2 9 5" xfId="23301"/>
    <cellStyle name="Normal 2 2 2 2 2 2 2 2 2 2 2 2 2 2 2 2 2 2 2 2 2 9 6" xfId="23302"/>
    <cellStyle name="Normal 2 2 2 2 2 2 2 2 2 2 2 2 2 2 2 2 2 2 2 2 2 9 7" xfId="23303"/>
    <cellStyle name="Normal 2 2 2 2 2 2 2 2 2 2 2 2 2 2 2 2 2 2 2 2 2 9 8" xfId="23304"/>
    <cellStyle name="Normal 2 2 2 2 2 2 2 2 2 2 2 2 2 2 2 2 2 2 2 2 20" xfId="23305"/>
    <cellStyle name="Normal 2 2 2 2 2 2 2 2 2 2 2 2 2 2 2 2 2 2 2 2 21" xfId="23306"/>
    <cellStyle name="Normal 2 2 2 2 2 2 2 2 2 2 2 2 2 2 2 2 2 2 2 2 21 2" xfId="23307"/>
    <cellStyle name="Normal 2 2 2 2 2 2 2 2 2 2 2 2 2 2 2 2 2 2 2 2 21 2 2" xfId="23308"/>
    <cellStyle name="Normal 2 2 2 2 2 2 2 2 2 2 2 2 2 2 2 2 2 2 2 2 22" xfId="23309"/>
    <cellStyle name="Normal 2 2 2 2 2 2 2 2 2 2 2 2 2 2 2 2 2 2 2 2 23" xfId="23310"/>
    <cellStyle name="Normal 2 2 2 2 2 2 2 2 2 2 2 2 2 2 2 2 2 2 2 2 23 2" xfId="23311"/>
    <cellStyle name="Normal 2 2 2 2 2 2 2 2 2 2 2 2 2 2 2 2 2 2 2 2 24" xfId="23312"/>
    <cellStyle name="Normal 2 2 2 2 2 2 2 2 2 2 2 2 2 2 2 2 2 2 2 2 25" xfId="23313"/>
    <cellStyle name="Normal 2 2 2 2 2 2 2 2 2 2 2 2 2 2 2 2 2 2 2 2 26" xfId="23314"/>
    <cellStyle name="Normal 2 2 2 2 2 2 2 2 2 2 2 2 2 2 2 2 2 2 2 2 26 2" xfId="23315"/>
    <cellStyle name="Normal 2 2 2 2 2 2 2 2 2 2 2 2 2 2 2 2 2 2 2 2 27" xfId="23316"/>
    <cellStyle name="Normal 2 2 2 2 2 2 2 2 2 2 2 2 2 2 2 2 2 2 2 2 28" xfId="23317"/>
    <cellStyle name="Normal 2 2 2 2 2 2 2 2 2 2 2 2 2 2 2 2 2 2 2 2 29" xfId="23318"/>
    <cellStyle name="Normal 2 2 2 2 2 2 2 2 2 2 2 2 2 2 2 2 2 2 2 2 29 2" xfId="23319"/>
    <cellStyle name="Normal 2 2 2 2 2 2 2 2 2 2 2 2 2 2 2 2 2 2 2 2 29 3" xfId="23320"/>
    <cellStyle name="Normal 2 2 2 2 2 2 2 2 2 2 2 2 2 2 2 2 2 2 2 2 29 4" xfId="23321"/>
    <cellStyle name="Normal 2 2 2 2 2 2 2 2 2 2 2 2 2 2 2 2 2 2 2 2 3" xfId="23322"/>
    <cellStyle name="Normal 2 2 2 2 2 2 2 2 2 2 2 2 2 2 2 2 2 2 2 2 30" xfId="23323"/>
    <cellStyle name="Normal 2 2 2 2 2 2 2 2 2 2 2 2 2 2 2 2 2 2 2 2 31" xfId="23324"/>
    <cellStyle name="Normal 2 2 2 2 2 2 2 2 2 2 2 2 2 2 2 2 2 2 2 2 32" xfId="23325"/>
    <cellStyle name="Normal 2 2 2 2 2 2 2 2 2 2 2 2 2 2 2 2 2 2 2 2 4" xfId="23326"/>
    <cellStyle name="Normal 2 2 2 2 2 2 2 2 2 2 2 2 2 2 2 2 2 2 2 2 4 2" xfId="23327"/>
    <cellStyle name="Normal 2 2 2 2 2 2 2 2 2 2 2 2 2 2 2 2 2 2 2 2 4 2 2" xfId="23328"/>
    <cellStyle name="Normal 2 2 2 2 2 2 2 2 2 2 2 2 2 2 2 2 2 2 2 2 4 3" xfId="23329"/>
    <cellStyle name="Normal 2 2 2 2 2 2 2 2 2 2 2 2 2 2 2 2 2 2 2 2 5" xfId="23330"/>
    <cellStyle name="Normal 2 2 2 2 2 2 2 2 2 2 2 2 2 2 2 2 2 2 2 2 5 2" xfId="23331"/>
    <cellStyle name="Normal 2 2 2 2 2 2 2 2 2 2 2 2 2 2 2 2 2 2 2 2 6" xfId="23332"/>
    <cellStyle name="Normal 2 2 2 2 2 2 2 2 2 2 2 2 2 2 2 2 2 2 2 2 6 2" xfId="23333"/>
    <cellStyle name="Normal 2 2 2 2 2 2 2 2 2 2 2 2 2 2 2 2 2 2 2 2 7" xfId="23334"/>
    <cellStyle name="Normal 2 2 2 2 2 2 2 2 2 2 2 2 2 2 2 2 2 2 2 2 8" xfId="23335"/>
    <cellStyle name="Normal 2 2 2 2 2 2 2 2 2 2 2 2 2 2 2 2 2 2 2 2 9" xfId="23336"/>
    <cellStyle name="Normal 2 2 2 2 2 2 2 2 2 2 2 2 2 2 2 2 2 2 2 2_XI Introductory Section (version 3)" xfId="23337"/>
    <cellStyle name="Normal 2 2 2 2 2 2 2 2 2 2 2 2 2 2 2 2 2 2 2 20" xfId="23338"/>
    <cellStyle name="Normal 2 2 2 2 2 2 2 2 2 2 2 2 2 2 2 2 2 2 2 21" xfId="23339"/>
    <cellStyle name="Normal 2 2 2 2 2 2 2 2 2 2 2 2 2 2 2 2 2 2 2 21 2" xfId="23340"/>
    <cellStyle name="Normal 2 2 2 2 2 2 2 2 2 2 2 2 2 2 2 2 2 2 2 21 2 2" xfId="23341"/>
    <cellStyle name="Normal 2 2 2 2 2 2 2 2 2 2 2 2 2 2 2 2 2 2 2 22" xfId="23342"/>
    <cellStyle name="Normal 2 2 2 2 2 2 2 2 2 2 2 2 2 2 2 2 2 2 2 23" xfId="23343"/>
    <cellStyle name="Normal 2 2 2 2 2 2 2 2 2 2 2 2 2 2 2 2 2 2 2 23 2" xfId="23344"/>
    <cellStyle name="Normal 2 2 2 2 2 2 2 2 2 2 2 2 2 2 2 2 2 2 2 24" xfId="23345"/>
    <cellStyle name="Normal 2 2 2 2 2 2 2 2 2 2 2 2 2 2 2 2 2 2 2 25" xfId="23346"/>
    <cellStyle name="Normal 2 2 2 2 2 2 2 2 2 2 2 2 2 2 2 2 2 2 2 26" xfId="23347"/>
    <cellStyle name="Normal 2 2 2 2 2 2 2 2 2 2 2 2 2 2 2 2 2 2 2 26 2" xfId="23348"/>
    <cellStyle name="Normal 2 2 2 2 2 2 2 2 2 2 2 2 2 2 2 2 2 2 2 27" xfId="23349"/>
    <cellStyle name="Normal 2 2 2 2 2 2 2 2 2 2 2 2 2 2 2 2 2 2 2 28" xfId="23350"/>
    <cellStyle name="Normal 2 2 2 2 2 2 2 2 2 2 2 2 2 2 2 2 2 2 2 29" xfId="23351"/>
    <cellStyle name="Normal 2 2 2 2 2 2 2 2 2 2 2 2 2 2 2 2 2 2 2 29 2" xfId="23352"/>
    <cellStyle name="Normal 2 2 2 2 2 2 2 2 2 2 2 2 2 2 2 2 2 2 2 29 3" xfId="23353"/>
    <cellStyle name="Normal 2 2 2 2 2 2 2 2 2 2 2 2 2 2 2 2 2 2 2 29 4" xfId="23354"/>
    <cellStyle name="Normal 2 2 2 2 2 2 2 2 2 2 2 2 2 2 2 2 2 2 2 3" xfId="23355"/>
    <cellStyle name="Normal 2 2 2 2 2 2 2 2 2 2 2 2 2 2 2 2 2 2 2 3 2" xfId="23356"/>
    <cellStyle name="Normal 2 2 2 2 2 2 2 2 2 2 2 2 2 2 2 2 2 2 2 3 3" xfId="23357"/>
    <cellStyle name="Normal 2 2 2 2 2 2 2 2 2 2 2 2 2 2 2 2 2 2 2 30" xfId="23358"/>
    <cellStyle name="Normal 2 2 2 2 2 2 2 2 2 2 2 2 2 2 2 2 2 2 2 31" xfId="23359"/>
    <cellStyle name="Normal 2 2 2 2 2 2 2 2 2 2 2 2 2 2 2 2 2 2 2 32" xfId="23360"/>
    <cellStyle name="Normal 2 2 2 2 2 2 2 2 2 2 2 2 2 2 2 2 2 2 2 4" xfId="23361"/>
    <cellStyle name="Normal 2 2 2 2 2 2 2 2 2 2 2 2 2 2 2 2 2 2 2 4 2" xfId="23362"/>
    <cellStyle name="Normal 2 2 2 2 2 2 2 2 2 2 2 2 2 2 2 2 2 2 2 4 2 2" xfId="23363"/>
    <cellStyle name="Normal 2 2 2 2 2 2 2 2 2 2 2 2 2 2 2 2 2 2 2 4 3" xfId="23364"/>
    <cellStyle name="Normal 2 2 2 2 2 2 2 2 2 2 2 2 2 2 2 2 2 2 2 5" xfId="23365"/>
    <cellStyle name="Normal 2 2 2 2 2 2 2 2 2 2 2 2 2 2 2 2 2 2 2 5 2" xfId="23366"/>
    <cellStyle name="Normal 2 2 2 2 2 2 2 2 2 2 2 2 2 2 2 2 2 2 2 6" xfId="23367"/>
    <cellStyle name="Normal 2 2 2 2 2 2 2 2 2 2 2 2 2 2 2 2 2 2 2 6 2" xfId="23368"/>
    <cellStyle name="Normal 2 2 2 2 2 2 2 2 2 2 2 2 2 2 2 2 2 2 2 7" xfId="23369"/>
    <cellStyle name="Normal 2 2 2 2 2 2 2 2 2 2 2 2 2 2 2 2 2 2 2 8" xfId="23370"/>
    <cellStyle name="Normal 2 2 2 2 2 2 2 2 2 2 2 2 2 2 2 2 2 2 2 9" xfId="23371"/>
    <cellStyle name="Normal 2 2 2 2 2 2 2 2 2 2 2 2 2 2 2 2 2 2 20" xfId="23372"/>
    <cellStyle name="Normal 2 2 2 2 2 2 2 2 2 2 2 2 2 2 2 2 2 2 21" xfId="23373"/>
    <cellStyle name="Normal 2 2 2 2 2 2 2 2 2 2 2 2 2 2 2 2 2 2 22" xfId="23374"/>
    <cellStyle name="Normal 2 2 2 2 2 2 2 2 2 2 2 2 2 2 2 2 2 2 22 2" xfId="23375"/>
    <cellStyle name="Normal 2 2 2 2 2 2 2 2 2 2 2 2 2 2 2 2 2 2 22 2 2" xfId="23376"/>
    <cellStyle name="Normal 2 2 2 2 2 2 2 2 2 2 2 2 2 2 2 2 2 2 23" xfId="23377"/>
    <cellStyle name="Normal 2 2 2 2 2 2 2 2 2 2 2 2 2 2 2 2 2 2 24" xfId="23378"/>
    <cellStyle name="Normal 2 2 2 2 2 2 2 2 2 2 2 2 2 2 2 2 2 2 24 2" xfId="23379"/>
    <cellStyle name="Normal 2 2 2 2 2 2 2 2 2 2 2 2 2 2 2 2 2 2 25" xfId="23380"/>
    <cellStyle name="Normal 2 2 2 2 2 2 2 2 2 2 2 2 2 2 2 2 2 2 26" xfId="23381"/>
    <cellStyle name="Normal 2 2 2 2 2 2 2 2 2 2 2 2 2 2 2 2 2 2 27" xfId="23382"/>
    <cellStyle name="Normal 2 2 2 2 2 2 2 2 2 2 2 2 2 2 2 2 2 2 27 2" xfId="23383"/>
    <cellStyle name="Normal 2 2 2 2 2 2 2 2 2 2 2 2 2 2 2 2 2 2 28" xfId="23384"/>
    <cellStyle name="Normal 2 2 2 2 2 2 2 2 2 2 2 2 2 2 2 2 2 2 29" xfId="23385"/>
    <cellStyle name="Normal 2 2 2 2 2 2 2 2 2 2 2 2 2 2 2 2 2 2 3" xfId="23386"/>
    <cellStyle name="Normal 2 2 2 2 2 2 2 2 2 2 2 2 2 2 2 2 2 2 30" xfId="23387"/>
    <cellStyle name="Normal 2 2 2 2 2 2 2 2 2 2 2 2 2 2 2 2 2 2 30 2" xfId="23388"/>
    <cellStyle name="Normal 2 2 2 2 2 2 2 2 2 2 2 2 2 2 2 2 2 2 30 3" xfId="23389"/>
    <cellStyle name="Normal 2 2 2 2 2 2 2 2 2 2 2 2 2 2 2 2 2 2 30 4" xfId="23390"/>
    <cellStyle name="Normal 2 2 2 2 2 2 2 2 2 2 2 2 2 2 2 2 2 2 31" xfId="23391"/>
    <cellStyle name="Normal 2 2 2 2 2 2 2 2 2 2 2 2 2 2 2 2 2 2 32" xfId="23392"/>
    <cellStyle name="Normal 2 2 2 2 2 2 2 2 2 2 2 2 2 2 2 2 2 2 33" xfId="23393"/>
    <cellStyle name="Normal 2 2 2 2 2 2 2 2 2 2 2 2 2 2 2 2 2 2 34" xfId="23394"/>
    <cellStyle name="Normal 2 2 2 2 2 2 2 2 2 2 2 2 2 2 2 2 2 2 35" xfId="23395"/>
    <cellStyle name="Normal 2 2 2 2 2 2 2 2 2 2 2 2 2 2 2 2 2 2 4" xfId="23396"/>
    <cellStyle name="Normal 2 2 2 2 2 2 2 2 2 2 2 2 2 2 2 2 2 2 4 2" xfId="23397"/>
    <cellStyle name="Normal 2 2 2 2 2 2 2 2 2 2 2 2 2 2 2 2 2 2 4 3" xfId="23398"/>
    <cellStyle name="Normal 2 2 2 2 2 2 2 2 2 2 2 2 2 2 2 2 2 2 5" xfId="23399"/>
    <cellStyle name="Normal 2 2 2 2 2 2 2 2 2 2 2 2 2 2 2 2 2 2 5 2" xfId="23400"/>
    <cellStyle name="Normal 2 2 2 2 2 2 2 2 2 2 2 2 2 2 2 2 2 2 5 2 2" xfId="23401"/>
    <cellStyle name="Normal 2 2 2 2 2 2 2 2 2 2 2 2 2 2 2 2 2 2 5 3" xfId="23402"/>
    <cellStyle name="Normal 2 2 2 2 2 2 2 2 2 2 2 2 2 2 2 2 2 2 6" xfId="23403"/>
    <cellStyle name="Normal 2 2 2 2 2 2 2 2 2 2 2 2 2 2 2 2 2 2 6 2" xfId="23404"/>
    <cellStyle name="Normal 2 2 2 2 2 2 2 2 2 2 2 2 2 2 2 2 2 2 7" xfId="23405"/>
    <cellStyle name="Normal 2 2 2 2 2 2 2 2 2 2 2 2 2 2 2 2 2 2 7 2" xfId="23406"/>
    <cellStyle name="Normal 2 2 2 2 2 2 2 2 2 2 2 2 2 2 2 2 2 2 8" xfId="23407"/>
    <cellStyle name="Normal 2 2 2 2 2 2 2 2 2 2 2 2 2 2 2 2 2 2 9" xfId="23408"/>
    <cellStyle name="Normal 2 2 2 2 2 2 2 2 2 2 2 2 2 2 2 2 2 2_XI Introductory Section (version 3)" xfId="23409"/>
    <cellStyle name="Normal 2 2 2 2 2 2 2 2 2 2 2 2 2 2 2 2 2 20" xfId="23410"/>
    <cellStyle name="Normal 2 2 2 2 2 2 2 2 2 2 2 2 2 2 2 2 2 20 2" xfId="23411"/>
    <cellStyle name="Normal 2 2 2 2 2 2 2 2 2 2 2 2 2 2 2 2 2 20_REVISIONS SORRY" xfId="23412"/>
    <cellStyle name="Normal 2 2 2 2 2 2 2 2 2 2 2 2 2 2 2 2 2 21" xfId="23413"/>
    <cellStyle name="Normal 2 2 2 2 2 2 2 2 2 2 2 2 2 2 2 2 2 22" xfId="23414"/>
    <cellStyle name="Normal 2 2 2 2 2 2 2 2 2 2 2 2 2 2 2 2 2 23" xfId="23415"/>
    <cellStyle name="Normal 2 2 2 2 2 2 2 2 2 2 2 2 2 2 2 2 2 23 2" xfId="23416"/>
    <cellStyle name="Normal 2 2 2 2 2 2 2 2 2 2 2 2 2 2 2 2 2 23 2 2" xfId="23417"/>
    <cellStyle name="Normal 2 2 2 2 2 2 2 2 2 2 2 2 2 2 2 2 2 24" xfId="23418"/>
    <cellStyle name="Normal 2 2 2 2 2 2 2 2 2 2 2 2 2 2 2 2 2 25" xfId="23419"/>
    <cellStyle name="Normal 2 2 2 2 2 2 2 2 2 2 2 2 2 2 2 2 2 25 2" xfId="23420"/>
    <cellStyle name="Normal 2 2 2 2 2 2 2 2 2 2 2 2 2 2 2 2 2 26" xfId="23421"/>
    <cellStyle name="Normal 2 2 2 2 2 2 2 2 2 2 2 2 2 2 2 2 2 27" xfId="23422"/>
    <cellStyle name="Normal 2 2 2 2 2 2 2 2 2 2 2 2 2 2 2 2 2 28" xfId="23423"/>
    <cellStyle name="Normal 2 2 2 2 2 2 2 2 2 2 2 2 2 2 2 2 2 28 2" xfId="23424"/>
    <cellStyle name="Normal 2 2 2 2 2 2 2 2 2 2 2 2 2 2 2 2 2 29" xfId="23425"/>
    <cellStyle name="Normal 2 2 2 2 2 2 2 2 2 2 2 2 2 2 2 2 2 3" xfId="23426"/>
    <cellStyle name="Normal 2 2 2 2 2 2 2 2 2 2 2 2 2 2 2 2 2 30" xfId="23427"/>
    <cellStyle name="Normal 2 2 2 2 2 2 2 2 2 2 2 2 2 2 2 2 2 31" xfId="23428"/>
    <cellStyle name="Normal 2 2 2 2 2 2 2 2 2 2 2 2 2 2 2 2 2 31 2" xfId="23429"/>
    <cellStyle name="Normal 2 2 2 2 2 2 2 2 2 2 2 2 2 2 2 2 2 31 3" xfId="23430"/>
    <cellStyle name="Normal 2 2 2 2 2 2 2 2 2 2 2 2 2 2 2 2 2 31 4" xfId="23431"/>
    <cellStyle name="Normal 2 2 2 2 2 2 2 2 2 2 2 2 2 2 2 2 2 32" xfId="23432"/>
    <cellStyle name="Normal 2 2 2 2 2 2 2 2 2 2 2 2 2 2 2 2 2 33" xfId="23433"/>
    <cellStyle name="Normal 2 2 2 2 2 2 2 2 2 2 2 2 2 2 2 2 2 34" xfId="23434"/>
    <cellStyle name="Normal 2 2 2 2 2 2 2 2 2 2 2 2 2 2 2 2 2 35" xfId="23435"/>
    <cellStyle name="Normal 2 2 2 2 2 2 2 2 2 2 2 2 2 2 2 2 2 36" xfId="23436"/>
    <cellStyle name="Normal 2 2 2 2 2 2 2 2 2 2 2 2 2 2 2 2 2 4" xfId="23437"/>
    <cellStyle name="Normal 2 2 2 2 2 2 2 2 2 2 2 2 2 2 2 2 2 4 2" xfId="23438"/>
    <cellStyle name="Normal 2 2 2 2 2 2 2 2 2 2 2 2 2 2 2 2 2 4 2 2" xfId="23439"/>
    <cellStyle name="Normal 2 2 2 2 2 2 2 2 2 2 2 2 2 2 2 2 2 4 2_REVISIONS SORRY" xfId="23440"/>
    <cellStyle name="Normal 2 2 2 2 2 2 2 2 2 2 2 2 2 2 2 2 2 4_REVISIONS SORRY" xfId="23441"/>
    <cellStyle name="Normal 2 2 2 2 2 2 2 2 2 2 2 2 2 2 2 2 2 5" xfId="23442"/>
    <cellStyle name="Normal 2 2 2 2 2 2 2 2 2 2 2 2 2 2 2 2 2 5 2" xfId="23443"/>
    <cellStyle name="Normal 2 2 2 2 2 2 2 2 2 2 2 2 2 2 2 2 2 5 3" xfId="23444"/>
    <cellStyle name="Normal 2 2 2 2 2 2 2 2 2 2 2 2 2 2 2 2 2 6" xfId="23445"/>
    <cellStyle name="Normal 2 2 2 2 2 2 2 2 2 2 2 2 2 2 2 2 2 6 2" xfId="23446"/>
    <cellStyle name="Normal 2 2 2 2 2 2 2 2 2 2 2 2 2 2 2 2 2 6 2 2" xfId="23447"/>
    <cellStyle name="Normal 2 2 2 2 2 2 2 2 2 2 2 2 2 2 2 2 2 6 3" xfId="23448"/>
    <cellStyle name="Normal 2 2 2 2 2 2 2 2 2 2 2 2 2 2 2 2 2 7" xfId="23449"/>
    <cellStyle name="Normal 2 2 2 2 2 2 2 2 2 2 2 2 2 2 2 2 2 7 2" xfId="23450"/>
    <cellStyle name="Normal 2 2 2 2 2 2 2 2 2 2 2 2 2 2 2 2 2 8" xfId="23451"/>
    <cellStyle name="Normal 2 2 2 2 2 2 2 2 2 2 2 2 2 2 2 2 2 8 2" xfId="23452"/>
    <cellStyle name="Normal 2 2 2 2 2 2 2 2 2 2 2 2 2 2 2 2 2 9" xfId="23453"/>
    <cellStyle name="Normal 2 2 2 2 2 2 2 2 2 2 2 2 2 2 2 2 20" xfId="23454"/>
    <cellStyle name="Normal 2 2 2 2 2 2 2 2 2 2 2 2 2 2 2 2 20 2" xfId="23455"/>
    <cellStyle name="Normal 2 2 2 2 2 2 2 2 2 2 2 2 2 2 2 2 20_REVISIONS SORRY" xfId="23456"/>
    <cellStyle name="Normal 2 2 2 2 2 2 2 2 2 2 2 2 2 2 2 2 21" xfId="23457"/>
    <cellStyle name="Normal 2 2 2 2 2 2 2 2 2 2 2 2 2 2 2 2 22" xfId="23458"/>
    <cellStyle name="Normal 2 2 2 2 2 2 2 2 2 2 2 2 2 2 2 2 23" xfId="23459"/>
    <cellStyle name="Normal 2 2 2 2 2 2 2 2 2 2 2 2 2 2 2 2 23 2" xfId="23460"/>
    <cellStyle name="Normal 2 2 2 2 2 2 2 2 2 2 2 2 2 2 2 2 23 2 2" xfId="23461"/>
    <cellStyle name="Normal 2 2 2 2 2 2 2 2 2 2 2 2 2 2 2 2 24" xfId="23462"/>
    <cellStyle name="Normal 2 2 2 2 2 2 2 2 2 2 2 2 2 2 2 2 25" xfId="23463"/>
    <cellStyle name="Normal 2 2 2 2 2 2 2 2 2 2 2 2 2 2 2 2 25 2" xfId="23464"/>
    <cellStyle name="Normal 2 2 2 2 2 2 2 2 2 2 2 2 2 2 2 2 26" xfId="23465"/>
    <cellStyle name="Normal 2 2 2 2 2 2 2 2 2 2 2 2 2 2 2 2 27" xfId="23466"/>
    <cellStyle name="Normal 2 2 2 2 2 2 2 2 2 2 2 2 2 2 2 2 28" xfId="23467"/>
    <cellStyle name="Normal 2 2 2 2 2 2 2 2 2 2 2 2 2 2 2 2 28 2" xfId="23468"/>
    <cellStyle name="Normal 2 2 2 2 2 2 2 2 2 2 2 2 2 2 2 2 29" xfId="23469"/>
    <cellStyle name="Normal 2 2 2 2 2 2 2 2 2 2 2 2 2 2 2 2 3" xfId="23470"/>
    <cellStyle name="Normal 2 2 2 2 2 2 2 2 2 2 2 2 2 2 2 2 30" xfId="23471"/>
    <cellStyle name="Normal 2 2 2 2 2 2 2 2 2 2 2 2 2 2 2 2 31" xfId="23472"/>
    <cellStyle name="Normal 2 2 2 2 2 2 2 2 2 2 2 2 2 2 2 2 31 2" xfId="23473"/>
    <cellStyle name="Normal 2 2 2 2 2 2 2 2 2 2 2 2 2 2 2 2 31 3" xfId="23474"/>
    <cellStyle name="Normal 2 2 2 2 2 2 2 2 2 2 2 2 2 2 2 2 31 4" xfId="23475"/>
    <cellStyle name="Normal 2 2 2 2 2 2 2 2 2 2 2 2 2 2 2 2 32" xfId="23476"/>
    <cellStyle name="Normal 2 2 2 2 2 2 2 2 2 2 2 2 2 2 2 2 33" xfId="23477"/>
    <cellStyle name="Normal 2 2 2 2 2 2 2 2 2 2 2 2 2 2 2 2 34" xfId="23478"/>
    <cellStyle name="Normal 2 2 2 2 2 2 2 2 2 2 2 2 2 2 2 2 35" xfId="23479"/>
    <cellStyle name="Normal 2 2 2 2 2 2 2 2 2 2 2 2 2 2 2 2 36" xfId="23480"/>
    <cellStyle name="Normal 2 2 2 2 2 2 2 2 2 2 2 2 2 2 2 2 4" xfId="23481"/>
    <cellStyle name="Normal 2 2 2 2 2 2 2 2 2 2 2 2 2 2 2 2 4 2" xfId="23482"/>
    <cellStyle name="Normal 2 2 2 2 2 2 2 2 2 2 2 2 2 2 2 2 4 2 2" xfId="23483"/>
    <cellStyle name="Normal 2 2 2 2 2 2 2 2 2 2 2 2 2 2 2 2 4 2_REVISIONS SORRY" xfId="23484"/>
    <cellStyle name="Normal 2 2 2 2 2 2 2 2 2 2 2 2 2 2 2 2 4_REVISIONS SORRY" xfId="23485"/>
    <cellStyle name="Normal 2 2 2 2 2 2 2 2 2 2 2 2 2 2 2 2 5" xfId="23486"/>
    <cellStyle name="Normal 2 2 2 2 2 2 2 2 2 2 2 2 2 2 2 2 5 2" xfId="23487"/>
    <cellStyle name="Normal 2 2 2 2 2 2 2 2 2 2 2 2 2 2 2 2 5 3" xfId="23488"/>
    <cellStyle name="Normal 2 2 2 2 2 2 2 2 2 2 2 2 2 2 2 2 6" xfId="23489"/>
    <cellStyle name="Normal 2 2 2 2 2 2 2 2 2 2 2 2 2 2 2 2 6 2" xfId="23490"/>
    <cellStyle name="Normal 2 2 2 2 2 2 2 2 2 2 2 2 2 2 2 2 6 2 2" xfId="23491"/>
    <cellStyle name="Normal 2 2 2 2 2 2 2 2 2 2 2 2 2 2 2 2 6 3" xfId="23492"/>
    <cellStyle name="Normal 2 2 2 2 2 2 2 2 2 2 2 2 2 2 2 2 7" xfId="23493"/>
    <cellStyle name="Normal 2 2 2 2 2 2 2 2 2 2 2 2 2 2 2 2 7 2" xfId="23494"/>
    <cellStyle name="Normal 2 2 2 2 2 2 2 2 2 2 2 2 2 2 2 2 8" xfId="23495"/>
    <cellStyle name="Normal 2 2 2 2 2 2 2 2 2 2 2 2 2 2 2 2 8 2" xfId="23496"/>
    <cellStyle name="Normal 2 2 2 2 2 2 2 2 2 2 2 2 2 2 2 2 9" xfId="23497"/>
    <cellStyle name="Normal 2 2 2 2 2 2 2 2 2 2 2 2 2 2 2 2_XI Introductory Section (version 3)" xfId="23498"/>
    <cellStyle name="Normal 2 2 2 2 2 2 2 2 2 2 2 2 2 2 2 20" xfId="23499"/>
    <cellStyle name="Normal 2 2 2 2 2 2 2 2 2 2 2 2 2 2 2 21" xfId="23500"/>
    <cellStyle name="Normal 2 2 2 2 2 2 2 2 2 2 2 2 2 2 2 22" xfId="23501"/>
    <cellStyle name="Normal 2 2 2 2 2 2 2 2 2 2 2 2 2 2 2 22 2" xfId="23502"/>
    <cellStyle name="Normal 2 2 2 2 2 2 2 2 2 2 2 2 2 2 2 22_REVISIONS SORRY" xfId="23503"/>
    <cellStyle name="Normal 2 2 2 2 2 2 2 2 2 2 2 2 2 2 2 23" xfId="23504"/>
    <cellStyle name="Normal 2 2 2 2 2 2 2 2 2 2 2 2 2 2 2 24" xfId="23505"/>
    <cellStyle name="Normal 2 2 2 2 2 2 2 2 2 2 2 2 2 2 2 25" xfId="23506"/>
    <cellStyle name="Normal 2 2 2 2 2 2 2 2 2 2 2 2 2 2 2 25 2" xfId="23507"/>
    <cellStyle name="Normal 2 2 2 2 2 2 2 2 2 2 2 2 2 2 2 25 2 2" xfId="23508"/>
    <cellStyle name="Normal 2 2 2 2 2 2 2 2 2 2 2 2 2 2 2 26" xfId="23509"/>
    <cellStyle name="Normal 2 2 2 2 2 2 2 2 2 2 2 2 2 2 2 27" xfId="23510"/>
    <cellStyle name="Normal 2 2 2 2 2 2 2 2 2 2 2 2 2 2 2 27 2" xfId="23511"/>
    <cellStyle name="Normal 2 2 2 2 2 2 2 2 2 2 2 2 2 2 2 28" xfId="23512"/>
    <cellStyle name="Normal 2 2 2 2 2 2 2 2 2 2 2 2 2 2 2 29" xfId="23513"/>
    <cellStyle name="Normal 2 2 2 2 2 2 2 2 2 2 2 2 2 2 2 3" xfId="23514"/>
    <cellStyle name="Normal 2 2 2 2 2 2 2 2 2 2 2 2 2 2 2 30" xfId="23515"/>
    <cellStyle name="Normal 2 2 2 2 2 2 2 2 2 2 2 2 2 2 2 30 2" xfId="23516"/>
    <cellStyle name="Normal 2 2 2 2 2 2 2 2 2 2 2 2 2 2 2 31" xfId="23517"/>
    <cellStyle name="Normal 2 2 2 2 2 2 2 2 2 2 2 2 2 2 2 32" xfId="23518"/>
    <cellStyle name="Normal 2 2 2 2 2 2 2 2 2 2 2 2 2 2 2 33" xfId="23519"/>
    <cellStyle name="Normal 2 2 2 2 2 2 2 2 2 2 2 2 2 2 2 33 2" xfId="23520"/>
    <cellStyle name="Normal 2 2 2 2 2 2 2 2 2 2 2 2 2 2 2 33 3" xfId="23521"/>
    <cellStyle name="Normal 2 2 2 2 2 2 2 2 2 2 2 2 2 2 2 33 4" xfId="23522"/>
    <cellStyle name="Normal 2 2 2 2 2 2 2 2 2 2 2 2 2 2 2 34" xfId="23523"/>
    <cellStyle name="Normal 2 2 2 2 2 2 2 2 2 2 2 2 2 2 2 35" xfId="23524"/>
    <cellStyle name="Normal 2 2 2 2 2 2 2 2 2 2 2 2 2 2 2 36" xfId="23525"/>
    <cellStyle name="Normal 2 2 2 2 2 2 2 2 2 2 2 2 2 2 2 37" xfId="23526"/>
    <cellStyle name="Normal 2 2 2 2 2 2 2 2 2 2 2 2 2 2 2 38" xfId="23527"/>
    <cellStyle name="Normal 2 2 2 2 2 2 2 2 2 2 2 2 2 2 2 4" xfId="23528"/>
    <cellStyle name="Normal 2 2 2 2 2 2 2 2 2 2 2 2 2 2 2 5" xfId="23529"/>
    <cellStyle name="Normal 2 2 2 2 2 2 2 2 2 2 2 2 2 2 2 6" xfId="23530"/>
    <cellStyle name="Normal 2 2 2 2 2 2 2 2 2 2 2 2 2 2 2 6 2" xfId="23531"/>
    <cellStyle name="Normal 2 2 2 2 2 2 2 2 2 2 2 2 2 2 2 6 2 2" xfId="23532"/>
    <cellStyle name="Normal 2 2 2 2 2 2 2 2 2 2 2 2 2 2 2 6 2_REVISIONS SORRY" xfId="23533"/>
    <cellStyle name="Normal 2 2 2 2 2 2 2 2 2 2 2 2 2 2 2 6_REVISIONS SORRY" xfId="23534"/>
    <cellStyle name="Normal 2 2 2 2 2 2 2 2 2 2 2 2 2 2 2 7" xfId="23535"/>
    <cellStyle name="Normal 2 2 2 2 2 2 2 2 2 2 2 2 2 2 2 7 2" xfId="23536"/>
    <cellStyle name="Normal 2 2 2 2 2 2 2 2 2 2 2 2 2 2 2 7 3" xfId="23537"/>
    <cellStyle name="Normal 2 2 2 2 2 2 2 2 2 2 2 2 2 2 2 8" xfId="23538"/>
    <cellStyle name="Normal 2 2 2 2 2 2 2 2 2 2 2 2 2 2 2 8 2" xfId="23539"/>
    <cellStyle name="Normal 2 2 2 2 2 2 2 2 2 2 2 2 2 2 2 8 2 2" xfId="23540"/>
    <cellStyle name="Normal 2 2 2 2 2 2 2 2 2 2 2 2 2 2 2 8 3" xfId="23541"/>
    <cellStyle name="Normal 2 2 2 2 2 2 2 2 2 2 2 2 2 2 2 9" xfId="23542"/>
    <cellStyle name="Normal 2 2 2 2 2 2 2 2 2 2 2 2 2 2 2 9 2" xfId="23543"/>
    <cellStyle name="Normal 2 2 2 2 2 2 2 2 2 2 2 2 2 2 20" xfId="23544"/>
    <cellStyle name="Normal 2 2 2 2 2 2 2 2 2 2 2 2 2 2 21" xfId="23545"/>
    <cellStyle name="Normal 2 2 2 2 2 2 2 2 2 2 2 2 2 2 22" xfId="23546"/>
    <cellStyle name="Normal 2 2 2 2 2 2 2 2 2 2 2 2 2 2 22 2" xfId="23547"/>
    <cellStyle name="Normal 2 2 2 2 2 2 2 2 2 2 2 2 2 2 22_REVISIONS SORRY" xfId="23548"/>
    <cellStyle name="Normal 2 2 2 2 2 2 2 2 2 2 2 2 2 2 23" xfId="23549"/>
    <cellStyle name="Normal 2 2 2 2 2 2 2 2 2 2 2 2 2 2 24" xfId="23550"/>
    <cellStyle name="Normal 2 2 2 2 2 2 2 2 2 2 2 2 2 2 25" xfId="23551"/>
    <cellStyle name="Normal 2 2 2 2 2 2 2 2 2 2 2 2 2 2 25 2" xfId="23552"/>
    <cellStyle name="Normal 2 2 2 2 2 2 2 2 2 2 2 2 2 2 25 2 2" xfId="23553"/>
    <cellStyle name="Normal 2 2 2 2 2 2 2 2 2 2 2 2 2 2 26" xfId="23554"/>
    <cellStyle name="Normal 2 2 2 2 2 2 2 2 2 2 2 2 2 2 27" xfId="23555"/>
    <cellStyle name="Normal 2 2 2 2 2 2 2 2 2 2 2 2 2 2 27 2" xfId="23556"/>
    <cellStyle name="Normal 2 2 2 2 2 2 2 2 2 2 2 2 2 2 28" xfId="23557"/>
    <cellStyle name="Normal 2 2 2 2 2 2 2 2 2 2 2 2 2 2 29" xfId="23558"/>
    <cellStyle name="Normal 2 2 2 2 2 2 2 2 2 2 2 2 2 2 3" xfId="23559"/>
    <cellStyle name="Normal 2 2 2 2 2 2 2 2 2 2 2 2 2 2 3 2" xfId="23560"/>
    <cellStyle name="Normal 2 2 2 2 2 2 2 2 2 2 2 2 2 2 30" xfId="23561"/>
    <cellStyle name="Normal 2 2 2 2 2 2 2 2 2 2 2 2 2 2 30 2" xfId="23562"/>
    <cellStyle name="Normal 2 2 2 2 2 2 2 2 2 2 2 2 2 2 31" xfId="23563"/>
    <cellStyle name="Normal 2 2 2 2 2 2 2 2 2 2 2 2 2 2 32" xfId="23564"/>
    <cellStyle name="Normal 2 2 2 2 2 2 2 2 2 2 2 2 2 2 33" xfId="23565"/>
    <cellStyle name="Normal 2 2 2 2 2 2 2 2 2 2 2 2 2 2 33 2" xfId="23566"/>
    <cellStyle name="Normal 2 2 2 2 2 2 2 2 2 2 2 2 2 2 33 3" xfId="23567"/>
    <cellStyle name="Normal 2 2 2 2 2 2 2 2 2 2 2 2 2 2 33 4" xfId="23568"/>
    <cellStyle name="Normal 2 2 2 2 2 2 2 2 2 2 2 2 2 2 34" xfId="23569"/>
    <cellStyle name="Normal 2 2 2 2 2 2 2 2 2 2 2 2 2 2 35" xfId="23570"/>
    <cellStyle name="Normal 2 2 2 2 2 2 2 2 2 2 2 2 2 2 36" xfId="23571"/>
    <cellStyle name="Normal 2 2 2 2 2 2 2 2 2 2 2 2 2 2 37" xfId="23572"/>
    <cellStyle name="Normal 2 2 2 2 2 2 2 2 2 2 2 2 2 2 38" xfId="23573"/>
    <cellStyle name="Normal 2 2 2 2 2 2 2 2 2 2 2 2 2 2 4" xfId="23574"/>
    <cellStyle name="Normal 2 2 2 2 2 2 2 2 2 2 2 2 2 2 5" xfId="23575"/>
    <cellStyle name="Normal 2 2 2 2 2 2 2 2 2 2 2 2 2 2 6" xfId="23576"/>
    <cellStyle name="Normal 2 2 2 2 2 2 2 2 2 2 2 2 2 2 6 2" xfId="23577"/>
    <cellStyle name="Normal 2 2 2 2 2 2 2 2 2 2 2 2 2 2 6 2 2" xfId="23578"/>
    <cellStyle name="Normal 2 2 2 2 2 2 2 2 2 2 2 2 2 2 6 2_REVISIONS SORRY" xfId="23579"/>
    <cellStyle name="Normal 2 2 2 2 2 2 2 2 2 2 2 2 2 2 6_REVISIONS SORRY" xfId="23580"/>
    <cellStyle name="Normal 2 2 2 2 2 2 2 2 2 2 2 2 2 2 7" xfId="23581"/>
    <cellStyle name="Normal 2 2 2 2 2 2 2 2 2 2 2 2 2 2 7 2" xfId="23582"/>
    <cellStyle name="Normal 2 2 2 2 2 2 2 2 2 2 2 2 2 2 7 3" xfId="23583"/>
    <cellStyle name="Normal 2 2 2 2 2 2 2 2 2 2 2 2 2 2 8" xfId="23584"/>
    <cellStyle name="Normal 2 2 2 2 2 2 2 2 2 2 2 2 2 2 8 2" xfId="23585"/>
    <cellStyle name="Normal 2 2 2 2 2 2 2 2 2 2 2 2 2 2 8 2 2" xfId="23586"/>
    <cellStyle name="Normal 2 2 2 2 2 2 2 2 2 2 2 2 2 2 8 3" xfId="23587"/>
    <cellStyle name="Normal 2 2 2 2 2 2 2 2 2 2 2 2 2 2 9" xfId="23588"/>
    <cellStyle name="Normal 2 2 2 2 2 2 2 2 2 2 2 2 2 2 9 2" xfId="23589"/>
    <cellStyle name="Normal 2 2 2 2 2 2 2 2 2 2 2 2 2 2_XI Introductory Section (version 3)" xfId="23590"/>
    <cellStyle name="Normal 2 2 2 2 2 2 2 2 2 2 2 2 2 20" xfId="23591"/>
    <cellStyle name="Normal 2 2 2 2 2 2 2 2 2 2 2 2 2 21" xfId="23592"/>
    <cellStyle name="Normal 2 2 2 2 2 2 2 2 2 2 2 2 2 22" xfId="23593"/>
    <cellStyle name="Normal 2 2 2 2 2 2 2 2 2 2 2 2 2 23" xfId="23594"/>
    <cellStyle name="Normal 2 2 2 2 2 2 2 2 2 2 2 2 2 24" xfId="23595"/>
    <cellStyle name="Normal 2 2 2 2 2 2 2 2 2 2 2 2 2 24 2" xfId="23596"/>
    <cellStyle name="Normal 2 2 2 2 2 2 2 2 2 2 2 2 2 24_REVISIONS SORRY" xfId="23597"/>
    <cellStyle name="Normal 2 2 2 2 2 2 2 2 2 2 2 2 2 25" xfId="23598"/>
    <cellStyle name="Normal 2 2 2 2 2 2 2 2 2 2 2 2 2 26" xfId="23599"/>
    <cellStyle name="Normal 2 2 2 2 2 2 2 2 2 2 2 2 2 27" xfId="23600"/>
    <cellStyle name="Normal 2 2 2 2 2 2 2 2 2 2 2 2 2 27 2" xfId="23601"/>
    <cellStyle name="Normal 2 2 2 2 2 2 2 2 2 2 2 2 2 27 2 2" xfId="23602"/>
    <cellStyle name="Normal 2 2 2 2 2 2 2 2 2 2 2 2 2 28" xfId="23603"/>
    <cellStyle name="Normal 2 2 2 2 2 2 2 2 2 2 2 2 2 29" xfId="23604"/>
    <cellStyle name="Normal 2 2 2 2 2 2 2 2 2 2 2 2 2 29 2" xfId="23605"/>
    <cellStyle name="Normal 2 2 2 2 2 2 2 2 2 2 2 2 2 3" xfId="23606"/>
    <cellStyle name="Normal 2 2 2 2 2 2 2 2 2 2 2 2 2 30" xfId="23607"/>
    <cellStyle name="Normal 2 2 2 2 2 2 2 2 2 2 2 2 2 31" xfId="23608"/>
    <cellStyle name="Normal 2 2 2 2 2 2 2 2 2 2 2 2 2 32" xfId="23609"/>
    <cellStyle name="Normal 2 2 2 2 2 2 2 2 2 2 2 2 2 32 2" xfId="23610"/>
    <cellStyle name="Normal 2 2 2 2 2 2 2 2 2 2 2 2 2 33" xfId="23611"/>
    <cellStyle name="Normal 2 2 2 2 2 2 2 2 2 2 2 2 2 34" xfId="23612"/>
    <cellStyle name="Normal 2 2 2 2 2 2 2 2 2 2 2 2 2 35" xfId="23613"/>
    <cellStyle name="Normal 2 2 2 2 2 2 2 2 2 2 2 2 2 35 2" xfId="23614"/>
    <cellStyle name="Normal 2 2 2 2 2 2 2 2 2 2 2 2 2 35 3" xfId="23615"/>
    <cellStyle name="Normal 2 2 2 2 2 2 2 2 2 2 2 2 2 35 4" xfId="23616"/>
    <cellStyle name="Normal 2 2 2 2 2 2 2 2 2 2 2 2 2 36" xfId="23617"/>
    <cellStyle name="Normal 2 2 2 2 2 2 2 2 2 2 2 2 2 37" xfId="23618"/>
    <cellStyle name="Normal 2 2 2 2 2 2 2 2 2 2 2 2 2 38" xfId="23619"/>
    <cellStyle name="Normal 2 2 2 2 2 2 2 2 2 2 2 2 2 39" xfId="23620"/>
    <cellStyle name="Normal 2 2 2 2 2 2 2 2 2 2 2 2 2 4" xfId="23621"/>
    <cellStyle name="Normal 2 2 2 2 2 2 2 2 2 2 2 2 2 4 2" xfId="23622"/>
    <cellStyle name="Normal 2 2 2 2 2 2 2 2 2 2 2 2 2 40" xfId="23623"/>
    <cellStyle name="Normal 2 2 2 2 2 2 2 2 2 2 2 2 2 5" xfId="23624"/>
    <cellStyle name="Normal 2 2 2 2 2 2 2 2 2 2 2 2 2 6" xfId="23625"/>
    <cellStyle name="Normal 2 2 2 2 2 2 2 2 2 2 2 2 2 7" xfId="23626"/>
    <cellStyle name="Normal 2 2 2 2 2 2 2 2 2 2 2 2 2 8" xfId="23627"/>
    <cellStyle name="Normal 2 2 2 2 2 2 2 2 2 2 2 2 2 8 2" xfId="23628"/>
    <cellStyle name="Normal 2 2 2 2 2 2 2 2 2 2 2 2 2 8 2 2" xfId="23629"/>
    <cellStyle name="Normal 2 2 2 2 2 2 2 2 2 2 2 2 2 8 2_REVISIONS SORRY" xfId="23630"/>
    <cellStyle name="Normal 2 2 2 2 2 2 2 2 2 2 2 2 2 8_REVISIONS SORRY" xfId="23631"/>
    <cellStyle name="Normal 2 2 2 2 2 2 2 2 2 2 2 2 2 9" xfId="23632"/>
    <cellStyle name="Normal 2 2 2 2 2 2 2 2 2 2 2 2 2 9 2" xfId="23633"/>
    <cellStyle name="Normal 2 2 2 2 2 2 2 2 2 2 2 2 2 9 3" xfId="23634"/>
    <cellStyle name="Normal 2 2 2 2 2 2 2 2 2 2 2 2 20" xfId="23635"/>
    <cellStyle name="Normal 2 2 2 2 2 2 2 2 2 2 2 2 21" xfId="23636"/>
    <cellStyle name="Normal 2 2 2 2 2 2 2 2 2 2 2 2 22" xfId="23637"/>
    <cellStyle name="Normal 2 2 2 2 2 2 2 2 2 2 2 2 23" xfId="23638"/>
    <cellStyle name="Normal 2 2 2 2 2 2 2 2 2 2 2 2 24" xfId="23639"/>
    <cellStyle name="Normal 2 2 2 2 2 2 2 2 2 2 2 2 24 2" xfId="23640"/>
    <cellStyle name="Normal 2 2 2 2 2 2 2 2 2 2 2 2 24_REVISIONS SORRY" xfId="23641"/>
    <cellStyle name="Normal 2 2 2 2 2 2 2 2 2 2 2 2 25" xfId="23642"/>
    <cellStyle name="Normal 2 2 2 2 2 2 2 2 2 2 2 2 26" xfId="23643"/>
    <cellStyle name="Normal 2 2 2 2 2 2 2 2 2 2 2 2 27" xfId="23644"/>
    <cellStyle name="Normal 2 2 2 2 2 2 2 2 2 2 2 2 27 2" xfId="23645"/>
    <cellStyle name="Normal 2 2 2 2 2 2 2 2 2 2 2 2 27 2 2" xfId="23646"/>
    <cellStyle name="Normal 2 2 2 2 2 2 2 2 2 2 2 2 28" xfId="23647"/>
    <cellStyle name="Normal 2 2 2 2 2 2 2 2 2 2 2 2 29" xfId="23648"/>
    <cellStyle name="Normal 2 2 2 2 2 2 2 2 2 2 2 2 29 2" xfId="23649"/>
    <cellStyle name="Normal 2 2 2 2 2 2 2 2 2 2 2 2 3" xfId="23650"/>
    <cellStyle name="Normal 2 2 2 2 2 2 2 2 2 2 2 2 30" xfId="23651"/>
    <cellStyle name="Normal 2 2 2 2 2 2 2 2 2 2 2 2 31" xfId="23652"/>
    <cellStyle name="Normal 2 2 2 2 2 2 2 2 2 2 2 2 32" xfId="23653"/>
    <cellStyle name="Normal 2 2 2 2 2 2 2 2 2 2 2 2 32 2" xfId="23654"/>
    <cellStyle name="Normal 2 2 2 2 2 2 2 2 2 2 2 2 33" xfId="23655"/>
    <cellStyle name="Normal 2 2 2 2 2 2 2 2 2 2 2 2 34" xfId="23656"/>
    <cellStyle name="Normal 2 2 2 2 2 2 2 2 2 2 2 2 35" xfId="23657"/>
    <cellStyle name="Normal 2 2 2 2 2 2 2 2 2 2 2 2 35 2" xfId="23658"/>
    <cellStyle name="Normal 2 2 2 2 2 2 2 2 2 2 2 2 35 3" xfId="23659"/>
    <cellStyle name="Normal 2 2 2 2 2 2 2 2 2 2 2 2 35 4" xfId="23660"/>
    <cellStyle name="Normal 2 2 2 2 2 2 2 2 2 2 2 2 36" xfId="23661"/>
    <cellStyle name="Normal 2 2 2 2 2 2 2 2 2 2 2 2 37" xfId="23662"/>
    <cellStyle name="Normal 2 2 2 2 2 2 2 2 2 2 2 2 38" xfId="23663"/>
    <cellStyle name="Normal 2 2 2 2 2 2 2 2 2 2 2 2 39" xfId="23664"/>
    <cellStyle name="Normal 2 2 2 2 2 2 2 2 2 2 2 2 4" xfId="23665"/>
    <cellStyle name="Normal 2 2 2 2 2 2 2 2 2 2 2 2 4 2" xfId="23666"/>
    <cellStyle name="Normal 2 2 2 2 2 2 2 2 2 2 2 2 40" xfId="23667"/>
    <cellStyle name="Normal 2 2 2 2 2 2 2 2 2 2 2 2 5" xfId="23668"/>
    <cellStyle name="Normal 2 2 2 2 2 2 2 2 2 2 2 2 6" xfId="23669"/>
    <cellStyle name="Normal 2 2 2 2 2 2 2 2 2 2 2 2 7" xfId="23670"/>
    <cellStyle name="Normal 2 2 2 2 2 2 2 2 2 2 2 2 8" xfId="23671"/>
    <cellStyle name="Normal 2 2 2 2 2 2 2 2 2 2 2 2 8 2" xfId="23672"/>
    <cellStyle name="Normal 2 2 2 2 2 2 2 2 2 2 2 2 8 2 2" xfId="23673"/>
    <cellStyle name="Normal 2 2 2 2 2 2 2 2 2 2 2 2 8 2_REVISIONS SORRY" xfId="23674"/>
    <cellStyle name="Normal 2 2 2 2 2 2 2 2 2 2 2 2 8_REVISIONS SORRY" xfId="23675"/>
    <cellStyle name="Normal 2 2 2 2 2 2 2 2 2 2 2 2 9" xfId="23676"/>
    <cellStyle name="Normal 2 2 2 2 2 2 2 2 2 2 2 2 9 2" xfId="23677"/>
    <cellStyle name="Normal 2 2 2 2 2 2 2 2 2 2 2 2 9 3" xfId="23678"/>
    <cellStyle name="Normal 2 2 2 2 2 2 2 2 2 2 2 2_XI Introductory Section (version 3)" xfId="23679"/>
    <cellStyle name="Normal 2 2 2 2 2 2 2 2 2 2 2 20" xfId="23680"/>
    <cellStyle name="Normal 2 2 2 2 2 2 2 2 2 2 2 21" xfId="23681"/>
    <cellStyle name="Normal 2 2 2 2 2 2 2 2 2 2 2 22" xfId="23682"/>
    <cellStyle name="Normal 2 2 2 2 2 2 2 2 2 2 2 23" xfId="23683"/>
    <cellStyle name="Normal 2 2 2 2 2 2 2 2 2 2 2 24" xfId="23684"/>
    <cellStyle name="Normal 2 2 2 2 2 2 2 2 2 2 2 25" xfId="23685"/>
    <cellStyle name="Normal 2 2 2 2 2 2 2 2 2 2 2 26" xfId="23686"/>
    <cellStyle name="Normal 2 2 2 2 2 2 2 2 2 2 2 26 2" xfId="23687"/>
    <cellStyle name="Normal 2 2 2 2 2 2 2 2 2 2 2 26_REVISIONS SORRY" xfId="23688"/>
    <cellStyle name="Normal 2 2 2 2 2 2 2 2 2 2 2 27" xfId="23689"/>
    <cellStyle name="Normal 2 2 2 2 2 2 2 2 2 2 2 28" xfId="23690"/>
    <cellStyle name="Normal 2 2 2 2 2 2 2 2 2 2 2 29" xfId="23691"/>
    <cellStyle name="Normal 2 2 2 2 2 2 2 2 2 2 2 29 2" xfId="23692"/>
    <cellStyle name="Normal 2 2 2 2 2 2 2 2 2 2 2 29 2 2" xfId="23693"/>
    <cellStyle name="Normal 2 2 2 2 2 2 2 2 2 2 2 3" xfId="23694"/>
    <cellStyle name="Normal 2 2 2 2 2 2 2 2 2 2 2 30" xfId="23695"/>
    <cellStyle name="Normal 2 2 2 2 2 2 2 2 2 2 2 31" xfId="23696"/>
    <cellStyle name="Normal 2 2 2 2 2 2 2 2 2 2 2 31 2" xfId="23697"/>
    <cellStyle name="Normal 2 2 2 2 2 2 2 2 2 2 2 32" xfId="23698"/>
    <cellStyle name="Normal 2 2 2 2 2 2 2 2 2 2 2 33" xfId="23699"/>
    <cellStyle name="Normal 2 2 2 2 2 2 2 2 2 2 2 34" xfId="23700"/>
    <cellStyle name="Normal 2 2 2 2 2 2 2 2 2 2 2 34 2" xfId="23701"/>
    <cellStyle name="Normal 2 2 2 2 2 2 2 2 2 2 2 35" xfId="23702"/>
    <cellStyle name="Normal 2 2 2 2 2 2 2 2 2 2 2 36" xfId="23703"/>
    <cellStyle name="Normal 2 2 2 2 2 2 2 2 2 2 2 37" xfId="23704"/>
    <cellStyle name="Normal 2 2 2 2 2 2 2 2 2 2 2 37 2" xfId="23705"/>
    <cellStyle name="Normal 2 2 2 2 2 2 2 2 2 2 2 37 3" xfId="23706"/>
    <cellStyle name="Normal 2 2 2 2 2 2 2 2 2 2 2 37 4" xfId="23707"/>
    <cellStyle name="Normal 2 2 2 2 2 2 2 2 2 2 2 38" xfId="23708"/>
    <cellStyle name="Normal 2 2 2 2 2 2 2 2 2 2 2 39" xfId="23709"/>
    <cellStyle name="Normal 2 2 2 2 2 2 2 2 2 2 2 4" xfId="23710"/>
    <cellStyle name="Normal 2 2 2 2 2 2 2 2 2 2 2 40" xfId="23711"/>
    <cellStyle name="Normal 2 2 2 2 2 2 2 2 2 2 2 41" xfId="23712"/>
    <cellStyle name="Normal 2 2 2 2 2 2 2 2 2 2 2 42" xfId="23713"/>
    <cellStyle name="Normal 2 2 2 2 2 2 2 2 2 2 2 5" xfId="23714"/>
    <cellStyle name="Normal 2 2 2 2 2 2 2 2 2 2 2 6" xfId="23715"/>
    <cellStyle name="Normal 2 2 2 2 2 2 2 2 2 2 2 6 2" xfId="23716"/>
    <cellStyle name="Normal 2 2 2 2 2 2 2 2 2 2 2 7" xfId="23717"/>
    <cellStyle name="Normal 2 2 2 2 2 2 2 2 2 2 2 8" xfId="23718"/>
    <cellStyle name="Normal 2 2 2 2 2 2 2 2 2 2 2 9" xfId="23719"/>
    <cellStyle name="Normal 2 2 2 2 2 2 2 2 2 2 20" xfId="23720"/>
    <cellStyle name="Normal 2 2 2 2 2 2 2 2 2 2 21" xfId="23721"/>
    <cellStyle name="Normal 2 2 2 2 2 2 2 2 2 2 22" xfId="23722"/>
    <cellStyle name="Normal 2 2 2 2 2 2 2 2 2 2 23" xfId="23723"/>
    <cellStyle name="Normal 2 2 2 2 2 2 2 2 2 2 24" xfId="23724"/>
    <cellStyle name="Normal 2 2 2 2 2 2 2 2 2 2 25" xfId="23725"/>
    <cellStyle name="Normal 2 2 2 2 2 2 2 2 2 2 26" xfId="23726"/>
    <cellStyle name="Normal 2 2 2 2 2 2 2 2 2 2 26 2" xfId="23727"/>
    <cellStyle name="Normal 2 2 2 2 2 2 2 2 2 2 26_REVISIONS SORRY" xfId="23728"/>
    <cellStyle name="Normal 2 2 2 2 2 2 2 2 2 2 27" xfId="23729"/>
    <cellStyle name="Normal 2 2 2 2 2 2 2 2 2 2 28" xfId="23730"/>
    <cellStyle name="Normal 2 2 2 2 2 2 2 2 2 2 29" xfId="23731"/>
    <cellStyle name="Normal 2 2 2 2 2 2 2 2 2 2 29 2" xfId="23732"/>
    <cellStyle name="Normal 2 2 2 2 2 2 2 2 2 2 29 2 2" xfId="23733"/>
    <cellStyle name="Normal 2 2 2 2 2 2 2 2 2 2 3" xfId="23734"/>
    <cellStyle name="Normal 2 2 2 2 2 2 2 2 2 2 30" xfId="23735"/>
    <cellStyle name="Normal 2 2 2 2 2 2 2 2 2 2 31" xfId="23736"/>
    <cellStyle name="Normal 2 2 2 2 2 2 2 2 2 2 31 2" xfId="23737"/>
    <cellStyle name="Normal 2 2 2 2 2 2 2 2 2 2 32" xfId="23738"/>
    <cellStyle name="Normal 2 2 2 2 2 2 2 2 2 2 33" xfId="23739"/>
    <cellStyle name="Normal 2 2 2 2 2 2 2 2 2 2 34" xfId="23740"/>
    <cellStyle name="Normal 2 2 2 2 2 2 2 2 2 2 34 2" xfId="23741"/>
    <cellStyle name="Normal 2 2 2 2 2 2 2 2 2 2 35" xfId="23742"/>
    <cellStyle name="Normal 2 2 2 2 2 2 2 2 2 2 36" xfId="23743"/>
    <cellStyle name="Normal 2 2 2 2 2 2 2 2 2 2 37" xfId="23744"/>
    <cellStyle name="Normal 2 2 2 2 2 2 2 2 2 2 37 2" xfId="23745"/>
    <cellStyle name="Normal 2 2 2 2 2 2 2 2 2 2 37 3" xfId="23746"/>
    <cellStyle name="Normal 2 2 2 2 2 2 2 2 2 2 37 4" xfId="23747"/>
    <cellStyle name="Normal 2 2 2 2 2 2 2 2 2 2 38" xfId="23748"/>
    <cellStyle name="Normal 2 2 2 2 2 2 2 2 2 2 39" xfId="23749"/>
    <cellStyle name="Normal 2 2 2 2 2 2 2 2 2 2 4" xfId="23750"/>
    <cellStyle name="Normal 2 2 2 2 2 2 2 2 2 2 40" xfId="23751"/>
    <cellStyle name="Normal 2 2 2 2 2 2 2 2 2 2 41" xfId="23752"/>
    <cellStyle name="Normal 2 2 2 2 2 2 2 2 2 2 42" xfId="23753"/>
    <cellStyle name="Normal 2 2 2 2 2 2 2 2 2 2 5" xfId="23754"/>
    <cellStyle name="Normal 2 2 2 2 2 2 2 2 2 2 6" xfId="23755"/>
    <cellStyle name="Normal 2 2 2 2 2 2 2 2 2 2 6 2" xfId="23756"/>
    <cellStyle name="Normal 2 2 2 2 2 2 2 2 2 2 7" xfId="23757"/>
    <cellStyle name="Normal 2 2 2 2 2 2 2 2 2 2 8" xfId="23758"/>
    <cellStyle name="Normal 2 2 2 2 2 2 2 2 2 2 9" xfId="23759"/>
    <cellStyle name="Normal 2 2 2 2 2 2 2 2 2 2_XI Introductory Section (version 3)" xfId="23760"/>
    <cellStyle name="Normal 2 2 2 2 2 2 2 2 2 20" xfId="23761"/>
    <cellStyle name="Normal 2 2 2 2 2 2 2 2 2 21" xfId="23762"/>
    <cellStyle name="Normal 2 2 2 2 2 2 2 2 2 22" xfId="23763"/>
    <cellStyle name="Normal 2 2 2 2 2 2 2 2 2 23" xfId="23764"/>
    <cellStyle name="Normal 2 2 2 2 2 2 2 2 2 24" xfId="23765"/>
    <cellStyle name="Normal 2 2 2 2 2 2 2 2 2 25" xfId="23766"/>
    <cellStyle name="Normal 2 2 2 2 2 2 2 2 2 26" xfId="23767"/>
    <cellStyle name="Normal 2 2 2 2 2 2 2 2 2 27" xfId="23768"/>
    <cellStyle name="Normal 2 2 2 2 2 2 2 2 2 27 2" xfId="23769"/>
    <cellStyle name="Normal 2 2 2 2 2 2 2 2 2 27_REVISIONS SORRY" xfId="23770"/>
    <cellStyle name="Normal 2 2 2 2 2 2 2 2 2 28" xfId="23771"/>
    <cellStyle name="Normal 2 2 2 2 2 2 2 2 2 29" xfId="23772"/>
    <cellStyle name="Normal 2 2 2 2 2 2 2 2 2 3" xfId="23773"/>
    <cellStyle name="Normal 2 2 2 2 2 2 2 2 2 30" xfId="23774"/>
    <cellStyle name="Normal 2 2 2 2 2 2 2 2 2 30 2" xfId="23775"/>
    <cellStyle name="Normal 2 2 2 2 2 2 2 2 2 30 2 2" xfId="23776"/>
    <cellStyle name="Normal 2 2 2 2 2 2 2 2 2 31" xfId="23777"/>
    <cellStyle name="Normal 2 2 2 2 2 2 2 2 2 32" xfId="23778"/>
    <cellStyle name="Normal 2 2 2 2 2 2 2 2 2 32 2" xfId="23779"/>
    <cellStyle name="Normal 2 2 2 2 2 2 2 2 2 33" xfId="23780"/>
    <cellStyle name="Normal 2 2 2 2 2 2 2 2 2 34" xfId="23781"/>
    <cellStyle name="Normal 2 2 2 2 2 2 2 2 2 35" xfId="23782"/>
    <cellStyle name="Normal 2 2 2 2 2 2 2 2 2 35 2" xfId="23783"/>
    <cellStyle name="Normal 2 2 2 2 2 2 2 2 2 36" xfId="23784"/>
    <cellStyle name="Normal 2 2 2 2 2 2 2 2 2 37" xfId="23785"/>
    <cellStyle name="Normal 2 2 2 2 2 2 2 2 2 38" xfId="23786"/>
    <cellStyle name="Normal 2 2 2 2 2 2 2 2 2 38 2" xfId="23787"/>
    <cellStyle name="Normal 2 2 2 2 2 2 2 2 2 38 3" xfId="23788"/>
    <cellStyle name="Normal 2 2 2 2 2 2 2 2 2 38 4" xfId="23789"/>
    <cellStyle name="Normal 2 2 2 2 2 2 2 2 2 39" xfId="23790"/>
    <cellStyle name="Normal 2 2 2 2 2 2 2 2 2 4" xfId="23791"/>
    <cellStyle name="Normal 2 2 2 2 2 2 2 2 2 40" xfId="23792"/>
    <cellStyle name="Normal 2 2 2 2 2 2 2 2 2 41" xfId="23793"/>
    <cellStyle name="Normal 2 2 2 2 2 2 2 2 2 42" xfId="23794"/>
    <cellStyle name="Normal 2 2 2 2 2 2 2 2 2 43" xfId="23795"/>
    <cellStyle name="Normal 2 2 2 2 2 2 2 2 2 5" xfId="23796"/>
    <cellStyle name="Normal 2 2 2 2 2 2 2 2 2 6" xfId="23797"/>
    <cellStyle name="Normal 2 2 2 2 2 2 2 2 2 7" xfId="23798"/>
    <cellStyle name="Normal 2 2 2 2 2 2 2 2 2 7 2" xfId="23799"/>
    <cellStyle name="Normal 2 2 2 2 2 2 2 2 2 8" xfId="23800"/>
    <cellStyle name="Normal 2 2 2 2 2 2 2 2 2 9" xfId="23801"/>
    <cellStyle name="Normal 2 2 2 2 2 2 2 2 20" xfId="23802"/>
    <cellStyle name="Normal 2 2 2 2 2 2 2 2 20 2" xfId="23803"/>
    <cellStyle name="Normal 2 2 2 2 2 2 2 2 20 3" xfId="23804"/>
    <cellStyle name="Normal 2 2 2 2 2 2 2 2 20 4" xfId="23805"/>
    <cellStyle name="Normal 2 2 2 2 2 2 2 2 20 5" xfId="23806"/>
    <cellStyle name="Normal 2 2 2 2 2 2 2 2 20 6" xfId="23807"/>
    <cellStyle name="Normal 2 2 2 2 2 2 2 2 20 7" xfId="23808"/>
    <cellStyle name="Normal 2 2 2 2 2 2 2 2 20 8" xfId="23809"/>
    <cellStyle name="Normal 2 2 2 2 2 2 2 2 21" xfId="23810"/>
    <cellStyle name="Normal 2 2 2 2 2 2 2 2 22" xfId="23811"/>
    <cellStyle name="Normal 2 2 2 2 2 2 2 2 23" xfId="23812"/>
    <cellStyle name="Normal 2 2 2 2 2 2 2 2 24" xfId="23813"/>
    <cellStyle name="Normal 2 2 2 2 2 2 2 2 25" xfId="23814"/>
    <cellStyle name="Normal 2 2 2 2 2 2 2 2 26" xfId="23815"/>
    <cellStyle name="Normal 2 2 2 2 2 2 2 2 27" xfId="23816"/>
    <cellStyle name="Normal 2 2 2 2 2 2 2 2 28" xfId="23817"/>
    <cellStyle name="Normal 2 2 2 2 2 2 2 2 28 2" xfId="23818"/>
    <cellStyle name="Normal 2 2 2 2 2 2 2 2 28_REVISIONS SORRY" xfId="23819"/>
    <cellStyle name="Normal 2 2 2 2 2 2 2 2 29" xfId="23820"/>
    <cellStyle name="Normal 2 2 2 2 2 2 2 2 3" xfId="23821"/>
    <cellStyle name="Normal 2 2 2 2 2 2 2 2 30" xfId="23822"/>
    <cellStyle name="Normal 2 2 2 2 2 2 2 2 31" xfId="23823"/>
    <cellStyle name="Normal 2 2 2 2 2 2 2 2 31 2" xfId="23824"/>
    <cellStyle name="Normal 2 2 2 2 2 2 2 2 31 2 2" xfId="23825"/>
    <cellStyle name="Normal 2 2 2 2 2 2 2 2 32" xfId="23826"/>
    <cellStyle name="Normal 2 2 2 2 2 2 2 2 33" xfId="23827"/>
    <cellStyle name="Normal 2 2 2 2 2 2 2 2 33 2" xfId="23828"/>
    <cellStyle name="Normal 2 2 2 2 2 2 2 2 34" xfId="23829"/>
    <cellStyle name="Normal 2 2 2 2 2 2 2 2 35" xfId="23830"/>
    <cellStyle name="Normal 2 2 2 2 2 2 2 2 36" xfId="23831"/>
    <cellStyle name="Normal 2 2 2 2 2 2 2 2 36 2" xfId="23832"/>
    <cellStyle name="Normal 2 2 2 2 2 2 2 2 37" xfId="23833"/>
    <cellStyle name="Normal 2 2 2 2 2 2 2 2 38" xfId="23834"/>
    <cellStyle name="Normal 2 2 2 2 2 2 2 2 39" xfId="23835"/>
    <cellStyle name="Normal 2 2 2 2 2 2 2 2 39 2" xfId="23836"/>
    <cellStyle name="Normal 2 2 2 2 2 2 2 2 39 3" xfId="23837"/>
    <cellStyle name="Normal 2 2 2 2 2 2 2 2 39 4" xfId="23838"/>
    <cellStyle name="Normal 2 2 2 2 2 2 2 2 4" xfId="23839"/>
    <cellStyle name="Normal 2 2 2 2 2 2 2 2 4 2" xfId="23840"/>
    <cellStyle name="Normal 2 2 2 2 2 2 2 2 4 3" xfId="23841"/>
    <cellStyle name="Normal 2 2 2 2 2 2 2 2 40" xfId="23842"/>
    <cellStyle name="Normal 2 2 2 2 2 2 2 2 41" xfId="23843"/>
    <cellStyle name="Normal 2 2 2 2 2 2 2 2 42" xfId="23844"/>
    <cellStyle name="Normal 2 2 2 2 2 2 2 2 43" xfId="23845"/>
    <cellStyle name="Normal 2 2 2 2 2 2 2 2 44" xfId="23846"/>
    <cellStyle name="Normal 2 2 2 2 2 2 2 2 5" xfId="23847"/>
    <cellStyle name="Normal 2 2 2 2 2 2 2 2 6" xfId="23848"/>
    <cellStyle name="Normal 2 2 2 2 2 2 2 2 7" xfId="23849"/>
    <cellStyle name="Normal 2 2 2 2 2 2 2 2 8" xfId="23850"/>
    <cellStyle name="Normal 2 2 2 2 2 2 2 2 8 2" xfId="23851"/>
    <cellStyle name="Normal 2 2 2 2 2 2 2 2 9" xfId="23852"/>
    <cellStyle name="Normal 2 2 2 2 2 2 2 2_XI Introductory Section (version 3)" xfId="23853"/>
    <cellStyle name="Normal 2 2 2 2 2 2 2 20" xfId="23854"/>
    <cellStyle name="Normal 2 2 2 2 2 2 2 20 2" xfId="23855"/>
    <cellStyle name="Normal 2 2 2 2 2 2 2 20 3" xfId="23856"/>
    <cellStyle name="Normal 2 2 2 2 2 2 2 20 4" xfId="23857"/>
    <cellStyle name="Normal 2 2 2 2 2 2 2 20 5" xfId="23858"/>
    <cellStyle name="Normal 2 2 2 2 2 2 2 20 6" xfId="23859"/>
    <cellStyle name="Normal 2 2 2 2 2 2 2 20 7" xfId="23860"/>
    <cellStyle name="Normal 2 2 2 2 2 2 2 20 8" xfId="23861"/>
    <cellStyle name="Normal 2 2 2 2 2 2 2 21" xfId="23862"/>
    <cellStyle name="Normal 2 2 2 2 2 2 2 22" xfId="23863"/>
    <cellStyle name="Normal 2 2 2 2 2 2 2 23" xfId="23864"/>
    <cellStyle name="Normal 2 2 2 2 2 2 2 24" xfId="23865"/>
    <cellStyle name="Normal 2 2 2 2 2 2 2 25" xfId="23866"/>
    <cellStyle name="Normal 2 2 2 2 2 2 2 26" xfId="23867"/>
    <cellStyle name="Normal 2 2 2 2 2 2 2 27" xfId="23868"/>
    <cellStyle name="Normal 2 2 2 2 2 2 2 28" xfId="23869"/>
    <cellStyle name="Normal 2 2 2 2 2 2 2 28 2" xfId="23870"/>
    <cellStyle name="Normal 2 2 2 2 2 2 2 28_REVISIONS SORRY" xfId="23871"/>
    <cellStyle name="Normal 2 2 2 2 2 2 2 29" xfId="23872"/>
    <cellStyle name="Normal 2 2 2 2 2 2 2 3" xfId="23873"/>
    <cellStyle name="Normal 2 2 2 2 2 2 2 3 2" xfId="23874"/>
    <cellStyle name="Normal 2 2 2 2 2 2 2 3 2 2" xfId="23875"/>
    <cellStyle name="Normal 2 2 2 2 2 2 2 3 2 2 2" xfId="23876"/>
    <cellStyle name="Normal 2 2 2 2 2 2 2 3 2 2 3" xfId="23877"/>
    <cellStyle name="Normal 2 2 2 2 2 2 2 3 2 3" xfId="23878"/>
    <cellStyle name="Normal 2 2 2 2 2 2 2 3 3" xfId="23879"/>
    <cellStyle name="Normal 2 2 2 2 2 2 2 3 4" xfId="23880"/>
    <cellStyle name="Normal 2 2 2 2 2 2 2 30" xfId="23881"/>
    <cellStyle name="Normal 2 2 2 2 2 2 2 31" xfId="23882"/>
    <cellStyle name="Normal 2 2 2 2 2 2 2 31 2" xfId="23883"/>
    <cellStyle name="Normal 2 2 2 2 2 2 2 31 2 2" xfId="23884"/>
    <cellStyle name="Normal 2 2 2 2 2 2 2 32" xfId="23885"/>
    <cellStyle name="Normal 2 2 2 2 2 2 2 33" xfId="23886"/>
    <cellStyle name="Normal 2 2 2 2 2 2 2 33 2" xfId="23887"/>
    <cellStyle name="Normal 2 2 2 2 2 2 2 34" xfId="23888"/>
    <cellStyle name="Normal 2 2 2 2 2 2 2 35" xfId="23889"/>
    <cellStyle name="Normal 2 2 2 2 2 2 2 36" xfId="23890"/>
    <cellStyle name="Normal 2 2 2 2 2 2 2 36 2" xfId="23891"/>
    <cellStyle name="Normal 2 2 2 2 2 2 2 37" xfId="23892"/>
    <cellStyle name="Normal 2 2 2 2 2 2 2 38" xfId="23893"/>
    <cellStyle name="Normal 2 2 2 2 2 2 2 39" xfId="23894"/>
    <cellStyle name="Normal 2 2 2 2 2 2 2 39 2" xfId="23895"/>
    <cellStyle name="Normal 2 2 2 2 2 2 2 39 3" xfId="23896"/>
    <cellStyle name="Normal 2 2 2 2 2 2 2 39 4" xfId="23897"/>
    <cellStyle name="Normal 2 2 2 2 2 2 2 4" xfId="23898"/>
    <cellStyle name="Normal 2 2 2 2 2 2 2 4 2" xfId="23899"/>
    <cellStyle name="Normal 2 2 2 2 2 2 2 4 3" xfId="23900"/>
    <cellStyle name="Normal 2 2 2 2 2 2 2 40" xfId="23901"/>
    <cellStyle name="Normal 2 2 2 2 2 2 2 41" xfId="23902"/>
    <cellStyle name="Normal 2 2 2 2 2 2 2 42" xfId="23903"/>
    <cellStyle name="Normal 2 2 2 2 2 2 2 43" xfId="23904"/>
    <cellStyle name="Normal 2 2 2 2 2 2 2 44" xfId="23905"/>
    <cellStyle name="Normal 2 2 2 2 2 2 2 5" xfId="23906"/>
    <cellStyle name="Normal 2 2 2 2 2 2 2 6" xfId="23907"/>
    <cellStyle name="Normal 2 2 2 2 2 2 2 7" xfId="23908"/>
    <cellStyle name="Normal 2 2 2 2 2 2 2 8" xfId="23909"/>
    <cellStyle name="Normal 2 2 2 2 2 2 2 8 2" xfId="23910"/>
    <cellStyle name="Normal 2 2 2 2 2 2 2 9" xfId="23911"/>
    <cellStyle name="Normal 2 2 2 2 2 2 20" xfId="5001"/>
    <cellStyle name="Normal 2 2 2 2 2 2 21" xfId="5252"/>
    <cellStyle name="Normal 2 2 2 2 2 2 22" xfId="5503"/>
    <cellStyle name="Normal 2 2 2 2 2 2 23" xfId="5754"/>
    <cellStyle name="Normal 2 2 2 2 2 2 23 2" xfId="23912"/>
    <cellStyle name="Normal 2 2 2 2 2 2 23 3" xfId="23913"/>
    <cellStyle name="Normal 2 2 2 2 2 2 23 4" xfId="23914"/>
    <cellStyle name="Normal 2 2 2 2 2 2 23 5" xfId="23915"/>
    <cellStyle name="Normal 2 2 2 2 2 2 23 6" xfId="23916"/>
    <cellStyle name="Normal 2 2 2 2 2 2 23 7" xfId="23917"/>
    <cellStyle name="Normal 2 2 2 2 2 2 23 8" xfId="23918"/>
    <cellStyle name="Normal 2 2 2 2 2 2 24" xfId="6005"/>
    <cellStyle name="Normal 2 2 2 2 2 2 25" xfId="6256"/>
    <cellStyle name="Normal 2 2 2 2 2 2 26" xfId="6507"/>
    <cellStyle name="Normal 2 2 2 2 2 2 27" xfId="6758"/>
    <cellStyle name="Normal 2 2 2 2 2 2 28" xfId="7009"/>
    <cellStyle name="Normal 2 2 2 2 2 2 29" xfId="7260"/>
    <cellStyle name="Normal 2 2 2 2 2 2 3" xfId="718"/>
    <cellStyle name="Normal 2 2 2 2 2 2 30" xfId="7511"/>
    <cellStyle name="Normal 2 2 2 2 2 2 31" xfId="7762"/>
    <cellStyle name="Normal 2 2 2 2 2 2 31 2" xfId="23919"/>
    <cellStyle name="Normal 2 2 2 2 2 2 31_REVISIONS SORRY" xfId="23920"/>
    <cellStyle name="Normal 2 2 2 2 2 2 32" xfId="8013"/>
    <cellStyle name="Normal 2 2 2 2 2 2 33" xfId="8264"/>
    <cellStyle name="Normal 2 2 2 2 2 2 34" xfId="8515"/>
    <cellStyle name="Normal 2 2 2 2 2 2 34 2" xfId="23921"/>
    <cellStyle name="Normal 2 2 2 2 2 2 34 2 2" xfId="23922"/>
    <cellStyle name="Normal 2 2 2 2 2 2 35" xfId="8766"/>
    <cellStyle name="Normal 2 2 2 2 2 2 36" xfId="9017"/>
    <cellStyle name="Normal 2 2 2 2 2 2 36 2" xfId="23923"/>
    <cellStyle name="Normal 2 2 2 2 2 2 37" xfId="9268"/>
    <cellStyle name="Normal 2 2 2 2 2 2 38" xfId="9519"/>
    <cellStyle name="Normal 2 2 2 2 2 2 39" xfId="9770"/>
    <cellStyle name="Normal 2 2 2 2 2 2 39 2" xfId="23924"/>
    <cellStyle name="Normal 2 2 2 2 2 2 4" xfId="971"/>
    <cellStyle name="Normal 2 2 2 2 2 2 40" xfId="10021"/>
    <cellStyle name="Normal 2 2 2 2 2 2 41" xfId="10272"/>
    <cellStyle name="Normal 2 2 2 2 2 2 42" xfId="10523"/>
    <cellStyle name="Normal 2 2 2 2 2 2 42 2" xfId="23925"/>
    <cellStyle name="Normal 2 2 2 2 2 2 42 3" xfId="23926"/>
    <cellStyle name="Normal 2 2 2 2 2 2 42 4" xfId="23927"/>
    <cellStyle name="Normal 2 2 2 2 2 2 43" xfId="10774"/>
    <cellStyle name="Normal 2 2 2 2 2 2 44" xfId="11025"/>
    <cellStyle name="Normal 2 2 2 2 2 2 45" xfId="11276"/>
    <cellStyle name="Normal 2 2 2 2 2 2 46" xfId="11527"/>
    <cellStyle name="Normal 2 2 2 2 2 2 47" xfId="11778"/>
    <cellStyle name="Normal 2 2 2 2 2 2 48" xfId="12029"/>
    <cellStyle name="Normal 2 2 2 2 2 2 49" xfId="12280"/>
    <cellStyle name="Normal 2 2 2 2 2 2 5" xfId="1226"/>
    <cellStyle name="Normal 2 2 2 2 2 2 50" xfId="12531"/>
    <cellStyle name="Normal 2 2 2 2 2 2 51" xfId="12782"/>
    <cellStyle name="Normal 2 2 2 2 2 2 52" xfId="13033"/>
    <cellStyle name="Normal 2 2 2 2 2 2 53" xfId="13284"/>
    <cellStyle name="Normal 2 2 2 2 2 2 54" xfId="13535"/>
    <cellStyle name="Normal 2 2 2 2 2 2 55" xfId="13786"/>
    <cellStyle name="Normal 2 2 2 2 2 2 56" xfId="14037"/>
    <cellStyle name="Normal 2 2 2 2 2 2 57" xfId="14288"/>
    <cellStyle name="Normal 2 2 2 2 2 2 58" xfId="14539"/>
    <cellStyle name="Normal 2 2 2 2 2 2 59" xfId="14790"/>
    <cellStyle name="Normal 2 2 2 2 2 2 6" xfId="1479"/>
    <cellStyle name="Normal 2 2 2 2 2 2 6 2" xfId="23928"/>
    <cellStyle name="Normal 2 2 2 2 2 2 6 2 2" xfId="23929"/>
    <cellStyle name="Normal 2 2 2 2 2 2 6 2 2 2" xfId="23930"/>
    <cellStyle name="Normal 2 2 2 2 2 2 6 2 2 3" xfId="23931"/>
    <cellStyle name="Normal 2 2 2 2 2 2 6 2 3" xfId="23932"/>
    <cellStyle name="Normal 2 2 2 2 2 2 6 3" xfId="23933"/>
    <cellStyle name="Normal 2 2 2 2 2 2 6 4" xfId="23934"/>
    <cellStyle name="Normal 2 2 2 2 2 2 60" xfId="15041"/>
    <cellStyle name="Normal 2 2 2 2 2 2 61" xfId="15291"/>
    <cellStyle name="Normal 2 2 2 2 2 2 62" xfId="15542"/>
    <cellStyle name="Normal 2 2 2 2 2 2 63" xfId="15790"/>
    <cellStyle name="Normal 2 2 2 2 2 2 64" xfId="16046"/>
    <cellStyle name="Normal 2 2 2 2 2 2 65" xfId="16297"/>
    <cellStyle name="Normal 2 2 2 2 2 2 66" xfId="16548"/>
    <cellStyle name="Normal 2 2 2 2 2 2 67" xfId="16799"/>
    <cellStyle name="Normal 2 2 2 2 2 2 68" xfId="17050"/>
    <cellStyle name="Normal 2 2 2 2 2 2 69" xfId="17301"/>
    <cellStyle name="Normal 2 2 2 2 2 2 7" xfId="1733"/>
    <cellStyle name="Normal 2 2 2 2 2 2 7 2" xfId="23935"/>
    <cellStyle name="Normal 2 2 2 2 2 2 7 3" xfId="23936"/>
    <cellStyle name="Normal 2 2 2 2 2 2 70" xfId="17552"/>
    <cellStyle name="Normal 2 2 2 2 2 2 71" xfId="17803"/>
    <cellStyle name="Normal 2 2 2 2 2 2 72" xfId="18054"/>
    <cellStyle name="Normal 2 2 2 2 2 2 73" xfId="18305"/>
    <cellStyle name="Normal 2 2 2 2 2 2 74" xfId="18556"/>
    <cellStyle name="Normal 2 2 2 2 2 2 75" xfId="18807"/>
    <cellStyle name="Normal 2 2 2 2 2 2 76" xfId="19057"/>
    <cellStyle name="Normal 2 2 2 2 2 2 77" xfId="19309"/>
    <cellStyle name="Normal 2 2 2 2 2 2 78" xfId="19559"/>
    <cellStyle name="Normal 2 2 2 2 2 2 79" xfId="19815"/>
    <cellStyle name="Normal 2 2 2 2 2 2 8" xfId="1989"/>
    <cellStyle name="Normal 2 2 2 2 2 2 80" xfId="20067"/>
    <cellStyle name="Normal 2 2 2 2 2 2 81" xfId="20319"/>
    <cellStyle name="Normal 2 2 2 2 2 2 82" xfId="20571"/>
    <cellStyle name="Normal 2 2 2 2 2 2 83" xfId="20821"/>
    <cellStyle name="Normal 2 2 2 2 2 2 84" xfId="21071"/>
    <cellStyle name="Normal 2 2 2 2 2 2 85" xfId="21320"/>
    <cellStyle name="Normal 2 2 2 2 2 2 86" xfId="21564"/>
    <cellStyle name="Normal 2 2 2 2 2 2 87" xfId="21808"/>
    <cellStyle name="Normal 2 2 2 2 2 2 88" xfId="22049"/>
    <cellStyle name="Normal 2 2 2 2 2 2 9" xfId="2240"/>
    <cellStyle name="Normal 2 2 2 2 2 2_XI Introductory Section (version 3)" xfId="23937"/>
    <cellStyle name="Normal 2 2 2 2 2 20" xfId="5000"/>
    <cellStyle name="Normal 2 2 2 2 2 21" xfId="5251"/>
    <cellStyle name="Normal 2 2 2 2 2 22" xfId="5502"/>
    <cellStyle name="Normal 2 2 2 2 2 23" xfId="5753"/>
    <cellStyle name="Normal 2 2 2 2 2 23 2" xfId="23938"/>
    <cellStyle name="Normal 2 2 2 2 2 23 3" xfId="23939"/>
    <cellStyle name="Normal 2 2 2 2 2 23 4" xfId="23940"/>
    <cellStyle name="Normal 2 2 2 2 2 23 5" xfId="23941"/>
    <cellStyle name="Normal 2 2 2 2 2 23 6" xfId="23942"/>
    <cellStyle name="Normal 2 2 2 2 2 23 7" xfId="23943"/>
    <cellStyle name="Normal 2 2 2 2 2 23 8" xfId="23944"/>
    <cellStyle name="Normal 2 2 2 2 2 24" xfId="6004"/>
    <cellStyle name="Normal 2 2 2 2 2 25" xfId="6255"/>
    <cellStyle name="Normal 2 2 2 2 2 26" xfId="6506"/>
    <cellStyle name="Normal 2 2 2 2 2 27" xfId="6757"/>
    <cellStyle name="Normal 2 2 2 2 2 28" xfId="7008"/>
    <cellStyle name="Normal 2 2 2 2 2 29" xfId="7259"/>
    <cellStyle name="Normal 2 2 2 2 2 3" xfId="717"/>
    <cellStyle name="Normal 2 2 2 2 2 3 2" xfId="23945"/>
    <cellStyle name="Normal 2 2 2 2 2 30" xfId="7510"/>
    <cellStyle name="Normal 2 2 2 2 2 31" xfId="7761"/>
    <cellStyle name="Normal 2 2 2 2 2 31 2" xfId="23946"/>
    <cellStyle name="Normal 2 2 2 2 2 31_REVISIONS SORRY" xfId="23947"/>
    <cellStyle name="Normal 2 2 2 2 2 32" xfId="8012"/>
    <cellStyle name="Normal 2 2 2 2 2 33" xfId="8263"/>
    <cellStyle name="Normal 2 2 2 2 2 34" xfId="8514"/>
    <cellStyle name="Normal 2 2 2 2 2 34 2" xfId="23948"/>
    <cellStyle name="Normal 2 2 2 2 2 34 2 2" xfId="23949"/>
    <cellStyle name="Normal 2 2 2 2 2 35" xfId="8765"/>
    <cellStyle name="Normal 2 2 2 2 2 36" xfId="9016"/>
    <cellStyle name="Normal 2 2 2 2 2 36 2" xfId="23950"/>
    <cellStyle name="Normal 2 2 2 2 2 37" xfId="9267"/>
    <cellStyle name="Normal 2 2 2 2 2 38" xfId="9518"/>
    <cellStyle name="Normal 2 2 2 2 2 39" xfId="9769"/>
    <cellStyle name="Normal 2 2 2 2 2 39 2" xfId="23951"/>
    <cellStyle name="Normal 2 2 2 2 2 4" xfId="970"/>
    <cellStyle name="Normal 2 2 2 2 2 40" xfId="10020"/>
    <cellStyle name="Normal 2 2 2 2 2 41" xfId="10271"/>
    <cellStyle name="Normal 2 2 2 2 2 42" xfId="10522"/>
    <cellStyle name="Normal 2 2 2 2 2 42 2" xfId="23952"/>
    <cellStyle name="Normal 2 2 2 2 2 42 3" xfId="23953"/>
    <cellStyle name="Normal 2 2 2 2 2 42 4" xfId="23954"/>
    <cellStyle name="Normal 2 2 2 2 2 43" xfId="10773"/>
    <cellStyle name="Normal 2 2 2 2 2 44" xfId="11024"/>
    <cellStyle name="Normal 2 2 2 2 2 45" xfId="11275"/>
    <cellStyle name="Normal 2 2 2 2 2 46" xfId="11526"/>
    <cellStyle name="Normal 2 2 2 2 2 47" xfId="11777"/>
    <cellStyle name="Normal 2 2 2 2 2 48" xfId="12028"/>
    <cellStyle name="Normal 2 2 2 2 2 49" xfId="12279"/>
    <cellStyle name="Normal 2 2 2 2 2 5" xfId="1225"/>
    <cellStyle name="Normal 2 2 2 2 2 50" xfId="12530"/>
    <cellStyle name="Normal 2 2 2 2 2 51" xfId="12781"/>
    <cellStyle name="Normal 2 2 2 2 2 52" xfId="13032"/>
    <cellStyle name="Normal 2 2 2 2 2 53" xfId="13283"/>
    <cellStyle name="Normal 2 2 2 2 2 54" xfId="13534"/>
    <cellStyle name="Normal 2 2 2 2 2 55" xfId="13785"/>
    <cellStyle name="Normal 2 2 2 2 2 56" xfId="14036"/>
    <cellStyle name="Normal 2 2 2 2 2 57" xfId="14287"/>
    <cellStyle name="Normal 2 2 2 2 2 58" xfId="14538"/>
    <cellStyle name="Normal 2 2 2 2 2 59" xfId="14789"/>
    <cellStyle name="Normal 2 2 2 2 2 6" xfId="1478"/>
    <cellStyle name="Normal 2 2 2 2 2 6 2" xfId="23955"/>
    <cellStyle name="Normal 2 2 2 2 2 6 2 2" xfId="23956"/>
    <cellStyle name="Normal 2 2 2 2 2 6 2 2 2" xfId="23957"/>
    <cellStyle name="Normal 2 2 2 2 2 6 2 2 3" xfId="23958"/>
    <cellStyle name="Normal 2 2 2 2 2 6 2 3" xfId="23959"/>
    <cellStyle name="Normal 2 2 2 2 2 6 3" xfId="23960"/>
    <cellStyle name="Normal 2 2 2 2 2 6 4" xfId="23961"/>
    <cellStyle name="Normal 2 2 2 2 2 60" xfId="15040"/>
    <cellStyle name="Normal 2 2 2 2 2 61" xfId="15290"/>
    <cellStyle name="Normal 2 2 2 2 2 62" xfId="15541"/>
    <cellStyle name="Normal 2 2 2 2 2 63" xfId="15789"/>
    <cellStyle name="Normal 2 2 2 2 2 64" xfId="16045"/>
    <cellStyle name="Normal 2 2 2 2 2 65" xfId="16296"/>
    <cellStyle name="Normal 2 2 2 2 2 66" xfId="16547"/>
    <cellStyle name="Normal 2 2 2 2 2 67" xfId="16798"/>
    <cellStyle name="Normal 2 2 2 2 2 68" xfId="17049"/>
    <cellStyle name="Normal 2 2 2 2 2 69" xfId="17300"/>
    <cellStyle name="Normal 2 2 2 2 2 7" xfId="1732"/>
    <cellStyle name="Normal 2 2 2 2 2 7 2" xfId="23962"/>
    <cellStyle name="Normal 2 2 2 2 2 7 3" xfId="23963"/>
    <cellStyle name="Normal 2 2 2 2 2 70" xfId="17551"/>
    <cellStyle name="Normal 2 2 2 2 2 71" xfId="17802"/>
    <cellStyle name="Normal 2 2 2 2 2 72" xfId="18053"/>
    <cellStyle name="Normal 2 2 2 2 2 73" xfId="18304"/>
    <cellStyle name="Normal 2 2 2 2 2 74" xfId="18555"/>
    <cellStyle name="Normal 2 2 2 2 2 75" xfId="18806"/>
    <cellStyle name="Normal 2 2 2 2 2 76" xfId="19056"/>
    <cellStyle name="Normal 2 2 2 2 2 77" xfId="19308"/>
    <cellStyle name="Normal 2 2 2 2 2 78" xfId="19558"/>
    <cellStyle name="Normal 2 2 2 2 2 79" xfId="19814"/>
    <cellStyle name="Normal 2 2 2 2 2 8" xfId="1988"/>
    <cellStyle name="Normal 2 2 2 2 2 80" xfId="20066"/>
    <cellStyle name="Normal 2 2 2 2 2 81" xfId="20318"/>
    <cellStyle name="Normal 2 2 2 2 2 82" xfId="20570"/>
    <cellStyle name="Normal 2 2 2 2 2 83" xfId="20820"/>
    <cellStyle name="Normal 2 2 2 2 2 84" xfId="21070"/>
    <cellStyle name="Normal 2 2 2 2 2 85" xfId="21319"/>
    <cellStyle name="Normal 2 2 2 2 2 86" xfId="21563"/>
    <cellStyle name="Normal 2 2 2 2 2 87" xfId="21807"/>
    <cellStyle name="Normal 2 2 2 2 2 88" xfId="22048"/>
    <cellStyle name="Normal 2 2 2 2 2 9" xfId="2239"/>
    <cellStyle name="Normal 2 2 2 2 20" xfId="4406"/>
    <cellStyle name="Normal 2 2 2 2 21" xfId="4657"/>
    <cellStyle name="Normal 2 2 2 2 22" xfId="4908"/>
    <cellStyle name="Normal 2 2 2 2 23" xfId="5159"/>
    <cellStyle name="Normal 2 2 2 2 23 2" xfId="23964"/>
    <cellStyle name="Normal 2 2 2 2 23 3" xfId="23965"/>
    <cellStyle name="Normal 2 2 2 2 23 4" xfId="23966"/>
    <cellStyle name="Normal 2 2 2 2 23 5" xfId="23967"/>
    <cellStyle name="Normal 2 2 2 2 23 6" xfId="23968"/>
    <cellStyle name="Normal 2 2 2 2 23 7" xfId="23969"/>
    <cellStyle name="Normal 2 2 2 2 23 8" xfId="23970"/>
    <cellStyle name="Normal 2 2 2 2 24" xfId="5410"/>
    <cellStyle name="Normal 2 2 2 2 25" xfId="5661"/>
    <cellStyle name="Normal 2 2 2 2 26" xfId="5912"/>
    <cellStyle name="Normal 2 2 2 2 27" xfId="6163"/>
    <cellStyle name="Normal 2 2 2 2 28" xfId="6414"/>
    <cellStyle name="Normal 2 2 2 2 29" xfId="6665"/>
    <cellStyle name="Normal 2 2 2 2 3" xfId="267"/>
    <cellStyle name="Normal 2 2 2 2 3 2" xfId="23971"/>
    <cellStyle name="Normal 2 2 2 2 30" xfId="6916"/>
    <cellStyle name="Normal 2 2 2 2 31" xfId="7167"/>
    <cellStyle name="Normal 2 2 2 2 31 2" xfId="23972"/>
    <cellStyle name="Normal 2 2 2 2 31_REVISIONS SORRY" xfId="23973"/>
    <cellStyle name="Normal 2 2 2 2 32" xfId="7418"/>
    <cellStyle name="Normal 2 2 2 2 33" xfId="7669"/>
    <cellStyle name="Normal 2 2 2 2 34" xfId="7920"/>
    <cellStyle name="Normal 2 2 2 2 34 2" xfId="23974"/>
    <cellStyle name="Normal 2 2 2 2 34 2 2" xfId="23975"/>
    <cellStyle name="Normal 2 2 2 2 35" xfId="8171"/>
    <cellStyle name="Normal 2 2 2 2 36" xfId="8422"/>
    <cellStyle name="Normal 2 2 2 2 36 2" xfId="23976"/>
    <cellStyle name="Normal 2 2 2 2 37" xfId="8673"/>
    <cellStyle name="Normal 2 2 2 2 38" xfId="8924"/>
    <cellStyle name="Normal 2 2 2 2 39" xfId="9175"/>
    <cellStyle name="Normal 2 2 2 2 39 2" xfId="23977"/>
    <cellStyle name="Normal 2 2 2 2 4" xfId="376"/>
    <cellStyle name="Normal 2 2 2 2 40" xfId="9426"/>
    <cellStyle name="Normal 2 2 2 2 41" xfId="9677"/>
    <cellStyle name="Normal 2 2 2 2 42" xfId="9928"/>
    <cellStyle name="Normal 2 2 2 2 42 2" xfId="23978"/>
    <cellStyle name="Normal 2 2 2 2 42 3" xfId="23979"/>
    <cellStyle name="Normal 2 2 2 2 42 4" xfId="23980"/>
    <cellStyle name="Normal 2 2 2 2 43" xfId="10179"/>
    <cellStyle name="Normal 2 2 2 2 44" xfId="10430"/>
    <cellStyle name="Normal 2 2 2 2 45" xfId="10681"/>
    <cellStyle name="Normal 2 2 2 2 46" xfId="10932"/>
    <cellStyle name="Normal 2 2 2 2 47" xfId="11183"/>
    <cellStyle name="Normal 2 2 2 2 48" xfId="11434"/>
    <cellStyle name="Normal 2 2 2 2 49" xfId="11685"/>
    <cellStyle name="Normal 2 2 2 2 5" xfId="625"/>
    <cellStyle name="Normal 2 2 2 2 50" xfId="11936"/>
    <cellStyle name="Normal 2 2 2 2 51" xfId="12187"/>
    <cellStyle name="Normal 2 2 2 2 52" xfId="12438"/>
    <cellStyle name="Normal 2 2 2 2 53" xfId="12689"/>
    <cellStyle name="Normal 2 2 2 2 54" xfId="12940"/>
    <cellStyle name="Normal 2 2 2 2 55" xfId="13191"/>
    <cellStyle name="Normal 2 2 2 2 56" xfId="13442"/>
    <cellStyle name="Normal 2 2 2 2 57" xfId="13693"/>
    <cellStyle name="Normal 2 2 2 2 58" xfId="13944"/>
    <cellStyle name="Normal 2 2 2 2 59" xfId="14195"/>
    <cellStyle name="Normal 2 2 2 2 6" xfId="878"/>
    <cellStyle name="Normal 2 2 2 2 6 2" xfId="23981"/>
    <cellStyle name="Normal 2 2 2 2 6 2 2" xfId="23982"/>
    <cellStyle name="Normal 2 2 2 2 6 2 2 2" xfId="23983"/>
    <cellStyle name="Normal 2 2 2 2 6 2 2 3" xfId="23984"/>
    <cellStyle name="Normal 2 2 2 2 6 2 3" xfId="23985"/>
    <cellStyle name="Normal 2 2 2 2 6 3" xfId="23986"/>
    <cellStyle name="Normal 2 2 2 2 6 4" xfId="23987"/>
    <cellStyle name="Normal 2 2 2 2 60" xfId="14446"/>
    <cellStyle name="Normal 2 2 2 2 61" xfId="14697"/>
    <cellStyle name="Normal 2 2 2 2 62" xfId="14947"/>
    <cellStyle name="Normal 2 2 2 2 63" xfId="15198"/>
    <cellStyle name="Normal 2 2 2 2 64" xfId="15449"/>
    <cellStyle name="Normal 2 2 2 2 65" xfId="15696"/>
    <cellStyle name="Normal 2 2 2 2 66" xfId="15953"/>
    <cellStyle name="Normal 2 2 2 2 67" xfId="16204"/>
    <cellStyle name="Normal 2 2 2 2 68" xfId="16455"/>
    <cellStyle name="Normal 2 2 2 2 69" xfId="16706"/>
    <cellStyle name="Normal 2 2 2 2 7" xfId="1133"/>
    <cellStyle name="Normal 2 2 2 2 7 2" xfId="23988"/>
    <cellStyle name="Normal 2 2 2 2 7 3" xfId="23989"/>
    <cellStyle name="Normal 2 2 2 2 70" xfId="16957"/>
    <cellStyle name="Normal 2 2 2 2 71" xfId="17208"/>
    <cellStyle name="Normal 2 2 2 2 72" xfId="17459"/>
    <cellStyle name="Normal 2 2 2 2 73" xfId="17710"/>
    <cellStyle name="Normal 2 2 2 2 74" xfId="17961"/>
    <cellStyle name="Normal 2 2 2 2 75" xfId="18212"/>
    <cellStyle name="Normal 2 2 2 2 76" xfId="18463"/>
    <cellStyle name="Normal 2 2 2 2 77" xfId="18713"/>
    <cellStyle name="Normal 2 2 2 2 78" xfId="18964"/>
    <cellStyle name="Normal 2 2 2 2 79" xfId="19215"/>
    <cellStyle name="Normal 2 2 2 2 8" xfId="1386"/>
    <cellStyle name="Normal 2 2 2 2 80" xfId="19465"/>
    <cellStyle name="Normal 2 2 2 2 81" xfId="19721"/>
    <cellStyle name="Normal 2 2 2 2 82" xfId="19973"/>
    <cellStyle name="Normal 2 2 2 2 83" xfId="20225"/>
    <cellStyle name="Normal 2 2 2 2 84" xfId="20477"/>
    <cellStyle name="Normal 2 2 2 2 85" xfId="20727"/>
    <cellStyle name="Normal 2 2 2 2 86" xfId="20977"/>
    <cellStyle name="Normal 2 2 2 2 87" xfId="21228"/>
    <cellStyle name="Normal 2 2 2 2 88" xfId="21472"/>
    <cellStyle name="Normal 2 2 2 2 89" xfId="21716"/>
    <cellStyle name="Normal 2 2 2 2 9" xfId="1639"/>
    <cellStyle name="Normal 2 2 2 2 90" xfId="21957"/>
    <cellStyle name="Normal 2 2 2 2_XI Introductory Section (version 3)" xfId="23990"/>
    <cellStyle name="Normal 2 2 2 20" xfId="4405"/>
    <cellStyle name="Normal 2 2 2 20 2" xfId="23991"/>
    <cellStyle name="Normal 2 2 2 21" xfId="4656"/>
    <cellStyle name="Normal 2 2 2 22" xfId="4907"/>
    <cellStyle name="Normal 2 2 2 23" xfId="5158"/>
    <cellStyle name="Normal 2 2 2 24" xfId="5409"/>
    <cellStyle name="Normal 2 2 2 24 2" xfId="23992"/>
    <cellStyle name="Normal 2 2 2 24 3" xfId="23993"/>
    <cellStyle name="Normal 2 2 2 24 4" xfId="23994"/>
    <cellStyle name="Normal 2 2 2 24 5" xfId="23995"/>
    <cellStyle name="Normal 2 2 2 24 6" xfId="23996"/>
    <cellStyle name="Normal 2 2 2 24 7" xfId="23997"/>
    <cellStyle name="Normal 2 2 2 24 8" xfId="23998"/>
    <cellStyle name="Normal 2 2 2 25" xfId="5660"/>
    <cellStyle name="Normal 2 2 2 26" xfId="5911"/>
    <cellStyle name="Normal 2 2 2 27" xfId="6162"/>
    <cellStyle name="Normal 2 2 2 28" xfId="6413"/>
    <cellStyle name="Normal 2 2 2 29" xfId="6664"/>
    <cellStyle name="Normal 2 2 2 3" xfId="266"/>
    <cellStyle name="Normal 2 2 2 30" xfId="6915"/>
    <cellStyle name="Normal 2 2 2 31" xfId="7166"/>
    <cellStyle name="Normal 2 2 2 32" xfId="7417"/>
    <cellStyle name="Normal 2 2 2 32 2" xfId="23999"/>
    <cellStyle name="Normal 2 2 2 32_REVISIONS SORRY" xfId="24000"/>
    <cellStyle name="Normal 2 2 2 33" xfId="7668"/>
    <cellStyle name="Normal 2 2 2 34" xfId="7919"/>
    <cellStyle name="Normal 2 2 2 35" xfId="8170"/>
    <cellStyle name="Normal 2 2 2 35 2" xfId="24001"/>
    <cellStyle name="Normal 2 2 2 35 2 2" xfId="24002"/>
    <cellStyle name="Normal 2 2 2 36" xfId="8421"/>
    <cellStyle name="Normal 2 2 2 37" xfId="8672"/>
    <cellStyle name="Normal 2 2 2 37 2" xfId="24003"/>
    <cellStyle name="Normal 2 2 2 38" xfId="8923"/>
    <cellStyle name="Normal 2 2 2 39" xfId="9174"/>
    <cellStyle name="Normal 2 2 2 4" xfId="375"/>
    <cellStyle name="Normal 2 2 2 4 2" xfId="24004"/>
    <cellStyle name="Normal 2 2 2 40" xfId="9425"/>
    <cellStyle name="Normal 2 2 2 40 2" xfId="24005"/>
    <cellStyle name="Normal 2 2 2 41" xfId="9676"/>
    <cellStyle name="Normal 2 2 2 42" xfId="9927"/>
    <cellStyle name="Normal 2 2 2 43" xfId="10178"/>
    <cellStyle name="Normal 2 2 2 43 2" xfId="24006"/>
    <cellStyle name="Normal 2 2 2 43 3" xfId="24007"/>
    <cellStyle name="Normal 2 2 2 43 4" xfId="24008"/>
    <cellStyle name="Normal 2 2 2 44" xfId="10429"/>
    <cellStyle name="Normal 2 2 2 45" xfId="10680"/>
    <cellStyle name="Normal 2 2 2 46" xfId="10931"/>
    <cellStyle name="Normal 2 2 2 47" xfId="11182"/>
    <cellStyle name="Normal 2 2 2 48" xfId="11433"/>
    <cellStyle name="Normal 2 2 2 49" xfId="11684"/>
    <cellStyle name="Normal 2 2 2 5" xfId="624"/>
    <cellStyle name="Normal 2 2 2 50" xfId="11935"/>
    <cellStyle name="Normal 2 2 2 51" xfId="12186"/>
    <cellStyle name="Normal 2 2 2 52" xfId="12437"/>
    <cellStyle name="Normal 2 2 2 53" xfId="12688"/>
    <cellStyle name="Normal 2 2 2 54" xfId="12939"/>
    <cellStyle name="Normal 2 2 2 55" xfId="13190"/>
    <cellStyle name="Normal 2 2 2 56" xfId="13441"/>
    <cellStyle name="Normal 2 2 2 57" xfId="13692"/>
    <cellStyle name="Normal 2 2 2 58" xfId="13943"/>
    <cellStyle name="Normal 2 2 2 59" xfId="14194"/>
    <cellStyle name="Normal 2 2 2 6" xfId="877"/>
    <cellStyle name="Normal 2 2 2 60" xfId="14445"/>
    <cellStyle name="Normal 2 2 2 61" xfId="14696"/>
    <cellStyle name="Normal 2 2 2 62" xfId="14946"/>
    <cellStyle name="Normal 2 2 2 63" xfId="15197"/>
    <cellStyle name="Normal 2 2 2 64" xfId="15448"/>
    <cellStyle name="Normal 2 2 2 65" xfId="15695"/>
    <cellStyle name="Normal 2 2 2 66" xfId="15952"/>
    <cellStyle name="Normal 2 2 2 67" xfId="16203"/>
    <cellStyle name="Normal 2 2 2 68" xfId="16454"/>
    <cellStyle name="Normal 2 2 2 69" xfId="16705"/>
    <cellStyle name="Normal 2 2 2 7" xfId="1132"/>
    <cellStyle name="Normal 2 2 2 7 2" xfId="24009"/>
    <cellStyle name="Normal 2 2 2 7 2 2" xfId="24010"/>
    <cellStyle name="Normal 2 2 2 7 2 2 2" xfId="24011"/>
    <cellStyle name="Normal 2 2 2 7 2 2 3" xfId="24012"/>
    <cellStyle name="Normal 2 2 2 7 2 3" xfId="24013"/>
    <cellStyle name="Normal 2 2 2 7 3" xfId="24014"/>
    <cellStyle name="Normal 2 2 2 7 4" xfId="24015"/>
    <cellStyle name="Normal 2 2 2 70" xfId="16956"/>
    <cellStyle name="Normal 2 2 2 71" xfId="17207"/>
    <cellStyle name="Normal 2 2 2 72" xfId="17458"/>
    <cellStyle name="Normal 2 2 2 73" xfId="17709"/>
    <cellStyle name="Normal 2 2 2 74" xfId="17960"/>
    <cellStyle name="Normal 2 2 2 75" xfId="18211"/>
    <cellStyle name="Normal 2 2 2 76" xfId="18462"/>
    <cellStyle name="Normal 2 2 2 77" xfId="18712"/>
    <cellStyle name="Normal 2 2 2 78" xfId="18963"/>
    <cellStyle name="Normal 2 2 2 79" xfId="19214"/>
    <cellStyle name="Normal 2 2 2 8" xfId="1385"/>
    <cellStyle name="Normal 2 2 2 8 2" xfId="24016"/>
    <cellStyle name="Normal 2 2 2 8 3" xfId="24017"/>
    <cellStyle name="Normal 2 2 2 80" xfId="19464"/>
    <cellStyle name="Normal 2 2 2 81" xfId="19720"/>
    <cellStyle name="Normal 2 2 2 82" xfId="19972"/>
    <cellStyle name="Normal 2 2 2 83" xfId="20224"/>
    <cellStyle name="Normal 2 2 2 84" xfId="20476"/>
    <cellStyle name="Normal 2 2 2 85" xfId="20726"/>
    <cellStyle name="Normal 2 2 2 86" xfId="20976"/>
    <cellStyle name="Normal 2 2 2 87" xfId="21227"/>
    <cellStyle name="Normal 2 2 2 88" xfId="21471"/>
    <cellStyle name="Normal 2 2 2 89" xfId="21715"/>
    <cellStyle name="Normal 2 2 2 9" xfId="1638"/>
    <cellStyle name="Normal 2 2 2 90" xfId="21956"/>
    <cellStyle name="Normal 2 2 20" xfId="4120"/>
    <cellStyle name="Normal 2 2 20 2" xfId="24018"/>
    <cellStyle name="Normal 2 2 21" xfId="4371"/>
    <cellStyle name="Normal 2 2 22" xfId="4622"/>
    <cellStyle name="Normal 2 2 23" xfId="4873"/>
    <cellStyle name="Normal 2 2 24" xfId="5124"/>
    <cellStyle name="Normal 2 2 24 2" xfId="24019"/>
    <cellStyle name="Normal 2 2 24 3" xfId="24020"/>
    <cellStyle name="Normal 2 2 24 4" xfId="24021"/>
    <cellStyle name="Normal 2 2 24 5" xfId="24022"/>
    <cellStyle name="Normal 2 2 24 6" xfId="24023"/>
    <cellStyle name="Normal 2 2 24 7" xfId="24024"/>
    <cellStyle name="Normal 2 2 24 8" xfId="24025"/>
    <cellStyle name="Normal 2 2 25" xfId="5375"/>
    <cellStyle name="Normal 2 2 26" xfId="5626"/>
    <cellStyle name="Normal 2 2 27" xfId="5877"/>
    <cellStyle name="Normal 2 2 28" xfId="6128"/>
    <cellStyle name="Normal 2 2 29" xfId="6379"/>
    <cellStyle name="Normal 2 2 3" xfId="158"/>
    <cellStyle name="Normal 2 2 30" xfId="6630"/>
    <cellStyle name="Normal 2 2 31" xfId="6881"/>
    <cellStyle name="Normal 2 2 32" xfId="7132"/>
    <cellStyle name="Normal 2 2 32 2" xfId="24026"/>
    <cellStyle name="Normal 2 2 32_REVISIONS SORRY" xfId="24027"/>
    <cellStyle name="Normal 2 2 33" xfId="7383"/>
    <cellStyle name="Normal 2 2 34" xfId="7634"/>
    <cellStyle name="Normal 2 2 35" xfId="7885"/>
    <cellStyle name="Normal 2 2 35 2" xfId="24028"/>
    <cellStyle name="Normal 2 2 35 2 2" xfId="24029"/>
    <cellStyle name="Normal 2 2 36" xfId="8136"/>
    <cellStyle name="Normal 2 2 37" xfId="8387"/>
    <cellStyle name="Normal 2 2 37 2" xfId="24030"/>
    <cellStyle name="Normal 2 2 38" xfId="8638"/>
    <cellStyle name="Normal 2 2 39" xfId="8889"/>
    <cellStyle name="Normal 2 2 4" xfId="234"/>
    <cellStyle name="Normal 2 2 4 2" xfId="24031"/>
    <cellStyle name="Normal 2 2 40" xfId="9140"/>
    <cellStyle name="Normal 2 2 40 2" xfId="24032"/>
    <cellStyle name="Normal 2 2 41" xfId="9391"/>
    <cellStyle name="Normal 2 2 42" xfId="9642"/>
    <cellStyle name="Normal 2 2 43" xfId="9893"/>
    <cellStyle name="Normal 2 2 43 2" xfId="24033"/>
    <cellStyle name="Normal 2 2 43 3" xfId="24034"/>
    <cellStyle name="Normal 2 2 43 4" xfId="24035"/>
    <cellStyle name="Normal 2 2 44" xfId="10144"/>
    <cellStyle name="Normal 2 2 45" xfId="10395"/>
    <cellStyle name="Normal 2 2 46" xfId="10646"/>
    <cellStyle name="Normal 2 2 47" xfId="10897"/>
    <cellStyle name="Normal 2 2 48" xfId="11148"/>
    <cellStyle name="Normal 2 2 49" xfId="11399"/>
    <cellStyle name="Normal 2 2 5" xfId="342"/>
    <cellStyle name="Normal 2 2 50" xfId="11650"/>
    <cellStyle name="Normal 2 2 51" xfId="11901"/>
    <cellStyle name="Normal 2 2 52" xfId="12152"/>
    <cellStyle name="Normal 2 2 53" xfId="12403"/>
    <cellStyle name="Normal 2 2 54" xfId="12654"/>
    <cellStyle name="Normal 2 2 55" xfId="12905"/>
    <cellStyle name="Normal 2 2 56" xfId="13156"/>
    <cellStyle name="Normal 2 2 57" xfId="13407"/>
    <cellStyle name="Normal 2 2 58" xfId="13658"/>
    <cellStyle name="Normal 2 2 59" xfId="13909"/>
    <cellStyle name="Normal 2 2 6" xfId="592"/>
    <cellStyle name="Normal 2 2 60" xfId="14160"/>
    <cellStyle name="Normal 2 2 61" xfId="14411"/>
    <cellStyle name="Normal 2 2 62" xfId="14662"/>
    <cellStyle name="Normal 2 2 63" xfId="14913"/>
    <cellStyle name="Normal 2 2 64" xfId="15164"/>
    <cellStyle name="Normal 2 2 65" xfId="15414"/>
    <cellStyle name="Normal 2 2 66" xfId="15663"/>
    <cellStyle name="Normal 2 2 67" xfId="15918"/>
    <cellStyle name="Normal 2 2 68" xfId="16169"/>
    <cellStyle name="Normal 2 2 69" xfId="16420"/>
    <cellStyle name="Normal 2 2 7" xfId="845"/>
    <cellStyle name="Normal 2 2 7 2" xfId="24036"/>
    <cellStyle name="Normal 2 2 7 2 2" xfId="24037"/>
    <cellStyle name="Normal 2 2 7 2 2 2" xfId="24038"/>
    <cellStyle name="Normal 2 2 7 2 2 3" xfId="24039"/>
    <cellStyle name="Normal 2 2 7 2 3" xfId="24040"/>
    <cellStyle name="Normal 2 2 7 3" xfId="24041"/>
    <cellStyle name="Normal 2 2 7 4" xfId="24042"/>
    <cellStyle name="Normal 2 2 70" xfId="16671"/>
    <cellStyle name="Normal 2 2 71" xfId="16922"/>
    <cellStyle name="Normal 2 2 72" xfId="17173"/>
    <cellStyle name="Normal 2 2 73" xfId="17424"/>
    <cellStyle name="Normal 2 2 74" xfId="17675"/>
    <cellStyle name="Normal 2 2 75" xfId="17926"/>
    <cellStyle name="Normal 2 2 76" xfId="18177"/>
    <cellStyle name="Normal 2 2 77" xfId="18428"/>
    <cellStyle name="Normal 2 2 78" xfId="18679"/>
    <cellStyle name="Normal 2 2 79" xfId="18930"/>
    <cellStyle name="Normal 2 2 8" xfId="1099"/>
    <cellStyle name="Normal 2 2 8 2" xfId="24043"/>
    <cellStyle name="Normal 2 2 8 3" xfId="24044"/>
    <cellStyle name="Normal 2 2 80" xfId="19180"/>
    <cellStyle name="Normal 2 2 81" xfId="19431"/>
    <cellStyle name="Normal 2 2 82" xfId="19686"/>
    <cellStyle name="Normal 2 2 83" xfId="19938"/>
    <cellStyle name="Normal 2 2 84" xfId="20190"/>
    <cellStyle name="Normal 2 2 85" xfId="20442"/>
    <cellStyle name="Normal 2 2 86" xfId="20694"/>
    <cellStyle name="Normal 2 2 87" xfId="20944"/>
    <cellStyle name="Normal 2 2 88" xfId="21193"/>
    <cellStyle name="Normal 2 2 89" xfId="21439"/>
    <cellStyle name="Normal 2 2 9" xfId="1352"/>
    <cellStyle name="Normal 2 2 90" xfId="21683"/>
    <cellStyle name="Normal 2 2 91" xfId="21924"/>
    <cellStyle name="Normal 2 2_XI Introductory Section (version 3)" xfId="24045"/>
    <cellStyle name="Normal 2 20" xfId="24046"/>
    <cellStyle name="Normal 2 21" xfId="24047"/>
    <cellStyle name="Normal 2 22" xfId="24048"/>
    <cellStyle name="Normal 2 22 2" xfId="24049"/>
    <cellStyle name="Normal 2 22 3" xfId="24050"/>
    <cellStyle name="Normal 2 22 4" xfId="24051"/>
    <cellStyle name="Normal 2 22 5" xfId="24052"/>
    <cellStyle name="Normal 2 22 6" xfId="24053"/>
    <cellStyle name="Normal 2 22 7" xfId="24054"/>
    <cellStyle name="Normal 2 22 8" xfId="24055"/>
    <cellStyle name="Normal 2 22_REVISIONS SORRY" xfId="24056"/>
    <cellStyle name="Normal 2 23" xfId="24057"/>
    <cellStyle name="Normal 2 24" xfId="24058"/>
    <cellStyle name="Normal 2 25" xfId="24059"/>
    <cellStyle name="Normal 2 26" xfId="24060"/>
    <cellStyle name="Normal 2 26 2" xfId="24061"/>
    <cellStyle name="Normal 2 26 2 2" xfId="24062"/>
    <cellStyle name="Normal 2 27" xfId="24063"/>
    <cellStyle name="Normal 2 28" xfId="24064"/>
    <cellStyle name="Normal 2 29" xfId="24065"/>
    <cellStyle name="Normal 2 3" xfId="157"/>
    <cellStyle name="Normal 2 30" xfId="24066"/>
    <cellStyle name="Normal 2 31" xfId="24067"/>
    <cellStyle name="Normal 2 31 2" xfId="24068"/>
    <cellStyle name="Normal 2 32" xfId="24069"/>
    <cellStyle name="Normal 2 33" xfId="24070"/>
    <cellStyle name="Normal 2 34" xfId="24071"/>
    <cellStyle name="Normal 2 35" xfId="24072"/>
    <cellStyle name="Normal 2 36" xfId="24073"/>
    <cellStyle name="Normal 2 37" xfId="24074"/>
    <cellStyle name="Normal 2 38" xfId="24075"/>
    <cellStyle name="Normal 2 39" xfId="24076"/>
    <cellStyle name="Normal 2 4" xfId="233"/>
    <cellStyle name="Normal 2 40" xfId="24704"/>
    <cellStyle name="Normal 2 41" xfId="24715"/>
    <cellStyle name="Normal 2 42" xfId="24731"/>
    <cellStyle name="Normal 2 43" xfId="24747"/>
    <cellStyle name="Normal 2 44" xfId="24759"/>
    <cellStyle name="Normal 2 5" xfId="22238"/>
    <cellStyle name="Normal 2 6" xfId="22253"/>
    <cellStyle name="Normal 2 7" xfId="24077"/>
    <cellStyle name="Normal 2 8" xfId="24078"/>
    <cellStyle name="Normal 2 9" xfId="24079"/>
    <cellStyle name="Normal 2 9 2" xfId="24080"/>
    <cellStyle name="Normal 2_martha" xfId="24081"/>
    <cellStyle name="Normal 20" xfId="30"/>
    <cellStyle name="Normal 20 10" xfId="1612"/>
    <cellStyle name="Normal 20 11" xfId="1869"/>
    <cellStyle name="Normal 20 12" xfId="2120"/>
    <cellStyle name="Normal 20 13" xfId="2371"/>
    <cellStyle name="Normal 20 14" xfId="2622"/>
    <cellStyle name="Normal 20 15" xfId="2873"/>
    <cellStyle name="Normal 20 16" xfId="3124"/>
    <cellStyle name="Normal 20 17" xfId="3375"/>
    <cellStyle name="Normal 20 18" xfId="3626"/>
    <cellStyle name="Normal 20 19" xfId="3877"/>
    <cellStyle name="Normal 20 2" xfId="103"/>
    <cellStyle name="Normal 20 2 10" xfId="1902"/>
    <cellStyle name="Normal 20 2 11" xfId="2153"/>
    <cellStyle name="Normal 20 2 12" xfId="2404"/>
    <cellStyle name="Normal 20 2 13" xfId="2655"/>
    <cellStyle name="Normal 20 2 14" xfId="2906"/>
    <cellStyle name="Normal 20 2 15" xfId="3157"/>
    <cellStyle name="Normal 20 2 16" xfId="3408"/>
    <cellStyle name="Normal 20 2 17" xfId="3659"/>
    <cellStyle name="Normal 20 2 18" xfId="3910"/>
    <cellStyle name="Normal 20 2 19" xfId="4161"/>
    <cellStyle name="Normal 20 2 2" xfId="197"/>
    <cellStyle name="Normal 20 2 2 10" xfId="2497"/>
    <cellStyle name="Normal 20 2 2 11" xfId="2748"/>
    <cellStyle name="Normal 20 2 2 12" xfId="2999"/>
    <cellStyle name="Normal 20 2 2 13" xfId="3250"/>
    <cellStyle name="Normal 20 2 2 14" xfId="3501"/>
    <cellStyle name="Normal 20 2 2 15" xfId="3752"/>
    <cellStyle name="Normal 20 2 2 16" xfId="4003"/>
    <cellStyle name="Normal 20 2 2 17" xfId="4254"/>
    <cellStyle name="Normal 20 2 2 18" xfId="4505"/>
    <cellStyle name="Normal 20 2 2 19" xfId="4756"/>
    <cellStyle name="Normal 20 2 2 2" xfId="474"/>
    <cellStyle name="Normal 20 2 2 20" xfId="5007"/>
    <cellStyle name="Normal 20 2 2 21" xfId="5258"/>
    <cellStyle name="Normal 20 2 2 22" xfId="5509"/>
    <cellStyle name="Normal 20 2 2 23" xfId="5760"/>
    <cellStyle name="Normal 20 2 2 24" xfId="6011"/>
    <cellStyle name="Normal 20 2 2 25" xfId="6262"/>
    <cellStyle name="Normal 20 2 2 26" xfId="6513"/>
    <cellStyle name="Normal 20 2 2 27" xfId="6764"/>
    <cellStyle name="Normal 20 2 2 28" xfId="7015"/>
    <cellStyle name="Normal 20 2 2 29" xfId="7266"/>
    <cellStyle name="Normal 20 2 2 3" xfId="724"/>
    <cellStyle name="Normal 20 2 2 30" xfId="7517"/>
    <cellStyle name="Normal 20 2 2 31" xfId="7768"/>
    <cellStyle name="Normal 20 2 2 32" xfId="8019"/>
    <cellStyle name="Normal 20 2 2 33" xfId="8270"/>
    <cellStyle name="Normal 20 2 2 34" xfId="8521"/>
    <cellStyle name="Normal 20 2 2 35" xfId="8772"/>
    <cellStyle name="Normal 20 2 2 36" xfId="9023"/>
    <cellStyle name="Normal 20 2 2 37" xfId="9274"/>
    <cellStyle name="Normal 20 2 2 38" xfId="9525"/>
    <cellStyle name="Normal 20 2 2 39" xfId="9776"/>
    <cellStyle name="Normal 20 2 2 4" xfId="977"/>
    <cellStyle name="Normal 20 2 2 40" xfId="10027"/>
    <cellStyle name="Normal 20 2 2 41" xfId="10278"/>
    <cellStyle name="Normal 20 2 2 42" xfId="10529"/>
    <cellStyle name="Normal 20 2 2 43" xfId="10780"/>
    <cellStyle name="Normal 20 2 2 44" xfId="11031"/>
    <cellStyle name="Normal 20 2 2 45" xfId="11282"/>
    <cellStyle name="Normal 20 2 2 46" xfId="11533"/>
    <cellStyle name="Normal 20 2 2 47" xfId="11784"/>
    <cellStyle name="Normal 20 2 2 48" xfId="12035"/>
    <cellStyle name="Normal 20 2 2 49" xfId="12286"/>
    <cellStyle name="Normal 20 2 2 5" xfId="1232"/>
    <cellStyle name="Normal 20 2 2 50" xfId="12537"/>
    <cellStyle name="Normal 20 2 2 51" xfId="12788"/>
    <cellStyle name="Normal 20 2 2 52" xfId="13039"/>
    <cellStyle name="Normal 20 2 2 53" xfId="13290"/>
    <cellStyle name="Normal 20 2 2 54" xfId="13541"/>
    <cellStyle name="Normal 20 2 2 55" xfId="13792"/>
    <cellStyle name="Normal 20 2 2 56" xfId="14043"/>
    <cellStyle name="Normal 20 2 2 57" xfId="14294"/>
    <cellStyle name="Normal 20 2 2 58" xfId="14545"/>
    <cellStyle name="Normal 20 2 2 59" xfId="14796"/>
    <cellStyle name="Normal 20 2 2 6" xfId="1485"/>
    <cellStyle name="Normal 20 2 2 60" xfId="15047"/>
    <cellStyle name="Normal 20 2 2 61" xfId="15297"/>
    <cellStyle name="Normal 20 2 2 62" xfId="15548"/>
    <cellStyle name="Normal 20 2 2 63" xfId="15796"/>
    <cellStyle name="Normal 20 2 2 64" xfId="16052"/>
    <cellStyle name="Normal 20 2 2 65" xfId="16303"/>
    <cellStyle name="Normal 20 2 2 66" xfId="16554"/>
    <cellStyle name="Normal 20 2 2 67" xfId="16805"/>
    <cellStyle name="Normal 20 2 2 68" xfId="17056"/>
    <cellStyle name="Normal 20 2 2 69" xfId="17307"/>
    <cellStyle name="Normal 20 2 2 7" xfId="1739"/>
    <cellStyle name="Normal 20 2 2 70" xfId="17558"/>
    <cellStyle name="Normal 20 2 2 71" xfId="17809"/>
    <cellStyle name="Normal 20 2 2 72" xfId="18060"/>
    <cellStyle name="Normal 20 2 2 73" xfId="18311"/>
    <cellStyle name="Normal 20 2 2 74" xfId="18562"/>
    <cellStyle name="Normal 20 2 2 75" xfId="18813"/>
    <cellStyle name="Normal 20 2 2 76" xfId="19063"/>
    <cellStyle name="Normal 20 2 2 77" xfId="19315"/>
    <cellStyle name="Normal 20 2 2 78" xfId="19565"/>
    <cellStyle name="Normal 20 2 2 79" xfId="19821"/>
    <cellStyle name="Normal 20 2 2 8" xfId="1995"/>
    <cellStyle name="Normal 20 2 2 80" xfId="20073"/>
    <cellStyle name="Normal 20 2 2 81" xfId="20325"/>
    <cellStyle name="Normal 20 2 2 82" xfId="20577"/>
    <cellStyle name="Normal 20 2 2 83" xfId="20827"/>
    <cellStyle name="Normal 20 2 2 84" xfId="21077"/>
    <cellStyle name="Normal 20 2 2 85" xfId="21326"/>
    <cellStyle name="Normal 20 2 2 86" xfId="21570"/>
    <cellStyle name="Normal 20 2 2 87" xfId="21814"/>
    <cellStyle name="Normal 20 2 2 88" xfId="22055"/>
    <cellStyle name="Normal 20 2 2 9" xfId="2246"/>
    <cellStyle name="Normal 20 2 20" xfId="4412"/>
    <cellStyle name="Normal 20 2 21" xfId="4663"/>
    <cellStyle name="Normal 20 2 22" xfId="4914"/>
    <cellStyle name="Normal 20 2 23" xfId="5165"/>
    <cellStyle name="Normal 20 2 24" xfId="5416"/>
    <cellStyle name="Normal 20 2 25" xfId="5667"/>
    <cellStyle name="Normal 20 2 26" xfId="5918"/>
    <cellStyle name="Normal 20 2 27" xfId="6169"/>
    <cellStyle name="Normal 20 2 28" xfId="6420"/>
    <cellStyle name="Normal 20 2 29" xfId="6671"/>
    <cellStyle name="Normal 20 2 3" xfId="273"/>
    <cellStyle name="Normal 20 2 3 10" xfId="2573"/>
    <cellStyle name="Normal 20 2 3 11" xfId="2824"/>
    <cellStyle name="Normal 20 2 3 12" xfId="3075"/>
    <cellStyle name="Normal 20 2 3 13" xfId="3326"/>
    <cellStyle name="Normal 20 2 3 14" xfId="3577"/>
    <cellStyle name="Normal 20 2 3 15" xfId="3828"/>
    <cellStyle name="Normal 20 2 3 16" xfId="4079"/>
    <cellStyle name="Normal 20 2 3 17" xfId="4330"/>
    <cellStyle name="Normal 20 2 3 18" xfId="4581"/>
    <cellStyle name="Normal 20 2 3 19" xfId="4832"/>
    <cellStyle name="Normal 20 2 3 2" xfId="548"/>
    <cellStyle name="Normal 20 2 3 20" xfId="5083"/>
    <cellStyle name="Normal 20 2 3 21" xfId="5334"/>
    <cellStyle name="Normal 20 2 3 22" xfId="5585"/>
    <cellStyle name="Normal 20 2 3 23" xfId="5836"/>
    <cellStyle name="Normal 20 2 3 24" xfId="6087"/>
    <cellStyle name="Normal 20 2 3 25" xfId="6338"/>
    <cellStyle name="Normal 20 2 3 26" xfId="6589"/>
    <cellStyle name="Normal 20 2 3 27" xfId="6840"/>
    <cellStyle name="Normal 20 2 3 28" xfId="7091"/>
    <cellStyle name="Normal 20 2 3 29" xfId="7342"/>
    <cellStyle name="Normal 20 2 3 3" xfId="798"/>
    <cellStyle name="Normal 20 2 3 30" xfId="7593"/>
    <cellStyle name="Normal 20 2 3 31" xfId="7844"/>
    <cellStyle name="Normal 20 2 3 32" xfId="8095"/>
    <cellStyle name="Normal 20 2 3 33" xfId="8346"/>
    <cellStyle name="Normal 20 2 3 34" xfId="8597"/>
    <cellStyle name="Normal 20 2 3 35" xfId="8848"/>
    <cellStyle name="Normal 20 2 3 36" xfId="9099"/>
    <cellStyle name="Normal 20 2 3 37" xfId="9350"/>
    <cellStyle name="Normal 20 2 3 38" xfId="9601"/>
    <cellStyle name="Normal 20 2 3 39" xfId="9852"/>
    <cellStyle name="Normal 20 2 3 4" xfId="1050"/>
    <cellStyle name="Normal 20 2 3 40" xfId="10103"/>
    <cellStyle name="Normal 20 2 3 41" xfId="10354"/>
    <cellStyle name="Normal 20 2 3 42" xfId="10605"/>
    <cellStyle name="Normal 20 2 3 43" xfId="10856"/>
    <cellStyle name="Normal 20 2 3 44" xfId="11107"/>
    <cellStyle name="Normal 20 2 3 45" xfId="11358"/>
    <cellStyle name="Normal 20 2 3 46" xfId="11609"/>
    <cellStyle name="Normal 20 2 3 47" xfId="11860"/>
    <cellStyle name="Normal 20 2 3 48" xfId="12111"/>
    <cellStyle name="Normal 20 2 3 49" xfId="12362"/>
    <cellStyle name="Normal 20 2 3 5" xfId="1306"/>
    <cellStyle name="Normal 20 2 3 50" xfId="12613"/>
    <cellStyle name="Normal 20 2 3 51" xfId="12864"/>
    <cellStyle name="Normal 20 2 3 52" xfId="13115"/>
    <cellStyle name="Normal 20 2 3 53" xfId="13366"/>
    <cellStyle name="Normal 20 2 3 54" xfId="13617"/>
    <cellStyle name="Normal 20 2 3 55" xfId="13868"/>
    <cellStyle name="Normal 20 2 3 56" xfId="14119"/>
    <cellStyle name="Normal 20 2 3 57" xfId="14370"/>
    <cellStyle name="Normal 20 2 3 58" xfId="14621"/>
    <cellStyle name="Normal 20 2 3 59" xfId="14872"/>
    <cellStyle name="Normal 20 2 3 6" xfId="1561"/>
    <cellStyle name="Normal 20 2 3 60" xfId="15123"/>
    <cellStyle name="Normal 20 2 3 61" xfId="15373"/>
    <cellStyle name="Normal 20 2 3 62" xfId="15622"/>
    <cellStyle name="Normal 20 2 3 63" xfId="15872"/>
    <cellStyle name="Normal 20 2 3 64" xfId="16128"/>
    <cellStyle name="Normal 20 2 3 65" xfId="16379"/>
    <cellStyle name="Normal 20 2 3 66" xfId="16630"/>
    <cellStyle name="Normal 20 2 3 67" xfId="16881"/>
    <cellStyle name="Normal 20 2 3 68" xfId="17132"/>
    <cellStyle name="Normal 20 2 3 69" xfId="17383"/>
    <cellStyle name="Normal 20 2 3 7" xfId="1814"/>
    <cellStyle name="Normal 20 2 3 70" xfId="17634"/>
    <cellStyle name="Normal 20 2 3 71" xfId="17885"/>
    <cellStyle name="Normal 20 2 3 72" xfId="18136"/>
    <cellStyle name="Normal 20 2 3 73" xfId="18387"/>
    <cellStyle name="Normal 20 2 3 74" xfId="18638"/>
    <cellStyle name="Normal 20 2 3 75" xfId="18889"/>
    <cellStyle name="Normal 20 2 3 76" xfId="19139"/>
    <cellStyle name="Normal 20 2 3 77" xfId="19390"/>
    <cellStyle name="Normal 20 2 3 78" xfId="19641"/>
    <cellStyle name="Normal 20 2 3 79" xfId="19897"/>
    <cellStyle name="Normal 20 2 3 8" xfId="2071"/>
    <cellStyle name="Normal 20 2 3 80" xfId="20149"/>
    <cellStyle name="Normal 20 2 3 81" xfId="20401"/>
    <cellStyle name="Normal 20 2 3 82" xfId="20653"/>
    <cellStyle name="Normal 20 2 3 83" xfId="20903"/>
    <cellStyle name="Normal 20 2 3 84" xfId="21152"/>
    <cellStyle name="Normal 20 2 3 85" xfId="21400"/>
    <cellStyle name="Normal 20 2 3 86" xfId="21644"/>
    <cellStyle name="Normal 20 2 3 87" xfId="21886"/>
    <cellStyle name="Normal 20 2 3 88" xfId="22127"/>
    <cellStyle name="Normal 20 2 3 9" xfId="2322"/>
    <cellStyle name="Normal 20 2 30" xfId="6922"/>
    <cellStyle name="Normal 20 2 31" xfId="7173"/>
    <cellStyle name="Normal 20 2 32" xfId="7424"/>
    <cellStyle name="Normal 20 2 33" xfId="7675"/>
    <cellStyle name="Normal 20 2 34" xfId="7926"/>
    <cellStyle name="Normal 20 2 35" xfId="8177"/>
    <cellStyle name="Normal 20 2 36" xfId="8428"/>
    <cellStyle name="Normal 20 2 37" xfId="8679"/>
    <cellStyle name="Normal 20 2 38" xfId="8930"/>
    <cellStyle name="Normal 20 2 39" xfId="9181"/>
    <cellStyle name="Normal 20 2 4" xfId="382"/>
    <cellStyle name="Normal 20 2 40" xfId="9432"/>
    <cellStyle name="Normal 20 2 41" xfId="9683"/>
    <cellStyle name="Normal 20 2 42" xfId="9934"/>
    <cellStyle name="Normal 20 2 43" xfId="10185"/>
    <cellStyle name="Normal 20 2 44" xfId="10436"/>
    <cellStyle name="Normal 20 2 45" xfId="10687"/>
    <cellStyle name="Normal 20 2 46" xfId="10938"/>
    <cellStyle name="Normal 20 2 47" xfId="11189"/>
    <cellStyle name="Normal 20 2 48" xfId="11440"/>
    <cellStyle name="Normal 20 2 49" xfId="11691"/>
    <cellStyle name="Normal 20 2 5" xfId="631"/>
    <cellStyle name="Normal 20 2 50" xfId="11942"/>
    <cellStyle name="Normal 20 2 51" xfId="12193"/>
    <cellStyle name="Normal 20 2 52" xfId="12444"/>
    <cellStyle name="Normal 20 2 53" xfId="12695"/>
    <cellStyle name="Normal 20 2 54" xfId="12946"/>
    <cellStyle name="Normal 20 2 55" xfId="13197"/>
    <cellStyle name="Normal 20 2 56" xfId="13448"/>
    <cellStyle name="Normal 20 2 57" xfId="13699"/>
    <cellStyle name="Normal 20 2 58" xfId="13950"/>
    <cellStyle name="Normal 20 2 59" xfId="14201"/>
    <cellStyle name="Normal 20 2 6" xfId="884"/>
    <cellStyle name="Normal 20 2 60" xfId="14452"/>
    <cellStyle name="Normal 20 2 61" xfId="14703"/>
    <cellStyle name="Normal 20 2 62" xfId="14953"/>
    <cellStyle name="Normal 20 2 63" xfId="15204"/>
    <cellStyle name="Normal 20 2 64" xfId="15455"/>
    <cellStyle name="Normal 20 2 65" xfId="15702"/>
    <cellStyle name="Normal 20 2 66" xfId="15959"/>
    <cellStyle name="Normal 20 2 67" xfId="16210"/>
    <cellStyle name="Normal 20 2 68" xfId="16461"/>
    <cellStyle name="Normal 20 2 69" xfId="16712"/>
    <cellStyle name="Normal 20 2 7" xfId="1139"/>
    <cellStyle name="Normal 20 2 70" xfId="16963"/>
    <cellStyle name="Normal 20 2 71" xfId="17214"/>
    <cellStyle name="Normal 20 2 72" xfId="17465"/>
    <cellStyle name="Normal 20 2 73" xfId="17716"/>
    <cellStyle name="Normal 20 2 74" xfId="17967"/>
    <cellStyle name="Normal 20 2 75" xfId="18218"/>
    <cellStyle name="Normal 20 2 76" xfId="18469"/>
    <cellStyle name="Normal 20 2 77" xfId="18719"/>
    <cellStyle name="Normal 20 2 78" xfId="18970"/>
    <cellStyle name="Normal 20 2 79" xfId="19221"/>
    <cellStyle name="Normal 20 2 8" xfId="1392"/>
    <cellStyle name="Normal 20 2 80" xfId="19471"/>
    <cellStyle name="Normal 20 2 81" xfId="19727"/>
    <cellStyle name="Normal 20 2 82" xfId="19979"/>
    <cellStyle name="Normal 20 2 83" xfId="20231"/>
    <cellStyle name="Normal 20 2 84" xfId="20483"/>
    <cellStyle name="Normal 20 2 85" xfId="20733"/>
    <cellStyle name="Normal 20 2 86" xfId="20983"/>
    <cellStyle name="Normal 20 2 87" xfId="21234"/>
    <cellStyle name="Normal 20 2 88" xfId="21478"/>
    <cellStyle name="Normal 20 2 89" xfId="21722"/>
    <cellStyle name="Normal 20 2 9" xfId="1645"/>
    <cellStyle name="Normal 20 2 90" xfId="21963"/>
    <cellStyle name="Normal 20 20" xfId="4128"/>
    <cellStyle name="Normal 20 21" xfId="4379"/>
    <cellStyle name="Normal 20 22" xfId="4630"/>
    <cellStyle name="Normal 20 23" xfId="4881"/>
    <cellStyle name="Normal 20 24" xfId="5132"/>
    <cellStyle name="Normal 20 25" xfId="5383"/>
    <cellStyle name="Normal 20 26" xfId="5634"/>
    <cellStyle name="Normal 20 27" xfId="5885"/>
    <cellStyle name="Normal 20 28" xfId="6136"/>
    <cellStyle name="Normal 20 29" xfId="6387"/>
    <cellStyle name="Normal 20 3" xfId="164"/>
    <cellStyle name="Normal 20 3 10" xfId="2464"/>
    <cellStyle name="Normal 20 3 11" xfId="2715"/>
    <cellStyle name="Normal 20 3 12" xfId="2966"/>
    <cellStyle name="Normal 20 3 13" xfId="3217"/>
    <cellStyle name="Normal 20 3 14" xfId="3468"/>
    <cellStyle name="Normal 20 3 15" xfId="3719"/>
    <cellStyle name="Normal 20 3 16" xfId="3970"/>
    <cellStyle name="Normal 20 3 17" xfId="4221"/>
    <cellStyle name="Normal 20 3 18" xfId="4472"/>
    <cellStyle name="Normal 20 3 19" xfId="4723"/>
    <cellStyle name="Normal 20 3 2" xfId="441"/>
    <cellStyle name="Normal 20 3 20" xfId="4974"/>
    <cellStyle name="Normal 20 3 21" xfId="5225"/>
    <cellStyle name="Normal 20 3 22" xfId="5476"/>
    <cellStyle name="Normal 20 3 23" xfId="5727"/>
    <cellStyle name="Normal 20 3 24" xfId="5978"/>
    <cellStyle name="Normal 20 3 25" xfId="6229"/>
    <cellStyle name="Normal 20 3 26" xfId="6480"/>
    <cellStyle name="Normal 20 3 27" xfId="6731"/>
    <cellStyle name="Normal 20 3 28" xfId="6982"/>
    <cellStyle name="Normal 20 3 29" xfId="7233"/>
    <cellStyle name="Normal 20 3 3" xfId="691"/>
    <cellStyle name="Normal 20 3 30" xfId="7484"/>
    <cellStyle name="Normal 20 3 31" xfId="7735"/>
    <cellStyle name="Normal 20 3 32" xfId="7986"/>
    <cellStyle name="Normal 20 3 33" xfId="8237"/>
    <cellStyle name="Normal 20 3 34" xfId="8488"/>
    <cellStyle name="Normal 20 3 35" xfId="8739"/>
    <cellStyle name="Normal 20 3 36" xfId="8990"/>
    <cellStyle name="Normal 20 3 37" xfId="9241"/>
    <cellStyle name="Normal 20 3 38" xfId="9492"/>
    <cellStyle name="Normal 20 3 39" xfId="9743"/>
    <cellStyle name="Normal 20 3 4" xfId="944"/>
    <cellStyle name="Normal 20 3 40" xfId="9994"/>
    <cellStyle name="Normal 20 3 41" xfId="10245"/>
    <cellStyle name="Normal 20 3 42" xfId="10496"/>
    <cellStyle name="Normal 20 3 43" xfId="10747"/>
    <cellStyle name="Normal 20 3 44" xfId="10998"/>
    <cellStyle name="Normal 20 3 45" xfId="11249"/>
    <cellStyle name="Normal 20 3 46" xfId="11500"/>
    <cellStyle name="Normal 20 3 47" xfId="11751"/>
    <cellStyle name="Normal 20 3 48" xfId="12002"/>
    <cellStyle name="Normal 20 3 49" xfId="12253"/>
    <cellStyle name="Normal 20 3 5" xfId="1199"/>
    <cellStyle name="Normal 20 3 50" xfId="12504"/>
    <cellStyle name="Normal 20 3 51" xfId="12755"/>
    <cellStyle name="Normal 20 3 52" xfId="13006"/>
    <cellStyle name="Normal 20 3 53" xfId="13257"/>
    <cellStyle name="Normal 20 3 54" xfId="13508"/>
    <cellStyle name="Normal 20 3 55" xfId="13759"/>
    <cellStyle name="Normal 20 3 56" xfId="14010"/>
    <cellStyle name="Normal 20 3 57" xfId="14261"/>
    <cellStyle name="Normal 20 3 58" xfId="14512"/>
    <cellStyle name="Normal 20 3 59" xfId="14763"/>
    <cellStyle name="Normal 20 3 6" xfId="1452"/>
    <cellStyle name="Normal 20 3 60" xfId="15014"/>
    <cellStyle name="Normal 20 3 61" xfId="15264"/>
    <cellStyle name="Normal 20 3 62" xfId="15515"/>
    <cellStyle name="Normal 20 3 63" xfId="15763"/>
    <cellStyle name="Normal 20 3 64" xfId="16019"/>
    <cellStyle name="Normal 20 3 65" xfId="16270"/>
    <cellStyle name="Normal 20 3 66" xfId="16521"/>
    <cellStyle name="Normal 20 3 67" xfId="16772"/>
    <cellStyle name="Normal 20 3 68" xfId="17023"/>
    <cellStyle name="Normal 20 3 69" xfId="17274"/>
    <cellStyle name="Normal 20 3 7" xfId="1706"/>
    <cellStyle name="Normal 20 3 70" xfId="17525"/>
    <cellStyle name="Normal 20 3 71" xfId="17776"/>
    <cellStyle name="Normal 20 3 72" xfId="18027"/>
    <cellStyle name="Normal 20 3 73" xfId="18278"/>
    <cellStyle name="Normal 20 3 74" xfId="18529"/>
    <cellStyle name="Normal 20 3 75" xfId="18780"/>
    <cellStyle name="Normal 20 3 76" xfId="19030"/>
    <cellStyle name="Normal 20 3 77" xfId="19282"/>
    <cellStyle name="Normal 20 3 78" xfId="19532"/>
    <cellStyle name="Normal 20 3 79" xfId="19788"/>
    <cellStyle name="Normal 20 3 8" xfId="1962"/>
    <cellStyle name="Normal 20 3 80" xfId="20040"/>
    <cellStyle name="Normal 20 3 81" xfId="20292"/>
    <cellStyle name="Normal 20 3 82" xfId="20544"/>
    <cellStyle name="Normal 20 3 83" xfId="20794"/>
    <cellStyle name="Normal 20 3 84" xfId="21044"/>
    <cellStyle name="Normal 20 3 85" xfId="21293"/>
    <cellStyle name="Normal 20 3 86" xfId="21537"/>
    <cellStyle name="Normal 20 3 87" xfId="21781"/>
    <cellStyle name="Normal 20 3 88" xfId="22022"/>
    <cellStyle name="Normal 20 3 9" xfId="2213"/>
    <cellStyle name="Normal 20 30" xfId="6638"/>
    <cellStyle name="Normal 20 31" xfId="6889"/>
    <cellStyle name="Normal 20 32" xfId="7140"/>
    <cellStyle name="Normal 20 33" xfId="7391"/>
    <cellStyle name="Normal 20 34" xfId="7642"/>
    <cellStyle name="Normal 20 35" xfId="7893"/>
    <cellStyle name="Normal 20 36" xfId="8144"/>
    <cellStyle name="Normal 20 37" xfId="8395"/>
    <cellStyle name="Normal 20 38" xfId="8646"/>
    <cellStyle name="Normal 20 39" xfId="8897"/>
    <cellStyle name="Normal 20 4" xfId="240"/>
    <cellStyle name="Normal 20 4 10" xfId="2540"/>
    <cellStyle name="Normal 20 4 11" xfId="2791"/>
    <cellStyle name="Normal 20 4 12" xfId="3042"/>
    <cellStyle name="Normal 20 4 13" xfId="3293"/>
    <cellStyle name="Normal 20 4 14" xfId="3544"/>
    <cellStyle name="Normal 20 4 15" xfId="3795"/>
    <cellStyle name="Normal 20 4 16" xfId="4046"/>
    <cellStyle name="Normal 20 4 17" xfId="4297"/>
    <cellStyle name="Normal 20 4 18" xfId="4548"/>
    <cellStyle name="Normal 20 4 19" xfId="4799"/>
    <cellStyle name="Normal 20 4 2" xfId="516"/>
    <cellStyle name="Normal 20 4 20" xfId="5050"/>
    <cellStyle name="Normal 20 4 21" xfId="5301"/>
    <cellStyle name="Normal 20 4 22" xfId="5552"/>
    <cellStyle name="Normal 20 4 23" xfId="5803"/>
    <cellStyle name="Normal 20 4 24" xfId="6054"/>
    <cellStyle name="Normal 20 4 25" xfId="6305"/>
    <cellStyle name="Normal 20 4 26" xfId="6556"/>
    <cellStyle name="Normal 20 4 27" xfId="6807"/>
    <cellStyle name="Normal 20 4 28" xfId="7058"/>
    <cellStyle name="Normal 20 4 29" xfId="7309"/>
    <cellStyle name="Normal 20 4 3" xfId="766"/>
    <cellStyle name="Normal 20 4 30" xfId="7560"/>
    <cellStyle name="Normal 20 4 31" xfId="7811"/>
    <cellStyle name="Normal 20 4 32" xfId="8062"/>
    <cellStyle name="Normal 20 4 33" xfId="8313"/>
    <cellStyle name="Normal 20 4 34" xfId="8564"/>
    <cellStyle name="Normal 20 4 35" xfId="8815"/>
    <cellStyle name="Normal 20 4 36" xfId="9066"/>
    <cellStyle name="Normal 20 4 37" xfId="9317"/>
    <cellStyle name="Normal 20 4 38" xfId="9568"/>
    <cellStyle name="Normal 20 4 39" xfId="9819"/>
    <cellStyle name="Normal 20 4 4" xfId="1018"/>
    <cellStyle name="Normal 20 4 40" xfId="10070"/>
    <cellStyle name="Normal 20 4 41" xfId="10321"/>
    <cellStyle name="Normal 20 4 42" xfId="10572"/>
    <cellStyle name="Normal 20 4 43" xfId="10823"/>
    <cellStyle name="Normal 20 4 44" xfId="11074"/>
    <cellStyle name="Normal 20 4 45" xfId="11325"/>
    <cellStyle name="Normal 20 4 46" xfId="11576"/>
    <cellStyle name="Normal 20 4 47" xfId="11827"/>
    <cellStyle name="Normal 20 4 48" xfId="12078"/>
    <cellStyle name="Normal 20 4 49" xfId="12329"/>
    <cellStyle name="Normal 20 4 5" xfId="1274"/>
    <cellStyle name="Normal 20 4 50" xfId="12580"/>
    <cellStyle name="Normal 20 4 51" xfId="12831"/>
    <cellStyle name="Normal 20 4 52" xfId="13082"/>
    <cellStyle name="Normal 20 4 53" xfId="13333"/>
    <cellStyle name="Normal 20 4 54" xfId="13584"/>
    <cellStyle name="Normal 20 4 55" xfId="13835"/>
    <cellStyle name="Normal 20 4 56" xfId="14086"/>
    <cellStyle name="Normal 20 4 57" xfId="14337"/>
    <cellStyle name="Normal 20 4 58" xfId="14588"/>
    <cellStyle name="Normal 20 4 59" xfId="14839"/>
    <cellStyle name="Normal 20 4 6" xfId="1528"/>
    <cellStyle name="Normal 20 4 60" xfId="15090"/>
    <cellStyle name="Normal 20 4 61" xfId="15340"/>
    <cellStyle name="Normal 20 4 62" xfId="15590"/>
    <cellStyle name="Normal 20 4 63" xfId="15839"/>
    <cellStyle name="Normal 20 4 64" xfId="16095"/>
    <cellStyle name="Normal 20 4 65" xfId="16346"/>
    <cellStyle name="Normal 20 4 66" xfId="16597"/>
    <cellStyle name="Normal 20 4 67" xfId="16848"/>
    <cellStyle name="Normal 20 4 68" xfId="17099"/>
    <cellStyle name="Normal 20 4 69" xfId="17350"/>
    <cellStyle name="Normal 20 4 7" xfId="1781"/>
    <cellStyle name="Normal 20 4 70" xfId="17601"/>
    <cellStyle name="Normal 20 4 71" xfId="17852"/>
    <cellStyle name="Normal 20 4 72" xfId="18103"/>
    <cellStyle name="Normal 20 4 73" xfId="18354"/>
    <cellStyle name="Normal 20 4 74" xfId="18605"/>
    <cellStyle name="Normal 20 4 75" xfId="18856"/>
    <cellStyle name="Normal 20 4 76" xfId="19106"/>
    <cellStyle name="Normal 20 4 77" xfId="19358"/>
    <cellStyle name="Normal 20 4 78" xfId="19608"/>
    <cellStyle name="Normal 20 4 79" xfId="19864"/>
    <cellStyle name="Normal 20 4 8" xfId="2038"/>
    <cellStyle name="Normal 20 4 80" xfId="20116"/>
    <cellStyle name="Normal 20 4 81" xfId="20368"/>
    <cellStyle name="Normal 20 4 82" xfId="20620"/>
    <cellStyle name="Normal 20 4 83" xfId="20870"/>
    <cellStyle name="Normal 20 4 84" xfId="21120"/>
    <cellStyle name="Normal 20 4 85" xfId="21368"/>
    <cellStyle name="Normal 20 4 86" xfId="21612"/>
    <cellStyle name="Normal 20 4 87" xfId="21855"/>
    <cellStyle name="Normal 20 4 88" xfId="22096"/>
    <cellStyle name="Normal 20 4 9" xfId="2289"/>
    <cellStyle name="Normal 20 40" xfId="9148"/>
    <cellStyle name="Normal 20 41" xfId="9399"/>
    <cellStyle name="Normal 20 42" xfId="9650"/>
    <cellStyle name="Normal 20 43" xfId="9901"/>
    <cellStyle name="Normal 20 44" xfId="10152"/>
    <cellStyle name="Normal 20 45" xfId="10403"/>
    <cellStyle name="Normal 20 46" xfId="10654"/>
    <cellStyle name="Normal 20 47" xfId="10905"/>
    <cellStyle name="Normal 20 48" xfId="11156"/>
    <cellStyle name="Normal 20 49" xfId="11407"/>
    <cellStyle name="Normal 20 5" xfId="349"/>
    <cellStyle name="Normal 20 50" xfId="11658"/>
    <cellStyle name="Normal 20 51" xfId="11909"/>
    <cellStyle name="Normal 20 52" xfId="12160"/>
    <cellStyle name="Normal 20 53" xfId="12411"/>
    <cellStyle name="Normal 20 54" xfId="12662"/>
    <cellStyle name="Normal 20 55" xfId="12913"/>
    <cellStyle name="Normal 20 56" xfId="13164"/>
    <cellStyle name="Normal 20 57" xfId="13415"/>
    <cellStyle name="Normal 20 58" xfId="13666"/>
    <cellStyle name="Normal 20 59" xfId="13917"/>
    <cellStyle name="Normal 20 6" xfId="598"/>
    <cellStyle name="Normal 20 60" xfId="14168"/>
    <cellStyle name="Normal 20 61" xfId="14419"/>
    <cellStyle name="Normal 20 62" xfId="14670"/>
    <cellStyle name="Normal 20 63" xfId="14920"/>
    <cellStyle name="Normal 20 64" xfId="15171"/>
    <cellStyle name="Normal 20 65" xfId="15422"/>
    <cellStyle name="Normal 20 66" xfId="15669"/>
    <cellStyle name="Normal 20 67" xfId="15926"/>
    <cellStyle name="Normal 20 68" xfId="16177"/>
    <cellStyle name="Normal 20 69" xfId="16428"/>
    <cellStyle name="Normal 20 7" xfId="851"/>
    <cellStyle name="Normal 20 70" xfId="16679"/>
    <cellStyle name="Normal 20 71" xfId="16930"/>
    <cellStyle name="Normal 20 72" xfId="17181"/>
    <cellStyle name="Normal 20 73" xfId="17432"/>
    <cellStyle name="Normal 20 74" xfId="17683"/>
    <cellStyle name="Normal 20 75" xfId="17934"/>
    <cellStyle name="Normal 20 76" xfId="18185"/>
    <cellStyle name="Normal 20 77" xfId="18436"/>
    <cellStyle name="Normal 20 78" xfId="18686"/>
    <cellStyle name="Normal 20 79" xfId="18937"/>
    <cellStyle name="Normal 20 8" xfId="1106"/>
    <cellStyle name="Normal 20 80" xfId="19188"/>
    <cellStyle name="Normal 20 81" xfId="19438"/>
    <cellStyle name="Normal 20 82" xfId="19694"/>
    <cellStyle name="Normal 20 83" xfId="19946"/>
    <cellStyle name="Normal 20 84" xfId="20198"/>
    <cellStyle name="Normal 20 85" xfId="20450"/>
    <cellStyle name="Normal 20 86" xfId="20700"/>
    <cellStyle name="Normal 20 87" xfId="20950"/>
    <cellStyle name="Normal 20 88" xfId="21201"/>
    <cellStyle name="Normal 20 89" xfId="21445"/>
    <cellStyle name="Normal 20 9" xfId="1359"/>
    <cellStyle name="Normal 20 90" xfId="21689"/>
    <cellStyle name="Normal 20 91" xfId="21930"/>
    <cellStyle name="Normal 21" xfId="135"/>
    <cellStyle name="Normal 21 10" xfId="2436"/>
    <cellStyle name="Normal 21 11" xfId="2687"/>
    <cellStyle name="Normal 21 12" xfId="2938"/>
    <cellStyle name="Normal 21 13" xfId="3189"/>
    <cellStyle name="Normal 21 14" xfId="3440"/>
    <cellStyle name="Normal 21 15" xfId="3691"/>
    <cellStyle name="Normal 21 16" xfId="3942"/>
    <cellStyle name="Normal 21 17" xfId="4193"/>
    <cellStyle name="Normal 21 18" xfId="4444"/>
    <cellStyle name="Normal 21 19" xfId="4695"/>
    <cellStyle name="Normal 21 2" xfId="414"/>
    <cellStyle name="Normal 21 20" xfId="4946"/>
    <cellStyle name="Normal 21 21" xfId="5197"/>
    <cellStyle name="Normal 21 22" xfId="5448"/>
    <cellStyle name="Normal 21 23" xfId="5699"/>
    <cellStyle name="Normal 21 24" xfId="5950"/>
    <cellStyle name="Normal 21 25" xfId="6201"/>
    <cellStyle name="Normal 21 26" xfId="6452"/>
    <cellStyle name="Normal 21 27" xfId="6703"/>
    <cellStyle name="Normal 21 28" xfId="6954"/>
    <cellStyle name="Normal 21 29" xfId="7205"/>
    <cellStyle name="Normal 21 3" xfId="663"/>
    <cellStyle name="Normal 21 30" xfId="7456"/>
    <cellStyle name="Normal 21 31" xfId="7707"/>
    <cellStyle name="Normal 21 32" xfId="7958"/>
    <cellStyle name="Normal 21 33" xfId="8209"/>
    <cellStyle name="Normal 21 34" xfId="8460"/>
    <cellStyle name="Normal 21 35" xfId="8711"/>
    <cellStyle name="Normal 21 36" xfId="8962"/>
    <cellStyle name="Normal 21 37" xfId="9213"/>
    <cellStyle name="Normal 21 38" xfId="9464"/>
    <cellStyle name="Normal 21 39" xfId="9715"/>
    <cellStyle name="Normal 21 4" xfId="916"/>
    <cellStyle name="Normal 21 40" xfId="9966"/>
    <cellStyle name="Normal 21 41" xfId="10217"/>
    <cellStyle name="Normal 21 42" xfId="10468"/>
    <cellStyle name="Normal 21 43" xfId="10719"/>
    <cellStyle name="Normal 21 44" xfId="10970"/>
    <cellStyle name="Normal 21 45" xfId="11221"/>
    <cellStyle name="Normal 21 46" xfId="11472"/>
    <cellStyle name="Normal 21 47" xfId="11723"/>
    <cellStyle name="Normal 21 48" xfId="11974"/>
    <cellStyle name="Normal 21 49" xfId="12225"/>
    <cellStyle name="Normal 21 5" xfId="1171"/>
    <cellStyle name="Normal 21 50" xfId="12476"/>
    <cellStyle name="Normal 21 51" xfId="12727"/>
    <cellStyle name="Normal 21 52" xfId="12978"/>
    <cellStyle name="Normal 21 53" xfId="13229"/>
    <cellStyle name="Normal 21 54" xfId="13480"/>
    <cellStyle name="Normal 21 55" xfId="13731"/>
    <cellStyle name="Normal 21 56" xfId="13982"/>
    <cellStyle name="Normal 21 57" xfId="14233"/>
    <cellStyle name="Normal 21 58" xfId="14484"/>
    <cellStyle name="Normal 21 59" xfId="14735"/>
    <cellStyle name="Normal 21 6" xfId="1424"/>
    <cellStyle name="Normal 21 60" xfId="14985"/>
    <cellStyle name="Normal 21 61" xfId="15236"/>
    <cellStyle name="Normal 21 62" xfId="15487"/>
    <cellStyle name="Normal 21 63" xfId="15734"/>
    <cellStyle name="Normal 21 64" xfId="15991"/>
    <cellStyle name="Normal 21 65" xfId="16242"/>
    <cellStyle name="Normal 21 66" xfId="16493"/>
    <cellStyle name="Normal 21 67" xfId="16744"/>
    <cellStyle name="Normal 21 68" xfId="16995"/>
    <cellStyle name="Normal 21 69" xfId="17246"/>
    <cellStyle name="Normal 21 7" xfId="1677"/>
    <cellStyle name="Normal 21 70" xfId="17497"/>
    <cellStyle name="Normal 21 71" xfId="17748"/>
    <cellStyle name="Normal 21 72" xfId="17999"/>
    <cellStyle name="Normal 21 73" xfId="18250"/>
    <cellStyle name="Normal 21 74" xfId="18501"/>
    <cellStyle name="Normal 21 75" xfId="18751"/>
    <cellStyle name="Normal 21 76" xfId="19002"/>
    <cellStyle name="Normal 21 77" xfId="19253"/>
    <cellStyle name="Normal 21 78" xfId="19503"/>
    <cellStyle name="Normal 21 79" xfId="19759"/>
    <cellStyle name="Normal 21 8" xfId="1934"/>
    <cellStyle name="Normal 21 80" xfId="20011"/>
    <cellStyle name="Normal 21 81" xfId="20263"/>
    <cellStyle name="Normal 21 82" xfId="20515"/>
    <cellStyle name="Normal 21 83" xfId="20765"/>
    <cellStyle name="Normal 21 84" xfId="21015"/>
    <cellStyle name="Normal 21 85" xfId="21266"/>
    <cellStyle name="Normal 21 86" xfId="21510"/>
    <cellStyle name="Normal 21 87" xfId="21754"/>
    <cellStyle name="Normal 21 88" xfId="21995"/>
    <cellStyle name="Normal 21 9" xfId="2185"/>
    <cellStyle name="Normal 22" xfId="73"/>
    <cellStyle name="Normal 22 10" xfId="1615"/>
    <cellStyle name="Normal 22 11" xfId="1872"/>
    <cellStyle name="Normal 22 12" xfId="2123"/>
    <cellStyle name="Normal 22 13" xfId="2374"/>
    <cellStyle name="Normal 22 14" xfId="2625"/>
    <cellStyle name="Normal 22 15" xfId="2876"/>
    <cellStyle name="Normal 22 16" xfId="3127"/>
    <cellStyle name="Normal 22 17" xfId="3378"/>
    <cellStyle name="Normal 22 18" xfId="3629"/>
    <cellStyle name="Normal 22 19" xfId="3880"/>
    <cellStyle name="Normal 22 2" xfId="106"/>
    <cellStyle name="Normal 22 2 10" xfId="1905"/>
    <cellStyle name="Normal 22 2 11" xfId="2156"/>
    <cellStyle name="Normal 22 2 12" xfId="2407"/>
    <cellStyle name="Normal 22 2 13" xfId="2658"/>
    <cellStyle name="Normal 22 2 14" xfId="2909"/>
    <cellStyle name="Normal 22 2 15" xfId="3160"/>
    <cellStyle name="Normal 22 2 16" xfId="3411"/>
    <cellStyle name="Normal 22 2 17" xfId="3662"/>
    <cellStyle name="Normal 22 2 18" xfId="3913"/>
    <cellStyle name="Normal 22 2 19" xfId="4164"/>
    <cellStyle name="Normal 22 2 2" xfId="200"/>
    <cellStyle name="Normal 22 2 2 10" xfId="2500"/>
    <cellStyle name="Normal 22 2 2 11" xfId="2751"/>
    <cellStyle name="Normal 22 2 2 12" xfId="3002"/>
    <cellStyle name="Normal 22 2 2 13" xfId="3253"/>
    <cellStyle name="Normal 22 2 2 14" xfId="3504"/>
    <cellStyle name="Normal 22 2 2 15" xfId="3755"/>
    <cellStyle name="Normal 22 2 2 16" xfId="4006"/>
    <cellStyle name="Normal 22 2 2 17" xfId="4257"/>
    <cellStyle name="Normal 22 2 2 18" xfId="4508"/>
    <cellStyle name="Normal 22 2 2 19" xfId="4759"/>
    <cellStyle name="Normal 22 2 2 2" xfId="477"/>
    <cellStyle name="Normal 22 2 2 20" xfId="5010"/>
    <cellStyle name="Normal 22 2 2 21" xfId="5261"/>
    <cellStyle name="Normal 22 2 2 22" xfId="5512"/>
    <cellStyle name="Normal 22 2 2 23" xfId="5763"/>
    <cellStyle name="Normal 22 2 2 24" xfId="6014"/>
    <cellStyle name="Normal 22 2 2 25" xfId="6265"/>
    <cellStyle name="Normal 22 2 2 26" xfId="6516"/>
    <cellStyle name="Normal 22 2 2 27" xfId="6767"/>
    <cellStyle name="Normal 22 2 2 28" xfId="7018"/>
    <cellStyle name="Normal 22 2 2 29" xfId="7269"/>
    <cellStyle name="Normal 22 2 2 3" xfId="727"/>
    <cellStyle name="Normal 22 2 2 30" xfId="7520"/>
    <cellStyle name="Normal 22 2 2 31" xfId="7771"/>
    <cellStyle name="Normal 22 2 2 32" xfId="8022"/>
    <cellStyle name="Normal 22 2 2 33" xfId="8273"/>
    <cellStyle name="Normal 22 2 2 34" xfId="8524"/>
    <cellStyle name="Normal 22 2 2 35" xfId="8775"/>
    <cellStyle name="Normal 22 2 2 36" xfId="9026"/>
    <cellStyle name="Normal 22 2 2 37" xfId="9277"/>
    <cellStyle name="Normal 22 2 2 38" xfId="9528"/>
    <cellStyle name="Normal 22 2 2 39" xfId="9779"/>
    <cellStyle name="Normal 22 2 2 4" xfId="980"/>
    <cellStyle name="Normal 22 2 2 40" xfId="10030"/>
    <cellStyle name="Normal 22 2 2 41" xfId="10281"/>
    <cellStyle name="Normal 22 2 2 42" xfId="10532"/>
    <cellStyle name="Normal 22 2 2 43" xfId="10783"/>
    <cellStyle name="Normal 22 2 2 44" xfId="11034"/>
    <cellStyle name="Normal 22 2 2 45" xfId="11285"/>
    <cellStyle name="Normal 22 2 2 46" xfId="11536"/>
    <cellStyle name="Normal 22 2 2 47" xfId="11787"/>
    <cellStyle name="Normal 22 2 2 48" xfId="12038"/>
    <cellStyle name="Normal 22 2 2 49" xfId="12289"/>
    <cellStyle name="Normal 22 2 2 5" xfId="1235"/>
    <cellStyle name="Normal 22 2 2 50" xfId="12540"/>
    <cellStyle name="Normal 22 2 2 51" xfId="12791"/>
    <cellStyle name="Normal 22 2 2 52" xfId="13042"/>
    <cellStyle name="Normal 22 2 2 53" xfId="13293"/>
    <cellStyle name="Normal 22 2 2 54" xfId="13544"/>
    <cellStyle name="Normal 22 2 2 55" xfId="13795"/>
    <cellStyle name="Normal 22 2 2 56" xfId="14046"/>
    <cellStyle name="Normal 22 2 2 57" xfId="14297"/>
    <cellStyle name="Normal 22 2 2 58" xfId="14548"/>
    <cellStyle name="Normal 22 2 2 59" xfId="14799"/>
    <cellStyle name="Normal 22 2 2 6" xfId="1488"/>
    <cellStyle name="Normal 22 2 2 60" xfId="15050"/>
    <cellStyle name="Normal 22 2 2 61" xfId="15300"/>
    <cellStyle name="Normal 22 2 2 62" xfId="15551"/>
    <cellStyle name="Normal 22 2 2 63" xfId="15799"/>
    <cellStyle name="Normal 22 2 2 64" xfId="16055"/>
    <cellStyle name="Normal 22 2 2 65" xfId="16306"/>
    <cellStyle name="Normal 22 2 2 66" xfId="16557"/>
    <cellStyle name="Normal 22 2 2 67" xfId="16808"/>
    <cellStyle name="Normal 22 2 2 68" xfId="17059"/>
    <cellStyle name="Normal 22 2 2 69" xfId="17310"/>
    <cellStyle name="Normal 22 2 2 7" xfId="1742"/>
    <cellStyle name="Normal 22 2 2 70" xfId="17561"/>
    <cellStyle name="Normal 22 2 2 71" xfId="17812"/>
    <cellStyle name="Normal 22 2 2 72" xfId="18063"/>
    <cellStyle name="Normal 22 2 2 73" xfId="18314"/>
    <cellStyle name="Normal 22 2 2 74" xfId="18565"/>
    <cellStyle name="Normal 22 2 2 75" xfId="18816"/>
    <cellStyle name="Normal 22 2 2 76" xfId="19066"/>
    <cellStyle name="Normal 22 2 2 77" xfId="19318"/>
    <cellStyle name="Normal 22 2 2 78" xfId="19568"/>
    <cellStyle name="Normal 22 2 2 79" xfId="19824"/>
    <cellStyle name="Normal 22 2 2 8" xfId="1998"/>
    <cellStyle name="Normal 22 2 2 80" xfId="20076"/>
    <cellStyle name="Normal 22 2 2 81" xfId="20328"/>
    <cellStyle name="Normal 22 2 2 82" xfId="20580"/>
    <cellStyle name="Normal 22 2 2 83" xfId="20830"/>
    <cellStyle name="Normal 22 2 2 84" xfId="21080"/>
    <cellStyle name="Normal 22 2 2 85" xfId="21329"/>
    <cellStyle name="Normal 22 2 2 86" xfId="21573"/>
    <cellStyle name="Normal 22 2 2 87" xfId="21817"/>
    <cellStyle name="Normal 22 2 2 88" xfId="22058"/>
    <cellStyle name="Normal 22 2 2 9" xfId="2249"/>
    <cellStyle name="Normal 22 2 20" xfId="4415"/>
    <cellStyle name="Normal 22 2 21" xfId="4666"/>
    <cellStyle name="Normal 22 2 22" xfId="4917"/>
    <cellStyle name="Normal 22 2 23" xfId="5168"/>
    <cellStyle name="Normal 22 2 24" xfId="5419"/>
    <cellStyle name="Normal 22 2 25" xfId="5670"/>
    <cellStyle name="Normal 22 2 26" xfId="5921"/>
    <cellStyle name="Normal 22 2 27" xfId="6172"/>
    <cellStyle name="Normal 22 2 28" xfId="6423"/>
    <cellStyle name="Normal 22 2 29" xfId="6674"/>
    <cellStyle name="Normal 22 2 3" xfId="276"/>
    <cellStyle name="Normal 22 2 3 10" xfId="2576"/>
    <cellStyle name="Normal 22 2 3 11" xfId="2827"/>
    <cellStyle name="Normal 22 2 3 12" xfId="3078"/>
    <cellStyle name="Normal 22 2 3 13" xfId="3329"/>
    <cellStyle name="Normal 22 2 3 14" xfId="3580"/>
    <cellStyle name="Normal 22 2 3 15" xfId="3831"/>
    <cellStyle name="Normal 22 2 3 16" xfId="4082"/>
    <cellStyle name="Normal 22 2 3 17" xfId="4333"/>
    <cellStyle name="Normal 22 2 3 18" xfId="4584"/>
    <cellStyle name="Normal 22 2 3 19" xfId="4835"/>
    <cellStyle name="Normal 22 2 3 2" xfId="551"/>
    <cellStyle name="Normal 22 2 3 20" xfId="5086"/>
    <cellStyle name="Normal 22 2 3 21" xfId="5337"/>
    <cellStyle name="Normal 22 2 3 22" xfId="5588"/>
    <cellStyle name="Normal 22 2 3 23" xfId="5839"/>
    <cellStyle name="Normal 22 2 3 24" xfId="6090"/>
    <cellStyle name="Normal 22 2 3 25" xfId="6341"/>
    <cellStyle name="Normal 22 2 3 26" xfId="6592"/>
    <cellStyle name="Normal 22 2 3 27" xfId="6843"/>
    <cellStyle name="Normal 22 2 3 28" xfId="7094"/>
    <cellStyle name="Normal 22 2 3 29" xfId="7345"/>
    <cellStyle name="Normal 22 2 3 3" xfId="801"/>
    <cellStyle name="Normal 22 2 3 30" xfId="7596"/>
    <cellStyle name="Normal 22 2 3 31" xfId="7847"/>
    <cellStyle name="Normal 22 2 3 32" xfId="8098"/>
    <cellStyle name="Normal 22 2 3 33" xfId="8349"/>
    <cellStyle name="Normal 22 2 3 34" xfId="8600"/>
    <cellStyle name="Normal 22 2 3 35" xfId="8851"/>
    <cellStyle name="Normal 22 2 3 36" xfId="9102"/>
    <cellStyle name="Normal 22 2 3 37" xfId="9353"/>
    <cellStyle name="Normal 22 2 3 38" xfId="9604"/>
    <cellStyle name="Normal 22 2 3 39" xfId="9855"/>
    <cellStyle name="Normal 22 2 3 4" xfId="1053"/>
    <cellStyle name="Normal 22 2 3 40" xfId="10106"/>
    <cellStyle name="Normal 22 2 3 41" xfId="10357"/>
    <cellStyle name="Normal 22 2 3 42" xfId="10608"/>
    <cellStyle name="Normal 22 2 3 43" xfId="10859"/>
    <cellStyle name="Normal 22 2 3 44" xfId="11110"/>
    <cellStyle name="Normal 22 2 3 45" xfId="11361"/>
    <cellStyle name="Normal 22 2 3 46" xfId="11612"/>
    <cellStyle name="Normal 22 2 3 47" xfId="11863"/>
    <cellStyle name="Normal 22 2 3 48" xfId="12114"/>
    <cellStyle name="Normal 22 2 3 49" xfId="12365"/>
    <cellStyle name="Normal 22 2 3 5" xfId="1309"/>
    <cellStyle name="Normal 22 2 3 50" xfId="12616"/>
    <cellStyle name="Normal 22 2 3 51" xfId="12867"/>
    <cellStyle name="Normal 22 2 3 52" xfId="13118"/>
    <cellStyle name="Normal 22 2 3 53" xfId="13369"/>
    <cellStyle name="Normal 22 2 3 54" xfId="13620"/>
    <cellStyle name="Normal 22 2 3 55" xfId="13871"/>
    <cellStyle name="Normal 22 2 3 56" xfId="14122"/>
    <cellStyle name="Normal 22 2 3 57" xfId="14373"/>
    <cellStyle name="Normal 22 2 3 58" xfId="14624"/>
    <cellStyle name="Normal 22 2 3 59" xfId="14875"/>
    <cellStyle name="Normal 22 2 3 6" xfId="1564"/>
    <cellStyle name="Normal 22 2 3 60" xfId="15126"/>
    <cellStyle name="Normal 22 2 3 61" xfId="15376"/>
    <cellStyle name="Normal 22 2 3 62" xfId="15625"/>
    <cellStyle name="Normal 22 2 3 63" xfId="15875"/>
    <cellStyle name="Normal 22 2 3 64" xfId="16131"/>
    <cellStyle name="Normal 22 2 3 65" xfId="16382"/>
    <cellStyle name="Normal 22 2 3 66" xfId="16633"/>
    <cellStyle name="Normal 22 2 3 67" xfId="16884"/>
    <cellStyle name="Normal 22 2 3 68" xfId="17135"/>
    <cellStyle name="Normal 22 2 3 69" xfId="17386"/>
    <cellStyle name="Normal 22 2 3 7" xfId="1817"/>
    <cellStyle name="Normal 22 2 3 70" xfId="17637"/>
    <cellStyle name="Normal 22 2 3 71" xfId="17888"/>
    <cellStyle name="Normal 22 2 3 72" xfId="18139"/>
    <cellStyle name="Normal 22 2 3 73" xfId="18390"/>
    <cellStyle name="Normal 22 2 3 74" xfId="18641"/>
    <cellStyle name="Normal 22 2 3 75" xfId="18892"/>
    <cellStyle name="Normal 22 2 3 76" xfId="19142"/>
    <cellStyle name="Normal 22 2 3 77" xfId="19393"/>
    <cellStyle name="Normal 22 2 3 78" xfId="19644"/>
    <cellStyle name="Normal 22 2 3 79" xfId="19900"/>
    <cellStyle name="Normal 22 2 3 8" xfId="2074"/>
    <cellStyle name="Normal 22 2 3 80" xfId="20152"/>
    <cellStyle name="Normal 22 2 3 81" xfId="20404"/>
    <cellStyle name="Normal 22 2 3 82" xfId="20656"/>
    <cellStyle name="Normal 22 2 3 83" xfId="20906"/>
    <cellStyle name="Normal 22 2 3 84" xfId="21155"/>
    <cellStyle name="Normal 22 2 3 85" xfId="21403"/>
    <cellStyle name="Normal 22 2 3 86" xfId="21647"/>
    <cellStyle name="Normal 22 2 3 87" xfId="21889"/>
    <cellStyle name="Normal 22 2 3 88" xfId="22130"/>
    <cellStyle name="Normal 22 2 3 9" xfId="2325"/>
    <cellStyle name="Normal 22 2 30" xfId="6925"/>
    <cellStyle name="Normal 22 2 31" xfId="7176"/>
    <cellStyle name="Normal 22 2 32" xfId="7427"/>
    <cellStyle name="Normal 22 2 33" xfId="7678"/>
    <cellStyle name="Normal 22 2 34" xfId="7929"/>
    <cellStyle name="Normal 22 2 35" xfId="8180"/>
    <cellStyle name="Normal 22 2 36" xfId="8431"/>
    <cellStyle name="Normal 22 2 37" xfId="8682"/>
    <cellStyle name="Normal 22 2 38" xfId="8933"/>
    <cellStyle name="Normal 22 2 39" xfId="9184"/>
    <cellStyle name="Normal 22 2 4" xfId="385"/>
    <cellStyle name="Normal 22 2 40" xfId="9435"/>
    <cellStyle name="Normal 22 2 41" xfId="9686"/>
    <cellStyle name="Normal 22 2 42" xfId="9937"/>
    <cellStyle name="Normal 22 2 43" xfId="10188"/>
    <cellStyle name="Normal 22 2 44" xfId="10439"/>
    <cellStyle name="Normal 22 2 45" xfId="10690"/>
    <cellStyle name="Normal 22 2 46" xfId="10941"/>
    <cellStyle name="Normal 22 2 47" xfId="11192"/>
    <cellStyle name="Normal 22 2 48" xfId="11443"/>
    <cellStyle name="Normal 22 2 49" xfId="11694"/>
    <cellStyle name="Normal 22 2 5" xfId="634"/>
    <cellStyle name="Normal 22 2 50" xfId="11945"/>
    <cellStyle name="Normal 22 2 51" xfId="12196"/>
    <cellStyle name="Normal 22 2 52" xfId="12447"/>
    <cellStyle name="Normal 22 2 53" xfId="12698"/>
    <cellStyle name="Normal 22 2 54" xfId="12949"/>
    <cellStyle name="Normal 22 2 55" xfId="13200"/>
    <cellStyle name="Normal 22 2 56" xfId="13451"/>
    <cellStyle name="Normal 22 2 57" xfId="13702"/>
    <cellStyle name="Normal 22 2 58" xfId="13953"/>
    <cellStyle name="Normal 22 2 59" xfId="14204"/>
    <cellStyle name="Normal 22 2 6" xfId="887"/>
    <cellStyle name="Normal 22 2 60" xfId="14455"/>
    <cellStyle name="Normal 22 2 61" xfId="14706"/>
    <cellStyle name="Normal 22 2 62" xfId="14956"/>
    <cellStyle name="Normal 22 2 63" xfId="15207"/>
    <cellStyle name="Normal 22 2 64" xfId="15458"/>
    <cellStyle name="Normal 22 2 65" xfId="15705"/>
    <cellStyle name="Normal 22 2 66" xfId="15962"/>
    <cellStyle name="Normal 22 2 67" xfId="16213"/>
    <cellStyle name="Normal 22 2 68" xfId="16464"/>
    <cellStyle name="Normal 22 2 69" xfId="16715"/>
    <cellStyle name="Normal 22 2 7" xfId="1142"/>
    <cellStyle name="Normal 22 2 70" xfId="16966"/>
    <cellStyle name="Normal 22 2 71" xfId="17217"/>
    <cellStyle name="Normal 22 2 72" xfId="17468"/>
    <cellStyle name="Normal 22 2 73" xfId="17719"/>
    <cellStyle name="Normal 22 2 74" xfId="17970"/>
    <cellStyle name="Normal 22 2 75" xfId="18221"/>
    <cellStyle name="Normal 22 2 76" xfId="18472"/>
    <cellStyle name="Normal 22 2 77" xfId="18722"/>
    <cellStyle name="Normal 22 2 78" xfId="18973"/>
    <cellStyle name="Normal 22 2 79" xfId="19224"/>
    <cellStyle name="Normal 22 2 8" xfId="1395"/>
    <cellStyle name="Normal 22 2 80" xfId="19474"/>
    <cellStyle name="Normal 22 2 81" xfId="19730"/>
    <cellStyle name="Normal 22 2 82" xfId="19982"/>
    <cellStyle name="Normal 22 2 83" xfId="20234"/>
    <cellStyle name="Normal 22 2 84" xfId="20486"/>
    <cellStyle name="Normal 22 2 85" xfId="20736"/>
    <cellStyle name="Normal 22 2 86" xfId="20986"/>
    <cellStyle name="Normal 22 2 87" xfId="21237"/>
    <cellStyle name="Normal 22 2 88" xfId="21481"/>
    <cellStyle name="Normal 22 2 89" xfId="21725"/>
    <cellStyle name="Normal 22 2 9" xfId="1648"/>
    <cellStyle name="Normal 22 2 90" xfId="21966"/>
    <cellStyle name="Normal 22 20" xfId="4131"/>
    <cellStyle name="Normal 22 21" xfId="4382"/>
    <cellStyle name="Normal 22 22" xfId="4633"/>
    <cellStyle name="Normal 22 23" xfId="4884"/>
    <cellStyle name="Normal 22 24" xfId="5135"/>
    <cellStyle name="Normal 22 25" xfId="5386"/>
    <cellStyle name="Normal 22 26" xfId="5637"/>
    <cellStyle name="Normal 22 27" xfId="5888"/>
    <cellStyle name="Normal 22 28" xfId="6139"/>
    <cellStyle name="Normal 22 29" xfId="6390"/>
    <cellStyle name="Normal 22 3" xfId="167"/>
    <cellStyle name="Normal 22 3 10" xfId="2467"/>
    <cellStyle name="Normal 22 3 11" xfId="2718"/>
    <cellStyle name="Normal 22 3 12" xfId="2969"/>
    <cellStyle name="Normal 22 3 13" xfId="3220"/>
    <cellStyle name="Normal 22 3 14" xfId="3471"/>
    <cellStyle name="Normal 22 3 15" xfId="3722"/>
    <cellStyle name="Normal 22 3 16" xfId="3973"/>
    <cellStyle name="Normal 22 3 17" xfId="4224"/>
    <cellStyle name="Normal 22 3 18" xfId="4475"/>
    <cellStyle name="Normal 22 3 19" xfId="4726"/>
    <cellStyle name="Normal 22 3 2" xfId="444"/>
    <cellStyle name="Normal 22 3 20" xfId="4977"/>
    <cellStyle name="Normal 22 3 21" xfId="5228"/>
    <cellStyle name="Normal 22 3 22" xfId="5479"/>
    <cellStyle name="Normal 22 3 23" xfId="5730"/>
    <cellStyle name="Normal 22 3 24" xfId="5981"/>
    <cellStyle name="Normal 22 3 25" xfId="6232"/>
    <cellStyle name="Normal 22 3 26" xfId="6483"/>
    <cellStyle name="Normal 22 3 27" xfId="6734"/>
    <cellStyle name="Normal 22 3 28" xfId="6985"/>
    <cellStyle name="Normal 22 3 29" xfId="7236"/>
    <cellStyle name="Normal 22 3 3" xfId="694"/>
    <cellStyle name="Normal 22 3 30" xfId="7487"/>
    <cellStyle name="Normal 22 3 31" xfId="7738"/>
    <cellStyle name="Normal 22 3 32" xfId="7989"/>
    <cellStyle name="Normal 22 3 33" xfId="8240"/>
    <cellStyle name="Normal 22 3 34" xfId="8491"/>
    <cellStyle name="Normal 22 3 35" xfId="8742"/>
    <cellStyle name="Normal 22 3 36" xfId="8993"/>
    <cellStyle name="Normal 22 3 37" xfId="9244"/>
    <cellStyle name="Normal 22 3 38" xfId="9495"/>
    <cellStyle name="Normal 22 3 39" xfId="9746"/>
    <cellStyle name="Normal 22 3 4" xfId="947"/>
    <cellStyle name="Normal 22 3 40" xfId="9997"/>
    <cellStyle name="Normal 22 3 41" xfId="10248"/>
    <cellStyle name="Normal 22 3 42" xfId="10499"/>
    <cellStyle name="Normal 22 3 43" xfId="10750"/>
    <cellStyle name="Normal 22 3 44" xfId="11001"/>
    <cellStyle name="Normal 22 3 45" xfId="11252"/>
    <cellStyle name="Normal 22 3 46" xfId="11503"/>
    <cellStyle name="Normal 22 3 47" xfId="11754"/>
    <cellStyle name="Normal 22 3 48" xfId="12005"/>
    <cellStyle name="Normal 22 3 49" xfId="12256"/>
    <cellStyle name="Normal 22 3 5" xfId="1202"/>
    <cellStyle name="Normal 22 3 50" xfId="12507"/>
    <cellStyle name="Normal 22 3 51" xfId="12758"/>
    <cellStyle name="Normal 22 3 52" xfId="13009"/>
    <cellStyle name="Normal 22 3 53" xfId="13260"/>
    <cellStyle name="Normal 22 3 54" xfId="13511"/>
    <cellStyle name="Normal 22 3 55" xfId="13762"/>
    <cellStyle name="Normal 22 3 56" xfId="14013"/>
    <cellStyle name="Normal 22 3 57" xfId="14264"/>
    <cellStyle name="Normal 22 3 58" xfId="14515"/>
    <cellStyle name="Normal 22 3 59" xfId="14766"/>
    <cellStyle name="Normal 22 3 6" xfId="1455"/>
    <cellStyle name="Normal 22 3 60" xfId="15017"/>
    <cellStyle name="Normal 22 3 61" xfId="15267"/>
    <cellStyle name="Normal 22 3 62" xfId="15518"/>
    <cellStyle name="Normal 22 3 63" xfId="15766"/>
    <cellStyle name="Normal 22 3 64" xfId="16022"/>
    <cellStyle name="Normal 22 3 65" xfId="16273"/>
    <cellStyle name="Normal 22 3 66" xfId="16524"/>
    <cellStyle name="Normal 22 3 67" xfId="16775"/>
    <cellStyle name="Normal 22 3 68" xfId="17026"/>
    <cellStyle name="Normal 22 3 69" xfId="17277"/>
    <cellStyle name="Normal 22 3 7" xfId="1709"/>
    <cellStyle name="Normal 22 3 70" xfId="17528"/>
    <cellStyle name="Normal 22 3 71" xfId="17779"/>
    <cellStyle name="Normal 22 3 72" xfId="18030"/>
    <cellStyle name="Normal 22 3 73" xfId="18281"/>
    <cellStyle name="Normal 22 3 74" xfId="18532"/>
    <cellStyle name="Normal 22 3 75" xfId="18783"/>
    <cellStyle name="Normal 22 3 76" xfId="19033"/>
    <cellStyle name="Normal 22 3 77" xfId="19285"/>
    <cellStyle name="Normal 22 3 78" xfId="19535"/>
    <cellStyle name="Normal 22 3 79" xfId="19791"/>
    <cellStyle name="Normal 22 3 8" xfId="1965"/>
    <cellStyle name="Normal 22 3 80" xfId="20043"/>
    <cellStyle name="Normal 22 3 81" xfId="20295"/>
    <cellStyle name="Normal 22 3 82" xfId="20547"/>
    <cellStyle name="Normal 22 3 83" xfId="20797"/>
    <cellStyle name="Normal 22 3 84" xfId="21047"/>
    <cellStyle name="Normal 22 3 85" xfId="21296"/>
    <cellStyle name="Normal 22 3 86" xfId="21540"/>
    <cellStyle name="Normal 22 3 87" xfId="21784"/>
    <cellStyle name="Normal 22 3 88" xfId="22025"/>
    <cellStyle name="Normal 22 3 9" xfId="2216"/>
    <cellStyle name="Normal 22 30" xfId="6641"/>
    <cellStyle name="Normal 22 31" xfId="6892"/>
    <cellStyle name="Normal 22 32" xfId="7143"/>
    <cellStyle name="Normal 22 33" xfId="7394"/>
    <cellStyle name="Normal 22 34" xfId="7645"/>
    <cellStyle name="Normal 22 35" xfId="7896"/>
    <cellStyle name="Normal 22 36" xfId="8147"/>
    <cellStyle name="Normal 22 37" xfId="8398"/>
    <cellStyle name="Normal 22 38" xfId="8649"/>
    <cellStyle name="Normal 22 39" xfId="8900"/>
    <cellStyle name="Normal 22 4" xfId="243"/>
    <cellStyle name="Normal 22 4 10" xfId="2543"/>
    <cellStyle name="Normal 22 4 11" xfId="2794"/>
    <cellStyle name="Normal 22 4 12" xfId="3045"/>
    <cellStyle name="Normal 22 4 13" xfId="3296"/>
    <cellStyle name="Normal 22 4 14" xfId="3547"/>
    <cellStyle name="Normal 22 4 15" xfId="3798"/>
    <cellStyle name="Normal 22 4 16" xfId="4049"/>
    <cellStyle name="Normal 22 4 17" xfId="4300"/>
    <cellStyle name="Normal 22 4 18" xfId="4551"/>
    <cellStyle name="Normal 22 4 19" xfId="4802"/>
    <cellStyle name="Normal 22 4 2" xfId="519"/>
    <cellStyle name="Normal 22 4 20" xfId="5053"/>
    <cellStyle name="Normal 22 4 21" xfId="5304"/>
    <cellStyle name="Normal 22 4 22" xfId="5555"/>
    <cellStyle name="Normal 22 4 23" xfId="5806"/>
    <cellStyle name="Normal 22 4 24" xfId="6057"/>
    <cellStyle name="Normal 22 4 25" xfId="6308"/>
    <cellStyle name="Normal 22 4 26" xfId="6559"/>
    <cellStyle name="Normal 22 4 27" xfId="6810"/>
    <cellStyle name="Normal 22 4 28" xfId="7061"/>
    <cellStyle name="Normal 22 4 29" xfId="7312"/>
    <cellStyle name="Normal 22 4 3" xfId="769"/>
    <cellStyle name="Normal 22 4 30" xfId="7563"/>
    <cellStyle name="Normal 22 4 31" xfId="7814"/>
    <cellStyle name="Normal 22 4 32" xfId="8065"/>
    <cellStyle name="Normal 22 4 33" xfId="8316"/>
    <cellStyle name="Normal 22 4 34" xfId="8567"/>
    <cellStyle name="Normal 22 4 35" xfId="8818"/>
    <cellStyle name="Normal 22 4 36" xfId="9069"/>
    <cellStyle name="Normal 22 4 37" xfId="9320"/>
    <cellStyle name="Normal 22 4 38" xfId="9571"/>
    <cellStyle name="Normal 22 4 39" xfId="9822"/>
    <cellStyle name="Normal 22 4 4" xfId="1021"/>
    <cellStyle name="Normal 22 4 40" xfId="10073"/>
    <cellStyle name="Normal 22 4 41" xfId="10324"/>
    <cellStyle name="Normal 22 4 42" xfId="10575"/>
    <cellStyle name="Normal 22 4 43" xfId="10826"/>
    <cellStyle name="Normal 22 4 44" xfId="11077"/>
    <cellStyle name="Normal 22 4 45" xfId="11328"/>
    <cellStyle name="Normal 22 4 46" xfId="11579"/>
    <cellStyle name="Normal 22 4 47" xfId="11830"/>
    <cellStyle name="Normal 22 4 48" xfId="12081"/>
    <cellStyle name="Normal 22 4 49" xfId="12332"/>
    <cellStyle name="Normal 22 4 5" xfId="1277"/>
    <cellStyle name="Normal 22 4 50" xfId="12583"/>
    <cellStyle name="Normal 22 4 51" xfId="12834"/>
    <cellStyle name="Normal 22 4 52" xfId="13085"/>
    <cellStyle name="Normal 22 4 53" xfId="13336"/>
    <cellStyle name="Normal 22 4 54" xfId="13587"/>
    <cellStyle name="Normal 22 4 55" xfId="13838"/>
    <cellStyle name="Normal 22 4 56" xfId="14089"/>
    <cellStyle name="Normal 22 4 57" xfId="14340"/>
    <cellStyle name="Normal 22 4 58" xfId="14591"/>
    <cellStyle name="Normal 22 4 59" xfId="14842"/>
    <cellStyle name="Normal 22 4 6" xfId="1531"/>
    <cellStyle name="Normal 22 4 60" xfId="15093"/>
    <cellStyle name="Normal 22 4 61" xfId="15343"/>
    <cellStyle name="Normal 22 4 62" xfId="15593"/>
    <cellStyle name="Normal 22 4 63" xfId="15842"/>
    <cellStyle name="Normal 22 4 64" xfId="16098"/>
    <cellStyle name="Normal 22 4 65" xfId="16349"/>
    <cellStyle name="Normal 22 4 66" xfId="16600"/>
    <cellStyle name="Normal 22 4 67" xfId="16851"/>
    <cellStyle name="Normal 22 4 68" xfId="17102"/>
    <cellStyle name="Normal 22 4 69" xfId="17353"/>
    <cellStyle name="Normal 22 4 7" xfId="1784"/>
    <cellStyle name="Normal 22 4 70" xfId="17604"/>
    <cellStyle name="Normal 22 4 71" xfId="17855"/>
    <cellStyle name="Normal 22 4 72" xfId="18106"/>
    <cellStyle name="Normal 22 4 73" xfId="18357"/>
    <cellStyle name="Normal 22 4 74" xfId="18608"/>
    <cellStyle name="Normal 22 4 75" xfId="18859"/>
    <cellStyle name="Normal 22 4 76" xfId="19109"/>
    <cellStyle name="Normal 22 4 77" xfId="19361"/>
    <cellStyle name="Normal 22 4 78" xfId="19611"/>
    <cellStyle name="Normal 22 4 79" xfId="19867"/>
    <cellStyle name="Normal 22 4 8" xfId="2041"/>
    <cellStyle name="Normal 22 4 80" xfId="20119"/>
    <cellStyle name="Normal 22 4 81" xfId="20371"/>
    <cellStyle name="Normal 22 4 82" xfId="20623"/>
    <cellStyle name="Normal 22 4 83" xfId="20873"/>
    <cellStyle name="Normal 22 4 84" xfId="21123"/>
    <cellStyle name="Normal 22 4 85" xfId="21371"/>
    <cellStyle name="Normal 22 4 86" xfId="21615"/>
    <cellStyle name="Normal 22 4 87" xfId="21858"/>
    <cellStyle name="Normal 22 4 88" xfId="22099"/>
    <cellStyle name="Normal 22 4 9" xfId="2292"/>
    <cellStyle name="Normal 22 40" xfId="9151"/>
    <cellStyle name="Normal 22 41" xfId="9402"/>
    <cellStyle name="Normal 22 42" xfId="9653"/>
    <cellStyle name="Normal 22 43" xfId="9904"/>
    <cellStyle name="Normal 22 44" xfId="10155"/>
    <cellStyle name="Normal 22 45" xfId="10406"/>
    <cellStyle name="Normal 22 46" xfId="10657"/>
    <cellStyle name="Normal 22 47" xfId="10908"/>
    <cellStyle name="Normal 22 48" xfId="11159"/>
    <cellStyle name="Normal 22 49" xfId="11410"/>
    <cellStyle name="Normal 22 5" xfId="352"/>
    <cellStyle name="Normal 22 50" xfId="11661"/>
    <cellStyle name="Normal 22 51" xfId="11912"/>
    <cellStyle name="Normal 22 52" xfId="12163"/>
    <cellStyle name="Normal 22 53" xfId="12414"/>
    <cellStyle name="Normal 22 54" xfId="12665"/>
    <cellStyle name="Normal 22 55" xfId="12916"/>
    <cellStyle name="Normal 22 56" xfId="13167"/>
    <cellStyle name="Normal 22 57" xfId="13418"/>
    <cellStyle name="Normal 22 58" xfId="13669"/>
    <cellStyle name="Normal 22 59" xfId="13920"/>
    <cellStyle name="Normal 22 6" xfId="601"/>
    <cellStyle name="Normal 22 60" xfId="14171"/>
    <cellStyle name="Normal 22 61" xfId="14422"/>
    <cellStyle name="Normal 22 62" xfId="14673"/>
    <cellStyle name="Normal 22 63" xfId="14923"/>
    <cellStyle name="Normal 22 64" xfId="15174"/>
    <cellStyle name="Normal 22 65" xfId="15425"/>
    <cellStyle name="Normal 22 66" xfId="15672"/>
    <cellStyle name="Normal 22 67" xfId="15929"/>
    <cellStyle name="Normal 22 68" xfId="16180"/>
    <cellStyle name="Normal 22 69" xfId="16431"/>
    <cellStyle name="Normal 22 7" xfId="854"/>
    <cellStyle name="Normal 22 70" xfId="16682"/>
    <cellStyle name="Normal 22 71" xfId="16933"/>
    <cellStyle name="Normal 22 72" xfId="17184"/>
    <cellStyle name="Normal 22 73" xfId="17435"/>
    <cellStyle name="Normal 22 74" xfId="17686"/>
    <cellStyle name="Normal 22 75" xfId="17937"/>
    <cellStyle name="Normal 22 76" xfId="18188"/>
    <cellStyle name="Normal 22 77" xfId="18439"/>
    <cellStyle name="Normal 22 78" xfId="18689"/>
    <cellStyle name="Normal 22 79" xfId="18940"/>
    <cellStyle name="Normal 22 8" xfId="1109"/>
    <cellStyle name="Normal 22 80" xfId="19191"/>
    <cellStyle name="Normal 22 81" xfId="19441"/>
    <cellStyle name="Normal 22 82" xfId="19697"/>
    <cellStyle name="Normal 22 83" xfId="19949"/>
    <cellStyle name="Normal 22 84" xfId="20201"/>
    <cellStyle name="Normal 22 85" xfId="20453"/>
    <cellStyle name="Normal 22 86" xfId="20703"/>
    <cellStyle name="Normal 22 87" xfId="20953"/>
    <cellStyle name="Normal 22 88" xfId="21204"/>
    <cellStyle name="Normal 22 89" xfId="21448"/>
    <cellStyle name="Normal 22 9" xfId="1362"/>
    <cellStyle name="Normal 22 90" xfId="21692"/>
    <cellStyle name="Normal 22 91" xfId="21933"/>
    <cellStyle name="Normal 23" xfId="74"/>
    <cellStyle name="Normal 23 10" xfId="1616"/>
    <cellStyle name="Normal 23 11" xfId="1873"/>
    <cellStyle name="Normal 23 12" xfId="2124"/>
    <cellStyle name="Normal 23 13" xfId="2375"/>
    <cellStyle name="Normal 23 14" xfId="2626"/>
    <cellStyle name="Normal 23 15" xfId="2877"/>
    <cellStyle name="Normal 23 16" xfId="3128"/>
    <cellStyle name="Normal 23 17" xfId="3379"/>
    <cellStyle name="Normal 23 18" xfId="3630"/>
    <cellStyle name="Normal 23 19" xfId="3881"/>
    <cellStyle name="Normal 23 2" xfId="107"/>
    <cellStyle name="Normal 23 2 10" xfId="1906"/>
    <cellStyle name="Normal 23 2 11" xfId="2157"/>
    <cellStyle name="Normal 23 2 12" xfId="2408"/>
    <cellStyle name="Normal 23 2 13" xfId="2659"/>
    <cellStyle name="Normal 23 2 14" xfId="2910"/>
    <cellStyle name="Normal 23 2 15" xfId="3161"/>
    <cellStyle name="Normal 23 2 16" xfId="3412"/>
    <cellStyle name="Normal 23 2 17" xfId="3663"/>
    <cellStyle name="Normal 23 2 18" xfId="3914"/>
    <cellStyle name="Normal 23 2 19" xfId="4165"/>
    <cellStyle name="Normal 23 2 2" xfId="201"/>
    <cellStyle name="Normal 23 2 2 10" xfId="2501"/>
    <cellStyle name="Normal 23 2 2 11" xfId="2752"/>
    <cellStyle name="Normal 23 2 2 12" xfId="3003"/>
    <cellStyle name="Normal 23 2 2 13" xfId="3254"/>
    <cellStyle name="Normal 23 2 2 14" xfId="3505"/>
    <cellStyle name="Normal 23 2 2 15" xfId="3756"/>
    <cellStyle name="Normal 23 2 2 16" xfId="4007"/>
    <cellStyle name="Normal 23 2 2 17" xfId="4258"/>
    <cellStyle name="Normal 23 2 2 18" xfId="4509"/>
    <cellStyle name="Normal 23 2 2 19" xfId="4760"/>
    <cellStyle name="Normal 23 2 2 2" xfId="478"/>
    <cellStyle name="Normal 23 2 2 20" xfId="5011"/>
    <cellStyle name="Normal 23 2 2 21" xfId="5262"/>
    <cellStyle name="Normal 23 2 2 22" xfId="5513"/>
    <cellStyle name="Normal 23 2 2 23" xfId="5764"/>
    <cellStyle name="Normal 23 2 2 24" xfId="6015"/>
    <cellStyle name="Normal 23 2 2 25" xfId="6266"/>
    <cellStyle name="Normal 23 2 2 26" xfId="6517"/>
    <cellStyle name="Normal 23 2 2 27" xfId="6768"/>
    <cellStyle name="Normal 23 2 2 28" xfId="7019"/>
    <cellStyle name="Normal 23 2 2 29" xfId="7270"/>
    <cellStyle name="Normal 23 2 2 3" xfId="728"/>
    <cellStyle name="Normal 23 2 2 30" xfId="7521"/>
    <cellStyle name="Normal 23 2 2 31" xfId="7772"/>
    <cellStyle name="Normal 23 2 2 32" xfId="8023"/>
    <cellStyle name="Normal 23 2 2 33" xfId="8274"/>
    <cellStyle name="Normal 23 2 2 34" xfId="8525"/>
    <cellStyle name="Normal 23 2 2 35" xfId="8776"/>
    <cellStyle name="Normal 23 2 2 36" xfId="9027"/>
    <cellStyle name="Normal 23 2 2 37" xfId="9278"/>
    <cellStyle name="Normal 23 2 2 38" xfId="9529"/>
    <cellStyle name="Normal 23 2 2 39" xfId="9780"/>
    <cellStyle name="Normal 23 2 2 4" xfId="981"/>
    <cellStyle name="Normal 23 2 2 40" xfId="10031"/>
    <cellStyle name="Normal 23 2 2 41" xfId="10282"/>
    <cellStyle name="Normal 23 2 2 42" xfId="10533"/>
    <cellStyle name="Normal 23 2 2 43" xfId="10784"/>
    <cellStyle name="Normal 23 2 2 44" xfId="11035"/>
    <cellStyle name="Normal 23 2 2 45" xfId="11286"/>
    <cellStyle name="Normal 23 2 2 46" xfId="11537"/>
    <cellStyle name="Normal 23 2 2 47" xfId="11788"/>
    <cellStyle name="Normal 23 2 2 48" xfId="12039"/>
    <cellStyle name="Normal 23 2 2 49" xfId="12290"/>
    <cellStyle name="Normal 23 2 2 5" xfId="1236"/>
    <cellStyle name="Normal 23 2 2 50" xfId="12541"/>
    <cellStyle name="Normal 23 2 2 51" xfId="12792"/>
    <cellStyle name="Normal 23 2 2 52" xfId="13043"/>
    <cellStyle name="Normal 23 2 2 53" xfId="13294"/>
    <cellStyle name="Normal 23 2 2 54" xfId="13545"/>
    <cellStyle name="Normal 23 2 2 55" xfId="13796"/>
    <cellStyle name="Normal 23 2 2 56" xfId="14047"/>
    <cellStyle name="Normal 23 2 2 57" xfId="14298"/>
    <cellStyle name="Normal 23 2 2 58" xfId="14549"/>
    <cellStyle name="Normal 23 2 2 59" xfId="14800"/>
    <cellStyle name="Normal 23 2 2 6" xfId="1489"/>
    <cellStyle name="Normal 23 2 2 60" xfId="15051"/>
    <cellStyle name="Normal 23 2 2 61" xfId="15301"/>
    <cellStyle name="Normal 23 2 2 62" xfId="15552"/>
    <cellStyle name="Normal 23 2 2 63" xfId="15800"/>
    <cellStyle name="Normal 23 2 2 64" xfId="16056"/>
    <cellStyle name="Normal 23 2 2 65" xfId="16307"/>
    <cellStyle name="Normal 23 2 2 66" xfId="16558"/>
    <cellStyle name="Normal 23 2 2 67" xfId="16809"/>
    <cellStyle name="Normal 23 2 2 68" xfId="17060"/>
    <cellStyle name="Normal 23 2 2 69" xfId="17311"/>
    <cellStyle name="Normal 23 2 2 7" xfId="1743"/>
    <cellStyle name="Normal 23 2 2 70" xfId="17562"/>
    <cellStyle name="Normal 23 2 2 71" xfId="17813"/>
    <cellStyle name="Normal 23 2 2 72" xfId="18064"/>
    <cellStyle name="Normal 23 2 2 73" xfId="18315"/>
    <cellStyle name="Normal 23 2 2 74" xfId="18566"/>
    <cellStyle name="Normal 23 2 2 75" xfId="18817"/>
    <cellStyle name="Normal 23 2 2 76" xfId="19067"/>
    <cellStyle name="Normal 23 2 2 77" xfId="19319"/>
    <cellStyle name="Normal 23 2 2 78" xfId="19569"/>
    <cellStyle name="Normal 23 2 2 79" xfId="19825"/>
    <cellStyle name="Normal 23 2 2 8" xfId="1999"/>
    <cellStyle name="Normal 23 2 2 80" xfId="20077"/>
    <cellStyle name="Normal 23 2 2 81" xfId="20329"/>
    <cellStyle name="Normal 23 2 2 82" xfId="20581"/>
    <cellStyle name="Normal 23 2 2 83" xfId="20831"/>
    <cellStyle name="Normal 23 2 2 84" xfId="21081"/>
    <cellStyle name="Normal 23 2 2 85" xfId="21330"/>
    <cellStyle name="Normal 23 2 2 86" xfId="21574"/>
    <cellStyle name="Normal 23 2 2 87" xfId="21818"/>
    <cellStyle name="Normal 23 2 2 88" xfId="22059"/>
    <cellStyle name="Normal 23 2 2 9" xfId="2250"/>
    <cellStyle name="Normal 23 2 20" xfId="4416"/>
    <cellStyle name="Normal 23 2 21" xfId="4667"/>
    <cellStyle name="Normal 23 2 22" xfId="4918"/>
    <cellStyle name="Normal 23 2 23" xfId="5169"/>
    <cellStyle name="Normal 23 2 24" xfId="5420"/>
    <cellStyle name="Normal 23 2 25" xfId="5671"/>
    <cellStyle name="Normal 23 2 26" xfId="5922"/>
    <cellStyle name="Normal 23 2 27" xfId="6173"/>
    <cellStyle name="Normal 23 2 28" xfId="6424"/>
    <cellStyle name="Normal 23 2 29" xfId="6675"/>
    <cellStyle name="Normal 23 2 3" xfId="277"/>
    <cellStyle name="Normal 23 2 3 10" xfId="2577"/>
    <cellStyle name="Normal 23 2 3 11" xfId="2828"/>
    <cellStyle name="Normal 23 2 3 12" xfId="3079"/>
    <cellStyle name="Normal 23 2 3 13" xfId="3330"/>
    <cellStyle name="Normal 23 2 3 14" xfId="3581"/>
    <cellStyle name="Normal 23 2 3 15" xfId="3832"/>
    <cellStyle name="Normal 23 2 3 16" xfId="4083"/>
    <cellStyle name="Normal 23 2 3 17" xfId="4334"/>
    <cellStyle name="Normal 23 2 3 18" xfId="4585"/>
    <cellStyle name="Normal 23 2 3 19" xfId="4836"/>
    <cellStyle name="Normal 23 2 3 2" xfId="552"/>
    <cellStyle name="Normal 23 2 3 20" xfId="5087"/>
    <cellStyle name="Normal 23 2 3 21" xfId="5338"/>
    <cellStyle name="Normal 23 2 3 22" xfId="5589"/>
    <cellStyle name="Normal 23 2 3 23" xfId="5840"/>
    <cellStyle name="Normal 23 2 3 24" xfId="6091"/>
    <cellStyle name="Normal 23 2 3 25" xfId="6342"/>
    <cellStyle name="Normal 23 2 3 26" xfId="6593"/>
    <cellStyle name="Normal 23 2 3 27" xfId="6844"/>
    <cellStyle name="Normal 23 2 3 28" xfId="7095"/>
    <cellStyle name="Normal 23 2 3 29" xfId="7346"/>
    <cellStyle name="Normal 23 2 3 3" xfId="802"/>
    <cellStyle name="Normal 23 2 3 30" xfId="7597"/>
    <cellStyle name="Normal 23 2 3 31" xfId="7848"/>
    <cellStyle name="Normal 23 2 3 32" xfId="8099"/>
    <cellStyle name="Normal 23 2 3 33" xfId="8350"/>
    <cellStyle name="Normal 23 2 3 34" xfId="8601"/>
    <cellStyle name="Normal 23 2 3 35" xfId="8852"/>
    <cellStyle name="Normal 23 2 3 36" xfId="9103"/>
    <cellStyle name="Normal 23 2 3 37" xfId="9354"/>
    <cellStyle name="Normal 23 2 3 38" xfId="9605"/>
    <cellStyle name="Normal 23 2 3 39" xfId="9856"/>
    <cellStyle name="Normal 23 2 3 4" xfId="1054"/>
    <cellStyle name="Normal 23 2 3 40" xfId="10107"/>
    <cellStyle name="Normal 23 2 3 41" xfId="10358"/>
    <cellStyle name="Normal 23 2 3 42" xfId="10609"/>
    <cellStyle name="Normal 23 2 3 43" xfId="10860"/>
    <cellStyle name="Normal 23 2 3 44" xfId="11111"/>
    <cellStyle name="Normal 23 2 3 45" xfId="11362"/>
    <cellStyle name="Normal 23 2 3 46" xfId="11613"/>
    <cellStyle name="Normal 23 2 3 47" xfId="11864"/>
    <cellStyle name="Normal 23 2 3 48" xfId="12115"/>
    <cellStyle name="Normal 23 2 3 49" xfId="12366"/>
    <cellStyle name="Normal 23 2 3 5" xfId="1310"/>
    <cellStyle name="Normal 23 2 3 50" xfId="12617"/>
    <cellStyle name="Normal 23 2 3 51" xfId="12868"/>
    <cellStyle name="Normal 23 2 3 52" xfId="13119"/>
    <cellStyle name="Normal 23 2 3 53" xfId="13370"/>
    <cellStyle name="Normal 23 2 3 54" xfId="13621"/>
    <cellStyle name="Normal 23 2 3 55" xfId="13872"/>
    <cellStyle name="Normal 23 2 3 56" xfId="14123"/>
    <cellStyle name="Normal 23 2 3 57" xfId="14374"/>
    <cellStyle name="Normal 23 2 3 58" xfId="14625"/>
    <cellStyle name="Normal 23 2 3 59" xfId="14876"/>
    <cellStyle name="Normal 23 2 3 6" xfId="1565"/>
    <cellStyle name="Normal 23 2 3 60" xfId="15127"/>
    <cellStyle name="Normal 23 2 3 61" xfId="15377"/>
    <cellStyle name="Normal 23 2 3 62" xfId="15626"/>
    <cellStyle name="Normal 23 2 3 63" xfId="15876"/>
    <cellStyle name="Normal 23 2 3 64" xfId="16132"/>
    <cellStyle name="Normal 23 2 3 65" xfId="16383"/>
    <cellStyle name="Normal 23 2 3 66" xfId="16634"/>
    <cellStyle name="Normal 23 2 3 67" xfId="16885"/>
    <cellStyle name="Normal 23 2 3 68" xfId="17136"/>
    <cellStyle name="Normal 23 2 3 69" xfId="17387"/>
    <cellStyle name="Normal 23 2 3 7" xfId="1818"/>
    <cellStyle name="Normal 23 2 3 70" xfId="17638"/>
    <cellStyle name="Normal 23 2 3 71" xfId="17889"/>
    <cellStyle name="Normal 23 2 3 72" xfId="18140"/>
    <cellStyle name="Normal 23 2 3 73" xfId="18391"/>
    <cellStyle name="Normal 23 2 3 74" xfId="18642"/>
    <cellStyle name="Normal 23 2 3 75" xfId="18893"/>
    <cellStyle name="Normal 23 2 3 76" xfId="19143"/>
    <cellStyle name="Normal 23 2 3 77" xfId="19394"/>
    <cellStyle name="Normal 23 2 3 78" xfId="19645"/>
    <cellStyle name="Normal 23 2 3 79" xfId="19901"/>
    <cellStyle name="Normal 23 2 3 8" xfId="2075"/>
    <cellStyle name="Normal 23 2 3 80" xfId="20153"/>
    <cellStyle name="Normal 23 2 3 81" xfId="20405"/>
    <cellStyle name="Normal 23 2 3 82" xfId="20657"/>
    <cellStyle name="Normal 23 2 3 83" xfId="20907"/>
    <cellStyle name="Normal 23 2 3 84" xfId="21156"/>
    <cellStyle name="Normal 23 2 3 85" xfId="21404"/>
    <cellStyle name="Normal 23 2 3 86" xfId="21648"/>
    <cellStyle name="Normal 23 2 3 87" xfId="21890"/>
    <cellStyle name="Normal 23 2 3 88" xfId="22131"/>
    <cellStyle name="Normal 23 2 3 9" xfId="2326"/>
    <cellStyle name="Normal 23 2 30" xfId="6926"/>
    <cellStyle name="Normal 23 2 31" xfId="7177"/>
    <cellStyle name="Normal 23 2 32" xfId="7428"/>
    <cellStyle name="Normal 23 2 33" xfId="7679"/>
    <cellStyle name="Normal 23 2 34" xfId="7930"/>
    <cellStyle name="Normal 23 2 35" xfId="8181"/>
    <cellStyle name="Normal 23 2 36" xfId="8432"/>
    <cellStyle name="Normal 23 2 37" xfId="8683"/>
    <cellStyle name="Normal 23 2 38" xfId="8934"/>
    <cellStyle name="Normal 23 2 39" xfId="9185"/>
    <cellStyle name="Normal 23 2 4" xfId="386"/>
    <cellStyle name="Normal 23 2 40" xfId="9436"/>
    <cellStyle name="Normal 23 2 41" xfId="9687"/>
    <cellStyle name="Normal 23 2 42" xfId="9938"/>
    <cellStyle name="Normal 23 2 43" xfId="10189"/>
    <cellStyle name="Normal 23 2 44" xfId="10440"/>
    <cellStyle name="Normal 23 2 45" xfId="10691"/>
    <cellStyle name="Normal 23 2 46" xfId="10942"/>
    <cellStyle name="Normal 23 2 47" xfId="11193"/>
    <cellStyle name="Normal 23 2 48" xfId="11444"/>
    <cellStyle name="Normal 23 2 49" xfId="11695"/>
    <cellStyle name="Normal 23 2 5" xfId="635"/>
    <cellStyle name="Normal 23 2 50" xfId="11946"/>
    <cellStyle name="Normal 23 2 51" xfId="12197"/>
    <cellStyle name="Normal 23 2 52" xfId="12448"/>
    <cellStyle name="Normal 23 2 53" xfId="12699"/>
    <cellStyle name="Normal 23 2 54" xfId="12950"/>
    <cellStyle name="Normal 23 2 55" xfId="13201"/>
    <cellStyle name="Normal 23 2 56" xfId="13452"/>
    <cellStyle name="Normal 23 2 57" xfId="13703"/>
    <cellStyle name="Normal 23 2 58" xfId="13954"/>
    <cellStyle name="Normal 23 2 59" xfId="14205"/>
    <cellStyle name="Normal 23 2 6" xfId="888"/>
    <cellStyle name="Normal 23 2 60" xfId="14456"/>
    <cellStyle name="Normal 23 2 61" xfId="14707"/>
    <cellStyle name="Normal 23 2 62" xfId="14957"/>
    <cellStyle name="Normal 23 2 63" xfId="15208"/>
    <cellStyle name="Normal 23 2 64" xfId="15459"/>
    <cellStyle name="Normal 23 2 65" xfId="15706"/>
    <cellStyle name="Normal 23 2 66" xfId="15963"/>
    <cellStyle name="Normal 23 2 67" xfId="16214"/>
    <cellStyle name="Normal 23 2 68" xfId="16465"/>
    <cellStyle name="Normal 23 2 69" xfId="16716"/>
    <cellStyle name="Normal 23 2 7" xfId="1143"/>
    <cellStyle name="Normal 23 2 70" xfId="16967"/>
    <cellStyle name="Normal 23 2 71" xfId="17218"/>
    <cellStyle name="Normal 23 2 72" xfId="17469"/>
    <cellStyle name="Normal 23 2 73" xfId="17720"/>
    <cellStyle name="Normal 23 2 74" xfId="17971"/>
    <cellStyle name="Normal 23 2 75" xfId="18222"/>
    <cellStyle name="Normal 23 2 76" xfId="18473"/>
    <cellStyle name="Normal 23 2 77" xfId="18723"/>
    <cellStyle name="Normal 23 2 78" xfId="18974"/>
    <cellStyle name="Normal 23 2 79" xfId="19225"/>
    <cellStyle name="Normal 23 2 8" xfId="1396"/>
    <cellStyle name="Normal 23 2 80" xfId="19475"/>
    <cellStyle name="Normal 23 2 81" xfId="19731"/>
    <cellStyle name="Normal 23 2 82" xfId="19983"/>
    <cellStyle name="Normal 23 2 83" xfId="20235"/>
    <cellStyle name="Normal 23 2 84" xfId="20487"/>
    <cellStyle name="Normal 23 2 85" xfId="20737"/>
    <cellStyle name="Normal 23 2 86" xfId="20987"/>
    <cellStyle name="Normal 23 2 87" xfId="21238"/>
    <cellStyle name="Normal 23 2 88" xfId="21482"/>
    <cellStyle name="Normal 23 2 89" xfId="21726"/>
    <cellStyle name="Normal 23 2 9" xfId="1649"/>
    <cellStyle name="Normal 23 2 90" xfId="21967"/>
    <cellStyle name="Normal 23 20" xfId="4132"/>
    <cellStyle name="Normal 23 21" xfId="4383"/>
    <cellStyle name="Normal 23 22" xfId="4634"/>
    <cellStyle name="Normal 23 23" xfId="4885"/>
    <cellStyle name="Normal 23 24" xfId="5136"/>
    <cellStyle name="Normal 23 25" xfId="5387"/>
    <cellStyle name="Normal 23 26" xfId="5638"/>
    <cellStyle name="Normal 23 27" xfId="5889"/>
    <cellStyle name="Normal 23 28" xfId="6140"/>
    <cellStyle name="Normal 23 29" xfId="6391"/>
    <cellStyle name="Normal 23 3" xfId="168"/>
    <cellStyle name="Normal 23 3 10" xfId="2468"/>
    <cellStyle name="Normal 23 3 11" xfId="2719"/>
    <cellStyle name="Normal 23 3 12" xfId="2970"/>
    <cellStyle name="Normal 23 3 13" xfId="3221"/>
    <cellStyle name="Normal 23 3 14" xfId="3472"/>
    <cellStyle name="Normal 23 3 15" xfId="3723"/>
    <cellStyle name="Normal 23 3 16" xfId="3974"/>
    <cellStyle name="Normal 23 3 17" xfId="4225"/>
    <cellStyle name="Normal 23 3 18" xfId="4476"/>
    <cellStyle name="Normal 23 3 19" xfId="4727"/>
    <cellStyle name="Normal 23 3 2" xfId="445"/>
    <cellStyle name="Normal 23 3 20" xfId="4978"/>
    <cellStyle name="Normal 23 3 21" xfId="5229"/>
    <cellStyle name="Normal 23 3 22" xfId="5480"/>
    <cellStyle name="Normal 23 3 23" xfId="5731"/>
    <cellStyle name="Normal 23 3 24" xfId="5982"/>
    <cellStyle name="Normal 23 3 25" xfId="6233"/>
    <cellStyle name="Normal 23 3 26" xfId="6484"/>
    <cellStyle name="Normal 23 3 27" xfId="6735"/>
    <cellStyle name="Normal 23 3 28" xfId="6986"/>
    <cellStyle name="Normal 23 3 29" xfId="7237"/>
    <cellStyle name="Normal 23 3 3" xfId="695"/>
    <cellStyle name="Normal 23 3 30" xfId="7488"/>
    <cellStyle name="Normal 23 3 31" xfId="7739"/>
    <cellStyle name="Normal 23 3 32" xfId="7990"/>
    <cellStyle name="Normal 23 3 33" xfId="8241"/>
    <cellStyle name="Normal 23 3 34" xfId="8492"/>
    <cellStyle name="Normal 23 3 35" xfId="8743"/>
    <cellStyle name="Normal 23 3 36" xfId="8994"/>
    <cellStyle name="Normal 23 3 37" xfId="9245"/>
    <cellStyle name="Normal 23 3 38" xfId="9496"/>
    <cellStyle name="Normal 23 3 39" xfId="9747"/>
    <cellStyle name="Normal 23 3 4" xfId="948"/>
    <cellStyle name="Normal 23 3 40" xfId="9998"/>
    <cellStyle name="Normal 23 3 41" xfId="10249"/>
    <cellStyle name="Normal 23 3 42" xfId="10500"/>
    <cellStyle name="Normal 23 3 43" xfId="10751"/>
    <cellStyle name="Normal 23 3 44" xfId="11002"/>
    <cellStyle name="Normal 23 3 45" xfId="11253"/>
    <cellStyle name="Normal 23 3 46" xfId="11504"/>
    <cellStyle name="Normal 23 3 47" xfId="11755"/>
    <cellStyle name="Normal 23 3 48" xfId="12006"/>
    <cellStyle name="Normal 23 3 49" xfId="12257"/>
    <cellStyle name="Normal 23 3 5" xfId="1203"/>
    <cellStyle name="Normal 23 3 50" xfId="12508"/>
    <cellStyle name="Normal 23 3 51" xfId="12759"/>
    <cellStyle name="Normal 23 3 52" xfId="13010"/>
    <cellStyle name="Normal 23 3 53" xfId="13261"/>
    <cellStyle name="Normal 23 3 54" xfId="13512"/>
    <cellStyle name="Normal 23 3 55" xfId="13763"/>
    <cellStyle name="Normal 23 3 56" xfId="14014"/>
    <cellStyle name="Normal 23 3 57" xfId="14265"/>
    <cellStyle name="Normal 23 3 58" xfId="14516"/>
    <cellStyle name="Normal 23 3 59" xfId="14767"/>
    <cellStyle name="Normal 23 3 6" xfId="1456"/>
    <cellStyle name="Normal 23 3 60" xfId="15018"/>
    <cellStyle name="Normal 23 3 61" xfId="15268"/>
    <cellStyle name="Normal 23 3 62" xfId="15519"/>
    <cellStyle name="Normal 23 3 63" xfId="15767"/>
    <cellStyle name="Normal 23 3 64" xfId="16023"/>
    <cellStyle name="Normal 23 3 65" xfId="16274"/>
    <cellStyle name="Normal 23 3 66" xfId="16525"/>
    <cellStyle name="Normal 23 3 67" xfId="16776"/>
    <cellStyle name="Normal 23 3 68" xfId="17027"/>
    <cellStyle name="Normal 23 3 69" xfId="17278"/>
    <cellStyle name="Normal 23 3 7" xfId="1710"/>
    <cellStyle name="Normal 23 3 70" xfId="17529"/>
    <cellStyle name="Normal 23 3 71" xfId="17780"/>
    <cellStyle name="Normal 23 3 72" xfId="18031"/>
    <cellStyle name="Normal 23 3 73" xfId="18282"/>
    <cellStyle name="Normal 23 3 74" xfId="18533"/>
    <cellStyle name="Normal 23 3 75" xfId="18784"/>
    <cellStyle name="Normal 23 3 76" xfId="19034"/>
    <cellStyle name="Normal 23 3 77" xfId="19286"/>
    <cellStyle name="Normal 23 3 78" xfId="19536"/>
    <cellStyle name="Normal 23 3 79" xfId="19792"/>
    <cellStyle name="Normal 23 3 8" xfId="1966"/>
    <cellStyle name="Normal 23 3 80" xfId="20044"/>
    <cellStyle name="Normal 23 3 81" xfId="20296"/>
    <cellStyle name="Normal 23 3 82" xfId="20548"/>
    <cellStyle name="Normal 23 3 83" xfId="20798"/>
    <cellStyle name="Normal 23 3 84" xfId="21048"/>
    <cellStyle name="Normal 23 3 85" xfId="21297"/>
    <cellStyle name="Normal 23 3 86" xfId="21541"/>
    <cellStyle name="Normal 23 3 87" xfId="21785"/>
    <cellStyle name="Normal 23 3 88" xfId="22026"/>
    <cellStyle name="Normal 23 3 9" xfId="2217"/>
    <cellStyle name="Normal 23 30" xfId="6642"/>
    <cellStyle name="Normal 23 31" xfId="6893"/>
    <cellStyle name="Normal 23 32" xfId="7144"/>
    <cellStyle name="Normal 23 33" xfId="7395"/>
    <cellStyle name="Normal 23 34" xfId="7646"/>
    <cellStyle name="Normal 23 35" xfId="7897"/>
    <cellStyle name="Normal 23 36" xfId="8148"/>
    <cellStyle name="Normal 23 37" xfId="8399"/>
    <cellStyle name="Normal 23 38" xfId="8650"/>
    <cellStyle name="Normal 23 39" xfId="8901"/>
    <cellStyle name="Normal 23 4" xfId="244"/>
    <cellStyle name="Normal 23 4 10" xfId="2544"/>
    <cellStyle name="Normal 23 4 11" xfId="2795"/>
    <cellStyle name="Normal 23 4 12" xfId="3046"/>
    <cellStyle name="Normal 23 4 13" xfId="3297"/>
    <cellStyle name="Normal 23 4 14" xfId="3548"/>
    <cellStyle name="Normal 23 4 15" xfId="3799"/>
    <cellStyle name="Normal 23 4 16" xfId="4050"/>
    <cellStyle name="Normal 23 4 17" xfId="4301"/>
    <cellStyle name="Normal 23 4 18" xfId="4552"/>
    <cellStyle name="Normal 23 4 19" xfId="4803"/>
    <cellStyle name="Normal 23 4 2" xfId="520"/>
    <cellStyle name="Normal 23 4 20" xfId="5054"/>
    <cellStyle name="Normal 23 4 21" xfId="5305"/>
    <cellStyle name="Normal 23 4 22" xfId="5556"/>
    <cellStyle name="Normal 23 4 23" xfId="5807"/>
    <cellStyle name="Normal 23 4 24" xfId="6058"/>
    <cellStyle name="Normal 23 4 25" xfId="6309"/>
    <cellStyle name="Normal 23 4 26" xfId="6560"/>
    <cellStyle name="Normal 23 4 27" xfId="6811"/>
    <cellStyle name="Normal 23 4 28" xfId="7062"/>
    <cellStyle name="Normal 23 4 29" xfId="7313"/>
    <cellStyle name="Normal 23 4 3" xfId="770"/>
    <cellStyle name="Normal 23 4 30" xfId="7564"/>
    <cellStyle name="Normal 23 4 31" xfId="7815"/>
    <cellStyle name="Normal 23 4 32" xfId="8066"/>
    <cellStyle name="Normal 23 4 33" xfId="8317"/>
    <cellStyle name="Normal 23 4 34" xfId="8568"/>
    <cellStyle name="Normal 23 4 35" xfId="8819"/>
    <cellStyle name="Normal 23 4 36" xfId="9070"/>
    <cellStyle name="Normal 23 4 37" xfId="9321"/>
    <cellStyle name="Normal 23 4 38" xfId="9572"/>
    <cellStyle name="Normal 23 4 39" xfId="9823"/>
    <cellStyle name="Normal 23 4 4" xfId="1022"/>
    <cellStyle name="Normal 23 4 40" xfId="10074"/>
    <cellStyle name="Normal 23 4 41" xfId="10325"/>
    <cellStyle name="Normal 23 4 42" xfId="10576"/>
    <cellStyle name="Normal 23 4 43" xfId="10827"/>
    <cellStyle name="Normal 23 4 44" xfId="11078"/>
    <cellStyle name="Normal 23 4 45" xfId="11329"/>
    <cellStyle name="Normal 23 4 46" xfId="11580"/>
    <cellStyle name="Normal 23 4 47" xfId="11831"/>
    <cellStyle name="Normal 23 4 48" xfId="12082"/>
    <cellStyle name="Normal 23 4 49" xfId="12333"/>
    <cellStyle name="Normal 23 4 5" xfId="1278"/>
    <cellStyle name="Normal 23 4 50" xfId="12584"/>
    <cellStyle name="Normal 23 4 51" xfId="12835"/>
    <cellStyle name="Normal 23 4 52" xfId="13086"/>
    <cellStyle name="Normal 23 4 53" xfId="13337"/>
    <cellStyle name="Normal 23 4 54" xfId="13588"/>
    <cellStyle name="Normal 23 4 55" xfId="13839"/>
    <cellStyle name="Normal 23 4 56" xfId="14090"/>
    <cellStyle name="Normal 23 4 57" xfId="14341"/>
    <cellStyle name="Normal 23 4 58" xfId="14592"/>
    <cellStyle name="Normal 23 4 59" xfId="14843"/>
    <cellStyle name="Normal 23 4 6" xfId="1532"/>
    <cellStyle name="Normal 23 4 60" xfId="15094"/>
    <cellStyle name="Normal 23 4 61" xfId="15344"/>
    <cellStyle name="Normal 23 4 62" xfId="15594"/>
    <cellStyle name="Normal 23 4 63" xfId="15843"/>
    <cellStyle name="Normal 23 4 64" xfId="16099"/>
    <cellStyle name="Normal 23 4 65" xfId="16350"/>
    <cellStyle name="Normal 23 4 66" xfId="16601"/>
    <cellStyle name="Normal 23 4 67" xfId="16852"/>
    <cellStyle name="Normal 23 4 68" xfId="17103"/>
    <cellStyle name="Normal 23 4 69" xfId="17354"/>
    <cellStyle name="Normal 23 4 7" xfId="1785"/>
    <cellStyle name="Normal 23 4 70" xfId="17605"/>
    <cellStyle name="Normal 23 4 71" xfId="17856"/>
    <cellStyle name="Normal 23 4 72" xfId="18107"/>
    <cellStyle name="Normal 23 4 73" xfId="18358"/>
    <cellStyle name="Normal 23 4 74" xfId="18609"/>
    <cellStyle name="Normal 23 4 75" xfId="18860"/>
    <cellStyle name="Normal 23 4 76" xfId="19110"/>
    <cellStyle name="Normal 23 4 77" xfId="19362"/>
    <cellStyle name="Normal 23 4 78" xfId="19612"/>
    <cellStyle name="Normal 23 4 79" xfId="19868"/>
    <cellStyle name="Normal 23 4 8" xfId="2042"/>
    <cellStyle name="Normal 23 4 80" xfId="20120"/>
    <cellStyle name="Normal 23 4 81" xfId="20372"/>
    <cellStyle name="Normal 23 4 82" xfId="20624"/>
    <cellStyle name="Normal 23 4 83" xfId="20874"/>
    <cellStyle name="Normal 23 4 84" xfId="21124"/>
    <cellStyle name="Normal 23 4 85" xfId="21372"/>
    <cellStyle name="Normal 23 4 86" xfId="21616"/>
    <cellStyle name="Normal 23 4 87" xfId="21859"/>
    <cellStyle name="Normal 23 4 88" xfId="22100"/>
    <cellStyle name="Normal 23 4 9" xfId="2293"/>
    <cellStyle name="Normal 23 40" xfId="9152"/>
    <cellStyle name="Normal 23 41" xfId="9403"/>
    <cellStyle name="Normal 23 42" xfId="9654"/>
    <cellStyle name="Normal 23 43" xfId="9905"/>
    <cellStyle name="Normal 23 44" xfId="10156"/>
    <cellStyle name="Normal 23 45" xfId="10407"/>
    <cellStyle name="Normal 23 46" xfId="10658"/>
    <cellStyle name="Normal 23 47" xfId="10909"/>
    <cellStyle name="Normal 23 48" xfId="11160"/>
    <cellStyle name="Normal 23 49" xfId="11411"/>
    <cellStyle name="Normal 23 5" xfId="353"/>
    <cellStyle name="Normal 23 50" xfId="11662"/>
    <cellStyle name="Normal 23 51" xfId="11913"/>
    <cellStyle name="Normal 23 52" xfId="12164"/>
    <cellStyle name="Normal 23 53" xfId="12415"/>
    <cellStyle name="Normal 23 54" xfId="12666"/>
    <cellStyle name="Normal 23 55" xfId="12917"/>
    <cellStyle name="Normal 23 56" xfId="13168"/>
    <cellStyle name="Normal 23 57" xfId="13419"/>
    <cellStyle name="Normal 23 58" xfId="13670"/>
    <cellStyle name="Normal 23 59" xfId="13921"/>
    <cellStyle name="Normal 23 6" xfId="602"/>
    <cellStyle name="Normal 23 60" xfId="14172"/>
    <cellStyle name="Normal 23 61" xfId="14423"/>
    <cellStyle name="Normal 23 62" xfId="14674"/>
    <cellStyle name="Normal 23 63" xfId="14924"/>
    <cellStyle name="Normal 23 64" xfId="15175"/>
    <cellStyle name="Normal 23 65" xfId="15426"/>
    <cellStyle name="Normal 23 66" xfId="15673"/>
    <cellStyle name="Normal 23 67" xfId="15930"/>
    <cellStyle name="Normal 23 68" xfId="16181"/>
    <cellStyle name="Normal 23 69" xfId="16432"/>
    <cellStyle name="Normal 23 7" xfId="855"/>
    <cellStyle name="Normal 23 70" xfId="16683"/>
    <cellStyle name="Normal 23 71" xfId="16934"/>
    <cellStyle name="Normal 23 72" xfId="17185"/>
    <cellStyle name="Normal 23 73" xfId="17436"/>
    <cellStyle name="Normal 23 74" xfId="17687"/>
    <cellStyle name="Normal 23 75" xfId="17938"/>
    <cellStyle name="Normal 23 76" xfId="18189"/>
    <cellStyle name="Normal 23 77" xfId="18440"/>
    <cellStyle name="Normal 23 78" xfId="18690"/>
    <cellStyle name="Normal 23 79" xfId="18941"/>
    <cellStyle name="Normal 23 8" xfId="1110"/>
    <cellStyle name="Normal 23 80" xfId="19192"/>
    <cellStyle name="Normal 23 81" xfId="19442"/>
    <cellStyle name="Normal 23 82" xfId="19698"/>
    <cellStyle name="Normal 23 83" xfId="19950"/>
    <cellStyle name="Normal 23 84" xfId="20202"/>
    <cellStyle name="Normal 23 85" xfId="20454"/>
    <cellStyle name="Normal 23 86" xfId="20704"/>
    <cellStyle name="Normal 23 87" xfId="20954"/>
    <cellStyle name="Normal 23 88" xfId="21205"/>
    <cellStyle name="Normal 23 89" xfId="21449"/>
    <cellStyle name="Normal 23 9" xfId="1363"/>
    <cellStyle name="Normal 23 90" xfId="21693"/>
    <cellStyle name="Normal 23 91" xfId="21934"/>
    <cellStyle name="Normal 24" xfId="75"/>
    <cellStyle name="Normal 24 10" xfId="1617"/>
    <cellStyle name="Normal 24 11" xfId="1874"/>
    <cellStyle name="Normal 24 12" xfId="2125"/>
    <cellStyle name="Normal 24 13" xfId="2376"/>
    <cellStyle name="Normal 24 14" xfId="2627"/>
    <cellStyle name="Normal 24 14 2" xfId="24082"/>
    <cellStyle name="Normal 24 15" xfId="2878"/>
    <cellStyle name="Normal 24 15 2" xfId="24083"/>
    <cellStyle name="Normal 24 16" xfId="3129"/>
    <cellStyle name="Normal 24 16 2" xfId="24084"/>
    <cellStyle name="Normal 24 17" xfId="3380"/>
    <cellStyle name="Normal 24 17 2" xfId="24085"/>
    <cellStyle name="Normal 24 18" xfId="3631"/>
    <cellStyle name="Normal 24 18 2" xfId="24086"/>
    <cellStyle name="Normal 24 19" xfId="3882"/>
    <cellStyle name="Normal 24 19 2" xfId="24087"/>
    <cellStyle name="Normal 24 2" xfId="108"/>
    <cellStyle name="Normal 24 2 10" xfId="1907"/>
    <cellStyle name="Normal 24 2 11" xfId="2158"/>
    <cellStyle name="Normal 24 2 12" xfId="2409"/>
    <cellStyle name="Normal 24 2 13" xfId="2660"/>
    <cellStyle name="Normal 24 2 14" xfId="2911"/>
    <cellStyle name="Normal 24 2 15" xfId="3162"/>
    <cellStyle name="Normal 24 2 16" xfId="3413"/>
    <cellStyle name="Normal 24 2 17" xfId="3664"/>
    <cellStyle name="Normal 24 2 18" xfId="3915"/>
    <cellStyle name="Normal 24 2 19" xfId="4166"/>
    <cellStyle name="Normal 24 2 2" xfId="202"/>
    <cellStyle name="Normal 24 2 2 10" xfId="2502"/>
    <cellStyle name="Normal 24 2 2 11" xfId="2753"/>
    <cellStyle name="Normal 24 2 2 12" xfId="3004"/>
    <cellStyle name="Normal 24 2 2 13" xfId="3255"/>
    <cellStyle name="Normal 24 2 2 14" xfId="3506"/>
    <cellStyle name="Normal 24 2 2 15" xfId="3757"/>
    <cellStyle name="Normal 24 2 2 16" xfId="4008"/>
    <cellStyle name="Normal 24 2 2 17" xfId="4259"/>
    <cellStyle name="Normal 24 2 2 18" xfId="4510"/>
    <cellStyle name="Normal 24 2 2 19" xfId="4761"/>
    <cellStyle name="Normal 24 2 2 2" xfId="479"/>
    <cellStyle name="Normal 24 2 2 20" xfId="5012"/>
    <cellStyle name="Normal 24 2 2 21" xfId="5263"/>
    <cellStyle name="Normal 24 2 2 22" xfId="5514"/>
    <cellStyle name="Normal 24 2 2 23" xfId="5765"/>
    <cellStyle name="Normal 24 2 2 24" xfId="6016"/>
    <cellStyle name="Normal 24 2 2 25" xfId="6267"/>
    <cellStyle name="Normal 24 2 2 26" xfId="6518"/>
    <cellStyle name="Normal 24 2 2 27" xfId="6769"/>
    <cellStyle name="Normal 24 2 2 28" xfId="7020"/>
    <cellStyle name="Normal 24 2 2 29" xfId="7271"/>
    <cellStyle name="Normal 24 2 2 3" xfId="729"/>
    <cellStyle name="Normal 24 2 2 30" xfId="7522"/>
    <cellStyle name="Normal 24 2 2 31" xfId="7773"/>
    <cellStyle name="Normal 24 2 2 32" xfId="8024"/>
    <cellStyle name="Normal 24 2 2 33" xfId="8275"/>
    <cellStyle name="Normal 24 2 2 34" xfId="8526"/>
    <cellStyle name="Normal 24 2 2 35" xfId="8777"/>
    <cellStyle name="Normal 24 2 2 36" xfId="9028"/>
    <cellStyle name="Normal 24 2 2 37" xfId="9279"/>
    <cellStyle name="Normal 24 2 2 38" xfId="9530"/>
    <cellStyle name="Normal 24 2 2 39" xfId="9781"/>
    <cellStyle name="Normal 24 2 2 4" xfId="982"/>
    <cellStyle name="Normal 24 2 2 40" xfId="10032"/>
    <cellStyle name="Normal 24 2 2 41" xfId="10283"/>
    <cellStyle name="Normal 24 2 2 42" xfId="10534"/>
    <cellStyle name="Normal 24 2 2 43" xfId="10785"/>
    <cellStyle name="Normal 24 2 2 44" xfId="11036"/>
    <cellStyle name="Normal 24 2 2 45" xfId="11287"/>
    <cellStyle name="Normal 24 2 2 46" xfId="11538"/>
    <cellStyle name="Normal 24 2 2 47" xfId="11789"/>
    <cellStyle name="Normal 24 2 2 48" xfId="12040"/>
    <cellStyle name="Normal 24 2 2 49" xfId="12291"/>
    <cellStyle name="Normal 24 2 2 5" xfId="1237"/>
    <cellStyle name="Normal 24 2 2 50" xfId="12542"/>
    <cellStyle name="Normal 24 2 2 51" xfId="12793"/>
    <cellStyle name="Normal 24 2 2 52" xfId="13044"/>
    <cellStyle name="Normal 24 2 2 53" xfId="13295"/>
    <cellStyle name="Normal 24 2 2 54" xfId="13546"/>
    <cellStyle name="Normal 24 2 2 55" xfId="13797"/>
    <cellStyle name="Normal 24 2 2 56" xfId="14048"/>
    <cellStyle name="Normal 24 2 2 57" xfId="14299"/>
    <cellStyle name="Normal 24 2 2 58" xfId="14550"/>
    <cellStyle name="Normal 24 2 2 59" xfId="14801"/>
    <cellStyle name="Normal 24 2 2 6" xfId="1490"/>
    <cellStyle name="Normal 24 2 2 60" xfId="15052"/>
    <cellStyle name="Normal 24 2 2 61" xfId="15302"/>
    <cellStyle name="Normal 24 2 2 62" xfId="15553"/>
    <cellStyle name="Normal 24 2 2 63" xfId="15801"/>
    <cellStyle name="Normal 24 2 2 64" xfId="16057"/>
    <cellStyle name="Normal 24 2 2 65" xfId="16308"/>
    <cellStyle name="Normal 24 2 2 66" xfId="16559"/>
    <cellStyle name="Normal 24 2 2 67" xfId="16810"/>
    <cellStyle name="Normal 24 2 2 68" xfId="17061"/>
    <cellStyle name="Normal 24 2 2 69" xfId="17312"/>
    <cellStyle name="Normal 24 2 2 7" xfId="1744"/>
    <cellStyle name="Normal 24 2 2 70" xfId="17563"/>
    <cellStyle name="Normal 24 2 2 71" xfId="17814"/>
    <cellStyle name="Normal 24 2 2 72" xfId="18065"/>
    <cellStyle name="Normal 24 2 2 73" xfId="18316"/>
    <cellStyle name="Normal 24 2 2 74" xfId="18567"/>
    <cellStyle name="Normal 24 2 2 75" xfId="18818"/>
    <cellStyle name="Normal 24 2 2 76" xfId="19068"/>
    <cellStyle name="Normal 24 2 2 77" xfId="19320"/>
    <cellStyle name="Normal 24 2 2 78" xfId="19570"/>
    <cellStyle name="Normal 24 2 2 79" xfId="19826"/>
    <cellStyle name="Normal 24 2 2 8" xfId="2000"/>
    <cellStyle name="Normal 24 2 2 80" xfId="20078"/>
    <cellStyle name="Normal 24 2 2 81" xfId="20330"/>
    <cellStyle name="Normal 24 2 2 82" xfId="20582"/>
    <cellStyle name="Normal 24 2 2 83" xfId="20832"/>
    <cellStyle name="Normal 24 2 2 84" xfId="21082"/>
    <cellStyle name="Normal 24 2 2 85" xfId="21331"/>
    <cellStyle name="Normal 24 2 2 86" xfId="21575"/>
    <cellStyle name="Normal 24 2 2 87" xfId="21819"/>
    <cellStyle name="Normal 24 2 2 88" xfId="22060"/>
    <cellStyle name="Normal 24 2 2 9" xfId="2251"/>
    <cellStyle name="Normal 24 2 20" xfId="4417"/>
    <cellStyle name="Normal 24 2 21" xfId="4668"/>
    <cellStyle name="Normal 24 2 22" xfId="4919"/>
    <cellStyle name="Normal 24 2 23" xfId="5170"/>
    <cellStyle name="Normal 24 2 24" xfId="5421"/>
    <cellStyle name="Normal 24 2 25" xfId="5672"/>
    <cellStyle name="Normal 24 2 26" xfId="5923"/>
    <cellStyle name="Normal 24 2 27" xfId="6174"/>
    <cellStyle name="Normal 24 2 28" xfId="6425"/>
    <cellStyle name="Normal 24 2 29" xfId="6676"/>
    <cellStyle name="Normal 24 2 3" xfId="278"/>
    <cellStyle name="Normal 24 2 3 10" xfId="2578"/>
    <cellStyle name="Normal 24 2 3 11" xfId="2829"/>
    <cellStyle name="Normal 24 2 3 12" xfId="3080"/>
    <cellStyle name="Normal 24 2 3 13" xfId="3331"/>
    <cellStyle name="Normal 24 2 3 14" xfId="3582"/>
    <cellStyle name="Normal 24 2 3 15" xfId="3833"/>
    <cellStyle name="Normal 24 2 3 16" xfId="4084"/>
    <cellStyle name="Normal 24 2 3 17" xfId="4335"/>
    <cellStyle name="Normal 24 2 3 18" xfId="4586"/>
    <cellStyle name="Normal 24 2 3 19" xfId="4837"/>
    <cellStyle name="Normal 24 2 3 2" xfId="553"/>
    <cellStyle name="Normal 24 2 3 20" xfId="5088"/>
    <cellStyle name="Normal 24 2 3 21" xfId="5339"/>
    <cellStyle name="Normal 24 2 3 22" xfId="5590"/>
    <cellStyle name="Normal 24 2 3 23" xfId="5841"/>
    <cellStyle name="Normal 24 2 3 24" xfId="6092"/>
    <cellStyle name="Normal 24 2 3 25" xfId="6343"/>
    <cellStyle name="Normal 24 2 3 26" xfId="6594"/>
    <cellStyle name="Normal 24 2 3 27" xfId="6845"/>
    <cellStyle name="Normal 24 2 3 28" xfId="7096"/>
    <cellStyle name="Normal 24 2 3 29" xfId="7347"/>
    <cellStyle name="Normal 24 2 3 3" xfId="803"/>
    <cellStyle name="Normal 24 2 3 30" xfId="7598"/>
    <cellStyle name="Normal 24 2 3 31" xfId="7849"/>
    <cellStyle name="Normal 24 2 3 32" xfId="8100"/>
    <cellStyle name="Normal 24 2 3 33" xfId="8351"/>
    <cellStyle name="Normal 24 2 3 34" xfId="8602"/>
    <cellStyle name="Normal 24 2 3 35" xfId="8853"/>
    <cellStyle name="Normal 24 2 3 36" xfId="9104"/>
    <cellStyle name="Normal 24 2 3 37" xfId="9355"/>
    <cellStyle name="Normal 24 2 3 38" xfId="9606"/>
    <cellStyle name="Normal 24 2 3 39" xfId="9857"/>
    <cellStyle name="Normal 24 2 3 4" xfId="1055"/>
    <cellStyle name="Normal 24 2 3 40" xfId="10108"/>
    <cellStyle name="Normal 24 2 3 41" xfId="10359"/>
    <cellStyle name="Normal 24 2 3 42" xfId="10610"/>
    <cellStyle name="Normal 24 2 3 43" xfId="10861"/>
    <cellStyle name="Normal 24 2 3 44" xfId="11112"/>
    <cellStyle name="Normal 24 2 3 45" xfId="11363"/>
    <cellStyle name="Normal 24 2 3 46" xfId="11614"/>
    <cellStyle name="Normal 24 2 3 47" xfId="11865"/>
    <cellStyle name="Normal 24 2 3 48" xfId="12116"/>
    <cellStyle name="Normal 24 2 3 49" xfId="12367"/>
    <cellStyle name="Normal 24 2 3 5" xfId="1311"/>
    <cellStyle name="Normal 24 2 3 50" xfId="12618"/>
    <cellStyle name="Normal 24 2 3 51" xfId="12869"/>
    <cellStyle name="Normal 24 2 3 52" xfId="13120"/>
    <cellStyle name="Normal 24 2 3 53" xfId="13371"/>
    <cellStyle name="Normal 24 2 3 54" xfId="13622"/>
    <cellStyle name="Normal 24 2 3 55" xfId="13873"/>
    <cellStyle name="Normal 24 2 3 56" xfId="14124"/>
    <cellStyle name="Normal 24 2 3 57" xfId="14375"/>
    <cellStyle name="Normal 24 2 3 58" xfId="14626"/>
    <cellStyle name="Normal 24 2 3 59" xfId="14877"/>
    <cellStyle name="Normal 24 2 3 6" xfId="1566"/>
    <cellStyle name="Normal 24 2 3 60" xfId="15128"/>
    <cellStyle name="Normal 24 2 3 61" xfId="15378"/>
    <cellStyle name="Normal 24 2 3 62" xfId="15627"/>
    <cellStyle name="Normal 24 2 3 63" xfId="15877"/>
    <cellStyle name="Normal 24 2 3 64" xfId="16133"/>
    <cellStyle name="Normal 24 2 3 65" xfId="16384"/>
    <cellStyle name="Normal 24 2 3 66" xfId="16635"/>
    <cellStyle name="Normal 24 2 3 67" xfId="16886"/>
    <cellStyle name="Normal 24 2 3 68" xfId="17137"/>
    <cellStyle name="Normal 24 2 3 69" xfId="17388"/>
    <cellStyle name="Normal 24 2 3 7" xfId="1819"/>
    <cellStyle name="Normal 24 2 3 70" xfId="17639"/>
    <cellStyle name="Normal 24 2 3 71" xfId="17890"/>
    <cellStyle name="Normal 24 2 3 72" xfId="18141"/>
    <cellStyle name="Normal 24 2 3 73" xfId="18392"/>
    <cellStyle name="Normal 24 2 3 74" xfId="18643"/>
    <cellStyle name="Normal 24 2 3 75" xfId="18894"/>
    <cellStyle name="Normal 24 2 3 76" xfId="19144"/>
    <cellStyle name="Normal 24 2 3 77" xfId="19395"/>
    <cellStyle name="Normal 24 2 3 78" xfId="19646"/>
    <cellStyle name="Normal 24 2 3 79" xfId="19902"/>
    <cellStyle name="Normal 24 2 3 8" xfId="2076"/>
    <cellStyle name="Normal 24 2 3 80" xfId="20154"/>
    <cellStyle name="Normal 24 2 3 81" xfId="20406"/>
    <cellStyle name="Normal 24 2 3 82" xfId="20658"/>
    <cellStyle name="Normal 24 2 3 83" xfId="20908"/>
    <cellStyle name="Normal 24 2 3 84" xfId="21157"/>
    <cellStyle name="Normal 24 2 3 85" xfId="21405"/>
    <cellStyle name="Normal 24 2 3 86" xfId="21649"/>
    <cellStyle name="Normal 24 2 3 87" xfId="21891"/>
    <cellStyle name="Normal 24 2 3 88" xfId="22132"/>
    <cellStyle name="Normal 24 2 3 9" xfId="2327"/>
    <cellStyle name="Normal 24 2 30" xfId="6927"/>
    <cellStyle name="Normal 24 2 31" xfId="7178"/>
    <cellStyle name="Normal 24 2 32" xfId="7429"/>
    <cellStyle name="Normal 24 2 33" xfId="7680"/>
    <cellStyle name="Normal 24 2 34" xfId="7931"/>
    <cellStyle name="Normal 24 2 35" xfId="8182"/>
    <cellStyle name="Normal 24 2 36" xfId="8433"/>
    <cellStyle name="Normal 24 2 37" xfId="8684"/>
    <cellStyle name="Normal 24 2 38" xfId="8935"/>
    <cellStyle name="Normal 24 2 39" xfId="9186"/>
    <cellStyle name="Normal 24 2 4" xfId="387"/>
    <cellStyle name="Normal 24 2 40" xfId="9437"/>
    <cellStyle name="Normal 24 2 41" xfId="9688"/>
    <cellStyle name="Normal 24 2 42" xfId="9939"/>
    <cellStyle name="Normal 24 2 43" xfId="10190"/>
    <cellStyle name="Normal 24 2 44" xfId="10441"/>
    <cellStyle name="Normal 24 2 45" xfId="10692"/>
    <cellStyle name="Normal 24 2 46" xfId="10943"/>
    <cellStyle name="Normal 24 2 47" xfId="11194"/>
    <cellStyle name="Normal 24 2 48" xfId="11445"/>
    <cellStyle name="Normal 24 2 49" xfId="11696"/>
    <cellStyle name="Normal 24 2 5" xfId="636"/>
    <cellStyle name="Normal 24 2 50" xfId="11947"/>
    <cellStyle name="Normal 24 2 51" xfId="12198"/>
    <cellStyle name="Normal 24 2 52" xfId="12449"/>
    <cellStyle name="Normal 24 2 53" xfId="12700"/>
    <cellStyle name="Normal 24 2 54" xfId="12951"/>
    <cellStyle name="Normal 24 2 55" xfId="13202"/>
    <cellStyle name="Normal 24 2 56" xfId="13453"/>
    <cellStyle name="Normal 24 2 57" xfId="13704"/>
    <cellStyle name="Normal 24 2 58" xfId="13955"/>
    <cellStyle name="Normal 24 2 59" xfId="14206"/>
    <cellStyle name="Normal 24 2 6" xfId="889"/>
    <cellStyle name="Normal 24 2 60" xfId="14457"/>
    <cellStyle name="Normal 24 2 61" xfId="14708"/>
    <cellStyle name="Normal 24 2 62" xfId="14958"/>
    <cellStyle name="Normal 24 2 63" xfId="15209"/>
    <cellStyle name="Normal 24 2 64" xfId="15460"/>
    <cellStyle name="Normal 24 2 65" xfId="15707"/>
    <cellStyle name="Normal 24 2 66" xfId="15964"/>
    <cellStyle name="Normal 24 2 67" xfId="16215"/>
    <cellStyle name="Normal 24 2 68" xfId="16466"/>
    <cellStyle name="Normal 24 2 69" xfId="16717"/>
    <cellStyle name="Normal 24 2 7" xfId="1144"/>
    <cellStyle name="Normal 24 2 70" xfId="16968"/>
    <cellStyle name="Normal 24 2 71" xfId="17219"/>
    <cellStyle name="Normal 24 2 72" xfId="17470"/>
    <cellStyle name="Normal 24 2 73" xfId="17721"/>
    <cellStyle name="Normal 24 2 74" xfId="17972"/>
    <cellStyle name="Normal 24 2 75" xfId="18223"/>
    <cellStyle name="Normal 24 2 76" xfId="18474"/>
    <cellStyle name="Normal 24 2 77" xfId="18724"/>
    <cellStyle name="Normal 24 2 78" xfId="18975"/>
    <cellStyle name="Normal 24 2 79" xfId="19226"/>
    <cellStyle name="Normal 24 2 8" xfId="1397"/>
    <cellStyle name="Normal 24 2 80" xfId="19476"/>
    <cellStyle name="Normal 24 2 81" xfId="19732"/>
    <cellStyle name="Normal 24 2 82" xfId="19984"/>
    <cellStyle name="Normal 24 2 83" xfId="20236"/>
    <cellStyle name="Normal 24 2 84" xfId="20488"/>
    <cellStyle name="Normal 24 2 85" xfId="20738"/>
    <cellStyle name="Normal 24 2 86" xfId="20988"/>
    <cellStyle name="Normal 24 2 87" xfId="21239"/>
    <cellStyle name="Normal 24 2 88" xfId="21483"/>
    <cellStyle name="Normal 24 2 89" xfId="21727"/>
    <cellStyle name="Normal 24 2 9" xfId="1650"/>
    <cellStyle name="Normal 24 2 90" xfId="21968"/>
    <cellStyle name="Normal 24 20" xfId="4133"/>
    <cellStyle name="Normal 24 20 2" xfId="24088"/>
    <cellStyle name="Normal 24 21" xfId="4384"/>
    <cellStyle name="Normal 24 22" xfId="4635"/>
    <cellStyle name="Normal 24 23" xfId="4886"/>
    <cellStyle name="Normal 24 24" xfId="5137"/>
    <cellStyle name="Normal 24 25" xfId="5388"/>
    <cellStyle name="Normal 24 26" xfId="5639"/>
    <cellStyle name="Normal 24 27" xfId="5890"/>
    <cellStyle name="Normal 24 27 2" xfId="24089"/>
    <cellStyle name="Normal 24 28" xfId="6141"/>
    <cellStyle name="Normal 24 29" xfId="6392"/>
    <cellStyle name="Normal 24 3" xfId="169"/>
    <cellStyle name="Normal 24 3 10" xfId="2469"/>
    <cellStyle name="Normal 24 3 11" xfId="2720"/>
    <cellStyle name="Normal 24 3 12" xfId="2971"/>
    <cellStyle name="Normal 24 3 13" xfId="3222"/>
    <cellStyle name="Normal 24 3 14" xfId="3473"/>
    <cellStyle name="Normal 24 3 15" xfId="3724"/>
    <cellStyle name="Normal 24 3 16" xfId="3975"/>
    <cellStyle name="Normal 24 3 17" xfId="4226"/>
    <cellStyle name="Normal 24 3 18" xfId="4477"/>
    <cellStyle name="Normal 24 3 19" xfId="4728"/>
    <cellStyle name="Normal 24 3 2" xfId="446"/>
    <cellStyle name="Normal 24 3 20" xfId="4979"/>
    <cellStyle name="Normal 24 3 21" xfId="5230"/>
    <cellStyle name="Normal 24 3 22" xfId="5481"/>
    <cellStyle name="Normal 24 3 23" xfId="5732"/>
    <cellStyle name="Normal 24 3 24" xfId="5983"/>
    <cellStyle name="Normal 24 3 25" xfId="6234"/>
    <cellStyle name="Normal 24 3 26" xfId="6485"/>
    <cellStyle name="Normal 24 3 27" xfId="6736"/>
    <cellStyle name="Normal 24 3 28" xfId="6987"/>
    <cellStyle name="Normal 24 3 29" xfId="7238"/>
    <cellStyle name="Normal 24 3 3" xfId="696"/>
    <cellStyle name="Normal 24 3 30" xfId="7489"/>
    <cellStyle name="Normal 24 3 31" xfId="7740"/>
    <cellStyle name="Normal 24 3 32" xfId="7991"/>
    <cellStyle name="Normal 24 3 33" xfId="8242"/>
    <cellStyle name="Normal 24 3 34" xfId="8493"/>
    <cellStyle name="Normal 24 3 35" xfId="8744"/>
    <cellStyle name="Normal 24 3 36" xfId="8995"/>
    <cellStyle name="Normal 24 3 37" xfId="9246"/>
    <cellStyle name="Normal 24 3 38" xfId="9497"/>
    <cellStyle name="Normal 24 3 39" xfId="9748"/>
    <cellStyle name="Normal 24 3 4" xfId="949"/>
    <cellStyle name="Normal 24 3 40" xfId="9999"/>
    <cellStyle name="Normal 24 3 41" xfId="10250"/>
    <cellStyle name="Normal 24 3 42" xfId="10501"/>
    <cellStyle name="Normal 24 3 43" xfId="10752"/>
    <cellStyle name="Normal 24 3 44" xfId="11003"/>
    <cellStyle name="Normal 24 3 45" xfId="11254"/>
    <cellStyle name="Normal 24 3 46" xfId="11505"/>
    <cellStyle name="Normal 24 3 47" xfId="11756"/>
    <cellStyle name="Normal 24 3 48" xfId="12007"/>
    <cellStyle name="Normal 24 3 49" xfId="12258"/>
    <cellStyle name="Normal 24 3 5" xfId="1204"/>
    <cellStyle name="Normal 24 3 50" xfId="12509"/>
    <cellStyle name="Normal 24 3 51" xfId="12760"/>
    <cellStyle name="Normal 24 3 52" xfId="13011"/>
    <cellStyle name="Normal 24 3 53" xfId="13262"/>
    <cellStyle name="Normal 24 3 54" xfId="13513"/>
    <cellStyle name="Normal 24 3 55" xfId="13764"/>
    <cellStyle name="Normal 24 3 56" xfId="14015"/>
    <cellStyle name="Normal 24 3 57" xfId="14266"/>
    <cellStyle name="Normal 24 3 58" xfId="14517"/>
    <cellStyle name="Normal 24 3 59" xfId="14768"/>
    <cellStyle name="Normal 24 3 6" xfId="1457"/>
    <cellStyle name="Normal 24 3 60" xfId="15019"/>
    <cellStyle name="Normal 24 3 61" xfId="15269"/>
    <cellStyle name="Normal 24 3 62" xfId="15520"/>
    <cellStyle name="Normal 24 3 63" xfId="15768"/>
    <cellStyle name="Normal 24 3 64" xfId="16024"/>
    <cellStyle name="Normal 24 3 65" xfId="16275"/>
    <cellStyle name="Normal 24 3 66" xfId="16526"/>
    <cellStyle name="Normal 24 3 67" xfId="16777"/>
    <cellStyle name="Normal 24 3 68" xfId="17028"/>
    <cellStyle name="Normal 24 3 69" xfId="17279"/>
    <cellStyle name="Normal 24 3 7" xfId="1711"/>
    <cellStyle name="Normal 24 3 70" xfId="17530"/>
    <cellStyle name="Normal 24 3 71" xfId="17781"/>
    <cellStyle name="Normal 24 3 72" xfId="18032"/>
    <cellStyle name="Normal 24 3 73" xfId="18283"/>
    <cellStyle name="Normal 24 3 74" xfId="18534"/>
    <cellStyle name="Normal 24 3 75" xfId="18785"/>
    <cellStyle name="Normal 24 3 76" xfId="19035"/>
    <cellStyle name="Normal 24 3 77" xfId="19287"/>
    <cellStyle name="Normal 24 3 78" xfId="19537"/>
    <cellStyle name="Normal 24 3 79" xfId="19793"/>
    <cellStyle name="Normal 24 3 8" xfId="1967"/>
    <cellStyle name="Normal 24 3 80" xfId="20045"/>
    <cellStyle name="Normal 24 3 81" xfId="20297"/>
    <cellStyle name="Normal 24 3 82" xfId="20549"/>
    <cellStyle name="Normal 24 3 83" xfId="20799"/>
    <cellStyle name="Normal 24 3 84" xfId="21049"/>
    <cellStyle name="Normal 24 3 85" xfId="21298"/>
    <cellStyle name="Normal 24 3 86" xfId="21542"/>
    <cellStyle name="Normal 24 3 87" xfId="21786"/>
    <cellStyle name="Normal 24 3 88" xfId="22027"/>
    <cellStyle name="Normal 24 3 9" xfId="2218"/>
    <cellStyle name="Normal 24 30" xfId="6643"/>
    <cellStyle name="Normal 24 31" xfId="6894"/>
    <cellStyle name="Normal 24 32" xfId="7145"/>
    <cellStyle name="Normal 24 33" xfId="7396"/>
    <cellStyle name="Normal 24 34" xfId="7647"/>
    <cellStyle name="Normal 24 35" xfId="7898"/>
    <cellStyle name="Normal 24 36" xfId="8149"/>
    <cellStyle name="Normal 24 37" xfId="8400"/>
    <cellStyle name="Normal 24 38" xfId="8651"/>
    <cellStyle name="Normal 24 39" xfId="8902"/>
    <cellStyle name="Normal 24 4" xfId="245"/>
    <cellStyle name="Normal 24 4 10" xfId="2545"/>
    <cellStyle name="Normal 24 4 11" xfId="2796"/>
    <cellStyle name="Normal 24 4 12" xfId="3047"/>
    <cellStyle name="Normal 24 4 13" xfId="3298"/>
    <cellStyle name="Normal 24 4 14" xfId="3549"/>
    <cellStyle name="Normal 24 4 15" xfId="3800"/>
    <cellStyle name="Normal 24 4 16" xfId="4051"/>
    <cellStyle name="Normal 24 4 17" xfId="4302"/>
    <cellStyle name="Normal 24 4 18" xfId="4553"/>
    <cellStyle name="Normal 24 4 19" xfId="4804"/>
    <cellStyle name="Normal 24 4 2" xfId="521"/>
    <cellStyle name="Normal 24 4 20" xfId="5055"/>
    <cellStyle name="Normal 24 4 21" xfId="5306"/>
    <cellStyle name="Normal 24 4 22" xfId="5557"/>
    <cellStyle name="Normal 24 4 23" xfId="5808"/>
    <cellStyle name="Normal 24 4 24" xfId="6059"/>
    <cellStyle name="Normal 24 4 25" xfId="6310"/>
    <cellStyle name="Normal 24 4 26" xfId="6561"/>
    <cellStyle name="Normal 24 4 27" xfId="6812"/>
    <cellStyle name="Normal 24 4 28" xfId="7063"/>
    <cellStyle name="Normal 24 4 29" xfId="7314"/>
    <cellStyle name="Normal 24 4 3" xfId="771"/>
    <cellStyle name="Normal 24 4 30" xfId="7565"/>
    <cellStyle name="Normal 24 4 31" xfId="7816"/>
    <cellStyle name="Normal 24 4 32" xfId="8067"/>
    <cellStyle name="Normal 24 4 33" xfId="8318"/>
    <cellStyle name="Normal 24 4 34" xfId="8569"/>
    <cellStyle name="Normal 24 4 35" xfId="8820"/>
    <cellStyle name="Normal 24 4 36" xfId="9071"/>
    <cellStyle name="Normal 24 4 37" xfId="9322"/>
    <cellStyle name="Normal 24 4 38" xfId="9573"/>
    <cellStyle name="Normal 24 4 39" xfId="9824"/>
    <cellStyle name="Normal 24 4 4" xfId="1023"/>
    <cellStyle name="Normal 24 4 40" xfId="10075"/>
    <cellStyle name="Normal 24 4 41" xfId="10326"/>
    <cellStyle name="Normal 24 4 42" xfId="10577"/>
    <cellStyle name="Normal 24 4 43" xfId="10828"/>
    <cellStyle name="Normal 24 4 44" xfId="11079"/>
    <cellStyle name="Normal 24 4 45" xfId="11330"/>
    <cellStyle name="Normal 24 4 46" xfId="11581"/>
    <cellStyle name="Normal 24 4 47" xfId="11832"/>
    <cellStyle name="Normal 24 4 48" xfId="12083"/>
    <cellStyle name="Normal 24 4 49" xfId="12334"/>
    <cellStyle name="Normal 24 4 5" xfId="1279"/>
    <cellStyle name="Normal 24 4 50" xfId="12585"/>
    <cellStyle name="Normal 24 4 51" xfId="12836"/>
    <cellStyle name="Normal 24 4 52" xfId="13087"/>
    <cellStyle name="Normal 24 4 53" xfId="13338"/>
    <cellStyle name="Normal 24 4 54" xfId="13589"/>
    <cellStyle name="Normal 24 4 55" xfId="13840"/>
    <cellStyle name="Normal 24 4 56" xfId="14091"/>
    <cellStyle name="Normal 24 4 57" xfId="14342"/>
    <cellStyle name="Normal 24 4 58" xfId="14593"/>
    <cellStyle name="Normal 24 4 59" xfId="14844"/>
    <cellStyle name="Normal 24 4 6" xfId="1533"/>
    <cellStyle name="Normal 24 4 60" xfId="15095"/>
    <cellStyle name="Normal 24 4 61" xfId="15345"/>
    <cellStyle name="Normal 24 4 62" xfId="15595"/>
    <cellStyle name="Normal 24 4 63" xfId="15844"/>
    <cellStyle name="Normal 24 4 64" xfId="16100"/>
    <cellStyle name="Normal 24 4 65" xfId="16351"/>
    <cellStyle name="Normal 24 4 66" xfId="16602"/>
    <cellStyle name="Normal 24 4 67" xfId="16853"/>
    <cellStyle name="Normal 24 4 68" xfId="17104"/>
    <cellStyle name="Normal 24 4 69" xfId="17355"/>
    <cellStyle name="Normal 24 4 7" xfId="1786"/>
    <cellStyle name="Normal 24 4 70" xfId="17606"/>
    <cellStyle name="Normal 24 4 71" xfId="17857"/>
    <cellStyle name="Normal 24 4 72" xfId="18108"/>
    <cellStyle name="Normal 24 4 73" xfId="18359"/>
    <cellStyle name="Normal 24 4 74" xfId="18610"/>
    <cellStyle name="Normal 24 4 75" xfId="18861"/>
    <cellStyle name="Normal 24 4 76" xfId="19111"/>
    <cellStyle name="Normal 24 4 77" xfId="19363"/>
    <cellStyle name="Normal 24 4 78" xfId="19613"/>
    <cellStyle name="Normal 24 4 79" xfId="19869"/>
    <cellStyle name="Normal 24 4 8" xfId="2043"/>
    <cellStyle name="Normal 24 4 80" xfId="20121"/>
    <cellStyle name="Normal 24 4 81" xfId="20373"/>
    <cellStyle name="Normal 24 4 82" xfId="20625"/>
    <cellStyle name="Normal 24 4 83" xfId="20875"/>
    <cellStyle name="Normal 24 4 84" xfId="21125"/>
    <cellStyle name="Normal 24 4 85" xfId="21373"/>
    <cellStyle name="Normal 24 4 86" xfId="21617"/>
    <cellStyle name="Normal 24 4 87" xfId="21860"/>
    <cellStyle name="Normal 24 4 88" xfId="22101"/>
    <cellStyle name="Normal 24 4 9" xfId="2294"/>
    <cellStyle name="Normal 24 40" xfId="9153"/>
    <cellStyle name="Normal 24 41" xfId="9404"/>
    <cellStyle name="Normal 24 42" xfId="9655"/>
    <cellStyle name="Normal 24 43" xfId="9906"/>
    <cellStyle name="Normal 24 44" xfId="10157"/>
    <cellStyle name="Normal 24 45" xfId="10408"/>
    <cellStyle name="Normal 24 46" xfId="10659"/>
    <cellStyle name="Normal 24 47" xfId="10910"/>
    <cellStyle name="Normal 24 48" xfId="11161"/>
    <cellStyle name="Normal 24 49" xfId="11412"/>
    <cellStyle name="Normal 24 5" xfId="354"/>
    <cellStyle name="Normal 24 50" xfId="11663"/>
    <cellStyle name="Normal 24 51" xfId="11914"/>
    <cellStyle name="Normal 24 52" xfId="12165"/>
    <cellStyle name="Normal 24 53" xfId="12416"/>
    <cellStyle name="Normal 24 54" xfId="12667"/>
    <cellStyle name="Normal 24 55" xfId="12918"/>
    <cellStyle name="Normal 24 56" xfId="13169"/>
    <cellStyle name="Normal 24 57" xfId="13420"/>
    <cellStyle name="Normal 24 58" xfId="13671"/>
    <cellStyle name="Normal 24 59" xfId="13922"/>
    <cellStyle name="Normal 24 6" xfId="603"/>
    <cellStyle name="Normal 24 60" xfId="14173"/>
    <cellStyle name="Normal 24 61" xfId="14424"/>
    <cellStyle name="Normal 24 62" xfId="14675"/>
    <cellStyle name="Normal 24 63" xfId="14925"/>
    <cellStyle name="Normal 24 64" xfId="15176"/>
    <cellStyle name="Normal 24 65" xfId="15427"/>
    <cellStyle name="Normal 24 66" xfId="15674"/>
    <cellStyle name="Normal 24 67" xfId="15931"/>
    <cellStyle name="Normal 24 68" xfId="16182"/>
    <cellStyle name="Normal 24 69" xfId="16433"/>
    <cellStyle name="Normal 24 7" xfId="856"/>
    <cellStyle name="Normal 24 70" xfId="16684"/>
    <cellStyle name="Normal 24 71" xfId="16935"/>
    <cellStyle name="Normal 24 72" xfId="17186"/>
    <cellStyle name="Normal 24 73" xfId="17437"/>
    <cellStyle name="Normal 24 74" xfId="17688"/>
    <cellStyle name="Normal 24 75" xfId="17939"/>
    <cellStyle name="Normal 24 76" xfId="18190"/>
    <cellStyle name="Normal 24 77" xfId="18441"/>
    <cellStyle name="Normal 24 78" xfId="18691"/>
    <cellStyle name="Normal 24 79" xfId="18942"/>
    <cellStyle name="Normal 24 8" xfId="1111"/>
    <cellStyle name="Normal 24 80" xfId="19193"/>
    <cellStyle name="Normal 24 81" xfId="19443"/>
    <cellStyle name="Normal 24 82" xfId="19699"/>
    <cellStyle name="Normal 24 83" xfId="19951"/>
    <cellStyle name="Normal 24 84" xfId="20203"/>
    <cellStyle name="Normal 24 85" xfId="20455"/>
    <cellStyle name="Normal 24 86" xfId="20705"/>
    <cellStyle name="Normal 24 87" xfId="20955"/>
    <cellStyle name="Normal 24 88" xfId="21206"/>
    <cellStyle name="Normal 24 89" xfId="21450"/>
    <cellStyle name="Normal 24 9" xfId="1364"/>
    <cellStyle name="Normal 24 90" xfId="21694"/>
    <cellStyle name="Normal 24 91" xfId="21935"/>
    <cellStyle name="Normal 25" xfId="138"/>
    <cellStyle name="Normal 25 10" xfId="2439"/>
    <cellStyle name="Normal 25 11" xfId="2690"/>
    <cellStyle name="Normal 25 12" xfId="2941"/>
    <cellStyle name="Normal 25 13" xfId="3192"/>
    <cellStyle name="Normal 25 14" xfId="3443"/>
    <cellStyle name="Normal 25 15" xfId="3694"/>
    <cellStyle name="Normal 25 16" xfId="3945"/>
    <cellStyle name="Normal 25 17" xfId="4196"/>
    <cellStyle name="Normal 25 18" xfId="4447"/>
    <cellStyle name="Normal 25 19" xfId="4698"/>
    <cellStyle name="Normal 25 2" xfId="417"/>
    <cellStyle name="Normal 25 20" xfId="4949"/>
    <cellStyle name="Normal 25 21" xfId="5200"/>
    <cellStyle name="Normal 25 22" xfId="5451"/>
    <cellStyle name="Normal 25 23" xfId="5702"/>
    <cellStyle name="Normal 25 24" xfId="5953"/>
    <cellStyle name="Normal 25 25" xfId="6204"/>
    <cellStyle name="Normal 25 26" xfId="6455"/>
    <cellStyle name="Normal 25 27" xfId="6706"/>
    <cellStyle name="Normal 25 28" xfId="6957"/>
    <cellStyle name="Normal 25 29" xfId="7208"/>
    <cellStyle name="Normal 25 3" xfId="666"/>
    <cellStyle name="Normal 25 30" xfId="7459"/>
    <cellStyle name="Normal 25 31" xfId="7710"/>
    <cellStyle name="Normal 25 32" xfId="7961"/>
    <cellStyle name="Normal 25 33" xfId="8212"/>
    <cellStyle name="Normal 25 34" xfId="8463"/>
    <cellStyle name="Normal 25 35" xfId="8714"/>
    <cellStyle name="Normal 25 36" xfId="8965"/>
    <cellStyle name="Normal 25 37" xfId="9216"/>
    <cellStyle name="Normal 25 38" xfId="9467"/>
    <cellStyle name="Normal 25 39" xfId="9718"/>
    <cellStyle name="Normal 25 4" xfId="919"/>
    <cellStyle name="Normal 25 40" xfId="9969"/>
    <cellStyle name="Normal 25 41" xfId="10220"/>
    <cellStyle name="Normal 25 42" xfId="10471"/>
    <cellStyle name="Normal 25 43" xfId="10722"/>
    <cellStyle name="Normal 25 44" xfId="10973"/>
    <cellStyle name="Normal 25 45" xfId="11224"/>
    <cellStyle name="Normal 25 46" xfId="11475"/>
    <cellStyle name="Normal 25 47" xfId="11726"/>
    <cellStyle name="Normal 25 48" xfId="11977"/>
    <cellStyle name="Normal 25 49" xfId="12228"/>
    <cellStyle name="Normal 25 5" xfId="1174"/>
    <cellStyle name="Normal 25 50" xfId="12479"/>
    <cellStyle name="Normal 25 51" xfId="12730"/>
    <cellStyle name="Normal 25 52" xfId="12981"/>
    <cellStyle name="Normal 25 53" xfId="13232"/>
    <cellStyle name="Normal 25 54" xfId="13483"/>
    <cellStyle name="Normal 25 55" xfId="13734"/>
    <cellStyle name="Normal 25 56" xfId="13985"/>
    <cellStyle name="Normal 25 57" xfId="14236"/>
    <cellStyle name="Normal 25 58" xfId="14487"/>
    <cellStyle name="Normal 25 59" xfId="14738"/>
    <cellStyle name="Normal 25 6" xfId="1427"/>
    <cellStyle name="Normal 25 60" xfId="14988"/>
    <cellStyle name="Normal 25 61" xfId="15239"/>
    <cellStyle name="Normal 25 62" xfId="15490"/>
    <cellStyle name="Normal 25 63" xfId="15737"/>
    <cellStyle name="Normal 25 64" xfId="15994"/>
    <cellStyle name="Normal 25 65" xfId="16245"/>
    <cellStyle name="Normal 25 66" xfId="16496"/>
    <cellStyle name="Normal 25 67" xfId="16747"/>
    <cellStyle name="Normal 25 68" xfId="16998"/>
    <cellStyle name="Normal 25 69" xfId="17249"/>
    <cellStyle name="Normal 25 7" xfId="1680"/>
    <cellStyle name="Normal 25 70" xfId="17500"/>
    <cellStyle name="Normal 25 71" xfId="17751"/>
    <cellStyle name="Normal 25 72" xfId="18002"/>
    <cellStyle name="Normal 25 73" xfId="18253"/>
    <cellStyle name="Normal 25 74" xfId="18504"/>
    <cellStyle name="Normal 25 75" xfId="18754"/>
    <cellStyle name="Normal 25 76" xfId="19005"/>
    <cellStyle name="Normal 25 77" xfId="19256"/>
    <cellStyle name="Normal 25 78" xfId="19506"/>
    <cellStyle name="Normal 25 79" xfId="19762"/>
    <cellStyle name="Normal 25 8" xfId="1937"/>
    <cellStyle name="Normal 25 80" xfId="20014"/>
    <cellStyle name="Normal 25 81" xfId="20266"/>
    <cellStyle name="Normal 25 82" xfId="20518"/>
    <cellStyle name="Normal 25 83" xfId="20768"/>
    <cellStyle name="Normal 25 84" xfId="21018"/>
    <cellStyle name="Normal 25 85" xfId="21269"/>
    <cellStyle name="Normal 25 86" xfId="21513"/>
    <cellStyle name="Normal 25 87" xfId="21757"/>
    <cellStyle name="Normal 25 88" xfId="21998"/>
    <cellStyle name="Normal 25 9" xfId="2188"/>
    <cellStyle name="Normal 26" xfId="22163"/>
    <cellStyle name="Normal 26 10" xfId="24090"/>
    <cellStyle name="Normal 26 11" xfId="24091"/>
    <cellStyle name="Normal 26 12" xfId="24092"/>
    <cellStyle name="Normal 26 13" xfId="24093"/>
    <cellStyle name="Normal 26 14" xfId="24094"/>
    <cellStyle name="Normal 26 15" xfId="24095"/>
    <cellStyle name="Normal 26 16" xfId="24096"/>
    <cellStyle name="Normal 26 17" xfId="24097"/>
    <cellStyle name="Normal 26 18" xfId="24098"/>
    <cellStyle name="Normal 26 19" xfId="24099"/>
    <cellStyle name="Normal 26 2" xfId="24100"/>
    <cellStyle name="Normal 26 20" xfId="24101"/>
    <cellStyle name="Normal 26 21" xfId="24102"/>
    <cellStyle name="Normal 26 3" xfId="24103"/>
    <cellStyle name="Normal 26 4" xfId="24104"/>
    <cellStyle name="Normal 26 5" xfId="24105"/>
    <cellStyle name="Normal 26 6" xfId="24106"/>
    <cellStyle name="Normal 26 7" xfId="24107"/>
    <cellStyle name="Normal 26 8" xfId="24108"/>
    <cellStyle name="Normal 26 9" xfId="24109"/>
    <cellStyle name="Normal 27" xfId="306"/>
    <cellStyle name="Normal 27 10" xfId="2606"/>
    <cellStyle name="Normal 27 11" xfId="2857"/>
    <cellStyle name="Normal 27 12" xfId="3108"/>
    <cellStyle name="Normal 27 13" xfId="3359"/>
    <cellStyle name="Normal 27 14" xfId="3610"/>
    <cellStyle name="Normal 27 15" xfId="3861"/>
    <cellStyle name="Normal 27 16" xfId="4112"/>
    <cellStyle name="Normal 27 17" xfId="4363"/>
    <cellStyle name="Normal 27 18" xfId="4614"/>
    <cellStyle name="Normal 27 19" xfId="4865"/>
    <cellStyle name="Normal 27 2" xfId="581"/>
    <cellStyle name="Normal 27 20" xfId="5116"/>
    <cellStyle name="Normal 27 21" xfId="5367"/>
    <cellStyle name="Normal 27 22" xfId="5618"/>
    <cellStyle name="Normal 27 23" xfId="5869"/>
    <cellStyle name="Normal 27 24" xfId="6120"/>
    <cellStyle name="Normal 27 25" xfId="6371"/>
    <cellStyle name="Normal 27 26" xfId="6622"/>
    <cellStyle name="Normal 27 27" xfId="6873"/>
    <cellStyle name="Normal 27 28" xfId="7124"/>
    <cellStyle name="Normal 27 29" xfId="7375"/>
    <cellStyle name="Normal 27 3" xfId="831"/>
    <cellStyle name="Normal 27 30" xfId="7626"/>
    <cellStyle name="Normal 27 31" xfId="7877"/>
    <cellStyle name="Normal 27 32" xfId="8128"/>
    <cellStyle name="Normal 27 33" xfId="8379"/>
    <cellStyle name="Normal 27 34" xfId="8630"/>
    <cellStyle name="Normal 27 35" xfId="8881"/>
    <cellStyle name="Normal 27 36" xfId="9132"/>
    <cellStyle name="Normal 27 37" xfId="9383"/>
    <cellStyle name="Normal 27 38" xfId="9634"/>
    <cellStyle name="Normal 27 39" xfId="9885"/>
    <cellStyle name="Normal 27 4" xfId="1083"/>
    <cellStyle name="Normal 27 40" xfId="10136"/>
    <cellStyle name="Normal 27 41" xfId="10387"/>
    <cellStyle name="Normal 27 42" xfId="10638"/>
    <cellStyle name="Normal 27 43" xfId="10889"/>
    <cellStyle name="Normal 27 44" xfId="11140"/>
    <cellStyle name="Normal 27 45" xfId="11391"/>
    <cellStyle name="Normal 27 46" xfId="11642"/>
    <cellStyle name="Normal 27 47" xfId="11893"/>
    <cellStyle name="Normal 27 48" xfId="12144"/>
    <cellStyle name="Normal 27 49" xfId="12395"/>
    <cellStyle name="Normal 27 5" xfId="1339"/>
    <cellStyle name="Normal 27 50" xfId="12646"/>
    <cellStyle name="Normal 27 51" xfId="12897"/>
    <cellStyle name="Normal 27 52" xfId="13148"/>
    <cellStyle name="Normal 27 53" xfId="13399"/>
    <cellStyle name="Normal 27 54" xfId="13650"/>
    <cellStyle name="Normal 27 55" xfId="13901"/>
    <cellStyle name="Normal 27 56" xfId="14152"/>
    <cellStyle name="Normal 27 57" xfId="14403"/>
    <cellStyle name="Normal 27 58" xfId="14654"/>
    <cellStyle name="Normal 27 59" xfId="14905"/>
    <cellStyle name="Normal 27 6" xfId="1594"/>
    <cellStyle name="Normal 27 60" xfId="15156"/>
    <cellStyle name="Normal 27 61" xfId="15406"/>
    <cellStyle name="Normal 27 62" xfId="15655"/>
    <cellStyle name="Normal 27 63" xfId="15905"/>
    <cellStyle name="Normal 27 64" xfId="16161"/>
    <cellStyle name="Normal 27 65" xfId="16412"/>
    <cellStyle name="Normal 27 66" xfId="16663"/>
    <cellStyle name="Normal 27 67" xfId="16914"/>
    <cellStyle name="Normal 27 68" xfId="17165"/>
    <cellStyle name="Normal 27 69" xfId="17416"/>
    <cellStyle name="Normal 27 7" xfId="1847"/>
    <cellStyle name="Normal 27 70" xfId="17667"/>
    <cellStyle name="Normal 27 71" xfId="17918"/>
    <cellStyle name="Normal 27 72" xfId="18169"/>
    <cellStyle name="Normal 27 73" xfId="18420"/>
    <cellStyle name="Normal 27 74" xfId="18671"/>
    <cellStyle name="Normal 27 75" xfId="18922"/>
    <cellStyle name="Normal 27 76" xfId="19172"/>
    <cellStyle name="Normal 27 77" xfId="19423"/>
    <cellStyle name="Normal 27 78" xfId="19674"/>
    <cellStyle name="Normal 27 79" xfId="19930"/>
    <cellStyle name="Normal 27 8" xfId="2104"/>
    <cellStyle name="Normal 27 80" xfId="20182"/>
    <cellStyle name="Normal 27 81" xfId="20434"/>
    <cellStyle name="Normal 27 82" xfId="20686"/>
    <cellStyle name="Normal 27 83" xfId="20936"/>
    <cellStyle name="Normal 27 84" xfId="21185"/>
    <cellStyle name="Normal 27 85" xfId="21433"/>
    <cellStyle name="Normal 27 86" xfId="21677"/>
    <cellStyle name="Normal 27 87" xfId="21919"/>
    <cellStyle name="Normal 27 88" xfId="22160"/>
    <cellStyle name="Normal 27 89" xfId="24767"/>
    <cellStyle name="Normal 27 9" xfId="2355"/>
    <cellStyle name="Normal 27_REVISIONS SORRY" xfId="24110"/>
    <cellStyle name="Normal 28" xfId="307"/>
    <cellStyle name="Normal 28 10" xfId="2607"/>
    <cellStyle name="Normal 28 11" xfId="2858"/>
    <cellStyle name="Normal 28 12" xfId="3109"/>
    <cellStyle name="Normal 28 13" xfId="3360"/>
    <cellStyle name="Normal 28 14" xfId="3611"/>
    <cellStyle name="Normal 28 15" xfId="3862"/>
    <cellStyle name="Normal 28 16" xfId="4113"/>
    <cellStyle name="Normal 28 17" xfId="4364"/>
    <cellStyle name="Normal 28 18" xfId="4615"/>
    <cellStyle name="Normal 28 19" xfId="4866"/>
    <cellStyle name="Normal 28 2" xfId="582"/>
    <cellStyle name="Normal 28 20" xfId="5117"/>
    <cellStyle name="Normal 28 21" xfId="5368"/>
    <cellStyle name="Normal 28 22" xfId="5619"/>
    <cellStyle name="Normal 28 23" xfId="5870"/>
    <cellStyle name="Normal 28 24" xfId="6121"/>
    <cellStyle name="Normal 28 25" xfId="6372"/>
    <cellStyle name="Normal 28 26" xfId="6623"/>
    <cellStyle name="Normal 28 27" xfId="6874"/>
    <cellStyle name="Normal 28 28" xfId="7125"/>
    <cellStyle name="Normal 28 29" xfId="7376"/>
    <cellStyle name="Normal 28 3" xfId="832"/>
    <cellStyle name="Normal 28 30" xfId="7627"/>
    <cellStyle name="Normal 28 31" xfId="7878"/>
    <cellStyle name="Normal 28 32" xfId="8129"/>
    <cellStyle name="Normal 28 33" xfId="8380"/>
    <cellStyle name="Normal 28 34" xfId="8631"/>
    <cellStyle name="Normal 28 35" xfId="8882"/>
    <cellStyle name="Normal 28 36" xfId="9133"/>
    <cellStyle name="Normal 28 37" xfId="9384"/>
    <cellStyle name="Normal 28 38" xfId="9635"/>
    <cellStyle name="Normal 28 39" xfId="9886"/>
    <cellStyle name="Normal 28 4" xfId="1084"/>
    <cellStyle name="Normal 28 40" xfId="10137"/>
    <cellStyle name="Normal 28 41" xfId="10388"/>
    <cellStyle name="Normal 28 42" xfId="10639"/>
    <cellStyle name="Normal 28 43" xfId="10890"/>
    <cellStyle name="Normal 28 44" xfId="11141"/>
    <cellStyle name="Normal 28 45" xfId="11392"/>
    <cellStyle name="Normal 28 46" xfId="11643"/>
    <cellStyle name="Normal 28 47" xfId="11894"/>
    <cellStyle name="Normal 28 48" xfId="12145"/>
    <cellStyle name="Normal 28 49" xfId="12396"/>
    <cellStyle name="Normal 28 5" xfId="1340"/>
    <cellStyle name="Normal 28 50" xfId="12647"/>
    <cellStyle name="Normal 28 51" xfId="12898"/>
    <cellStyle name="Normal 28 52" xfId="13149"/>
    <cellStyle name="Normal 28 53" xfId="13400"/>
    <cellStyle name="Normal 28 54" xfId="13651"/>
    <cellStyle name="Normal 28 55" xfId="13902"/>
    <cellStyle name="Normal 28 56" xfId="14153"/>
    <cellStyle name="Normal 28 57" xfId="14404"/>
    <cellStyle name="Normal 28 58" xfId="14655"/>
    <cellStyle name="Normal 28 59" xfId="14906"/>
    <cellStyle name="Normal 28 6" xfId="1595"/>
    <cellStyle name="Normal 28 60" xfId="15157"/>
    <cellStyle name="Normal 28 61" xfId="15407"/>
    <cellStyle name="Normal 28 62" xfId="15656"/>
    <cellStyle name="Normal 28 63" xfId="15906"/>
    <cellStyle name="Normal 28 64" xfId="16162"/>
    <cellStyle name="Normal 28 65" xfId="16413"/>
    <cellStyle name="Normal 28 66" xfId="16664"/>
    <cellStyle name="Normal 28 67" xfId="16915"/>
    <cellStyle name="Normal 28 68" xfId="17166"/>
    <cellStyle name="Normal 28 69" xfId="17417"/>
    <cellStyle name="Normal 28 7" xfId="1848"/>
    <cellStyle name="Normal 28 70" xfId="17668"/>
    <cellStyle name="Normal 28 71" xfId="17919"/>
    <cellStyle name="Normal 28 72" xfId="18170"/>
    <cellStyle name="Normal 28 73" xfId="18421"/>
    <cellStyle name="Normal 28 74" xfId="18672"/>
    <cellStyle name="Normal 28 75" xfId="18923"/>
    <cellStyle name="Normal 28 76" xfId="19173"/>
    <cellStyle name="Normal 28 77" xfId="19424"/>
    <cellStyle name="Normal 28 78" xfId="19675"/>
    <cellStyle name="Normal 28 79" xfId="19931"/>
    <cellStyle name="Normal 28 8" xfId="2105"/>
    <cellStyle name="Normal 28 80" xfId="20183"/>
    <cellStyle name="Normal 28 81" xfId="20435"/>
    <cellStyle name="Normal 28 82" xfId="20687"/>
    <cellStyle name="Normal 28 83" xfId="20937"/>
    <cellStyle name="Normal 28 84" xfId="21186"/>
    <cellStyle name="Normal 28 85" xfId="21434"/>
    <cellStyle name="Normal 28 86" xfId="21678"/>
    <cellStyle name="Normal 28 87" xfId="21920"/>
    <cellStyle name="Normal 28 88" xfId="22161"/>
    <cellStyle name="Normal 28 89" xfId="24768"/>
    <cellStyle name="Normal 28 9" xfId="2356"/>
    <cellStyle name="Normal 29" xfId="22164"/>
    <cellStyle name="Normal 29 10" xfId="24111"/>
    <cellStyle name="Normal 29 11" xfId="24112"/>
    <cellStyle name="Normal 29 12" xfId="24113"/>
    <cellStyle name="Normal 29 13" xfId="24114"/>
    <cellStyle name="Normal 29 14" xfId="24115"/>
    <cellStyle name="Normal 29 15" xfId="24116"/>
    <cellStyle name="Normal 29 16" xfId="24117"/>
    <cellStyle name="Normal 29 17" xfId="24118"/>
    <cellStyle name="Normal 29 18" xfId="24119"/>
    <cellStyle name="Normal 29 19" xfId="24120"/>
    <cellStyle name="Normal 29 2" xfId="24121"/>
    <cellStyle name="Normal 29 20" xfId="24122"/>
    <cellStyle name="Normal 29 21" xfId="24123"/>
    <cellStyle name="Normal 29 22" xfId="24124"/>
    <cellStyle name="Normal 29 23" xfId="24125"/>
    <cellStyle name="Normal 29 24" xfId="24126"/>
    <cellStyle name="Normal 29 25" xfId="24127"/>
    <cellStyle name="Normal 29 3" xfId="24128"/>
    <cellStyle name="Normal 29 4" xfId="24129"/>
    <cellStyle name="Normal 29 5" xfId="24130"/>
    <cellStyle name="Normal 29 6" xfId="24131"/>
    <cellStyle name="Normal 29 7" xfId="24132"/>
    <cellStyle name="Normal 29 8" xfId="24133"/>
    <cellStyle name="Normal 29 9" xfId="24134"/>
    <cellStyle name="Normal 29_REVISIONS SORRY" xfId="24135"/>
    <cellStyle name="Normal 3" xfId="7"/>
    <cellStyle name="Normal 3 10" xfId="24136"/>
    <cellStyle name="Normal 3 11" xfId="24137"/>
    <cellStyle name="Normal 3 12" xfId="24138"/>
    <cellStyle name="Normal 3 13" xfId="24139"/>
    <cellStyle name="Normal 3 14" xfId="24140"/>
    <cellStyle name="Normal 3 15" xfId="24141"/>
    <cellStyle name="Normal 3 16" xfId="24142"/>
    <cellStyle name="Normal 3 17" xfId="24143"/>
    <cellStyle name="Normal 3 18" xfId="24144"/>
    <cellStyle name="Normal 3 19" xfId="24145"/>
    <cellStyle name="Normal 3 2" xfId="22239"/>
    <cellStyle name="Normal 3 20" xfId="24146"/>
    <cellStyle name="Normal 3 21" xfId="24147"/>
    <cellStyle name="Normal 3 22" xfId="24148"/>
    <cellStyle name="Normal 3 23" xfId="24149"/>
    <cellStyle name="Normal 3 24" xfId="24150"/>
    <cellStyle name="Normal 3 25" xfId="24151"/>
    <cellStyle name="Normal 3 26" xfId="24152"/>
    <cellStyle name="Normal 3 27" xfId="24153"/>
    <cellStyle name="Normal 3 28" xfId="24154"/>
    <cellStyle name="Normal 3 29" xfId="24155"/>
    <cellStyle name="Normal 3 3" xfId="22254"/>
    <cellStyle name="Normal 3 30" xfId="24156"/>
    <cellStyle name="Normal 3 31" xfId="24705"/>
    <cellStyle name="Normal 3 32" xfId="24716"/>
    <cellStyle name="Normal 3 33" xfId="24732"/>
    <cellStyle name="Normal 3 34" xfId="24748"/>
    <cellStyle name="Normal 3 35" xfId="24760"/>
    <cellStyle name="Normal 3 4" xfId="24157"/>
    <cellStyle name="Normal 3 5" xfId="24158"/>
    <cellStyle name="Normal 3 6" xfId="24159"/>
    <cellStyle name="Normal 3 7" xfId="24160"/>
    <cellStyle name="Normal 3 8" xfId="24161"/>
    <cellStyle name="Normal 3 9" xfId="24162"/>
    <cellStyle name="Normal 30" xfId="308"/>
    <cellStyle name="Normal 30 10" xfId="2608"/>
    <cellStyle name="Normal 30 11" xfId="2859"/>
    <cellStyle name="Normal 30 12" xfId="3110"/>
    <cellStyle name="Normal 30 13" xfId="3361"/>
    <cellStyle name="Normal 30 14" xfId="3612"/>
    <cellStyle name="Normal 30 15" xfId="3863"/>
    <cellStyle name="Normal 30 16" xfId="4114"/>
    <cellStyle name="Normal 30 17" xfId="4365"/>
    <cellStyle name="Normal 30 18" xfId="4616"/>
    <cellStyle name="Normal 30 19" xfId="4867"/>
    <cellStyle name="Normal 30 2" xfId="583"/>
    <cellStyle name="Normal 30 20" xfId="5118"/>
    <cellStyle name="Normal 30 21" xfId="5369"/>
    <cellStyle name="Normal 30 22" xfId="5620"/>
    <cellStyle name="Normal 30 23" xfId="5871"/>
    <cellStyle name="Normal 30 24" xfId="6122"/>
    <cellStyle name="Normal 30 25" xfId="6373"/>
    <cellStyle name="Normal 30 26" xfId="6624"/>
    <cellStyle name="Normal 30 27" xfId="6875"/>
    <cellStyle name="Normal 30 28" xfId="7126"/>
    <cellStyle name="Normal 30 29" xfId="7377"/>
    <cellStyle name="Normal 30 3" xfId="833"/>
    <cellStyle name="Normal 30 30" xfId="7628"/>
    <cellStyle name="Normal 30 31" xfId="7879"/>
    <cellStyle name="Normal 30 32" xfId="8130"/>
    <cellStyle name="Normal 30 33" xfId="8381"/>
    <cellStyle name="Normal 30 34" xfId="8632"/>
    <cellStyle name="Normal 30 35" xfId="8883"/>
    <cellStyle name="Normal 30 36" xfId="9134"/>
    <cellStyle name="Normal 30 37" xfId="9385"/>
    <cellStyle name="Normal 30 38" xfId="9636"/>
    <cellStyle name="Normal 30 39" xfId="9887"/>
    <cellStyle name="Normal 30 4" xfId="1085"/>
    <cellStyle name="Normal 30 40" xfId="10138"/>
    <cellStyle name="Normal 30 41" xfId="10389"/>
    <cellStyle name="Normal 30 42" xfId="10640"/>
    <cellStyle name="Normal 30 43" xfId="10891"/>
    <cellStyle name="Normal 30 44" xfId="11142"/>
    <cellStyle name="Normal 30 45" xfId="11393"/>
    <cellStyle name="Normal 30 46" xfId="11644"/>
    <cellStyle name="Normal 30 47" xfId="11895"/>
    <cellStyle name="Normal 30 48" xfId="12146"/>
    <cellStyle name="Normal 30 49" xfId="12397"/>
    <cellStyle name="Normal 30 5" xfId="1341"/>
    <cellStyle name="Normal 30 50" xfId="12648"/>
    <cellStyle name="Normal 30 51" xfId="12899"/>
    <cellStyle name="Normal 30 52" xfId="13150"/>
    <cellStyle name="Normal 30 53" xfId="13401"/>
    <cellStyle name="Normal 30 54" xfId="13652"/>
    <cellStyle name="Normal 30 55" xfId="13903"/>
    <cellStyle name="Normal 30 56" xfId="14154"/>
    <cellStyle name="Normal 30 57" xfId="14405"/>
    <cellStyle name="Normal 30 58" xfId="14656"/>
    <cellStyle name="Normal 30 59" xfId="14907"/>
    <cellStyle name="Normal 30 6" xfId="1596"/>
    <cellStyle name="Normal 30 60" xfId="15158"/>
    <cellStyle name="Normal 30 61" xfId="15408"/>
    <cellStyle name="Normal 30 62" xfId="15657"/>
    <cellStyle name="Normal 30 63" xfId="15907"/>
    <cellStyle name="Normal 30 64" xfId="16163"/>
    <cellStyle name="Normal 30 65" xfId="16414"/>
    <cellStyle name="Normal 30 66" xfId="16665"/>
    <cellStyle name="Normal 30 67" xfId="16916"/>
    <cellStyle name="Normal 30 68" xfId="17167"/>
    <cellStyle name="Normal 30 69" xfId="17418"/>
    <cellStyle name="Normal 30 7" xfId="1849"/>
    <cellStyle name="Normal 30 70" xfId="17669"/>
    <cellStyle name="Normal 30 71" xfId="17920"/>
    <cellStyle name="Normal 30 72" xfId="18171"/>
    <cellStyle name="Normal 30 73" xfId="18422"/>
    <cellStyle name="Normal 30 74" xfId="18673"/>
    <cellStyle name="Normal 30 75" xfId="18924"/>
    <cellStyle name="Normal 30 76" xfId="19174"/>
    <cellStyle name="Normal 30 77" xfId="19425"/>
    <cellStyle name="Normal 30 78" xfId="19676"/>
    <cellStyle name="Normal 30 79" xfId="19932"/>
    <cellStyle name="Normal 30 8" xfId="2106"/>
    <cellStyle name="Normal 30 80" xfId="20184"/>
    <cellStyle name="Normal 30 81" xfId="20436"/>
    <cellStyle name="Normal 30 82" xfId="20688"/>
    <cellStyle name="Normal 30 83" xfId="20938"/>
    <cellStyle name="Normal 30 84" xfId="21187"/>
    <cellStyle name="Normal 30 85" xfId="21435"/>
    <cellStyle name="Normal 30 86" xfId="21679"/>
    <cellStyle name="Normal 30 87" xfId="21921"/>
    <cellStyle name="Normal 30 88" xfId="22162"/>
    <cellStyle name="Normal 30 89" xfId="24769"/>
    <cellStyle name="Normal 30 9" xfId="2357"/>
    <cellStyle name="Normal 31" xfId="309"/>
    <cellStyle name="Normal 31 10" xfId="24163"/>
    <cellStyle name="Normal 31 11" xfId="24164"/>
    <cellStyle name="Normal 31 12" xfId="24165"/>
    <cellStyle name="Normal 31 13" xfId="24166"/>
    <cellStyle name="Normal 31 14" xfId="24167"/>
    <cellStyle name="Normal 31 15" xfId="24168"/>
    <cellStyle name="Normal 31 16" xfId="24169"/>
    <cellStyle name="Normal 31 17" xfId="24170"/>
    <cellStyle name="Normal 31 18" xfId="24171"/>
    <cellStyle name="Normal 31 19" xfId="24172"/>
    <cellStyle name="Normal 31 2" xfId="24173"/>
    <cellStyle name="Normal 31 20" xfId="24174"/>
    <cellStyle name="Normal 31 3" xfId="24175"/>
    <cellStyle name="Normal 31 4" xfId="24176"/>
    <cellStyle name="Normal 31 5" xfId="24177"/>
    <cellStyle name="Normal 31 6" xfId="24178"/>
    <cellStyle name="Normal 31 7" xfId="24179"/>
    <cellStyle name="Normal 31 8" xfId="24180"/>
    <cellStyle name="Normal 31 9" xfId="24181"/>
    <cellStyle name="Normal 31_REVISIONS SORRY" xfId="24182"/>
    <cellStyle name="Normal 32" xfId="343"/>
    <cellStyle name="Normal 32 10" xfId="24183"/>
    <cellStyle name="Normal 32 11" xfId="24184"/>
    <cellStyle name="Normal 32 12" xfId="24185"/>
    <cellStyle name="Normal 32 13" xfId="24186"/>
    <cellStyle name="Normal 32 14" xfId="24187"/>
    <cellStyle name="Normal 32 15" xfId="24188"/>
    <cellStyle name="Normal 32 16" xfId="24189"/>
    <cellStyle name="Normal 32 17" xfId="24190"/>
    <cellStyle name="Normal 32 18" xfId="24191"/>
    <cellStyle name="Normal 32 19" xfId="24192"/>
    <cellStyle name="Normal 32 2" xfId="24193"/>
    <cellStyle name="Normal 32 20" xfId="24194"/>
    <cellStyle name="Normal 32 21" xfId="24195"/>
    <cellStyle name="Normal 32 22" xfId="24196"/>
    <cellStyle name="Normal 32 3" xfId="24197"/>
    <cellStyle name="Normal 32 4" xfId="24198"/>
    <cellStyle name="Normal 32 5" xfId="24199"/>
    <cellStyle name="Normal 32 6" xfId="24200"/>
    <cellStyle name="Normal 32 7" xfId="24201"/>
    <cellStyle name="Normal 32 8" xfId="24202"/>
    <cellStyle name="Normal 32 9" xfId="24203"/>
    <cellStyle name="Normal 32_AppendixTables_Anne" xfId="24204"/>
    <cellStyle name="Normal 33" xfId="76"/>
    <cellStyle name="Normal 33 10" xfId="1618"/>
    <cellStyle name="Normal 33 11" xfId="1875"/>
    <cellStyle name="Normal 33 12" xfId="2126"/>
    <cellStyle name="Normal 33 13" xfId="2377"/>
    <cellStyle name="Normal 33 14" xfId="2628"/>
    <cellStyle name="Normal 33 15" xfId="2879"/>
    <cellStyle name="Normal 33 16" xfId="3130"/>
    <cellStyle name="Normal 33 17" xfId="3381"/>
    <cellStyle name="Normal 33 18" xfId="3632"/>
    <cellStyle name="Normal 33 19" xfId="3883"/>
    <cellStyle name="Normal 33 2" xfId="109"/>
    <cellStyle name="Normal 33 2 10" xfId="1908"/>
    <cellStyle name="Normal 33 2 11" xfId="2159"/>
    <cellStyle name="Normal 33 2 12" xfId="2410"/>
    <cellStyle name="Normal 33 2 13" xfId="2661"/>
    <cellStyle name="Normal 33 2 14" xfId="2912"/>
    <cellStyle name="Normal 33 2 15" xfId="3163"/>
    <cellStyle name="Normal 33 2 16" xfId="3414"/>
    <cellStyle name="Normal 33 2 17" xfId="3665"/>
    <cellStyle name="Normal 33 2 18" xfId="3916"/>
    <cellStyle name="Normal 33 2 19" xfId="4167"/>
    <cellStyle name="Normal 33 2 2" xfId="203"/>
    <cellStyle name="Normal 33 2 2 10" xfId="2503"/>
    <cellStyle name="Normal 33 2 2 11" xfId="2754"/>
    <cellStyle name="Normal 33 2 2 12" xfId="3005"/>
    <cellStyle name="Normal 33 2 2 13" xfId="3256"/>
    <cellStyle name="Normal 33 2 2 14" xfId="3507"/>
    <cellStyle name="Normal 33 2 2 15" xfId="3758"/>
    <cellStyle name="Normal 33 2 2 16" xfId="4009"/>
    <cellStyle name="Normal 33 2 2 17" xfId="4260"/>
    <cellStyle name="Normal 33 2 2 18" xfId="4511"/>
    <cellStyle name="Normal 33 2 2 19" xfId="4762"/>
    <cellStyle name="Normal 33 2 2 2" xfId="480"/>
    <cellStyle name="Normal 33 2 2 20" xfId="5013"/>
    <cellStyle name="Normal 33 2 2 21" xfId="5264"/>
    <cellStyle name="Normal 33 2 2 22" xfId="5515"/>
    <cellStyle name="Normal 33 2 2 23" xfId="5766"/>
    <cellStyle name="Normal 33 2 2 24" xfId="6017"/>
    <cellStyle name="Normal 33 2 2 25" xfId="6268"/>
    <cellStyle name="Normal 33 2 2 26" xfId="6519"/>
    <cellStyle name="Normal 33 2 2 27" xfId="6770"/>
    <cellStyle name="Normal 33 2 2 28" xfId="7021"/>
    <cellStyle name="Normal 33 2 2 29" xfId="7272"/>
    <cellStyle name="Normal 33 2 2 3" xfId="730"/>
    <cellStyle name="Normal 33 2 2 30" xfId="7523"/>
    <cellStyle name="Normal 33 2 2 31" xfId="7774"/>
    <cellStyle name="Normal 33 2 2 32" xfId="8025"/>
    <cellStyle name="Normal 33 2 2 33" xfId="8276"/>
    <cellStyle name="Normal 33 2 2 34" xfId="8527"/>
    <cellStyle name="Normal 33 2 2 35" xfId="8778"/>
    <cellStyle name="Normal 33 2 2 36" xfId="9029"/>
    <cellStyle name="Normal 33 2 2 37" xfId="9280"/>
    <cellStyle name="Normal 33 2 2 38" xfId="9531"/>
    <cellStyle name="Normal 33 2 2 39" xfId="9782"/>
    <cellStyle name="Normal 33 2 2 4" xfId="983"/>
    <cellStyle name="Normal 33 2 2 40" xfId="10033"/>
    <cellStyle name="Normal 33 2 2 41" xfId="10284"/>
    <cellStyle name="Normal 33 2 2 42" xfId="10535"/>
    <cellStyle name="Normal 33 2 2 43" xfId="10786"/>
    <cellStyle name="Normal 33 2 2 44" xfId="11037"/>
    <cellStyle name="Normal 33 2 2 45" xfId="11288"/>
    <cellStyle name="Normal 33 2 2 46" xfId="11539"/>
    <cellStyle name="Normal 33 2 2 47" xfId="11790"/>
    <cellStyle name="Normal 33 2 2 48" xfId="12041"/>
    <cellStyle name="Normal 33 2 2 49" xfId="12292"/>
    <cellStyle name="Normal 33 2 2 5" xfId="1238"/>
    <cellStyle name="Normal 33 2 2 50" xfId="12543"/>
    <cellStyle name="Normal 33 2 2 51" xfId="12794"/>
    <cellStyle name="Normal 33 2 2 52" xfId="13045"/>
    <cellStyle name="Normal 33 2 2 53" xfId="13296"/>
    <cellStyle name="Normal 33 2 2 54" xfId="13547"/>
    <cellStyle name="Normal 33 2 2 55" xfId="13798"/>
    <cellStyle name="Normal 33 2 2 56" xfId="14049"/>
    <cellStyle name="Normal 33 2 2 57" xfId="14300"/>
    <cellStyle name="Normal 33 2 2 58" xfId="14551"/>
    <cellStyle name="Normal 33 2 2 59" xfId="14802"/>
    <cellStyle name="Normal 33 2 2 6" xfId="1491"/>
    <cellStyle name="Normal 33 2 2 60" xfId="15053"/>
    <cellStyle name="Normal 33 2 2 61" xfId="15303"/>
    <cellStyle name="Normal 33 2 2 62" xfId="15554"/>
    <cellStyle name="Normal 33 2 2 63" xfId="15802"/>
    <cellStyle name="Normal 33 2 2 64" xfId="16058"/>
    <cellStyle name="Normal 33 2 2 65" xfId="16309"/>
    <cellStyle name="Normal 33 2 2 66" xfId="16560"/>
    <cellStyle name="Normal 33 2 2 67" xfId="16811"/>
    <cellStyle name="Normal 33 2 2 68" xfId="17062"/>
    <cellStyle name="Normal 33 2 2 69" xfId="17313"/>
    <cellStyle name="Normal 33 2 2 7" xfId="1745"/>
    <cellStyle name="Normal 33 2 2 70" xfId="17564"/>
    <cellStyle name="Normal 33 2 2 71" xfId="17815"/>
    <cellStyle name="Normal 33 2 2 72" xfId="18066"/>
    <cellStyle name="Normal 33 2 2 73" xfId="18317"/>
    <cellStyle name="Normal 33 2 2 74" xfId="18568"/>
    <cellStyle name="Normal 33 2 2 75" xfId="18819"/>
    <cellStyle name="Normal 33 2 2 76" xfId="19069"/>
    <cellStyle name="Normal 33 2 2 77" xfId="19321"/>
    <cellStyle name="Normal 33 2 2 78" xfId="19571"/>
    <cellStyle name="Normal 33 2 2 79" xfId="19827"/>
    <cellStyle name="Normal 33 2 2 8" xfId="2001"/>
    <cellStyle name="Normal 33 2 2 80" xfId="20079"/>
    <cellStyle name="Normal 33 2 2 81" xfId="20331"/>
    <cellStyle name="Normal 33 2 2 82" xfId="20583"/>
    <cellStyle name="Normal 33 2 2 83" xfId="20833"/>
    <cellStyle name="Normal 33 2 2 84" xfId="21083"/>
    <cellStyle name="Normal 33 2 2 85" xfId="21332"/>
    <cellStyle name="Normal 33 2 2 86" xfId="21576"/>
    <cellStyle name="Normal 33 2 2 87" xfId="21820"/>
    <cellStyle name="Normal 33 2 2 88" xfId="22061"/>
    <cellStyle name="Normal 33 2 2 9" xfId="2252"/>
    <cellStyle name="Normal 33 2 20" xfId="4418"/>
    <cellStyle name="Normal 33 2 21" xfId="4669"/>
    <cellStyle name="Normal 33 2 22" xfId="4920"/>
    <cellStyle name="Normal 33 2 23" xfId="5171"/>
    <cellStyle name="Normal 33 2 24" xfId="5422"/>
    <cellStyle name="Normal 33 2 25" xfId="5673"/>
    <cellStyle name="Normal 33 2 26" xfId="5924"/>
    <cellStyle name="Normal 33 2 27" xfId="6175"/>
    <cellStyle name="Normal 33 2 28" xfId="6426"/>
    <cellStyle name="Normal 33 2 29" xfId="6677"/>
    <cellStyle name="Normal 33 2 3" xfId="279"/>
    <cellStyle name="Normal 33 2 3 10" xfId="2579"/>
    <cellStyle name="Normal 33 2 3 11" xfId="2830"/>
    <cellStyle name="Normal 33 2 3 12" xfId="3081"/>
    <cellStyle name="Normal 33 2 3 13" xfId="3332"/>
    <cellStyle name="Normal 33 2 3 14" xfId="3583"/>
    <cellStyle name="Normal 33 2 3 15" xfId="3834"/>
    <cellStyle name="Normal 33 2 3 16" xfId="4085"/>
    <cellStyle name="Normal 33 2 3 17" xfId="4336"/>
    <cellStyle name="Normal 33 2 3 18" xfId="4587"/>
    <cellStyle name="Normal 33 2 3 19" xfId="4838"/>
    <cellStyle name="Normal 33 2 3 2" xfId="554"/>
    <cellStyle name="Normal 33 2 3 20" xfId="5089"/>
    <cellStyle name="Normal 33 2 3 21" xfId="5340"/>
    <cellStyle name="Normal 33 2 3 22" xfId="5591"/>
    <cellStyle name="Normal 33 2 3 23" xfId="5842"/>
    <cellStyle name="Normal 33 2 3 24" xfId="6093"/>
    <cellStyle name="Normal 33 2 3 25" xfId="6344"/>
    <cellStyle name="Normal 33 2 3 26" xfId="6595"/>
    <cellStyle name="Normal 33 2 3 27" xfId="6846"/>
    <cellStyle name="Normal 33 2 3 28" xfId="7097"/>
    <cellStyle name="Normal 33 2 3 29" xfId="7348"/>
    <cellStyle name="Normal 33 2 3 3" xfId="804"/>
    <cellStyle name="Normal 33 2 3 30" xfId="7599"/>
    <cellStyle name="Normal 33 2 3 31" xfId="7850"/>
    <cellStyle name="Normal 33 2 3 32" xfId="8101"/>
    <cellStyle name="Normal 33 2 3 33" xfId="8352"/>
    <cellStyle name="Normal 33 2 3 34" xfId="8603"/>
    <cellStyle name="Normal 33 2 3 35" xfId="8854"/>
    <cellStyle name="Normal 33 2 3 36" xfId="9105"/>
    <cellStyle name="Normal 33 2 3 37" xfId="9356"/>
    <cellStyle name="Normal 33 2 3 38" xfId="9607"/>
    <cellStyle name="Normal 33 2 3 39" xfId="9858"/>
    <cellStyle name="Normal 33 2 3 4" xfId="1056"/>
    <cellStyle name="Normal 33 2 3 40" xfId="10109"/>
    <cellStyle name="Normal 33 2 3 41" xfId="10360"/>
    <cellStyle name="Normal 33 2 3 42" xfId="10611"/>
    <cellStyle name="Normal 33 2 3 43" xfId="10862"/>
    <cellStyle name="Normal 33 2 3 44" xfId="11113"/>
    <cellStyle name="Normal 33 2 3 45" xfId="11364"/>
    <cellStyle name="Normal 33 2 3 46" xfId="11615"/>
    <cellStyle name="Normal 33 2 3 47" xfId="11866"/>
    <cellStyle name="Normal 33 2 3 48" xfId="12117"/>
    <cellStyle name="Normal 33 2 3 49" xfId="12368"/>
    <cellStyle name="Normal 33 2 3 5" xfId="1312"/>
    <cellStyle name="Normal 33 2 3 50" xfId="12619"/>
    <cellStyle name="Normal 33 2 3 51" xfId="12870"/>
    <cellStyle name="Normal 33 2 3 52" xfId="13121"/>
    <cellStyle name="Normal 33 2 3 53" xfId="13372"/>
    <cellStyle name="Normal 33 2 3 54" xfId="13623"/>
    <cellStyle name="Normal 33 2 3 55" xfId="13874"/>
    <cellStyle name="Normal 33 2 3 56" xfId="14125"/>
    <cellStyle name="Normal 33 2 3 57" xfId="14376"/>
    <cellStyle name="Normal 33 2 3 58" xfId="14627"/>
    <cellStyle name="Normal 33 2 3 59" xfId="14878"/>
    <cellStyle name="Normal 33 2 3 6" xfId="1567"/>
    <cellStyle name="Normal 33 2 3 60" xfId="15129"/>
    <cellStyle name="Normal 33 2 3 61" xfId="15379"/>
    <cellStyle name="Normal 33 2 3 62" xfId="15628"/>
    <cellStyle name="Normal 33 2 3 63" xfId="15878"/>
    <cellStyle name="Normal 33 2 3 64" xfId="16134"/>
    <cellStyle name="Normal 33 2 3 65" xfId="16385"/>
    <cellStyle name="Normal 33 2 3 66" xfId="16636"/>
    <cellStyle name="Normal 33 2 3 67" xfId="16887"/>
    <cellStyle name="Normal 33 2 3 68" xfId="17138"/>
    <cellStyle name="Normal 33 2 3 69" xfId="17389"/>
    <cellStyle name="Normal 33 2 3 7" xfId="1820"/>
    <cellStyle name="Normal 33 2 3 70" xfId="17640"/>
    <cellStyle name="Normal 33 2 3 71" xfId="17891"/>
    <cellStyle name="Normal 33 2 3 72" xfId="18142"/>
    <cellStyle name="Normal 33 2 3 73" xfId="18393"/>
    <cellStyle name="Normal 33 2 3 74" xfId="18644"/>
    <cellStyle name="Normal 33 2 3 75" xfId="18895"/>
    <cellStyle name="Normal 33 2 3 76" xfId="19145"/>
    <cellStyle name="Normal 33 2 3 77" xfId="19396"/>
    <cellStyle name="Normal 33 2 3 78" xfId="19647"/>
    <cellStyle name="Normal 33 2 3 79" xfId="19903"/>
    <cellStyle name="Normal 33 2 3 8" xfId="2077"/>
    <cellStyle name="Normal 33 2 3 80" xfId="20155"/>
    <cellStyle name="Normal 33 2 3 81" xfId="20407"/>
    <cellStyle name="Normal 33 2 3 82" xfId="20659"/>
    <cellStyle name="Normal 33 2 3 83" xfId="20909"/>
    <cellStyle name="Normal 33 2 3 84" xfId="21158"/>
    <cellStyle name="Normal 33 2 3 85" xfId="21406"/>
    <cellStyle name="Normal 33 2 3 86" xfId="21650"/>
    <cellStyle name="Normal 33 2 3 87" xfId="21892"/>
    <cellStyle name="Normal 33 2 3 88" xfId="22133"/>
    <cellStyle name="Normal 33 2 3 9" xfId="2328"/>
    <cellStyle name="Normal 33 2 30" xfId="6928"/>
    <cellStyle name="Normal 33 2 31" xfId="7179"/>
    <cellStyle name="Normal 33 2 32" xfId="7430"/>
    <cellStyle name="Normal 33 2 33" xfId="7681"/>
    <cellStyle name="Normal 33 2 34" xfId="7932"/>
    <cellStyle name="Normal 33 2 35" xfId="8183"/>
    <cellStyle name="Normal 33 2 36" xfId="8434"/>
    <cellStyle name="Normal 33 2 37" xfId="8685"/>
    <cellStyle name="Normal 33 2 38" xfId="8936"/>
    <cellStyle name="Normal 33 2 39" xfId="9187"/>
    <cellStyle name="Normal 33 2 4" xfId="388"/>
    <cellStyle name="Normal 33 2 40" xfId="9438"/>
    <cellStyle name="Normal 33 2 41" xfId="9689"/>
    <cellStyle name="Normal 33 2 42" xfId="9940"/>
    <cellStyle name="Normal 33 2 43" xfId="10191"/>
    <cellStyle name="Normal 33 2 44" xfId="10442"/>
    <cellStyle name="Normal 33 2 45" xfId="10693"/>
    <cellStyle name="Normal 33 2 46" xfId="10944"/>
    <cellStyle name="Normal 33 2 47" xfId="11195"/>
    <cellStyle name="Normal 33 2 48" xfId="11446"/>
    <cellStyle name="Normal 33 2 49" xfId="11697"/>
    <cellStyle name="Normal 33 2 5" xfId="637"/>
    <cellStyle name="Normal 33 2 50" xfId="11948"/>
    <cellStyle name="Normal 33 2 51" xfId="12199"/>
    <cellStyle name="Normal 33 2 52" xfId="12450"/>
    <cellStyle name="Normal 33 2 53" xfId="12701"/>
    <cellStyle name="Normal 33 2 54" xfId="12952"/>
    <cellStyle name="Normal 33 2 55" xfId="13203"/>
    <cellStyle name="Normal 33 2 56" xfId="13454"/>
    <cellStyle name="Normal 33 2 57" xfId="13705"/>
    <cellStyle name="Normal 33 2 58" xfId="13956"/>
    <cellStyle name="Normal 33 2 59" xfId="14207"/>
    <cellStyle name="Normal 33 2 6" xfId="890"/>
    <cellStyle name="Normal 33 2 60" xfId="14458"/>
    <cellStyle name="Normal 33 2 61" xfId="14709"/>
    <cellStyle name="Normal 33 2 62" xfId="14959"/>
    <cellStyle name="Normal 33 2 63" xfId="15210"/>
    <cellStyle name="Normal 33 2 64" xfId="15461"/>
    <cellStyle name="Normal 33 2 65" xfId="15708"/>
    <cellStyle name="Normal 33 2 66" xfId="15965"/>
    <cellStyle name="Normal 33 2 67" xfId="16216"/>
    <cellStyle name="Normal 33 2 68" xfId="16467"/>
    <cellStyle name="Normal 33 2 69" xfId="16718"/>
    <cellStyle name="Normal 33 2 7" xfId="1145"/>
    <cellStyle name="Normal 33 2 70" xfId="16969"/>
    <cellStyle name="Normal 33 2 71" xfId="17220"/>
    <cellStyle name="Normal 33 2 72" xfId="17471"/>
    <cellStyle name="Normal 33 2 73" xfId="17722"/>
    <cellStyle name="Normal 33 2 74" xfId="17973"/>
    <cellStyle name="Normal 33 2 75" xfId="18224"/>
    <cellStyle name="Normal 33 2 76" xfId="18475"/>
    <cellStyle name="Normal 33 2 77" xfId="18725"/>
    <cellStyle name="Normal 33 2 78" xfId="18976"/>
    <cellStyle name="Normal 33 2 79" xfId="19227"/>
    <cellStyle name="Normal 33 2 8" xfId="1398"/>
    <cellStyle name="Normal 33 2 80" xfId="19477"/>
    <cellStyle name="Normal 33 2 81" xfId="19733"/>
    <cellStyle name="Normal 33 2 82" xfId="19985"/>
    <cellStyle name="Normal 33 2 83" xfId="20237"/>
    <cellStyle name="Normal 33 2 84" xfId="20489"/>
    <cellStyle name="Normal 33 2 85" xfId="20739"/>
    <cellStyle name="Normal 33 2 86" xfId="20989"/>
    <cellStyle name="Normal 33 2 87" xfId="21240"/>
    <cellStyle name="Normal 33 2 88" xfId="21484"/>
    <cellStyle name="Normal 33 2 89" xfId="21728"/>
    <cellStyle name="Normal 33 2 9" xfId="1651"/>
    <cellStyle name="Normal 33 2 90" xfId="21969"/>
    <cellStyle name="Normal 33 20" xfId="4134"/>
    <cellStyle name="Normal 33 21" xfId="4385"/>
    <cellStyle name="Normal 33 22" xfId="4636"/>
    <cellStyle name="Normal 33 23" xfId="4887"/>
    <cellStyle name="Normal 33 24" xfId="5138"/>
    <cellStyle name="Normal 33 25" xfId="5389"/>
    <cellStyle name="Normal 33 26" xfId="5640"/>
    <cellStyle name="Normal 33 27" xfId="5891"/>
    <cellStyle name="Normal 33 28" xfId="6142"/>
    <cellStyle name="Normal 33 29" xfId="6393"/>
    <cellStyle name="Normal 33 3" xfId="170"/>
    <cellStyle name="Normal 33 3 10" xfId="2470"/>
    <cellStyle name="Normal 33 3 11" xfId="2721"/>
    <cellStyle name="Normal 33 3 12" xfId="2972"/>
    <cellStyle name="Normal 33 3 13" xfId="3223"/>
    <cellStyle name="Normal 33 3 14" xfId="3474"/>
    <cellStyle name="Normal 33 3 15" xfId="3725"/>
    <cellStyle name="Normal 33 3 16" xfId="3976"/>
    <cellStyle name="Normal 33 3 17" xfId="4227"/>
    <cellStyle name="Normal 33 3 18" xfId="4478"/>
    <cellStyle name="Normal 33 3 19" xfId="4729"/>
    <cellStyle name="Normal 33 3 2" xfId="447"/>
    <cellStyle name="Normal 33 3 20" xfId="4980"/>
    <cellStyle name="Normal 33 3 21" xfId="5231"/>
    <cellStyle name="Normal 33 3 22" xfId="5482"/>
    <cellStyle name="Normal 33 3 23" xfId="5733"/>
    <cellStyle name="Normal 33 3 24" xfId="5984"/>
    <cellStyle name="Normal 33 3 25" xfId="6235"/>
    <cellStyle name="Normal 33 3 26" xfId="6486"/>
    <cellStyle name="Normal 33 3 27" xfId="6737"/>
    <cellStyle name="Normal 33 3 28" xfId="6988"/>
    <cellStyle name="Normal 33 3 29" xfId="7239"/>
    <cellStyle name="Normal 33 3 3" xfId="697"/>
    <cellStyle name="Normal 33 3 30" xfId="7490"/>
    <cellStyle name="Normal 33 3 31" xfId="7741"/>
    <cellStyle name="Normal 33 3 32" xfId="7992"/>
    <cellStyle name="Normal 33 3 33" xfId="8243"/>
    <cellStyle name="Normal 33 3 34" xfId="8494"/>
    <cellStyle name="Normal 33 3 35" xfId="8745"/>
    <cellStyle name="Normal 33 3 36" xfId="8996"/>
    <cellStyle name="Normal 33 3 37" xfId="9247"/>
    <cellStyle name="Normal 33 3 38" xfId="9498"/>
    <cellStyle name="Normal 33 3 39" xfId="9749"/>
    <cellStyle name="Normal 33 3 4" xfId="950"/>
    <cellStyle name="Normal 33 3 40" xfId="10000"/>
    <cellStyle name="Normal 33 3 41" xfId="10251"/>
    <cellStyle name="Normal 33 3 42" xfId="10502"/>
    <cellStyle name="Normal 33 3 43" xfId="10753"/>
    <cellStyle name="Normal 33 3 44" xfId="11004"/>
    <cellStyle name="Normal 33 3 45" xfId="11255"/>
    <cellStyle name="Normal 33 3 46" xfId="11506"/>
    <cellStyle name="Normal 33 3 47" xfId="11757"/>
    <cellStyle name="Normal 33 3 48" xfId="12008"/>
    <cellStyle name="Normal 33 3 49" xfId="12259"/>
    <cellStyle name="Normal 33 3 5" xfId="1205"/>
    <cellStyle name="Normal 33 3 50" xfId="12510"/>
    <cellStyle name="Normal 33 3 51" xfId="12761"/>
    <cellStyle name="Normal 33 3 52" xfId="13012"/>
    <cellStyle name="Normal 33 3 53" xfId="13263"/>
    <cellStyle name="Normal 33 3 54" xfId="13514"/>
    <cellStyle name="Normal 33 3 55" xfId="13765"/>
    <cellStyle name="Normal 33 3 56" xfId="14016"/>
    <cellStyle name="Normal 33 3 57" xfId="14267"/>
    <cellStyle name="Normal 33 3 58" xfId="14518"/>
    <cellStyle name="Normal 33 3 59" xfId="14769"/>
    <cellStyle name="Normal 33 3 6" xfId="1458"/>
    <cellStyle name="Normal 33 3 60" xfId="15020"/>
    <cellStyle name="Normal 33 3 61" xfId="15270"/>
    <cellStyle name="Normal 33 3 62" xfId="15521"/>
    <cellStyle name="Normal 33 3 63" xfId="15769"/>
    <cellStyle name="Normal 33 3 64" xfId="16025"/>
    <cellStyle name="Normal 33 3 65" xfId="16276"/>
    <cellStyle name="Normal 33 3 66" xfId="16527"/>
    <cellStyle name="Normal 33 3 67" xfId="16778"/>
    <cellStyle name="Normal 33 3 68" xfId="17029"/>
    <cellStyle name="Normal 33 3 69" xfId="17280"/>
    <cellStyle name="Normal 33 3 7" xfId="1712"/>
    <cellStyle name="Normal 33 3 70" xfId="17531"/>
    <cellStyle name="Normal 33 3 71" xfId="17782"/>
    <cellStyle name="Normal 33 3 72" xfId="18033"/>
    <cellStyle name="Normal 33 3 73" xfId="18284"/>
    <cellStyle name="Normal 33 3 74" xfId="18535"/>
    <cellStyle name="Normal 33 3 75" xfId="18786"/>
    <cellStyle name="Normal 33 3 76" xfId="19036"/>
    <cellStyle name="Normal 33 3 77" xfId="19288"/>
    <cellStyle name="Normal 33 3 78" xfId="19538"/>
    <cellStyle name="Normal 33 3 79" xfId="19794"/>
    <cellStyle name="Normal 33 3 8" xfId="1968"/>
    <cellStyle name="Normal 33 3 80" xfId="20046"/>
    <cellStyle name="Normal 33 3 81" xfId="20298"/>
    <cellStyle name="Normal 33 3 82" xfId="20550"/>
    <cellStyle name="Normal 33 3 83" xfId="20800"/>
    <cellStyle name="Normal 33 3 84" xfId="21050"/>
    <cellStyle name="Normal 33 3 85" xfId="21299"/>
    <cellStyle name="Normal 33 3 86" xfId="21543"/>
    <cellStyle name="Normal 33 3 87" xfId="21787"/>
    <cellStyle name="Normal 33 3 88" xfId="22028"/>
    <cellStyle name="Normal 33 3 9" xfId="2219"/>
    <cellStyle name="Normal 33 30" xfId="6644"/>
    <cellStyle name="Normal 33 31" xfId="6895"/>
    <cellStyle name="Normal 33 32" xfId="7146"/>
    <cellStyle name="Normal 33 33" xfId="7397"/>
    <cellStyle name="Normal 33 34" xfId="7648"/>
    <cellStyle name="Normal 33 35" xfId="7899"/>
    <cellStyle name="Normal 33 36" xfId="8150"/>
    <cellStyle name="Normal 33 37" xfId="8401"/>
    <cellStyle name="Normal 33 38" xfId="8652"/>
    <cellStyle name="Normal 33 39" xfId="8903"/>
    <cellStyle name="Normal 33 4" xfId="246"/>
    <cellStyle name="Normal 33 4 10" xfId="2546"/>
    <cellStyle name="Normal 33 4 11" xfId="2797"/>
    <cellStyle name="Normal 33 4 12" xfId="3048"/>
    <cellStyle name="Normal 33 4 13" xfId="3299"/>
    <cellStyle name="Normal 33 4 14" xfId="3550"/>
    <cellStyle name="Normal 33 4 15" xfId="3801"/>
    <cellStyle name="Normal 33 4 16" xfId="4052"/>
    <cellStyle name="Normal 33 4 17" xfId="4303"/>
    <cellStyle name="Normal 33 4 18" xfId="4554"/>
    <cellStyle name="Normal 33 4 19" xfId="4805"/>
    <cellStyle name="Normal 33 4 2" xfId="522"/>
    <cellStyle name="Normal 33 4 20" xfId="5056"/>
    <cellStyle name="Normal 33 4 21" xfId="5307"/>
    <cellStyle name="Normal 33 4 22" xfId="5558"/>
    <cellStyle name="Normal 33 4 23" xfId="5809"/>
    <cellStyle name="Normal 33 4 24" xfId="6060"/>
    <cellStyle name="Normal 33 4 25" xfId="6311"/>
    <cellStyle name="Normal 33 4 26" xfId="6562"/>
    <cellStyle name="Normal 33 4 27" xfId="6813"/>
    <cellStyle name="Normal 33 4 28" xfId="7064"/>
    <cellStyle name="Normal 33 4 29" xfId="7315"/>
    <cellStyle name="Normal 33 4 3" xfId="772"/>
    <cellStyle name="Normal 33 4 30" xfId="7566"/>
    <cellStyle name="Normal 33 4 31" xfId="7817"/>
    <cellStyle name="Normal 33 4 32" xfId="8068"/>
    <cellStyle name="Normal 33 4 33" xfId="8319"/>
    <cellStyle name="Normal 33 4 34" xfId="8570"/>
    <cellStyle name="Normal 33 4 35" xfId="8821"/>
    <cellStyle name="Normal 33 4 36" xfId="9072"/>
    <cellStyle name="Normal 33 4 37" xfId="9323"/>
    <cellStyle name="Normal 33 4 38" xfId="9574"/>
    <cellStyle name="Normal 33 4 39" xfId="9825"/>
    <cellStyle name="Normal 33 4 4" xfId="1024"/>
    <cellStyle name="Normal 33 4 40" xfId="10076"/>
    <cellStyle name="Normal 33 4 41" xfId="10327"/>
    <cellStyle name="Normal 33 4 42" xfId="10578"/>
    <cellStyle name="Normal 33 4 43" xfId="10829"/>
    <cellStyle name="Normal 33 4 44" xfId="11080"/>
    <cellStyle name="Normal 33 4 45" xfId="11331"/>
    <cellStyle name="Normal 33 4 46" xfId="11582"/>
    <cellStyle name="Normal 33 4 47" xfId="11833"/>
    <cellStyle name="Normal 33 4 48" xfId="12084"/>
    <cellStyle name="Normal 33 4 49" xfId="12335"/>
    <cellStyle name="Normal 33 4 5" xfId="1280"/>
    <cellStyle name="Normal 33 4 50" xfId="12586"/>
    <cellStyle name="Normal 33 4 51" xfId="12837"/>
    <cellStyle name="Normal 33 4 52" xfId="13088"/>
    <cellStyle name="Normal 33 4 53" xfId="13339"/>
    <cellStyle name="Normal 33 4 54" xfId="13590"/>
    <cellStyle name="Normal 33 4 55" xfId="13841"/>
    <cellStyle name="Normal 33 4 56" xfId="14092"/>
    <cellStyle name="Normal 33 4 57" xfId="14343"/>
    <cellStyle name="Normal 33 4 58" xfId="14594"/>
    <cellStyle name="Normal 33 4 59" xfId="14845"/>
    <cellStyle name="Normal 33 4 6" xfId="1534"/>
    <cellStyle name="Normal 33 4 60" xfId="15096"/>
    <cellStyle name="Normal 33 4 61" xfId="15346"/>
    <cellStyle name="Normal 33 4 62" xfId="15596"/>
    <cellStyle name="Normal 33 4 63" xfId="15845"/>
    <cellStyle name="Normal 33 4 64" xfId="16101"/>
    <cellStyle name="Normal 33 4 65" xfId="16352"/>
    <cellStyle name="Normal 33 4 66" xfId="16603"/>
    <cellStyle name="Normal 33 4 67" xfId="16854"/>
    <cellStyle name="Normal 33 4 68" xfId="17105"/>
    <cellStyle name="Normal 33 4 69" xfId="17356"/>
    <cellStyle name="Normal 33 4 7" xfId="1787"/>
    <cellStyle name="Normal 33 4 70" xfId="17607"/>
    <cellStyle name="Normal 33 4 71" xfId="17858"/>
    <cellStyle name="Normal 33 4 72" xfId="18109"/>
    <cellStyle name="Normal 33 4 73" xfId="18360"/>
    <cellStyle name="Normal 33 4 74" xfId="18611"/>
    <cellStyle name="Normal 33 4 75" xfId="18862"/>
    <cellStyle name="Normal 33 4 76" xfId="19112"/>
    <cellStyle name="Normal 33 4 77" xfId="19364"/>
    <cellStyle name="Normal 33 4 78" xfId="19614"/>
    <cellStyle name="Normal 33 4 79" xfId="19870"/>
    <cellStyle name="Normal 33 4 8" xfId="2044"/>
    <cellStyle name="Normal 33 4 80" xfId="20122"/>
    <cellStyle name="Normal 33 4 81" xfId="20374"/>
    <cellStyle name="Normal 33 4 82" xfId="20626"/>
    <cellStyle name="Normal 33 4 83" xfId="20876"/>
    <cellStyle name="Normal 33 4 84" xfId="21126"/>
    <cellStyle name="Normal 33 4 85" xfId="21374"/>
    <cellStyle name="Normal 33 4 86" xfId="21618"/>
    <cellStyle name="Normal 33 4 87" xfId="21861"/>
    <cellStyle name="Normal 33 4 88" xfId="22102"/>
    <cellStyle name="Normal 33 4 9" xfId="2295"/>
    <cellStyle name="Normal 33 40" xfId="9154"/>
    <cellStyle name="Normal 33 41" xfId="9405"/>
    <cellStyle name="Normal 33 42" xfId="9656"/>
    <cellStyle name="Normal 33 43" xfId="9907"/>
    <cellStyle name="Normal 33 44" xfId="10158"/>
    <cellStyle name="Normal 33 45" xfId="10409"/>
    <cellStyle name="Normal 33 46" xfId="10660"/>
    <cellStyle name="Normal 33 47" xfId="10911"/>
    <cellStyle name="Normal 33 48" xfId="11162"/>
    <cellStyle name="Normal 33 49" xfId="11413"/>
    <cellStyle name="Normal 33 5" xfId="355"/>
    <cellStyle name="Normal 33 50" xfId="11664"/>
    <cellStyle name="Normal 33 51" xfId="11915"/>
    <cellStyle name="Normal 33 52" xfId="12166"/>
    <cellStyle name="Normal 33 53" xfId="12417"/>
    <cellStyle name="Normal 33 54" xfId="12668"/>
    <cellStyle name="Normal 33 55" xfId="12919"/>
    <cellStyle name="Normal 33 56" xfId="13170"/>
    <cellStyle name="Normal 33 57" xfId="13421"/>
    <cellStyle name="Normal 33 58" xfId="13672"/>
    <cellStyle name="Normal 33 59" xfId="13923"/>
    <cellStyle name="Normal 33 6" xfId="604"/>
    <cellStyle name="Normal 33 60" xfId="14174"/>
    <cellStyle name="Normal 33 61" xfId="14425"/>
    <cellStyle name="Normal 33 62" xfId="14676"/>
    <cellStyle name="Normal 33 63" xfId="14926"/>
    <cellStyle name="Normal 33 64" xfId="15177"/>
    <cellStyle name="Normal 33 65" xfId="15428"/>
    <cellStyle name="Normal 33 66" xfId="15675"/>
    <cellStyle name="Normal 33 67" xfId="15932"/>
    <cellStyle name="Normal 33 68" xfId="16183"/>
    <cellStyle name="Normal 33 69" xfId="16434"/>
    <cellStyle name="Normal 33 7" xfId="857"/>
    <cellStyle name="Normal 33 70" xfId="16685"/>
    <cellStyle name="Normal 33 71" xfId="16936"/>
    <cellStyle name="Normal 33 72" xfId="17187"/>
    <cellStyle name="Normal 33 73" xfId="17438"/>
    <cellStyle name="Normal 33 74" xfId="17689"/>
    <cellStyle name="Normal 33 75" xfId="17940"/>
    <cellStyle name="Normal 33 76" xfId="18191"/>
    <cellStyle name="Normal 33 77" xfId="18442"/>
    <cellStyle name="Normal 33 78" xfId="18692"/>
    <cellStyle name="Normal 33 79" xfId="18943"/>
    <cellStyle name="Normal 33 8" xfId="1112"/>
    <cellStyle name="Normal 33 80" xfId="19194"/>
    <cellStyle name="Normal 33 81" xfId="19444"/>
    <cellStyle name="Normal 33 82" xfId="19700"/>
    <cellStyle name="Normal 33 83" xfId="19952"/>
    <cellStyle name="Normal 33 84" xfId="20204"/>
    <cellStyle name="Normal 33 85" xfId="20456"/>
    <cellStyle name="Normal 33 86" xfId="20706"/>
    <cellStyle name="Normal 33 87" xfId="20956"/>
    <cellStyle name="Normal 33 88" xfId="21207"/>
    <cellStyle name="Normal 33 89" xfId="21451"/>
    <cellStyle name="Normal 33 9" xfId="1365"/>
    <cellStyle name="Normal 33 90" xfId="21695"/>
    <cellStyle name="Normal 33 91" xfId="21936"/>
    <cellStyle name="Normal 34" xfId="760"/>
    <cellStyle name="Normal 34 10" xfId="24205"/>
    <cellStyle name="Normal 34 11" xfId="24206"/>
    <cellStyle name="Normal 34 12" xfId="24207"/>
    <cellStyle name="Normal 34 13" xfId="24208"/>
    <cellStyle name="Normal 34 14" xfId="24209"/>
    <cellStyle name="Normal 34 15" xfId="24210"/>
    <cellStyle name="Normal 34 16" xfId="24211"/>
    <cellStyle name="Normal 34 17" xfId="24212"/>
    <cellStyle name="Normal 34 18" xfId="24213"/>
    <cellStyle name="Normal 34 19" xfId="24214"/>
    <cellStyle name="Normal 34 2" xfId="24215"/>
    <cellStyle name="Normal 34 20" xfId="24216"/>
    <cellStyle name="Normal 34 21" xfId="24217"/>
    <cellStyle name="Normal 34 22" xfId="24218"/>
    <cellStyle name="Normal 34 3" xfId="24219"/>
    <cellStyle name="Normal 34 4" xfId="24220"/>
    <cellStyle name="Normal 34 5" xfId="24221"/>
    <cellStyle name="Normal 34 6" xfId="24222"/>
    <cellStyle name="Normal 34 7" xfId="24223"/>
    <cellStyle name="Normal 34 8" xfId="24224"/>
    <cellStyle name="Normal 34 9" xfId="24225"/>
    <cellStyle name="Normal 35" xfId="938"/>
    <cellStyle name="Normal 35 10" xfId="24226"/>
    <cellStyle name="Normal 35 11" xfId="24227"/>
    <cellStyle name="Normal 35 12" xfId="24228"/>
    <cellStyle name="Normal 35 13" xfId="24229"/>
    <cellStyle name="Normal 35 14" xfId="24230"/>
    <cellStyle name="Normal 35 15" xfId="24231"/>
    <cellStyle name="Normal 35 16" xfId="24232"/>
    <cellStyle name="Normal 35 17" xfId="24233"/>
    <cellStyle name="Normal 35 18" xfId="24234"/>
    <cellStyle name="Normal 35 19" xfId="24235"/>
    <cellStyle name="Normal 35 2" xfId="24236"/>
    <cellStyle name="Normal 35 20" xfId="24237"/>
    <cellStyle name="Normal 35 21" xfId="24238"/>
    <cellStyle name="Normal 35 22" xfId="24239"/>
    <cellStyle name="Normal 35 3" xfId="24240"/>
    <cellStyle name="Normal 35 4" xfId="24241"/>
    <cellStyle name="Normal 35 5" xfId="24242"/>
    <cellStyle name="Normal 35 6" xfId="24243"/>
    <cellStyle name="Normal 35 7" xfId="24244"/>
    <cellStyle name="Normal 35 8" xfId="24245"/>
    <cellStyle name="Normal 35 9" xfId="24246"/>
    <cellStyle name="Normal 36" xfId="77"/>
    <cellStyle name="Normal 36 10" xfId="1619"/>
    <cellStyle name="Normal 36 11" xfId="1876"/>
    <cellStyle name="Normal 36 12" xfId="2127"/>
    <cellStyle name="Normal 36 13" xfId="2378"/>
    <cellStyle name="Normal 36 14" xfId="2629"/>
    <cellStyle name="Normal 36 15" xfId="2880"/>
    <cellStyle name="Normal 36 16" xfId="3131"/>
    <cellStyle name="Normal 36 17" xfId="3382"/>
    <cellStyle name="Normal 36 18" xfId="3633"/>
    <cellStyle name="Normal 36 19" xfId="3884"/>
    <cellStyle name="Normal 36 2" xfId="110"/>
    <cellStyle name="Normal 36 2 10" xfId="1909"/>
    <cellStyle name="Normal 36 2 11" xfId="2160"/>
    <cellStyle name="Normal 36 2 12" xfId="2411"/>
    <cellStyle name="Normal 36 2 13" xfId="2662"/>
    <cellStyle name="Normal 36 2 14" xfId="2913"/>
    <cellStyle name="Normal 36 2 15" xfId="3164"/>
    <cellStyle name="Normal 36 2 16" xfId="3415"/>
    <cellStyle name="Normal 36 2 17" xfId="3666"/>
    <cellStyle name="Normal 36 2 18" xfId="3917"/>
    <cellStyle name="Normal 36 2 19" xfId="4168"/>
    <cellStyle name="Normal 36 2 2" xfId="204"/>
    <cellStyle name="Normal 36 2 2 10" xfId="2504"/>
    <cellStyle name="Normal 36 2 2 11" xfId="2755"/>
    <cellStyle name="Normal 36 2 2 12" xfId="3006"/>
    <cellStyle name="Normal 36 2 2 13" xfId="3257"/>
    <cellStyle name="Normal 36 2 2 14" xfId="3508"/>
    <cellStyle name="Normal 36 2 2 15" xfId="3759"/>
    <cellStyle name="Normal 36 2 2 16" xfId="4010"/>
    <cellStyle name="Normal 36 2 2 17" xfId="4261"/>
    <cellStyle name="Normal 36 2 2 18" xfId="4512"/>
    <cellStyle name="Normal 36 2 2 19" xfId="4763"/>
    <cellStyle name="Normal 36 2 2 2" xfId="481"/>
    <cellStyle name="Normal 36 2 2 20" xfId="5014"/>
    <cellStyle name="Normal 36 2 2 21" xfId="5265"/>
    <cellStyle name="Normal 36 2 2 22" xfId="5516"/>
    <cellStyle name="Normal 36 2 2 23" xfId="5767"/>
    <cellStyle name="Normal 36 2 2 24" xfId="6018"/>
    <cellStyle name="Normal 36 2 2 25" xfId="6269"/>
    <cellStyle name="Normal 36 2 2 26" xfId="6520"/>
    <cellStyle name="Normal 36 2 2 27" xfId="6771"/>
    <cellStyle name="Normal 36 2 2 28" xfId="7022"/>
    <cellStyle name="Normal 36 2 2 29" xfId="7273"/>
    <cellStyle name="Normal 36 2 2 3" xfId="731"/>
    <cellStyle name="Normal 36 2 2 30" xfId="7524"/>
    <cellStyle name="Normal 36 2 2 31" xfId="7775"/>
    <cellStyle name="Normal 36 2 2 32" xfId="8026"/>
    <cellStyle name="Normal 36 2 2 33" xfId="8277"/>
    <cellStyle name="Normal 36 2 2 34" xfId="8528"/>
    <cellStyle name="Normal 36 2 2 35" xfId="8779"/>
    <cellStyle name="Normal 36 2 2 36" xfId="9030"/>
    <cellStyle name="Normal 36 2 2 37" xfId="9281"/>
    <cellStyle name="Normal 36 2 2 38" xfId="9532"/>
    <cellStyle name="Normal 36 2 2 39" xfId="9783"/>
    <cellStyle name="Normal 36 2 2 4" xfId="984"/>
    <cellStyle name="Normal 36 2 2 40" xfId="10034"/>
    <cellStyle name="Normal 36 2 2 41" xfId="10285"/>
    <cellStyle name="Normal 36 2 2 42" xfId="10536"/>
    <cellStyle name="Normal 36 2 2 43" xfId="10787"/>
    <cellStyle name="Normal 36 2 2 44" xfId="11038"/>
    <cellStyle name="Normal 36 2 2 45" xfId="11289"/>
    <cellStyle name="Normal 36 2 2 46" xfId="11540"/>
    <cellStyle name="Normal 36 2 2 47" xfId="11791"/>
    <cellStyle name="Normal 36 2 2 48" xfId="12042"/>
    <cellStyle name="Normal 36 2 2 49" xfId="12293"/>
    <cellStyle name="Normal 36 2 2 5" xfId="1239"/>
    <cellStyle name="Normal 36 2 2 50" xfId="12544"/>
    <cellStyle name="Normal 36 2 2 51" xfId="12795"/>
    <cellStyle name="Normal 36 2 2 52" xfId="13046"/>
    <cellStyle name="Normal 36 2 2 53" xfId="13297"/>
    <cellStyle name="Normal 36 2 2 54" xfId="13548"/>
    <cellStyle name="Normal 36 2 2 55" xfId="13799"/>
    <cellStyle name="Normal 36 2 2 56" xfId="14050"/>
    <cellStyle name="Normal 36 2 2 57" xfId="14301"/>
    <cellStyle name="Normal 36 2 2 58" xfId="14552"/>
    <cellStyle name="Normal 36 2 2 59" xfId="14803"/>
    <cellStyle name="Normal 36 2 2 6" xfId="1492"/>
    <cellStyle name="Normal 36 2 2 60" xfId="15054"/>
    <cellStyle name="Normal 36 2 2 61" xfId="15304"/>
    <cellStyle name="Normal 36 2 2 62" xfId="15555"/>
    <cellStyle name="Normal 36 2 2 63" xfId="15803"/>
    <cellStyle name="Normal 36 2 2 64" xfId="16059"/>
    <cellStyle name="Normal 36 2 2 65" xfId="16310"/>
    <cellStyle name="Normal 36 2 2 66" xfId="16561"/>
    <cellStyle name="Normal 36 2 2 67" xfId="16812"/>
    <cellStyle name="Normal 36 2 2 68" xfId="17063"/>
    <cellStyle name="Normal 36 2 2 69" xfId="17314"/>
    <cellStyle name="Normal 36 2 2 7" xfId="1746"/>
    <cellStyle name="Normal 36 2 2 70" xfId="17565"/>
    <cellStyle name="Normal 36 2 2 71" xfId="17816"/>
    <cellStyle name="Normal 36 2 2 72" xfId="18067"/>
    <cellStyle name="Normal 36 2 2 73" xfId="18318"/>
    <cellStyle name="Normal 36 2 2 74" xfId="18569"/>
    <cellStyle name="Normal 36 2 2 75" xfId="18820"/>
    <cellStyle name="Normal 36 2 2 76" xfId="19070"/>
    <cellStyle name="Normal 36 2 2 77" xfId="19322"/>
    <cellStyle name="Normal 36 2 2 78" xfId="19572"/>
    <cellStyle name="Normal 36 2 2 79" xfId="19828"/>
    <cellStyle name="Normal 36 2 2 8" xfId="2002"/>
    <cellStyle name="Normal 36 2 2 80" xfId="20080"/>
    <cellStyle name="Normal 36 2 2 81" xfId="20332"/>
    <cellStyle name="Normal 36 2 2 82" xfId="20584"/>
    <cellStyle name="Normal 36 2 2 83" xfId="20834"/>
    <cellStyle name="Normal 36 2 2 84" xfId="21084"/>
    <cellStyle name="Normal 36 2 2 85" xfId="21333"/>
    <cellStyle name="Normal 36 2 2 86" xfId="21577"/>
    <cellStyle name="Normal 36 2 2 87" xfId="21821"/>
    <cellStyle name="Normal 36 2 2 88" xfId="22062"/>
    <cellStyle name="Normal 36 2 2 9" xfId="2253"/>
    <cellStyle name="Normal 36 2 20" xfId="4419"/>
    <cellStyle name="Normal 36 2 21" xfId="4670"/>
    <cellStyle name="Normal 36 2 22" xfId="4921"/>
    <cellStyle name="Normal 36 2 23" xfId="5172"/>
    <cellStyle name="Normal 36 2 24" xfId="5423"/>
    <cellStyle name="Normal 36 2 25" xfId="5674"/>
    <cellStyle name="Normal 36 2 26" xfId="5925"/>
    <cellStyle name="Normal 36 2 27" xfId="6176"/>
    <cellStyle name="Normal 36 2 28" xfId="6427"/>
    <cellStyle name="Normal 36 2 29" xfId="6678"/>
    <cellStyle name="Normal 36 2 3" xfId="280"/>
    <cellStyle name="Normal 36 2 3 10" xfId="2580"/>
    <cellStyle name="Normal 36 2 3 11" xfId="2831"/>
    <cellStyle name="Normal 36 2 3 12" xfId="3082"/>
    <cellStyle name="Normal 36 2 3 13" xfId="3333"/>
    <cellStyle name="Normal 36 2 3 14" xfId="3584"/>
    <cellStyle name="Normal 36 2 3 15" xfId="3835"/>
    <cellStyle name="Normal 36 2 3 16" xfId="4086"/>
    <cellStyle name="Normal 36 2 3 17" xfId="4337"/>
    <cellStyle name="Normal 36 2 3 18" xfId="4588"/>
    <cellStyle name="Normal 36 2 3 19" xfId="4839"/>
    <cellStyle name="Normal 36 2 3 2" xfId="555"/>
    <cellStyle name="Normal 36 2 3 20" xfId="5090"/>
    <cellStyle name="Normal 36 2 3 21" xfId="5341"/>
    <cellStyle name="Normal 36 2 3 22" xfId="5592"/>
    <cellStyle name="Normal 36 2 3 23" xfId="5843"/>
    <cellStyle name="Normal 36 2 3 24" xfId="6094"/>
    <cellStyle name="Normal 36 2 3 25" xfId="6345"/>
    <cellStyle name="Normal 36 2 3 26" xfId="6596"/>
    <cellStyle name="Normal 36 2 3 27" xfId="6847"/>
    <cellStyle name="Normal 36 2 3 28" xfId="7098"/>
    <cellStyle name="Normal 36 2 3 29" xfId="7349"/>
    <cellStyle name="Normal 36 2 3 3" xfId="805"/>
    <cellStyle name="Normal 36 2 3 30" xfId="7600"/>
    <cellStyle name="Normal 36 2 3 31" xfId="7851"/>
    <cellStyle name="Normal 36 2 3 32" xfId="8102"/>
    <cellStyle name="Normal 36 2 3 33" xfId="8353"/>
    <cellStyle name="Normal 36 2 3 34" xfId="8604"/>
    <cellStyle name="Normal 36 2 3 35" xfId="8855"/>
    <cellStyle name="Normal 36 2 3 36" xfId="9106"/>
    <cellStyle name="Normal 36 2 3 37" xfId="9357"/>
    <cellStyle name="Normal 36 2 3 38" xfId="9608"/>
    <cellStyle name="Normal 36 2 3 39" xfId="9859"/>
    <cellStyle name="Normal 36 2 3 4" xfId="1057"/>
    <cellStyle name="Normal 36 2 3 40" xfId="10110"/>
    <cellStyle name="Normal 36 2 3 41" xfId="10361"/>
    <cellStyle name="Normal 36 2 3 42" xfId="10612"/>
    <cellStyle name="Normal 36 2 3 43" xfId="10863"/>
    <cellStyle name="Normal 36 2 3 44" xfId="11114"/>
    <cellStyle name="Normal 36 2 3 45" xfId="11365"/>
    <cellStyle name="Normal 36 2 3 46" xfId="11616"/>
    <cellStyle name="Normal 36 2 3 47" xfId="11867"/>
    <cellStyle name="Normal 36 2 3 48" xfId="12118"/>
    <cellStyle name="Normal 36 2 3 49" xfId="12369"/>
    <cellStyle name="Normal 36 2 3 5" xfId="1313"/>
    <cellStyle name="Normal 36 2 3 50" xfId="12620"/>
    <cellStyle name="Normal 36 2 3 51" xfId="12871"/>
    <cellStyle name="Normal 36 2 3 52" xfId="13122"/>
    <cellStyle name="Normal 36 2 3 53" xfId="13373"/>
    <cellStyle name="Normal 36 2 3 54" xfId="13624"/>
    <cellStyle name="Normal 36 2 3 55" xfId="13875"/>
    <cellStyle name="Normal 36 2 3 56" xfId="14126"/>
    <cellStyle name="Normal 36 2 3 57" xfId="14377"/>
    <cellStyle name="Normal 36 2 3 58" xfId="14628"/>
    <cellStyle name="Normal 36 2 3 59" xfId="14879"/>
    <cellStyle name="Normal 36 2 3 6" xfId="1568"/>
    <cellStyle name="Normal 36 2 3 60" xfId="15130"/>
    <cellStyle name="Normal 36 2 3 61" xfId="15380"/>
    <cellStyle name="Normal 36 2 3 62" xfId="15629"/>
    <cellStyle name="Normal 36 2 3 63" xfId="15879"/>
    <cellStyle name="Normal 36 2 3 64" xfId="16135"/>
    <cellStyle name="Normal 36 2 3 65" xfId="16386"/>
    <cellStyle name="Normal 36 2 3 66" xfId="16637"/>
    <cellStyle name="Normal 36 2 3 67" xfId="16888"/>
    <cellStyle name="Normal 36 2 3 68" xfId="17139"/>
    <cellStyle name="Normal 36 2 3 69" xfId="17390"/>
    <cellStyle name="Normal 36 2 3 7" xfId="1821"/>
    <cellStyle name="Normal 36 2 3 70" xfId="17641"/>
    <cellStyle name="Normal 36 2 3 71" xfId="17892"/>
    <cellStyle name="Normal 36 2 3 72" xfId="18143"/>
    <cellStyle name="Normal 36 2 3 73" xfId="18394"/>
    <cellStyle name="Normal 36 2 3 74" xfId="18645"/>
    <cellStyle name="Normal 36 2 3 75" xfId="18896"/>
    <cellStyle name="Normal 36 2 3 76" xfId="19146"/>
    <cellStyle name="Normal 36 2 3 77" xfId="19397"/>
    <cellStyle name="Normal 36 2 3 78" xfId="19648"/>
    <cellStyle name="Normal 36 2 3 79" xfId="19904"/>
    <cellStyle name="Normal 36 2 3 8" xfId="2078"/>
    <cellStyle name="Normal 36 2 3 80" xfId="20156"/>
    <cellStyle name="Normal 36 2 3 81" xfId="20408"/>
    <cellStyle name="Normal 36 2 3 82" xfId="20660"/>
    <cellStyle name="Normal 36 2 3 83" xfId="20910"/>
    <cellStyle name="Normal 36 2 3 84" xfId="21159"/>
    <cellStyle name="Normal 36 2 3 85" xfId="21407"/>
    <cellStyle name="Normal 36 2 3 86" xfId="21651"/>
    <cellStyle name="Normal 36 2 3 87" xfId="21893"/>
    <cellStyle name="Normal 36 2 3 88" xfId="22134"/>
    <cellStyle name="Normal 36 2 3 9" xfId="2329"/>
    <cellStyle name="Normal 36 2 30" xfId="6929"/>
    <cellStyle name="Normal 36 2 31" xfId="7180"/>
    <cellStyle name="Normal 36 2 32" xfId="7431"/>
    <cellStyle name="Normal 36 2 33" xfId="7682"/>
    <cellStyle name="Normal 36 2 34" xfId="7933"/>
    <cellStyle name="Normal 36 2 35" xfId="8184"/>
    <cellStyle name="Normal 36 2 36" xfId="8435"/>
    <cellStyle name="Normal 36 2 37" xfId="8686"/>
    <cellStyle name="Normal 36 2 38" xfId="8937"/>
    <cellStyle name="Normal 36 2 39" xfId="9188"/>
    <cellStyle name="Normal 36 2 4" xfId="389"/>
    <cellStyle name="Normal 36 2 40" xfId="9439"/>
    <cellStyle name="Normal 36 2 41" xfId="9690"/>
    <cellStyle name="Normal 36 2 42" xfId="9941"/>
    <cellStyle name="Normal 36 2 43" xfId="10192"/>
    <cellStyle name="Normal 36 2 44" xfId="10443"/>
    <cellStyle name="Normal 36 2 45" xfId="10694"/>
    <cellStyle name="Normal 36 2 46" xfId="10945"/>
    <cellStyle name="Normal 36 2 47" xfId="11196"/>
    <cellStyle name="Normal 36 2 48" xfId="11447"/>
    <cellStyle name="Normal 36 2 49" xfId="11698"/>
    <cellStyle name="Normal 36 2 5" xfId="638"/>
    <cellStyle name="Normal 36 2 50" xfId="11949"/>
    <cellStyle name="Normal 36 2 51" xfId="12200"/>
    <cellStyle name="Normal 36 2 52" xfId="12451"/>
    <cellStyle name="Normal 36 2 53" xfId="12702"/>
    <cellStyle name="Normal 36 2 54" xfId="12953"/>
    <cellStyle name="Normal 36 2 55" xfId="13204"/>
    <cellStyle name="Normal 36 2 56" xfId="13455"/>
    <cellStyle name="Normal 36 2 57" xfId="13706"/>
    <cellStyle name="Normal 36 2 58" xfId="13957"/>
    <cellStyle name="Normal 36 2 59" xfId="14208"/>
    <cellStyle name="Normal 36 2 6" xfId="891"/>
    <cellStyle name="Normal 36 2 60" xfId="14459"/>
    <cellStyle name="Normal 36 2 61" xfId="14710"/>
    <cellStyle name="Normal 36 2 62" xfId="14960"/>
    <cellStyle name="Normal 36 2 63" xfId="15211"/>
    <cellStyle name="Normal 36 2 64" xfId="15462"/>
    <cellStyle name="Normal 36 2 65" xfId="15709"/>
    <cellStyle name="Normal 36 2 66" xfId="15966"/>
    <cellStyle name="Normal 36 2 67" xfId="16217"/>
    <cellStyle name="Normal 36 2 68" xfId="16468"/>
    <cellStyle name="Normal 36 2 69" xfId="16719"/>
    <cellStyle name="Normal 36 2 7" xfId="1146"/>
    <cellStyle name="Normal 36 2 70" xfId="16970"/>
    <cellStyle name="Normal 36 2 71" xfId="17221"/>
    <cellStyle name="Normal 36 2 72" xfId="17472"/>
    <cellStyle name="Normal 36 2 73" xfId="17723"/>
    <cellStyle name="Normal 36 2 74" xfId="17974"/>
    <cellStyle name="Normal 36 2 75" xfId="18225"/>
    <cellStyle name="Normal 36 2 76" xfId="18476"/>
    <cellStyle name="Normal 36 2 77" xfId="18726"/>
    <cellStyle name="Normal 36 2 78" xfId="18977"/>
    <cellStyle name="Normal 36 2 79" xfId="19228"/>
    <cellStyle name="Normal 36 2 8" xfId="1399"/>
    <cellStyle name="Normal 36 2 80" xfId="19478"/>
    <cellStyle name="Normal 36 2 81" xfId="19734"/>
    <cellStyle name="Normal 36 2 82" xfId="19986"/>
    <cellStyle name="Normal 36 2 83" xfId="20238"/>
    <cellStyle name="Normal 36 2 84" xfId="20490"/>
    <cellStyle name="Normal 36 2 85" xfId="20740"/>
    <cellStyle name="Normal 36 2 86" xfId="20990"/>
    <cellStyle name="Normal 36 2 87" xfId="21241"/>
    <cellStyle name="Normal 36 2 88" xfId="21485"/>
    <cellStyle name="Normal 36 2 89" xfId="21729"/>
    <cellStyle name="Normal 36 2 9" xfId="1652"/>
    <cellStyle name="Normal 36 2 90" xfId="21970"/>
    <cellStyle name="Normal 36 20" xfId="4135"/>
    <cellStyle name="Normal 36 21" xfId="4386"/>
    <cellStyle name="Normal 36 22" xfId="4637"/>
    <cellStyle name="Normal 36 23" xfId="4888"/>
    <cellStyle name="Normal 36 24" xfId="5139"/>
    <cellStyle name="Normal 36 25" xfId="5390"/>
    <cellStyle name="Normal 36 26" xfId="5641"/>
    <cellStyle name="Normal 36 27" xfId="5892"/>
    <cellStyle name="Normal 36 28" xfId="6143"/>
    <cellStyle name="Normal 36 29" xfId="6394"/>
    <cellStyle name="Normal 36 3" xfId="171"/>
    <cellStyle name="Normal 36 3 10" xfId="2471"/>
    <cellStyle name="Normal 36 3 11" xfId="2722"/>
    <cellStyle name="Normal 36 3 12" xfId="2973"/>
    <cellStyle name="Normal 36 3 13" xfId="3224"/>
    <cellStyle name="Normal 36 3 14" xfId="3475"/>
    <cellStyle name="Normal 36 3 15" xfId="3726"/>
    <cellStyle name="Normal 36 3 16" xfId="3977"/>
    <cellStyle name="Normal 36 3 17" xfId="4228"/>
    <cellStyle name="Normal 36 3 18" xfId="4479"/>
    <cellStyle name="Normal 36 3 19" xfId="4730"/>
    <cellStyle name="Normal 36 3 2" xfId="448"/>
    <cellStyle name="Normal 36 3 20" xfId="4981"/>
    <cellStyle name="Normal 36 3 21" xfId="5232"/>
    <cellStyle name="Normal 36 3 22" xfId="5483"/>
    <cellStyle name="Normal 36 3 23" xfId="5734"/>
    <cellStyle name="Normal 36 3 24" xfId="5985"/>
    <cellStyle name="Normal 36 3 25" xfId="6236"/>
    <cellStyle name="Normal 36 3 26" xfId="6487"/>
    <cellStyle name="Normal 36 3 27" xfId="6738"/>
    <cellStyle name="Normal 36 3 28" xfId="6989"/>
    <cellStyle name="Normal 36 3 29" xfId="7240"/>
    <cellStyle name="Normal 36 3 3" xfId="698"/>
    <cellStyle name="Normal 36 3 30" xfId="7491"/>
    <cellStyle name="Normal 36 3 31" xfId="7742"/>
    <cellStyle name="Normal 36 3 32" xfId="7993"/>
    <cellStyle name="Normal 36 3 33" xfId="8244"/>
    <cellStyle name="Normal 36 3 34" xfId="8495"/>
    <cellStyle name="Normal 36 3 35" xfId="8746"/>
    <cellStyle name="Normal 36 3 36" xfId="8997"/>
    <cellStyle name="Normal 36 3 37" xfId="9248"/>
    <cellStyle name="Normal 36 3 38" xfId="9499"/>
    <cellStyle name="Normal 36 3 39" xfId="9750"/>
    <cellStyle name="Normal 36 3 4" xfId="951"/>
    <cellStyle name="Normal 36 3 40" xfId="10001"/>
    <cellStyle name="Normal 36 3 41" xfId="10252"/>
    <cellStyle name="Normal 36 3 42" xfId="10503"/>
    <cellStyle name="Normal 36 3 43" xfId="10754"/>
    <cellStyle name="Normal 36 3 44" xfId="11005"/>
    <cellStyle name="Normal 36 3 45" xfId="11256"/>
    <cellStyle name="Normal 36 3 46" xfId="11507"/>
    <cellStyle name="Normal 36 3 47" xfId="11758"/>
    <cellStyle name="Normal 36 3 48" xfId="12009"/>
    <cellStyle name="Normal 36 3 49" xfId="12260"/>
    <cellStyle name="Normal 36 3 5" xfId="1206"/>
    <cellStyle name="Normal 36 3 50" xfId="12511"/>
    <cellStyle name="Normal 36 3 51" xfId="12762"/>
    <cellStyle name="Normal 36 3 52" xfId="13013"/>
    <cellStyle name="Normal 36 3 53" xfId="13264"/>
    <cellStyle name="Normal 36 3 54" xfId="13515"/>
    <cellStyle name="Normal 36 3 55" xfId="13766"/>
    <cellStyle name="Normal 36 3 56" xfId="14017"/>
    <cellStyle name="Normal 36 3 57" xfId="14268"/>
    <cellStyle name="Normal 36 3 58" xfId="14519"/>
    <cellStyle name="Normal 36 3 59" xfId="14770"/>
    <cellStyle name="Normal 36 3 6" xfId="1459"/>
    <cellStyle name="Normal 36 3 60" xfId="15021"/>
    <cellStyle name="Normal 36 3 61" xfId="15271"/>
    <cellStyle name="Normal 36 3 62" xfId="15522"/>
    <cellStyle name="Normal 36 3 63" xfId="15770"/>
    <cellStyle name="Normal 36 3 64" xfId="16026"/>
    <cellStyle name="Normal 36 3 65" xfId="16277"/>
    <cellStyle name="Normal 36 3 66" xfId="16528"/>
    <cellStyle name="Normal 36 3 67" xfId="16779"/>
    <cellStyle name="Normal 36 3 68" xfId="17030"/>
    <cellStyle name="Normal 36 3 69" xfId="17281"/>
    <cellStyle name="Normal 36 3 7" xfId="1713"/>
    <cellStyle name="Normal 36 3 70" xfId="17532"/>
    <cellStyle name="Normal 36 3 71" xfId="17783"/>
    <cellStyle name="Normal 36 3 72" xfId="18034"/>
    <cellStyle name="Normal 36 3 73" xfId="18285"/>
    <cellStyle name="Normal 36 3 74" xfId="18536"/>
    <cellStyle name="Normal 36 3 75" xfId="18787"/>
    <cellStyle name="Normal 36 3 76" xfId="19037"/>
    <cellStyle name="Normal 36 3 77" xfId="19289"/>
    <cellStyle name="Normal 36 3 78" xfId="19539"/>
    <cellStyle name="Normal 36 3 79" xfId="19795"/>
    <cellStyle name="Normal 36 3 8" xfId="1969"/>
    <cellStyle name="Normal 36 3 80" xfId="20047"/>
    <cellStyle name="Normal 36 3 81" xfId="20299"/>
    <cellStyle name="Normal 36 3 82" xfId="20551"/>
    <cellStyle name="Normal 36 3 83" xfId="20801"/>
    <cellStyle name="Normal 36 3 84" xfId="21051"/>
    <cellStyle name="Normal 36 3 85" xfId="21300"/>
    <cellStyle name="Normal 36 3 86" xfId="21544"/>
    <cellStyle name="Normal 36 3 87" xfId="21788"/>
    <cellStyle name="Normal 36 3 88" xfId="22029"/>
    <cellStyle name="Normal 36 3 9" xfId="2220"/>
    <cellStyle name="Normal 36 30" xfId="6645"/>
    <cellStyle name="Normal 36 31" xfId="6896"/>
    <cellStyle name="Normal 36 32" xfId="7147"/>
    <cellStyle name="Normal 36 33" xfId="7398"/>
    <cellStyle name="Normal 36 34" xfId="7649"/>
    <cellStyle name="Normal 36 35" xfId="7900"/>
    <cellStyle name="Normal 36 36" xfId="8151"/>
    <cellStyle name="Normal 36 37" xfId="8402"/>
    <cellStyle name="Normal 36 38" xfId="8653"/>
    <cellStyle name="Normal 36 39" xfId="8904"/>
    <cellStyle name="Normal 36 4" xfId="247"/>
    <cellStyle name="Normal 36 4 10" xfId="2547"/>
    <cellStyle name="Normal 36 4 11" xfId="2798"/>
    <cellStyle name="Normal 36 4 12" xfId="3049"/>
    <cellStyle name="Normal 36 4 13" xfId="3300"/>
    <cellStyle name="Normal 36 4 14" xfId="3551"/>
    <cellStyle name="Normal 36 4 15" xfId="3802"/>
    <cellStyle name="Normal 36 4 16" xfId="4053"/>
    <cellStyle name="Normal 36 4 17" xfId="4304"/>
    <cellStyle name="Normal 36 4 18" xfId="4555"/>
    <cellStyle name="Normal 36 4 19" xfId="4806"/>
    <cellStyle name="Normal 36 4 2" xfId="523"/>
    <cellStyle name="Normal 36 4 20" xfId="5057"/>
    <cellStyle name="Normal 36 4 21" xfId="5308"/>
    <cellStyle name="Normal 36 4 22" xfId="5559"/>
    <cellStyle name="Normal 36 4 23" xfId="5810"/>
    <cellStyle name="Normal 36 4 24" xfId="6061"/>
    <cellStyle name="Normal 36 4 25" xfId="6312"/>
    <cellStyle name="Normal 36 4 26" xfId="6563"/>
    <cellStyle name="Normal 36 4 27" xfId="6814"/>
    <cellStyle name="Normal 36 4 28" xfId="7065"/>
    <cellStyle name="Normal 36 4 29" xfId="7316"/>
    <cellStyle name="Normal 36 4 3" xfId="773"/>
    <cellStyle name="Normal 36 4 30" xfId="7567"/>
    <cellStyle name="Normal 36 4 31" xfId="7818"/>
    <cellStyle name="Normal 36 4 32" xfId="8069"/>
    <cellStyle name="Normal 36 4 33" xfId="8320"/>
    <cellStyle name="Normal 36 4 34" xfId="8571"/>
    <cellStyle name="Normal 36 4 35" xfId="8822"/>
    <cellStyle name="Normal 36 4 36" xfId="9073"/>
    <cellStyle name="Normal 36 4 37" xfId="9324"/>
    <cellStyle name="Normal 36 4 38" xfId="9575"/>
    <cellStyle name="Normal 36 4 39" xfId="9826"/>
    <cellStyle name="Normal 36 4 4" xfId="1025"/>
    <cellStyle name="Normal 36 4 40" xfId="10077"/>
    <cellStyle name="Normal 36 4 41" xfId="10328"/>
    <cellStyle name="Normal 36 4 42" xfId="10579"/>
    <cellStyle name="Normal 36 4 43" xfId="10830"/>
    <cellStyle name="Normal 36 4 44" xfId="11081"/>
    <cellStyle name="Normal 36 4 45" xfId="11332"/>
    <cellStyle name="Normal 36 4 46" xfId="11583"/>
    <cellStyle name="Normal 36 4 47" xfId="11834"/>
    <cellStyle name="Normal 36 4 48" xfId="12085"/>
    <cellStyle name="Normal 36 4 49" xfId="12336"/>
    <cellStyle name="Normal 36 4 5" xfId="1281"/>
    <cellStyle name="Normal 36 4 50" xfId="12587"/>
    <cellStyle name="Normal 36 4 51" xfId="12838"/>
    <cellStyle name="Normal 36 4 52" xfId="13089"/>
    <cellStyle name="Normal 36 4 53" xfId="13340"/>
    <cellStyle name="Normal 36 4 54" xfId="13591"/>
    <cellStyle name="Normal 36 4 55" xfId="13842"/>
    <cellStyle name="Normal 36 4 56" xfId="14093"/>
    <cellStyle name="Normal 36 4 57" xfId="14344"/>
    <cellStyle name="Normal 36 4 58" xfId="14595"/>
    <cellStyle name="Normal 36 4 59" xfId="14846"/>
    <cellStyle name="Normal 36 4 6" xfId="1535"/>
    <cellStyle name="Normal 36 4 60" xfId="15097"/>
    <cellStyle name="Normal 36 4 61" xfId="15347"/>
    <cellStyle name="Normal 36 4 62" xfId="15597"/>
    <cellStyle name="Normal 36 4 63" xfId="15846"/>
    <cellStyle name="Normal 36 4 64" xfId="16102"/>
    <cellStyle name="Normal 36 4 65" xfId="16353"/>
    <cellStyle name="Normal 36 4 66" xfId="16604"/>
    <cellStyle name="Normal 36 4 67" xfId="16855"/>
    <cellStyle name="Normal 36 4 68" xfId="17106"/>
    <cellStyle name="Normal 36 4 69" xfId="17357"/>
    <cellStyle name="Normal 36 4 7" xfId="1788"/>
    <cellStyle name="Normal 36 4 70" xfId="17608"/>
    <cellStyle name="Normal 36 4 71" xfId="17859"/>
    <cellStyle name="Normal 36 4 72" xfId="18110"/>
    <cellStyle name="Normal 36 4 73" xfId="18361"/>
    <cellStyle name="Normal 36 4 74" xfId="18612"/>
    <cellStyle name="Normal 36 4 75" xfId="18863"/>
    <cellStyle name="Normal 36 4 76" xfId="19113"/>
    <cellStyle name="Normal 36 4 77" xfId="19365"/>
    <cellStyle name="Normal 36 4 78" xfId="19615"/>
    <cellStyle name="Normal 36 4 79" xfId="19871"/>
    <cellStyle name="Normal 36 4 8" xfId="2045"/>
    <cellStyle name="Normal 36 4 80" xfId="20123"/>
    <cellStyle name="Normal 36 4 81" xfId="20375"/>
    <cellStyle name="Normal 36 4 82" xfId="20627"/>
    <cellStyle name="Normal 36 4 83" xfId="20877"/>
    <cellStyle name="Normal 36 4 84" xfId="21127"/>
    <cellStyle name="Normal 36 4 85" xfId="21375"/>
    <cellStyle name="Normal 36 4 86" xfId="21619"/>
    <cellStyle name="Normal 36 4 87" xfId="21862"/>
    <cellStyle name="Normal 36 4 88" xfId="22103"/>
    <cellStyle name="Normal 36 4 9" xfId="2296"/>
    <cellStyle name="Normal 36 40" xfId="9155"/>
    <cellStyle name="Normal 36 41" xfId="9406"/>
    <cellStyle name="Normal 36 42" xfId="9657"/>
    <cellStyle name="Normal 36 43" xfId="9908"/>
    <cellStyle name="Normal 36 44" xfId="10159"/>
    <cellStyle name="Normal 36 45" xfId="10410"/>
    <cellStyle name="Normal 36 46" xfId="10661"/>
    <cellStyle name="Normal 36 47" xfId="10912"/>
    <cellStyle name="Normal 36 48" xfId="11163"/>
    <cellStyle name="Normal 36 49" xfId="11414"/>
    <cellStyle name="Normal 36 5" xfId="356"/>
    <cellStyle name="Normal 36 50" xfId="11665"/>
    <cellStyle name="Normal 36 51" xfId="11916"/>
    <cellStyle name="Normal 36 52" xfId="12167"/>
    <cellStyle name="Normal 36 53" xfId="12418"/>
    <cellStyle name="Normal 36 54" xfId="12669"/>
    <cellStyle name="Normal 36 55" xfId="12920"/>
    <cellStyle name="Normal 36 56" xfId="13171"/>
    <cellStyle name="Normal 36 57" xfId="13422"/>
    <cellStyle name="Normal 36 58" xfId="13673"/>
    <cellStyle name="Normal 36 59" xfId="13924"/>
    <cellStyle name="Normal 36 6" xfId="605"/>
    <cellStyle name="Normal 36 60" xfId="14175"/>
    <cellStyle name="Normal 36 61" xfId="14426"/>
    <cellStyle name="Normal 36 62" xfId="14677"/>
    <cellStyle name="Normal 36 63" xfId="14927"/>
    <cellStyle name="Normal 36 64" xfId="15178"/>
    <cellStyle name="Normal 36 65" xfId="15429"/>
    <cellStyle name="Normal 36 66" xfId="15676"/>
    <cellStyle name="Normal 36 67" xfId="15933"/>
    <cellStyle name="Normal 36 68" xfId="16184"/>
    <cellStyle name="Normal 36 69" xfId="16435"/>
    <cellStyle name="Normal 36 7" xfId="858"/>
    <cellStyle name="Normal 36 70" xfId="16686"/>
    <cellStyle name="Normal 36 71" xfId="16937"/>
    <cellStyle name="Normal 36 72" xfId="17188"/>
    <cellStyle name="Normal 36 73" xfId="17439"/>
    <cellStyle name="Normal 36 74" xfId="17690"/>
    <cellStyle name="Normal 36 75" xfId="17941"/>
    <cellStyle name="Normal 36 76" xfId="18192"/>
    <cellStyle name="Normal 36 77" xfId="18443"/>
    <cellStyle name="Normal 36 78" xfId="18693"/>
    <cellStyle name="Normal 36 79" xfId="18944"/>
    <cellStyle name="Normal 36 8" xfId="1113"/>
    <cellStyle name="Normal 36 80" xfId="19195"/>
    <cellStyle name="Normal 36 81" xfId="19445"/>
    <cellStyle name="Normal 36 82" xfId="19701"/>
    <cellStyle name="Normal 36 83" xfId="19953"/>
    <cellStyle name="Normal 36 84" xfId="20205"/>
    <cellStyle name="Normal 36 85" xfId="20457"/>
    <cellStyle name="Normal 36 86" xfId="20707"/>
    <cellStyle name="Normal 36 87" xfId="20957"/>
    <cellStyle name="Normal 36 88" xfId="21208"/>
    <cellStyle name="Normal 36 89" xfId="21452"/>
    <cellStyle name="Normal 36 9" xfId="1366"/>
    <cellStyle name="Normal 36 90" xfId="21696"/>
    <cellStyle name="Normal 36 91" xfId="21937"/>
    <cellStyle name="Normal 37" xfId="78"/>
    <cellStyle name="Normal 37 10" xfId="1620"/>
    <cellStyle name="Normal 37 11" xfId="1877"/>
    <cellStyle name="Normal 37 12" xfId="2128"/>
    <cellStyle name="Normal 37 13" xfId="2379"/>
    <cellStyle name="Normal 37 14" xfId="2630"/>
    <cellStyle name="Normal 37 15" xfId="2881"/>
    <cellStyle name="Normal 37 16" xfId="3132"/>
    <cellStyle name="Normal 37 17" xfId="3383"/>
    <cellStyle name="Normal 37 18" xfId="3634"/>
    <cellStyle name="Normal 37 19" xfId="3885"/>
    <cellStyle name="Normal 37 2" xfId="111"/>
    <cellStyle name="Normal 37 2 10" xfId="1910"/>
    <cellStyle name="Normal 37 2 11" xfId="2161"/>
    <cellStyle name="Normal 37 2 12" xfId="2412"/>
    <cellStyle name="Normal 37 2 13" xfId="2663"/>
    <cellStyle name="Normal 37 2 14" xfId="2914"/>
    <cellStyle name="Normal 37 2 15" xfId="3165"/>
    <cellStyle name="Normal 37 2 16" xfId="3416"/>
    <cellStyle name="Normal 37 2 17" xfId="3667"/>
    <cellStyle name="Normal 37 2 18" xfId="3918"/>
    <cellStyle name="Normal 37 2 19" xfId="4169"/>
    <cellStyle name="Normal 37 2 2" xfId="205"/>
    <cellStyle name="Normal 37 2 2 10" xfId="2505"/>
    <cellStyle name="Normal 37 2 2 11" xfId="2756"/>
    <cellStyle name="Normal 37 2 2 12" xfId="3007"/>
    <cellStyle name="Normal 37 2 2 13" xfId="3258"/>
    <cellStyle name="Normal 37 2 2 14" xfId="3509"/>
    <cellStyle name="Normal 37 2 2 15" xfId="3760"/>
    <cellStyle name="Normal 37 2 2 16" xfId="4011"/>
    <cellStyle name="Normal 37 2 2 17" xfId="4262"/>
    <cellStyle name="Normal 37 2 2 18" xfId="4513"/>
    <cellStyle name="Normal 37 2 2 19" xfId="4764"/>
    <cellStyle name="Normal 37 2 2 2" xfId="482"/>
    <cellStyle name="Normal 37 2 2 20" xfId="5015"/>
    <cellStyle name="Normal 37 2 2 21" xfId="5266"/>
    <cellStyle name="Normal 37 2 2 22" xfId="5517"/>
    <cellStyle name="Normal 37 2 2 23" xfId="5768"/>
    <cellStyle name="Normal 37 2 2 24" xfId="6019"/>
    <cellStyle name="Normal 37 2 2 25" xfId="6270"/>
    <cellStyle name="Normal 37 2 2 26" xfId="6521"/>
    <cellStyle name="Normal 37 2 2 27" xfId="6772"/>
    <cellStyle name="Normal 37 2 2 28" xfId="7023"/>
    <cellStyle name="Normal 37 2 2 29" xfId="7274"/>
    <cellStyle name="Normal 37 2 2 3" xfId="732"/>
    <cellStyle name="Normal 37 2 2 30" xfId="7525"/>
    <cellStyle name="Normal 37 2 2 31" xfId="7776"/>
    <cellStyle name="Normal 37 2 2 32" xfId="8027"/>
    <cellStyle name="Normal 37 2 2 33" xfId="8278"/>
    <cellStyle name="Normal 37 2 2 34" xfId="8529"/>
    <cellStyle name="Normal 37 2 2 35" xfId="8780"/>
    <cellStyle name="Normal 37 2 2 36" xfId="9031"/>
    <cellStyle name="Normal 37 2 2 37" xfId="9282"/>
    <cellStyle name="Normal 37 2 2 38" xfId="9533"/>
    <cellStyle name="Normal 37 2 2 39" xfId="9784"/>
    <cellStyle name="Normal 37 2 2 4" xfId="985"/>
    <cellStyle name="Normal 37 2 2 40" xfId="10035"/>
    <cellStyle name="Normal 37 2 2 41" xfId="10286"/>
    <cellStyle name="Normal 37 2 2 42" xfId="10537"/>
    <cellStyle name="Normal 37 2 2 43" xfId="10788"/>
    <cellStyle name="Normal 37 2 2 44" xfId="11039"/>
    <cellStyle name="Normal 37 2 2 45" xfId="11290"/>
    <cellStyle name="Normal 37 2 2 46" xfId="11541"/>
    <cellStyle name="Normal 37 2 2 47" xfId="11792"/>
    <cellStyle name="Normal 37 2 2 48" xfId="12043"/>
    <cellStyle name="Normal 37 2 2 49" xfId="12294"/>
    <cellStyle name="Normal 37 2 2 5" xfId="1240"/>
    <cellStyle name="Normal 37 2 2 50" xfId="12545"/>
    <cellStyle name="Normal 37 2 2 51" xfId="12796"/>
    <cellStyle name="Normal 37 2 2 52" xfId="13047"/>
    <cellStyle name="Normal 37 2 2 53" xfId="13298"/>
    <cellStyle name="Normal 37 2 2 54" xfId="13549"/>
    <cellStyle name="Normal 37 2 2 55" xfId="13800"/>
    <cellStyle name="Normal 37 2 2 56" xfId="14051"/>
    <cellStyle name="Normal 37 2 2 57" xfId="14302"/>
    <cellStyle name="Normal 37 2 2 58" xfId="14553"/>
    <cellStyle name="Normal 37 2 2 59" xfId="14804"/>
    <cellStyle name="Normal 37 2 2 6" xfId="1493"/>
    <cellStyle name="Normal 37 2 2 60" xfId="15055"/>
    <cellStyle name="Normal 37 2 2 61" xfId="15305"/>
    <cellStyle name="Normal 37 2 2 62" xfId="15556"/>
    <cellStyle name="Normal 37 2 2 63" xfId="15804"/>
    <cellStyle name="Normal 37 2 2 64" xfId="16060"/>
    <cellStyle name="Normal 37 2 2 65" xfId="16311"/>
    <cellStyle name="Normal 37 2 2 66" xfId="16562"/>
    <cellStyle name="Normal 37 2 2 67" xfId="16813"/>
    <cellStyle name="Normal 37 2 2 68" xfId="17064"/>
    <cellStyle name="Normal 37 2 2 69" xfId="17315"/>
    <cellStyle name="Normal 37 2 2 7" xfId="1747"/>
    <cellStyle name="Normal 37 2 2 70" xfId="17566"/>
    <cellStyle name="Normal 37 2 2 71" xfId="17817"/>
    <cellStyle name="Normal 37 2 2 72" xfId="18068"/>
    <cellStyle name="Normal 37 2 2 73" xfId="18319"/>
    <cellStyle name="Normal 37 2 2 74" xfId="18570"/>
    <cellStyle name="Normal 37 2 2 75" xfId="18821"/>
    <cellStyle name="Normal 37 2 2 76" xfId="19071"/>
    <cellStyle name="Normal 37 2 2 77" xfId="19323"/>
    <cellStyle name="Normal 37 2 2 78" xfId="19573"/>
    <cellStyle name="Normal 37 2 2 79" xfId="19829"/>
    <cellStyle name="Normal 37 2 2 8" xfId="2003"/>
    <cellStyle name="Normal 37 2 2 80" xfId="20081"/>
    <cellStyle name="Normal 37 2 2 81" xfId="20333"/>
    <cellStyle name="Normal 37 2 2 82" xfId="20585"/>
    <cellStyle name="Normal 37 2 2 83" xfId="20835"/>
    <cellStyle name="Normal 37 2 2 84" xfId="21085"/>
    <cellStyle name="Normal 37 2 2 85" xfId="21334"/>
    <cellStyle name="Normal 37 2 2 86" xfId="21578"/>
    <cellStyle name="Normal 37 2 2 87" xfId="21822"/>
    <cellStyle name="Normal 37 2 2 88" xfId="22063"/>
    <cellStyle name="Normal 37 2 2 9" xfId="2254"/>
    <cellStyle name="Normal 37 2 20" xfId="4420"/>
    <cellStyle name="Normal 37 2 21" xfId="4671"/>
    <cellStyle name="Normal 37 2 22" xfId="4922"/>
    <cellStyle name="Normal 37 2 23" xfId="5173"/>
    <cellStyle name="Normal 37 2 24" xfId="5424"/>
    <cellStyle name="Normal 37 2 25" xfId="5675"/>
    <cellStyle name="Normal 37 2 26" xfId="5926"/>
    <cellStyle name="Normal 37 2 27" xfId="6177"/>
    <cellStyle name="Normal 37 2 28" xfId="6428"/>
    <cellStyle name="Normal 37 2 29" xfId="6679"/>
    <cellStyle name="Normal 37 2 3" xfId="281"/>
    <cellStyle name="Normal 37 2 3 10" xfId="2581"/>
    <cellStyle name="Normal 37 2 3 11" xfId="2832"/>
    <cellStyle name="Normal 37 2 3 12" xfId="3083"/>
    <cellStyle name="Normal 37 2 3 13" xfId="3334"/>
    <cellStyle name="Normal 37 2 3 14" xfId="3585"/>
    <cellStyle name="Normal 37 2 3 15" xfId="3836"/>
    <cellStyle name="Normal 37 2 3 16" xfId="4087"/>
    <cellStyle name="Normal 37 2 3 17" xfId="4338"/>
    <cellStyle name="Normal 37 2 3 18" xfId="4589"/>
    <cellStyle name="Normal 37 2 3 19" xfId="4840"/>
    <cellStyle name="Normal 37 2 3 2" xfId="556"/>
    <cellStyle name="Normal 37 2 3 20" xfId="5091"/>
    <cellStyle name="Normal 37 2 3 21" xfId="5342"/>
    <cellStyle name="Normal 37 2 3 22" xfId="5593"/>
    <cellStyle name="Normal 37 2 3 23" xfId="5844"/>
    <cellStyle name="Normal 37 2 3 24" xfId="6095"/>
    <cellStyle name="Normal 37 2 3 25" xfId="6346"/>
    <cellStyle name="Normal 37 2 3 26" xfId="6597"/>
    <cellStyle name="Normal 37 2 3 27" xfId="6848"/>
    <cellStyle name="Normal 37 2 3 28" xfId="7099"/>
    <cellStyle name="Normal 37 2 3 29" xfId="7350"/>
    <cellStyle name="Normal 37 2 3 3" xfId="806"/>
    <cellStyle name="Normal 37 2 3 30" xfId="7601"/>
    <cellStyle name="Normal 37 2 3 31" xfId="7852"/>
    <cellStyle name="Normal 37 2 3 32" xfId="8103"/>
    <cellStyle name="Normal 37 2 3 33" xfId="8354"/>
    <cellStyle name="Normal 37 2 3 34" xfId="8605"/>
    <cellStyle name="Normal 37 2 3 35" xfId="8856"/>
    <cellStyle name="Normal 37 2 3 36" xfId="9107"/>
    <cellStyle name="Normal 37 2 3 37" xfId="9358"/>
    <cellStyle name="Normal 37 2 3 38" xfId="9609"/>
    <cellStyle name="Normal 37 2 3 39" xfId="9860"/>
    <cellStyle name="Normal 37 2 3 4" xfId="1058"/>
    <cellStyle name="Normal 37 2 3 40" xfId="10111"/>
    <cellStyle name="Normal 37 2 3 41" xfId="10362"/>
    <cellStyle name="Normal 37 2 3 42" xfId="10613"/>
    <cellStyle name="Normal 37 2 3 43" xfId="10864"/>
    <cellStyle name="Normal 37 2 3 44" xfId="11115"/>
    <cellStyle name="Normal 37 2 3 45" xfId="11366"/>
    <cellStyle name="Normal 37 2 3 46" xfId="11617"/>
    <cellStyle name="Normal 37 2 3 47" xfId="11868"/>
    <cellStyle name="Normal 37 2 3 48" xfId="12119"/>
    <cellStyle name="Normal 37 2 3 49" xfId="12370"/>
    <cellStyle name="Normal 37 2 3 5" xfId="1314"/>
    <cellStyle name="Normal 37 2 3 50" xfId="12621"/>
    <cellStyle name="Normal 37 2 3 51" xfId="12872"/>
    <cellStyle name="Normal 37 2 3 52" xfId="13123"/>
    <cellStyle name="Normal 37 2 3 53" xfId="13374"/>
    <cellStyle name="Normal 37 2 3 54" xfId="13625"/>
    <cellStyle name="Normal 37 2 3 55" xfId="13876"/>
    <cellStyle name="Normal 37 2 3 56" xfId="14127"/>
    <cellStyle name="Normal 37 2 3 57" xfId="14378"/>
    <cellStyle name="Normal 37 2 3 58" xfId="14629"/>
    <cellStyle name="Normal 37 2 3 59" xfId="14880"/>
    <cellStyle name="Normal 37 2 3 6" xfId="1569"/>
    <cellStyle name="Normal 37 2 3 60" xfId="15131"/>
    <cellStyle name="Normal 37 2 3 61" xfId="15381"/>
    <cellStyle name="Normal 37 2 3 62" xfId="15630"/>
    <cellStyle name="Normal 37 2 3 63" xfId="15880"/>
    <cellStyle name="Normal 37 2 3 64" xfId="16136"/>
    <cellStyle name="Normal 37 2 3 65" xfId="16387"/>
    <cellStyle name="Normal 37 2 3 66" xfId="16638"/>
    <cellStyle name="Normal 37 2 3 67" xfId="16889"/>
    <cellStyle name="Normal 37 2 3 68" xfId="17140"/>
    <cellStyle name="Normal 37 2 3 69" xfId="17391"/>
    <cellStyle name="Normal 37 2 3 7" xfId="1822"/>
    <cellStyle name="Normal 37 2 3 70" xfId="17642"/>
    <cellStyle name="Normal 37 2 3 71" xfId="17893"/>
    <cellStyle name="Normal 37 2 3 72" xfId="18144"/>
    <cellStyle name="Normal 37 2 3 73" xfId="18395"/>
    <cellStyle name="Normal 37 2 3 74" xfId="18646"/>
    <cellStyle name="Normal 37 2 3 75" xfId="18897"/>
    <cellStyle name="Normal 37 2 3 76" xfId="19147"/>
    <cellStyle name="Normal 37 2 3 77" xfId="19398"/>
    <cellStyle name="Normal 37 2 3 78" xfId="19649"/>
    <cellStyle name="Normal 37 2 3 79" xfId="19905"/>
    <cellStyle name="Normal 37 2 3 8" xfId="2079"/>
    <cellStyle name="Normal 37 2 3 80" xfId="20157"/>
    <cellStyle name="Normal 37 2 3 81" xfId="20409"/>
    <cellStyle name="Normal 37 2 3 82" xfId="20661"/>
    <cellStyle name="Normal 37 2 3 83" xfId="20911"/>
    <cellStyle name="Normal 37 2 3 84" xfId="21160"/>
    <cellStyle name="Normal 37 2 3 85" xfId="21408"/>
    <cellStyle name="Normal 37 2 3 86" xfId="21652"/>
    <cellStyle name="Normal 37 2 3 87" xfId="21894"/>
    <cellStyle name="Normal 37 2 3 88" xfId="22135"/>
    <cellStyle name="Normal 37 2 3 9" xfId="2330"/>
    <cellStyle name="Normal 37 2 30" xfId="6930"/>
    <cellStyle name="Normal 37 2 31" xfId="7181"/>
    <cellStyle name="Normal 37 2 32" xfId="7432"/>
    <cellStyle name="Normal 37 2 33" xfId="7683"/>
    <cellStyle name="Normal 37 2 34" xfId="7934"/>
    <cellStyle name="Normal 37 2 35" xfId="8185"/>
    <cellStyle name="Normal 37 2 36" xfId="8436"/>
    <cellStyle name="Normal 37 2 37" xfId="8687"/>
    <cellStyle name="Normal 37 2 38" xfId="8938"/>
    <cellStyle name="Normal 37 2 39" xfId="9189"/>
    <cellStyle name="Normal 37 2 4" xfId="390"/>
    <cellStyle name="Normal 37 2 40" xfId="9440"/>
    <cellStyle name="Normal 37 2 41" xfId="9691"/>
    <cellStyle name="Normal 37 2 42" xfId="9942"/>
    <cellStyle name="Normal 37 2 43" xfId="10193"/>
    <cellStyle name="Normal 37 2 44" xfId="10444"/>
    <cellStyle name="Normal 37 2 45" xfId="10695"/>
    <cellStyle name="Normal 37 2 46" xfId="10946"/>
    <cellStyle name="Normal 37 2 47" xfId="11197"/>
    <cellStyle name="Normal 37 2 48" xfId="11448"/>
    <cellStyle name="Normal 37 2 49" xfId="11699"/>
    <cellStyle name="Normal 37 2 5" xfId="639"/>
    <cellStyle name="Normal 37 2 50" xfId="11950"/>
    <cellStyle name="Normal 37 2 51" xfId="12201"/>
    <cellStyle name="Normal 37 2 52" xfId="12452"/>
    <cellStyle name="Normal 37 2 53" xfId="12703"/>
    <cellStyle name="Normal 37 2 54" xfId="12954"/>
    <cellStyle name="Normal 37 2 55" xfId="13205"/>
    <cellStyle name="Normal 37 2 56" xfId="13456"/>
    <cellStyle name="Normal 37 2 57" xfId="13707"/>
    <cellStyle name="Normal 37 2 58" xfId="13958"/>
    <cellStyle name="Normal 37 2 59" xfId="14209"/>
    <cellStyle name="Normal 37 2 6" xfId="892"/>
    <cellStyle name="Normal 37 2 60" xfId="14460"/>
    <cellStyle name="Normal 37 2 61" xfId="14711"/>
    <cellStyle name="Normal 37 2 62" xfId="14961"/>
    <cellStyle name="Normal 37 2 63" xfId="15212"/>
    <cellStyle name="Normal 37 2 64" xfId="15463"/>
    <cellStyle name="Normal 37 2 65" xfId="15710"/>
    <cellStyle name="Normal 37 2 66" xfId="15967"/>
    <cellStyle name="Normal 37 2 67" xfId="16218"/>
    <cellStyle name="Normal 37 2 68" xfId="16469"/>
    <cellStyle name="Normal 37 2 69" xfId="16720"/>
    <cellStyle name="Normal 37 2 7" xfId="1147"/>
    <cellStyle name="Normal 37 2 70" xfId="16971"/>
    <cellStyle name="Normal 37 2 71" xfId="17222"/>
    <cellStyle name="Normal 37 2 72" xfId="17473"/>
    <cellStyle name="Normal 37 2 73" xfId="17724"/>
    <cellStyle name="Normal 37 2 74" xfId="17975"/>
    <cellStyle name="Normal 37 2 75" xfId="18226"/>
    <cellStyle name="Normal 37 2 76" xfId="18477"/>
    <cellStyle name="Normal 37 2 77" xfId="18727"/>
    <cellStyle name="Normal 37 2 78" xfId="18978"/>
    <cellStyle name="Normal 37 2 79" xfId="19229"/>
    <cellStyle name="Normal 37 2 8" xfId="1400"/>
    <cellStyle name="Normal 37 2 80" xfId="19479"/>
    <cellStyle name="Normal 37 2 81" xfId="19735"/>
    <cellStyle name="Normal 37 2 82" xfId="19987"/>
    <cellStyle name="Normal 37 2 83" xfId="20239"/>
    <cellStyle name="Normal 37 2 84" xfId="20491"/>
    <cellStyle name="Normal 37 2 85" xfId="20741"/>
    <cellStyle name="Normal 37 2 86" xfId="20991"/>
    <cellStyle name="Normal 37 2 87" xfId="21242"/>
    <cellStyle name="Normal 37 2 88" xfId="21486"/>
    <cellStyle name="Normal 37 2 89" xfId="21730"/>
    <cellStyle name="Normal 37 2 9" xfId="1653"/>
    <cellStyle name="Normal 37 2 90" xfId="21971"/>
    <cellStyle name="Normal 37 20" xfId="4136"/>
    <cellStyle name="Normal 37 21" xfId="4387"/>
    <cellStyle name="Normal 37 22" xfId="4638"/>
    <cellStyle name="Normal 37 23" xfId="4889"/>
    <cellStyle name="Normal 37 24" xfId="5140"/>
    <cellStyle name="Normal 37 25" xfId="5391"/>
    <cellStyle name="Normal 37 26" xfId="5642"/>
    <cellStyle name="Normal 37 27" xfId="5893"/>
    <cellStyle name="Normal 37 28" xfId="6144"/>
    <cellStyle name="Normal 37 29" xfId="6395"/>
    <cellStyle name="Normal 37 3" xfId="172"/>
    <cellStyle name="Normal 37 3 10" xfId="2472"/>
    <cellStyle name="Normal 37 3 11" xfId="2723"/>
    <cellStyle name="Normal 37 3 12" xfId="2974"/>
    <cellStyle name="Normal 37 3 13" xfId="3225"/>
    <cellStyle name="Normal 37 3 14" xfId="3476"/>
    <cellStyle name="Normal 37 3 15" xfId="3727"/>
    <cellStyle name="Normal 37 3 16" xfId="3978"/>
    <cellStyle name="Normal 37 3 17" xfId="4229"/>
    <cellStyle name="Normal 37 3 18" xfId="4480"/>
    <cellStyle name="Normal 37 3 19" xfId="4731"/>
    <cellStyle name="Normal 37 3 2" xfId="449"/>
    <cellStyle name="Normal 37 3 20" xfId="4982"/>
    <cellStyle name="Normal 37 3 21" xfId="5233"/>
    <cellStyle name="Normal 37 3 22" xfId="5484"/>
    <cellStyle name="Normal 37 3 23" xfId="5735"/>
    <cellStyle name="Normal 37 3 24" xfId="5986"/>
    <cellStyle name="Normal 37 3 25" xfId="6237"/>
    <cellStyle name="Normal 37 3 26" xfId="6488"/>
    <cellStyle name="Normal 37 3 27" xfId="6739"/>
    <cellStyle name="Normal 37 3 28" xfId="6990"/>
    <cellStyle name="Normal 37 3 29" xfId="7241"/>
    <cellStyle name="Normal 37 3 3" xfId="699"/>
    <cellStyle name="Normal 37 3 30" xfId="7492"/>
    <cellStyle name="Normal 37 3 31" xfId="7743"/>
    <cellStyle name="Normal 37 3 32" xfId="7994"/>
    <cellStyle name="Normal 37 3 33" xfId="8245"/>
    <cellStyle name="Normal 37 3 34" xfId="8496"/>
    <cellStyle name="Normal 37 3 35" xfId="8747"/>
    <cellStyle name="Normal 37 3 36" xfId="8998"/>
    <cellStyle name="Normal 37 3 37" xfId="9249"/>
    <cellStyle name="Normal 37 3 38" xfId="9500"/>
    <cellStyle name="Normal 37 3 39" xfId="9751"/>
    <cellStyle name="Normal 37 3 4" xfId="952"/>
    <cellStyle name="Normal 37 3 40" xfId="10002"/>
    <cellStyle name="Normal 37 3 41" xfId="10253"/>
    <cellStyle name="Normal 37 3 42" xfId="10504"/>
    <cellStyle name="Normal 37 3 43" xfId="10755"/>
    <cellStyle name="Normal 37 3 44" xfId="11006"/>
    <cellStyle name="Normal 37 3 45" xfId="11257"/>
    <cellStyle name="Normal 37 3 46" xfId="11508"/>
    <cellStyle name="Normal 37 3 47" xfId="11759"/>
    <cellStyle name="Normal 37 3 48" xfId="12010"/>
    <cellStyle name="Normal 37 3 49" xfId="12261"/>
    <cellStyle name="Normal 37 3 5" xfId="1207"/>
    <cellStyle name="Normal 37 3 50" xfId="12512"/>
    <cellStyle name="Normal 37 3 51" xfId="12763"/>
    <cellStyle name="Normal 37 3 52" xfId="13014"/>
    <cellStyle name="Normal 37 3 53" xfId="13265"/>
    <cellStyle name="Normal 37 3 54" xfId="13516"/>
    <cellStyle name="Normal 37 3 55" xfId="13767"/>
    <cellStyle name="Normal 37 3 56" xfId="14018"/>
    <cellStyle name="Normal 37 3 57" xfId="14269"/>
    <cellStyle name="Normal 37 3 58" xfId="14520"/>
    <cellStyle name="Normal 37 3 59" xfId="14771"/>
    <cellStyle name="Normal 37 3 6" xfId="1460"/>
    <cellStyle name="Normal 37 3 60" xfId="15022"/>
    <cellStyle name="Normal 37 3 61" xfId="15272"/>
    <cellStyle name="Normal 37 3 62" xfId="15523"/>
    <cellStyle name="Normal 37 3 63" xfId="15771"/>
    <cellStyle name="Normal 37 3 64" xfId="16027"/>
    <cellStyle name="Normal 37 3 65" xfId="16278"/>
    <cellStyle name="Normal 37 3 66" xfId="16529"/>
    <cellStyle name="Normal 37 3 67" xfId="16780"/>
    <cellStyle name="Normal 37 3 68" xfId="17031"/>
    <cellStyle name="Normal 37 3 69" xfId="17282"/>
    <cellStyle name="Normal 37 3 7" xfId="1714"/>
    <cellStyle name="Normal 37 3 70" xfId="17533"/>
    <cellStyle name="Normal 37 3 71" xfId="17784"/>
    <cellStyle name="Normal 37 3 72" xfId="18035"/>
    <cellStyle name="Normal 37 3 73" xfId="18286"/>
    <cellStyle name="Normal 37 3 74" xfId="18537"/>
    <cellStyle name="Normal 37 3 75" xfId="18788"/>
    <cellStyle name="Normal 37 3 76" xfId="19038"/>
    <cellStyle name="Normal 37 3 77" xfId="19290"/>
    <cellStyle name="Normal 37 3 78" xfId="19540"/>
    <cellStyle name="Normal 37 3 79" xfId="19796"/>
    <cellStyle name="Normal 37 3 8" xfId="1970"/>
    <cellStyle name="Normal 37 3 80" xfId="20048"/>
    <cellStyle name="Normal 37 3 81" xfId="20300"/>
    <cellStyle name="Normal 37 3 82" xfId="20552"/>
    <cellStyle name="Normal 37 3 83" xfId="20802"/>
    <cellStyle name="Normal 37 3 84" xfId="21052"/>
    <cellStyle name="Normal 37 3 85" xfId="21301"/>
    <cellStyle name="Normal 37 3 86" xfId="21545"/>
    <cellStyle name="Normal 37 3 87" xfId="21789"/>
    <cellStyle name="Normal 37 3 88" xfId="22030"/>
    <cellStyle name="Normal 37 3 9" xfId="2221"/>
    <cellStyle name="Normal 37 30" xfId="6646"/>
    <cellStyle name="Normal 37 31" xfId="6897"/>
    <cellStyle name="Normal 37 32" xfId="7148"/>
    <cellStyle name="Normal 37 33" xfId="7399"/>
    <cellStyle name="Normal 37 34" xfId="7650"/>
    <cellStyle name="Normal 37 35" xfId="7901"/>
    <cellStyle name="Normal 37 36" xfId="8152"/>
    <cellStyle name="Normal 37 37" xfId="8403"/>
    <cellStyle name="Normal 37 38" xfId="8654"/>
    <cellStyle name="Normal 37 39" xfId="8905"/>
    <cellStyle name="Normal 37 4" xfId="248"/>
    <cellStyle name="Normal 37 4 10" xfId="2548"/>
    <cellStyle name="Normal 37 4 11" xfId="2799"/>
    <cellStyle name="Normal 37 4 12" xfId="3050"/>
    <cellStyle name="Normal 37 4 13" xfId="3301"/>
    <cellStyle name="Normal 37 4 14" xfId="3552"/>
    <cellStyle name="Normal 37 4 15" xfId="3803"/>
    <cellStyle name="Normal 37 4 16" xfId="4054"/>
    <cellStyle name="Normal 37 4 17" xfId="4305"/>
    <cellStyle name="Normal 37 4 18" xfId="4556"/>
    <cellStyle name="Normal 37 4 19" xfId="4807"/>
    <cellStyle name="Normal 37 4 2" xfId="524"/>
    <cellStyle name="Normal 37 4 20" xfId="5058"/>
    <cellStyle name="Normal 37 4 21" xfId="5309"/>
    <cellStyle name="Normal 37 4 22" xfId="5560"/>
    <cellStyle name="Normal 37 4 23" xfId="5811"/>
    <cellStyle name="Normal 37 4 24" xfId="6062"/>
    <cellStyle name="Normal 37 4 25" xfId="6313"/>
    <cellStyle name="Normal 37 4 26" xfId="6564"/>
    <cellStyle name="Normal 37 4 27" xfId="6815"/>
    <cellStyle name="Normal 37 4 28" xfId="7066"/>
    <cellStyle name="Normal 37 4 29" xfId="7317"/>
    <cellStyle name="Normal 37 4 3" xfId="774"/>
    <cellStyle name="Normal 37 4 30" xfId="7568"/>
    <cellStyle name="Normal 37 4 31" xfId="7819"/>
    <cellStyle name="Normal 37 4 32" xfId="8070"/>
    <cellStyle name="Normal 37 4 33" xfId="8321"/>
    <cellStyle name="Normal 37 4 34" xfId="8572"/>
    <cellStyle name="Normal 37 4 35" xfId="8823"/>
    <cellStyle name="Normal 37 4 36" xfId="9074"/>
    <cellStyle name="Normal 37 4 37" xfId="9325"/>
    <cellStyle name="Normal 37 4 38" xfId="9576"/>
    <cellStyle name="Normal 37 4 39" xfId="9827"/>
    <cellStyle name="Normal 37 4 4" xfId="1026"/>
    <cellStyle name="Normal 37 4 40" xfId="10078"/>
    <cellStyle name="Normal 37 4 41" xfId="10329"/>
    <cellStyle name="Normal 37 4 42" xfId="10580"/>
    <cellStyle name="Normal 37 4 43" xfId="10831"/>
    <cellStyle name="Normal 37 4 44" xfId="11082"/>
    <cellStyle name="Normal 37 4 45" xfId="11333"/>
    <cellStyle name="Normal 37 4 46" xfId="11584"/>
    <cellStyle name="Normal 37 4 47" xfId="11835"/>
    <cellStyle name="Normal 37 4 48" xfId="12086"/>
    <cellStyle name="Normal 37 4 49" xfId="12337"/>
    <cellStyle name="Normal 37 4 5" xfId="1282"/>
    <cellStyle name="Normal 37 4 50" xfId="12588"/>
    <cellStyle name="Normal 37 4 51" xfId="12839"/>
    <cellStyle name="Normal 37 4 52" xfId="13090"/>
    <cellStyle name="Normal 37 4 53" xfId="13341"/>
    <cellStyle name="Normal 37 4 54" xfId="13592"/>
    <cellStyle name="Normal 37 4 55" xfId="13843"/>
    <cellStyle name="Normal 37 4 56" xfId="14094"/>
    <cellStyle name="Normal 37 4 57" xfId="14345"/>
    <cellStyle name="Normal 37 4 58" xfId="14596"/>
    <cellStyle name="Normal 37 4 59" xfId="14847"/>
    <cellStyle name="Normal 37 4 6" xfId="1536"/>
    <cellStyle name="Normal 37 4 60" xfId="15098"/>
    <cellStyle name="Normal 37 4 61" xfId="15348"/>
    <cellStyle name="Normal 37 4 62" xfId="15598"/>
    <cellStyle name="Normal 37 4 63" xfId="15847"/>
    <cellStyle name="Normal 37 4 64" xfId="16103"/>
    <cellStyle name="Normal 37 4 65" xfId="16354"/>
    <cellStyle name="Normal 37 4 66" xfId="16605"/>
    <cellStyle name="Normal 37 4 67" xfId="16856"/>
    <cellStyle name="Normal 37 4 68" xfId="17107"/>
    <cellStyle name="Normal 37 4 69" xfId="17358"/>
    <cellStyle name="Normal 37 4 7" xfId="1789"/>
    <cellStyle name="Normal 37 4 70" xfId="17609"/>
    <cellStyle name="Normal 37 4 71" xfId="17860"/>
    <cellStyle name="Normal 37 4 72" xfId="18111"/>
    <cellStyle name="Normal 37 4 73" xfId="18362"/>
    <cellStyle name="Normal 37 4 74" xfId="18613"/>
    <cellStyle name="Normal 37 4 75" xfId="18864"/>
    <cellStyle name="Normal 37 4 76" xfId="19114"/>
    <cellStyle name="Normal 37 4 77" xfId="19366"/>
    <cellStyle name="Normal 37 4 78" xfId="19616"/>
    <cellStyle name="Normal 37 4 79" xfId="19872"/>
    <cellStyle name="Normal 37 4 8" xfId="2046"/>
    <cellStyle name="Normal 37 4 80" xfId="20124"/>
    <cellStyle name="Normal 37 4 81" xfId="20376"/>
    <cellStyle name="Normal 37 4 82" xfId="20628"/>
    <cellStyle name="Normal 37 4 83" xfId="20878"/>
    <cellStyle name="Normal 37 4 84" xfId="21128"/>
    <cellStyle name="Normal 37 4 85" xfId="21376"/>
    <cellStyle name="Normal 37 4 86" xfId="21620"/>
    <cellStyle name="Normal 37 4 87" xfId="21863"/>
    <cellStyle name="Normal 37 4 88" xfId="22104"/>
    <cellStyle name="Normal 37 4 9" xfId="2297"/>
    <cellStyle name="Normal 37 40" xfId="9156"/>
    <cellStyle name="Normal 37 41" xfId="9407"/>
    <cellStyle name="Normal 37 42" xfId="9658"/>
    <cellStyle name="Normal 37 43" xfId="9909"/>
    <cellStyle name="Normal 37 44" xfId="10160"/>
    <cellStyle name="Normal 37 45" xfId="10411"/>
    <cellStyle name="Normal 37 46" xfId="10662"/>
    <cellStyle name="Normal 37 47" xfId="10913"/>
    <cellStyle name="Normal 37 48" xfId="11164"/>
    <cellStyle name="Normal 37 49" xfId="11415"/>
    <cellStyle name="Normal 37 5" xfId="357"/>
    <cellStyle name="Normal 37 50" xfId="11666"/>
    <cellStyle name="Normal 37 51" xfId="11917"/>
    <cellStyle name="Normal 37 52" xfId="12168"/>
    <cellStyle name="Normal 37 53" xfId="12419"/>
    <cellStyle name="Normal 37 54" xfId="12670"/>
    <cellStyle name="Normal 37 55" xfId="12921"/>
    <cellStyle name="Normal 37 56" xfId="13172"/>
    <cellStyle name="Normal 37 57" xfId="13423"/>
    <cellStyle name="Normal 37 58" xfId="13674"/>
    <cellStyle name="Normal 37 59" xfId="13925"/>
    <cellStyle name="Normal 37 6" xfId="606"/>
    <cellStyle name="Normal 37 60" xfId="14176"/>
    <cellStyle name="Normal 37 61" xfId="14427"/>
    <cellStyle name="Normal 37 62" xfId="14678"/>
    <cellStyle name="Normal 37 63" xfId="14928"/>
    <cellStyle name="Normal 37 64" xfId="15179"/>
    <cellStyle name="Normal 37 65" xfId="15430"/>
    <cellStyle name="Normal 37 66" xfId="15677"/>
    <cellStyle name="Normal 37 67" xfId="15934"/>
    <cellStyle name="Normal 37 68" xfId="16185"/>
    <cellStyle name="Normal 37 69" xfId="16436"/>
    <cellStyle name="Normal 37 7" xfId="859"/>
    <cellStyle name="Normal 37 70" xfId="16687"/>
    <cellStyle name="Normal 37 71" xfId="16938"/>
    <cellStyle name="Normal 37 72" xfId="17189"/>
    <cellStyle name="Normal 37 73" xfId="17440"/>
    <cellStyle name="Normal 37 74" xfId="17691"/>
    <cellStyle name="Normal 37 75" xfId="17942"/>
    <cellStyle name="Normal 37 76" xfId="18193"/>
    <cellStyle name="Normal 37 77" xfId="18444"/>
    <cellStyle name="Normal 37 78" xfId="18694"/>
    <cellStyle name="Normal 37 79" xfId="18945"/>
    <cellStyle name="Normal 37 8" xfId="1114"/>
    <cellStyle name="Normal 37 80" xfId="19196"/>
    <cellStyle name="Normal 37 81" xfId="19446"/>
    <cellStyle name="Normal 37 82" xfId="19702"/>
    <cellStyle name="Normal 37 83" xfId="19954"/>
    <cellStyle name="Normal 37 84" xfId="20206"/>
    <cellStyle name="Normal 37 85" xfId="20458"/>
    <cellStyle name="Normal 37 86" xfId="20708"/>
    <cellStyle name="Normal 37 87" xfId="20958"/>
    <cellStyle name="Normal 37 88" xfId="21209"/>
    <cellStyle name="Normal 37 89" xfId="21453"/>
    <cellStyle name="Normal 37 9" xfId="1367"/>
    <cellStyle name="Normal 37 90" xfId="21697"/>
    <cellStyle name="Normal 37 91" xfId="21938"/>
    <cellStyle name="Normal 38" xfId="1100"/>
    <cellStyle name="Normal 38 10" xfId="24247"/>
    <cellStyle name="Normal 38 11" xfId="24248"/>
    <cellStyle name="Normal 38 12" xfId="24249"/>
    <cellStyle name="Normal 38 13" xfId="24250"/>
    <cellStyle name="Normal 38 14" xfId="24251"/>
    <cellStyle name="Normal 38 15" xfId="24252"/>
    <cellStyle name="Normal 38 16" xfId="24253"/>
    <cellStyle name="Normal 38 17" xfId="24254"/>
    <cellStyle name="Normal 38 2" xfId="24255"/>
    <cellStyle name="Normal 38 3" xfId="24256"/>
    <cellStyle name="Normal 38 4" xfId="24257"/>
    <cellStyle name="Normal 38 5" xfId="24258"/>
    <cellStyle name="Normal 38 6" xfId="24259"/>
    <cellStyle name="Normal 38 7" xfId="24260"/>
    <cellStyle name="Normal 38 8" xfId="24261"/>
    <cellStyle name="Normal 38 9" xfId="24262"/>
    <cellStyle name="Normal 39" xfId="1353"/>
    <cellStyle name="Normal 39 10" xfId="24263"/>
    <cellStyle name="Normal 39 11" xfId="24264"/>
    <cellStyle name="Normal 39 12" xfId="24265"/>
    <cellStyle name="Normal 39 13" xfId="24266"/>
    <cellStyle name="Normal 39 14" xfId="24267"/>
    <cellStyle name="Normal 39 15" xfId="24268"/>
    <cellStyle name="Normal 39 16" xfId="24269"/>
    <cellStyle name="Normal 39 17" xfId="24270"/>
    <cellStyle name="Normal 39 2" xfId="24271"/>
    <cellStyle name="Normal 39 3" xfId="24272"/>
    <cellStyle name="Normal 39 4" xfId="24273"/>
    <cellStyle name="Normal 39 5" xfId="24274"/>
    <cellStyle name="Normal 39 6" xfId="24275"/>
    <cellStyle name="Normal 39 7" xfId="24276"/>
    <cellStyle name="Normal 39 8" xfId="24277"/>
    <cellStyle name="Normal 39 9" xfId="24278"/>
    <cellStyle name="Normal 4" xfId="8"/>
    <cellStyle name="Normal 4 10" xfId="24279"/>
    <cellStyle name="Normal 4 11" xfId="24280"/>
    <cellStyle name="Normal 4 12" xfId="24281"/>
    <cellStyle name="Normal 4 13" xfId="24282"/>
    <cellStyle name="Normal 4 14" xfId="24283"/>
    <cellStyle name="Normal 4 15" xfId="24284"/>
    <cellStyle name="Normal 4 16" xfId="24285"/>
    <cellStyle name="Normal 4 17" xfId="24286"/>
    <cellStyle name="Normal 4 18" xfId="24287"/>
    <cellStyle name="Normal 4 19" xfId="24288"/>
    <cellStyle name="Normal 4 2" xfId="24289"/>
    <cellStyle name="Normal 4 20" xfId="24290"/>
    <cellStyle name="Normal 4 21" xfId="24291"/>
    <cellStyle name="Normal 4 22" xfId="24292"/>
    <cellStyle name="Normal 4 23" xfId="24293"/>
    <cellStyle name="Normal 4 24" xfId="24294"/>
    <cellStyle name="Normal 4 25" xfId="24295"/>
    <cellStyle name="Normal 4 26" xfId="24296"/>
    <cellStyle name="Normal 4 27" xfId="24297"/>
    <cellStyle name="Normal 4 28" xfId="24298"/>
    <cellStyle name="Normal 4 29" xfId="24299"/>
    <cellStyle name="Normal 4 3" xfId="24300"/>
    <cellStyle name="Normal 4 30" xfId="24301"/>
    <cellStyle name="Normal 4 31" xfId="24302"/>
    <cellStyle name="Normal 4 32" xfId="24303"/>
    <cellStyle name="Normal 4 33" xfId="24304"/>
    <cellStyle name="Normal 4 34" xfId="24305"/>
    <cellStyle name="Normal 4 35" xfId="24306"/>
    <cellStyle name="Normal 4 36" xfId="24307"/>
    <cellStyle name="Normal 4 37" xfId="24308"/>
    <cellStyle name="Normal 4 38" xfId="24309"/>
    <cellStyle name="Normal 4 4" xfId="24310"/>
    <cellStyle name="Normal 4 5" xfId="24311"/>
    <cellStyle name="Normal 4 6" xfId="24312"/>
    <cellStyle name="Normal 4 7" xfId="24313"/>
    <cellStyle name="Normal 4 8" xfId="24314"/>
    <cellStyle name="Normal 4 9" xfId="24315"/>
    <cellStyle name="Normal 40" xfId="22175"/>
    <cellStyle name="Normal 40 10" xfId="24316"/>
    <cellStyle name="Normal 40 11" xfId="24317"/>
    <cellStyle name="Normal 40 12" xfId="24318"/>
    <cellStyle name="Normal 40 13" xfId="24319"/>
    <cellStyle name="Normal 40 14" xfId="24320"/>
    <cellStyle name="Normal 40 15" xfId="24321"/>
    <cellStyle name="Normal 40 16" xfId="24322"/>
    <cellStyle name="Normal 40 17" xfId="24323"/>
    <cellStyle name="Normal 40 2" xfId="24324"/>
    <cellStyle name="Normal 40 3" xfId="24325"/>
    <cellStyle name="Normal 40 4" xfId="24326"/>
    <cellStyle name="Normal 40 5" xfId="24327"/>
    <cellStyle name="Normal 40 6" xfId="24328"/>
    <cellStyle name="Normal 40 7" xfId="24329"/>
    <cellStyle name="Normal 40 8" xfId="24330"/>
    <cellStyle name="Normal 40 9" xfId="24331"/>
    <cellStyle name="Normal 41" xfId="22165"/>
    <cellStyle name="Normal 41 10" xfId="24332"/>
    <cellStyle name="Normal 41 11" xfId="24333"/>
    <cellStyle name="Normal 41 12" xfId="24334"/>
    <cellStyle name="Normal 41 13" xfId="24335"/>
    <cellStyle name="Normal 41 14" xfId="24336"/>
    <cellStyle name="Normal 41 15" xfId="24337"/>
    <cellStyle name="Normal 41 16" xfId="24338"/>
    <cellStyle name="Normal 41 17" xfId="24339"/>
    <cellStyle name="Normal 41 2" xfId="24340"/>
    <cellStyle name="Normal 41 3" xfId="24341"/>
    <cellStyle name="Normal 41 4" xfId="24342"/>
    <cellStyle name="Normal 41 5" xfId="24343"/>
    <cellStyle name="Normal 41 6" xfId="24344"/>
    <cellStyle name="Normal 41 7" xfId="24345"/>
    <cellStyle name="Normal 41 8" xfId="24346"/>
    <cellStyle name="Normal 41 9" xfId="24347"/>
    <cellStyle name="Normal 42" xfId="22166"/>
    <cellStyle name="Normal 42 10" xfId="24348"/>
    <cellStyle name="Normal 42 11" xfId="24349"/>
    <cellStyle name="Normal 42 12" xfId="24350"/>
    <cellStyle name="Normal 42 13" xfId="24351"/>
    <cellStyle name="Normal 42 14" xfId="24352"/>
    <cellStyle name="Normal 42 15" xfId="24353"/>
    <cellStyle name="Normal 42 16" xfId="24354"/>
    <cellStyle name="Normal 42 17" xfId="24355"/>
    <cellStyle name="Normal 42 2" xfId="24356"/>
    <cellStyle name="Normal 42 3" xfId="24357"/>
    <cellStyle name="Normal 42 4" xfId="24358"/>
    <cellStyle name="Normal 42 5" xfId="24359"/>
    <cellStyle name="Normal 42 6" xfId="24360"/>
    <cellStyle name="Normal 42 7" xfId="24361"/>
    <cellStyle name="Normal 42 8" xfId="24362"/>
    <cellStyle name="Normal 42 9" xfId="24363"/>
    <cellStyle name="Normal 43" xfId="22167"/>
    <cellStyle name="Normal 43 10" xfId="24364"/>
    <cellStyle name="Normal 43 11" xfId="24365"/>
    <cellStyle name="Normal 43 12" xfId="24366"/>
    <cellStyle name="Normal 43 13" xfId="24367"/>
    <cellStyle name="Normal 43 14" xfId="24368"/>
    <cellStyle name="Normal 43 15" xfId="24369"/>
    <cellStyle name="Normal 43 16" xfId="24370"/>
    <cellStyle name="Normal 43 17" xfId="24371"/>
    <cellStyle name="Normal 43 2" xfId="24372"/>
    <cellStyle name="Normal 43 3" xfId="24373"/>
    <cellStyle name="Normal 43 4" xfId="24374"/>
    <cellStyle name="Normal 43 5" xfId="24375"/>
    <cellStyle name="Normal 43 6" xfId="24376"/>
    <cellStyle name="Normal 43 7" xfId="24377"/>
    <cellStyle name="Normal 43 8" xfId="24378"/>
    <cellStyle name="Normal 43 9" xfId="24379"/>
    <cellStyle name="Normal 44" xfId="22168"/>
    <cellStyle name="Normal 45" xfId="22169"/>
    <cellStyle name="Normal 45 10" xfId="24380"/>
    <cellStyle name="Normal 45 11" xfId="24381"/>
    <cellStyle name="Normal 45 12" xfId="24382"/>
    <cellStyle name="Normal 45 13" xfId="24383"/>
    <cellStyle name="Normal 45 14" xfId="24384"/>
    <cellStyle name="Normal 45 15" xfId="24385"/>
    <cellStyle name="Normal 45 16" xfId="24386"/>
    <cellStyle name="Normal 45 17" xfId="24387"/>
    <cellStyle name="Normal 45 2" xfId="24388"/>
    <cellStyle name="Normal 45 3" xfId="24389"/>
    <cellStyle name="Normal 45 4" xfId="24390"/>
    <cellStyle name="Normal 45 5" xfId="24391"/>
    <cellStyle name="Normal 45 6" xfId="24392"/>
    <cellStyle name="Normal 45 7" xfId="24393"/>
    <cellStyle name="Normal 45 8" xfId="24394"/>
    <cellStyle name="Normal 45 9" xfId="24395"/>
    <cellStyle name="Normal 46" xfId="81"/>
    <cellStyle name="Normal 46 10" xfId="1623"/>
    <cellStyle name="Normal 46 11" xfId="1880"/>
    <cellStyle name="Normal 46 12" xfId="2131"/>
    <cellStyle name="Normal 46 13" xfId="2382"/>
    <cellStyle name="Normal 46 14" xfId="2633"/>
    <cellStyle name="Normal 46 15" xfId="2884"/>
    <cellStyle name="Normal 46 16" xfId="3135"/>
    <cellStyle name="Normal 46 17" xfId="3386"/>
    <cellStyle name="Normal 46 18" xfId="3637"/>
    <cellStyle name="Normal 46 19" xfId="3888"/>
    <cellStyle name="Normal 46 2" xfId="114"/>
    <cellStyle name="Normal 46 2 10" xfId="1913"/>
    <cellStyle name="Normal 46 2 11" xfId="2164"/>
    <cellStyle name="Normal 46 2 12" xfId="2415"/>
    <cellStyle name="Normal 46 2 13" xfId="2666"/>
    <cellStyle name="Normal 46 2 14" xfId="2917"/>
    <cellStyle name="Normal 46 2 15" xfId="3168"/>
    <cellStyle name="Normal 46 2 16" xfId="3419"/>
    <cellStyle name="Normal 46 2 17" xfId="3670"/>
    <cellStyle name="Normal 46 2 18" xfId="3921"/>
    <cellStyle name="Normal 46 2 19" xfId="4172"/>
    <cellStyle name="Normal 46 2 2" xfId="208"/>
    <cellStyle name="Normal 46 2 2 10" xfId="2508"/>
    <cellStyle name="Normal 46 2 2 11" xfId="2759"/>
    <cellStyle name="Normal 46 2 2 12" xfId="3010"/>
    <cellStyle name="Normal 46 2 2 13" xfId="3261"/>
    <cellStyle name="Normal 46 2 2 14" xfId="3512"/>
    <cellStyle name="Normal 46 2 2 15" xfId="3763"/>
    <cellStyle name="Normal 46 2 2 16" xfId="4014"/>
    <cellStyle name="Normal 46 2 2 17" xfId="4265"/>
    <cellStyle name="Normal 46 2 2 18" xfId="4516"/>
    <cellStyle name="Normal 46 2 2 19" xfId="4767"/>
    <cellStyle name="Normal 46 2 2 2" xfId="485"/>
    <cellStyle name="Normal 46 2 2 20" xfId="5018"/>
    <cellStyle name="Normal 46 2 2 21" xfId="5269"/>
    <cellStyle name="Normal 46 2 2 22" xfId="5520"/>
    <cellStyle name="Normal 46 2 2 23" xfId="5771"/>
    <cellStyle name="Normal 46 2 2 24" xfId="6022"/>
    <cellStyle name="Normal 46 2 2 25" xfId="6273"/>
    <cellStyle name="Normal 46 2 2 26" xfId="6524"/>
    <cellStyle name="Normal 46 2 2 27" xfId="6775"/>
    <cellStyle name="Normal 46 2 2 28" xfId="7026"/>
    <cellStyle name="Normal 46 2 2 29" xfId="7277"/>
    <cellStyle name="Normal 46 2 2 3" xfId="735"/>
    <cellStyle name="Normal 46 2 2 30" xfId="7528"/>
    <cellStyle name="Normal 46 2 2 31" xfId="7779"/>
    <cellStyle name="Normal 46 2 2 32" xfId="8030"/>
    <cellStyle name="Normal 46 2 2 33" xfId="8281"/>
    <cellStyle name="Normal 46 2 2 34" xfId="8532"/>
    <cellStyle name="Normal 46 2 2 35" xfId="8783"/>
    <cellStyle name="Normal 46 2 2 36" xfId="9034"/>
    <cellStyle name="Normal 46 2 2 37" xfId="9285"/>
    <cellStyle name="Normal 46 2 2 38" xfId="9536"/>
    <cellStyle name="Normal 46 2 2 39" xfId="9787"/>
    <cellStyle name="Normal 46 2 2 4" xfId="988"/>
    <cellStyle name="Normal 46 2 2 40" xfId="10038"/>
    <cellStyle name="Normal 46 2 2 41" xfId="10289"/>
    <cellStyle name="Normal 46 2 2 42" xfId="10540"/>
    <cellStyle name="Normal 46 2 2 43" xfId="10791"/>
    <cellStyle name="Normal 46 2 2 44" xfId="11042"/>
    <cellStyle name="Normal 46 2 2 45" xfId="11293"/>
    <cellStyle name="Normal 46 2 2 46" xfId="11544"/>
    <cellStyle name="Normal 46 2 2 47" xfId="11795"/>
    <cellStyle name="Normal 46 2 2 48" xfId="12046"/>
    <cellStyle name="Normal 46 2 2 49" xfId="12297"/>
    <cellStyle name="Normal 46 2 2 5" xfId="1243"/>
    <cellStyle name="Normal 46 2 2 50" xfId="12548"/>
    <cellStyle name="Normal 46 2 2 51" xfId="12799"/>
    <cellStyle name="Normal 46 2 2 52" xfId="13050"/>
    <cellStyle name="Normal 46 2 2 53" xfId="13301"/>
    <cellStyle name="Normal 46 2 2 54" xfId="13552"/>
    <cellStyle name="Normal 46 2 2 55" xfId="13803"/>
    <cellStyle name="Normal 46 2 2 56" xfId="14054"/>
    <cellStyle name="Normal 46 2 2 57" xfId="14305"/>
    <cellStyle name="Normal 46 2 2 58" xfId="14556"/>
    <cellStyle name="Normal 46 2 2 59" xfId="14807"/>
    <cellStyle name="Normal 46 2 2 6" xfId="1496"/>
    <cellStyle name="Normal 46 2 2 60" xfId="15058"/>
    <cellStyle name="Normal 46 2 2 61" xfId="15308"/>
    <cellStyle name="Normal 46 2 2 62" xfId="15559"/>
    <cellStyle name="Normal 46 2 2 63" xfId="15807"/>
    <cellStyle name="Normal 46 2 2 64" xfId="16063"/>
    <cellStyle name="Normal 46 2 2 65" xfId="16314"/>
    <cellStyle name="Normal 46 2 2 66" xfId="16565"/>
    <cellStyle name="Normal 46 2 2 67" xfId="16816"/>
    <cellStyle name="Normal 46 2 2 68" xfId="17067"/>
    <cellStyle name="Normal 46 2 2 69" xfId="17318"/>
    <cellStyle name="Normal 46 2 2 7" xfId="1750"/>
    <cellStyle name="Normal 46 2 2 70" xfId="17569"/>
    <cellStyle name="Normal 46 2 2 71" xfId="17820"/>
    <cellStyle name="Normal 46 2 2 72" xfId="18071"/>
    <cellStyle name="Normal 46 2 2 73" xfId="18322"/>
    <cellStyle name="Normal 46 2 2 74" xfId="18573"/>
    <cellStyle name="Normal 46 2 2 75" xfId="18824"/>
    <cellStyle name="Normal 46 2 2 76" xfId="19074"/>
    <cellStyle name="Normal 46 2 2 77" xfId="19326"/>
    <cellStyle name="Normal 46 2 2 78" xfId="19576"/>
    <cellStyle name="Normal 46 2 2 79" xfId="19832"/>
    <cellStyle name="Normal 46 2 2 8" xfId="2006"/>
    <cellStyle name="Normal 46 2 2 80" xfId="20084"/>
    <cellStyle name="Normal 46 2 2 81" xfId="20336"/>
    <cellStyle name="Normal 46 2 2 82" xfId="20588"/>
    <cellStyle name="Normal 46 2 2 83" xfId="20838"/>
    <cellStyle name="Normal 46 2 2 84" xfId="21088"/>
    <cellStyle name="Normal 46 2 2 85" xfId="21337"/>
    <cellStyle name="Normal 46 2 2 86" xfId="21581"/>
    <cellStyle name="Normal 46 2 2 87" xfId="21825"/>
    <cellStyle name="Normal 46 2 2 88" xfId="22066"/>
    <cellStyle name="Normal 46 2 2 9" xfId="2257"/>
    <cellStyle name="Normal 46 2 20" xfId="4423"/>
    <cellStyle name="Normal 46 2 21" xfId="4674"/>
    <cellStyle name="Normal 46 2 22" xfId="4925"/>
    <cellStyle name="Normal 46 2 23" xfId="5176"/>
    <cellStyle name="Normal 46 2 24" xfId="5427"/>
    <cellStyle name="Normal 46 2 25" xfId="5678"/>
    <cellStyle name="Normal 46 2 26" xfId="5929"/>
    <cellStyle name="Normal 46 2 27" xfId="6180"/>
    <cellStyle name="Normal 46 2 28" xfId="6431"/>
    <cellStyle name="Normal 46 2 29" xfId="6682"/>
    <cellStyle name="Normal 46 2 3" xfId="284"/>
    <cellStyle name="Normal 46 2 3 10" xfId="2584"/>
    <cellStyle name="Normal 46 2 3 11" xfId="2835"/>
    <cellStyle name="Normal 46 2 3 12" xfId="3086"/>
    <cellStyle name="Normal 46 2 3 13" xfId="3337"/>
    <cellStyle name="Normal 46 2 3 14" xfId="3588"/>
    <cellStyle name="Normal 46 2 3 15" xfId="3839"/>
    <cellStyle name="Normal 46 2 3 16" xfId="4090"/>
    <cellStyle name="Normal 46 2 3 17" xfId="4341"/>
    <cellStyle name="Normal 46 2 3 18" xfId="4592"/>
    <cellStyle name="Normal 46 2 3 19" xfId="4843"/>
    <cellStyle name="Normal 46 2 3 2" xfId="559"/>
    <cellStyle name="Normal 46 2 3 20" xfId="5094"/>
    <cellStyle name="Normal 46 2 3 21" xfId="5345"/>
    <cellStyle name="Normal 46 2 3 22" xfId="5596"/>
    <cellStyle name="Normal 46 2 3 23" xfId="5847"/>
    <cellStyle name="Normal 46 2 3 24" xfId="6098"/>
    <cellStyle name="Normal 46 2 3 25" xfId="6349"/>
    <cellStyle name="Normal 46 2 3 26" xfId="6600"/>
    <cellStyle name="Normal 46 2 3 27" xfId="6851"/>
    <cellStyle name="Normal 46 2 3 28" xfId="7102"/>
    <cellStyle name="Normal 46 2 3 29" xfId="7353"/>
    <cellStyle name="Normal 46 2 3 3" xfId="809"/>
    <cellStyle name="Normal 46 2 3 30" xfId="7604"/>
    <cellStyle name="Normal 46 2 3 31" xfId="7855"/>
    <cellStyle name="Normal 46 2 3 32" xfId="8106"/>
    <cellStyle name="Normal 46 2 3 33" xfId="8357"/>
    <cellStyle name="Normal 46 2 3 34" xfId="8608"/>
    <cellStyle name="Normal 46 2 3 35" xfId="8859"/>
    <cellStyle name="Normal 46 2 3 36" xfId="9110"/>
    <cellStyle name="Normal 46 2 3 37" xfId="9361"/>
    <cellStyle name="Normal 46 2 3 38" xfId="9612"/>
    <cellStyle name="Normal 46 2 3 39" xfId="9863"/>
    <cellStyle name="Normal 46 2 3 4" xfId="1061"/>
    <cellStyle name="Normal 46 2 3 40" xfId="10114"/>
    <cellStyle name="Normal 46 2 3 41" xfId="10365"/>
    <cellStyle name="Normal 46 2 3 42" xfId="10616"/>
    <cellStyle name="Normal 46 2 3 43" xfId="10867"/>
    <cellStyle name="Normal 46 2 3 44" xfId="11118"/>
    <cellStyle name="Normal 46 2 3 45" xfId="11369"/>
    <cellStyle name="Normal 46 2 3 46" xfId="11620"/>
    <cellStyle name="Normal 46 2 3 47" xfId="11871"/>
    <cellStyle name="Normal 46 2 3 48" xfId="12122"/>
    <cellStyle name="Normal 46 2 3 49" xfId="12373"/>
    <cellStyle name="Normal 46 2 3 5" xfId="1317"/>
    <cellStyle name="Normal 46 2 3 50" xfId="12624"/>
    <cellStyle name="Normal 46 2 3 51" xfId="12875"/>
    <cellStyle name="Normal 46 2 3 52" xfId="13126"/>
    <cellStyle name="Normal 46 2 3 53" xfId="13377"/>
    <cellStyle name="Normal 46 2 3 54" xfId="13628"/>
    <cellStyle name="Normal 46 2 3 55" xfId="13879"/>
    <cellStyle name="Normal 46 2 3 56" xfId="14130"/>
    <cellStyle name="Normal 46 2 3 57" xfId="14381"/>
    <cellStyle name="Normal 46 2 3 58" xfId="14632"/>
    <cellStyle name="Normal 46 2 3 59" xfId="14883"/>
    <cellStyle name="Normal 46 2 3 6" xfId="1572"/>
    <cellStyle name="Normal 46 2 3 60" xfId="15134"/>
    <cellStyle name="Normal 46 2 3 61" xfId="15384"/>
    <cellStyle name="Normal 46 2 3 62" xfId="15633"/>
    <cellStyle name="Normal 46 2 3 63" xfId="15883"/>
    <cellStyle name="Normal 46 2 3 64" xfId="16139"/>
    <cellStyle name="Normal 46 2 3 65" xfId="16390"/>
    <cellStyle name="Normal 46 2 3 66" xfId="16641"/>
    <cellStyle name="Normal 46 2 3 67" xfId="16892"/>
    <cellStyle name="Normal 46 2 3 68" xfId="17143"/>
    <cellStyle name="Normal 46 2 3 69" xfId="17394"/>
    <cellStyle name="Normal 46 2 3 7" xfId="1825"/>
    <cellStyle name="Normal 46 2 3 70" xfId="17645"/>
    <cellStyle name="Normal 46 2 3 71" xfId="17896"/>
    <cellStyle name="Normal 46 2 3 72" xfId="18147"/>
    <cellStyle name="Normal 46 2 3 73" xfId="18398"/>
    <cellStyle name="Normal 46 2 3 74" xfId="18649"/>
    <cellStyle name="Normal 46 2 3 75" xfId="18900"/>
    <cellStyle name="Normal 46 2 3 76" xfId="19150"/>
    <cellStyle name="Normal 46 2 3 77" xfId="19401"/>
    <cellStyle name="Normal 46 2 3 78" xfId="19652"/>
    <cellStyle name="Normal 46 2 3 79" xfId="19908"/>
    <cellStyle name="Normal 46 2 3 8" xfId="2082"/>
    <cellStyle name="Normal 46 2 3 80" xfId="20160"/>
    <cellStyle name="Normal 46 2 3 81" xfId="20412"/>
    <cellStyle name="Normal 46 2 3 82" xfId="20664"/>
    <cellStyle name="Normal 46 2 3 83" xfId="20914"/>
    <cellStyle name="Normal 46 2 3 84" xfId="21163"/>
    <cellStyle name="Normal 46 2 3 85" xfId="21411"/>
    <cellStyle name="Normal 46 2 3 86" xfId="21655"/>
    <cellStyle name="Normal 46 2 3 87" xfId="21897"/>
    <cellStyle name="Normal 46 2 3 88" xfId="22138"/>
    <cellStyle name="Normal 46 2 3 9" xfId="2333"/>
    <cellStyle name="Normal 46 2 30" xfId="6933"/>
    <cellStyle name="Normal 46 2 31" xfId="7184"/>
    <cellStyle name="Normal 46 2 32" xfId="7435"/>
    <cellStyle name="Normal 46 2 33" xfId="7686"/>
    <cellStyle name="Normal 46 2 34" xfId="7937"/>
    <cellStyle name="Normal 46 2 35" xfId="8188"/>
    <cellStyle name="Normal 46 2 36" xfId="8439"/>
    <cellStyle name="Normal 46 2 37" xfId="8690"/>
    <cellStyle name="Normal 46 2 38" xfId="8941"/>
    <cellStyle name="Normal 46 2 39" xfId="9192"/>
    <cellStyle name="Normal 46 2 4" xfId="393"/>
    <cellStyle name="Normal 46 2 40" xfId="9443"/>
    <cellStyle name="Normal 46 2 41" xfId="9694"/>
    <cellStyle name="Normal 46 2 42" xfId="9945"/>
    <cellStyle name="Normal 46 2 43" xfId="10196"/>
    <cellStyle name="Normal 46 2 44" xfId="10447"/>
    <cellStyle name="Normal 46 2 45" xfId="10698"/>
    <cellStyle name="Normal 46 2 46" xfId="10949"/>
    <cellStyle name="Normal 46 2 47" xfId="11200"/>
    <cellStyle name="Normal 46 2 48" xfId="11451"/>
    <cellStyle name="Normal 46 2 49" xfId="11702"/>
    <cellStyle name="Normal 46 2 5" xfId="642"/>
    <cellStyle name="Normal 46 2 50" xfId="11953"/>
    <cellStyle name="Normal 46 2 51" xfId="12204"/>
    <cellStyle name="Normal 46 2 52" xfId="12455"/>
    <cellStyle name="Normal 46 2 53" xfId="12706"/>
    <cellStyle name="Normal 46 2 54" xfId="12957"/>
    <cellStyle name="Normal 46 2 55" xfId="13208"/>
    <cellStyle name="Normal 46 2 56" xfId="13459"/>
    <cellStyle name="Normal 46 2 57" xfId="13710"/>
    <cellStyle name="Normal 46 2 58" xfId="13961"/>
    <cellStyle name="Normal 46 2 59" xfId="14212"/>
    <cellStyle name="Normal 46 2 6" xfId="895"/>
    <cellStyle name="Normal 46 2 60" xfId="14463"/>
    <cellStyle name="Normal 46 2 61" xfId="14714"/>
    <cellStyle name="Normal 46 2 62" xfId="14964"/>
    <cellStyle name="Normal 46 2 63" xfId="15215"/>
    <cellStyle name="Normal 46 2 64" xfId="15466"/>
    <cellStyle name="Normal 46 2 65" xfId="15713"/>
    <cellStyle name="Normal 46 2 66" xfId="15970"/>
    <cellStyle name="Normal 46 2 67" xfId="16221"/>
    <cellStyle name="Normal 46 2 68" xfId="16472"/>
    <cellStyle name="Normal 46 2 69" xfId="16723"/>
    <cellStyle name="Normal 46 2 7" xfId="1150"/>
    <cellStyle name="Normal 46 2 70" xfId="16974"/>
    <cellStyle name="Normal 46 2 71" xfId="17225"/>
    <cellStyle name="Normal 46 2 72" xfId="17476"/>
    <cellStyle name="Normal 46 2 73" xfId="17727"/>
    <cellStyle name="Normal 46 2 74" xfId="17978"/>
    <cellStyle name="Normal 46 2 75" xfId="18229"/>
    <cellStyle name="Normal 46 2 76" xfId="18480"/>
    <cellStyle name="Normal 46 2 77" xfId="18730"/>
    <cellStyle name="Normal 46 2 78" xfId="18981"/>
    <cellStyle name="Normal 46 2 79" xfId="19232"/>
    <cellStyle name="Normal 46 2 8" xfId="1403"/>
    <cellStyle name="Normal 46 2 80" xfId="19482"/>
    <cellStyle name="Normal 46 2 81" xfId="19738"/>
    <cellStyle name="Normal 46 2 82" xfId="19990"/>
    <cellStyle name="Normal 46 2 83" xfId="20242"/>
    <cellStyle name="Normal 46 2 84" xfId="20494"/>
    <cellStyle name="Normal 46 2 85" xfId="20744"/>
    <cellStyle name="Normal 46 2 86" xfId="20994"/>
    <cellStyle name="Normal 46 2 87" xfId="21245"/>
    <cellStyle name="Normal 46 2 88" xfId="21489"/>
    <cellStyle name="Normal 46 2 89" xfId="21733"/>
    <cellStyle name="Normal 46 2 9" xfId="1656"/>
    <cellStyle name="Normal 46 2 90" xfId="21974"/>
    <cellStyle name="Normal 46 20" xfId="4139"/>
    <cellStyle name="Normal 46 21" xfId="4390"/>
    <cellStyle name="Normal 46 22" xfId="4641"/>
    <cellStyle name="Normal 46 23" xfId="4892"/>
    <cellStyle name="Normal 46 24" xfId="5143"/>
    <cellStyle name="Normal 46 25" xfId="5394"/>
    <cellStyle name="Normal 46 26" xfId="5645"/>
    <cellStyle name="Normal 46 27" xfId="5896"/>
    <cellStyle name="Normal 46 28" xfId="6147"/>
    <cellStyle name="Normal 46 29" xfId="6398"/>
    <cellStyle name="Normal 46 3" xfId="175"/>
    <cellStyle name="Normal 46 3 10" xfId="2475"/>
    <cellStyle name="Normal 46 3 11" xfId="2726"/>
    <cellStyle name="Normal 46 3 12" xfId="2977"/>
    <cellStyle name="Normal 46 3 13" xfId="3228"/>
    <cellStyle name="Normal 46 3 14" xfId="3479"/>
    <cellStyle name="Normal 46 3 15" xfId="3730"/>
    <cellStyle name="Normal 46 3 16" xfId="3981"/>
    <cellStyle name="Normal 46 3 17" xfId="4232"/>
    <cellStyle name="Normal 46 3 18" xfId="4483"/>
    <cellStyle name="Normal 46 3 19" xfId="4734"/>
    <cellStyle name="Normal 46 3 2" xfId="452"/>
    <cellStyle name="Normal 46 3 20" xfId="4985"/>
    <cellStyle name="Normal 46 3 21" xfId="5236"/>
    <cellStyle name="Normal 46 3 22" xfId="5487"/>
    <cellStyle name="Normal 46 3 23" xfId="5738"/>
    <cellStyle name="Normal 46 3 24" xfId="5989"/>
    <cellStyle name="Normal 46 3 25" xfId="6240"/>
    <cellStyle name="Normal 46 3 26" xfId="6491"/>
    <cellStyle name="Normal 46 3 27" xfId="6742"/>
    <cellStyle name="Normal 46 3 28" xfId="6993"/>
    <cellStyle name="Normal 46 3 29" xfId="7244"/>
    <cellStyle name="Normal 46 3 3" xfId="702"/>
    <cellStyle name="Normal 46 3 30" xfId="7495"/>
    <cellStyle name="Normal 46 3 31" xfId="7746"/>
    <cellStyle name="Normal 46 3 32" xfId="7997"/>
    <cellStyle name="Normal 46 3 33" xfId="8248"/>
    <cellStyle name="Normal 46 3 34" xfId="8499"/>
    <cellStyle name="Normal 46 3 35" xfId="8750"/>
    <cellStyle name="Normal 46 3 36" xfId="9001"/>
    <cellStyle name="Normal 46 3 37" xfId="9252"/>
    <cellStyle name="Normal 46 3 38" xfId="9503"/>
    <cellStyle name="Normal 46 3 39" xfId="9754"/>
    <cellStyle name="Normal 46 3 4" xfId="955"/>
    <cellStyle name="Normal 46 3 40" xfId="10005"/>
    <cellStyle name="Normal 46 3 41" xfId="10256"/>
    <cellStyle name="Normal 46 3 42" xfId="10507"/>
    <cellStyle name="Normal 46 3 43" xfId="10758"/>
    <cellStyle name="Normal 46 3 44" xfId="11009"/>
    <cellStyle name="Normal 46 3 45" xfId="11260"/>
    <cellStyle name="Normal 46 3 46" xfId="11511"/>
    <cellStyle name="Normal 46 3 47" xfId="11762"/>
    <cellStyle name="Normal 46 3 48" xfId="12013"/>
    <cellStyle name="Normal 46 3 49" xfId="12264"/>
    <cellStyle name="Normal 46 3 5" xfId="1210"/>
    <cellStyle name="Normal 46 3 50" xfId="12515"/>
    <cellStyle name="Normal 46 3 51" xfId="12766"/>
    <cellStyle name="Normal 46 3 52" xfId="13017"/>
    <cellStyle name="Normal 46 3 53" xfId="13268"/>
    <cellStyle name="Normal 46 3 54" xfId="13519"/>
    <cellStyle name="Normal 46 3 55" xfId="13770"/>
    <cellStyle name="Normal 46 3 56" xfId="14021"/>
    <cellStyle name="Normal 46 3 57" xfId="14272"/>
    <cellStyle name="Normal 46 3 58" xfId="14523"/>
    <cellStyle name="Normal 46 3 59" xfId="14774"/>
    <cellStyle name="Normal 46 3 6" xfId="1463"/>
    <cellStyle name="Normal 46 3 60" xfId="15025"/>
    <cellStyle name="Normal 46 3 61" xfId="15275"/>
    <cellStyle name="Normal 46 3 62" xfId="15526"/>
    <cellStyle name="Normal 46 3 63" xfId="15774"/>
    <cellStyle name="Normal 46 3 64" xfId="16030"/>
    <cellStyle name="Normal 46 3 65" xfId="16281"/>
    <cellStyle name="Normal 46 3 66" xfId="16532"/>
    <cellStyle name="Normal 46 3 67" xfId="16783"/>
    <cellStyle name="Normal 46 3 68" xfId="17034"/>
    <cellStyle name="Normal 46 3 69" xfId="17285"/>
    <cellStyle name="Normal 46 3 7" xfId="1717"/>
    <cellStyle name="Normal 46 3 70" xfId="17536"/>
    <cellStyle name="Normal 46 3 71" xfId="17787"/>
    <cellStyle name="Normal 46 3 72" xfId="18038"/>
    <cellStyle name="Normal 46 3 73" xfId="18289"/>
    <cellStyle name="Normal 46 3 74" xfId="18540"/>
    <cellStyle name="Normal 46 3 75" xfId="18791"/>
    <cellStyle name="Normal 46 3 76" xfId="19041"/>
    <cellStyle name="Normal 46 3 77" xfId="19293"/>
    <cellStyle name="Normal 46 3 78" xfId="19543"/>
    <cellStyle name="Normal 46 3 79" xfId="19799"/>
    <cellStyle name="Normal 46 3 8" xfId="1973"/>
    <cellStyle name="Normal 46 3 80" xfId="20051"/>
    <cellStyle name="Normal 46 3 81" xfId="20303"/>
    <cellStyle name="Normal 46 3 82" xfId="20555"/>
    <cellStyle name="Normal 46 3 83" xfId="20805"/>
    <cellStyle name="Normal 46 3 84" xfId="21055"/>
    <cellStyle name="Normal 46 3 85" xfId="21304"/>
    <cellStyle name="Normal 46 3 86" xfId="21548"/>
    <cellStyle name="Normal 46 3 87" xfId="21792"/>
    <cellStyle name="Normal 46 3 88" xfId="22033"/>
    <cellStyle name="Normal 46 3 9" xfId="2224"/>
    <cellStyle name="Normal 46 30" xfId="6649"/>
    <cellStyle name="Normal 46 31" xfId="6900"/>
    <cellStyle name="Normal 46 32" xfId="7151"/>
    <cellStyle name="Normal 46 33" xfId="7402"/>
    <cellStyle name="Normal 46 34" xfId="7653"/>
    <cellStyle name="Normal 46 35" xfId="7904"/>
    <cellStyle name="Normal 46 36" xfId="8155"/>
    <cellStyle name="Normal 46 37" xfId="8406"/>
    <cellStyle name="Normal 46 38" xfId="8657"/>
    <cellStyle name="Normal 46 39" xfId="8908"/>
    <cellStyle name="Normal 46 4" xfId="251"/>
    <cellStyle name="Normal 46 4 10" xfId="2551"/>
    <cellStyle name="Normal 46 4 11" xfId="2802"/>
    <cellStyle name="Normal 46 4 12" xfId="3053"/>
    <cellStyle name="Normal 46 4 13" xfId="3304"/>
    <cellStyle name="Normal 46 4 14" xfId="3555"/>
    <cellStyle name="Normal 46 4 15" xfId="3806"/>
    <cellStyle name="Normal 46 4 16" xfId="4057"/>
    <cellStyle name="Normal 46 4 17" xfId="4308"/>
    <cellStyle name="Normal 46 4 18" xfId="4559"/>
    <cellStyle name="Normal 46 4 19" xfId="4810"/>
    <cellStyle name="Normal 46 4 2" xfId="527"/>
    <cellStyle name="Normal 46 4 20" xfId="5061"/>
    <cellStyle name="Normal 46 4 21" xfId="5312"/>
    <cellStyle name="Normal 46 4 22" xfId="5563"/>
    <cellStyle name="Normal 46 4 23" xfId="5814"/>
    <cellStyle name="Normal 46 4 24" xfId="6065"/>
    <cellStyle name="Normal 46 4 25" xfId="6316"/>
    <cellStyle name="Normal 46 4 26" xfId="6567"/>
    <cellStyle name="Normal 46 4 27" xfId="6818"/>
    <cellStyle name="Normal 46 4 28" xfId="7069"/>
    <cellStyle name="Normal 46 4 29" xfId="7320"/>
    <cellStyle name="Normal 46 4 3" xfId="777"/>
    <cellStyle name="Normal 46 4 30" xfId="7571"/>
    <cellStyle name="Normal 46 4 31" xfId="7822"/>
    <cellStyle name="Normal 46 4 32" xfId="8073"/>
    <cellStyle name="Normal 46 4 33" xfId="8324"/>
    <cellStyle name="Normal 46 4 34" xfId="8575"/>
    <cellStyle name="Normal 46 4 35" xfId="8826"/>
    <cellStyle name="Normal 46 4 36" xfId="9077"/>
    <cellStyle name="Normal 46 4 37" xfId="9328"/>
    <cellStyle name="Normal 46 4 38" xfId="9579"/>
    <cellStyle name="Normal 46 4 39" xfId="9830"/>
    <cellStyle name="Normal 46 4 4" xfId="1029"/>
    <cellStyle name="Normal 46 4 40" xfId="10081"/>
    <cellStyle name="Normal 46 4 41" xfId="10332"/>
    <cellStyle name="Normal 46 4 42" xfId="10583"/>
    <cellStyle name="Normal 46 4 43" xfId="10834"/>
    <cellStyle name="Normal 46 4 44" xfId="11085"/>
    <cellStyle name="Normal 46 4 45" xfId="11336"/>
    <cellStyle name="Normal 46 4 46" xfId="11587"/>
    <cellStyle name="Normal 46 4 47" xfId="11838"/>
    <cellStyle name="Normal 46 4 48" xfId="12089"/>
    <cellStyle name="Normal 46 4 49" xfId="12340"/>
    <cellStyle name="Normal 46 4 5" xfId="1285"/>
    <cellStyle name="Normal 46 4 50" xfId="12591"/>
    <cellStyle name="Normal 46 4 51" xfId="12842"/>
    <cellStyle name="Normal 46 4 52" xfId="13093"/>
    <cellStyle name="Normal 46 4 53" xfId="13344"/>
    <cellStyle name="Normal 46 4 54" xfId="13595"/>
    <cellStyle name="Normal 46 4 55" xfId="13846"/>
    <cellStyle name="Normal 46 4 56" xfId="14097"/>
    <cellStyle name="Normal 46 4 57" xfId="14348"/>
    <cellStyle name="Normal 46 4 58" xfId="14599"/>
    <cellStyle name="Normal 46 4 59" xfId="14850"/>
    <cellStyle name="Normal 46 4 6" xfId="1539"/>
    <cellStyle name="Normal 46 4 60" xfId="15101"/>
    <cellStyle name="Normal 46 4 61" xfId="15351"/>
    <cellStyle name="Normal 46 4 62" xfId="15601"/>
    <cellStyle name="Normal 46 4 63" xfId="15850"/>
    <cellStyle name="Normal 46 4 64" xfId="16106"/>
    <cellStyle name="Normal 46 4 65" xfId="16357"/>
    <cellStyle name="Normal 46 4 66" xfId="16608"/>
    <cellStyle name="Normal 46 4 67" xfId="16859"/>
    <cellStyle name="Normal 46 4 68" xfId="17110"/>
    <cellStyle name="Normal 46 4 69" xfId="17361"/>
    <cellStyle name="Normal 46 4 7" xfId="1792"/>
    <cellStyle name="Normal 46 4 70" xfId="17612"/>
    <cellStyle name="Normal 46 4 71" xfId="17863"/>
    <cellStyle name="Normal 46 4 72" xfId="18114"/>
    <cellStyle name="Normal 46 4 73" xfId="18365"/>
    <cellStyle name="Normal 46 4 74" xfId="18616"/>
    <cellStyle name="Normal 46 4 75" xfId="18867"/>
    <cellStyle name="Normal 46 4 76" xfId="19117"/>
    <cellStyle name="Normal 46 4 77" xfId="19369"/>
    <cellStyle name="Normal 46 4 78" xfId="19619"/>
    <cellStyle name="Normal 46 4 79" xfId="19875"/>
    <cellStyle name="Normal 46 4 8" xfId="2049"/>
    <cellStyle name="Normal 46 4 80" xfId="20127"/>
    <cellStyle name="Normal 46 4 81" xfId="20379"/>
    <cellStyle name="Normal 46 4 82" xfId="20631"/>
    <cellStyle name="Normal 46 4 83" xfId="20881"/>
    <cellStyle name="Normal 46 4 84" xfId="21131"/>
    <cellStyle name="Normal 46 4 85" xfId="21379"/>
    <cellStyle name="Normal 46 4 86" xfId="21623"/>
    <cellStyle name="Normal 46 4 87" xfId="21866"/>
    <cellStyle name="Normal 46 4 88" xfId="22107"/>
    <cellStyle name="Normal 46 4 9" xfId="2300"/>
    <cellStyle name="Normal 46 40" xfId="9159"/>
    <cellStyle name="Normal 46 41" xfId="9410"/>
    <cellStyle name="Normal 46 42" xfId="9661"/>
    <cellStyle name="Normal 46 43" xfId="9912"/>
    <cellStyle name="Normal 46 44" xfId="10163"/>
    <cellStyle name="Normal 46 45" xfId="10414"/>
    <cellStyle name="Normal 46 46" xfId="10665"/>
    <cellStyle name="Normal 46 47" xfId="10916"/>
    <cellStyle name="Normal 46 48" xfId="11167"/>
    <cellStyle name="Normal 46 49" xfId="11418"/>
    <cellStyle name="Normal 46 5" xfId="360"/>
    <cellStyle name="Normal 46 50" xfId="11669"/>
    <cellStyle name="Normal 46 51" xfId="11920"/>
    <cellStyle name="Normal 46 52" xfId="12171"/>
    <cellStyle name="Normal 46 53" xfId="12422"/>
    <cellStyle name="Normal 46 54" xfId="12673"/>
    <cellStyle name="Normal 46 55" xfId="12924"/>
    <cellStyle name="Normal 46 56" xfId="13175"/>
    <cellStyle name="Normal 46 57" xfId="13426"/>
    <cellStyle name="Normal 46 58" xfId="13677"/>
    <cellStyle name="Normal 46 59" xfId="13928"/>
    <cellStyle name="Normal 46 6" xfId="609"/>
    <cellStyle name="Normal 46 60" xfId="14179"/>
    <cellStyle name="Normal 46 61" xfId="14430"/>
    <cellStyle name="Normal 46 62" xfId="14681"/>
    <cellStyle name="Normal 46 63" xfId="14931"/>
    <cellStyle name="Normal 46 64" xfId="15182"/>
    <cellStyle name="Normal 46 65" xfId="15433"/>
    <cellStyle name="Normal 46 66" xfId="15680"/>
    <cellStyle name="Normal 46 67" xfId="15937"/>
    <cellStyle name="Normal 46 68" xfId="16188"/>
    <cellStyle name="Normal 46 69" xfId="16439"/>
    <cellStyle name="Normal 46 7" xfId="862"/>
    <cellStyle name="Normal 46 70" xfId="16690"/>
    <cellStyle name="Normal 46 71" xfId="16941"/>
    <cellStyle name="Normal 46 72" xfId="17192"/>
    <cellStyle name="Normal 46 73" xfId="17443"/>
    <cellStyle name="Normal 46 74" xfId="17694"/>
    <cellStyle name="Normal 46 75" xfId="17945"/>
    <cellStyle name="Normal 46 76" xfId="18196"/>
    <cellStyle name="Normal 46 77" xfId="18447"/>
    <cellStyle name="Normal 46 78" xfId="18697"/>
    <cellStyle name="Normal 46 79" xfId="18948"/>
    <cellStyle name="Normal 46 8" xfId="1117"/>
    <cellStyle name="Normal 46 80" xfId="19199"/>
    <cellStyle name="Normal 46 81" xfId="19449"/>
    <cellStyle name="Normal 46 82" xfId="19705"/>
    <cellStyle name="Normal 46 83" xfId="19957"/>
    <cellStyle name="Normal 46 84" xfId="20209"/>
    <cellStyle name="Normal 46 85" xfId="20461"/>
    <cellStyle name="Normal 46 86" xfId="20711"/>
    <cellStyle name="Normal 46 87" xfId="20961"/>
    <cellStyle name="Normal 46 88" xfId="21212"/>
    <cellStyle name="Normal 46 89" xfId="21456"/>
    <cellStyle name="Normal 46 9" xfId="1370"/>
    <cellStyle name="Normal 46 90" xfId="21700"/>
    <cellStyle name="Normal 46 91" xfId="21941"/>
    <cellStyle name="Normal 47" xfId="22170"/>
    <cellStyle name="Normal 47 10" xfId="24396"/>
    <cellStyle name="Normal 47 11" xfId="24397"/>
    <cellStyle name="Normal 47 12" xfId="24398"/>
    <cellStyle name="Normal 47 13" xfId="24399"/>
    <cellStyle name="Normal 47 14" xfId="24400"/>
    <cellStyle name="Normal 47 15" xfId="24401"/>
    <cellStyle name="Normal 47 16" xfId="24402"/>
    <cellStyle name="Normal 47 17" xfId="24403"/>
    <cellStyle name="Normal 47 2" xfId="24404"/>
    <cellStyle name="Normal 47 3" xfId="24405"/>
    <cellStyle name="Normal 47 4" xfId="24406"/>
    <cellStyle name="Normal 47 5" xfId="24407"/>
    <cellStyle name="Normal 47 6" xfId="24408"/>
    <cellStyle name="Normal 47 7" xfId="24409"/>
    <cellStyle name="Normal 47 8" xfId="24410"/>
    <cellStyle name="Normal 47 9" xfId="24411"/>
    <cellStyle name="Normal 48" xfId="80"/>
    <cellStyle name="Normal 48 10" xfId="1622"/>
    <cellStyle name="Normal 48 11" xfId="1879"/>
    <cellStyle name="Normal 48 12" xfId="2130"/>
    <cellStyle name="Normal 48 13" xfId="2381"/>
    <cellStyle name="Normal 48 14" xfId="2632"/>
    <cellStyle name="Normal 48 15" xfId="2883"/>
    <cellStyle name="Normal 48 16" xfId="3134"/>
    <cellStyle name="Normal 48 17" xfId="3385"/>
    <cellStyle name="Normal 48 18" xfId="3636"/>
    <cellStyle name="Normal 48 19" xfId="3887"/>
    <cellStyle name="Normal 48 2" xfId="113"/>
    <cellStyle name="Normal 48 2 10" xfId="1912"/>
    <cellStyle name="Normal 48 2 11" xfId="2163"/>
    <cellStyle name="Normal 48 2 12" xfId="2414"/>
    <cellStyle name="Normal 48 2 13" xfId="2665"/>
    <cellStyle name="Normal 48 2 14" xfId="2916"/>
    <cellStyle name="Normal 48 2 15" xfId="3167"/>
    <cellStyle name="Normal 48 2 16" xfId="3418"/>
    <cellStyle name="Normal 48 2 17" xfId="3669"/>
    <cellStyle name="Normal 48 2 18" xfId="3920"/>
    <cellStyle name="Normal 48 2 19" xfId="4171"/>
    <cellStyle name="Normal 48 2 2" xfId="207"/>
    <cellStyle name="Normal 48 2 2 10" xfId="2507"/>
    <cellStyle name="Normal 48 2 2 11" xfId="2758"/>
    <cellStyle name="Normal 48 2 2 12" xfId="3009"/>
    <cellStyle name="Normal 48 2 2 13" xfId="3260"/>
    <cellStyle name="Normal 48 2 2 14" xfId="3511"/>
    <cellStyle name="Normal 48 2 2 15" xfId="3762"/>
    <cellStyle name="Normal 48 2 2 16" xfId="4013"/>
    <cellStyle name="Normal 48 2 2 17" xfId="4264"/>
    <cellStyle name="Normal 48 2 2 18" xfId="4515"/>
    <cellStyle name="Normal 48 2 2 19" xfId="4766"/>
    <cellStyle name="Normal 48 2 2 2" xfId="484"/>
    <cellStyle name="Normal 48 2 2 20" xfId="5017"/>
    <cellStyle name="Normal 48 2 2 21" xfId="5268"/>
    <cellStyle name="Normal 48 2 2 22" xfId="5519"/>
    <cellStyle name="Normal 48 2 2 23" xfId="5770"/>
    <cellStyle name="Normal 48 2 2 24" xfId="6021"/>
    <cellStyle name="Normal 48 2 2 25" xfId="6272"/>
    <cellStyle name="Normal 48 2 2 26" xfId="6523"/>
    <cellStyle name="Normal 48 2 2 27" xfId="6774"/>
    <cellStyle name="Normal 48 2 2 28" xfId="7025"/>
    <cellStyle name="Normal 48 2 2 29" xfId="7276"/>
    <cellStyle name="Normal 48 2 2 3" xfId="734"/>
    <cellStyle name="Normal 48 2 2 30" xfId="7527"/>
    <cellStyle name="Normal 48 2 2 31" xfId="7778"/>
    <cellStyle name="Normal 48 2 2 32" xfId="8029"/>
    <cellStyle name="Normal 48 2 2 33" xfId="8280"/>
    <cellStyle name="Normal 48 2 2 34" xfId="8531"/>
    <cellStyle name="Normal 48 2 2 35" xfId="8782"/>
    <cellStyle name="Normal 48 2 2 36" xfId="9033"/>
    <cellStyle name="Normal 48 2 2 37" xfId="9284"/>
    <cellStyle name="Normal 48 2 2 38" xfId="9535"/>
    <cellStyle name="Normal 48 2 2 39" xfId="9786"/>
    <cellStyle name="Normal 48 2 2 4" xfId="987"/>
    <cellStyle name="Normal 48 2 2 40" xfId="10037"/>
    <cellStyle name="Normal 48 2 2 41" xfId="10288"/>
    <cellStyle name="Normal 48 2 2 42" xfId="10539"/>
    <cellStyle name="Normal 48 2 2 43" xfId="10790"/>
    <cellStyle name="Normal 48 2 2 44" xfId="11041"/>
    <cellStyle name="Normal 48 2 2 45" xfId="11292"/>
    <cellStyle name="Normal 48 2 2 46" xfId="11543"/>
    <cellStyle name="Normal 48 2 2 47" xfId="11794"/>
    <cellStyle name="Normal 48 2 2 48" xfId="12045"/>
    <cellStyle name="Normal 48 2 2 49" xfId="12296"/>
    <cellStyle name="Normal 48 2 2 5" xfId="1242"/>
    <cellStyle name="Normal 48 2 2 50" xfId="12547"/>
    <cellStyle name="Normal 48 2 2 51" xfId="12798"/>
    <cellStyle name="Normal 48 2 2 52" xfId="13049"/>
    <cellStyle name="Normal 48 2 2 53" xfId="13300"/>
    <cellStyle name="Normal 48 2 2 54" xfId="13551"/>
    <cellStyle name="Normal 48 2 2 55" xfId="13802"/>
    <cellStyle name="Normal 48 2 2 56" xfId="14053"/>
    <cellStyle name="Normal 48 2 2 57" xfId="14304"/>
    <cellStyle name="Normal 48 2 2 58" xfId="14555"/>
    <cellStyle name="Normal 48 2 2 59" xfId="14806"/>
    <cellStyle name="Normal 48 2 2 6" xfId="1495"/>
    <cellStyle name="Normal 48 2 2 60" xfId="15057"/>
    <cellStyle name="Normal 48 2 2 61" xfId="15307"/>
    <cellStyle name="Normal 48 2 2 62" xfId="15558"/>
    <cellStyle name="Normal 48 2 2 63" xfId="15806"/>
    <cellStyle name="Normal 48 2 2 64" xfId="16062"/>
    <cellStyle name="Normal 48 2 2 65" xfId="16313"/>
    <cellStyle name="Normal 48 2 2 66" xfId="16564"/>
    <cellStyle name="Normal 48 2 2 67" xfId="16815"/>
    <cellStyle name="Normal 48 2 2 68" xfId="17066"/>
    <cellStyle name="Normal 48 2 2 69" xfId="17317"/>
    <cellStyle name="Normal 48 2 2 7" xfId="1749"/>
    <cellStyle name="Normal 48 2 2 70" xfId="17568"/>
    <cellStyle name="Normal 48 2 2 71" xfId="17819"/>
    <cellStyle name="Normal 48 2 2 72" xfId="18070"/>
    <cellStyle name="Normal 48 2 2 73" xfId="18321"/>
    <cellStyle name="Normal 48 2 2 74" xfId="18572"/>
    <cellStyle name="Normal 48 2 2 75" xfId="18823"/>
    <cellStyle name="Normal 48 2 2 76" xfId="19073"/>
    <cellStyle name="Normal 48 2 2 77" xfId="19325"/>
    <cellStyle name="Normal 48 2 2 78" xfId="19575"/>
    <cellStyle name="Normal 48 2 2 79" xfId="19831"/>
    <cellStyle name="Normal 48 2 2 8" xfId="2005"/>
    <cellStyle name="Normal 48 2 2 80" xfId="20083"/>
    <cellStyle name="Normal 48 2 2 81" xfId="20335"/>
    <cellStyle name="Normal 48 2 2 82" xfId="20587"/>
    <cellStyle name="Normal 48 2 2 83" xfId="20837"/>
    <cellStyle name="Normal 48 2 2 84" xfId="21087"/>
    <cellStyle name="Normal 48 2 2 85" xfId="21336"/>
    <cellStyle name="Normal 48 2 2 86" xfId="21580"/>
    <cellStyle name="Normal 48 2 2 87" xfId="21824"/>
    <cellStyle name="Normal 48 2 2 88" xfId="22065"/>
    <cellStyle name="Normal 48 2 2 9" xfId="2256"/>
    <cellStyle name="Normal 48 2 20" xfId="4422"/>
    <cellStyle name="Normal 48 2 21" xfId="4673"/>
    <cellStyle name="Normal 48 2 22" xfId="4924"/>
    <cellStyle name="Normal 48 2 23" xfId="5175"/>
    <cellStyle name="Normal 48 2 24" xfId="5426"/>
    <cellStyle name="Normal 48 2 25" xfId="5677"/>
    <cellStyle name="Normal 48 2 26" xfId="5928"/>
    <cellStyle name="Normal 48 2 27" xfId="6179"/>
    <cellStyle name="Normal 48 2 28" xfId="6430"/>
    <cellStyle name="Normal 48 2 29" xfId="6681"/>
    <cellStyle name="Normal 48 2 3" xfId="283"/>
    <cellStyle name="Normal 48 2 3 10" xfId="2583"/>
    <cellStyle name="Normal 48 2 3 11" xfId="2834"/>
    <cellStyle name="Normal 48 2 3 12" xfId="3085"/>
    <cellStyle name="Normal 48 2 3 13" xfId="3336"/>
    <cellStyle name="Normal 48 2 3 14" xfId="3587"/>
    <cellStyle name="Normal 48 2 3 15" xfId="3838"/>
    <cellStyle name="Normal 48 2 3 16" xfId="4089"/>
    <cellStyle name="Normal 48 2 3 17" xfId="4340"/>
    <cellStyle name="Normal 48 2 3 18" xfId="4591"/>
    <cellStyle name="Normal 48 2 3 19" xfId="4842"/>
    <cellStyle name="Normal 48 2 3 2" xfId="558"/>
    <cellStyle name="Normal 48 2 3 20" xfId="5093"/>
    <cellStyle name="Normal 48 2 3 21" xfId="5344"/>
    <cellStyle name="Normal 48 2 3 22" xfId="5595"/>
    <cellStyle name="Normal 48 2 3 23" xfId="5846"/>
    <cellStyle name="Normal 48 2 3 24" xfId="6097"/>
    <cellStyle name="Normal 48 2 3 25" xfId="6348"/>
    <cellStyle name="Normal 48 2 3 26" xfId="6599"/>
    <cellStyle name="Normal 48 2 3 27" xfId="6850"/>
    <cellStyle name="Normal 48 2 3 28" xfId="7101"/>
    <cellStyle name="Normal 48 2 3 29" xfId="7352"/>
    <cellStyle name="Normal 48 2 3 3" xfId="808"/>
    <cellStyle name="Normal 48 2 3 30" xfId="7603"/>
    <cellStyle name="Normal 48 2 3 31" xfId="7854"/>
    <cellStyle name="Normal 48 2 3 32" xfId="8105"/>
    <cellStyle name="Normal 48 2 3 33" xfId="8356"/>
    <cellStyle name="Normal 48 2 3 34" xfId="8607"/>
    <cellStyle name="Normal 48 2 3 35" xfId="8858"/>
    <cellStyle name="Normal 48 2 3 36" xfId="9109"/>
    <cellStyle name="Normal 48 2 3 37" xfId="9360"/>
    <cellStyle name="Normal 48 2 3 38" xfId="9611"/>
    <cellStyle name="Normal 48 2 3 39" xfId="9862"/>
    <cellStyle name="Normal 48 2 3 4" xfId="1060"/>
    <cellStyle name="Normal 48 2 3 40" xfId="10113"/>
    <cellStyle name="Normal 48 2 3 41" xfId="10364"/>
    <cellStyle name="Normal 48 2 3 42" xfId="10615"/>
    <cellStyle name="Normal 48 2 3 43" xfId="10866"/>
    <cellStyle name="Normal 48 2 3 44" xfId="11117"/>
    <cellStyle name="Normal 48 2 3 45" xfId="11368"/>
    <cellStyle name="Normal 48 2 3 46" xfId="11619"/>
    <cellStyle name="Normal 48 2 3 47" xfId="11870"/>
    <cellStyle name="Normal 48 2 3 48" xfId="12121"/>
    <cellStyle name="Normal 48 2 3 49" xfId="12372"/>
    <cellStyle name="Normal 48 2 3 5" xfId="1316"/>
    <cellStyle name="Normal 48 2 3 50" xfId="12623"/>
    <cellStyle name="Normal 48 2 3 51" xfId="12874"/>
    <cellStyle name="Normal 48 2 3 52" xfId="13125"/>
    <cellStyle name="Normal 48 2 3 53" xfId="13376"/>
    <cellStyle name="Normal 48 2 3 54" xfId="13627"/>
    <cellStyle name="Normal 48 2 3 55" xfId="13878"/>
    <cellStyle name="Normal 48 2 3 56" xfId="14129"/>
    <cellStyle name="Normal 48 2 3 57" xfId="14380"/>
    <cellStyle name="Normal 48 2 3 58" xfId="14631"/>
    <cellStyle name="Normal 48 2 3 59" xfId="14882"/>
    <cellStyle name="Normal 48 2 3 6" xfId="1571"/>
    <cellStyle name="Normal 48 2 3 60" xfId="15133"/>
    <cellStyle name="Normal 48 2 3 61" xfId="15383"/>
    <cellStyle name="Normal 48 2 3 62" xfId="15632"/>
    <cellStyle name="Normal 48 2 3 63" xfId="15882"/>
    <cellStyle name="Normal 48 2 3 64" xfId="16138"/>
    <cellStyle name="Normal 48 2 3 65" xfId="16389"/>
    <cellStyle name="Normal 48 2 3 66" xfId="16640"/>
    <cellStyle name="Normal 48 2 3 67" xfId="16891"/>
    <cellStyle name="Normal 48 2 3 68" xfId="17142"/>
    <cellStyle name="Normal 48 2 3 69" xfId="17393"/>
    <cellStyle name="Normal 48 2 3 7" xfId="1824"/>
    <cellStyle name="Normal 48 2 3 70" xfId="17644"/>
    <cellStyle name="Normal 48 2 3 71" xfId="17895"/>
    <cellStyle name="Normal 48 2 3 72" xfId="18146"/>
    <cellStyle name="Normal 48 2 3 73" xfId="18397"/>
    <cellStyle name="Normal 48 2 3 74" xfId="18648"/>
    <cellStyle name="Normal 48 2 3 75" xfId="18899"/>
    <cellStyle name="Normal 48 2 3 76" xfId="19149"/>
    <cellStyle name="Normal 48 2 3 77" xfId="19400"/>
    <cellStyle name="Normal 48 2 3 78" xfId="19651"/>
    <cellStyle name="Normal 48 2 3 79" xfId="19907"/>
    <cellStyle name="Normal 48 2 3 8" xfId="2081"/>
    <cellStyle name="Normal 48 2 3 80" xfId="20159"/>
    <cellStyle name="Normal 48 2 3 81" xfId="20411"/>
    <cellStyle name="Normal 48 2 3 82" xfId="20663"/>
    <cellStyle name="Normal 48 2 3 83" xfId="20913"/>
    <cellStyle name="Normal 48 2 3 84" xfId="21162"/>
    <cellStyle name="Normal 48 2 3 85" xfId="21410"/>
    <cellStyle name="Normal 48 2 3 86" xfId="21654"/>
    <cellStyle name="Normal 48 2 3 87" xfId="21896"/>
    <cellStyle name="Normal 48 2 3 88" xfId="22137"/>
    <cellStyle name="Normal 48 2 3 9" xfId="2332"/>
    <cellStyle name="Normal 48 2 30" xfId="6932"/>
    <cellStyle name="Normal 48 2 31" xfId="7183"/>
    <cellStyle name="Normal 48 2 32" xfId="7434"/>
    <cellStyle name="Normal 48 2 33" xfId="7685"/>
    <cellStyle name="Normal 48 2 34" xfId="7936"/>
    <cellStyle name="Normal 48 2 35" xfId="8187"/>
    <cellStyle name="Normal 48 2 36" xfId="8438"/>
    <cellStyle name="Normal 48 2 37" xfId="8689"/>
    <cellStyle name="Normal 48 2 38" xfId="8940"/>
    <cellStyle name="Normal 48 2 39" xfId="9191"/>
    <cellStyle name="Normal 48 2 4" xfId="392"/>
    <cellStyle name="Normal 48 2 40" xfId="9442"/>
    <cellStyle name="Normal 48 2 41" xfId="9693"/>
    <cellStyle name="Normal 48 2 42" xfId="9944"/>
    <cellStyle name="Normal 48 2 43" xfId="10195"/>
    <cellStyle name="Normal 48 2 44" xfId="10446"/>
    <cellStyle name="Normal 48 2 45" xfId="10697"/>
    <cellStyle name="Normal 48 2 46" xfId="10948"/>
    <cellStyle name="Normal 48 2 47" xfId="11199"/>
    <cellStyle name="Normal 48 2 48" xfId="11450"/>
    <cellStyle name="Normal 48 2 49" xfId="11701"/>
    <cellStyle name="Normal 48 2 5" xfId="641"/>
    <cellStyle name="Normal 48 2 50" xfId="11952"/>
    <cellStyle name="Normal 48 2 51" xfId="12203"/>
    <cellStyle name="Normal 48 2 52" xfId="12454"/>
    <cellStyle name="Normal 48 2 53" xfId="12705"/>
    <cellStyle name="Normal 48 2 54" xfId="12956"/>
    <cellStyle name="Normal 48 2 55" xfId="13207"/>
    <cellStyle name="Normal 48 2 56" xfId="13458"/>
    <cellStyle name="Normal 48 2 57" xfId="13709"/>
    <cellStyle name="Normal 48 2 58" xfId="13960"/>
    <cellStyle name="Normal 48 2 59" xfId="14211"/>
    <cellStyle name="Normal 48 2 6" xfId="894"/>
    <cellStyle name="Normal 48 2 60" xfId="14462"/>
    <cellStyle name="Normal 48 2 61" xfId="14713"/>
    <cellStyle name="Normal 48 2 62" xfId="14963"/>
    <cellStyle name="Normal 48 2 63" xfId="15214"/>
    <cellStyle name="Normal 48 2 64" xfId="15465"/>
    <cellStyle name="Normal 48 2 65" xfId="15712"/>
    <cellStyle name="Normal 48 2 66" xfId="15969"/>
    <cellStyle name="Normal 48 2 67" xfId="16220"/>
    <cellStyle name="Normal 48 2 68" xfId="16471"/>
    <cellStyle name="Normal 48 2 69" xfId="16722"/>
    <cellStyle name="Normal 48 2 7" xfId="1149"/>
    <cellStyle name="Normal 48 2 70" xfId="16973"/>
    <cellStyle name="Normal 48 2 71" xfId="17224"/>
    <cellStyle name="Normal 48 2 72" xfId="17475"/>
    <cellStyle name="Normal 48 2 73" xfId="17726"/>
    <cellStyle name="Normal 48 2 74" xfId="17977"/>
    <cellStyle name="Normal 48 2 75" xfId="18228"/>
    <cellStyle name="Normal 48 2 76" xfId="18479"/>
    <cellStyle name="Normal 48 2 77" xfId="18729"/>
    <cellStyle name="Normal 48 2 78" xfId="18980"/>
    <cellStyle name="Normal 48 2 79" xfId="19231"/>
    <cellStyle name="Normal 48 2 8" xfId="1402"/>
    <cellStyle name="Normal 48 2 80" xfId="19481"/>
    <cellStyle name="Normal 48 2 81" xfId="19737"/>
    <cellStyle name="Normal 48 2 82" xfId="19989"/>
    <cellStyle name="Normal 48 2 83" xfId="20241"/>
    <cellStyle name="Normal 48 2 84" xfId="20493"/>
    <cellStyle name="Normal 48 2 85" xfId="20743"/>
    <cellStyle name="Normal 48 2 86" xfId="20993"/>
    <cellStyle name="Normal 48 2 87" xfId="21244"/>
    <cellStyle name="Normal 48 2 88" xfId="21488"/>
    <cellStyle name="Normal 48 2 89" xfId="21732"/>
    <cellStyle name="Normal 48 2 9" xfId="1655"/>
    <cellStyle name="Normal 48 2 90" xfId="21973"/>
    <cellStyle name="Normal 48 20" xfId="4138"/>
    <cellStyle name="Normal 48 21" xfId="4389"/>
    <cellStyle name="Normal 48 22" xfId="4640"/>
    <cellStyle name="Normal 48 23" xfId="4891"/>
    <cellStyle name="Normal 48 24" xfId="5142"/>
    <cellStyle name="Normal 48 25" xfId="5393"/>
    <cellStyle name="Normal 48 26" xfId="5644"/>
    <cellStyle name="Normal 48 27" xfId="5895"/>
    <cellStyle name="Normal 48 28" xfId="6146"/>
    <cellStyle name="Normal 48 29" xfId="6397"/>
    <cellStyle name="Normal 48 3" xfId="174"/>
    <cellStyle name="Normal 48 3 10" xfId="2474"/>
    <cellStyle name="Normal 48 3 11" xfId="2725"/>
    <cellStyle name="Normal 48 3 12" xfId="2976"/>
    <cellStyle name="Normal 48 3 13" xfId="3227"/>
    <cellStyle name="Normal 48 3 14" xfId="3478"/>
    <cellStyle name="Normal 48 3 15" xfId="3729"/>
    <cellStyle name="Normal 48 3 16" xfId="3980"/>
    <cellStyle name="Normal 48 3 17" xfId="4231"/>
    <cellStyle name="Normal 48 3 18" xfId="4482"/>
    <cellStyle name="Normal 48 3 19" xfId="4733"/>
    <cellStyle name="Normal 48 3 2" xfId="451"/>
    <cellStyle name="Normal 48 3 20" xfId="4984"/>
    <cellStyle name="Normal 48 3 21" xfId="5235"/>
    <cellStyle name="Normal 48 3 22" xfId="5486"/>
    <cellStyle name="Normal 48 3 23" xfId="5737"/>
    <cellStyle name="Normal 48 3 24" xfId="5988"/>
    <cellStyle name="Normal 48 3 25" xfId="6239"/>
    <cellStyle name="Normal 48 3 26" xfId="6490"/>
    <cellStyle name="Normal 48 3 27" xfId="6741"/>
    <cellStyle name="Normal 48 3 28" xfId="6992"/>
    <cellStyle name="Normal 48 3 29" xfId="7243"/>
    <cellStyle name="Normal 48 3 3" xfId="701"/>
    <cellStyle name="Normal 48 3 30" xfId="7494"/>
    <cellStyle name="Normal 48 3 31" xfId="7745"/>
    <cellStyle name="Normal 48 3 32" xfId="7996"/>
    <cellStyle name="Normal 48 3 33" xfId="8247"/>
    <cellStyle name="Normal 48 3 34" xfId="8498"/>
    <cellStyle name="Normal 48 3 35" xfId="8749"/>
    <cellStyle name="Normal 48 3 36" xfId="9000"/>
    <cellStyle name="Normal 48 3 37" xfId="9251"/>
    <cellStyle name="Normal 48 3 38" xfId="9502"/>
    <cellStyle name="Normal 48 3 39" xfId="9753"/>
    <cellStyle name="Normal 48 3 4" xfId="954"/>
    <cellStyle name="Normal 48 3 40" xfId="10004"/>
    <cellStyle name="Normal 48 3 41" xfId="10255"/>
    <cellStyle name="Normal 48 3 42" xfId="10506"/>
    <cellStyle name="Normal 48 3 43" xfId="10757"/>
    <cellStyle name="Normal 48 3 44" xfId="11008"/>
    <cellStyle name="Normal 48 3 45" xfId="11259"/>
    <cellStyle name="Normal 48 3 46" xfId="11510"/>
    <cellStyle name="Normal 48 3 47" xfId="11761"/>
    <cellStyle name="Normal 48 3 48" xfId="12012"/>
    <cellStyle name="Normal 48 3 49" xfId="12263"/>
    <cellStyle name="Normal 48 3 5" xfId="1209"/>
    <cellStyle name="Normal 48 3 50" xfId="12514"/>
    <cellStyle name="Normal 48 3 51" xfId="12765"/>
    <cellStyle name="Normal 48 3 52" xfId="13016"/>
    <cellStyle name="Normal 48 3 53" xfId="13267"/>
    <cellStyle name="Normal 48 3 54" xfId="13518"/>
    <cellStyle name="Normal 48 3 55" xfId="13769"/>
    <cellStyle name="Normal 48 3 56" xfId="14020"/>
    <cellStyle name="Normal 48 3 57" xfId="14271"/>
    <cellStyle name="Normal 48 3 58" xfId="14522"/>
    <cellStyle name="Normal 48 3 59" xfId="14773"/>
    <cellStyle name="Normal 48 3 6" xfId="1462"/>
    <cellStyle name="Normal 48 3 60" xfId="15024"/>
    <cellStyle name="Normal 48 3 61" xfId="15274"/>
    <cellStyle name="Normal 48 3 62" xfId="15525"/>
    <cellStyle name="Normal 48 3 63" xfId="15773"/>
    <cellStyle name="Normal 48 3 64" xfId="16029"/>
    <cellStyle name="Normal 48 3 65" xfId="16280"/>
    <cellStyle name="Normal 48 3 66" xfId="16531"/>
    <cellStyle name="Normal 48 3 67" xfId="16782"/>
    <cellStyle name="Normal 48 3 68" xfId="17033"/>
    <cellStyle name="Normal 48 3 69" xfId="17284"/>
    <cellStyle name="Normal 48 3 7" xfId="1716"/>
    <cellStyle name="Normal 48 3 70" xfId="17535"/>
    <cellStyle name="Normal 48 3 71" xfId="17786"/>
    <cellStyle name="Normal 48 3 72" xfId="18037"/>
    <cellStyle name="Normal 48 3 73" xfId="18288"/>
    <cellStyle name="Normal 48 3 74" xfId="18539"/>
    <cellStyle name="Normal 48 3 75" xfId="18790"/>
    <cellStyle name="Normal 48 3 76" xfId="19040"/>
    <cellStyle name="Normal 48 3 77" xfId="19292"/>
    <cellStyle name="Normal 48 3 78" xfId="19542"/>
    <cellStyle name="Normal 48 3 79" xfId="19798"/>
    <cellStyle name="Normal 48 3 8" xfId="1972"/>
    <cellStyle name="Normal 48 3 80" xfId="20050"/>
    <cellStyle name="Normal 48 3 81" xfId="20302"/>
    <cellStyle name="Normal 48 3 82" xfId="20554"/>
    <cellStyle name="Normal 48 3 83" xfId="20804"/>
    <cellStyle name="Normal 48 3 84" xfId="21054"/>
    <cellStyle name="Normal 48 3 85" xfId="21303"/>
    <cellStyle name="Normal 48 3 86" xfId="21547"/>
    <cellStyle name="Normal 48 3 87" xfId="21791"/>
    <cellStyle name="Normal 48 3 88" xfId="22032"/>
    <cellStyle name="Normal 48 3 9" xfId="2223"/>
    <cellStyle name="Normal 48 30" xfId="6648"/>
    <cellStyle name="Normal 48 31" xfId="6899"/>
    <cellStyle name="Normal 48 32" xfId="7150"/>
    <cellStyle name="Normal 48 33" xfId="7401"/>
    <cellStyle name="Normal 48 34" xfId="7652"/>
    <cellStyle name="Normal 48 35" xfId="7903"/>
    <cellStyle name="Normal 48 36" xfId="8154"/>
    <cellStyle name="Normal 48 37" xfId="8405"/>
    <cellStyle name="Normal 48 38" xfId="8656"/>
    <cellStyle name="Normal 48 39" xfId="8907"/>
    <cellStyle name="Normal 48 4" xfId="250"/>
    <cellStyle name="Normal 48 4 10" xfId="2550"/>
    <cellStyle name="Normal 48 4 11" xfId="2801"/>
    <cellStyle name="Normal 48 4 12" xfId="3052"/>
    <cellStyle name="Normal 48 4 13" xfId="3303"/>
    <cellStyle name="Normal 48 4 14" xfId="3554"/>
    <cellStyle name="Normal 48 4 15" xfId="3805"/>
    <cellStyle name="Normal 48 4 16" xfId="4056"/>
    <cellStyle name="Normal 48 4 17" xfId="4307"/>
    <cellStyle name="Normal 48 4 18" xfId="4558"/>
    <cellStyle name="Normal 48 4 19" xfId="4809"/>
    <cellStyle name="Normal 48 4 2" xfId="526"/>
    <cellStyle name="Normal 48 4 20" xfId="5060"/>
    <cellStyle name="Normal 48 4 21" xfId="5311"/>
    <cellStyle name="Normal 48 4 22" xfId="5562"/>
    <cellStyle name="Normal 48 4 23" xfId="5813"/>
    <cellStyle name="Normal 48 4 24" xfId="6064"/>
    <cellStyle name="Normal 48 4 25" xfId="6315"/>
    <cellStyle name="Normal 48 4 26" xfId="6566"/>
    <cellStyle name="Normal 48 4 27" xfId="6817"/>
    <cellStyle name="Normal 48 4 28" xfId="7068"/>
    <cellStyle name="Normal 48 4 29" xfId="7319"/>
    <cellStyle name="Normal 48 4 3" xfId="776"/>
    <cellStyle name="Normal 48 4 30" xfId="7570"/>
    <cellStyle name="Normal 48 4 31" xfId="7821"/>
    <cellStyle name="Normal 48 4 32" xfId="8072"/>
    <cellStyle name="Normal 48 4 33" xfId="8323"/>
    <cellStyle name="Normal 48 4 34" xfId="8574"/>
    <cellStyle name="Normal 48 4 35" xfId="8825"/>
    <cellStyle name="Normal 48 4 36" xfId="9076"/>
    <cellStyle name="Normal 48 4 37" xfId="9327"/>
    <cellStyle name="Normal 48 4 38" xfId="9578"/>
    <cellStyle name="Normal 48 4 39" xfId="9829"/>
    <cellStyle name="Normal 48 4 4" xfId="1028"/>
    <cellStyle name="Normal 48 4 40" xfId="10080"/>
    <cellStyle name="Normal 48 4 41" xfId="10331"/>
    <cellStyle name="Normal 48 4 42" xfId="10582"/>
    <cellStyle name="Normal 48 4 43" xfId="10833"/>
    <cellStyle name="Normal 48 4 44" xfId="11084"/>
    <cellStyle name="Normal 48 4 45" xfId="11335"/>
    <cellStyle name="Normal 48 4 46" xfId="11586"/>
    <cellStyle name="Normal 48 4 47" xfId="11837"/>
    <cellStyle name="Normal 48 4 48" xfId="12088"/>
    <cellStyle name="Normal 48 4 49" xfId="12339"/>
    <cellStyle name="Normal 48 4 5" xfId="1284"/>
    <cellStyle name="Normal 48 4 50" xfId="12590"/>
    <cellStyle name="Normal 48 4 51" xfId="12841"/>
    <cellStyle name="Normal 48 4 52" xfId="13092"/>
    <cellStyle name="Normal 48 4 53" xfId="13343"/>
    <cellStyle name="Normal 48 4 54" xfId="13594"/>
    <cellStyle name="Normal 48 4 55" xfId="13845"/>
    <cellStyle name="Normal 48 4 56" xfId="14096"/>
    <cellStyle name="Normal 48 4 57" xfId="14347"/>
    <cellStyle name="Normal 48 4 58" xfId="14598"/>
    <cellStyle name="Normal 48 4 59" xfId="14849"/>
    <cellStyle name="Normal 48 4 6" xfId="1538"/>
    <cellStyle name="Normal 48 4 60" xfId="15100"/>
    <cellStyle name="Normal 48 4 61" xfId="15350"/>
    <cellStyle name="Normal 48 4 62" xfId="15600"/>
    <cellStyle name="Normal 48 4 63" xfId="15849"/>
    <cellStyle name="Normal 48 4 64" xfId="16105"/>
    <cellStyle name="Normal 48 4 65" xfId="16356"/>
    <cellStyle name="Normal 48 4 66" xfId="16607"/>
    <cellStyle name="Normal 48 4 67" xfId="16858"/>
    <cellStyle name="Normal 48 4 68" xfId="17109"/>
    <cellStyle name="Normal 48 4 69" xfId="17360"/>
    <cellStyle name="Normal 48 4 7" xfId="1791"/>
    <cellStyle name="Normal 48 4 70" xfId="17611"/>
    <cellStyle name="Normal 48 4 71" xfId="17862"/>
    <cellStyle name="Normal 48 4 72" xfId="18113"/>
    <cellStyle name="Normal 48 4 73" xfId="18364"/>
    <cellStyle name="Normal 48 4 74" xfId="18615"/>
    <cellStyle name="Normal 48 4 75" xfId="18866"/>
    <cellStyle name="Normal 48 4 76" xfId="19116"/>
    <cellStyle name="Normal 48 4 77" xfId="19368"/>
    <cellStyle name="Normal 48 4 78" xfId="19618"/>
    <cellStyle name="Normal 48 4 79" xfId="19874"/>
    <cellStyle name="Normal 48 4 8" xfId="2048"/>
    <cellStyle name="Normal 48 4 80" xfId="20126"/>
    <cellStyle name="Normal 48 4 81" xfId="20378"/>
    <cellStyle name="Normal 48 4 82" xfId="20630"/>
    <cellStyle name="Normal 48 4 83" xfId="20880"/>
    <cellStyle name="Normal 48 4 84" xfId="21130"/>
    <cellStyle name="Normal 48 4 85" xfId="21378"/>
    <cellStyle name="Normal 48 4 86" xfId="21622"/>
    <cellStyle name="Normal 48 4 87" xfId="21865"/>
    <cellStyle name="Normal 48 4 88" xfId="22106"/>
    <cellStyle name="Normal 48 4 9" xfId="2299"/>
    <cellStyle name="Normal 48 40" xfId="9158"/>
    <cellStyle name="Normal 48 41" xfId="9409"/>
    <cellStyle name="Normal 48 42" xfId="9660"/>
    <cellStyle name="Normal 48 43" xfId="9911"/>
    <cellStyle name="Normal 48 44" xfId="10162"/>
    <cellStyle name="Normal 48 45" xfId="10413"/>
    <cellStyle name="Normal 48 46" xfId="10664"/>
    <cellStyle name="Normal 48 47" xfId="10915"/>
    <cellStyle name="Normal 48 48" xfId="11166"/>
    <cellStyle name="Normal 48 49" xfId="11417"/>
    <cellStyle name="Normal 48 5" xfId="359"/>
    <cellStyle name="Normal 48 50" xfId="11668"/>
    <cellStyle name="Normal 48 51" xfId="11919"/>
    <cellStyle name="Normal 48 52" xfId="12170"/>
    <cellStyle name="Normal 48 53" xfId="12421"/>
    <cellStyle name="Normal 48 54" xfId="12672"/>
    <cellStyle name="Normal 48 55" xfId="12923"/>
    <cellStyle name="Normal 48 56" xfId="13174"/>
    <cellStyle name="Normal 48 57" xfId="13425"/>
    <cellStyle name="Normal 48 58" xfId="13676"/>
    <cellStyle name="Normal 48 59" xfId="13927"/>
    <cellStyle name="Normal 48 6" xfId="608"/>
    <cellStyle name="Normal 48 60" xfId="14178"/>
    <cellStyle name="Normal 48 61" xfId="14429"/>
    <cellStyle name="Normal 48 62" xfId="14680"/>
    <cellStyle name="Normal 48 63" xfId="14930"/>
    <cellStyle name="Normal 48 64" xfId="15181"/>
    <cellStyle name="Normal 48 65" xfId="15432"/>
    <cellStyle name="Normal 48 66" xfId="15679"/>
    <cellStyle name="Normal 48 67" xfId="15936"/>
    <cellStyle name="Normal 48 68" xfId="16187"/>
    <cellStyle name="Normal 48 69" xfId="16438"/>
    <cellStyle name="Normal 48 7" xfId="861"/>
    <cellStyle name="Normal 48 70" xfId="16689"/>
    <cellStyle name="Normal 48 71" xfId="16940"/>
    <cellStyle name="Normal 48 72" xfId="17191"/>
    <cellStyle name="Normal 48 73" xfId="17442"/>
    <cellStyle name="Normal 48 74" xfId="17693"/>
    <cellStyle name="Normal 48 75" xfId="17944"/>
    <cellStyle name="Normal 48 76" xfId="18195"/>
    <cellStyle name="Normal 48 77" xfId="18446"/>
    <cellStyle name="Normal 48 78" xfId="18696"/>
    <cellStyle name="Normal 48 79" xfId="18947"/>
    <cellStyle name="Normal 48 8" xfId="1116"/>
    <cellStyle name="Normal 48 80" xfId="19198"/>
    <cellStyle name="Normal 48 81" xfId="19448"/>
    <cellStyle name="Normal 48 82" xfId="19704"/>
    <cellStyle name="Normal 48 83" xfId="19956"/>
    <cellStyle name="Normal 48 84" xfId="20208"/>
    <cellStyle name="Normal 48 85" xfId="20460"/>
    <cellStyle name="Normal 48 86" xfId="20710"/>
    <cellStyle name="Normal 48 87" xfId="20960"/>
    <cellStyle name="Normal 48 88" xfId="21211"/>
    <cellStyle name="Normal 48 89" xfId="21455"/>
    <cellStyle name="Normal 48 9" xfId="1369"/>
    <cellStyle name="Normal 48 90" xfId="21699"/>
    <cellStyle name="Normal 48 91" xfId="21940"/>
    <cellStyle name="Normal 49" xfId="22171"/>
    <cellStyle name="Normal 49 10" xfId="24412"/>
    <cellStyle name="Normal 49 11" xfId="24413"/>
    <cellStyle name="Normal 49 12" xfId="24414"/>
    <cellStyle name="Normal 49 13" xfId="24415"/>
    <cellStyle name="Normal 49 14" xfId="24416"/>
    <cellStyle name="Normal 49 15" xfId="24417"/>
    <cellStyle name="Normal 49 16" xfId="24418"/>
    <cellStyle name="Normal 49 2" xfId="24419"/>
    <cellStyle name="Normal 49 3" xfId="24420"/>
    <cellStyle name="Normal 49 4" xfId="24421"/>
    <cellStyle name="Normal 49 5" xfId="24422"/>
    <cellStyle name="Normal 49 6" xfId="24423"/>
    <cellStyle name="Normal 49 7" xfId="24424"/>
    <cellStyle name="Normal 49 8" xfId="24425"/>
    <cellStyle name="Normal 49 9" xfId="24426"/>
    <cellStyle name="Normal 5" xfId="71"/>
    <cellStyle name="Normal 5 10" xfId="1613"/>
    <cellStyle name="Normal 5 11" xfId="1870"/>
    <cellStyle name="Normal 5 12" xfId="2121"/>
    <cellStyle name="Normal 5 13" xfId="2372"/>
    <cellStyle name="Normal 5 14" xfId="2623"/>
    <cellStyle name="Normal 5 15" xfId="2874"/>
    <cellStyle name="Normal 5 16" xfId="3125"/>
    <cellStyle name="Normal 5 17" xfId="3376"/>
    <cellStyle name="Normal 5 18" xfId="3627"/>
    <cellStyle name="Normal 5 19" xfId="3878"/>
    <cellStyle name="Normal 5 2" xfId="104"/>
    <cellStyle name="Normal 5 2 10" xfId="1903"/>
    <cellStyle name="Normal 5 2 11" xfId="2154"/>
    <cellStyle name="Normal 5 2 12" xfId="2405"/>
    <cellStyle name="Normal 5 2 13" xfId="2656"/>
    <cellStyle name="Normal 5 2 14" xfId="2907"/>
    <cellStyle name="Normal 5 2 15" xfId="3158"/>
    <cellStyle name="Normal 5 2 16" xfId="3409"/>
    <cellStyle name="Normal 5 2 17" xfId="3660"/>
    <cellStyle name="Normal 5 2 18" xfId="3911"/>
    <cellStyle name="Normal 5 2 19" xfId="4162"/>
    <cellStyle name="Normal 5 2 2" xfId="198"/>
    <cellStyle name="Normal 5 2 2 10" xfId="2498"/>
    <cellStyle name="Normal 5 2 2 11" xfId="2749"/>
    <cellStyle name="Normal 5 2 2 12" xfId="3000"/>
    <cellStyle name="Normal 5 2 2 13" xfId="3251"/>
    <cellStyle name="Normal 5 2 2 14" xfId="3502"/>
    <cellStyle name="Normal 5 2 2 15" xfId="3753"/>
    <cellStyle name="Normal 5 2 2 16" xfId="4004"/>
    <cellStyle name="Normal 5 2 2 17" xfId="4255"/>
    <cellStyle name="Normal 5 2 2 18" xfId="4506"/>
    <cellStyle name="Normal 5 2 2 19" xfId="4757"/>
    <cellStyle name="Normal 5 2 2 2" xfId="475"/>
    <cellStyle name="Normal 5 2 2 20" xfId="5008"/>
    <cellStyle name="Normal 5 2 2 21" xfId="5259"/>
    <cellStyle name="Normal 5 2 2 22" xfId="5510"/>
    <cellStyle name="Normal 5 2 2 23" xfId="5761"/>
    <cellStyle name="Normal 5 2 2 24" xfId="6012"/>
    <cellStyle name="Normal 5 2 2 25" xfId="6263"/>
    <cellStyle name="Normal 5 2 2 26" xfId="6514"/>
    <cellStyle name="Normal 5 2 2 27" xfId="6765"/>
    <cellStyle name="Normal 5 2 2 28" xfId="7016"/>
    <cellStyle name="Normal 5 2 2 29" xfId="7267"/>
    <cellStyle name="Normal 5 2 2 3" xfId="725"/>
    <cellStyle name="Normal 5 2 2 30" xfId="7518"/>
    <cellStyle name="Normal 5 2 2 31" xfId="7769"/>
    <cellStyle name="Normal 5 2 2 32" xfId="8020"/>
    <cellStyle name="Normal 5 2 2 33" xfId="8271"/>
    <cellStyle name="Normal 5 2 2 34" xfId="8522"/>
    <cellStyle name="Normal 5 2 2 35" xfId="8773"/>
    <cellStyle name="Normal 5 2 2 36" xfId="9024"/>
    <cellStyle name="Normal 5 2 2 37" xfId="9275"/>
    <cellStyle name="Normal 5 2 2 38" xfId="9526"/>
    <cellStyle name="Normal 5 2 2 39" xfId="9777"/>
    <cellStyle name="Normal 5 2 2 4" xfId="978"/>
    <cellStyle name="Normal 5 2 2 40" xfId="10028"/>
    <cellStyle name="Normal 5 2 2 41" xfId="10279"/>
    <cellStyle name="Normal 5 2 2 42" xfId="10530"/>
    <cellStyle name="Normal 5 2 2 43" xfId="10781"/>
    <cellStyle name="Normal 5 2 2 44" xfId="11032"/>
    <cellStyle name="Normal 5 2 2 45" xfId="11283"/>
    <cellStyle name="Normal 5 2 2 46" xfId="11534"/>
    <cellStyle name="Normal 5 2 2 47" xfId="11785"/>
    <cellStyle name="Normal 5 2 2 48" xfId="12036"/>
    <cellStyle name="Normal 5 2 2 49" xfId="12287"/>
    <cellStyle name="Normal 5 2 2 5" xfId="1233"/>
    <cellStyle name="Normal 5 2 2 50" xfId="12538"/>
    <cellStyle name="Normal 5 2 2 51" xfId="12789"/>
    <cellStyle name="Normal 5 2 2 52" xfId="13040"/>
    <cellStyle name="Normal 5 2 2 53" xfId="13291"/>
    <cellStyle name="Normal 5 2 2 54" xfId="13542"/>
    <cellStyle name="Normal 5 2 2 55" xfId="13793"/>
    <cellStyle name="Normal 5 2 2 56" xfId="14044"/>
    <cellStyle name="Normal 5 2 2 57" xfId="14295"/>
    <cellStyle name="Normal 5 2 2 58" xfId="14546"/>
    <cellStyle name="Normal 5 2 2 59" xfId="14797"/>
    <cellStyle name="Normal 5 2 2 6" xfId="1486"/>
    <cellStyle name="Normal 5 2 2 60" xfId="15048"/>
    <cellStyle name="Normal 5 2 2 61" xfId="15298"/>
    <cellStyle name="Normal 5 2 2 62" xfId="15549"/>
    <cellStyle name="Normal 5 2 2 63" xfId="15797"/>
    <cellStyle name="Normal 5 2 2 64" xfId="16053"/>
    <cellStyle name="Normal 5 2 2 65" xfId="16304"/>
    <cellStyle name="Normal 5 2 2 66" xfId="16555"/>
    <cellStyle name="Normal 5 2 2 67" xfId="16806"/>
    <cellStyle name="Normal 5 2 2 68" xfId="17057"/>
    <cellStyle name="Normal 5 2 2 69" xfId="17308"/>
    <cellStyle name="Normal 5 2 2 7" xfId="1740"/>
    <cellStyle name="Normal 5 2 2 70" xfId="17559"/>
    <cellStyle name="Normal 5 2 2 71" xfId="17810"/>
    <cellStyle name="Normal 5 2 2 72" xfId="18061"/>
    <cellStyle name="Normal 5 2 2 73" xfId="18312"/>
    <cellStyle name="Normal 5 2 2 74" xfId="18563"/>
    <cellStyle name="Normal 5 2 2 75" xfId="18814"/>
    <cellStyle name="Normal 5 2 2 76" xfId="19064"/>
    <cellStyle name="Normal 5 2 2 77" xfId="19316"/>
    <cellStyle name="Normal 5 2 2 78" xfId="19566"/>
    <cellStyle name="Normal 5 2 2 79" xfId="19822"/>
    <cellStyle name="Normal 5 2 2 8" xfId="1996"/>
    <cellStyle name="Normal 5 2 2 80" xfId="20074"/>
    <cellStyle name="Normal 5 2 2 81" xfId="20326"/>
    <cellStyle name="Normal 5 2 2 82" xfId="20578"/>
    <cellStyle name="Normal 5 2 2 83" xfId="20828"/>
    <cellStyle name="Normal 5 2 2 84" xfId="21078"/>
    <cellStyle name="Normal 5 2 2 85" xfId="21327"/>
    <cellStyle name="Normal 5 2 2 86" xfId="21571"/>
    <cellStyle name="Normal 5 2 2 87" xfId="21815"/>
    <cellStyle name="Normal 5 2 2 88" xfId="22056"/>
    <cellStyle name="Normal 5 2 2 9" xfId="2247"/>
    <cellStyle name="Normal 5 2 20" xfId="4413"/>
    <cellStyle name="Normal 5 2 21" xfId="4664"/>
    <cellStyle name="Normal 5 2 22" xfId="4915"/>
    <cellStyle name="Normal 5 2 23" xfId="5166"/>
    <cellStyle name="Normal 5 2 24" xfId="5417"/>
    <cellStyle name="Normal 5 2 25" xfId="5668"/>
    <cellStyle name="Normal 5 2 26" xfId="5919"/>
    <cellStyle name="Normal 5 2 27" xfId="6170"/>
    <cellStyle name="Normal 5 2 28" xfId="6421"/>
    <cellStyle name="Normal 5 2 29" xfId="6672"/>
    <cellStyle name="Normal 5 2 3" xfId="274"/>
    <cellStyle name="Normal 5 2 3 10" xfId="2574"/>
    <cellStyle name="Normal 5 2 3 11" xfId="2825"/>
    <cellStyle name="Normal 5 2 3 12" xfId="3076"/>
    <cellStyle name="Normal 5 2 3 13" xfId="3327"/>
    <cellStyle name="Normal 5 2 3 14" xfId="3578"/>
    <cellStyle name="Normal 5 2 3 15" xfId="3829"/>
    <cellStyle name="Normal 5 2 3 16" xfId="4080"/>
    <cellStyle name="Normal 5 2 3 17" xfId="4331"/>
    <cellStyle name="Normal 5 2 3 18" xfId="4582"/>
    <cellStyle name="Normal 5 2 3 19" xfId="4833"/>
    <cellStyle name="Normal 5 2 3 2" xfId="549"/>
    <cellStyle name="Normal 5 2 3 20" xfId="5084"/>
    <cellStyle name="Normal 5 2 3 21" xfId="5335"/>
    <cellStyle name="Normal 5 2 3 22" xfId="5586"/>
    <cellStyle name="Normal 5 2 3 23" xfId="5837"/>
    <cellStyle name="Normal 5 2 3 24" xfId="6088"/>
    <cellStyle name="Normal 5 2 3 25" xfId="6339"/>
    <cellStyle name="Normal 5 2 3 26" xfId="6590"/>
    <cellStyle name="Normal 5 2 3 27" xfId="6841"/>
    <cellStyle name="Normal 5 2 3 28" xfId="7092"/>
    <cellStyle name="Normal 5 2 3 29" xfId="7343"/>
    <cellStyle name="Normal 5 2 3 3" xfId="799"/>
    <cellStyle name="Normal 5 2 3 30" xfId="7594"/>
    <cellStyle name="Normal 5 2 3 31" xfId="7845"/>
    <cellStyle name="Normal 5 2 3 32" xfId="8096"/>
    <cellStyle name="Normal 5 2 3 33" xfId="8347"/>
    <cellStyle name="Normal 5 2 3 34" xfId="8598"/>
    <cellStyle name="Normal 5 2 3 35" xfId="8849"/>
    <cellStyle name="Normal 5 2 3 36" xfId="9100"/>
    <cellStyle name="Normal 5 2 3 37" xfId="9351"/>
    <cellStyle name="Normal 5 2 3 38" xfId="9602"/>
    <cellStyle name="Normal 5 2 3 39" xfId="9853"/>
    <cellStyle name="Normal 5 2 3 4" xfId="1051"/>
    <cellStyle name="Normal 5 2 3 40" xfId="10104"/>
    <cellStyle name="Normal 5 2 3 41" xfId="10355"/>
    <cellStyle name="Normal 5 2 3 42" xfId="10606"/>
    <cellStyle name="Normal 5 2 3 43" xfId="10857"/>
    <cellStyle name="Normal 5 2 3 44" xfId="11108"/>
    <cellStyle name="Normal 5 2 3 45" xfId="11359"/>
    <cellStyle name="Normal 5 2 3 46" xfId="11610"/>
    <cellStyle name="Normal 5 2 3 47" xfId="11861"/>
    <cellStyle name="Normal 5 2 3 48" xfId="12112"/>
    <cellStyle name="Normal 5 2 3 49" xfId="12363"/>
    <cellStyle name="Normal 5 2 3 5" xfId="1307"/>
    <cellStyle name="Normal 5 2 3 50" xfId="12614"/>
    <cellStyle name="Normal 5 2 3 51" xfId="12865"/>
    <cellStyle name="Normal 5 2 3 52" xfId="13116"/>
    <cellStyle name="Normal 5 2 3 53" xfId="13367"/>
    <cellStyle name="Normal 5 2 3 54" xfId="13618"/>
    <cellStyle name="Normal 5 2 3 55" xfId="13869"/>
    <cellStyle name="Normal 5 2 3 56" xfId="14120"/>
    <cellStyle name="Normal 5 2 3 57" xfId="14371"/>
    <cellStyle name="Normal 5 2 3 58" xfId="14622"/>
    <cellStyle name="Normal 5 2 3 59" xfId="14873"/>
    <cellStyle name="Normal 5 2 3 6" xfId="1562"/>
    <cellStyle name="Normal 5 2 3 60" xfId="15124"/>
    <cellStyle name="Normal 5 2 3 61" xfId="15374"/>
    <cellStyle name="Normal 5 2 3 62" xfId="15623"/>
    <cellStyle name="Normal 5 2 3 63" xfId="15873"/>
    <cellStyle name="Normal 5 2 3 64" xfId="16129"/>
    <cellStyle name="Normal 5 2 3 65" xfId="16380"/>
    <cellStyle name="Normal 5 2 3 66" xfId="16631"/>
    <cellStyle name="Normal 5 2 3 67" xfId="16882"/>
    <cellStyle name="Normal 5 2 3 68" xfId="17133"/>
    <cellStyle name="Normal 5 2 3 69" xfId="17384"/>
    <cellStyle name="Normal 5 2 3 7" xfId="1815"/>
    <cellStyle name="Normal 5 2 3 70" xfId="17635"/>
    <cellStyle name="Normal 5 2 3 71" xfId="17886"/>
    <cellStyle name="Normal 5 2 3 72" xfId="18137"/>
    <cellStyle name="Normal 5 2 3 73" xfId="18388"/>
    <cellStyle name="Normal 5 2 3 74" xfId="18639"/>
    <cellStyle name="Normal 5 2 3 75" xfId="18890"/>
    <cellStyle name="Normal 5 2 3 76" xfId="19140"/>
    <cellStyle name="Normal 5 2 3 77" xfId="19391"/>
    <cellStyle name="Normal 5 2 3 78" xfId="19642"/>
    <cellStyle name="Normal 5 2 3 79" xfId="19898"/>
    <cellStyle name="Normal 5 2 3 8" xfId="2072"/>
    <cellStyle name="Normal 5 2 3 80" xfId="20150"/>
    <cellStyle name="Normal 5 2 3 81" xfId="20402"/>
    <cellStyle name="Normal 5 2 3 82" xfId="20654"/>
    <cellStyle name="Normal 5 2 3 83" xfId="20904"/>
    <cellStyle name="Normal 5 2 3 84" xfId="21153"/>
    <cellStyle name="Normal 5 2 3 85" xfId="21401"/>
    <cellStyle name="Normal 5 2 3 86" xfId="21645"/>
    <cellStyle name="Normal 5 2 3 87" xfId="21887"/>
    <cellStyle name="Normal 5 2 3 88" xfId="22128"/>
    <cellStyle name="Normal 5 2 3 9" xfId="2323"/>
    <cellStyle name="Normal 5 2 30" xfId="6923"/>
    <cellStyle name="Normal 5 2 31" xfId="7174"/>
    <cellStyle name="Normal 5 2 32" xfId="7425"/>
    <cellStyle name="Normal 5 2 33" xfId="7676"/>
    <cellStyle name="Normal 5 2 34" xfId="7927"/>
    <cellStyle name="Normal 5 2 35" xfId="8178"/>
    <cellStyle name="Normal 5 2 36" xfId="8429"/>
    <cellStyle name="Normal 5 2 37" xfId="8680"/>
    <cellStyle name="Normal 5 2 38" xfId="8931"/>
    <cellStyle name="Normal 5 2 39" xfId="9182"/>
    <cellStyle name="Normal 5 2 4" xfId="383"/>
    <cellStyle name="Normal 5 2 40" xfId="9433"/>
    <cellStyle name="Normal 5 2 41" xfId="9684"/>
    <cellStyle name="Normal 5 2 42" xfId="9935"/>
    <cellStyle name="Normal 5 2 43" xfId="10186"/>
    <cellStyle name="Normal 5 2 44" xfId="10437"/>
    <cellStyle name="Normal 5 2 45" xfId="10688"/>
    <cellStyle name="Normal 5 2 46" xfId="10939"/>
    <cellStyle name="Normal 5 2 47" xfId="11190"/>
    <cellStyle name="Normal 5 2 48" xfId="11441"/>
    <cellStyle name="Normal 5 2 49" xfId="11692"/>
    <cellStyle name="Normal 5 2 5" xfId="632"/>
    <cellStyle name="Normal 5 2 50" xfId="11943"/>
    <cellStyle name="Normal 5 2 51" xfId="12194"/>
    <cellStyle name="Normal 5 2 52" xfId="12445"/>
    <cellStyle name="Normal 5 2 53" xfId="12696"/>
    <cellStyle name="Normal 5 2 54" xfId="12947"/>
    <cellStyle name="Normal 5 2 55" xfId="13198"/>
    <cellStyle name="Normal 5 2 56" xfId="13449"/>
    <cellStyle name="Normal 5 2 57" xfId="13700"/>
    <cellStyle name="Normal 5 2 58" xfId="13951"/>
    <cellStyle name="Normal 5 2 59" xfId="14202"/>
    <cellStyle name="Normal 5 2 6" xfId="885"/>
    <cellStyle name="Normal 5 2 60" xfId="14453"/>
    <cellStyle name="Normal 5 2 61" xfId="14704"/>
    <cellStyle name="Normal 5 2 62" xfId="14954"/>
    <cellStyle name="Normal 5 2 63" xfId="15205"/>
    <cellStyle name="Normal 5 2 64" xfId="15456"/>
    <cellStyle name="Normal 5 2 65" xfId="15703"/>
    <cellStyle name="Normal 5 2 66" xfId="15960"/>
    <cellStyle name="Normal 5 2 67" xfId="16211"/>
    <cellStyle name="Normal 5 2 68" xfId="16462"/>
    <cellStyle name="Normal 5 2 69" xfId="16713"/>
    <cellStyle name="Normal 5 2 7" xfId="1140"/>
    <cellStyle name="Normal 5 2 70" xfId="16964"/>
    <cellStyle name="Normal 5 2 71" xfId="17215"/>
    <cellStyle name="Normal 5 2 72" xfId="17466"/>
    <cellStyle name="Normal 5 2 73" xfId="17717"/>
    <cellStyle name="Normal 5 2 74" xfId="17968"/>
    <cellStyle name="Normal 5 2 75" xfId="18219"/>
    <cellStyle name="Normal 5 2 76" xfId="18470"/>
    <cellStyle name="Normal 5 2 77" xfId="18720"/>
    <cellStyle name="Normal 5 2 78" xfId="18971"/>
    <cellStyle name="Normal 5 2 79" xfId="19222"/>
    <cellStyle name="Normal 5 2 8" xfId="1393"/>
    <cellStyle name="Normal 5 2 80" xfId="19472"/>
    <cellStyle name="Normal 5 2 81" xfId="19728"/>
    <cellStyle name="Normal 5 2 82" xfId="19980"/>
    <cellStyle name="Normal 5 2 83" xfId="20232"/>
    <cellStyle name="Normal 5 2 84" xfId="20484"/>
    <cellStyle name="Normal 5 2 85" xfId="20734"/>
    <cellStyle name="Normal 5 2 86" xfId="20984"/>
    <cellStyle name="Normal 5 2 87" xfId="21235"/>
    <cellStyle name="Normal 5 2 88" xfId="21479"/>
    <cellStyle name="Normal 5 2 89" xfId="21723"/>
    <cellStyle name="Normal 5 2 9" xfId="1646"/>
    <cellStyle name="Normal 5 2 90" xfId="21964"/>
    <cellStyle name="Normal 5 20" xfId="4129"/>
    <cellStyle name="Normal 5 21" xfId="4380"/>
    <cellStyle name="Normal 5 22" xfId="4631"/>
    <cellStyle name="Normal 5 23" xfId="4882"/>
    <cellStyle name="Normal 5 24" xfId="5133"/>
    <cellStyle name="Normal 5 25" xfId="5384"/>
    <cellStyle name="Normal 5 26" xfId="5635"/>
    <cellStyle name="Normal 5 27" xfId="5886"/>
    <cellStyle name="Normal 5 28" xfId="6137"/>
    <cellStyle name="Normal 5 29" xfId="6388"/>
    <cellStyle name="Normal 5 3" xfId="165"/>
    <cellStyle name="Normal 5 3 10" xfId="2465"/>
    <cellStyle name="Normal 5 3 11" xfId="2716"/>
    <cellStyle name="Normal 5 3 12" xfId="2967"/>
    <cellStyle name="Normal 5 3 13" xfId="3218"/>
    <cellStyle name="Normal 5 3 14" xfId="3469"/>
    <cellStyle name="Normal 5 3 15" xfId="3720"/>
    <cellStyle name="Normal 5 3 16" xfId="3971"/>
    <cellStyle name="Normal 5 3 17" xfId="4222"/>
    <cellStyle name="Normal 5 3 18" xfId="4473"/>
    <cellStyle name="Normal 5 3 19" xfId="4724"/>
    <cellStyle name="Normal 5 3 2" xfId="442"/>
    <cellStyle name="Normal 5 3 20" xfId="4975"/>
    <cellStyle name="Normal 5 3 21" xfId="5226"/>
    <cellStyle name="Normal 5 3 22" xfId="5477"/>
    <cellStyle name="Normal 5 3 23" xfId="5728"/>
    <cellStyle name="Normal 5 3 24" xfId="5979"/>
    <cellStyle name="Normal 5 3 25" xfId="6230"/>
    <cellStyle name="Normal 5 3 26" xfId="6481"/>
    <cellStyle name="Normal 5 3 27" xfId="6732"/>
    <cellStyle name="Normal 5 3 28" xfId="6983"/>
    <cellStyle name="Normal 5 3 29" xfId="7234"/>
    <cellStyle name="Normal 5 3 3" xfId="692"/>
    <cellStyle name="Normal 5 3 30" xfId="7485"/>
    <cellStyle name="Normal 5 3 31" xfId="7736"/>
    <cellStyle name="Normal 5 3 32" xfId="7987"/>
    <cellStyle name="Normal 5 3 33" xfId="8238"/>
    <cellStyle name="Normal 5 3 34" xfId="8489"/>
    <cellStyle name="Normal 5 3 35" xfId="8740"/>
    <cellStyle name="Normal 5 3 36" xfId="8991"/>
    <cellStyle name="Normal 5 3 37" xfId="9242"/>
    <cellStyle name="Normal 5 3 38" xfId="9493"/>
    <cellStyle name="Normal 5 3 39" xfId="9744"/>
    <cellStyle name="Normal 5 3 4" xfId="945"/>
    <cellStyle name="Normal 5 3 40" xfId="9995"/>
    <cellStyle name="Normal 5 3 41" xfId="10246"/>
    <cellStyle name="Normal 5 3 42" xfId="10497"/>
    <cellStyle name="Normal 5 3 43" xfId="10748"/>
    <cellStyle name="Normal 5 3 44" xfId="10999"/>
    <cellStyle name="Normal 5 3 45" xfId="11250"/>
    <cellStyle name="Normal 5 3 46" xfId="11501"/>
    <cellStyle name="Normal 5 3 47" xfId="11752"/>
    <cellStyle name="Normal 5 3 48" xfId="12003"/>
    <cellStyle name="Normal 5 3 49" xfId="12254"/>
    <cellStyle name="Normal 5 3 5" xfId="1200"/>
    <cellStyle name="Normal 5 3 50" xfId="12505"/>
    <cellStyle name="Normal 5 3 51" xfId="12756"/>
    <cellStyle name="Normal 5 3 52" xfId="13007"/>
    <cellStyle name="Normal 5 3 53" xfId="13258"/>
    <cellStyle name="Normal 5 3 54" xfId="13509"/>
    <cellStyle name="Normal 5 3 55" xfId="13760"/>
    <cellStyle name="Normal 5 3 56" xfId="14011"/>
    <cellStyle name="Normal 5 3 57" xfId="14262"/>
    <cellStyle name="Normal 5 3 58" xfId="14513"/>
    <cellStyle name="Normal 5 3 59" xfId="14764"/>
    <cellStyle name="Normal 5 3 6" xfId="1453"/>
    <cellStyle name="Normal 5 3 60" xfId="15015"/>
    <cellStyle name="Normal 5 3 61" xfId="15265"/>
    <cellStyle name="Normal 5 3 62" xfId="15516"/>
    <cellStyle name="Normal 5 3 63" xfId="15764"/>
    <cellStyle name="Normal 5 3 64" xfId="16020"/>
    <cellStyle name="Normal 5 3 65" xfId="16271"/>
    <cellStyle name="Normal 5 3 66" xfId="16522"/>
    <cellStyle name="Normal 5 3 67" xfId="16773"/>
    <cellStyle name="Normal 5 3 68" xfId="17024"/>
    <cellStyle name="Normal 5 3 69" xfId="17275"/>
    <cellStyle name="Normal 5 3 7" xfId="1707"/>
    <cellStyle name="Normal 5 3 70" xfId="17526"/>
    <cellStyle name="Normal 5 3 71" xfId="17777"/>
    <cellStyle name="Normal 5 3 72" xfId="18028"/>
    <cellStyle name="Normal 5 3 73" xfId="18279"/>
    <cellStyle name="Normal 5 3 74" xfId="18530"/>
    <cellStyle name="Normal 5 3 75" xfId="18781"/>
    <cellStyle name="Normal 5 3 76" xfId="19031"/>
    <cellStyle name="Normal 5 3 77" xfId="19283"/>
    <cellStyle name="Normal 5 3 78" xfId="19533"/>
    <cellStyle name="Normal 5 3 79" xfId="19789"/>
    <cellStyle name="Normal 5 3 8" xfId="1963"/>
    <cellStyle name="Normal 5 3 80" xfId="20041"/>
    <cellStyle name="Normal 5 3 81" xfId="20293"/>
    <cellStyle name="Normal 5 3 82" xfId="20545"/>
    <cellStyle name="Normal 5 3 83" xfId="20795"/>
    <cellStyle name="Normal 5 3 84" xfId="21045"/>
    <cellStyle name="Normal 5 3 85" xfId="21294"/>
    <cellStyle name="Normal 5 3 86" xfId="21538"/>
    <cellStyle name="Normal 5 3 87" xfId="21782"/>
    <cellStyle name="Normal 5 3 88" xfId="22023"/>
    <cellStyle name="Normal 5 3 9" xfId="2214"/>
    <cellStyle name="Normal 5 30" xfId="6639"/>
    <cellStyle name="Normal 5 31" xfId="6890"/>
    <cellStyle name="Normal 5 32" xfId="7141"/>
    <cellStyle name="Normal 5 33" xfId="7392"/>
    <cellStyle name="Normal 5 34" xfId="7643"/>
    <cellStyle name="Normal 5 35" xfId="7894"/>
    <cellStyle name="Normal 5 36" xfId="8145"/>
    <cellStyle name="Normal 5 37" xfId="8396"/>
    <cellStyle name="Normal 5 38" xfId="8647"/>
    <cellStyle name="Normal 5 39" xfId="8898"/>
    <cellStyle name="Normal 5 4" xfId="241"/>
    <cellStyle name="Normal 5 4 10" xfId="2541"/>
    <cellStyle name="Normal 5 4 11" xfId="2792"/>
    <cellStyle name="Normal 5 4 12" xfId="3043"/>
    <cellStyle name="Normal 5 4 13" xfId="3294"/>
    <cellStyle name="Normal 5 4 14" xfId="3545"/>
    <cellStyle name="Normal 5 4 15" xfId="3796"/>
    <cellStyle name="Normal 5 4 16" xfId="4047"/>
    <cellStyle name="Normal 5 4 17" xfId="4298"/>
    <cellStyle name="Normal 5 4 18" xfId="4549"/>
    <cellStyle name="Normal 5 4 19" xfId="4800"/>
    <cellStyle name="Normal 5 4 2" xfId="517"/>
    <cellStyle name="Normal 5 4 20" xfId="5051"/>
    <cellStyle name="Normal 5 4 21" xfId="5302"/>
    <cellStyle name="Normal 5 4 22" xfId="5553"/>
    <cellStyle name="Normal 5 4 23" xfId="5804"/>
    <cellStyle name="Normal 5 4 24" xfId="6055"/>
    <cellStyle name="Normal 5 4 25" xfId="6306"/>
    <cellStyle name="Normal 5 4 26" xfId="6557"/>
    <cellStyle name="Normal 5 4 27" xfId="6808"/>
    <cellStyle name="Normal 5 4 28" xfId="7059"/>
    <cellStyle name="Normal 5 4 29" xfId="7310"/>
    <cellStyle name="Normal 5 4 3" xfId="767"/>
    <cellStyle name="Normal 5 4 30" xfId="7561"/>
    <cellStyle name="Normal 5 4 31" xfId="7812"/>
    <cellStyle name="Normal 5 4 32" xfId="8063"/>
    <cellStyle name="Normal 5 4 33" xfId="8314"/>
    <cellStyle name="Normal 5 4 34" xfId="8565"/>
    <cellStyle name="Normal 5 4 35" xfId="8816"/>
    <cellStyle name="Normal 5 4 36" xfId="9067"/>
    <cellStyle name="Normal 5 4 37" xfId="9318"/>
    <cellStyle name="Normal 5 4 38" xfId="9569"/>
    <cellStyle name="Normal 5 4 39" xfId="9820"/>
    <cellStyle name="Normal 5 4 4" xfId="1019"/>
    <cellStyle name="Normal 5 4 40" xfId="10071"/>
    <cellStyle name="Normal 5 4 41" xfId="10322"/>
    <cellStyle name="Normal 5 4 42" xfId="10573"/>
    <cellStyle name="Normal 5 4 43" xfId="10824"/>
    <cellStyle name="Normal 5 4 44" xfId="11075"/>
    <cellStyle name="Normal 5 4 45" xfId="11326"/>
    <cellStyle name="Normal 5 4 46" xfId="11577"/>
    <cellStyle name="Normal 5 4 47" xfId="11828"/>
    <cellStyle name="Normal 5 4 48" xfId="12079"/>
    <cellStyle name="Normal 5 4 49" xfId="12330"/>
    <cellStyle name="Normal 5 4 5" xfId="1275"/>
    <cellStyle name="Normal 5 4 50" xfId="12581"/>
    <cellStyle name="Normal 5 4 51" xfId="12832"/>
    <cellStyle name="Normal 5 4 52" xfId="13083"/>
    <cellStyle name="Normal 5 4 53" xfId="13334"/>
    <cellStyle name="Normal 5 4 54" xfId="13585"/>
    <cellStyle name="Normal 5 4 55" xfId="13836"/>
    <cellStyle name="Normal 5 4 56" xfId="14087"/>
    <cellStyle name="Normal 5 4 57" xfId="14338"/>
    <cellStyle name="Normal 5 4 58" xfId="14589"/>
    <cellStyle name="Normal 5 4 59" xfId="14840"/>
    <cellStyle name="Normal 5 4 6" xfId="1529"/>
    <cellStyle name="Normal 5 4 60" xfId="15091"/>
    <cellStyle name="Normal 5 4 61" xfId="15341"/>
    <cellStyle name="Normal 5 4 62" xfId="15591"/>
    <cellStyle name="Normal 5 4 63" xfId="15840"/>
    <cellStyle name="Normal 5 4 64" xfId="16096"/>
    <cellStyle name="Normal 5 4 65" xfId="16347"/>
    <cellStyle name="Normal 5 4 66" xfId="16598"/>
    <cellStyle name="Normal 5 4 67" xfId="16849"/>
    <cellStyle name="Normal 5 4 68" xfId="17100"/>
    <cellStyle name="Normal 5 4 69" xfId="17351"/>
    <cellStyle name="Normal 5 4 7" xfId="1782"/>
    <cellStyle name="Normal 5 4 70" xfId="17602"/>
    <cellStyle name="Normal 5 4 71" xfId="17853"/>
    <cellStyle name="Normal 5 4 72" xfId="18104"/>
    <cellStyle name="Normal 5 4 73" xfId="18355"/>
    <cellStyle name="Normal 5 4 74" xfId="18606"/>
    <cellStyle name="Normal 5 4 75" xfId="18857"/>
    <cellStyle name="Normal 5 4 76" xfId="19107"/>
    <cellStyle name="Normal 5 4 77" xfId="19359"/>
    <cellStyle name="Normal 5 4 78" xfId="19609"/>
    <cellStyle name="Normal 5 4 79" xfId="19865"/>
    <cellStyle name="Normal 5 4 8" xfId="2039"/>
    <cellStyle name="Normal 5 4 80" xfId="20117"/>
    <cellStyle name="Normal 5 4 81" xfId="20369"/>
    <cellStyle name="Normal 5 4 82" xfId="20621"/>
    <cellStyle name="Normal 5 4 83" xfId="20871"/>
    <cellStyle name="Normal 5 4 84" xfId="21121"/>
    <cellStyle name="Normal 5 4 85" xfId="21369"/>
    <cellStyle name="Normal 5 4 86" xfId="21613"/>
    <cellStyle name="Normal 5 4 87" xfId="21856"/>
    <cellStyle name="Normal 5 4 88" xfId="22097"/>
    <cellStyle name="Normal 5 4 9" xfId="2290"/>
    <cellStyle name="Normal 5 40" xfId="9149"/>
    <cellStyle name="Normal 5 41" xfId="9400"/>
    <cellStyle name="Normal 5 42" xfId="9651"/>
    <cellStyle name="Normal 5 43" xfId="9902"/>
    <cellStyle name="Normal 5 44" xfId="10153"/>
    <cellStyle name="Normal 5 45" xfId="10404"/>
    <cellStyle name="Normal 5 46" xfId="10655"/>
    <cellStyle name="Normal 5 47" xfId="10906"/>
    <cellStyle name="Normal 5 48" xfId="11157"/>
    <cellStyle name="Normal 5 49" xfId="11408"/>
    <cellStyle name="Normal 5 5" xfId="350"/>
    <cellStyle name="Normal 5 50" xfId="11659"/>
    <cellStyle name="Normal 5 51" xfId="11910"/>
    <cellStyle name="Normal 5 52" xfId="12161"/>
    <cellStyle name="Normal 5 53" xfId="12412"/>
    <cellStyle name="Normal 5 54" xfId="12663"/>
    <cellStyle name="Normal 5 55" xfId="12914"/>
    <cellStyle name="Normal 5 56" xfId="13165"/>
    <cellStyle name="Normal 5 57" xfId="13416"/>
    <cellStyle name="Normal 5 58" xfId="13667"/>
    <cellStyle name="Normal 5 59" xfId="13918"/>
    <cellStyle name="Normal 5 6" xfId="599"/>
    <cellStyle name="Normal 5 60" xfId="14169"/>
    <cellStyle name="Normal 5 61" xfId="14420"/>
    <cellStyle name="Normal 5 62" xfId="14671"/>
    <cellStyle name="Normal 5 63" xfId="14921"/>
    <cellStyle name="Normal 5 64" xfId="15172"/>
    <cellStyle name="Normal 5 65" xfId="15423"/>
    <cellStyle name="Normal 5 66" xfId="15670"/>
    <cellStyle name="Normal 5 67" xfId="15927"/>
    <cellStyle name="Normal 5 68" xfId="16178"/>
    <cellStyle name="Normal 5 69" xfId="16429"/>
    <cellStyle name="Normal 5 7" xfId="852"/>
    <cellStyle name="Normal 5 70" xfId="16680"/>
    <cellStyle name="Normal 5 71" xfId="16931"/>
    <cellStyle name="Normal 5 72" xfId="17182"/>
    <cellStyle name="Normal 5 73" xfId="17433"/>
    <cellStyle name="Normal 5 74" xfId="17684"/>
    <cellStyle name="Normal 5 75" xfId="17935"/>
    <cellStyle name="Normal 5 76" xfId="18186"/>
    <cellStyle name="Normal 5 77" xfId="18437"/>
    <cellStyle name="Normal 5 78" xfId="18687"/>
    <cellStyle name="Normal 5 79" xfId="18938"/>
    <cellStyle name="Normal 5 8" xfId="1107"/>
    <cellStyle name="Normal 5 80" xfId="19189"/>
    <cellStyle name="Normal 5 81" xfId="19439"/>
    <cellStyle name="Normal 5 82" xfId="19695"/>
    <cellStyle name="Normal 5 83" xfId="19947"/>
    <cellStyle name="Normal 5 84" xfId="20199"/>
    <cellStyle name="Normal 5 85" xfId="20451"/>
    <cellStyle name="Normal 5 86" xfId="20701"/>
    <cellStyle name="Normal 5 87" xfId="20951"/>
    <cellStyle name="Normal 5 88" xfId="21202"/>
    <cellStyle name="Normal 5 89" xfId="21446"/>
    <cellStyle name="Normal 5 9" xfId="1360"/>
    <cellStyle name="Normal 5 90" xfId="21690"/>
    <cellStyle name="Normal 5 91" xfId="21931"/>
    <cellStyle name="Normal 50" xfId="22172"/>
    <cellStyle name="Normal 50 10" xfId="24427"/>
    <cellStyle name="Normal 50 11" xfId="24428"/>
    <cellStyle name="Normal 50 12" xfId="24429"/>
    <cellStyle name="Normal 50 13" xfId="24430"/>
    <cellStyle name="Normal 50 14" xfId="24431"/>
    <cellStyle name="Normal 50 15" xfId="24432"/>
    <cellStyle name="Normal 50 16" xfId="24433"/>
    <cellStyle name="Normal 50 2" xfId="24434"/>
    <cellStyle name="Normal 50 3" xfId="24435"/>
    <cellStyle name="Normal 50 4" xfId="24436"/>
    <cellStyle name="Normal 50 5" xfId="24437"/>
    <cellStyle name="Normal 50 6" xfId="24438"/>
    <cellStyle name="Normal 50 7" xfId="24439"/>
    <cellStyle name="Normal 50 8" xfId="24440"/>
    <cellStyle name="Normal 50 9" xfId="24441"/>
    <cellStyle name="Normal 51" xfId="22173"/>
    <cellStyle name="Normal 51 10" xfId="24442"/>
    <cellStyle name="Normal 51 11" xfId="24443"/>
    <cellStyle name="Normal 51 12" xfId="24444"/>
    <cellStyle name="Normal 51 13" xfId="24445"/>
    <cellStyle name="Normal 51 14" xfId="24446"/>
    <cellStyle name="Normal 51 15" xfId="24447"/>
    <cellStyle name="Normal 51 16" xfId="24448"/>
    <cellStyle name="Normal 51 2" xfId="24449"/>
    <cellStyle name="Normal 51 3" xfId="24450"/>
    <cellStyle name="Normal 51 4" xfId="24451"/>
    <cellStyle name="Normal 51 5" xfId="24452"/>
    <cellStyle name="Normal 51 6" xfId="24453"/>
    <cellStyle name="Normal 51 7" xfId="24454"/>
    <cellStyle name="Normal 51 8" xfId="24455"/>
    <cellStyle name="Normal 51 9" xfId="24456"/>
    <cellStyle name="Normal 52" xfId="82"/>
    <cellStyle name="Normal 52 10" xfId="1624"/>
    <cellStyle name="Normal 52 11" xfId="1881"/>
    <cellStyle name="Normal 52 12" xfId="2132"/>
    <cellStyle name="Normal 52 13" xfId="2383"/>
    <cellStyle name="Normal 52 14" xfId="2634"/>
    <cellStyle name="Normal 52 15" xfId="2885"/>
    <cellStyle name="Normal 52 16" xfId="3136"/>
    <cellStyle name="Normal 52 17" xfId="3387"/>
    <cellStyle name="Normal 52 18" xfId="3638"/>
    <cellStyle name="Normal 52 19" xfId="3889"/>
    <cellStyle name="Normal 52 2" xfId="115"/>
    <cellStyle name="Normal 52 2 10" xfId="1914"/>
    <cellStyle name="Normal 52 2 11" xfId="2165"/>
    <cellStyle name="Normal 52 2 12" xfId="2416"/>
    <cellStyle name="Normal 52 2 13" xfId="2667"/>
    <cellStyle name="Normal 52 2 14" xfId="2918"/>
    <cellStyle name="Normal 52 2 15" xfId="3169"/>
    <cellStyle name="Normal 52 2 16" xfId="3420"/>
    <cellStyle name="Normal 52 2 17" xfId="3671"/>
    <cellStyle name="Normal 52 2 18" xfId="3922"/>
    <cellStyle name="Normal 52 2 19" xfId="4173"/>
    <cellStyle name="Normal 52 2 2" xfId="209"/>
    <cellStyle name="Normal 52 2 2 10" xfId="2509"/>
    <cellStyle name="Normal 52 2 2 11" xfId="2760"/>
    <cellStyle name="Normal 52 2 2 12" xfId="3011"/>
    <cellStyle name="Normal 52 2 2 13" xfId="3262"/>
    <cellStyle name="Normal 52 2 2 14" xfId="3513"/>
    <cellStyle name="Normal 52 2 2 15" xfId="3764"/>
    <cellStyle name="Normal 52 2 2 16" xfId="4015"/>
    <cellStyle name="Normal 52 2 2 17" xfId="4266"/>
    <cellStyle name="Normal 52 2 2 18" xfId="4517"/>
    <cellStyle name="Normal 52 2 2 19" xfId="4768"/>
    <cellStyle name="Normal 52 2 2 2" xfId="486"/>
    <cellStyle name="Normal 52 2 2 20" xfId="5019"/>
    <cellStyle name="Normal 52 2 2 21" xfId="5270"/>
    <cellStyle name="Normal 52 2 2 22" xfId="5521"/>
    <cellStyle name="Normal 52 2 2 23" xfId="5772"/>
    <cellStyle name="Normal 52 2 2 24" xfId="6023"/>
    <cellStyle name="Normal 52 2 2 25" xfId="6274"/>
    <cellStyle name="Normal 52 2 2 26" xfId="6525"/>
    <cellStyle name="Normal 52 2 2 27" xfId="6776"/>
    <cellStyle name="Normal 52 2 2 28" xfId="7027"/>
    <cellStyle name="Normal 52 2 2 29" xfId="7278"/>
    <cellStyle name="Normal 52 2 2 3" xfId="736"/>
    <cellStyle name="Normal 52 2 2 30" xfId="7529"/>
    <cellStyle name="Normal 52 2 2 31" xfId="7780"/>
    <cellStyle name="Normal 52 2 2 32" xfId="8031"/>
    <cellStyle name="Normal 52 2 2 33" xfId="8282"/>
    <cellStyle name="Normal 52 2 2 34" xfId="8533"/>
    <cellStyle name="Normal 52 2 2 35" xfId="8784"/>
    <cellStyle name="Normal 52 2 2 36" xfId="9035"/>
    <cellStyle name="Normal 52 2 2 37" xfId="9286"/>
    <cellStyle name="Normal 52 2 2 38" xfId="9537"/>
    <cellStyle name="Normal 52 2 2 39" xfId="9788"/>
    <cellStyle name="Normal 52 2 2 4" xfId="989"/>
    <cellStyle name="Normal 52 2 2 40" xfId="10039"/>
    <cellStyle name="Normal 52 2 2 41" xfId="10290"/>
    <cellStyle name="Normal 52 2 2 42" xfId="10541"/>
    <cellStyle name="Normal 52 2 2 43" xfId="10792"/>
    <cellStyle name="Normal 52 2 2 44" xfId="11043"/>
    <cellStyle name="Normal 52 2 2 45" xfId="11294"/>
    <cellStyle name="Normal 52 2 2 46" xfId="11545"/>
    <cellStyle name="Normal 52 2 2 47" xfId="11796"/>
    <cellStyle name="Normal 52 2 2 48" xfId="12047"/>
    <cellStyle name="Normal 52 2 2 49" xfId="12298"/>
    <cellStyle name="Normal 52 2 2 5" xfId="1244"/>
    <cellStyle name="Normal 52 2 2 50" xfId="12549"/>
    <cellStyle name="Normal 52 2 2 51" xfId="12800"/>
    <cellStyle name="Normal 52 2 2 52" xfId="13051"/>
    <cellStyle name="Normal 52 2 2 53" xfId="13302"/>
    <cellStyle name="Normal 52 2 2 54" xfId="13553"/>
    <cellStyle name="Normal 52 2 2 55" xfId="13804"/>
    <cellStyle name="Normal 52 2 2 56" xfId="14055"/>
    <cellStyle name="Normal 52 2 2 57" xfId="14306"/>
    <cellStyle name="Normal 52 2 2 58" xfId="14557"/>
    <cellStyle name="Normal 52 2 2 59" xfId="14808"/>
    <cellStyle name="Normal 52 2 2 6" xfId="1497"/>
    <cellStyle name="Normal 52 2 2 60" xfId="15059"/>
    <cellStyle name="Normal 52 2 2 61" xfId="15309"/>
    <cellStyle name="Normal 52 2 2 62" xfId="15560"/>
    <cellStyle name="Normal 52 2 2 63" xfId="15808"/>
    <cellStyle name="Normal 52 2 2 64" xfId="16064"/>
    <cellStyle name="Normal 52 2 2 65" xfId="16315"/>
    <cellStyle name="Normal 52 2 2 66" xfId="16566"/>
    <cellStyle name="Normal 52 2 2 67" xfId="16817"/>
    <cellStyle name="Normal 52 2 2 68" xfId="17068"/>
    <cellStyle name="Normal 52 2 2 69" xfId="17319"/>
    <cellStyle name="Normal 52 2 2 7" xfId="1751"/>
    <cellStyle name="Normal 52 2 2 70" xfId="17570"/>
    <cellStyle name="Normal 52 2 2 71" xfId="17821"/>
    <cellStyle name="Normal 52 2 2 72" xfId="18072"/>
    <cellStyle name="Normal 52 2 2 73" xfId="18323"/>
    <cellStyle name="Normal 52 2 2 74" xfId="18574"/>
    <cellStyle name="Normal 52 2 2 75" xfId="18825"/>
    <cellStyle name="Normal 52 2 2 76" xfId="19075"/>
    <cellStyle name="Normal 52 2 2 77" xfId="19327"/>
    <cellStyle name="Normal 52 2 2 78" xfId="19577"/>
    <cellStyle name="Normal 52 2 2 79" xfId="19833"/>
    <cellStyle name="Normal 52 2 2 8" xfId="2007"/>
    <cellStyle name="Normal 52 2 2 80" xfId="20085"/>
    <cellStyle name="Normal 52 2 2 81" xfId="20337"/>
    <cellStyle name="Normal 52 2 2 82" xfId="20589"/>
    <cellStyle name="Normal 52 2 2 83" xfId="20839"/>
    <cellStyle name="Normal 52 2 2 84" xfId="21089"/>
    <cellStyle name="Normal 52 2 2 85" xfId="21338"/>
    <cellStyle name="Normal 52 2 2 86" xfId="21582"/>
    <cellStyle name="Normal 52 2 2 87" xfId="21826"/>
    <cellStyle name="Normal 52 2 2 88" xfId="22067"/>
    <cellStyle name="Normal 52 2 2 9" xfId="2258"/>
    <cellStyle name="Normal 52 2 20" xfId="4424"/>
    <cellStyle name="Normal 52 2 21" xfId="4675"/>
    <cellStyle name="Normal 52 2 22" xfId="4926"/>
    <cellStyle name="Normal 52 2 23" xfId="5177"/>
    <cellStyle name="Normal 52 2 24" xfId="5428"/>
    <cellStyle name="Normal 52 2 25" xfId="5679"/>
    <cellStyle name="Normal 52 2 26" xfId="5930"/>
    <cellStyle name="Normal 52 2 27" xfId="6181"/>
    <cellStyle name="Normal 52 2 28" xfId="6432"/>
    <cellStyle name="Normal 52 2 29" xfId="6683"/>
    <cellStyle name="Normal 52 2 3" xfId="285"/>
    <cellStyle name="Normal 52 2 3 10" xfId="2585"/>
    <cellStyle name="Normal 52 2 3 11" xfId="2836"/>
    <cellStyle name="Normal 52 2 3 12" xfId="3087"/>
    <cellStyle name="Normal 52 2 3 13" xfId="3338"/>
    <cellStyle name="Normal 52 2 3 14" xfId="3589"/>
    <cellStyle name="Normal 52 2 3 15" xfId="3840"/>
    <cellStyle name="Normal 52 2 3 16" xfId="4091"/>
    <cellStyle name="Normal 52 2 3 17" xfId="4342"/>
    <cellStyle name="Normal 52 2 3 18" xfId="4593"/>
    <cellStyle name="Normal 52 2 3 19" xfId="4844"/>
    <cellStyle name="Normal 52 2 3 2" xfId="560"/>
    <cellStyle name="Normal 52 2 3 20" xfId="5095"/>
    <cellStyle name="Normal 52 2 3 21" xfId="5346"/>
    <cellStyle name="Normal 52 2 3 22" xfId="5597"/>
    <cellStyle name="Normal 52 2 3 23" xfId="5848"/>
    <cellStyle name="Normal 52 2 3 24" xfId="6099"/>
    <cellStyle name="Normal 52 2 3 25" xfId="6350"/>
    <cellStyle name="Normal 52 2 3 26" xfId="6601"/>
    <cellStyle name="Normal 52 2 3 27" xfId="6852"/>
    <cellStyle name="Normal 52 2 3 28" xfId="7103"/>
    <cellStyle name="Normal 52 2 3 29" xfId="7354"/>
    <cellStyle name="Normal 52 2 3 3" xfId="810"/>
    <cellStyle name="Normal 52 2 3 30" xfId="7605"/>
    <cellStyle name="Normal 52 2 3 31" xfId="7856"/>
    <cellStyle name="Normal 52 2 3 32" xfId="8107"/>
    <cellStyle name="Normal 52 2 3 33" xfId="8358"/>
    <cellStyle name="Normal 52 2 3 34" xfId="8609"/>
    <cellStyle name="Normal 52 2 3 35" xfId="8860"/>
    <cellStyle name="Normal 52 2 3 36" xfId="9111"/>
    <cellStyle name="Normal 52 2 3 37" xfId="9362"/>
    <cellStyle name="Normal 52 2 3 38" xfId="9613"/>
    <cellStyle name="Normal 52 2 3 39" xfId="9864"/>
    <cellStyle name="Normal 52 2 3 4" xfId="1062"/>
    <cellStyle name="Normal 52 2 3 40" xfId="10115"/>
    <cellStyle name="Normal 52 2 3 41" xfId="10366"/>
    <cellStyle name="Normal 52 2 3 42" xfId="10617"/>
    <cellStyle name="Normal 52 2 3 43" xfId="10868"/>
    <cellStyle name="Normal 52 2 3 44" xfId="11119"/>
    <cellStyle name="Normal 52 2 3 45" xfId="11370"/>
    <cellStyle name="Normal 52 2 3 46" xfId="11621"/>
    <cellStyle name="Normal 52 2 3 47" xfId="11872"/>
    <cellStyle name="Normal 52 2 3 48" xfId="12123"/>
    <cellStyle name="Normal 52 2 3 49" xfId="12374"/>
    <cellStyle name="Normal 52 2 3 5" xfId="1318"/>
    <cellStyle name="Normal 52 2 3 50" xfId="12625"/>
    <cellStyle name="Normal 52 2 3 51" xfId="12876"/>
    <cellStyle name="Normal 52 2 3 52" xfId="13127"/>
    <cellStyle name="Normal 52 2 3 53" xfId="13378"/>
    <cellStyle name="Normal 52 2 3 54" xfId="13629"/>
    <cellStyle name="Normal 52 2 3 55" xfId="13880"/>
    <cellStyle name="Normal 52 2 3 56" xfId="14131"/>
    <cellStyle name="Normal 52 2 3 57" xfId="14382"/>
    <cellStyle name="Normal 52 2 3 58" xfId="14633"/>
    <cellStyle name="Normal 52 2 3 59" xfId="14884"/>
    <cellStyle name="Normal 52 2 3 6" xfId="1573"/>
    <cellStyle name="Normal 52 2 3 60" xfId="15135"/>
    <cellStyle name="Normal 52 2 3 61" xfId="15385"/>
    <cellStyle name="Normal 52 2 3 62" xfId="15634"/>
    <cellStyle name="Normal 52 2 3 63" xfId="15884"/>
    <cellStyle name="Normal 52 2 3 64" xfId="16140"/>
    <cellStyle name="Normal 52 2 3 65" xfId="16391"/>
    <cellStyle name="Normal 52 2 3 66" xfId="16642"/>
    <cellStyle name="Normal 52 2 3 67" xfId="16893"/>
    <cellStyle name="Normal 52 2 3 68" xfId="17144"/>
    <cellStyle name="Normal 52 2 3 69" xfId="17395"/>
    <cellStyle name="Normal 52 2 3 7" xfId="1826"/>
    <cellStyle name="Normal 52 2 3 70" xfId="17646"/>
    <cellStyle name="Normal 52 2 3 71" xfId="17897"/>
    <cellStyle name="Normal 52 2 3 72" xfId="18148"/>
    <cellStyle name="Normal 52 2 3 73" xfId="18399"/>
    <cellStyle name="Normal 52 2 3 74" xfId="18650"/>
    <cellStyle name="Normal 52 2 3 75" xfId="18901"/>
    <cellStyle name="Normal 52 2 3 76" xfId="19151"/>
    <cellStyle name="Normal 52 2 3 77" xfId="19402"/>
    <cellStyle name="Normal 52 2 3 78" xfId="19653"/>
    <cellStyle name="Normal 52 2 3 79" xfId="19909"/>
    <cellStyle name="Normal 52 2 3 8" xfId="2083"/>
    <cellStyle name="Normal 52 2 3 80" xfId="20161"/>
    <cellStyle name="Normal 52 2 3 81" xfId="20413"/>
    <cellStyle name="Normal 52 2 3 82" xfId="20665"/>
    <cellStyle name="Normal 52 2 3 83" xfId="20915"/>
    <cellStyle name="Normal 52 2 3 84" xfId="21164"/>
    <cellStyle name="Normal 52 2 3 85" xfId="21412"/>
    <cellStyle name="Normal 52 2 3 86" xfId="21656"/>
    <cellStyle name="Normal 52 2 3 87" xfId="21898"/>
    <cellStyle name="Normal 52 2 3 88" xfId="22139"/>
    <cellStyle name="Normal 52 2 3 9" xfId="2334"/>
    <cellStyle name="Normal 52 2 30" xfId="6934"/>
    <cellStyle name="Normal 52 2 31" xfId="7185"/>
    <cellStyle name="Normal 52 2 32" xfId="7436"/>
    <cellStyle name="Normal 52 2 33" xfId="7687"/>
    <cellStyle name="Normal 52 2 34" xfId="7938"/>
    <cellStyle name="Normal 52 2 35" xfId="8189"/>
    <cellStyle name="Normal 52 2 36" xfId="8440"/>
    <cellStyle name="Normal 52 2 37" xfId="8691"/>
    <cellStyle name="Normal 52 2 38" xfId="8942"/>
    <cellStyle name="Normal 52 2 39" xfId="9193"/>
    <cellStyle name="Normal 52 2 4" xfId="394"/>
    <cellStyle name="Normal 52 2 40" xfId="9444"/>
    <cellStyle name="Normal 52 2 41" xfId="9695"/>
    <cellStyle name="Normal 52 2 42" xfId="9946"/>
    <cellStyle name="Normal 52 2 43" xfId="10197"/>
    <cellStyle name="Normal 52 2 44" xfId="10448"/>
    <cellStyle name="Normal 52 2 45" xfId="10699"/>
    <cellStyle name="Normal 52 2 46" xfId="10950"/>
    <cellStyle name="Normal 52 2 47" xfId="11201"/>
    <cellStyle name="Normal 52 2 48" xfId="11452"/>
    <cellStyle name="Normal 52 2 49" xfId="11703"/>
    <cellStyle name="Normal 52 2 5" xfId="643"/>
    <cellStyle name="Normal 52 2 50" xfId="11954"/>
    <cellStyle name="Normal 52 2 51" xfId="12205"/>
    <cellStyle name="Normal 52 2 52" xfId="12456"/>
    <cellStyle name="Normal 52 2 53" xfId="12707"/>
    <cellStyle name="Normal 52 2 54" xfId="12958"/>
    <cellStyle name="Normal 52 2 55" xfId="13209"/>
    <cellStyle name="Normal 52 2 56" xfId="13460"/>
    <cellStyle name="Normal 52 2 57" xfId="13711"/>
    <cellStyle name="Normal 52 2 58" xfId="13962"/>
    <cellStyle name="Normal 52 2 59" xfId="14213"/>
    <cellStyle name="Normal 52 2 6" xfId="896"/>
    <cellStyle name="Normal 52 2 60" xfId="14464"/>
    <cellStyle name="Normal 52 2 61" xfId="14715"/>
    <cellStyle name="Normal 52 2 62" xfId="14965"/>
    <cellStyle name="Normal 52 2 63" xfId="15216"/>
    <cellStyle name="Normal 52 2 64" xfId="15467"/>
    <cellStyle name="Normal 52 2 65" xfId="15714"/>
    <cellStyle name="Normal 52 2 66" xfId="15971"/>
    <cellStyle name="Normal 52 2 67" xfId="16222"/>
    <cellStyle name="Normal 52 2 68" xfId="16473"/>
    <cellStyle name="Normal 52 2 69" xfId="16724"/>
    <cellStyle name="Normal 52 2 7" xfId="1151"/>
    <cellStyle name="Normal 52 2 70" xfId="16975"/>
    <cellStyle name="Normal 52 2 71" xfId="17226"/>
    <cellStyle name="Normal 52 2 72" xfId="17477"/>
    <cellStyle name="Normal 52 2 73" xfId="17728"/>
    <cellStyle name="Normal 52 2 74" xfId="17979"/>
    <cellStyle name="Normal 52 2 75" xfId="18230"/>
    <cellStyle name="Normal 52 2 76" xfId="18481"/>
    <cellStyle name="Normal 52 2 77" xfId="18731"/>
    <cellStyle name="Normal 52 2 78" xfId="18982"/>
    <cellStyle name="Normal 52 2 79" xfId="19233"/>
    <cellStyle name="Normal 52 2 8" xfId="1404"/>
    <cellStyle name="Normal 52 2 80" xfId="19483"/>
    <cellStyle name="Normal 52 2 81" xfId="19739"/>
    <cellStyle name="Normal 52 2 82" xfId="19991"/>
    <cellStyle name="Normal 52 2 83" xfId="20243"/>
    <cellStyle name="Normal 52 2 84" xfId="20495"/>
    <cellStyle name="Normal 52 2 85" xfId="20745"/>
    <cellStyle name="Normal 52 2 86" xfId="20995"/>
    <cellStyle name="Normal 52 2 87" xfId="21246"/>
    <cellStyle name="Normal 52 2 88" xfId="21490"/>
    <cellStyle name="Normal 52 2 89" xfId="21734"/>
    <cellStyle name="Normal 52 2 9" xfId="1657"/>
    <cellStyle name="Normal 52 2 90" xfId="21975"/>
    <cellStyle name="Normal 52 20" xfId="4140"/>
    <cellStyle name="Normal 52 21" xfId="4391"/>
    <cellStyle name="Normal 52 22" xfId="4642"/>
    <cellStyle name="Normal 52 23" xfId="4893"/>
    <cellStyle name="Normal 52 24" xfId="5144"/>
    <cellStyle name="Normal 52 25" xfId="5395"/>
    <cellStyle name="Normal 52 26" xfId="5646"/>
    <cellStyle name="Normal 52 27" xfId="5897"/>
    <cellStyle name="Normal 52 28" xfId="6148"/>
    <cellStyle name="Normal 52 29" xfId="6399"/>
    <cellStyle name="Normal 52 3" xfId="176"/>
    <cellStyle name="Normal 52 3 10" xfId="2476"/>
    <cellStyle name="Normal 52 3 11" xfId="2727"/>
    <cellStyle name="Normal 52 3 12" xfId="2978"/>
    <cellStyle name="Normal 52 3 13" xfId="3229"/>
    <cellStyle name="Normal 52 3 14" xfId="3480"/>
    <cellStyle name="Normal 52 3 15" xfId="3731"/>
    <cellStyle name="Normal 52 3 16" xfId="3982"/>
    <cellStyle name="Normal 52 3 17" xfId="4233"/>
    <cellStyle name="Normal 52 3 18" xfId="4484"/>
    <cellStyle name="Normal 52 3 19" xfId="4735"/>
    <cellStyle name="Normal 52 3 2" xfId="453"/>
    <cellStyle name="Normal 52 3 20" xfId="4986"/>
    <cellStyle name="Normal 52 3 21" xfId="5237"/>
    <cellStyle name="Normal 52 3 22" xfId="5488"/>
    <cellStyle name="Normal 52 3 23" xfId="5739"/>
    <cellStyle name="Normal 52 3 24" xfId="5990"/>
    <cellStyle name="Normal 52 3 25" xfId="6241"/>
    <cellStyle name="Normal 52 3 26" xfId="6492"/>
    <cellStyle name="Normal 52 3 27" xfId="6743"/>
    <cellStyle name="Normal 52 3 28" xfId="6994"/>
    <cellStyle name="Normal 52 3 29" xfId="7245"/>
    <cellStyle name="Normal 52 3 3" xfId="703"/>
    <cellStyle name="Normal 52 3 30" xfId="7496"/>
    <cellStyle name="Normal 52 3 31" xfId="7747"/>
    <cellStyle name="Normal 52 3 32" xfId="7998"/>
    <cellStyle name="Normal 52 3 33" xfId="8249"/>
    <cellStyle name="Normal 52 3 34" xfId="8500"/>
    <cellStyle name="Normal 52 3 35" xfId="8751"/>
    <cellStyle name="Normal 52 3 36" xfId="9002"/>
    <cellStyle name="Normal 52 3 37" xfId="9253"/>
    <cellStyle name="Normal 52 3 38" xfId="9504"/>
    <cellStyle name="Normal 52 3 39" xfId="9755"/>
    <cellStyle name="Normal 52 3 4" xfId="956"/>
    <cellStyle name="Normal 52 3 40" xfId="10006"/>
    <cellStyle name="Normal 52 3 41" xfId="10257"/>
    <cellStyle name="Normal 52 3 42" xfId="10508"/>
    <cellStyle name="Normal 52 3 43" xfId="10759"/>
    <cellStyle name="Normal 52 3 44" xfId="11010"/>
    <cellStyle name="Normal 52 3 45" xfId="11261"/>
    <cellStyle name="Normal 52 3 46" xfId="11512"/>
    <cellStyle name="Normal 52 3 47" xfId="11763"/>
    <cellStyle name="Normal 52 3 48" xfId="12014"/>
    <cellStyle name="Normal 52 3 49" xfId="12265"/>
    <cellStyle name="Normal 52 3 5" xfId="1211"/>
    <cellStyle name="Normal 52 3 50" xfId="12516"/>
    <cellStyle name="Normal 52 3 51" xfId="12767"/>
    <cellStyle name="Normal 52 3 52" xfId="13018"/>
    <cellStyle name="Normal 52 3 53" xfId="13269"/>
    <cellStyle name="Normal 52 3 54" xfId="13520"/>
    <cellStyle name="Normal 52 3 55" xfId="13771"/>
    <cellStyle name="Normal 52 3 56" xfId="14022"/>
    <cellStyle name="Normal 52 3 57" xfId="14273"/>
    <cellStyle name="Normal 52 3 58" xfId="14524"/>
    <cellStyle name="Normal 52 3 59" xfId="14775"/>
    <cellStyle name="Normal 52 3 6" xfId="1464"/>
    <cellStyle name="Normal 52 3 60" xfId="15026"/>
    <cellStyle name="Normal 52 3 61" xfId="15276"/>
    <cellStyle name="Normal 52 3 62" xfId="15527"/>
    <cellStyle name="Normal 52 3 63" xfId="15775"/>
    <cellStyle name="Normal 52 3 64" xfId="16031"/>
    <cellStyle name="Normal 52 3 65" xfId="16282"/>
    <cellStyle name="Normal 52 3 66" xfId="16533"/>
    <cellStyle name="Normal 52 3 67" xfId="16784"/>
    <cellStyle name="Normal 52 3 68" xfId="17035"/>
    <cellStyle name="Normal 52 3 69" xfId="17286"/>
    <cellStyle name="Normal 52 3 7" xfId="1718"/>
    <cellStyle name="Normal 52 3 70" xfId="17537"/>
    <cellStyle name="Normal 52 3 71" xfId="17788"/>
    <cellStyle name="Normal 52 3 72" xfId="18039"/>
    <cellStyle name="Normal 52 3 73" xfId="18290"/>
    <cellStyle name="Normal 52 3 74" xfId="18541"/>
    <cellStyle name="Normal 52 3 75" xfId="18792"/>
    <cellStyle name="Normal 52 3 76" xfId="19042"/>
    <cellStyle name="Normal 52 3 77" xfId="19294"/>
    <cellStyle name="Normal 52 3 78" xfId="19544"/>
    <cellStyle name="Normal 52 3 79" xfId="19800"/>
    <cellStyle name="Normal 52 3 8" xfId="1974"/>
    <cellStyle name="Normal 52 3 80" xfId="20052"/>
    <cellStyle name="Normal 52 3 81" xfId="20304"/>
    <cellStyle name="Normal 52 3 82" xfId="20556"/>
    <cellStyle name="Normal 52 3 83" xfId="20806"/>
    <cellStyle name="Normal 52 3 84" xfId="21056"/>
    <cellStyle name="Normal 52 3 85" xfId="21305"/>
    <cellStyle name="Normal 52 3 86" xfId="21549"/>
    <cellStyle name="Normal 52 3 87" xfId="21793"/>
    <cellStyle name="Normal 52 3 88" xfId="22034"/>
    <cellStyle name="Normal 52 3 9" xfId="2225"/>
    <cellStyle name="Normal 52 30" xfId="6650"/>
    <cellStyle name="Normal 52 31" xfId="6901"/>
    <cellStyle name="Normal 52 32" xfId="7152"/>
    <cellStyle name="Normal 52 33" xfId="7403"/>
    <cellStyle name="Normal 52 34" xfId="7654"/>
    <cellStyle name="Normal 52 35" xfId="7905"/>
    <cellStyle name="Normal 52 36" xfId="8156"/>
    <cellStyle name="Normal 52 37" xfId="8407"/>
    <cellStyle name="Normal 52 38" xfId="8658"/>
    <cellStyle name="Normal 52 39" xfId="8909"/>
    <cellStyle name="Normal 52 4" xfId="252"/>
    <cellStyle name="Normal 52 4 10" xfId="2552"/>
    <cellStyle name="Normal 52 4 11" xfId="2803"/>
    <cellStyle name="Normal 52 4 12" xfId="3054"/>
    <cellStyle name="Normal 52 4 13" xfId="3305"/>
    <cellStyle name="Normal 52 4 14" xfId="3556"/>
    <cellStyle name="Normal 52 4 15" xfId="3807"/>
    <cellStyle name="Normal 52 4 16" xfId="4058"/>
    <cellStyle name="Normal 52 4 17" xfId="4309"/>
    <cellStyle name="Normal 52 4 18" xfId="4560"/>
    <cellStyle name="Normal 52 4 19" xfId="4811"/>
    <cellStyle name="Normal 52 4 2" xfId="528"/>
    <cellStyle name="Normal 52 4 20" xfId="5062"/>
    <cellStyle name="Normal 52 4 21" xfId="5313"/>
    <cellStyle name="Normal 52 4 22" xfId="5564"/>
    <cellStyle name="Normal 52 4 23" xfId="5815"/>
    <cellStyle name="Normal 52 4 24" xfId="6066"/>
    <cellStyle name="Normal 52 4 25" xfId="6317"/>
    <cellStyle name="Normal 52 4 26" xfId="6568"/>
    <cellStyle name="Normal 52 4 27" xfId="6819"/>
    <cellStyle name="Normal 52 4 28" xfId="7070"/>
    <cellStyle name="Normal 52 4 29" xfId="7321"/>
    <cellStyle name="Normal 52 4 3" xfId="778"/>
    <cellStyle name="Normal 52 4 30" xfId="7572"/>
    <cellStyle name="Normal 52 4 31" xfId="7823"/>
    <cellStyle name="Normal 52 4 32" xfId="8074"/>
    <cellStyle name="Normal 52 4 33" xfId="8325"/>
    <cellStyle name="Normal 52 4 34" xfId="8576"/>
    <cellStyle name="Normal 52 4 35" xfId="8827"/>
    <cellStyle name="Normal 52 4 36" xfId="9078"/>
    <cellStyle name="Normal 52 4 37" xfId="9329"/>
    <cellStyle name="Normal 52 4 38" xfId="9580"/>
    <cellStyle name="Normal 52 4 39" xfId="9831"/>
    <cellStyle name="Normal 52 4 4" xfId="1030"/>
    <cellStyle name="Normal 52 4 40" xfId="10082"/>
    <cellStyle name="Normal 52 4 41" xfId="10333"/>
    <cellStyle name="Normal 52 4 42" xfId="10584"/>
    <cellStyle name="Normal 52 4 43" xfId="10835"/>
    <cellStyle name="Normal 52 4 44" xfId="11086"/>
    <cellStyle name="Normal 52 4 45" xfId="11337"/>
    <cellStyle name="Normal 52 4 46" xfId="11588"/>
    <cellStyle name="Normal 52 4 47" xfId="11839"/>
    <cellStyle name="Normal 52 4 48" xfId="12090"/>
    <cellStyle name="Normal 52 4 49" xfId="12341"/>
    <cellStyle name="Normal 52 4 5" xfId="1286"/>
    <cellStyle name="Normal 52 4 50" xfId="12592"/>
    <cellStyle name="Normal 52 4 51" xfId="12843"/>
    <cellStyle name="Normal 52 4 52" xfId="13094"/>
    <cellStyle name="Normal 52 4 53" xfId="13345"/>
    <cellStyle name="Normal 52 4 54" xfId="13596"/>
    <cellStyle name="Normal 52 4 55" xfId="13847"/>
    <cellStyle name="Normal 52 4 56" xfId="14098"/>
    <cellStyle name="Normal 52 4 57" xfId="14349"/>
    <cellStyle name="Normal 52 4 58" xfId="14600"/>
    <cellStyle name="Normal 52 4 59" xfId="14851"/>
    <cellStyle name="Normal 52 4 6" xfId="1540"/>
    <cellStyle name="Normal 52 4 60" xfId="15102"/>
    <cellStyle name="Normal 52 4 61" xfId="15352"/>
    <cellStyle name="Normal 52 4 62" xfId="15602"/>
    <cellStyle name="Normal 52 4 63" xfId="15851"/>
    <cellStyle name="Normal 52 4 64" xfId="16107"/>
    <cellStyle name="Normal 52 4 65" xfId="16358"/>
    <cellStyle name="Normal 52 4 66" xfId="16609"/>
    <cellStyle name="Normal 52 4 67" xfId="16860"/>
    <cellStyle name="Normal 52 4 68" xfId="17111"/>
    <cellStyle name="Normal 52 4 69" xfId="17362"/>
    <cellStyle name="Normal 52 4 7" xfId="1793"/>
    <cellStyle name="Normal 52 4 70" xfId="17613"/>
    <cellStyle name="Normal 52 4 71" xfId="17864"/>
    <cellStyle name="Normal 52 4 72" xfId="18115"/>
    <cellStyle name="Normal 52 4 73" xfId="18366"/>
    <cellStyle name="Normal 52 4 74" xfId="18617"/>
    <cellStyle name="Normal 52 4 75" xfId="18868"/>
    <cellStyle name="Normal 52 4 76" xfId="19118"/>
    <cellStyle name="Normal 52 4 77" xfId="19370"/>
    <cellStyle name="Normal 52 4 78" xfId="19620"/>
    <cellStyle name="Normal 52 4 79" xfId="19876"/>
    <cellStyle name="Normal 52 4 8" xfId="2050"/>
    <cellStyle name="Normal 52 4 80" xfId="20128"/>
    <cellStyle name="Normal 52 4 81" xfId="20380"/>
    <cellStyle name="Normal 52 4 82" xfId="20632"/>
    <cellStyle name="Normal 52 4 83" xfId="20882"/>
    <cellStyle name="Normal 52 4 84" xfId="21132"/>
    <cellStyle name="Normal 52 4 85" xfId="21380"/>
    <cellStyle name="Normal 52 4 86" xfId="21624"/>
    <cellStyle name="Normal 52 4 87" xfId="21867"/>
    <cellStyle name="Normal 52 4 88" xfId="22108"/>
    <cellStyle name="Normal 52 4 9" xfId="2301"/>
    <cellStyle name="Normal 52 40" xfId="9160"/>
    <cellStyle name="Normal 52 41" xfId="9411"/>
    <cellStyle name="Normal 52 42" xfId="9662"/>
    <cellStyle name="Normal 52 43" xfId="9913"/>
    <cellStyle name="Normal 52 44" xfId="10164"/>
    <cellStyle name="Normal 52 45" xfId="10415"/>
    <cellStyle name="Normal 52 46" xfId="10666"/>
    <cellStyle name="Normal 52 47" xfId="10917"/>
    <cellStyle name="Normal 52 48" xfId="11168"/>
    <cellStyle name="Normal 52 49" xfId="11419"/>
    <cellStyle name="Normal 52 5" xfId="361"/>
    <cellStyle name="Normal 52 50" xfId="11670"/>
    <cellStyle name="Normal 52 51" xfId="11921"/>
    <cellStyle name="Normal 52 52" xfId="12172"/>
    <cellStyle name="Normal 52 53" xfId="12423"/>
    <cellStyle name="Normal 52 54" xfId="12674"/>
    <cellStyle name="Normal 52 55" xfId="12925"/>
    <cellStyle name="Normal 52 56" xfId="13176"/>
    <cellStyle name="Normal 52 57" xfId="13427"/>
    <cellStyle name="Normal 52 58" xfId="13678"/>
    <cellStyle name="Normal 52 59" xfId="13929"/>
    <cellStyle name="Normal 52 6" xfId="610"/>
    <cellStyle name="Normal 52 60" xfId="14180"/>
    <cellStyle name="Normal 52 61" xfId="14431"/>
    <cellStyle name="Normal 52 62" xfId="14682"/>
    <cellStyle name="Normal 52 63" xfId="14932"/>
    <cellStyle name="Normal 52 64" xfId="15183"/>
    <cellStyle name="Normal 52 65" xfId="15434"/>
    <cellStyle name="Normal 52 66" xfId="15681"/>
    <cellStyle name="Normal 52 67" xfId="15938"/>
    <cellStyle name="Normal 52 68" xfId="16189"/>
    <cellStyle name="Normal 52 69" xfId="16440"/>
    <cellStyle name="Normal 52 7" xfId="863"/>
    <cellStyle name="Normal 52 70" xfId="16691"/>
    <cellStyle name="Normal 52 71" xfId="16942"/>
    <cellStyle name="Normal 52 72" xfId="17193"/>
    <cellStyle name="Normal 52 73" xfId="17444"/>
    <cellStyle name="Normal 52 74" xfId="17695"/>
    <cellStyle name="Normal 52 75" xfId="17946"/>
    <cellStyle name="Normal 52 76" xfId="18197"/>
    <cellStyle name="Normal 52 77" xfId="18448"/>
    <cellStyle name="Normal 52 78" xfId="18698"/>
    <cellStyle name="Normal 52 79" xfId="18949"/>
    <cellStyle name="Normal 52 8" xfId="1118"/>
    <cellStyle name="Normal 52 80" xfId="19200"/>
    <cellStyle name="Normal 52 81" xfId="19450"/>
    <cellStyle name="Normal 52 82" xfId="19706"/>
    <cellStyle name="Normal 52 83" xfId="19958"/>
    <cellStyle name="Normal 52 84" xfId="20210"/>
    <cellStyle name="Normal 52 85" xfId="20462"/>
    <cellStyle name="Normal 52 86" xfId="20712"/>
    <cellStyle name="Normal 52 87" xfId="20962"/>
    <cellStyle name="Normal 52 88" xfId="21213"/>
    <cellStyle name="Normal 52 89" xfId="21457"/>
    <cellStyle name="Normal 52 9" xfId="1371"/>
    <cellStyle name="Normal 52 90" xfId="21701"/>
    <cellStyle name="Normal 52 91" xfId="21942"/>
    <cellStyle name="Normal 53" xfId="22176"/>
    <cellStyle name="Normal 53 10" xfId="24457"/>
    <cellStyle name="Normal 53 11" xfId="24458"/>
    <cellStyle name="Normal 53 12" xfId="24459"/>
    <cellStyle name="Normal 53 13" xfId="24460"/>
    <cellStyle name="Normal 53 14" xfId="24461"/>
    <cellStyle name="Normal 53 15" xfId="24462"/>
    <cellStyle name="Normal 53 16" xfId="24463"/>
    <cellStyle name="Normal 53 2" xfId="24464"/>
    <cellStyle name="Normal 53 3" xfId="24465"/>
    <cellStyle name="Normal 53 4" xfId="24466"/>
    <cellStyle name="Normal 53 5" xfId="24467"/>
    <cellStyle name="Normal 53 6" xfId="24468"/>
    <cellStyle name="Normal 53 7" xfId="24469"/>
    <cellStyle name="Normal 53 8" xfId="24470"/>
    <cellStyle name="Normal 53 9" xfId="24471"/>
    <cellStyle name="Normal 54" xfId="22174"/>
    <cellStyle name="Normal 54 10" xfId="24472"/>
    <cellStyle name="Normal 54 11" xfId="24473"/>
    <cellStyle name="Normal 54 12" xfId="24474"/>
    <cellStyle name="Normal 54 13" xfId="24475"/>
    <cellStyle name="Normal 54 14" xfId="24476"/>
    <cellStyle name="Normal 54 15" xfId="24477"/>
    <cellStyle name="Normal 54 16" xfId="24478"/>
    <cellStyle name="Normal 54 2" xfId="24479"/>
    <cellStyle name="Normal 54 3" xfId="24480"/>
    <cellStyle name="Normal 54 4" xfId="24481"/>
    <cellStyle name="Normal 54 5" xfId="24482"/>
    <cellStyle name="Normal 54 6" xfId="24483"/>
    <cellStyle name="Normal 54 7" xfId="24484"/>
    <cellStyle name="Normal 54 8" xfId="24485"/>
    <cellStyle name="Normal 54 9" xfId="24486"/>
    <cellStyle name="Normal 55" xfId="22177"/>
    <cellStyle name="Normal 55 10" xfId="24487"/>
    <cellStyle name="Normal 55 11" xfId="24488"/>
    <cellStyle name="Normal 55 12" xfId="24489"/>
    <cellStyle name="Normal 55 13" xfId="24490"/>
    <cellStyle name="Normal 55 14" xfId="24491"/>
    <cellStyle name="Normal 55 15" xfId="24492"/>
    <cellStyle name="Normal 55 16" xfId="24493"/>
    <cellStyle name="Normal 55 2" xfId="24494"/>
    <cellStyle name="Normal 55 3" xfId="24495"/>
    <cellStyle name="Normal 55 4" xfId="24496"/>
    <cellStyle name="Normal 55 5" xfId="24497"/>
    <cellStyle name="Normal 55 6" xfId="24498"/>
    <cellStyle name="Normal 55 7" xfId="24499"/>
    <cellStyle name="Normal 55 8" xfId="24500"/>
    <cellStyle name="Normal 55 9" xfId="24501"/>
    <cellStyle name="Normal 56" xfId="22178"/>
    <cellStyle name="Normal 56 10" xfId="24502"/>
    <cellStyle name="Normal 56 11" xfId="24503"/>
    <cellStyle name="Normal 56 12" xfId="24504"/>
    <cellStyle name="Normal 56 13" xfId="24505"/>
    <cellStyle name="Normal 56 14" xfId="24506"/>
    <cellStyle name="Normal 56 15" xfId="24507"/>
    <cellStyle name="Normal 56 16" xfId="24508"/>
    <cellStyle name="Normal 56 2" xfId="24509"/>
    <cellStyle name="Normal 56 3" xfId="24510"/>
    <cellStyle name="Normal 56 4" xfId="24511"/>
    <cellStyle name="Normal 56 5" xfId="24512"/>
    <cellStyle name="Normal 56 6" xfId="24513"/>
    <cellStyle name="Normal 56 7" xfId="24514"/>
    <cellStyle name="Normal 56 8" xfId="24515"/>
    <cellStyle name="Normal 56 9" xfId="24516"/>
    <cellStyle name="Normal 57" xfId="22220"/>
    <cellStyle name="Normal 57 10" xfId="24517"/>
    <cellStyle name="Normal 57 11" xfId="24518"/>
    <cellStyle name="Normal 57 12" xfId="24519"/>
    <cellStyle name="Normal 57 13" xfId="24520"/>
    <cellStyle name="Normal 57 14" xfId="24521"/>
    <cellStyle name="Normal 57 15" xfId="24522"/>
    <cellStyle name="Normal 57 16" xfId="24523"/>
    <cellStyle name="Normal 57 2" xfId="24524"/>
    <cellStyle name="Normal 57 3" xfId="24525"/>
    <cellStyle name="Normal 57 4" xfId="24526"/>
    <cellStyle name="Normal 57 5" xfId="24527"/>
    <cellStyle name="Normal 57 6" xfId="24528"/>
    <cellStyle name="Normal 57 7" xfId="24529"/>
    <cellStyle name="Normal 57 8" xfId="24530"/>
    <cellStyle name="Normal 57 9" xfId="24531"/>
    <cellStyle name="Normal 58" xfId="83"/>
    <cellStyle name="Normal 58 10" xfId="1625"/>
    <cellStyle name="Normal 58 11" xfId="1882"/>
    <cellStyle name="Normal 58 12" xfId="2133"/>
    <cellStyle name="Normal 58 13" xfId="2384"/>
    <cellStyle name="Normal 58 14" xfId="2635"/>
    <cellStyle name="Normal 58 15" xfId="2886"/>
    <cellStyle name="Normal 58 16" xfId="3137"/>
    <cellStyle name="Normal 58 17" xfId="3388"/>
    <cellStyle name="Normal 58 18" xfId="3639"/>
    <cellStyle name="Normal 58 19" xfId="3890"/>
    <cellStyle name="Normal 58 2" xfId="116"/>
    <cellStyle name="Normal 58 2 10" xfId="1915"/>
    <cellStyle name="Normal 58 2 11" xfId="2166"/>
    <cellStyle name="Normal 58 2 12" xfId="2417"/>
    <cellStyle name="Normal 58 2 13" xfId="2668"/>
    <cellStyle name="Normal 58 2 14" xfId="2919"/>
    <cellStyle name="Normal 58 2 15" xfId="3170"/>
    <cellStyle name="Normal 58 2 16" xfId="3421"/>
    <cellStyle name="Normal 58 2 17" xfId="3672"/>
    <cellStyle name="Normal 58 2 18" xfId="3923"/>
    <cellStyle name="Normal 58 2 19" xfId="4174"/>
    <cellStyle name="Normal 58 2 2" xfId="210"/>
    <cellStyle name="Normal 58 2 2 10" xfId="2510"/>
    <cellStyle name="Normal 58 2 2 11" xfId="2761"/>
    <cellStyle name="Normal 58 2 2 12" xfId="3012"/>
    <cellStyle name="Normal 58 2 2 13" xfId="3263"/>
    <cellStyle name="Normal 58 2 2 14" xfId="3514"/>
    <cellStyle name="Normal 58 2 2 15" xfId="3765"/>
    <cellStyle name="Normal 58 2 2 16" xfId="4016"/>
    <cellStyle name="Normal 58 2 2 17" xfId="4267"/>
    <cellStyle name="Normal 58 2 2 18" xfId="4518"/>
    <cellStyle name="Normal 58 2 2 19" xfId="4769"/>
    <cellStyle name="Normal 58 2 2 2" xfId="487"/>
    <cellStyle name="Normal 58 2 2 20" xfId="5020"/>
    <cellStyle name="Normal 58 2 2 21" xfId="5271"/>
    <cellStyle name="Normal 58 2 2 22" xfId="5522"/>
    <cellStyle name="Normal 58 2 2 23" xfId="5773"/>
    <cellStyle name="Normal 58 2 2 24" xfId="6024"/>
    <cellStyle name="Normal 58 2 2 25" xfId="6275"/>
    <cellStyle name="Normal 58 2 2 26" xfId="6526"/>
    <cellStyle name="Normal 58 2 2 27" xfId="6777"/>
    <cellStyle name="Normal 58 2 2 28" xfId="7028"/>
    <cellStyle name="Normal 58 2 2 29" xfId="7279"/>
    <cellStyle name="Normal 58 2 2 3" xfId="737"/>
    <cellStyle name="Normal 58 2 2 30" xfId="7530"/>
    <cellStyle name="Normal 58 2 2 31" xfId="7781"/>
    <cellStyle name="Normal 58 2 2 32" xfId="8032"/>
    <cellStyle name="Normal 58 2 2 33" xfId="8283"/>
    <cellStyle name="Normal 58 2 2 34" xfId="8534"/>
    <cellStyle name="Normal 58 2 2 35" xfId="8785"/>
    <cellStyle name="Normal 58 2 2 36" xfId="9036"/>
    <cellStyle name="Normal 58 2 2 37" xfId="9287"/>
    <cellStyle name="Normal 58 2 2 38" xfId="9538"/>
    <cellStyle name="Normal 58 2 2 39" xfId="9789"/>
    <cellStyle name="Normal 58 2 2 4" xfId="990"/>
    <cellStyle name="Normal 58 2 2 40" xfId="10040"/>
    <cellStyle name="Normal 58 2 2 41" xfId="10291"/>
    <cellStyle name="Normal 58 2 2 42" xfId="10542"/>
    <cellStyle name="Normal 58 2 2 43" xfId="10793"/>
    <cellStyle name="Normal 58 2 2 44" xfId="11044"/>
    <cellStyle name="Normal 58 2 2 45" xfId="11295"/>
    <cellStyle name="Normal 58 2 2 46" xfId="11546"/>
    <cellStyle name="Normal 58 2 2 47" xfId="11797"/>
    <cellStyle name="Normal 58 2 2 48" xfId="12048"/>
    <cellStyle name="Normal 58 2 2 49" xfId="12299"/>
    <cellStyle name="Normal 58 2 2 5" xfId="1245"/>
    <cellStyle name="Normal 58 2 2 50" xfId="12550"/>
    <cellStyle name="Normal 58 2 2 51" xfId="12801"/>
    <cellStyle name="Normal 58 2 2 52" xfId="13052"/>
    <cellStyle name="Normal 58 2 2 53" xfId="13303"/>
    <cellStyle name="Normal 58 2 2 54" xfId="13554"/>
    <cellStyle name="Normal 58 2 2 55" xfId="13805"/>
    <cellStyle name="Normal 58 2 2 56" xfId="14056"/>
    <cellStyle name="Normal 58 2 2 57" xfId="14307"/>
    <cellStyle name="Normal 58 2 2 58" xfId="14558"/>
    <cellStyle name="Normal 58 2 2 59" xfId="14809"/>
    <cellStyle name="Normal 58 2 2 6" xfId="1498"/>
    <cellStyle name="Normal 58 2 2 60" xfId="15060"/>
    <cellStyle name="Normal 58 2 2 61" xfId="15310"/>
    <cellStyle name="Normal 58 2 2 62" xfId="15561"/>
    <cellStyle name="Normal 58 2 2 63" xfId="15809"/>
    <cellStyle name="Normal 58 2 2 64" xfId="16065"/>
    <cellStyle name="Normal 58 2 2 65" xfId="16316"/>
    <cellStyle name="Normal 58 2 2 66" xfId="16567"/>
    <cellStyle name="Normal 58 2 2 67" xfId="16818"/>
    <cellStyle name="Normal 58 2 2 68" xfId="17069"/>
    <cellStyle name="Normal 58 2 2 69" xfId="17320"/>
    <cellStyle name="Normal 58 2 2 7" xfId="1752"/>
    <cellStyle name="Normal 58 2 2 70" xfId="17571"/>
    <cellStyle name="Normal 58 2 2 71" xfId="17822"/>
    <cellStyle name="Normal 58 2 2 72" xfId="18073"/>
    <cellStyle name="Normal 58 2 2 73" xfId="18324"/>
    <cellStyle name="Normal 58 2 2 74" xfId="18575"/>
    <cellStyle name="Normal 58 2 2 75" xfId="18826"/>
    <cellStyle name="Normal 58 2 2 76" xfId="19076"/>
    <cellStyle name="Normal 58 2 2 77" xfId="19328"/>
    <cellStyle name="Normal 58 2 2 78" xfId="19578"/>
    <cellStyle name="Normal 58 2 2 79" xfId="19834"/>
    <cellStyle name="Normal 58 2 2 8" xfId="2008"/>
    <cellStyle name="Normal 58 2 2 80" xfId="20086"/>
    <cellStyle name="Normal 58 2 2 81" xfId="20338"/>
    <cellStyle name="Normal 58 2 2 82" xfId="20590"/>
    <cellStyle name="Normal 58 2 2 83" xfId="20840"/>
    <cellStyle name="Normal 58 2 2 84" xfId="21090"/>
    <cellStyle name="Normal 58 2 2 85" xfId="21339"/>
    <cellStyle name="Normal 58 2 2 86" xfId="21583"/>
    <cellStyle name="Normal 58 2 2 87" xfId="21827"/>
    <cellStyle name="Normal 58 2 2 88" xfId="22068"/>
    <cellStyle name="Normal 58 2 2 9" xfId="2259"/>
    <cellStyle name="Normal 58 2 20" xfId="4425"/>
    <cellStyle name="Normal 58 2 21" xfId="4676"/>
    <cellStyle name="Normal 58 2 22" xfId="4927"/>
    <cellStyle name="Normal 58 2 23" xfId="5178"/>
    <cellStyle name="Normal 58 2 24" xfId="5429"/>
    <cellStyle name="Normal 58 2 25" xfId="5680"/>
    <cellStyle name="Normal 58 2 26" xfId="5931"/>
    <cellStyle name="Normal 58 2 27" xfId="6182"/>
    <cellStyle name="Normal 58 2 28" xfId="6433"/>
    <cellStyle name="Normal 58 2 29" xfId="6684"/>
    <cellStyle name="Normal 58 2 3" xfId="286"/>
    <cellStyle name="Normal 58 2 3 10" xfId="2586"/>
    <cellStyle name="Normal 58 2 3 11" xfId="2837"/>
    <cellStyle name="Normal 58 2 3 12" xfId="3088"/>
    <cellStyle name="Normal 58 2 3 13" xfId="3339"/>
    <cellStyle name="Normal 58 2 3 14" xfId="3590"/>
    <cellStyle name="Normal 58 2 3 15" xfId="3841"/>
    <cellStyle name="Normal 58 2 3 16" xfId="4092"/>
    <cellStyle name="Normal 58 2 3 17" xfId="4343"/>
    <cellStyle name="Normal 58 2 3 18" xfId="4594"/>
    <cellStyle name="Normal 58 2 3 19" xfId="4845"/>
    <cellStyle name="Normal 58 2 3 2" xfId="561"/>
    <cellStyle name="Normal 58 2 3 20" xfId="5096"/>
    <cellStyle name="Normal 58 2 3 21" xfId="5347"/>
    <cellStyle name="Normal 58 2 3 22" xfId="5598"/>
    <cellStyle name="Normal 58 2 3 23" xfId="5849"/>
    <cellStyle name="Normal 58 2 3 24" xfId="6100"/>
    <cellStyle name="Normal 58 2 3 25" xfId="6351"/>
    <cellStyle name="Normal 58 2 3 26" xfId="6602"/>
    <cellStyle name="Normal 58 2 3 27" xfId="6853"/>
    <cellStyle name="Normal 58 2 3 28" xfId="7104"/>
    <cellStyle name="Normal 58 2 3 29" xfId="7355"/>
    <cellStyle name="Normal 58 2 3 3" xfId="811"/>
    <cellStyle name="Normal 58 2 3 30" xfId="7606"/>
    <cellStyle name="Normal 58 2 3 31" xfId="7857"/>
    <cellStyle name="Normal 58 2 3 32" xfId="8108"/>
    <cellStyle name="Normal 58 2 3 33" xfId="8359"/>
    <cellStyle name="Normal 58 2 3 34" xfId="8610"/>
    <cellStyle name="Normal 58 2 3 35" xfId="8861"/>
    <cellStyle name="Normal 58 2 3 36" xfId="9112"/>
    <cellStyle name="Normal 58 2 3 37" xfId="9363"/>
    <cellStyle name="Normal 58 2 3 38" xfId="9614"/>
    <cellStyle name="Normal 58 2 3 39" xfId="9865"/>
    <cellStyle name="Normal 58 2 3 4" xfId="1063"/>
    <cellStyle name="Normal 58 2 3 40" xfId="10116"/>
    <cellStyle name="Normal 58 2 3 41" xfId="10367"/>
    <cellStyle name="Normal 58 2 3 42" xfId="10618"/>
    <cellStyle name="Normal 58 2 3 43" xfId="10869"/>
    <cellStyle name="Normal 58 2 3 44" xfId="11120"/>
    <cellStyle name="Normal 58 2 3 45" xfId="11371"/>
    <cellStyle name="Normal 58 2 3 46" xfId="11622"/>
    <cellStyle name="Normal 58 2 3 47" xfId="11873"/>
    <cellStyle name="Normal 58 2 3 48" xfId="12124"/>
    <cellStyle name="Normal 58 2 3 49" xfId="12375"/>
    <cellStyle name="Normal 58 2 3 5" xfId="1319"/>
    <cellStyle name="Normal 58 2 3 50" xfId="12626"/>
    <cellStyle name="Normal 58 2 3 51" xfId="12877"/>
    <cellStyle name="Normal 58 2 3 52" xfId="13128"/>
    <cellStyle name="Normal 58 2 3 53" xfId="13379"/>
    <cellStyle name="Normal 58 2 3 54" xfId="13630"/>
    <cellStyle name="Normal 58 2 3 55" xfId="13881"/>
    <cellStyle name="Normal 58 2 3 56" xfId="14132"/>
    <cellStyle name="Normal 58 2 3 57" xfId="14383"/>
    <cellStyle name="Normal 58 2 3 58" xfId="14634"/>
    <cellStyle name="Normal 58 2 3 59" xfId="14885"/>
    <cellStyle name="Normal 58 2 3 6" xfId="1574"/>
    <cellStyle name="Normal 58 2 3 60" xfId="15136"/>
    <cellStyle name="Normal 58 2 3 61" xfId="15386"/>
    <cellStyle name="Normal 58 2 3 62" xfId="15635"/>
    <cellStyle name="Normal 58 2 3 63" xfId="15885"/>
    <cellStyle name="Normal 58 2 3 64" xfId="16141"/>
    <cellStyle name="Normal 58 2 3 65" xfId="16392"/>
    <cellStyle name="Normal 58 2 3 66" xfId="16643"/>
    <cellStyle name="Normal 58 2 3 67" xfId="16894"/>
    <cellStyle name="Normal 58 2 3 68" xfId="17145"/>
    <cellStyle name="Normal 58 2 3 69" xfId="17396"/>
    <cellStyle name="Normal 58 2 3 7" xfId="1827"/>
    <cellStyle name="Normal 58 2 3 70" xfId="17647"/>
    <cellStyle name="Normal 58 2 3 71" xfId="17898"/>
    <cellStyle name="Normal 58 2 3 72" xfId="18149"/>
    <cellStyle name="Normal 58 2 3 73" xfId="18400"/>
    <cellStyle name="Normal 58 2 3 74" xfId="18651"/>
    <cellStyle name="Normal 58 2 3 75" xfId="18902"/>
    <cellStyle name="Normal 58 2 3 76" xfId="19152"/>
    <cellStyle name="Normal 58 2 3 77" xfId="19403"/>
    <cellStyle name="Normal 58 2 3 78" xfId="19654"/>
    <cellStyle name="Normal 58 2 3 79" xfId="19910"/>
    <cellStyle name="Normal 58 2 3 8" xfId="2084"/>
    <cellStyle name="Normal 58 2 3 80" xfId="20162"/>
    <cellStyle name="Normal 58 2 3 81" xfId="20414"/>
    <cellStyle name="Normal 58 2 3 82" xfId="20666"/>
    <cellStyle name="Normal 58 2 3 83" xfId="20916"/>
    <cellStyle name="Normal 58 2 3 84" xfId="21165"/>
    <cellStyle name="Normal 58 2 3 85" xfId="21413"/>
    <cellStyle name="Normal 58 2 3 86" xfId="21657"/>
    <cellStyle name="Normal 58 2 3 87" xfId="21899"/>
    <cellStyle name="Normal 58 2 3 88" xfId="22140"/>
    <cellStyle name="Normal 58 2 3 9" xfId="2335"/>
    <cellStyle name="Normal 58 2 30" xfId="6935"/>
    <cellStyle name="Normal 58 2 31" xfId="7186"/>
    <cellStyle name="Normal 58 2 32" xfId="7437"/>
    <cellStyle name="Normal 58 2 33" xfId="7688"/>
    <cellStyle name="Normal 58 2 34" xfId="7939"/>
    <cellStyle name="Normal 58 2 35" xfId="8190"/>
    <cellStyle name="Normal 58 2 36" xfId="8441"/>
    <cellStyle name="Normal 58 2 37" xfId="8692"/>
    <cellStyle name="Normal 58 2 38" xfId="8943"/>
    <cellStyle name="Normal 58 2 39" xfId="9194"/>
    <cellStyle name="Normal 58 2 4" xfId="395"/>
    <cellStyle name="Normal 58 2 40" xfId="9445"/>
    <cellStyle name="Normal 58 2 41" xfId="9696"/>
    <cellStyle name="Normal 58 2 42" xfId="9947"/>
    <cellStyle name="Normal 58 2 43" xfId="10198"/>
    <cellStyle name="Normal 58 2 44" xfId="10449"/>
    <cellStyle name="Normal 58 2 45" xfId="10700"/>
    <cellStyle name="Normal 58 2 46" xfId="10951"/>
    <cellStyle name="Normal 58 2 47" xfId="11202"/>
    <cellStyle name="Normal 58 2 48" xfId="11453"/>
    <cellStyle name="Normal 58 2 49" xfId="11704"/>
    <cellStyle name="Normal 58 2 5" xfId="644"/>
    <cellStyle name="Normal 58 2 50" xfId="11955"/>
    <cellStyle name="Normal 58 2 51" xfId="12206"/>
    <cellStyle name="Normal 58 2 52" xfId="12457"/>
    <cellStyle name="Normal 58 2 53" xfId="12708"/>
    <cellStyle name="Normal 58 2 54" xfId="12959"/>
    <cellStyle name="Normal 58 2 55" xfId="13210"/>
    <cellStyle name="Normal 58 2 56" xfId="13461"/>
    <cellStyle name="Normal 58 2 57" xfId="13712"/>
    <cellStyle name="Normal 58 2 58" xfId="13963"/>
    <cellStyle name="Normal 58 2 59" xfId="14214"/>
    <cellStyle name="Normal 58 2 6" xfId="897"/>
    <cellStyle name="Normal 58 2 60" xfId="14465"/>
    <cellStyle name="Normal 58 2 61" xfId="14716"/>
    <cellStyle name="Normal 58 2 62" xfId="14966"/>
    <cellStyle name="Normal 58 2 63" xfId="15217"/>
    <cellStyle name="Normal 58 2 64" xfId="15468"/>
    <cellStyle name="Normal 58 2 65" xfId="15715"/>
    <cellStyle name="Normal 58 2 66" xfId="15972"/>
    <cellStyle name="Normal 58 2 67" xfId="16223"/>
    <cellStyle name="Normal 58 2 68" xfId="16474"/>
    <cellStyle name="Normal 58 2 69" xfId="16725"/>
    <cellStyle name="Normal 58 2 7" xfId="1152"/>
    <cellStyle name="Normal 58 2 70" xfId="16976"/>
    <cellStyle name="Normal 58 2 71" xfId="17227"/>
    <cellStyle name="Normal 58 2 72" xfId="17478"/>
    <cellStyle name="Normal 58 2 73" xfId="17729"/>
    <cellStyle name="Normal 58 2 74" xfId="17980"/>
    <cellStyle name="Normal 58 2 75" xfId="18231"/>
    <cellStyle name="Normal 58 2 76" xfId="18482"/>
    <cellStyle name="Normal 58 2 77" xfId="18732"/>
    <cellStyle name="Normal 58 2 78" xfId="18983"/>
    <cellStyle name="Normal 58 2 79" xfId="19234"/>
    <cellStyle name="Normal 58 2 8" xfId="1405"/>
    <cellStyle name="Normal 58 2 80" xfId="19484"/>
    <cellStyle name="Normal 58 2 81" xfId="19740"/>
    <cellStyle name="Normal 58 2 82" xfId="19992"/>
    <cellStyle name="Normal 58 2 83" xfId="20244"/>
    <cellStyle name="Normal 58 2 84" xfId="20496"/>
    <cellStyle name="Normal 58 2 85" xfId="20746"/>
    <cellStyle name="Normal 58 2 86" xfId="20996"/>
    <cellStyle name="Normal 58 2 87" xfId="21247"/>
    <cellStyle name="Normal 58 2 88" xfId="21491"/>
    <cellStyle name="Normal 58 2 89" xfId="21735"/>
    <cellStyle name="Normal 58 2 9" xfId="1658"/>
    <cellStyle name="Normal 58 2 90" xfId="21976"/>
    <cellStyle name="Normal 58 20" xfId="4141"/>
    <cellStyle name="Normal 58 21" xfId="4392"/>
    <cellStyle name="Normal 58 22" xfId="4643"/>
    <cellStyle name="Normal 58 23" xfId="4894"/>
    <cellStyle name="Normal 58 24" xfId="5145"/>
    <cellStyle name="Normal 58 25" xfId="5396"/>
    <cellStyle name="Normal 58 26" xfId="5647"/>
    <cellStyle name="Normal 58 27" xfId="5898"/>
    <cellStyle name="Normal 58 28" xfId="6149"/>
    <cellStyle name="Normal 58 29" xfId="6400"/>
    <cellStyle name="Normal 58 3" xfId="177"/>
    <cellStyle name="Normal 58 3 10" xfId="2477"/>
    <cellStyle name="Normal 58 3 11" xfId="2728"/>
    <cellStyle name="Normal 58 3 12" xfId="2979"/>
    <cellStyle name="Normal 58 3 13" xfId="3230"/>
    <cellStyle name="Normal 58 3 14" xfId="3481"/>
    <cellStyle name="Normal 58 3 15" xfId="3732"/>
    <cellStyle name="Normal 58 3 16" xfId="3983"/>
    <cellStyle name="Normal 58 3 17" xfId="4234"/>
    <cellStyle name="Normal 58 3 18" xfId="4485"/>
    <cellStyle name="Normal 58 3 19" xfId="4736"/>
    <cellStyle name="Normal 58 3 2" xfId="454"/>
    <cellStyle name="Normal 58 3 20" xfId="4987"/>
    <cellStyle name="Normal 58 3 21" xfId="5238"/>
    <cellStyle name="Normal 58 3 22" xfId="5489"/>
    <cellStyle name="Normal 58 3 23" xfId="5740"/>
    <cellStyle name="Normal 58 3 24" xfId="5991"/>
    <cellStyle name="Normal 58 3 25" xfId="6242"/>
    <cellStyle name="Normal 58 3 26" xfId="6493"/>
    <cellStyle name="Normal 58 3 27" xfId="6744"/>
    <cellStyle name="Normal 58 3 28" xfId="6995"/>
    <cellStyle name="Normal 58 3 29" xfId="7246"/>
    <cellStyle name="Normal 58 3 3" xfId="704"/>
    <cellStyle name="Normal 58 3 30" xfId="7497"/>
    <cellStyle name="Normal 58 3 31" xfId="7748"/>
    <cellStyle name="Normal 58 3 32" xfId="7999"/>
    <cellStyle name="Normal 58 3 33" xfId="8250"/>
    <cellStyle name="Normal 58 3 34" xfId="8501"/>
    <cellStyle name="Normal 58 3 35" xfId="8752"/>
    <cellStyle name="Normal 58 3 36" xfId="9003"/>
    <cellStyle name="Normal 58 3 37" xfId="9254"/>
    <cellStyle name="Normal 58 3 38" xfId="9505"/>
    <cellStyle name="Normal 58 3 39" xfId="9756"/>
    <cellStyle name="Normal 58 3 4" xfId="957"/>
    <cellStyle name="Normal 58 3 40" xfId="10007"/>
    <cellStyle name="Normal 58 3 41" xfId="10258"/>
    <cellStyle name="Normal 58 3 42" xfId="10509"/>
    <cellStyle name="Normal 58 3 43" xfId="10760"/>
    <cellStyle name="Normal 58 3 44" xfId="11011"/>
    <cellStyle name="Normal 58 3 45" xfId="11262"/>
    <cellStyle name="Normal 58 3 46" xfId="11513"/>
    <cellStyle name="Normal 58 3 47" xfId="11764"/>
    <cellStyle name="Normal 58 3 48" xfId="12015"/>
    <cellStyle name="Normal 58 3 49" xfId="12266"/>
    <cellStyle name="Normal 58 3 5" xfId="1212"/>
    <cellStyle name="Normal 58 3 50" xfId="12517"/>
    <cellStyle name="Normal 58 3 51" xfId="12768"/>
    <cellStyle name="Normal 58 3 52" xfId="13019"/>
    <cellStyle name="Normal 58 3 53" xfId="13270"/>
    <cellStyle name="Normal 58 3 54" xfId="13521"/>
    <cellStyle name="Normal 58 3 55" xfId="13772"/>
    <cellStyle name="Normal 58 3 56" xfId="14023"/>
    <cellStyle name="Normal 58 3 57" xfId="14274"/>
    <cellStyle name="Normal 58 3 58" xfId="14525"/>
    <cellStyle name="Normal 58 3 59" xfId="14776"/>
    <cellStyle name="Normal 58 3 6" xfId="1465"/>
    <cellStyle name="Normal 58 3 60" xfId="15027"/>
    <cellStyle name="Normal 58 3 61" xfId="15277"/>
    <cellStyle name="Normal 58 3 62" xfId="15528"/>
    <cellStyle name="Normal 58 3 63" xfId="15776"/>
    <cellStyle name="Normal 58 3 64" xfId="16032"/>
    <cellStyle name="Normal 58 3 65" xfId="16283"/>
    <cellStyle name="Normal 58 3 66" xfId="16534"/>
    <cellStyle name="Normal 58 3 67" xfId="16785"/>
    <cellStyle name="Normal 58 3 68" xfId="17036"/>
    <cellStyle name="Normal 58 3 69" xfId="17287"/>
    <cellStyle name="Normal 58 3 7" xfId="1719"/>
    <cellStyle name="Normal 58 3 70" xfId="17538"/>
    <cellStyle name="Normal 58 3 71" xfId="17789"/>
    <cellStyle name="Normal 58 3 72" xfId="18040"/>
    <cellStyle name="Normal 58 3 73" xfId="18291"/>
    <cellStyle name="Normal 58 3 74" xfId="18542"/>
    <cellStyle name="Normal 58 3 75" xfId="18793"/>
    <cellStyle name="Normal 58 3 76" xfId="19043"/>
    <cellStyle name="Normal 58 3 77" xfId="19295"/>
    <cellStyle name="Normal 58 3 78" xfId="19545"/>
    <cellStyle name="Normal 58 3 79" xfId="19801"/>
    <cellStyle name="Normal 58 3 8" xfId="1975"/>
    <cellStyle name="Normal 58 3 80" xfId="20053"/>
    <cellStyle name="Normal 58 3 81" xfId="20305"/>
    <cellStyle name="Normal 58 3 82" xfId="20557"/>
    <cellStyle name="Normal 58 3 83" xfId="20807"/>
    <cellStyle name="Normal 58 3 84" xfId="21057"/>
    <cellStyle name="Normal 58 3 85" xfId="21306"/>
    <cellStyle name="Normal 58 3 86" xfId="21550"/>
    <cellStyle name="Normal 58 3 87" xfId="21794"/>
    <cellStyle name="Normal 58 3 88" xfId="22035"/>
    <cellStyle name="Normal 58 3 9" xfId="2226"/>
    <cellStyle name="Normal 58 30" xfId="6651"/>
    <cellStyle name="Normal 58 31" xfId="6902"/>
    <cellStyle name="Normal 58 32" xfId="7153"/>
    <cellStyle name="Normal 58 33" xfId="7404"/>
    <cellStyle name="Normal 58 34" xfId="7655"/>
    <cellStyle name="Normal 58 35" xfId="7906"/>
    <cellStyle name="Normal 58 36" xfId="8157"/>
    <cellStyle name="Normal 58 37" xfId="8408"/>
    <cellStyle name="Normal 58 38" xfId="8659"/>
    <cellStyle name="Normal 58 39" xfId="8910"/>
    <cellStyle name="Normal 58 4" xfId="253"/>
    <cellStyle name="Normal 58 4 10" xfId="2553"/>
    <cellStyle name="Normal 58 4 11" xfId="2804"/>
    <cellStyle name="Normal 58 4 12" xfId="3055"/>
    <cellStyle name="Normal 58 4 13" xfId="3306"/>
    <cellStyle name="Normal 58 4 14" xfId="3557"/>
    <cellStyle name="Normal 58 4 15" xfId="3808"/>
    <cellStyle name="Normal 58 4 16" xfId="4059"/>
    <cellStyle name="Normal 58 4 17" xfId="4310"/>
    <cellStyle name="Normal 58 4 18" xfId="4561"/>
    <cellStyle name="Normal 58 4 19" xfId="4812"/>
    <cellStyle name="Normal 58 4 2" xfId="529"/>
    <cellStyle name="Normal 58 4 20" xfId="5063"/>
    <cellStyle name="Normal 58 4 21" xfId="5314"/>
    <cellStyle name="Normal 58 4 22" xfId="5565"/>
    <cellStyle name="Normal 58 4 23" xfId="5816"/>
    <cellStyle name="Normal 58 4 24" xfId="6067"/>
    <cellStyle name="Normal 58 4 25" xfId="6318"/>
    <cellStyle name="Normal 58 4 26" xfId="6569"/>
    <cellStyle name="Normal 58 4 27" xfId="6820"/>
    <cellStyle name="Normal 58 4 28" xfId="7071"/>
    <cellStyle name="Normal 58 4 29" xfId="7322"/>
    <cellStyle name="Normal 58 4 3" xfId="779"/>
    <cellStyle name="Normal 58 4 30" xfId="7573"/>
    <cellStyle name="Normal 58 4 31" xfId="7824"/>
    <cellStyle name="Normal 58 4 32" xfId="8075"/>
    <cellStyle name="Normal 58 4 33" xfId="8326"/>
    <cellStyle name="Normal 58 4 34" xfId="8577"/>
    <cellStyle name="Normal 58 4 35" xfId="8828"/>
    <cellStyle name="Normal 58 4 36" xfId="9079"/>
    <cellStyle name="Normal 58 4 37" xfId="9330"/>
    <cellStyle name="Normal 58 4 38" xfId="9581"/>
    <cellStyle name="Normal 58 4 39" xfId="9832"/>
    <cellStyle name="Normal 58 4 4" xfId="1031"/>
    <cellStyle name="Normal 58 4 40" xfId="10083"/>
    <cellStyle name="Normal 58 4 41" xfId="10334"/>
    <cellStyle name="Normal 58 4 42" xfId="10585"/>
    <cellStyle name="Normal 58 4 43" xfId="10836"/>
    <cellStyle name="Normal 58 4 44" xfId="11087"/>
    <cellStyle name="Normal 58 4 45" xfId="11338"/>
    <cellStyle name="Normal 58 4 46" xfId="11589"/>
    <cellStyle name="Normal 58 4 47" xfId="11840"/>
    <cellStyle name="Normal 58 4 48" xfId="12091"/>
    <cellStyle name="Normal 58 4 49" xfId="12342"/>
    <cellStyle name="Normal 58 4 5" xfId="1287"/>
    <cellStyle name="Normal 58 4 50" xfId="12593"/>
    <cellStyle name="Normal 58 4 51" xfId="12844"/>
    <cellStyle name="Normal 58 4 52" xfId="13095"/>
    <cellStyle name="Normal 58 4 53" xfId="13346"/>
    <cellStyle name="Normal 58 4 54" xfId="13597"/>
    <cellStyle name="Normal 58 4 55" xfId="13848"/>
    <cellStyle name="Normal 58 4 56" xfId="14099"/>
    <cellStyle name="Normal 58 4 57" xfId="14350"/>
    <cellStyle name="Normal 58 4 58" xfId="14601"/>
    <cellStyle name="Normal 58 4 59" xfId="14852"/>
    <cellStyle name="Normal 58 4 6" xfId="1541"/>
    <cellStyle name="Normal 58 4 60" xfId="15103"/>
    <cellStyle name="Normal 58 4 61" xfId="15353"/>
    <cellStyle name="Normal 58 4 62" xfId="15603"/>
    <cellStyle name="Normal 58 4 63" xfId="15852"/>
    <cellStyle name="Normal 58 4 64" xfId="16108"/>
    <cellStyle name="Normal 58 4 65" xfId="16359"/>
    <cellStyle name="Normal 58 4 66" xfId="16610"/>
    <cellStyle name="Normal 58 4 67" xfId="16861"/>
    <cellStyle name="Normal 58 4 68" xfId="17112"/>
    <cellStyle name="Normal 58 4 69" xfId="17363"/>
    <cellStyle name="Normal 58 4 7" xfId="1794"/>
    <cellStyle name="Normal 58 4 70" xfId="17614"/>
    <cellStyle name="Normal 58 4 71" xfId="17865"/>
    <cellStyle name="Normal 58 4 72" xfId="18116"/>
    <cellStyle name="Normal 58 4 73" xfId="18367"/>
    <cellStyle name="Normal 58 4 74" xfId="18618"/>
    <cellStyle name="Normal 58 4 75" xfId="18869"/>
    <cellStyle name="Normal 58 4 76" xfId="19119"/>
    <cellStyle name="Normal 58 4 77" xfId="19371"/>
    <cellStyle name="Normal 58 4 78" xfId="19621"/>
    <cellStyle name="Normal 58 4 79" xfId="19877"/>
    <cellStyle name="Normal 58 4 8" xfId="2051"/>
    <cellStyle name="Normal 58 4 80" xfId="20129"/>
    <cellStyle name="Normal 58 4 81" xfId="20381"/>
    <cellStyle name="Normal 58 4 82" xfId="20633"/>
    <cellStyle name="Normal 58 4 83" xfId="20883"/>
    <cellStyle name="Normal 58 4 84" xfId="21133"/>
    <cellStyle name="Normal 58 4 85" xfId="21381"/>
    <cellStyle name="Normal 58 4 86" xfId="21625"/>
    <cellStyle name="Normal 58 4 87" xfId="21868"/>
    <cellStyle name="Normal 58 4 88" xfId="22109"/>
    <cellStyle name="Normal 58 4 9" xfId="2302"/>
    <cellStyle name="Normal 58 40" xfId="9161"/>
    <cellStyle name="Normal 58 41" xfId="9412"/>
    <cellStyle name="Normal 58 42" xfId="9663"/>
    <cellStyle name="Normal 58 43" xfId="9914"/>
    <cellStyle name="Normal 58 44" xfId="10165"/>
    <cellStyle name="Normal 58 45" xfId="10416"/>
    <cellStyle name="Normal 58 46" xfId="10667"/>
    <cellStyle name="Normal 58 47" xfId="10918"/>
    <cellStyle name="Normal 58 48" xfId="11169"/>
    <cellStyle name="Normal 58 49" xfId="11420"/>
    <cellStyle name="Normal 58 5" xfId="362"/>
    <cellStyle name="Normal 58 50" xfId="11671"/>
    <cellStyle name="Normal 58 51" xfId="11922"/>
    <cellStyle name="Normal 58 52" xfId="12173"/>
    <cellStyle name="Normal 58 53" xfId="12424"/>
    <cellStyle name="Normal 58 54" xfId="12675"/>
    <cellStyle name="Normal 58 55" xfId="12926"/>
    <cellStyle name="Normal 58 56" xfId="13177"/>
    <cellStyle name="Normal 58 57" xfId="13428"/>
    <cellStyle name="Normal 58 58" xfId="13679"/>
    <cellStyle name="Normal 58 59" xfId="13930"/>
    <cellStyle name="Normal 58 6" xfId="611"/>
    <cellStyle name="Normal 58 60" xfId="14181"/>
    <cellStyle name="Normal 58 61" xfId="14432"/>
    <cellStyle name="Normal 58 62" xfId="14683"/>
    <cellStyle name="Normal 58 63" xfId="14933"/>
    <cellStyle name="Normal 58 64" xfId="15184"/>
    <cellStyle name="Normal 58 65" xfId="15435"/>
    <cellStyle name="Normal 58 66" xfId="15682"/>
    <cellStyle name="Normal 58 67" xfId="15939"/>
    <cellStyle name="Normal 58 68" xfId="16190"/>
    <cellStyle name="Normal 58 69" xfId="16441"/>
    <cellStyle name="Normal 58 7" xfId="864"/>
    <cellStyle name="Normal 58 70" xfId="16692"/>
    <cellStyle name="Normal 58 71" xfId="16943"/>
    <cellStyle name="Normal 58 72" xfId="17194"/>
    <cellStyle name="Normal 58 73" xfId="17445"/>
    <cellStyle name="Normal 58 74" xfId="17696"/>
    <cellStyle name="Normal 58 75" xfId="17947"/>
    <cellStyle name="Normal 58 76" xfId="18198"/>
    <cellStyle name="Normal 58 77" xfId="18449"/>
    <cellStyle name="Normal 58 78" xfId="18699"/>
    <cellStyle name="Normal 58 79" xfId="18950"/>
    <cellStyle name="Normal 58 8" xfId="1119"/>
    <cellStyle name="Normal 58 80" xfId="19201"/>
    <cellStyle name="Normal 58 81" xfId="19451"/>
    <cellStyle name="Normal 58 82" xfId="19707"/>
    <cellStyle name="Normal 58 83" xfId="19959"/>
    <cellStyle name="Normal 58 84" xfId="20211"/>
    <cellStyle name="Normal 58 85" xfId="20463"/>
    <cellStyle name="Normal 58 86" xfId="20713"/>
    <cellStyle name="Normal 58 87" xfId="20963"/>
    <cellStyle name="Normal 58 88" xfId="21214"/>
    <cellStyle name="Normal 58 89" xfId="21458"/>
    <cellStyle name="Normal 58 9" xfId="1372"/>
    <cellStyle name="Normal 58 90" xfId="21702"/>
    <cellStyle name="Normal 58 91" xfId="21943"/>
    <cellStyle name="Normal 59" xfId="22179"/>
    <cellStyle name="Normal 59 10" xfId="24532"/>
    <cellStyle name="Normal 59 11" xfId="24533"/>
    <cellStyle name="Normal 59 12" xfId="24534"/>
    <cellStyle name="Normal 59 13" xfId="24535"/>
    <cellStyle name="Normal 59 14" xfId="24536"/>
    <cellStyle name="Normal 59 15" xfId="24537"/>
    <cellStyle name="Normal 59 16" xfId="24538"/>
    <cellStyle name="Normal 59 2" xfId="24539"/>
    <cellStyle name="Normal 59 3" xfId="24540"/>
    <cellStyle name="Normal 59 4" xfId="24541"/>
    <cellStyle name="Normal 59 5" xfId="24542"/>
    <cellStyle name="Normal 59 6" xfId="24543"/>
    <cellStyle name="Normal 59 7" xfId="24544"/>
    <cellStyle name="Normal 59 8" xfId="24545"/>
    <cellStyle name="Normal 59 9" xfId="24546"/>
    <cellStyle name="Normal 6" xfId="25"/>
    <cellStyle name="Normal 6 10" xfId="1607"/>
    <cellStyle name="Normal 6 11" xfId="1864"/>
    <cellStyle name="Normal 6 12" xfId="2115"/>
    <cellStyle name="Normal 6 13" xfId="2366"/>
    <cellStyle name="Normal 6 14" xfId="2617"/>
    <cellStyle name="Normal 6 15" xfId="2868"/>
    <cellStyle name="Normal 6 16" xfId="3119"/>
    <cellStyle name="Normal 6 17" xfId="3370"/>
    <cellStyle name="Normal 6 18" xfId="3621"/>
    <cellStyle name="Normal 6 19" xfId="3872"/>
    <cellStyle name="Normal 6 2" xfId="98"/>
    <cellStyle name="Normal 6 2 10" xfId="1897"/>
    <cellStyle name="Normal 6 2 11" xfId="2148"/>
    <cellStyle name="Normal 6 2 12" xfId="2399"/>
    <cellStyle name="Normal 6 2 13" xfId="2650"/>
    <cellStyle name="Normal 6 2 14" xfId="2901"/>
    <cellStyle name="Normal 6 2 15" xfId="3152"/>
    <cellStyle name="Normal 6 2 16" xfId="3403"/>
    <cellStyle name="Normal 6 2 17" xfId="3654"/>
    <cellStyle name="Normal 6 2 18" xfId="3905"/>
    <cellStyle name="Normal 6 2 19" xfId="4156"/>
    <cellStyle name="Normal 6 2 2" xfId="192"/>
    <cellStyle name="Normal 6 2 2 10" xfId="2492"/>
    <cellStyle name="Normal 6 2 2 11" xfId="2743"/>
    <cellStyle name="Normal 6 2 2 12" xfId="2994"/>
    <cellStyle name="Normal 6 2 2 13" xfId="3245"/>
    <cellStyle name="Normal 6 2 2 14" xfId="3496"/>
    <cellStyle name="Normal 6 2 2 15" xfId="3747"/>
    <cellStyle name="Normal 6 2 2 16" xfId="3998"/>
    <cellStyle name="Normal 6 2 2 17" xfId="4249"/>
    <cellStyle name="Normal 6 2 2 18" xfId="4500"/>
    <cellStyle name="Normal 6 2 2 19" xfId="4751"/>
    <cellStyle name="Normal 6 2 2 2" xfId="469"/>
    <cellStyle name="Normal 6 2 2 20" xfId="5002"/>
    <cellStyle name="Normal 6 2 2 21" xfId="5253"/>
    <cellStyle name="Normal 6 2 2 22" xfId="5504"/>
    <cellStyle name="Normal 6 2 2 23" xfId="5755"/>
    <cellStyle name="Normal 6 2 2 24" xfId="6006"/>
    <cellStyle name="Normal 6 2 2 25" xfId="6257"/>
    <cellStyle name="Normal 6 2 2 26" xfId="6508"/>
    <cellStyle name="Normal 6 2 2 27" xfId="6759"/>
    <cellStyle name="Normal 6 2 2 28" xfId="7010"/>
    <cellStyle name="Normal 6 2 2 29" xfId="7261"/>
    <cellStyle name="Normal 6 2 2 3" xfId="719"/>
    <cellStyle name="Normal 6 2 2 30" xfId="7512"/>
    <cellStyle name="Normal 6 2 2 31" xfId="7763"/>
    <cellStyle name="Normal 6 2 2 32" xfId="8014"/>
    <cellStyle name="Normal 6 2 2 33" xfId="8265"/>
    <cellStyle name="Normal 6 2 2 34" xfId="8516"/>
    <cellStyle name="Normal 6 2 2 35" xfId="8767"/>
    <cellStyle name="Normal 6 2 2 36" xfId="9018"/>
    <cellStyle name="Normal 6 2 2 37" xfId="9269"/>
    <cellStyle name="Normal 6 2 2 38" xfId="9520"/>
    <cellStyle name="Normal 6 2 2 39" xfId="9771"/>
    <cellStyle name="Normal 6 2 2 4" xfId="972"/>
    <cellStyle name="Normal 6 2 2 40" xfId="10022"/>
    <cellStyle name="Normal 6 2 2 41" xfId="10273"/>
    <cellStyle name="Normal 6 2 2 42" xfId="10524"/>
    <cellStyle name="Normal 6 2 2 43" xfId="10775"/>
    <cellStyle name="Normal 6 2 2 44" xfId="11026"/>
    <cellStyle name="Normal 6 2 2 45" xfId="11277"/>
    <cellStyle name="Normal 6 2 2 46" xfId="11528"/>
    <cellStyle name="Normal 6 2 2 47" xfId="11779"/>
    <cellStyle name="Normal 6 2 2 48" xfId="12030"/>
    <cellStyle name="Normal 6 2 2 49" xfId="12281"/>
    <cellStyle name="Normal 6 2 2 5" xfId="1227"/>
    <cellStyle name="Normal 6 2 2 50" xfId="12532"/>
    <cellStyle name="Normal 6 2 2 51" xfId="12783"/>
    <cellStyle name="Normal 6 2 2 52" xfId="13034"/>
    <cellStyle name="Normal 6 2 2 53" xfId="13285"/>
    <cellStyle name="Normal 6 2 2 54" xfId="13536"/>
    <cellStyle name="Normal 6 2 2 55" xfId="13787"/>
    <cellStyle name="Normal 6 2 2 56" xfId="14038"/>
    <cellStyle name="Normal 6 2 2 57" xfId="14289"/>
    <cellStyle name="Normal 6 2 2 58" xfId="14540"/>
    <cellStyle name="Normal 6 2 2 59" xfId="14791"/>
    <cellStyle name="Normal 6 2 2 6" xfId="1480"/>
    <cellStyle name="Normal 6 2 2 60" xfId="15042"/>
    <cellStyle name="Normal 6 2 2 61" xfId="15292"/>
    <cellStyle name="Normal 6 2 2 62" xfId="15543"/>
    <cellStyle name="Normal 6 2 2 63" xfId="15791"/>
    <cellStyle name="Normal 6 2 2 64" xfId="16047"/>
    <cellStyle name="Normal 6 2 2 65" xfId="16298"/>
    <cellStyle name="Normal 6 2 2 66" xfId="16549"/>
    <cellStyle name="Normal 6 2 2 67" xfId="16800"/>
    <cellStyle name="Normal 6 2 2 68" xfId="17051"/>
    <cellStyle name="Normal 6 2 2 69" xfId="17302"/>
    <cellStyle name="Normal 6 2 2 7" xfId="1734"/>
    <cellStyle name="Normal 6 2 2 70" xfId="17553"/>
    <cellStyle name="Normal 6 2 2 71" xfId="17804"/>
    <cellStyle name="Normal 6 2 2 72" xfId="18055"/>
    <cellStyle name="Normal 6 2 2 73" xfId="18306"/>
    <cellStyle name="Normal 6 2 2 74" xfId="18557"/>
    <cellStyle name="Normal 6 2 2 75" xfId="18808"/>
    <cellStyle name="Normal 6 2 2 76" xfId="19058"/>
    <cellStyle name="Normal 6 2 2 77" xfId="19310"/>
    <cellStyle name="Normal 6 2 2 78" xfId="19560"/>
    <cellStyle name="Normal 6 2 2 79" xfId="19816"/>
    <cellStyle name="Normal 6 2 2 8" xfId="1990"/>
    <cellStyle name="Normal 6 2 2 80" xfId="20068"/>
    <cellStyle name="Normal 6 2 2 81" xfId="20320"/>
    <cellStyle name="Normal 6 2 2 82" xfId="20572"/>
    <cellStyle name="Normal 6 2 2 83" xfId="20822"/>
    <cellStyle name="Normal 6 2 2 84" xfId="21072"/>
    <cellStyle name="Normal 6 2 2 85" xfId="21321"/>
    <cellStyle name="Normal 6 2 2 86" xfId="21565"/>
    <cellStyle name="Normal 6 2 2 87" xfId="21809"/>
    <cellStyle name="Normal 6 2 2 88" xfId="22050"/>
    <cellStyle name="Normal 6 2 2 9" xfId="2241"/>
    <cellStyle name="Normal 6 2 20" xfId="4407"/>
    <cellStyle name="Normal 6 2 21" xfId="4658"/>
    <cellStyle name="Normal 6 2 22" xfId="4909"/>
    <cellStyle name="Normal 6 2 23" xfId="5160"/>
    <cellStyle name="Normal 6 2 24" xfId="5411"/>
    <cellStyle name="Normal 6 2 25" xfId="5662"/>
    <cellStyle name="Normal 6 2 26" xfId="5913"/>
    <cellStyle name="Normal 6 2 27" xfId="6164"/>
    <cellStyle name="Normal 6 2 28" xfId="6415"/>
    <cellStyle name="Normal 6 2 29" xfId="6666"/>
    <cellStyle name="Normal 6 2 3" xfId="268"/>
    <cellStyle name="Normal 6 2 3 10" xfId="2568"/>
    <cellStyle name="Normal 6 2 3 11" xfId="2819"/>
    <cellStyle name="Normal 6 2 3 12" xfId="3070"/>
    <cellStyle name="Normal 6 2 3 13" xfId="3321"/>
    <cellStyle name="Normal 6 2 3 14" xfId="3572"/>
    <cellStyle name="Normal 6 2 3 15" xfId="3823"/>
    <cellStyle name="Normal 6 2 3 16" xfId="4074"/>
    <cellStyle name="Normal 6 2 3 17" xfId="4325"/>
    <cellStyle name="Normal 6 2 3 18" xfId="4576"/>
    <cellStyle name="Normal 6 2 3 19" xfId="4827"/>
    <cellStyle name="Normal 6 2 3 2" xfId="543"/>
    <cellStyle name="Normal 6 2 3 20" xfId="5078"/>
    <cellStyle name="Normal 6 2 3 21" xfId="5329"/>
    <cellStyle name="Normal 6 2 3 22" xfId="5580"/>
    <cellStyle name="Normal 6 2 3 23" xfId="5831"/>
    <cellStyle name="Normal 6 2 3 24" xfId="6082"/>
    <cellStyle name="Normal 6 2 3 25" xfId="6333"/>
    <cellStyle name="Normal 6 2 3 26" xfId="6584"/>
    <cellStyle name="Normal 6 2 3 27" xfId="6835"/>
    <cellStyle name="Normal 6 2 3 28" xfId="7086"/>
    <cellStyle name="Normal 6 2 3 29" xfId="7337"/>
    <cellStyle name="Normal 6 2 3 3" xfId="793"/>
    <cellStyle name="Normal 6 2 3 30" xfId="7588"/>
    <cellStyle name="Normal 6 2 3 31" xfId="7839"/>
    <cellStyle name="Normal 6 2 3 32" xfId="8090"/>
    <cellStyle name="Normal 6 2 3 33" xfId="8341"/>
    <cellStyle name="Normal 6 2 3 34" xfId="8592"/>
    <cellStyle name="Normal 6 2 3 35" xfId="8843"/>
    <cellStyle name="Normal 6 2 3 36" xfId="9094"/>
    <cellStyle name="Normal 6 2 3 37" xfId="9345"/>
    <cellStyle name="Normal 6 2 3 38" xfId="9596"/>
    <cellStyle name="Normal 6 2 3 39" xfId="9847"/>
    <cellStyle name="Normal 6 2 3 4" xfId="1045"/>
    <cellStyle name="Normal 6 2 3 40" xfId="10098"/>
    <cellStyle name="Normal 6 2 3 41" xfId="10349"/>
    <cellStyle name="Normal 6 2 3 42" xfId="10600"/>
    <cellStyle name="Normal 6 2 3 43" xfId="10851"/>
    <cellStyle name="Normal 6 2 3 44" xfId="11102"/>
    <cellStyle name="Normal 6 2 3 45" xfId="11353"/>
    <cellStyle name="Normal 6 2 3 46" xfId="11604"/>
    <cellStyle name="Normal 6 2 3 47" xfId="11855"/>
    <cellStyle name="Normal 6 2 3 48" xfId="12106"/>
    <cellStyle name="Normal 6 2 3 49" xfId="12357"/>
    <cellStyle name="Normal 6 2 3 5" xfId="1301"/>
    <cellStyle name="Normal 6 2 3 50" xfId="12608"/>
    <cellStyle name="Normal 6 2 3 51" xfId="12859"/>
    <cellStyle name="Normal 6 2 3 52" xfId="13110"/>
    <cellStyle name="Normal 6 2 3 53" xfId="13361"/>
    <cellStyle name="Normal 6 2 3 54" xfId="13612"/>
    <cellStyle name="Normal 6 2 3 55" xfId="13863"/>
    <cellStyle name="Normal 6 2 3 56" xfId="14114"/>
    <cellStyle name="Normal 6 2 3 57" xfId="14365"/>
    <cellStyle name="Normal 6 2 3 58" xfId="14616"/>
    <cellStyle name="Normal 6 2 3 59" xfId="14867"/>
    <cellStyle name="Normal 6 2 3 6" xfId="1556"/>
    <cellStyle name="Normal 6 2 3 60" xfId="15118"/>
    <cellStyle name="Normal 6 2 3 61" xfId="15368"/>
    <cellStyle name="Normal 6 2 3 62" xfId="15617"/>
    <cellStyle name="Normal 6 2 3 63" xfId="15867"/>
    <cellStyle name="Normal 6 2 3 64" xfId="16123"/>
    <cellStyle name="Normal 6 2 3 65" xfId="16374"/>
    <cellStyle name="Normal 6 2 3 66" xfId="16625"/>
    <cellStyle name="Normal 6 2 3 67" xfId="16876"/>
    <cellStyle name="Normal 6 2 3 68" xfId="17127"/>
    <cellStyle name="Normal 6 2 3 69" xfId="17378"/>
    <cellStyle name="Normal 6 2 3 7" xfId="1809"/>
    <cellStyle name="Normal 6 2 3 70" xfId="17629"/>
    <cellStyle name="Normal 6 2 3 71" xfId="17880"/>
    <cellStyle name="Normal 6 2 3 72" xfId="18131"/>
    <cellStyle name="Normal 6 2 3 73" xfId="18382"/>
    <cellStyle name="Normal 6 2 3 74" xfId="18633"/>
    <cellStyle name="Normal 6 2 3 75" xfId="18884"/>
    <cellStyle name="Normal 6 2 3 76" xfId="19134"/>
    <cellStyle name="Normal 6 2 3 77" xfId="19385"/>
    <cellStyle name="Normal 6 2 3 78" xfId="19636"/>
    <cellStyle name="Normal 6 2 3 79" xfId="19892"/>
    <cellStyle name="Normal 6 2 3 8" xfId="2066"/>
    <cellStyle name="Normal 6 2 3 80" xfId="20144"/>
    <cellStyle name="Normal 6 2 3 81" xfId="20396"/>
    <cellStyle name="Normal 6 2 3 82" xfId="20648"/>
    <cellStyle name="Normal 6 2 3 83" xfId="20898"/>
    <cellStyle name="Normal 6 2 3 84" xfId="21147"/>
    <cellStyle name="Normal 6 2 3 85" xfId="21395"/>
    <cellStyle name="Normal 6 2 3 86" xfId="21639"/>
    <cellStyle name="Normal 6 2 3 87" xfId="21881"/>
    <cellStyle name="Normal 6 2 3 88" xfId="22122"/>
    <cellStyle name="Normal 6 2 3 9" xfId="2317"/>
    <cellStyle name="Normal 6 2 30" xfId="6917"/>
    <cellStyle name="Normal 6 2 31" xfId="7168"/>
    <cellStyle name="Normal 6 2 32" xfId="7419"/>
    <cellStyle name="Normal 6 2 33" xfId="7670"/>
    <cellStyle name="Normal 6 2 34" xfId="7921"/>
    <cellStyle name="Normal 6 2 35" xfId="8172"/>
    <cellStyle name="Normal 6 2 36" xfId="8423"/>
    <cellStyle name="Normal 6 2 37" xfId="8674"/>
    <cellStyle name="Normal 6 2 38" xfId="8925"/>
    <cellStyle name="Normal 6 2 39" xfId="9176"/>
    <cellStyle name="Normal 6 2 4" xfId="377"/>
    <cellStyle name="Normal 6 2 40" xfId="9427"/>
    <cellStyle name="Normal 6 2 41" xfId="9678"/>
    <cellStyle name="Normal 6 2 42" xfId="9929"/>
    <cellStyle name="Normal 6 2 43" xfId="10180"/>
    <cellStyle name="Normal 6 2 44" xfId="10431"/>
    <cellStyle name="Normal 6 2 45" xfId="10682"/>
    <cellStyle name="Normal 6 2 46" xfId="10933"/>
    <cellStyle name="Normal 6 2 47" xfId="11184"/>
    <cellStyle name="Normal 6 2 48" xfId="11435"/>
    <cellStyle name="Normal 6 2 49" xfId="11686"/>
    <cellStyle name="Normal 6 2 5" xfId="626"/>
    <cellStyle name="Normal 6 2 50" xfId="11937"/>
    <cellStyle name="Normal 6 2 51" xfId="12188"/>
    <cellStyle name="Normal 6 2 52" xfId="12439"/>
    <cellStyle name="Normal 6 2 53" xfId="12690"/>
    <cellStyle name="Normal 6 2 54" xfId="12941"/>
    <cellStyle name="Normal 6 2 55" xfId="13192"/>
    <cellStyle name="Normal 6 2 56" xfId="13443"/>
    <cellStyle name="Normal 6 2 57" xfId="13694"/>
    <cellStyle name="Normal 6 2 58" xfId="13945"/>
    <cellStyle name="Normal 6 2 59" xfId="14196"/>
    <cellStyle name="Normal 6 2 6" xfId="879"/>
    <cellStyle name="Normal 6 2 60" xfId="14447"/>
    <cellStyle name="Normal 6 2 61" xfId="14698"/>
    <cellStyle name="Normal 6 2 62" xfId="14948"/>
    <cellStyle name="Normal 6 2 63" xfId="15199"/>
    <cellStyle name="Normal 6 2 64" xfId="15450"/>
    <cellStyle name="Normal 6 2 65" xfId="15697"/>
    <cellStyle name="Normal 6 2 66" xfId="15954"/>
    <cellStyle name="Normal 6 2 67" xfId="16205"/>
    <cellStyle name="Normal 6 2 68" xfId="16456"/>
    <cellStyle name="Normal 6 2 69" xfId="16707"/>
    <cellStyle name="Normal 6 2 7" xfId="1134"/>
    <cellStyle name="Normal 6 2 70" xfId="16958"/>
    <cellStyle name="Normal 6 2 71" xfId="17209"/>
    <cellStyle name="Normal 6 2 72" xfId="17460"/>
    <cellStyle name="Normal 6 2 73" xfId="17711"/>
    <cellStyle name="Normal 6 2 74" xfId="17962"/>
    <cellStyle name="Normal 6 2 75" xfId="18213"/>
    <cellStyle name="Normal 6 2 76" xfId="18464"/>
    <cellStyle name="Normal 6 2 77" xfId="18714"/>
    <cellStyle name="Normal 6 2 78" xfId="18965"/>
    <cellStyle name="Normal 6 2 79" xfId="19216"/>
    <cellStyle name="Normal 6 2 8" xfId="1387"/>
    <cellStyle name="Normal 6 2 80" xfId="19466"/>
    <cellStyle name="Normal 6 2 81" xfId="19722"/>
    <cellStyle name="Normal 6 2 82" xfId="19974"/>
    <cellStyle name="Normal 6 2 83" xfId="20226"/>
    <cellStyle name="Normal 6 2 84" xfId="20478"/>
    <cellStyle name="Normal 6 2 85" xfId="20728"/>
    <cellStyle name="Normal 6 2 86" xfId="20978"/>
    <cellStyle name="Normal 6 2 87" xfId="21229"/>
    <cellStyle name="Normal 6 2 88" xfId="21473"/>
    <cellStyle name="Normal 6 2 89" xfId="21717"/>
    <cellStyle name="Normal 6 2 9" xfId="1640"/>
    <cellStyle name="Normal 6 2 90" xfId="21958"/>
    <cellStyle name="Normal 6 20" xfId="4123"/>
    <cellStyle name="Normal 6 21" xfId="4374"/>
    <cellStyle name="Normal 6 22" xfId="4625"/>
    <cellStyle name="Normal 6 23" xfId="4876"/>
    <cellStyle name="Normal 6 24" xfId="5127"/>
    <cellStyle name="Normal 6 25" xfId="5378"/>
    <cellStyle name="Normal 6 26" xfId="5629"/>
    <cellStyle name="Normal 6 27" xfId="5880"/>
    <cellStyle name="Normal 6 28" xfId="6131"/>
    <cellStyle name="Normal 6 29" xfId="6382"/>
    <cellStyle name="Normal 6 3" xfId="159"/>
    <cellStyle name="Normal 6 3 10" xfId="2459"/>
    <cellStyle name="Normal 6 3 11" xfId="2710"/>
    <cellStyle name="Normal 6 3 12" xfId="2961"/>
    <cellStyle name="Normal 6 3 13" xfId="3212"/>
    <cellStyle name="Normal 6 3 14" xfId="3463"/>
    <cellStyle name="Normal 6 3 15" xfId="3714"/>
    <cellStyle name="Normal 6 3 16" xfId="3965"/>
    <cellStyle name="Normal 6 3 17" xfId="4216"/>
    <cellStyle name="Normal 6 3 18" xfId="4467"/>
    <cellStyle name="Normal 6 3 19" xfId="4718"/>
    <cellStyle name="Normal 6 3 2" xfId="436"/>
    <cellStyle name="Normal 6 3 20" xfId="4969"/>
    <cellStyle name="Normal 6 3 21" xfId="5220"/>
    <cellStyle name="Normal 6 3 22" xfId="5471"/>
    <cellStyle name="Normal 6 3 23" xfId="5722"/>
    <cellStyle name="Normal 6 3 24" xfId="5973"/>
    <cellStyle name="Normal 6 3 25" xfId="6224"/>
    <cellStyle name="Normal 6 3 26" xfId="6475"/>
    <cellStyle name="Normal 6 3 27" xfId="6726"/>
    <cellStyle name="Normal 6 3 28" xfId="6977"/>
    <cellStyle name="Normal 6 3 29" xfId="7228"/>
    <cellStyle name="Normal 6 3 3" xfId="686"/>
    <cellStyle name="Normal 6 3 30" xfId="7479"/>
    <cellStyle name="Normal 6 3 31" xfId="7730"/>
    <cellStyle name="Normal 6 3 32" xfId="7981"/>
    <cellStyle name="Normal 6 3 33" xfId="8232"/>
    <cellStyle name="Normal 6 3 34" xfId="8483"/>
    <cellStyle name="Normal 6 3 35" xfId="8734"/>
    <cellStyle name="Normal 6 3 36" xfId="8985"/>
    <cellStyle name="Normal 6 3 37" xfId="9236"/>
    <cellStyle name="Normal 6 3 38" xfId="9487"/>
    <cellStyle name="Normal 6 3 39" xfId="9738"/>
    <cellStyle name="Normal 6 3 4" xfId="939"/>
    <cellStyle name="Normal 6 3 40" xfId="9989"/>
    <cellStyle name="Normal 6 3 41" xfId="10240"/>
    <cellStyle name="Normal 6 3 42" xfId="10491"/>
    <cellStyle name="Normal 6 3 43" xfId="10742"/>
    <cellStyle name="Normal 6 3 44" xfId="10993"/>
    <cellStyle name="Normal 6 3 45" xfId="11244"/>
    <cellStyle name="Normal 6 3 46" xfId="11495"/>
    <cellStyle name="Normal 6 3 47" xfId="11746"/>
    <cellStyle name="Normal 6 3 48" xfId="11997"/>
    <cellStyle name="Normal 6 3 49" xfId="12248"/>
    <cellStyle name="Normal 6 3 5" xfId="1194"/>
    <cellStyle name="Normal 6 3 50" xfId="12499"/>
    <cellStyle name="Normal 6 3 51" xfId="12750"/>
    <cellStyle name="Normal 6 3 52" xfId="13001"/>
    <cellStyle name="Normal 6 3 53" xfId="13252"/>
    <cellStyle name="Normal 6 3 54" xfId="13503"/>
    <cellStyle name="Normal 6 3 55" xfId="13754"/>
    <cellStyle name="Normal 6 3 56" xfId="14005"/>
    <cellStyle name="Normal 6 3 57" xfId="14256"/>
    <cellStyle name="Normal 6 3 58" xfId="14507"/>
    <cellStyle name="Normal 6 3 59" xfId="14758"/>
    <cellStyle name="Normal 6 3 6" xfId="1447"/>
    <cellStyle name="Normal 6 3 60" xfId="15009"/>
    <cellStyle name="Normal 6 3 61" xfId="15259"/>
    <cellStyle name="Normal 6 3 62" xfId="15510"/>
    <cellStyle name="Normal 6 3 63" xfId="15758"/>
    <cellStyle name="Normal 6 3 64" xfId="16014"/>
    <cellStyle name="Normal 6 3 65" xfId="16265"/>
    <cellStyle name="Normal 6 3 66" xfId="16516"/>
    <cellStyle name="Normal 6 3 67" xfId="16767"/>
    <cellStyle name="Normal 6 3 68" xfId="17018"/>
    <cellStyle name="Normal 6 3 69" xfId="17269"/>
    <cellStyle name="Normal 6 3 7" xfId="1701"/>
    <cellStyle name="Normal 6 3 70" xfId="17520"/>
    <cellStyle name="Normal 6 3 71" xfId="17771"/>
    <cellStyle name="Normal 6 3 72" xfId="18022"/>
    <cellStyle name="Normal 6 3 73" xfId="18273"/>
    <cellStyle name="Normal 6 3 74" xfId="18524"/>
    <cellStyle name="Normal 6 3 75" xfId="18775"/>
    <cellStyle name="Normal 6 3 76" xfId="19025"/>
    <cellStyle name="Normal 6 3 77" xfId="19277"/>
    <cellStyle name="Normal 6 3 78" xfId="19527"/>
    <cellStyle name="Normal 6 3 79" xfId="19783"/>
    <cellStyle name="Normal 6 3 8" xfId="1957"/>
    <cellStyle name="Normal 6 3 80" xfId="20035"/>
    <cellStyle name="Normal 6 3 81" xfId="20287"/>
    <cellStyle name="Normal 6 3 82" xfId="20539"/>
    <cellStyle name="Normal 6 3 83" xfId="20789"/>
    <cellStyle name="Normal 6 3 84" xfId="21039"/>
    <cellStyle name="Normal 6 3 85" xfId="21288"/>
    <cellStyle name="Normal 6 3 86" xfId="21532"/>
    <cellStyle name="Normal 6 3 87" xfId="21776"/>
    <cellStyle name="Normal 6 3 88" xfId="22017"/>
    <cellStyle name="Normal 6 3 9" xfId="2208"/>
    <cellStyle name="Normal 6 30" xfId="6633"/>
    <cellStyle name="Normal 6 31" xfId="6884"/>
    <cellStyle name="Normal 6 32" xfId="7135"/>
    <cellStyle name="Normal 6 33" xfId="7386"/>
    <cellStyle name="Normal 6 34" xfId="7637"/>
    <cellStyle name="Normal 6 35" xfId="7888"/>
    <cellStyle name="Normal 6 36" xfId="8139"/>
    <cellStyle name="Normal 6 37" xfId="8390"/>
    <cellStyle name="Normal 6 38" xfId="8641"/>
    <cellStyle name="Normal 6 39" xfId="8892"/>
    <cellStyle name="Normal 6 4" xfId="235"/>
    <cellStyle name="Normal 6 4 10" xfId="2535"/>
    <cellStyle name="Normal 6 4 11" xfId="2786"/>
    <cellStyle name="Normal 6 4 12" xfId="3037"/>
    <cellStyle name="Normal 6 4 13" xfId="3288"/>
    <cellStyle name="Normal 6 4 14" xfId="3539"/>
    <cellStyle name="Normal 6 4 15" xfId="3790"/>
    <cellStyle name="Normal 6 4 16" xfId="4041"/>
    <cellStyle name="Normal 6 4 17" xfId="4292"/>
    <cellStyle name="Normal 6 4 18" xfId="4543"/>
    <cellStyle name="Normal 6 4 19" xfId="4794"/>
    <cellStyle name="Normal 6 4 2" xfId="511"/>
    <cellStyle name="Normal 6 4 20" xfId="5045"/>
    <cellStyle name="Normal 6 4 21" xfId="5296"/>
    <cellStyle name="Normal 6 4 22" xfId="5547"/>
    <cellStyle name="Normal 6 4 23" xfId="5798"/>
    <cellStyle name="Normal 6 4 24" xfId="6049"/>
    <cellStyle name="Normal 6 4 25" xfId="6300"/>
    <cellStyle name="Normal 6 4 26" xfId="6551"/>
    <cellStyle name="Normal 6 4 27" xfId="6802"/>
    <cellStyle name="Normal 6 4 28" xfId="7053"/>
    <cellStyle name="Normal 6 4 29" xfId="7304"/>
    <cellStyle name="Normal 6 4 3" xfId="761"/>
    <cellStyle name="Normal 6 4 30" xfId="7555"/>
    <cellStyle name="Normal 6 4 31" xfId="7806"/>
    <cellStyle name="Normal 6 4 32" xfId="8057"/>
    <cellStyle name="Normal 6 4 33" xfId="8308"/>
    <cellStyle name="Normal 6 4 34" xfId="8559"/>
    <cellStyle name="Normal 6 4 35" xfId="8810"/>
    <cellStyle name="Normal 6 4 36" xfId="9061"/>
    <cellStyle name="Normal 6 4 37" xfId="9312"/>
    <cellStyle name="Normal 6 4 38" xfId="9563"/>
    <cellStyle name="Normal 6 4 39" xfId="9814"/>
    <cellStyle name="Normal 6 4 4" xfId="1013"/>
    <cellStyle name="Normal 6 4 40" xfId="10065"/>
    <cellStyle name="Normal 6 4 41" xfId="10316"/>
    <cellStyle name="Normal 6 4 42" xfId="10567"/>
    <cellStyle name="Normal 6 4 43" xfId="10818"/>
    <cellStyle name="Normal 6 4 44" xfId="11069"/>
    <cellStyle name="Normal 6 4 45" xfId="11320"/>
    <cellStyle name="Normal 6 4 46" xfId="11571"/>
    <cellStyle name="Normal 6 4 47" xfId="11822"/>
    <cellStyle name="Normal 6 4 48" xfId="12073"/>
    <cellStyle name="Normal 6 4 49" xfId="12324"/>
    <cellStyle name="Normal 6 4 5" xfId="1269"/>
    <cellStyle name="Normal 6 4 50" xfId="12575"/>
    <cellStyle name="Normal 6 4 51" xfId="12826"/>
    <cellStyle name="Normal 6 4 52" xfId="13077"/>
    <cellStyle name="Normal 6 4 53" xfId="13328"/>
    <cellStyle name="Normal 6 4 54" xfId="13579"/>
    <cellStyle name="Normal 6 4 55" xfId="13830"/>
    <cellStyle name="Normal 6 4 56" xfId="14081"/>
    <cellStyle name="Normal 6 4 57" xfId="14332"/>
    <cellStyle name="Normal 6 4 58" xfId="14583"/>
    <cellStyle name="Normal 6 4 59" xfId="14834"/>
    <cellStyle name="Normal 6 4 6" xfId="1523"/>
    <cellStyle name="Normal 6 4 60" xfId="15085"/>
    <cellStyle name="Normal 6 4 61" xfId="15335"/>
    <cellStyle name="Normal 6 4 62" xfId="15585"/>
    <cellStyle name="Normal 6 4 63" xfId="15834"/>
    <cellStyle name="Normal 6 4 64" xfId="16090"/>
    <cellStyle name="Normal 6 4 65" xfId="16341"/>
    <cellStyle name="Normal 6 4 66" xfId="16592"/>
    <cellStyle name="Normal 6 4 67" xfId="16843"/>
    <cellStyle name="Normal 6 4 68" xfId="17094"/>
    <cellStyle name="Normal 6 4 69" xfId="17345"/>
    <cellStyle name="Normal 6 4 7" xfId="1776"/>
    <cellStyle name="Normal 6 4 70" xfId="17596"/>
    <cellStyle name="Normal 6 4 71" xfId="17847"/>
    <cellStyle name="Normal 6 4 72" xfId="18098"/>
    <cellStyle name="Normal 6 4 73" xfId="18349"/>
    <cellStyle name="Normal 6 4 74" xfId="18600"/>
    <cellStyle name="Normal 6 4 75" xfId="18851"/>
    <cellStyle name="Normal 6 4 76" xfId="19101"/>
    <cellStyle name="Normal 6 4 77" xfId="19353"/>
    <cellStyle name="Normal 6 4 78" xfId="19603"/>
    <cellStyle name="Normal 6 4 79" xfId="19859"/>
    <cellStyle name="Normal 6 4 8" xfId="2033"/>
    <cellStyle name="Normal 6 4 80" xfId="20111"/>
    <cellStyle name="Normal 6 4 81" xfId="20363"/>
    <cellStyle name="Normal 6 4 82" xfId="20615"/>
    <cellStyle name="Normal 6 4 83" xfId="20865"/>
    <cellStyle name="Normal 6 4 84" xfId="21115"/>
    <cellStyle name="Normal 6 4 85" xfId="21363"/>
    <cellStyle name="Normal 6 4 86" xfId="21607"/>
    <cellStyle name="Normal 6 4 87" xfId="21850"/>
    <cellStyle name="Normal 6 4 88" xfId="22091"/>
    <cellStyle name="Normal 6 4 9" xfId="2284"/>
    <cellStyle name="Normal 6 40" xfId="9143"/>
    <cellStyle name="Normal 6 41" xfId="9394"/>
    <cellStyle name="Normal 6 42" xfId="9645"/>
    <cellStyle name="Normal 6 43" xfId="9896"/>
    <cellStyle name="Normal 6 44" xfId="10147"/>
    <cellStyle name="Normal 6 45" xfId="10398"/>
    <cellStyle name="Normal 6 46" xfId="10649"/>
    <cellStyle name="Normal 6 47" xfId="10900"/>
    <cellStyle name="Normal 6 48" xfId="11151"/>
    <cellStyle name="Normal 6 49" xfId="11402"/>
    <cellStyle name="Normal 6 5" xfId="344"/>
    <cellStyle name="Normal 6 50" xfId="11653"/>
    <cellStyle name="Normal 6 51" xfId="11904"/>
    <cellStyle name="Normal 6 52" xfId="12155"/>
    <cellStyle name="Normal 6 53" xfId="12406"/>
    <cellStyle name="Normal 6 54" xfId="12657"/>
    <cellStyle name="Normal 6 55" xfId="12908"/>
    <cellStyle name="Normal 6 56" xfId="13159"/>
    <cellStyle name="Normal 6 57" xfId="13410"/>
    <cellStyle name="Normal 6 58" xfId="13661"/>
    <cellStyle name="Normal 6 59" xfId="13912"/>
    <cellStyle name="Normal 6 6" xfId="593"/>
    <cellStyle name="Normal 6 60" xfId="14163"/>
    <cellStyle name="Normal 6 61" xfId="14414"/>
    <cellStyle name="Normal 6 62" xfId="14665"/>
    <cellStyle name="Normal 6 63" xfId="14915"/>
    <cellStyle name="Normal 6 64" xfId="15166"/>
    <cellStyle name="Normal 6 65" xfId="15417"/>
    <cellStyle name="Normal 6 66" xfId="15664"/>
    <cellStyle name="Normal 6 67" xfId="15921"/>
    <cellStyle name="Normal 6 68" xfId="16172"/>
    <cellStyle name="Normal 6 69" xfId="16423"/>
    <cellStyle name="Normal 6 7" xfId="846"/>
    <cellStyle name="Normal 6 70" xfId="16674"/>
    <cellStyle name="Normal 6 71" xfId="16925"/>
    <cellStyle name="Normal 6 72" xfId="17176"/>
    <cellStyle name="Normal 6 73" xfId="17427"/>
    <cellStyle name="Normal 6 74" xfId="17678"/>
    <cellStyle name="Normal 6 75" xfId="17929"/>
    <cellStyle name="Normal 6 76" xfId="18180"/>
    <cellStyle name="Normal 6 77" xfId="18431"/>
    <cellStyle name="Normal 6 78" xfId="18681"/>
    <cellStyle name="Normal 6 79" xfId="18932"/>
    <cellStyle name="Normal 6 8" xfId="1101"/>
    <cellStyle name="Normal 6 80" xfId="19183"/>
    <cellStyle name="Normal 6 81" xfId="19433"/>
    <cellStyle name="Normal 6 82" xfId="19689"/>
    <cellStyle name="Normal 6 83" xfId="19941"/>
    <cellStyle name="Normal 6 84" xfId="20193"/>
    <cellStyle name="Normal 6 85" xfId="20445"/>
    <cellStyle name="Normal 6 86" xfId="20695"/>
    <cellStyle name="Normal 6 87" xfId="20945"/>
    <cellStyle name="Normal 6 88" xfId="21196"/>
    <cellStyle name="Normal 6 89" xfId="21440"/>
    <cellStyle name="Normal 6 9" xfId="1354"/>
    <cellStyle name="Normal 6 90" xfId="21684"/>
    <cellStyle name="Normal 6 91" xfId="21925"/>
    <cellStyle name="Normal 60" xfId="84"/>
    <cellStyle name="Normal 60 10" xfId="1626"/>
    <cellStyle name="Normal 60 11" xfId="1883"/>
    <cellStyle name="Normal 60 12" xfId="2134"/>
    <cellStyle name="Normal 60 13" xfId="2385"/>
    <cellStyle name="Normal 60 14" xfId="2636"/>
    <cellStyle name="Normal 60 15" xfId="2887"/>
    <cellStyle name="Normal 60 16" xfId="3138"/>
    <cellStyle name="Normal 60 17" xfId="3389"/>
    <cellStyle name="Normal 60 18" xfId="3640"/>
    <cellStyle name="Normal 60 19" xfId="3891"/>
    <cellStyle name="Normal 60 2" xfId="117"/>
    <cellStyle name="Normal 60 2 10" xfId="1916"/>
    <cellStyle name="Normal 60 2 11" xfId="2167"/>
    <cellStyle name="Normal 60 2 12" xfId="2418"/>
    <cellStyle name="Normal 60 2 13" xfId="2669"/>
    <cellStyle name="Normal 60 2 14" xfId="2920"/>
    <cellStyle name="Normal 60 2 15" xfId="3171"/>
    <cellStyle name="Normal 60 2 16" xfId="3422"/>
    <cellStyle name="Normal 60 2 17" xfId="3673"/>
    <cellStyle name="Normal 60 2 18" xfId="3924"/>
    <cellStyle name="Normal 60 2 19" xfId="4175"/>
    <cellStyle name="Normal 60 2 2" xfId="211"/>
    <cellStyle name="Normal 60 2 2 10" xfId="2511"/>
    <cellStyle name="Normal 60 2 2 11" xfId="2762"/>
    <cellStyle name="Normal 60 2 2 12" xfId="3013"/>
    <cellStyle name="Normal 60 2 2 13" xfId="3264"/>
    <cellStyle name="Normal 60 2 2 14" xfId="3515"/>
    <cellStyle name="Normal 60 2 2 15" xfId="3766"/>
    <cellStyle name="Normal 60 2 2 16" xfId="4017"/>
    <cellStyle name="Normal 60 2 2 17" xfId="4268"/>
    <cellStyle name="Normal 60 2 2 18" xfId="4519"/>
    <cellStyle name="Normal 60 2 2 19" xfId="4770"/>
    <cellStyle name="Normal 60 2 2 2" xfId="488"/>
    <cellStyle name="Normal 60 2 2 20" xfId="5021"/>
    <cellStyle name="Normal 60 2 2 21" xfId="5272"/>
    <cellStyle name="Normal 60 2 2 22" xfId="5523"/>
    <cellStyle name="Normal 60 2 2 23" xfId="5774"/>
    <cellStyle name="Normal 60 2 2 24" xfId="6025"/>
    <cellStyle name="Normal 60 2 2 25" xfId="6276"/>
    <cellStyle name="Normal 60 2 2 26" xfId="6527"/>
    <cellStyle name="Normal 60 2 2 27" xfId="6778"/>
    <cellStyle name="Normal 60 2 2 28" xfId="7029"/>
    <cellStyle name="Normal 60 2 2 29" xfId="7280"/>
    <cellStyle name="Normal 60 2 2 3" xfId="738"/>
    <cellStyle name="Normal 60 2 2 30" xfId="7531"/>
    <cellStyle name="Normal 60 2 2 31" xfId="7782"/>
    <cellStyle name="Normal 60 2 2 32" xfId="8033"/>
    <cellStyle name="Normal 60 2 2 33" xfId="8284"/>
    <cellStyle name="Normal 60 2 2 34" xfId="8535"/>
    <cellStyle name="Normal 60 2 2 35" xfId="8786"/>
    <cellStyle name="Normal 60 2 2 36" xfId="9037"/>
    <cellStyle name="Normal 60 2 2 37" xfId="9288"/>
    <cellStyle name="Normal 60 2 2 38" xfId="9539"/>
    <cellStyle name="Normal 60 2 2 39" xfId="9790"/>
    <cellStyle name="Normal 60 2 2 4" xfId="991"/>
    <cellStyle name="Normal 60 2 2 40" xfId="10041"/>
    <cellStyle name="Normal 60 2 2 41" xfId="10292"/>
    <cellStyle name="Normal 60 2 2 42" xfId="10543"/>
    <cellStyle name="Normal 60 2 2 43" xfId="10794"/>
    <cellStyle name="Normal 60 2 2 44" xfId="11045"/>
    <cellStyle name="Normal 60 2 2 45" xfId="11296"/>
    <cellStyle name="Normal 60 2 2 46" xfId="11547"/>
    <cellStyle name="Normal 60 2 2 47" xfId="11798"/>
    <cellStyle name="Normal 60 2 2 48" xfId="12049"/>
    <cellStyle name="Normal 60 2 2 49" xfId="12300"/>
    <cellStyle name="Normal 60 2 2 5" xfId="1246"/>
    <cellStyle name="Normal 60 2 2 50" xfId="12551"/>
    <cellStyle name="Normal 60 2 2 51" xfId="12802"/>
    <cellStyle name="Normal 60 2 2 52" xfId="13053"/>
    <cellStyle name="Normal 60 2 2 53" xfId="13304"/>
    <cellStyle name="Normal 60 2 2 54" xfId="13555"/>
    <cellStyle name="Normal 60 2 2 55" xfId="13806"/>
    <cellStyle name="Normal 60 2 2 56" xfId="14057"/>
    <cellStyle name="Normal 60 2 2 57" xfId="14308"/>
    <cellStyle name="Normal 60 2 2 58" xfId="14559"/>
    <cellStyle name="Normal 60 2 2 59" xfId="14810"/>
    <cellStyle name="Normal 60 2 2 6" xfId="1499"/>
    <cellStyle name="Normal 60 2 2 60" xfId="15061"/>
    <cellStyle name="Normal 60 2 2 61" xfId="15311"/>
    <cellStyle name="Normal 60 2 2 62" xfId="15562"/>
    <cellStyle name="Normal 60 2 2 63" xfId="15810"/>
    <cellStyle name="Normal 60 2 2 64" xfId="16066"/>
    <cellStyle name="Normal 60 2 2 65" xfId="16317"/>
    <cellStyle name="Normal 60 2 2 66" xfId="16568"/>
    <cellStyle name="Normal 60 2 2 67" xfId="16819"/>
    <cellStyle name="Normal 60 2 2 68" xfId="17070"/>
    <cellStyle name="Normal 60 2 2 69" xfId="17321"/>
    <cellStyle name="Normal 60 2 2 7" xfId="1753"/>
    <cellStyle name="Normal 60 2 2 70" xfId="17572"/>
    <cellStyle name="Normal 60 2 2 71" xfId="17823"/>
    <cellStyle name="Normal 60 2 2 72" xfId="18074"/>
    <cellStyle name="Normal 60 2 2 73" xfId="18325"/>
    <cellStyle name="Normal 60 2 2 74" xfId="18576"/>
    <cellStyle name="Normal 60 2 2 75" xfId="18827"/>
    <cellStyle name="Normal 60 2 2 76" xfId="19077"/>
    <cellStyle name="Normal 60 2 2 77" xfId="19329"/>
    <cellStyle name="Normal 60 2 2 78" xfId="19579"/>
    <cellStyle name="Normal 60 2 2 79" xfId="19835"/>
    <cellStyle name="Normal 60 2 2 8" xfId="2009"/>
    <cellStyle name="Normal 60 2 2 80" xfId="20087"/>
    <cellStyle name="Normal 60 2 2 81" xfId="20339"/>
    <cellStyle name="Normal 60 2 2 82" xfId="20591"/>
    <cellStyle name="Normal 60 2 2 83" xfId="20841"/>
    <cellStyle name="Normal 60 2 2 84" xfId="21091"/>
    <cellStyle name="Normal 60 2 2 85" xfId="21340"/>
    <cellStyle name="Normal 60 2 2 86" xfId="21584"/>
    <cellStyle name="Normal 60 2 2 87" xfId="21828"/>
    <cellStyle name="Normal 60 2 2 88" xfId="22069"/>
    <cellStyle name="Normal 60 2 2 9" xfId="2260"/>
    <cellStyle name="Normal 60 2 20" xfId="4426"/>
    <cellStyle name="Normal 60 2 21" xfId="4677"/>
    <cellStyle name="Normal 60 2 22" xfId="4928"/>
    <cellStyle name="Normal 60 2 23" xfId="5179"/>
    <cellStyle name="Normal 60 2 24" xfId="5430"/>
    <cellStyle name="Normal 60 2 25" xfId="5681"/>
    <cellStyle name="Normal 60 2 26" xfId="5932"/>
    <cellStyle name="Normal 60 2 27" xfId="6183"/>
    <cellStyle name="Normal 60 2 28" xfId="6434"/>
    <cellStyle name="Normal 60 2 29" xfId="6685"/>
    <cellStyle name="Normal 60 2 3" xfId="287"/>
    <cellStyle name="Normal 60 2 3 10" xfId="2587"/>
    <cellStyle name="Normal 60 2 3 11" xfId="2838"/>
    <cellStyle name="Normal 60 2 3 12" xfId="3089"/>
    <cellStyle name="Normal 60 2 3 13" xfId="3340"/>
    <cellStyle name="Normal 60 2 3 14" xfId="3591"/>
    <cellStyle name="Normal 60 2 3 15" xfId="3842"/>
    <cellStyle name="Normal 60 2 3 16" xfId="4093"/>
    <cellStyle name="Normal 60 2 3 17" xfId="4344"/>
    <cellStyle name="Normal 60 2 3 18" xfId="4595"/>
    <cellStyle name="Normal 60 2 3 19" xfId="4846"/>
    <cellStyle name="Normal 60 2 3 2" xfId="562"/>
    <cellStyle name="Normal 60 2 3 20" xfId="5097"/>
    <cellStyle name="Normal 60 2 3 21" xfId="5348"/>
    <cellStyle name="Normal 60 2 3 22" xfId="5599"/>
    <cellStyle name="Normal 60 2 3 23" xfId="5850"/>
    <cellStyle name="Normal 60 2 3 24" xfId="6101"/>
    <cellStyle name="Normal 60 2 3 25" xfId="6352"/>
    <cellStyle name="Normal 60 2 3 26" xfId="6603"/>
    <cellStyle name="Normal 60 2 3 27" xfId="6854"/>
    <cellStyle name="Normal 60 2 3 28" xfId="7105"/>
    <cellStyle name="Normal 60 2 3 29" xfId="7356"/>
    <cellStyle name="Normal 60 2 3 3" xfId="812"/>
    <cellStyle name="Normal 60 2 3 30" xfId="7607"/>
    <cellStyle name="Normal 60 2 3 31" xfId="7858"/>
    <cellStyle name="Normal 60 2 3 32" xfId="8109"/>
    <cellStyle name="Normal 60 2 3 33" xfId="8360"/>
    <cellStyle name="Normal 60 2 3 34" xfId="8611"/>
    <cellStyle name="Normal 60 2 3 35" xfId="8862"/>
    <cellStyle name="Normal 60 2 3 36" xfId="9113"/>
    <cellStyle name="Normal 60 2 3 37" xfId="9364"/>
    <cellStyle name="Normal 60 2 3 38" xfId="9615"/>
    <cellStyle name="Normal 60 2 3 39" xfId="9866"/>
    <cellStyle name="Normal 60 2 3 4" xfId="1064"/>
    <cellStyle name="Normal 60 2 3 40" xfId="10117"/>
    <cellStyle name="Normal 60 2 3 41" xfId="10368"/>
    <cellStyle name="Normal 60 2 3 42" xfId="10619"/>
    <cellStyle name="Normal 60 2 3 43" xfId="10870"/>
    <cellStyle name="Normal 60 2 3 44" xfId="11121"/>
    <cellStyle name="Normal 60 2 3 45" xfId="11372"/>
    <cellStyle name="Normal 60 2 3 46" xfId="11623"/>
    <cellStyle name="Normal 60 2 3 47" xfId="11874"/>
    <cellStyle name="Normal 60 2 3 48" xfId="12125"/>
    <cellStyle name="Normal 60 2 3 49" xfId="12376"/>
    <cellStyle name="Normal 60 2 3 5" xfId="1320"/>
    <cellStyle name="Normal 60 2 3 50" xfId="12627"/>
    <cellStyle name="Normal 60 2 3 51" xfId="12878"/>
    <cellStyle name="Normal 60 2 3 52" xfId="13129"/>
    <cellStyle name="Normal 60 2 3 53" xfId="13380"/>
    <cellStyle name="Normal 60 2 3 54" xfId="13631"/>
    <cellStyle name="Normal 60 2 3 55" xfId="13882"/>
    <cellStyle name="Normal 60 2 3 56" xfId="14133"/>
    <cellStyle name="Normal 60 2 3 57" xfId="14384"/>
    <cellStyle name="Normal 60 2 3 58" xfId="14635"/>
    <cellStyle name="Normal 60 2 3 59" xfId="14886"/>
    <cellStyle name="Normal 60 2 3 6" xfId="1575"/>
    <cellStyle name="Normal 60 2 3 60" xfId="15137"/>
    <cellStyle name="Normal 60 2 3 61" xfId="15387"/>
    <cellStyle name="Normal 60 2 3 62" xfId="15636"/>
    <cellStyle name="Normal 60 2 3 63" xfId="15886"/>
    <cellStyle name="Normal 60 2 3 64" xfId="16142"/>
    <cellStyle name="Normal 60 2 3 65" xfId="16393"/>
    <cellStyle name="Normal 60 2 3 66" xfId="16644"/>
    <cellStyle name="Normal 60 2 3 67" xfId="16895"/>
    <cellStyle name="Normal 60 2 3 68" xfId="17146"/>
    <cellStyle name="Normal 60 2 3 69" xfId="17397"/>
    <cellStyle name="Normal 60 2 3 7" xfId="1828"/>
    <cellStyle name="Normal 60 2 3 70" xfId="17648"/>
    <cellStyle name="Normal 60 2 3 71" xfId="17899"/>
    <cellStyle name="Normal 60 2 3 72" xfId="18150"/>
    <cellStyle name="Normal 60 2 3 73" xfId="18401"/>
    <cellStyle name="Normal 60 2 3 74" xfId="18652"/>
    <cellStyle name="Normal 60 2 3 75" xfId="18903"/>
    <cellStyle name="Normal 60 2 3 76" xfId="19153"/>
    <cellStyle name="Normal 60 2 3 77" xfId="19404"/>
    <cellStyle name="Normal 60 2 3 78" xfId="19655"/>
    <cellStyle name="Normal 60 2 3 79" xfId="19911"/>
    <cellStyle name="Normal 60 2 3 8" xfId="2085"/>
    <cellStyle name="Normal 60 2 3 80" xfId="20163"/>
    <cellStyle name="Normal 60 2 3 81" xfId="20415"/>
    <cellStyle name="Normal 60 2 3 82" xfId="20667"/>
    <cellStyle name="Normal 60 2 3 83" xfId="20917"/>
    <cellStyle name="Normal 60 2 3 84" xfId="21166"/>
    <cellStyle name="Normal 60 2 3 85" xfId="21414"/>
    <cellStyle name="Normal 60 2 3 86" xfId="21658"/>
    <cellStyle name="Normal 60 2 3 87" xfId="21900"/>
    <cellStyle name="Normal 60 2 3 88" xfId="22141"/>
    <cellStyle name="Normal 60 2 3 9" xfId="2336"/>
    <cellStyle name="Normal 60 2 30" xfId="6936"/>
    <cellStyle name="Normal 60 2 31" xfId="7187"/>
    <cellStyle name="Normal 60 2 32" xfId="7438"/>
    <cellStyle name="Normal 60 2 33" xfId="7689"/>
    <cellStyle name="Normal 60 2 34" xfId="7940"/>
    <cellStyle name="Normal 60 2 35" xfId="8191"/>
    <cellStyle name="Normal 60 2 36" xfId="8442"/>
    <cellStyle name="Normal 60 2 37" xfId="8693"/>
    <cellStyle name="Normal 60 2 38" xfId="8944"/>
    <cellStyle name="Normal 60 2 39" xfId="9195"/>
    <cellStyle name="Normal 60 2 4" xfId="396"/>
    <cellStyle name="Normal 60 2 40" xfId="9446"/>
    <cellStyle name="Normal 60 2 41" xfId="9697"/>
    <cellStyle name="Normal 60 2 42" xfId="9948"/>
    <cellStyle name="Normal 60 2 43" xfId="10199"/>
    <cellStyle name="Normal 60 2 44" xfId="10450"/>
    <cellStyle name="Normal 60 2 45" xfId="10701"/>
    <cellStyle name="Normal 60 2 46" xfId="10952"/>
    <cellStyle name="Normal 60 2 47" xfId="11203"/>
    <cellStyle name="Normal 60 2 48" xfId="11454"/>
    <cellStyle name="Normal 60 2 49" xfId="11705"/>
    <cellStyle name="Normal 60 2 5" xfId="645"/>
    <cellStyle name="Normal 60 2 50" xfId="11956"/>
    <cellStyle name="Normal 60 2 51" xfId="12207"/>
    <cellStyle name="Normal 60 2 52" xfId="12458"/>
    <cellStyle name="Normal 60 2 53" xfId="12709"/>
    <cellStyle name="Normal 60 2 54" xfId="12960"/>
    <cellStyle name="Normal 60 2 55" xfId="13211"/>
    <cellStyle name="Normal 60 2 56" xfId="13462"/>
    <cellStyle name="Normal 60 2 57" xfId="13713"/>
    <cellStyle name="Normal 60 2 58" xfId="13964"/>
    <cellStyle name="Normal 60 2 59" xfId="14215"/>
    <cellStyle name="Normal 60 2 6" xfId="898"/>
    <cellStyle name="Normal 60 2 60" xfId="14466"/>
    <cellStyle name="Normal 60 2 61" xfId="14717"/>
    <cellStyle name="Normal 60 2 62" xfId="14967"/>
    <cellStyle name="Normal 60 2 63" xfId="15218"/>
    <cellStyle name="Normal 60 2 64" xfId="15469"/>
    <cellStyle name="Normal 60 2 65" xfId="15716"/>
    <cellStyle name="Normal 60 2 66" xfId="15973"/>
    <cellStyle name="Normal 60 2 67" xfId="16224"/>
    <cellStyle name="Normal 60 2 68" xfId="16475"/>
    <cellStyle name="Normal 60 2 69" xfId="16726"/>
    <cellStyle name="Normal 60 2 7" xfId="1153"/>
    <cellStyle name="Normal 60 2 70" xfId="16977"/>
    <cellStyle name="Normal 60 2 71" xfId="17228"/>
    <cellStyle name="Normal 60 2 72" xfId="17479"/>
    <cellStyle name="Normal 60 2 73" xfId="17730"/>
    <cellStyle name="Normal 60 2 74" xfId="17981"/>
    <cellStyle name="Normal 60 2 75" xfId="18232"/>
    <cellStyle name="Normal 60 2 76" xfId="18483"/>
    <cellStyle name="Normal 60 2 77" xfId="18733"/>
    <cellStyle name="Normal 60 2 78" xfId="18984"/>
    <cellStyle name="Normal 60 2 79" xfId="19235"/>
    <cellStyle name="Normal 60 2 8" xfId="1406"/>
    <cellStyle name="Normal 60 2 80" xfId="19485"/>
    <cellStyle name="Normal 60 2 81" xfId="19741"/>
    <cellStyle name="Normal 60 2 82" xfId="19993"/>
    <cellStyle name="Normal 60 2 83" xfId="20245"/>
    <cellStyle name="Normal 60 2 84" xfId="20497"/>
    <cellStyle name="Normal 60 2 85" xfId="20747"/>
    <cellStyle name="Normal 60 2 86" xfId="20997"/>
    <cellStyle name="Normal 60 2 87" xfId="21248"/>
    <cellStyle name="Normal 60 2 88" xfId="21492"/>
    <cellStyle name="Normal 60 2 89" xfId="21736"/>
    <cellStyle name="Normal 60 2 9" xfId="1659"/>
    <cellStyle name="Normal 60 2 90" xfId="21977"/>
    <cellStyle name="Normal 60 20" xfId="4142"/>
    <cellStyle name="Normal 60 21" xfId="4393"/>
    <cellStyle name="Normal 60 22" xfId="4644"/>
    <cellStyle name="Normal 60 23" xfId="4895"/>
    <cellStyle name="Normal 60 24" xfId="5146"/>
    <cellStyle name="Normal 60 25" xfId="5397"/>
    <cellStyle name="Normal 60 26" xfId="5648"/>
    <cellStyle name="Normal 60 27" xfId="5899"/>
    <cellStyle name="Normal 60 28" xfId="6150"/>
    <cellStyle name="Normal 60 29" xfId="6401"/>
    <cellStyle name="Normal 60 3" xfId="178"/>
    <cellStyle name="Normal 60 3 10" xfId="2478"/>
    <cellStyle name="Normal 60 3 11" xfId="2729"/>
    <cellStyle name="Normal 60 3 12" xfId="2980"/>
    <cellStyle name="Normal 60 3 13" xfId="3231"/>
    <cellStyle name="Normal 60 3 14" xfId="3482"/>
    <cellStyle name="Normal 60 3 15" xfId="3733"/>
    <cellStyle name="Normal 60 3 16" xfId="3984"/>
    <cellStyle name="Normal 60 3 17" xfId="4235"/>
    <cellStyle name="Normal 60 3 18" xfId="4486"/>
    <cellStyle name="Normal 60 3 19" xfId="4737"/>
    <cellStyle name="Normal 60 3 2" xfId="455"/>
    <cellStyle name="Normal 60 3 20" xfId="4988"/>
    <cellStyle name="Normal 60 3 21" xfId="5239"/>
    <cellStyle name="Normal 60 3 22" xfId="5490"/>
    <cellStyle name="Normal 60 3 23" xfId="5741"/>
    <cellStyle name="Normal 60 3 24" xfId="5992"/>
    <cellStyle name="Normal 60 3 25" xfId="6243"/>
    <cellStyle name="Normal 60 3 26" xfId="6494"/>
    <cellStyle name="Normal 60 3 27" xfId="6745"/>
    <cellStyle name="Normal 60 3 28" xfId="6996"/>
    <cellStyle name="Normal 60 3 29" xfId="7247"/>
    <cellStyle name="Normal 60 3 3" xfId="705"/>
    <cellStyle name="Normal 60 3 30" xfId="7498"/>
    <cellStyle name="Normal 60 3 31" xfId="7749"/>
    <cellStyle name="Normal 60 3 32" xfId="8000"/>
    <cellStyle name="Normal 60 3 33" xfId="8251"/>
    <cellStyle name="Normal 60 3 34" xfId="8502"/>
    <cellStyle name="Normal 60 3 35" xfId="8753"/>
    <cellStyle name="Normal 60 3 36" xfId="9004"/>
    <cellStyle name="Normal 60 3 37" xfId="9255"/>
    <cellStyle name="Normal 60 3 38" xfId="9506"/>
    <cellStyle name="Normal 60 3 39" xfId="9757"/>
    <cellStyle name="Normal 60 3 4" xfId="958"/>
    <cellStyle name="Normal 60 3 40" xfId="10008"/>
    <cellStyle name="Normal 60 3 41" xfId="10259"/>
    <cellStyle name="Normal 60 3 42" xfId="10510"/>
    <cellStyle name="Normal 60 3 43" xfId="10761"/>
    <cellStyle name="Normal 60 3 44" xfId="11012"/>
    <cellStyle name="Normal 60 3 45" xfId="11263"/>
    <cellStyle name="Normal 60 3 46" xfId="11514"/>
    <cellStyle name="Normal 60 3 47" xfId="11765"/>
    <cellStyle name="Normal 60 3 48" xfId="12016"/>
    <cellStyle name="Normal 60 3 49" xfId="12267"/>
    <cellStyle name="Normal 60 3 5" xfId="1213"/>
    <cellStyle name="Normal 60 3 50" xfId="12518"/>
    <cellStyle name="Normal 60 3 51" xfId="12769"/>
    <cellStyle name="Normal 60 3 52" xfId="13020"/>
    <cellStyle name="Normal 60 3 53" xfId="13271"/>
    <cellStyle name="Normal 60 3 54" xfId="13522"/>
    <cellStyle name="Normal 60 3 55" xfId="13773"/>
    <cellStyle name="Normal 60 3 56" xfId="14024"/>
    <cellStyle name="Normal 60 3 57" xfId="14275"/>
    <cellStyle name="Normal 60 3 58" xfId="14526"/>
    <cellStyle name="Normal 60 3 59" xfId="14777"/>
    <cellStyle name="Normal 60 3 6" xfId="1466"/>
    <cellStyle name="Normal 60 3 60" xfId="15028"/>
    <cellStyle name="Normal 60 3 61" xfId="15278"/>
    <cellStyle name="Normal 60 3 62" xfId="15529"/>
    <cellStyle name="Normal 60 3 63" xfId="15777"/>
    <cellStyle name="Normal 60 3 64" xfId="16033"/>
    <cellStyle name="Normal 60 3 65" xfId="16284"/>
    <cellStyle name="Normal 60 3 66" xfId="16535"/>
    <cellStyle name="Normal 60 3 67" xfId="16786"/>
    <cellStyle name="Normal 60 3 68" xfId="17037"/>
    <cellStyle name="Normal 60 3 69" xfId="17288"/>
    <cellStyle name="Normal 60 3 7" xfId="1720"/>
    <cellStyle name="Normal 60 3 70" xfId="17539"/>
    <cellStyle name="Normal 60 3 71" xfId="17790"/>
    <cellStyle name="Normal 60 3 72" xfId="18041"/>
    <cellStyle name="Normal 60 3 73" xfId="18292"/>
    <cellStyle name="Normal 60 3 74" xfId="18543"/>
    <cellStyle name="Normal 60 3 75" xfId="18794"/>
    <cellStyle name="Normal 60 3 76" xfId="19044"/>
    <cellStyle name="Normal 60 3 77" xfId="19296"/>
    <cellStyle name="Normal 60 3 78" xfId="19546"/>
    <cellStyle name="Normal 60 3 79" xfId="19802"/>
    <cellStyle name="Normal 60 3 8" xfId="1976"/>
    <cellStyle name="Normal 60 3 80" xfId="20054"/>
    <cellStyle name="Normal 60 3 81" xfId="20306"/>
    <cellStyle name="Normal 60 3 82" xfId="20558"/>
    <cellStyle name="Normal 60 3 83" xfId="20808"/>
    <cellStyle name="Normal 60 3 84" xfId="21058"/>
    <cellStyle name="Normal 60 3 85" xfId="21307"/>
    <cellStyle name="Normal 60 3 86" xfId="21551"/>
    <cellStyle name="Normal 60 3 87" xfId="21795"/>
    <cellStyle name="Normal 60 3 88" xfId="22036"/>
    <cellStyle name="Normal 60 3 9" xfId="2227"/>
    <cellStyle name="Normal 60 30" xfId="6652"/>
    <cellStyle name="Normal 60 31" xfId="6903"/>
    <cellStyle name="Normal 60 32" xfId="7154"/>
    <cellStyle name="Normal 60 33" xfId="7405"/>
    <cellStyle name="Normal 60 34" xfId="7656"/>
    <cellStyle name="Normal 60 35" xfId="7907"/>
    <cellStyle name="Normal 60 36" xfId="8158"/>
    <cellStyle name="Normal 60 37" xfId="8409"/>
    <cellStyle name="Normal 60 38" xfId="8660"/>
    <cellStyle name="Normal 60 39" xfId="8911"/>
    <cellStyle name="Normal 60 4" xfId="254"/>
    <cellStyle name="Normal 60 4 10" xfId="2554"/>
    <cellStyle name="Normal 60 4 11" xfId="2805"/>
    <cellStyle name="Normal 60 4 12" xfId="3056"/>
    <cellStyle name="Normal 60 4 13" xfId="3307"/>
    <cellStyle name="Normal 60 4 14" xfId="3558"/>
    <cellStyle name="Normal 60 4 15" xfId="3809"/>
    <cellStyle name="Normal 60 4 16" xfId="4060"/>
    <cellStyle name="Normal 60 4 17" xfId="4311"/>
    <cellStyle name="Normal 60 4 18" xfId="4562"/>
    <cellStyle name="Normal 60 4 19" xfId="4813"/>
    <cellStyle name="Normal 60 4 2" xfId="530"/>
    <cellStyle name="Normal 60 4 20" xfId="5064"/>
    <cellStyle name="Normal 60 4 21" xfId="5315"/>
    <cellStyle name="Normal 60 4 22" xfId="5566"/>
    <cellStyle name="Normal 60 4 23" xfId="5817"/>
    <cellStyle name="Normal 60 4 24" xfId="6068"/>
    <cellStyle name="Normal 60 4 25" xfId="6319"/>
    <cellStyle name="Normal 60 4 26" xfId="6570"/>
    <cellStyle name="Normal 60 4 27" xfId="6821"/>
    <cellStyle name="Normal 60 4 28" xfId="7072"/>
    <cellStyle name="Normal 60 4 29" xfId="7323"/>
    <cellStyle name="Normal 60 4 3" xfId="780"/>
    <cellStyle name="Normal 60 4 30" xfId="7574"/>
    <cellStyle name="Normal 60 4 31" xfId="7825"/>
    <cellStyle name="Normal 60 4 32" xfId="8076"/>
    <cellStyle name="Normal 60 4 33" xfId="8327"/>
    <cellStyle name="Normal 60 4 34" xfId="8578"/>
    <cellStyle name="Normal 60 4 35" xfId="8829"/>
    <cellStyle name="Normal 60 4 36" xfId="9080"/>
    <cellStyle name="Normal 60 4 37" xfId="9331"/>
    <cellStyle name="Normal 60 4 38" xfId="9582"/>
    <cellStyle name="Normal 60 4 39" xfId="9833"/>
    <cellStyle name="Normal 60 4 4" xfId="1032"/>
    <cellStyle name="Normal 60 4 40" xfId="10084"/>
    <cellStyle name="Normal 60 4 41" xfId="10335"/>
    <cellStyle name="Normal 60 4 42" xfId="10586"/>
    <cellStyle name="Normal 60 4 43" xfId="10837"/>
    <cellStyle name="Normal 60 4 44" xfId="11088"/>
    <cellStyle name="Normal 60 4 45" xfId="11339"/>
    <cellStyle name="Normal 60 4 46" xfId="11590"/>
    <cellStyle name="Normal 60 4 47" xfId="11841"/>
    <cellStyle name="Normal 60 4 48" xfId="12092"/>
    <cellStyle name="Normal 60 4 49" xfId="12343"/>
    <cellStyle name="Normal 60 4 5" xfId="1288"/>
    <cellStyle name="Normal 60 4 50" xfId="12594"/>
    <cellStyle name="Normal 60 4 51" xfId="12845"/>
    <cellStyle name="Normal 60 4 52" xfId="13096"/>
    <cellStyle name="Normal 60 4 53" xfId="13347"/>
    <cellStyle name="Normal 60 4 54" xfId="13598"/>
    <cellStyle name="Normal 60 4 55" xfId="13849"/>
    <cellStyle name="Normal 60 4 56" xfId="14100"/>
    <cellStyle name="Normal 60 4 57" xfId="14351"/>
    <cellStyle name="Normal 60 4 58" xfId="14602"/>
    <cellStyle name="Normal 60 4 59" xfId="14853"/>
    <cellStyle name="Normal 60 4 6" xfId="1542"/>
    <cellStyle name="Normal 60 4 60" xfId="15104"/>
    <cellStyle name="Normal 60 4 61" xfId="15354"/>
    <cellStyle name="Normal 60 4 62" xfId="15604"/>
    <cellStyle name="Normal 60 4 63" xfId="15853"/>
    <cellStyle name="Normal 60 4 64" xfId="16109"/>
    <cellStyle name="Normal 60 4 65" xfId="16360"/>
    <cellStyle name="Normal 60 4 66" xfId="16611"/>
    <cellStyle name="Normal 60 4 67" xfId="16862"/>
    <cellStyle name="Normal 60 4 68" xfId="17113"/>
    <cellStyle name="Normal 60 4 69" xfId="17364"/>
    <cellStyle name="Normal 60 4 7" xfId="1795"/>
    <cellStyle name="Normal 60 4 70" xfId="17615"/>
    <cellStyle name="Normal 60 4 71" xfId="17866"/>
    <cellStyle name="Normal 60 4 72" xfId="18117"/>
    <cellStyle name="Normal 60 4 73" xfId="18368"/>
    <cellStyle name="Normal 60 4 74" xfId="18619"/>
    <cellStyle name="Normal 60 4 75" xfId="18870"/>
    <cellStyle name="Normal 60 4 76" xfId="19120"/>
    <cellStyle name="Normal 60 4 77" xfId="19372"/>
    <cellStyle name="Normal 60 4 78" xfId="19622"/>
    <cellStyle name="Normal 60 4 79" xfId="19878"/>
    <cellStyle name="Normal 60 4 8" xfId="2052"/>
    <cellStyle name="Normal 60 4 80" xfId="20130"/>
    <cellStyle name="Normal 60 4 81" xfId="20382"/>
    <cellStyle name="Normal 60 4 82" xfId="20634"/>
    <cellStyle name="Normal 60 4 83" xfId="20884"/>
    <cellStyle name="Normal 60 4 84" xfId="21134"/>
    <cellStyle name="Normal 60 4 85" xfId="21382"/>
    <cellStyle name="Normal 60 4 86" xfId="21626"/>
    <cellStyle name="Normal 60 4 87" xfId="21869"/>
    <cellStyle name="Normal 60 4 88" xfId="22110"/>
    <cellStyle name="Normal 60 4 9" xfId="2303"/>
    <cellStyle name="Normal 60 40" xfId="9162"/>
    <cellStyle name="Normal 60 41" xfId="9413"/>
    <cellStyle name="Normal 60 42" xfId="9664"/>
    <cellStyle name="Normal 60 43" xfId="9915"/>
    <cellStyle name="Normal 60 44" xfId="10166"/>
    <cellStyle name="Normal 60 45" xfId="10417"/>
    <cellStyle name="Normal 60 46" xfId="10668"/>
    <cellStyle name="Normal 60 47" xfId="10919"/>
    <cellStyle name="Normal 60 48" xfId="11170"/>
    <cellStyle name="Normal 60 49" xfId="11421"/>
    <cellStyle name="Normal 60 5" xfId="363"/>
    <cellStyle name="Normal 60 50" xfId="11672"/>
    <cellStyle name="Normal 60 51" xfId="11923"/>
    <cellStyle name="Normal 60 52" xfId="12174"/>
    <cellStyle name="Normal 60 53" xfId="12425"/>
    <cellStyle name="Normal 60 54" xfId="12676"/>
    <cellStyle name="Normal 60 55" xfId="12927"/>
    <cellStyle name="Normal 60 56" xfId="13178"/>
    <cellStyle name="Normal 60 57" xfId="13429"/>
    <cellStyle name="Normal 60 58" xfId="13680"/>
    <cellStyle name="Normal 60 59" xfId="13931"/>
    <cellStyle name="Normal 60 6" xfId="612"/>
    <cellStyle name="Normal 60 60" xfId="14182"/>
    <cellStyle name="Normal 60 61" xfId="14433"/>
    <cellStyle name="Normal 60 62" xfId="14684"/>
    <cellStyle name="Normal 60 63" xfId="14934"/>
    <cellStyle name="Normal 60 64" xfId="15185"/>
    <cellStyle name="Normal 60 65" xfId="15436"/>
    <cellStyle name="Normal 60 66" xfId="15683"/>
    <cellStyle name="Normal 60 67" xfId="15940"/>
    <cellStyle name="Normal 60 68" xfId="16191"/>
    <cellStyle name="Normal 60 69" xfId="16442"/>
    <cellStyle name="Normal 60 7" xfId="865"/>
    <cellStyle name="Normal 60 70" xfId="16693"/>
    <cellStyle name="Normal 60 71" xfId="16944"/>
    <cellStyle name="Normal 60 72" xfId="17195"/>
    <cellStyle name="Normal 60 73" xfId="17446"/>
    <cellStyle name="Normal 60 74" xfId="17697"/>
    <cellStyle name="Normal 60 75" xfId="17948"/>
    <cellStyle name="Normal 60 76" xfId="18199"/>
    <cellStyle name="Normal 60 77" xfId="18450"/>
    <cellStyle name="Normal 60 78" xfId="18700"/>
    <cellStyle name="Normal 60 79" xfId="18951"/>
    <cellStyle name="Normal 60 8" xfId="1120"/>
    <cellStyle name="Normal 60 80" xfId="19202"/>
    <cellStyle name="Normal 60 81" xfId="19452"/>
    <cellStyle name="Normal 60 82" xfId="19708"/>
    <cellStyle name="Normal 60 83" xfId="19960"/>
    <cellStyle name="Normal 60 84" xfId="20212"/>
    <cellStyle name="Normal 60 85" xfId="20464"/>
    <cellStyle name="Normal 60 86" xfId="20714"/>
    <cellStyle name="Normal 60 87" xfId="20964"/>
    <cellStyle name="Normal 60 88" xfId="21215"/>
    <cellStyle name="Normal 60 89" xfId="21459"/>
    <cellStyle name="Normal 60 9" xfId="1373"/>
    <cellStyle name="Normal 60 90" xfId="21703"/>
    <cellStyle name="Normal 60 91" xfId="21944"/>
    <cellStyle name="Normal 61" xfId="22180"/>
    <cellStyle name="Normal 61 10" xfId="24547"/>
    <cellStyle name="Normal 61 11" xfId="24548"/>
    <cellStyle name="Normal 61 12" xfId="24549"/>
    <cellStyle name="Normal 61 13" xfId="24550"/>
    <cellStyle name="Normal 61 14" xfId="24551"/>
    <cellStyle name="Normal 61 15" xfId="24552"/>
    <cellStyle name="Normal 61 16" xfId="24553"/>
    <cellStyle name="Normal 61 2" xfId="24554"/>
    <cellStyle name="Normal 61 3" xfId="24555"/>
    <cellStyle name="Normal 61 4" xfId="24556"/>
    <cellStyle name="Normal 61 5" xfId="24557"/>
    <cellStyle name="Normal 61 6" xfId="24558"/>
    <cellStyle name="Normal 61 7" xfId="24559"/>
    <cellStyle name="Normal 61 8" xfId="24560"/>
    <cellStyle name="Normal 61 9" xfId="24561"/>
    <cellStyle name="Normal 62" xfId="22224"/>
    <cellStyle name="Normal 62 10" xfId="24562"/>
    <cellStyle name="Normal 62 11" xfId="24563"/>
    <cellStyle name="Normal 62 12" xfId="24564"/>
    <cellStyle name="Normal 62 13" xfId="24565"/>
    <cellStyle name="Normal 62 14" xfId="24566"/>
    <cellStyle name="Normal 62 15" xfId="24567"/>
    <cellStyle name="Normal 62 16" xfId="24568"/>
    <cellStyle name="Normal 62 2" xfId="24569"/>
    <cellStyle name="Normal 62 3" xfId="24570"/>
    <cellStyle name="Normal 62 4" xfId="24571"/>
    <cellStyle name="Normal 62 5" xfId="24572"/>
    <cellStyle name="Normal 62 6" xfId="24573"/>
    <cellStyle name="Normal 62 7" xfId="24574"/>
    <cellStyle name="Normal 62 8" xfId="24575"/>
    <cellStyle name="Normal 62 9" xfId="24576"/>
    <cellStyle name="Normal 63" xfId="22225"/>
    <cellStyle name="Normal 63 10" xfId="24577"/>
    <cellStyle name="Normal 63 11" xfId="24578"/>
    <cellStyle name="Normal 63 12" xfId="24579"/>
    <cellStyle name="Normal 63 13" xfId="24580"/>
    <cellStyle name="Normal 63 14" xfId="24581"/>
    <cellStyle name="Normal 63 15" xfId="24582"/>
    <cellStyle name="Normal 63 16" xfId="24583"/>
    <cellStyle name="Normal 63 2" xfId="24584"/>
    <cellStyle name="Normal 63 3" xfId="24585"/>
    <cellStyle name="Normal 63 4" xfId="24586"/>
    <cellStyle name="Normal 63 5" xfId="24587"/>
    <cellStyle name="Normal 63 6" xfId="24588"/>
    <cellStyle name="Normal 63 7" xfId="24589"/>
    <cellStyle name="Normal 63 8" xfId="24590"/>
    <cellStyle name="Normal 63 9" xfId="24591"/>
    <cellStyle name="Normal 64" xfId="85"/>
    <cellStyle name="Normal 64 10" xfId="1627"/>
    <cellStyle name="Normal 64 11" xfId="1884"/>
    <cellStyle name="Normal 64 12" xfId="2135"/>
    <cellStyle name="Normal 64 13" xfId="2386"/>
    <cellStyle name="Normal 64 14" xfId="2637"/>
    <cellStyle name="Normal 64 15" xfId="2888"/>
    <cellStyle name="Normal 64 16" xfId="3139"/>
    <cellStyle name="Normal 64 17" xfId="3390"/>
    <cellStyle name="Normal 64 18" xfId="3641"/>
    <cellStyle name="Normal 64 19" xfId="3892"/>
    <cellStyle name="Normal 64 2" xfId="118"/>
    <cellStyle name="Normal 64 2 10" xfId="1917"/>
    <cellStyle name="Normal 64 2 11" xfId="2168"/>
    <cellStyle name="Normal 64 2 12" xfId="2419"/>
    <cellStyle name="Normal 64 2 13" xfId="2670"/>
    <cellStyle name="Normal 64 2 14" xfId="2921"/>
    <cellStyle name="Normal 64 2 15" xfId="3172"/>
    <cellStyle name="Normal 64 2 16" xfId="3423"/>
    <cellStyle name="Normal 64 2 17" xfId="3674"/>
    <cellStyle name="Normal 64 2 18" xfId="3925"/>
    <cellStyle name="Normal 64 2 19" xfId="4176"/>
    <cellStyle name="Normal 64 2 2" xfId="212"/>
    <cellStyle name="Normal 64 2 2 10" xfId="2512"/>
    <cellStyle name="Normal 64 2 2 11" xfId="2763"/>
    <cellStyle name="Normal 64 2 2 12" xfId="3014"/>
    <cellStyle name="Normal 64 2 2 13" xfId="3265"/>
    <cellStyle name="Normal 64 2 2 14" xfId="3516"/>
    <cellStyle name="Normal 64 2 2 15" xfId="3767"/>
    <cellStyle name="Normal 64 2 2 16" xfId="4018"/>
    <cellStyle name="Normal 64 2 2 17" xfId="4269"/>
    <cellStyle name="Normal 64 2 2 18" xfId="4520"/>
    <cellStyle name="Normal 64 2 2 19" xfId="4771"/>
    <cellStyle name="Normal 64 2 2 2" xfId="489"/>
    <cellStyle name="Normal 64 2 2 20" xfId="5022"/>
    <cellStyle name="Normal 64 2 2 21" xfId="5273"/>
    <cellStyle name="Normal 64 2 2 22" xfId="5524"/>
    <cellStyle name="Normal 64 2 2 23" xfId="5775"/>
    <cellStyle name="Normal 64 2 2 24" xfId="6026"/>
    <cellStyle name="Normal 64 2 2 25" xfId="6277"/>
    <cellStyle name="Normal 64 2 2 26" xfId="6528"/>
    <cellStyle name="Normal 64 2 2 27" xfId="6779"/>
    <cellStyle name="Normal 64 2 2 28" xfId="7030"/>
    <cellStyle name="Normal 64 2 2 29" xfId="7281"/>
    <cellStyle name="Normal 64 2 2 3" xfId="739"/>
    <cellStyle name="Normal 64 2 2 30" xfId="7532"/>
    <cellStyle name="Normal 64 2 2 31" xfId="7783"/>
    <cellStyle name="Normal 64 2 2 32" xfId="8034"/>
    <cellStyle name="Normal 64 2 2 33" xfId="8285"/>
    <cellStyle name="Normal 64 2 2 34" xfId="8536"/>
    <cellStyle name="Normal 64 2 2 35" xfId="8787"/>
    <cellStyle name="Normal 64 2 2 36" xfId="9038"/>
    <cellStyle name="Normal 64 2 2 37" xfId="9289"/>
    <cellStyle name="Normal 64 2 2 38" xfId="9540"/>
    <cellStyle name="Normal 64 2 2 39" xfId="9791"/>
    <cellStyle name="Normal 64 2 2 4" xfId="992"/>
    <cellStyle name="Normal 64 2 2 40" xfId="10042"/>
    <cellStyle name="Normal 64 2 2 41" xfId="10293"/>
    <cellStyle name="Normal 64 2 2 42" xfId="10544"/>
    <cellStyle name="Normal 64 2 2 43" xfId="10795"/>
    <cellStyle name="Normal 64 2 2 44" xfId="11046"/>
    <cellStyle name="Normal 64 2 2 45" xfId="11297"/>
    <cellStyle name="Normal 64 2 2 46" xfId="11548"/>
    <cellStyle name="Normal 64 2 2 47" xfId="11799"/>
    <cellStyle name="Normal 64 2 2 48" xfId="12050"/>
    <cellStyle name="Normal 64 2 2 49" xfId="12301"/>
    <cellStyle name="Normal 64 2 2 5" xfId="1247"/>
    <cellStyle name="Normal 64 2 2 50" xfId="12552"/>
    <cellStyle name="Normal 64 2 2 51" xfId="12803"/>
    <cellStyle name="Normal 64 2 2 52" xfId="13054"/>
    <cellStyle name="Normal 64 2 2 53" xfId="13305"/>
    <cellStyle name="Normal 64 2 2 54" xfId="13556"/>
    <cellStyle name="Normal 64 2 2 55" xfId="13807"/>
    <cellStyle name="Normal 64 2 2 56" xfId="14058"/>
    <cellStyle name="Normal 64 2 2 57" xfId="14309"/>
    <cellStyle name="Normal 64 2 2 58" xfId="14560"/>
    <cellStyle name="Normal 64 2 2 59" xfId="14811"/>
    <cellStyle name="Normal 64 2 2 6" xfId="1500"/>
    <cellStyle name="Normal 64 2 2 60" xfId="15062"/>
    <cellStyle name="Normal 64 2 2 61" xfId="15312"/>
    <cellStyle name="Normal 64 2 2 62" xfId="15563"/>
    <cellStyle name="Normal 64 2 2 63" xfId="15811"/>
    <cellStyle name="Normal 64 2 2 64" xfId="16067"/>
    <cellStyle name="Normal 64 2 2 65" xfId="16318"/>
    <cellStyle name="Normal 64 2 2 66" xfId="16569"/>
    <cellStyle name="Normal 64 2 2 67" xfId="16820"/>
    <cellStyle name="Normal 64 2 2 68" xfId="17071"/>
    <cellStyle name="Normal 64 2 2 69" xfId="17322"/>
    <cellStyle name="Normal 64 2 2 7" xfId="1754"/>
    <cellStyle name="Normal 64 2 2 70" xfId="17573"/>
    <cellStyle name="Normal 64 2 2 71" xfId="17824"/>
    <cellStyle name="Normal 64 2 2 72" xfId="18075"/>
    <cellStyle name="Normal 64 2 2 73" xfId="18326"/>
    <cellStyle name="Normal 64 2 2 74" xfId="18577"/>
    <cellStyle name="Normal 64 2 2 75" xfId="18828"/>
    <cellStyle name="Normal 64 2 2 76" xfId="19078"/>
    <cellStyle name="Normal 64 2 2 77" xfId="19330"/>
    <cellStyle name="Normal 64 2 2 78" xfId="19580"/>
    <cellStyle name="Normal 64 2 2 79" xfId="19836"/>
    <cellStyle name="Normal 64 2 2 8" xfId="2010"/>
    <cellStyle name="Normal 64 2 2 80" xfId="20088"/>
    <cellStyle name="Normal 64 2 2 81" xfId="20340"/>
    <cellStyle name="Normal 64 2 2 82" xfId="20592"/>
    <cellStyle name="Normal 64 2 2 83" xfId="20842"/>
    <cellStyle name="Normal 64 2 2 84" xfId="21092"/>
    <cellStyle name="Normal 64 2 2 85" xfId="21341"/>
    <cellStyle name="Normal 64 2 2 86" xfId="21585"/>
    <cellStyle name="Normal 64 2 2 87" xfId="21829"/>
    <cellStyle name="Normal 64 2 2 88" xfId="22070"/>
    <cellStyle name="Normal 64 2 2 9" xfId="2261"/>
    <cellStyle name="Normal 64 2 20" xfId="4427"/>
    <cellStyle name="Normal 64 2 21" xfId="4678"/>
    <cellStyle name="Normal 64 2 22" xfId="4929"/>
    <cellStyle name="Normal 64 2 23" xfId="5180"/>
    <cellStyle name="Normal 64 2 24" xfId="5431"/>
    <cellStyle name="Normal 64 2 25" xfId="5682"/>
    <cellStyle name="Normal 64 2 26" xfId="5933"/>
    <cellStyle name="Normal 64 2 27" xfId="6184"/>
    <cellStyle name="Normal 64 2 28" xfId="6435"/>
    <cellStyle name="Normal 64 2 29" xfId="6686"/>
    <cellStyle name="Normal 64 2 3" xfId="288"/>
    <cellStyle name="Normal 64 2 3 10" xfId="2588"/>
    <cellStyle name="Normal 64 2 3 11" xfId="2839"/>
    <cellStyle name="Normal 64 2 3 12" xfId="3090"/>
    <cellStyle name="Normal 64 2 3 13" xfId="3341"/>
    <cellStyle name="Normal 64 2 3 14" xfId="3592"/>
    <cellStyle name="Normal 64 2 3 15" xfId="3843"/>
    <cellStyle name="Normal 64 2 3 16" xfId="4094"/>
    <cellStyle name="Normal 64 2 3 17" xfId="4345"/>
    <cellStyle name="Normal 64 2 3 18" xfId="4596"/>
    <cellStyle name="Normal 64 2 3 19" xfId="4847"/>
    <cellStyle name="Normal 64 2 3 2" xfId="563"/>
    <cellStyle name="Normal 64 2 3 20" xfId="5098"/>
    <cellStyle name="Normal 64 2 3 21" xfId="5349"/>
    <cellStyle name="Normal 64 2 3 22" xfId="5600"/>
    <cellStyle name="Normal 64 2 3 23" xfId="5851"/>
    <cellStyle name="Normal 64 2 3 24" xfId="6102"/>
    <cellStyle name="Normal 64 2 3 25" xfId="6353"/>
    <cellStyle name="Normal 64 2 3 26" xfId="6604"/>
    <cellStyle name="Normal 64 2 3 27" xfId="6855"/>
    <cellStyle name="Normal 64 2 3 28" xfId="7106"/>
    <cellStyle name="Normal 64 2 3 29" xfId="7357"/>
    <cellStyle name="Normal 64 2 3 3" xfId="813"/>
    <cellStyle name="Normal 64 2 3 30" xfId="7608"/>
    <cellStyle name="Normal 64 2 3 31" xfId="7859"/>
    <cellStyle name="Normal 64 2 3 32" xfId="8110"/>
    <cellStyle name="Normal 64 2 3 33" xfId="8361"/>
    <cellStyle name="Normal 64 2 3 34" xfId="8612"/>
    <cellStyle name="Normal 64 2 3 35" xfId="8863"/>
    <cellStyle name="Normal 64 2 3 36" xfId="9114"/>
    <cellStyle name="Normal 64 2 3 37" xfId="9365"/>
    <cellStyle name="Normal 64 2 3 38" xfId="9616"/>
    <cellStyle name="Normal 64 2 3 39" xfId="9867"/>
    <cellStyle name="Normal 64 2 3 4" xfId="1065"/>
    <cellStyle name="Normal 64 2 3 40" xfId="10118"/>
    <cellStyle name="Normal 64 2 3 41" xfId="10369"/>
    <cellStyle name="Normal 64 2 3 42" xfId="10620"/>
    <cellStyle name="Normal 64 2 3 43" xfId="10871"/>
    <cellStyle name="Normal 64 2 3 44" xfId="11122"/>
    <cellStyle name="Normal 64 2 3 45" xfId="11373"/>
    <cellStyle name="Normal 64 2 3 46" xfId="11624"/>
    <cellStyle name="Normal 64 2 3 47" xfId="11875"/>
    <cellStyle name="Normal 64 2 3 48" xfId="12126"/>
    <cellStyle name="Normal 64 2 3 49" xfId="12377"/>
    <cellStyle name="Normal 64 2 3 5" xfId="1321"/>
    <cellStyle name="Normal 64 2 3 50" xfId="12628"/>
    <cellStyle name="Normal 64 2 3 51" xfId="12879"/>
    <cellStyle name="Normal 64 2 3 52" xfId="13130"/>
    <cellStyle name="Normal 64 2 3 53" xfId="13381"/>
    <cellStyle name="Normal 64 2 3 54" xfId="13632"/>
    <cellStyle name="Normal 64 2 3 55" xfId="13883"/>
    <cellStyle name="Normal 64 2 3 56" xfId="14134"/>
    <cellStyle name="Normal 64 2 3 57" xfId="14385"/>
    <cellStyle name="Normal 64 2 3 58" xfId="14636"/>
    <cellStyle name="Normal 64 2 3 59" xfId="14887"/>
    <cellStyle name="Normal 64 2 3 6" xfId="1576"/>
    <cellStyle name="Normal 64 2 3 60" xfId="15138"/>
    <cellStyle name="Normal 64 2 3 61" xfId="15388"/>
    <cellStyle name="Normal 64 2 3 62" xfId="15637"/>
    <cellStyle name="Normal 64 2 3 63" xfId="15887"/>
    <cellStyle name="Normal 64 2 3 64" xfId="16143"/>
    <cellStyle name="Normal 64 2 3 65" xfId="16394"/>
    <cellStyle name="Normal 64 2 3 66" xfId="16645"/>
    <cellStyle name="Normal 64 2 3 67" xfId="16896"/>
    <cellStyle name="Normal 64 2 3 68" xfId="17147"/>
    <cellStyle name="Normal 64 2 3 69" xfId="17398"/>
    <cellStyle name="Normal 64 2 3 7" xfId="1829"/>
    <cellStyle name="Normal 64 2 3 70" xfId="17649"/>
    <cellStyle name="Normal 64 2 3 71" xfId="17900"/>
    <cellStyle name="Normal 64 2 3 72" xfId="18151"/>
    <cellStyle name="Normal 64 2 3 73" xfId="18402"/>
    <cellStyle name="Normal 64 2 3 74" xfId="18653"/>
    <cellStyle name="Normal 64 2 3 75" xfId="18904"/>
    <cellStyle name="Normal 64 2 3 76" xfId="19154"/>
    <cellStyle name="Normal 64 2 3 77" xfId="19405"/>
    <cellStyle name="Normal 64 2 3 78" xfId="19656"/>
    <cellStyle name="Normal 64 2 3 79" xfId="19912"/>
    <cellStyle name="Normal 64 2 3 8" xfId="2086"/>
    <cellStyle name="Normal 64 2 3 80" xfId="20164"/>
    <cellStyle name="Normal 64 2 3 81" xfId="20416"/>
    <cellStyle name="Normal 64 2 3 82" xfId="20668"/>
    <cellStyle name="Normal 64 2 3 83" xfId="20918"/>
    <cellStyle name="Normal 64 2 3 84" xfId="21167"/>
    <cellStyle name="Normal 64 2 3 85" xfId="21415"/>
    <cellStyle name="Normal 64 2 3 86" xfId="21659"/>
    <cellStyle name="Normal 64 2 3 87" xfId="21901"/>
    <cellStyle name="Normal 64 2 3 88" xfId="22142"/>
    <cellStyle name="Normal 64 2 3 9" xfId="2337"/>
    <cellStyle name="Normal 64 2 30" xfId="6937"/>
    <cellStyle name="Normal 64 2 31" xfId="7188"/>
    <cellStyle name="Normal 64 2 32" xfId="7439"/>
    <cellStyle name="Normal 64 2 33" xfId="7690"/>
    <cellStyle name="Normal 64 2 34" xfId="7941"/>
    <cellStyle name="Normal 64 2 35" xfId="8192"/>
    <cellStyle name="Normal 64 2 36" xfId="8443"/>
    <cellStyle name="Normal 64 2 37" xfId="8694"/>
    <cellStyle name="Normal 64 2 38" xfId="8945"/>
    <cellStyle name="Normal 64 2 39" xfId="9196"/>
    <cellStyle name="Normal 64 2 4" xfId="397"/>
    <cellStyle name="Normal 64 2 40" xfId="9447"/>
    <cellStyle name="Normal 64 2 41" xfId="9698"/>
    <cellStyle name="Normal 64 2 42" xfId="9949"/>
    <cellStyle name="Normal 64 2 43" xfId="10200"/>
    <cellStyle name="Normal 64 2 44" xfId="10451"/>
    <cellStyle name="Normal 64 2 45" xfId="10702"/>
    <cellStyle name="Normal 64 2 46" xfId="10953"/>
    <cellStyle name="Normal 64 2 47" xfId="11204"/>
    <cellStyle name="Normal 64 2 48" xfId="11455"/>
    <cellStyle name="Normal 64 2 49" xfId="11706"/>
    <cellStyle name="Normal 64 2 5" xfId="646"/>
    <cellStyle name="Normal 64 2 50" xfId="11957"/>
    <cellStyle name="Normal 64 2 51" xfId="12208"/>
    <cellStyle name="Normal 64 2 52" xfId="12459"/>
    <cellStyle name="Normal 64 2 53" xfId="12710"/>
    <cellStyle name="Normal 64 2 54" xfId="12961"/>
    <cellStyle name="Normal 64 2 55" xfId="13212"/>
    <cellStyle name="Normal 64 2 56" xfId="13463"/>
    <cellStyle name="Normal 64 2 57" xfId="13714"/>
    <cellStyle name="Normal 64 2 58" xfId="13965"/>
    <cellStyle name="Normal 64 2 59" xfId="14216"/>
    <cellStyle name="Normal 64 2 6" xfId="899"/>
    <cellStyle name="Normal 64 2 60" xfId="14467"/>
    <cellStyle name="Normal 64 2 61" xfId="14718"/>
    <cellStyle name="Normal 64 2 62" xfId="14968"/>
    <cellStyle name="Normal 64 2 63" xfId="15219"/>
    <cellStyle name="Normal 64 2 64" xfId="15470"/>
    <cellStyle name="Normal 64 2 65" xfId="15717"/>
    <cellStyle name="Normal 64 2 66" xfId="15974"/>
    <cellStyle name="Normal 64 2 67" xfId="16225"/>
    <cellStyle name="Normal 64 2 68" xfId="16476"/>
    <cellStyle name="Normal 64 2 69" xfId="16727"/>
    <cellStyle name="Normal 64 2 7" xfId="1154"/>
    <cellStyle name="Normal 64 2 70" xfId="16978"/>
    <cellStyle name="Normal 64 2 71" xfId="17229"/>
    <cellStyle name="Normal 64 2 72" xfId="17480"/>
    <cellStyle name="Normal 64 2 73" xfId="17731"/>
    <cellStyle name="Normal 64 2 74" xfId="17982"/>
    <cellStyle name="Normal 64 2 75" xfId="18233"/>
    <cellStyle name="Normal 64 2 76" xfId="18484"/>
    <cellStyle name="Normal 64 2 77" xfId="18734"/>
    <cellStyle name="Normal 64 2 78" xfId="18985"/>
    <cellStyle name="Normal 64 2 79" xfId="19236"/>
    <cellStyle name="Normal 64 2 8" xfId="1407"/>
    <cellStyle name="Normal 64 2 80" xfId="19486"/>
    <cellStyle name="Normal 64 2 81" xfId="19742"/>
    <cellStyle name="Normal 64 2 82" xfId="19994"/>
    <cellStyle name="Normal 64 2 83" xfId="20246"/>
    <cellStyle name="Normal 64 2 84" xfId="20498"/>
    <cellStyle name="Normal 64 2 85" xfId="20748"/>
    <cellStyle name="Normal 64 2 86" xfId="20998"/>
    <cellStyle name="Normal 64 2 87" xfId="21249"/>
    <cellStyle name="Normal 64 2 88" xfId="21493"/>
    <cellStyle name="Normal 64 2 89" xfId="21737"/>
    <cellStyle name="Normal 64 2 9" xfId="1660"/>
    <cellStyle name="Normal 64 2 90" xfId="21978"/>
    <cellStyle name="Normal 64 20" xfId="4143"/>
    <cellStyle name="Normal 64 21" xfId="4394"/>
    <cellStyle name="Normal 64 22" xfId="4645"/>
    <cellStyle name="Normal 64 23" xfId="4896"/>
    <cellStyle name="Normal 64 24" xfId="5147"/>
    <cellStyle name="Normal 64 25" xfId="5398"/>
    <cellStyle name="Normal 64 26" xfId="5649"/>
    <cellStyle name="Normal 64 27" xfId="5900"/>
    <cellStyle name="Normal 64 28" xfId="6151"/>
    <cellStyle name="Normal 64 29" xfId="6402"/>
    <cellStyle name="Normal 64 3" xfId="179"/>
    <cellStyle name="Normal 64 3 10" xfId="2479"/>
    <cellStyle name="Normal 64 3 11" xfId="2730"/>
    <cellStyle name="Normal 64 3 12" xfId="2981"/>
    <cellStyle name="Normal 64 3 13" xfId="3232"/>
    <cellStyle name="Normal 64 3 14" xfId="3483"/>
    <cellStyle name="Normal 64 3 15" xfId="3734"/>
    <cellStyle name="Normal 64 3 16" xfId="3985"/>
    <cellStyle name="Normal 64 3 17" xfId="4236"/>
    <cellStyle name="Normal 64 3 18" xfId="4487"/>
    <cellStyle name="Normal 64 3 19" xfId="4738"/>
    <cellStyle name="Normal 64 3 2" xfId="456"/>
    <cellStyle name="Normal 64 3 20" xfId="4989"/>
    <cellStyle name="Normal 64 3 21" xfId="5240"/>
    <cellStyle name="Normal 64 3 22" xfId="5491"/>
    <cellStyle name="Normal 64 3 23" xfId="5742"/>
    <cellStyle name="Normal 64 3 24" xfId="5993"/>
    <cellStyle name="Normal 64 3 25" xfId="6244"/>
    <cellStyle name="Normal 64 3 26" xfId="6495"/>
    <cellStyle name="Normal 64 3 27" xfId="6746"/>
    <cellStyle name="Normal 64 3 28" xfId="6997"/>
    <cellStyle name="Normal 64 3 29" xfId="7248"/>
    <cellStyle name="Normal 64 3 3" xfId="706"/>
    <cellStyle name="Normal 64 3 30" xfId="7499"/>
    <cellStyle name="Normal 64 3 31" xfId="7750"/>
    <cellStyle name="Normal 64 3 32" xfId="8001"/>
    <cellStyle name="Normal 64 3 33" xfId="8252"/>
    <cellStyle name="Normal 64 3 34" xfId="8503"/>
    <cellStyle name="Normal 64 3 35" xfId="8754"/>
    <cellStyle name="Normal 64 3 36" xfId="9005"/>
    <cellStyle name="Normal 64 3 37" xfId="9256"/>
    <cellStyle name="Normal 64 3 38" xfId="9507"/>
    <cellStyle name="Normal 64 3 39" xfId="9758"/>
    <cellStyle name="Normal 64 3 4" xfId="959"/>
    <cellStyle name="Normal 64 3 40" xfId="10009"/>
    <cellStyle name="Normal 64 3 41" xfId="10260"/>
    <cellStyle name="Normal 64 3 42" xfId="10511"/>
    <cellStyle name="Normal 64 3 43" xfId="10762"/>
    <cellStyle name="Normal 64 3 44" xfId="11013"/>
    <cellStyle name="Normal 64 3 45" xfId="11264"/>
    <cellStyle name="Normal 64 3 46" xfId="11515"/>
    <cellStyle name="Normal 64 3 47" xfId="11766"/>
    <cellStyle name="Normal 64 3 48" xfId="12017"/>
    <cellStyle name="Normal 64 3 49" xfId="12268"/>
    <cellStyle name="Normal 64 3 5" xfId="1214"/>
    <cellStyle name="Normal 64 3 50" xfId="12519"/>
    <cellStyle name="Normal 64 3 51" xfId="12770"/>
    <cellStyle name="Normal 64 3 52" xfId="13021"/>
    <cellStyle name="Normal 64 3 53" xfId="13272"/>
    <cellStyle name="Normal 64 3 54" xfId="13523"/>
    <cellStyle name="Normal 64 3 55" xfId="13774"/>
    <cellStyle name="Normal 64 3 56" xfId="14025"/>
    <cellStyle name="Normal 64 3 57" xfId="14276"/>
    <cellStyle name="Normal 64 3 58" xfId="14527"/>
    <cellStyle name="Normal 64 3 59" xfId="14778"/>
    <cellStyle name="Normal 64 3 6" xfId="1467"/>
    <cellStyle name="Normal 64 3 60" xfId="15029"/>
    <cellStyle name="Normal 64 3 61" xfId="15279"/>
    <cellStyle name="Normal 64 3 62" xfId="15530"/>
    <cellStyle name="Normal 64 3 63" xfId="15778"/>
    <cellStyle name="Normal 64 3 64" xfId="16034"/>
    <cellStyle name="Normal 64 3 65" xfId="16285"/>
    <cellStyle name="Normal 64 3 66" xfId="16536"/>
    <cellStyle name="Normal 64 3 67" xfId="16787"/>
    <cellStyle name="Normal 64 3 68" xfId="17038"/>
    <cellStyle name="Normal 64 3 69" xfId="17289"/>
    <cellStyle name="Normal 64 3 7" xfId="1721"/>
    <cellStyle name="Normal 64 3 70" xfId="17540"/>
    <cellStyle name="Normal 64 3 71" xfId="17791"/>
    <cellStyle name="Normal 64 3 72" xfId="18042"/>
    <cellStyle name="Normal 64 3 73" xfId="18293"/>
    <cellStyle name="Normal 64 3 74" xfId="18544"/>
    <cellStyle name="Normal 64 3 75" xfId="18795"/>
    <cellStyle name="Normal 64 3 76" xfId="19045"/>
    <cellStyle name="Normal 64 3 77" xfId="19297"/>
    <cellStyle name="Normal 64 3 78" xfId="19547"/>
    <cellStyle name="Normal 64 3 79" xfId="19803"/>
    <cellStyle name="Normal 64 3 8" xfId="1977"/>
    <cellStyle name="Normal 64 3 80" xfId="20055"/>
    <cellStyle name="Normal 64 3 81" xfId="20307"/>
    <cellStyle name="Normal 64 3 82" xfId="20559"/>
    <cellStyle name="Normal 64 3 83" xfId="20809"/>
    <cellStyle name="Normal 64 3 84" xfId="21059"/>
    <cellStyle name="Normal 64 3 85" xfId="21308"/>
    <cellStyle name="Normal 64 3 86" xfId="21552"/>
    <cellStyle name="Normal 64 3 87" xfId="21796"/>
    <cellStyle name="Normal 64 3 88" xfId="22037"/>
    <cellStyle name="Normal 64 3 9" xfId="2228"/>
    <cellStyle name="Normal 64 30" xfId="6653"/>
    <cellStyle name="Normal 64 31" xfId="6904"/>
    <cellStyle name="Normal 64 32" xfId="7155"/>
    <cellStyle name="Normal 64 33" xfId="7406"/>
    <cellStyle name="Normal 64 34" xfId="7657"/>
    <cellStyle name="Normal 64 35" xfId="7908"/>
    <cellStyle name="Normal 64 36" xfId="8159"/>
    <cellStyle name="Normal 64 37" xfId="8410"/>
    <cellStyle name="Normal 64 38" xfId="8661"/>
    <cellStyle name="Normal 64 39" xfId="8912"/>
    <cellStyle name="Normal 64 4" xfId="255"/>
    <cellStyle name="Normal 64 4 10" xfId="2555"/>
    <cellStyle name="Normal 64 4 11" xfId="2806"/>
    <cellStyle name="Normal 64 4 12" xfId="3057"/>
    <cellStyle name="Normal 64 4 13" xfId="3308"/>
    <cellStyle name="Normal 64 4 14" xfId="3559"/>
    <cellStyle name="Normal 64 4 15" xfId="3810"/>
    <cellStyle name="Normal 64 4 16" xfId="4061"/>
    <cellStyle name="Normal 64 4 17" xfId="4312"/>
    <cellStyle name="Normal 64 4 18" xfId="4563"/>
    <cellStyle name="Normal 64 4 19" xfId="4814"/>
    <cellStyle name="Normal 64 4 2" xfId="531"/>
    <cellStyle name="Normal 64 4 20" xfId="5065"/>
    <cellStyle name="Normal 64 4 21" xfId="5316"/>
    <cellStyle name="Normal 64 4 22" xfId="5567"/>
    <cellStyle name="Normal 64 4 23" xfId="5818"/>
    <cellStyle name="Normal 64 4 24" xfId="6069"/>
    <cellStyle name="Normal 64 4 25" xfId="6320"/>
    <cellStyle name="Normal 64 4 26" xfId="6571"/>
    <cellStyle name="Normal 64 4 27" xfId="6822"/>
    <cellStyle name="Normal 64 4 28" xfId="7073"/>
    <cellStyle name="Normal 64 4 29" xfId="7324"/>
    <cellStyle name="Normal 64 4 3" xfId="781"/>
    <cellStyle name="Normal 64 4 30" xfId="7575"/>
    <cellStyle name="Normal 64 4 31" xfId="7826"/>
    <cellStyle name="Normal 64 4 32" xfId="8077"/>
    <cellStyle name="Normal 64 4 33" xfId="8328"/>
    <cellStyle name="Normal 64 4 34" xfId="8579"/>
    <cellStyle name="Normal 64 4 35" xfId="8830"/>
    <cellStyle name="Normal 64 4 36" xfId="9081"/>
    <cellStyle name="Normal 64 4 37" xfId="9332"/>
    <cellStyle name="Normal 64 4 38" xfId="9583"/>
    <cellStyle name="Normal 64 4 39" xfId="9834"/>
    <cellStyle name="Normal 64 4 4" xfId="1033"/>
    <cellStyle name="Normal 64 4 40" xfId="10085"/>
    <cellStyle name="Normal 64 4 41" xfId="10336"/>
    <cellStyle name="Normal 64 4 42" xfId="10587"/>
    <cellStyle name="Normal 64 4 43" xfId="10838"/>
    <cellStyle name="Normal 64 4 44" xfId="11089"/>
    <cellStyle name="Normal 64 4 45" xfId="11340"/>
    <cellStyle name="Normal 64 4 46" xfId="11591"/>
    <cellStyle name="Normal 64 4 47" xfId="11842"/>
    <cellStyle name="Normal 64 4 48" xfId="12093"/>
    <cellStyle name="Normal 64 4 49" xfId="12344"/>
    <cellStyle name="Normal 64 4 5" xfId="1289"/>
    <cellStyle name="Normal 64 4 50" xfId="12595"/>
    <cellStyle name="Normal 64 4 51" xfId="12846"/>
    <cellStyle name="Normal 64 4 52" xfId="13097"/>
    <cellStyle name="Normal 64 4 53" xfId="13348"/>
    <cellStyle name="Normal 64 4 54" xfId="13599"/>
    <cellStyle name="Normal 64 4 55" xfId="13850"/>
    <cellStyle name="Normal 64 4 56" xfId="14101"/>
    <cellStyle name="Normal 64 4 57" xfId="14352"/>
    <cellStyle name="Normal 64 4 58" xfId="14603"/>
    <cellStyle name="Normal 64 4 59" xfId="14854"/>
    <cellStyle name="Normal 64 4 6" xfId="1543"/>
    <cellStyle name="Normal 64 4 60" xfId="15105"/>
    <cellStyle name="Normal 64 4 61" xfId="15355"/>
    <cellStyle name="Normal 64 4 62" xfId="15605"/>
    <cellStyle name="Normal 64 4 63" xfId="15854"/>
    <cellStyle name="Normal 64 4 64" xfId="16110"/>
    <cellStyle name="Normal 64 4 65" xfId="16361"/>
    <cellStyle name="Normal 64 4 66" xfId="16612"/>
    <cellStyle name="Normal 64 4 67" xfId="16863"/>
    <cellStyle name="Normal 64 4 68" xfId="17114"/>
    <cellStyle name="Normal 64 4 69" xfId="17365"/>
    <cellStyle name="Normal 64 4 7" xfId="1796"/>
    <cellStyle name="Normal 64 4 70" xfId="17616"/>
    <cellStyle name="Normal 64 4 71" xfId="17867"/>
    <cellStyle name="Normal 64 4 72" xfId="18118"/>
    <cellStyle name="Normal 64 4 73" xfId="18369"/>
    <cellStyle name="Normal 64 4 74" xfId="18620"/>
    <cellStyle name="Normal 64 4 75" xfId="18871"/>
    <cellStyle name="Normal 64 4 76" xfId="19121"/>
    <cellStyle name="Normal 64 4 77" xfId="19373"/>
    <cellStyle name="Normal 64 4 78" xfId="19623"/>
    <cellStyle name="Normal 64 4 79" xfId="19879"/>
    <cellStyle name="Normal 64 4 8" xfId="2053"/>
    <cellStyle name="Normal 64 4 80" xfId="20131"/>
    <cellStyle name="Normal 64 4 81" xfId="20383"/>
    <cellStyle name="Normal 64 4 82" xfId="20635"/>
    <cellStyle name="Normal 64 4 83" xfId="20885"/>
    <cellStyle name="Normal 64 4 84" xfId="21135"/>
    <cellStyle name="Normal 64 4 85" xfId="21383"/>
    <cellStyle name="Normal 64 4 86" xfId="21627"/>
    <cellStyle name="Normal 64 4 87" xfId="21870"/>
    <cellStyle name="Normal 64 4 88" xfId="22111"/>
    <cellStyle name="Normal 64 4 9" xfId="2304"/>
    <cellStyle name="Normal 64 40" xfId="9163"/>
    <cellStyle name="Normal 64 41" xfId="9414"/>
    <cellStyle name="Normal 64 42" xfId="9665"/>
    <cellStyle name="Normal 64 43" xfId="9916"/>
    <cellStyle name="Normal 64 44" xfId="10167"/>
    <cellStyle name="Normal 64 45" xfId="10418"/>
    <cellStyle name="Normal 64 46" xfId="10669"/>
    <cellStyle name="Normal 64 47" xfId="10920"/>
    <cellStyle name="Normal 64 48" xfId="11171"/>
    <cellStyle name="Normal 64 49" xfId="11422"/>
    <cellStyle name="Normal 64 5" xfId="364"/>
    <cellStyle name="Normal 64 50" xfId="11673"/>
    <cellStyle name="Normal 64 51" xfId="11924"/>
    <cellStyle name="Normal 64 52" xfId="12175"/>
    <cellStyle name="Normal 64 53" xfId="12426"/>
    <cellStyle name="Normal 64 54" xfId="12677"/>
    <cellStyle name="Normal 64 55" xfId="12928"/>
    <cellStyle name="Normal 64 56" xfId="13179"/>
    <cellStyle name="Normal 64 57" xfId="13430"/>
    <cellStyle name="Normal 64 58" xfId="13681"/>
    <cellStyle name="Normal 64 59" xfId="13932"/>
    <cellStyle name="Normal 64 6" xfId="613"/>
    <cellStyle name="Normal 64 60" xfId="14183"/>
    <cellStyle name="Normal 64 61" xfId="14434"/>
    <cellStyle name="Normal 64 62" xfId="14685"/>
    <cellStyle name="Normal 64 63" xfId="14935"/>
    <cellStyle name="Normal 64 64" xfId="15186"/>
    <cellStyle name="Normal 64 65" xfId="15437"/>
    <cellStyle name="Normal 64 66" xfId="15684"/>
    <cellStyle name="Normal 64 67" xfId="15941"/>
    <cellStyle name="Normal 64 68" xfId="16192"/>
    <cellStyle name="Normal 64 69" xfId="16443"/>
    <cellStyle name="Normal 64 7" xfId="866"/>
    <cellStyle name="Normal 64 70" xfId="16694"/>
    <cellStyle name="Normal 64 71" xfId="16945"/>
    <cellStyle name="Normal 64 72" xfId="17196"/>
    <cellStyle name="Normal 64 73" xfId="17447"/>
    <cellStyle name="Normal 64 74" xfId="17698"/>
    <cellStyle name="Normal 64 75" xfId="17949"/>
    <cellStyle name="Normal 64 76" xfId="18200"/>
    <cellStyle name="Normal 64 77" xfId="18451"/>
    <cellStyle name="Normal 64 78" xfId="18701"/>
    <cellStyle name="Normal 64 79" xfId="18952"/>
    <cellStyle name="Normal 64 8" xfId="1121"/>
    <cellStyle name="Normal 64 80" xfId="19203"/>
    <cellStyle name="Normal 64 81" xfId="19453"/>
    <cellStyle name="Normal 64 82" xfId="19709"/>
    <cellStyle name="Normal 64 83" xfId="19961"/>
    <cellStyle name="Normal 64 84" xfId="20213"/>
    <cellStyle name="Normal 64 85" xfId="20465"/>
    <cellStyle name="Normal 64 86" xfId="20715"/>
    <cellStyle name="Normal 64 87" xfId="20965"/>
    <cellStyle name="Normal 64 88" xfId="21216"/>
    <cellStyle name="Normal 64 89" xfId="21460"/>
    <cellStyle name="Normal 64 9" xfId="1374"/>
    <cellStyle name="Normal 64 90" xfId="21704"/>
    <cellStyle name="Normal 64 91" xfId="21945"/>
    <cellStyle name="Normal 65" xfId="24592"/>
    <cellStyle name="Normal 65 10" xfId="24593"/>
    <cellStyle name="Normal 65 11" xfId="24594"/>
    <cellStyle name="Normal 65 12" xfId="24595"/>
    <cellStyle name="Normal 65 13" xfId="24596"/>
    <cellStyle name="Normal 65 14" xfId="24597"/>
    <cellStyle name="Normal 65 15" xfId="24598"/>
    <cellStyle name="Normal 65 16" xfId="24599"/>
    <cellStyle name="Normal 65 2" xfId="24600"/>
    <cellStyle name="Normal 65 3" xfId="24601"/>
    <cellStyle name="Normal 65 4" xfId="24602"/>
    <cellStyle name="Normal 65 5" xfId="24603"/>
    <cellStyle name="Normal 65 6" xfId="24604"/>
    <cellStyle name="Normal 65 7" xfId="24605"/>
    <cellStyle name="Normal 65 8" xfId="24606"/>
    <cellStyle name="Normal 65 9" xfId="24607"/>
    <cellStyle name="Normal 66" xfId="22221"/>
    <cellStyle name="Normal 67" xfId="24608"/>
    <cellStyle name="Normal 68" xfId="24609"/>
    <cellStyle name="Normal 69" xfId="24610"/>
    <cellStyle name="Normal 7" xfId="128"/>
    <cellStyle name="Normal 7 10" xfId="1927"/>
    <cellStyle name="Normal 7 11" xfId="2178"/>
    <cellStyle name="Normal 7 12" xfId="2429"/>
    <cellStyle name="Normal 7 13" xfId="2680"/>
    <cellStyle name="Normal 7 14" xfId="2931"/>
    <cellStyle name="Normal 7 15" xfId="3182"/>
    <cellStyle name="Normal 7 16" xfId="3433"/>
    <cellStyle name="Normal 7 17" xfId="3684"/>
    <cellStyle name="Normal 7 18" xfId="3935"/>
    <cellStyle name="Normal 7 19" xfId="4186"/>
    <cellStyle name="Normal 7 2" xfId="222"/>
    <cellStyle name="Normal 7 2 10" xfId="2522"/>
    <cellStyle name="Normal 7 2 11" xfId="2773"/>
    <cellStyle name="Normal 7 2 12" xfId="3024"/>
    <cellStyle name="Normal 7 2 13" xfId="3275"/>
    <cellStyle name="Normal 7 2 14" xfId="3526"/>
    <cellStyle name="Normal 7 2 15" xfId="3777"/>
    <cellStyle name="Normal 7 2 16" xfId="4028"/>
    <cellStyle name="Normal 7 2 17" xfId="4279"/>
    <cellStyle name="Normal 7 2 18" xfId="4530"/>
    <cellStyle name="Normal 7 2 19" xfId="4781"/>
    <cellStyle name="Normal 7 2 2" xfId="499"/>
    <cellStyle name="Normal 7 2 20" xfId="5032"/>
    <cellStyle name="Normal 7 2 21" xfId="5283"/>
    <cellStyle name="Normal 7 2 22" xfId="5534"/>
    <cellStyle name="Normal 7 2 23" xfId="5785"/>
    <cellStyle name="Normal 7 2 24" xfId="6036"/>
    <cellStyle name="Normal 7 2 25" xfId="6287"/>
    <cellStyle name="Normal 7 2 26" xfId="6538"/>
    <cellStyle name="Normal 7 2 27" xfId="6789"/>
    <cellStyle name="Normal 7 2 28" xfId="7040"/>
    <cellStyle name="Normal 7 2 29" xfId="7291"/>
    <cellStyle name="Normal 7 2 3" xfId="749"/>
    <cellStyle name="Normal 7 2 30" xfId="7542"/>
    <cellStyle name="Normal 7 2 31" xfId="7793"/>
    <cellStyle name="Normal 7 2 32" xfId="8044"/>
    <cellStyle name="Normal 7 2 33" xfId="8295"/>
    <cellStyle name="Normal 7 2 34" xfId="8546"/>
    <cellStyle name="Normal 7 2 35" xfId="8797"/>
    <cellStyle name="Normal 7 2 36" xfId="9048"/>
    <cellStyle name="Normal 7 2 37" xfId="9299"/>
    <cellStyle name="Normal 7 2 38" xfId="9550"/>
    <cellStyle name="Normal 7 2 39" xfId="9801"/>
    <cellStyle name="Normal 7 2 4" xfId="1002"/>
    <cellStyle name="Normal 7 2 40" xfId="10052"/>
    <cellStyle name="Normal 7 2 41" xfId="10303"/>
    <cellStyle name="Normal 7 2 42" xfId="10554"/>
    <cellStyle name="Normal 7 2 43" xfId="10805"/>
    <cellStyle name="Normal 7 2 44" xfId="11056"/>
    <cellStyle name="Normal 7 2 45" xfId="11307"/>
    <cellStyle name="Normal 7 2 46" xfId="11558"/>
    <cellStyle name="Normal 7 2 47" xfId="11809"/>
    <cellStyle name="Normal 7 2 48" xfId="12060"/>
    <cellStyle name="Normal 7 2 49" xfId="12311"/>
    <cellStyle name="Normal 7 2 5" xfId="1257"/>
    <cellStyle name="Normal 7 2 50" xfId="12562"/>
    <cellStyle name="Normal 7 2 51" xfId="12813"/>
    <cellStyle name="Normal 7 2 52" xfId="13064"/>
    <cellStyle name="Normal 7 2 53" xfId="13315"/>
    <cellStyle name="Normal 7 2 54" xfId="13566"/>
    <cellStyle name="Normal 7 2 55" xfId="13817"/>
    <cellStyle name="Normal 7 2 56" xfId="14068"/>
    <cellStyle name="Normal 7 2 57" xfId="14319"/>
    <cellStyle name="Normal 7 2 58" xfId="14570"/>
    <cellStyle name="Normal 7 2 59" xfId="14821"/>
    <cellStyle name="Normal 7 2 6" xfId="1510"/>
    <cellStyle name="Normal 7 2 60" xfId="15072"/>
    <cellStyle name="Normal 7 2 61" xfId="15322"/>
    <cellStyle name="Normal 7 2 62" xfId="15573"/>
    <cellStyle name="Normal 7 2 63" xfId="15821"/>
    <cellStyle name="Normal 7 2 64" xfId="16077"/>
    <cellStyle name="Normal 7 2 65" xfId="16328"/>
    <cellStyle name="Normal 7 2 66" xfId="16579"/>
    <cellStyle name="Normal 7 2 67" xfId="16830"/>
    <cellStyle name="Normal 7 2 68" xfId="17081"/>
    <cellStyle name="Normal 7 2 69" xfId="17332"/>
    <cellStyle name="Normal 7 2 7" xfId="1764"/>
    <cellStyle name="Normal 7 2 70" xfId="17583"/>
    <cellStyle name="Normal 7 2 71" xfId="17834"/>
    <cellStyle name="Normal 7 2 72" xfId="18085"/>
    <cellStyle name="Normal 7 2 73" xfId="18336"/>
    <cellStyle name="Normal 7 2 74" xfId="18587"/>
    <cellStyle name="Normal 7 2 75" xfId="18838"/>
    <cellStyle name="Normal 7 2 76" xfId="19088"/>
    <cellStyle name="Normal 7 2 77" xfId="19340"/>
    <cellStyle name="Normal 7 2 78" xfId="19590"/>
    <cellStyle name="Normal 7 2 79" xfId="19846"/>
    <cellStyle name="Normal 7 2 8" xfId="2020"/>
    <cellStyle name="Normal 7 2 80" xfId="20098"/>
    <cellStyle name="Normal 7 2 81" xfId="20350"/>
    <cellStyle name="Normal 7 2 82" xfId="20602"/>
    <cellStyle name="Normal 7 2 83" xfId="20852"/>
    <cellStyle name="Normal 7 2 84" xfId="21102"/>
    <cellStyle name="Normal 7 2 85" xfId="21351"/>
    <cellStyle name="Normal 7 2 86" xfId="21595"/>
    <cellStyle name="Normal 7 2 87" xfId="21839"/>
    <cellStyle name="Normal 7 2 88" xfId="22080"/>
    <cellStyle name="Normal 7 2 9" xfId="2271"/>
    <cellStyle name="Normal 7 20" xfId="4437"/>
    <cellStyle name="Normal 7 21" xfId="4688"/>
    <cellStyle name="Normal 7 22" xfId="4939"/>
    <cellStyle name="Normal 7 23" xfId="5190"/>
    <cellStyle name="Normal 7 24" xfId="5441"/>
    <cellStyle name="Normal 7 25" xfId="5692"/>
    <cellStyle name="Normal 7 26" xfId="5943"/>
    <cellStyle name="Normal 7 27" xfId="6194"/>
    <cellStyle name="Normal 7 28" xfId="6445"/>
    <cellStyle name="Normal 7 29" xfId="6696"/>
    <cellStyle name="Normal 7 3" xfId="298"/>
    <cellStyle name="Normal 7 3 10" xfId="2598"/>
    <cellStyle name="Normal 7 3 11" xfId="2849"/>
    <cellStyle name="Normal 7 3 12" xfId="3100"/>
    <cellStyle name="Normal 7 3 13" xfId="3351"/>
    <cellStyle name="Normal 7 3 14" xfId="3602"/>
    <cellStyle name="Normal 7 3 15" xfId="3853"/>
    <cellStyle name="Normal 7 3 16" xfId="4104"/>
    <cellStyle name="Normal 7 3 17" xfId="4355"/>
    <cellStyle name="Normal 7 3 18" xfId="4606"/>
    <cellStyle name="Normal 7 3 19" xfId="4857"/>
    <cellStyle name="Normal 7 3 2" xfId="573"/>
    <cellStyle name="Normal 7 3 20" xfId="5108"/>
    <cellStyle name="Normal 7 3 21" xfId="5359"/>
    <cellStyle name="Normal 7 3 22" xfId="5610"/>
    <cellStyle name="Normal 7 3 23" xfId="5861"/>
    <cellStyle name="Normal 7 3 24" xfId="6112"/>
    <cellStyle name="Normal 7 3 25" xfId="6363"/>
    <cellStyle name="Normal 7 3 26" xfId="6614"/>
    <cellStyle name="Normal 7 3 27" xfId="6865"/>
    <cellStyle name="Normal 7 3 28" xfId="7116"/>
    <cellStyle name="Normal 7 3 29" xfId="7367"/>
    <cellStyle name="Normal 7 3 3" xfId="823"/>
    <cellStyle name="Normal 7 3 30" xfId="7618"/>
    <cellStyle name="Normal 7 3 31" xfId="7869"/>
    <cellStyle name="Normal 7 3 32" xfId="8120"/>
    <cellStyle name="Normal 7 3 33" xfId="8371"/>
    <cellStyle name="Normal 7 3 34" xfId="8622"/>
    <cellStyle name="Normal 7 3 35" xfId="8873"/>
    <cellStyle name="Normal 7 3 36" xfId="9124"/>
    <cellStyle name="Normal 7 3 37" xfId="9375"/>
    <cellStyle name="Normal 7 3 38" xfId="9626"/>
    <cellStyle name="Normal 7 3 39" xfId="9877"/>
    <cellStyle name="Normal 7 3 4" xfId="1075"/>
    <cellStyle name="Normal 7 3 40" xfId="10128"/>
    <cellStyle name="Normal 7 3 41" xfId="10379"/>
    <cellStyle name="Normal 7 3 42" xfId="10630"/>
    <cellStyle name="Normal 7 3 43" xfId="10881"/>
    <cellStyle name="Normal 7 3 44" xfId="11132"/>
    <cellStyle name="Normal 7 3 45" xfId="11383"/>
    <cellStyle name="Normal 7 3 46" xfId="11634"/>
    <cellStyle name="Normal 7 3 47" xfId="11885"/>
    <cellStyle name="Normal 7 3 48" xfId="12136"/>
    <cellStyle name="Normal 7 3 49" xfId="12387"/>
    <cellStyle name="Normal 7 3 5" xfId="1331"/>
    <cellStyle name="Normal 7 3 50" xfId="12638"/>
    <cellStyle name="Normal 7 3 51" xfId="12889"/>
    <cellStyle name="Normal 7 3 52" xfId="13140"/>
    <cellStyle name="Normal 7 3 53" xfId="13391"/>
    <cellStyle name="Normal 7 3 54" xfId="13642"/>
    <cellStyle name="Normal 7 3 55" xfId="13893"/>
    <cellStyle name="Normal 7 3 56" xfId="14144"/>
    <cellStyle name="Normal 7 3 57" xfId="14395"/>
    <cellStyle name="Normal 7 3 58" xfId="14646"/>
    <cellStyle name="Normal 7 3 59" xfId="14897"/>
    <cellStyle name="Normal 7 3 6" xfId="1586"/>
    <cellStyle name="Normal 7 3 60" xfId="15148"/>
    <cellStyle name="Normal 7 3 61" xfId="15398"/>
    <cellStyle name="Normal 7 3 62" xfId="15647"/>
    <cellStyle name="Normal 7 3 63" xfId="15897"/>
    <cellStyle name="Normal 7 3 64" xfId="16153"/>
    <cellStyle name="Normal 7 3 65" xfId="16404"/>
    <cellStyle name="Normal 7 3 66" xfId="16655"/>
    <cellStyle name="Normal 7 3 67" xfId="16906"/>
    <cellStyle name="Normal 7 3 68" xfId="17157"/>
    <cellStyle name="Normal 7 3 69" xfId="17408"/>
    <cellStyle name="Normal 7 3 7" xfId="1839"/>
    <cellStyle name="Normal 7 3 70" xfId="17659"/>
    <cellStyle name="Normal 7 3 71" xfId="17910"/>
    <cellStyle name="Normal 7 3 72" xfId="18161"/>
    <cellStyle name="Normal 7 3 73" xfId="18412"/>
    <cellStyle name="Normal 7 3 74" xfId="18663"/>
    <cellStyle name="Normal 7 3 75" xfId="18914"/>
    <cellStyle name="Normal 7 3 76" xfId="19164"/>
    <cellStyle name="Normal 7 3 77" xfId="19415"/>
    <cellStyle name="Normal 7 3 78" xfId="19666"/>
    <cellStyle name="Normal 7 3 79" xfId="19922"/>
    <cellStyle name="Normal 7 3 8" xfId="2096"/>
    <cellStyle name="Normal 7 3 80" xfId="20174"/>
    <cellStyle name="Normal 7 3 81" xfId="20426"/>
    <cellStyle name="Normal 7 3 82" xfId="20678"/>
    <cellStyle name="Normal 7 3 83" xfId="20928"/>
    <cellStyle name="Normal 7 3 84" xfId="21177"/>
    <cellStyle name="Normal 7 3 85" xfId="21425"/>
    <cellStyle name="Normal 7 3 86" xfId="21669"/>
    <cellStyle name="Normal 7 3 87" xfId="21911"/>
    <cellStyle name="Normal 7 3 88" xfId="22152"/>
    <cellStyle name="Normal 7 3 9" xfId="2347"/>
    <cellStyle name="Normal 7 30" xfId="6947"/>
    <cellStyle name="Normal 7 31" xfId="7198"/>
    <cellStyle name="Normal 7 32" xfId="7449"/>
    <cellStyle name="Normal 7 33" xfId="7700"/>
    <cellStyle name="Normal 7 34" xfId="7951"/>
    <cellStyle name="Normal 7 35" xfId="8202"/>
    <cellStyle name="Normal 7 36" xfId="8453"/>
    <cellStyle name="Normal 7 37" xfId="8704"/>
    <cellStyle name="Normal 7 38" xfId="8955"/>
    <cellStyle name="Normal 7 39" xfId="9206"/>
    <cellStyle name="Normal 7 4" xfId="407"/>
    <cellStyle name="Normal 7 40" xfId="9457"/>
    <cellStyle name="Normal 7 41" xfId="9708"/>
    <cellStyle name="Normal 7 42" xfId="9959"/>
    <cellStyle name="Normal 7 43" xfId="10210"/>
    <cellStyle name="Normal 7 44" xfId="10461"/>
    <cellStyle name="Normal 7 45" xfId="10712"/>
    <cellStyle name="Normal 7 46" xfId="10963"/>
    <cellStyle name="Normal 7 47" xfId="11214"/>
    <cellStyle name="Normal 7 48" xfId="11465"/>
    <cellStyle name="Normal 7 49" xfId="11716"/>
    <cellStyle name="Normal 7 5" xfId="656"/>
    <cellStyle name="Normal 7 50" xfId="11967"/>
    <cellStyle name="Normal 7 51" xfId="12218"/>
    <cellStyle name="Normal 7 52" xfId="12469"/>
    <cellStyle name="Normal 7 53" xfId="12720"/>
    <cellStyle name="Normal 7 54" xfId="12971"/>
    <cellStyle name="Normal 7 55" xfId="13222"/>
    <cellStyle name="Normal 7 56" xfId="13473"/>
    <cellStyle name="Normal 7 57" xfId="13724"/>
    <cellStyle name="Normal 7 58" xfId="13975"/>
    <cellStyle name="Normal 7 59" xfId="14226"/>
    <cellStyle name="Normal 7 6" xfId="909"/>
    <cellStyle name="Normal 7 60" xfId="14477"/>
    <cellStyle name="Normal 7 61" xfId="14728"/>
    <cellStyle name="Normal 7 62" xfId="14978"/>
    <cellStyle name="Normal 7 63" xfId="15229"/>
    <cellStyle name="Normal 7 64" xfId="15480"/>
    <cellStyle name="Normal 7 65" xfId="15727"/>
    <cellStyle name="Normal 7 66" xfId="15984"/>
    <cellStyle name="Normal 7 67" xfId="16235"/>
    <cellStyle name="Normal 7 68" xfId="16486"/>
    <cellStyle name="Normal 7 69" xfId="16737"/>
    <cellStyle name="Normal 7 7" xfId="1164"/>
    <cellStyle name="Normal 7 70" xfId="16988"/>
    <cellStyle name="Normal 7 71" xfId="17239"/>
    <cellStyle name="Normal 7 72" xfId="17490"/>
    <cellStyle name="Normal 7 73" xfId="17741"/>
    <cellStyle name="Normal 7 74" xfId="17992"/>
    <cellStyle name="Normal 7 75" xfId="18243"/>
    <cellStyle name="Normal 7 76" xfId="18494"/>
    <cellStyle name="Normal 7 77" xfId="18744"/>
    <cellStyle name="Normal 7 78" xfId="18995"/>
    <cellStyle name="Normal 7 79" xfId="19246"/>
    <cellStyle name="Normal 7 8" xfId="1417"/>
    <cellStyle name="Normal 7 80" xfId="19496"/>
    <cellStyle name="Normal 7 81" xfId="19752"/>
    <cellStyle name="Normal 7 82" xfId="20004"/>
    <cellStyle name="Normal 7 83" xfId="20256"/>
    <cellStyle name="Normal 7 84" xfId="20508"/>
    <cellStyle name="Normal 7 85" xfId="20758"/>
    <cellStyle name="Normal 7 86" xfId="21008"/>
    <cellStyle name="Normal 7 87" xfId="21259"/>
    <cellStyle name="Normal 7 88" xfId="21503"/>
    <cellStyle name="Normal 7 89" xfId="21747"/>
    <cellStyle name="Normal 7 9" xfId="1670"/>
    <cellStyle name="Normal 7 90" xfId="21988"/>
    <cellStyle name="Normal 70" xfId="24611"/>
    <cellStyle name="Normal 71" xfId="24612"/>
    <cellStyle name="Normal 72" xfId="22257"/>
    <cellStyle name="Normal 73" xfId="24613"/>
    <cellStyle name="Normal 73 2" xfId="24614"/>
    <cellStyle name="Normal 73 3" xfId="24615"/>
    <cellStyle name="Normal 73 4" xfId="24616"/>
    <cellStyle name="Normal 73 5" xfId="24617"/>
    <cellStyle name="Normal 73 6" xfId="24618"/>
    <cellStyle name="Normal 73 7" xfId="24619"/>
    <cellStyle name="Normal 73 8" xfId="24620"/>
    <cellStyle name="Normal 73 9" xfId="24621"/>
    <cellStyle name="Normal 74" xfId="22259"/>
    <cellStyle name="Normal 74 2" xfId="24622"/>
    <cellStyle name="Normal 74 3" xfId="24623"/>
    <cellStyle name="Normal 74 4" xfId="24624"/>
    <cellStyle name="Normal 74 5" xfId="24625"/>
    <cellStyle name="Normal 75" xfId="24668"/>
    <cellStyle name="Normal 75 2" xfId="24626"/>
    <cellStyle name="Normal 75 3" xfId="24627"/>
    <cellStyle name="Normal 76" xfId="86"/>
    <cellStyle name="Normal 76 10" xfId="1628"/>
    <cellStyle name="Normal 76 11" xfId="1885"/>
    <cellStyle name="Normal 76 12" xfId="2136"/>
    <cellStyle name="Normal 76 13" xfId="2387"/>
    <cellStyle name="Normal 76 14" xfId="2638"/>
    <cellStyle name="Normal 76 15" xfId="2889"/>
    <cellStyle name="Normal 76 16" xfId="3140"/>
    <cellStyle name="Normal 76 17" xfId="3391"/>
    <cellStyle name="Normal 76 18" xfId="3642"/>
    <cellStyle name="Normal 76 19" xfId="3893"/>
    <cellStyle name="Normal 76 2" xfId="119"/>
    <cellStyle name="Normal 76 2 10" xfId="1918"/>
    <cellStyle name="Normal 76 2 11" xfId="2169"/>
    <cellStyle name="Normal 76 2 12" xfId="2420"/>
    <cellStyle name="Normal 76 2 13" xfId="2671"/>
    <cellStyle name="Normal 76 2 14" xfId="2922"/>
    <cellStyle name="Normal 76 2 15" xfId="3173"/>
    <cellStyle name="Normal 76 2 16" xfId="3424"/>
    <cellStyle name="Normal 76 2 17" xfId="3675"/>
    <cellStyle name="Normal 76 2 18" xfId="3926"/>
    <cellStyle name="Normal 76 2 19" xfId="4177"/>
    <cellStyle name="Normal 76 2 2" xfId="213"/>
    <cellStyle name="Normal 76 2 2 10" xfId="2513"/>
    <cellStyle name="Normal 76 2 2 11" xfId="2764"/>
    <cellStyle name="Normal 76 2 2 12" xfId="3015"/>
    <cellStyle name="Normal 76 2 2 13" xfId="3266"/>
    <cellStyle name="Normal 76 2 2 14" xfId="3517"/>
    <cellStyle name="Normal 76 2 2 15" xfId="3768"/>
    <cellStyle name="Normal 76 2 2 16" xfId="4019"/>
    <cellStyle name="Normal 76 2 2 17" xfId="4270"/>
    <cellStyle name="Normal 76 2 2 18" xfId="4521"/>
    <cellStyle name="Normal 76 2 2 19" xfId="4772"/>
    <cellStyle name="Normal 76 2 2 2" xfId="490"/>
    <cellStyle name="Normal 76 2 2 20" xfId="5023"/>
    <cellStyle name="Normal 76 2 2 21" xfId="5274"/>
    <cellStyle name="Normal 76 2 2 22" xfId="5525"/>
    <cellStyle name="Normal 76 2 2 23" xfId="5776"/>
    <cellStyle name="Normal 76 2 2 24" xfId="6027"/>
    <cellStyle name="Normal 76 2 2 25" xfId="6278"/>
    <cellStyle name="Normal 76 2 2 26" xfId="6529"/>
    <cellStyle name="Normal 76 2 2 27" xfId="6780"/>
    <cellStyle name="Normal 76 2 2 28" xfId="7031"/>
    <cellStyle name="Normal 76 2 2 29" xfId="7282"/>
    <cellStyle name="Normal 76 2 2 3" xfId="740"/>
    <cellStyle name="Normal 76 2 2 30" xfId="7533"/>
    <cellStyle name="Normal 76 2 2 31" xfId="7784"/>
    <cellStyle name="Normal 76 2 2 32" xfId="8035"/>
    <cellStyle name="Normal 76 2 2 33" xfId="8286"/>
    <cellStyle name="Normal 76 2 2 34" xfId="8537"/>
    <cellStyle name="Normal 76 2 2 35" xfId="8788"/>
    <cellStyle name="Normal 76 2 2 36" xfId="9039"/>
    <cellStyle name="Normal 76 2 2 37" xfId="9290"/>
    <cellStyle name="Normal 76 2 2 38" xfId="9541"/>
    <cellStyle name="Normal 76 2 2 39" xfId="9792"/>
    <cellStyle name="Normal 76 2 2 4" xfId="993"/>
    <cellStyle name="Normal 76 2 2 40" xfId="10043"/>
    <cellStyle name="Normal 76 2 2 41" xfId="10294"/>
    <cellStyle name="Normal 76 2 2 42" xfId="10545"/>
    <cellStyle name="Normal 76 2 2 43" xfId="10796"/>
    <cellStyle name="Normal 76 2 2 44" xfId="11047"/>
    <cellStyle name="Normal 76 2 2 45" xfId="11298"/>
    <cellStyle name="Normal 76 2 2 46" xfId="11549"/>
    <cellStyle name="Normal 76 2 2 47" xfId="11800"/>
    <cellStyle name="Normal 76 2 2 48" xfId="12051"/>
    <cellStyle name="Normal 76 2 2 49" xfId="12302"/>
    <cellStyle name="Normal 76 2 2 5" xfId="1248"/>
    <cellStyle name="Normal 76 2 2 50" xfId="12553"/>
    <cellStyle name="Normal 76 2 2 51" xfId="12804"/>
    <cellStyle name="Normal 76 2 2 52" xfId="13055"/>
    <cellStyle name="Normal 76 2 2 53" xfId="13306"/>
    <cellStyle name="Normal 76 2 2 54" xfId="13557"/>
    <cellStyle name="Normal 76 2 2 55" xfId="13808"/>
    <cellStyle name="Normal 76 2 2 56" xfId="14059"/>
    <cellStyle name="Normal 76 2 2 57" xfId="14310"/>
    <cellStyle name="Normal 76 2 2 58" xfId="14561"/>
    <cellStyle name="Normal 76 2 2 59" xfId="14812"/>
    <cellStyle name="Normal 76 2 2 6" xfId="1501"/>
    <cellStyle name="Normal 76 2 2 60" xfId="15063"/>
    <cellStyle name="Normal 76 2 2 61" xfId="15313"/>
    <cellStyle name="Normal 76 2 2 62" xfId="15564"/>
    <cellStyle name="Normal 76 2 2 63" xfId="15812"/>
    <cellStyle name="Normal 76 2 2 64" xfId="16068"/>
    <cellStyle name="Normal 76 2 2 65" xfId="16319"/>
    <cellStyle name="Normal 76 2 2 66" xfId="16570"/>
    <cellStyle name="Normal 76 2 2 67" xfId="16821"/>
    <cellStyle name="Normal 76 2 2 68" xfId="17072"/>
    <cellStyle name="Normal 76 2 2 69" xfId="17323"/>
    <cellStyle name="Normal 76 2 2 7" xfId="1755"/>
    <cellStyle name="Normal 76 2 2 70" xfId="17574"/>
    <cellStyle name="Normal 76 2 2 71" xfId="17825"/>
    <cellStyle name="Normal 76 2 2 72" xfId="18076"/>
    <cellStyle name="Normal 76 2 2 73" xfId="18327"/>
    <cellStyle name="Normal 76 2 2 74" xfId="18578"/>
    <cellStyle name="Normal 76 2 2 75" xfId="18829"/>
    <cellStyle name="Normal 76 2 2 76" xfId="19079"/>
    <cellStyle name="Normal 76 2 2 77" xfId="19331"/>
    <cellStyle name="Normal 76 2 2 78" xfId="19581"/>
    <cellStyle name="Normal 76 2 2 79" xfId="19837"/>
    <cellStyle name="Normal 76 2 2 8" xfId="2011"/>
    <cellStyle name="Normal 76 2 2 80" xfId="20089"/>
    <cellStyle name="Normal 76 2 2 81" xfId="20341"/>
    <cellStyle name="Normal 76 2 2 82" xfId="20593"/>
    <cellStyle name="Normal 76 2 2 83" xfId="20843"/>
    <cellStyle name="Normal 76 2 2 84" xfId="21093"/>
    <cellStyle name="Normal 76 2 2 85" xfId="21342"/>
    <cellStyle name="Normal 76 2 2 86" xfId="21586"/>
    <cellStyle name="Normal 76 2 2 87" xfId="21830"/>
    <cellStyle name="Normal 76 2 2 88" xfId="22071"/>
    <cellStyle name="Normal 76 2 2 9" xfId="2262"/>
    <cellStyle name="Normal 76 2 20" xfId="4428"/>
    <cellStyle name="Normal 76 2 21" xfId="4679"/>
    <cellStyle name="Normal 76 2 22" xfId="4930"/>
    <cellStyle name="Normal 76 2 23" xfId="5181"/>
    <cellStyle name="Normal 76 2 24" xfId="5432"/>
    <cellStyle name="Normal 76 2 25" xfId="5683"/>
    <cellStyle name="Normal 76 2 26" xfId="5934"/>
    <cellStyle name="Normal 76 2 27" xfId="6185"/>
    <cellStyle name="Normal 76 2 28" xfId="6436"/>
    <cellStyle name="Normal 76 2 29" xfId="6687"/>
    <cellStyle name="Normal 76 2 3" xfId="289"/>
    <cellStyle name="Normal 76 2 3 10" xfId="2589"/>
    <cellStyle name="Normal 76 2 3 11" xfId="2840"/>
    <cellStyle name="Normal 76 2 3 12" xfId="3091"/>
    <cellStyle name="Normal 76 2 3 13" xfId="3342"/>
    <cellStyle name="Normal 76 2 3 14" xfId="3593"/>
    <cellStyle name="Normal 76 2 3 15" xfId="3844"/>
    <cellStyle name="Normal 76 2 3 16" xfId="4095"/>
    <cellStyle name="Normal 76 2 3 17" xfId="4346"/>
    <cellStyle name="Normal 76 2 3 18" xfId="4597"/>
    <cellStyle name="Normal 76 2 3 19" xfId="4848"/>
    <cellStyle name="Normal 76 2 3 2" xfId="564"/>
    <cellStyle name="Normal 76 2 3 20" xfId="5099"/>
    <cellStyle name="Normal 76 2 3 21" xfId="5350"/>
    <cellStyle name="Normal 76 2 3 22" xfId="5601"/>
    <cellStyle name="Normal 76 2 3 23" xfId="5852"/>
    <cellStyle name="Normal 76 2 3 24" xfId="6103"/>
    <cellStyle name="Normal 76 2 3 25" xfId="6354"/>
    <cellStyle name="Normal 76 2 3 26" xfId="6605"/>
    <cellStyle name="Normal 76 2 3 27" xfId="6856"/>
    <cellStyle name="Normal 76 2 3 28" xfId="7107"/>
    <cellStyle name="Normal 76 2 3 29" xfId="7358"/>
    <cellStyle name="Normal 76 2 3 3" xfId="814"/>
    <cellStyle name="Normal 76 2 3 30" xfId="7609"/>
    <cellStyle name="Normal 76 2 3 31" xfId="7860"/>
    <cellStyle name="Normal 76 2 3 32" xfId="8111"/>
    <cellStyle name="Normal 76 2 3 33" xfId="8362"/>
    <cellStyle name="Normal 76 2 3 34" xfId="8613"/>
    <cellStyle name="Normal 76 2 3 35" xfId="8864"/>
    <cellStyle name="Normal 76 2 3 36" xfId="9115"/>
    <cellStyle name="Normal 76 2 3 37" xfId="9366"/>
    <cellStyle name="Normal 76 2 3 38" xfId="9617"/>
    <cellStyle name="Normal 76 2 3 39" xfId="9868"/>
    <cellStyle name="Normal 76 2 3 4" xfId="1066"/>
    <cellStyle name="Normal 76 2 3 40" xfId="10119"/>
    <cellStyle name="Normal 76 2 3 41" xfId="10370"/>
    <cellStyle name="Normal 76 2 3 42" xfId="10621"/>
    <cellStyle name="Normal 76 2 3 43" xfId="10872"/>
    <cellStyle name="Normal 76 2 3 44" xfId="11123"/>
    <cellStyle name="Normal 76 2 3 45" xfId="11374"/>
    <cellStyle name="Normal 76 2 3 46" xfId="11625"/>
    <cellStyle name="Normal 76 2 3 47" xfId="11876"/>
    <cellStyle name="Normal 76 2 3 48" xfId="12127"/>
    <cellStyle name="Normal 76 2 3 49" xfId="12378"/>
    <cellStyle name="Normal 76 2 3 5" xfId="1322"/>
    <cellStyle name="Normal 76 2 3 50" xfId="12629"/>
    <cellStyle name="Normal 76 2 3 51" xfId="12880"/>
    <cellStyle name="Normal 76 2 3 52" xfId="13131"/>
    <cellStyle name="Normal 76 2 3 53" xfId="13382"/>
    <cellStyle name="Normal 76 2 3 54" xfId="13633"/>
    <cellStyle name="Normal 76 2 3 55" xfId="13884"/>
    <cellStyle name="Normal 76 2 3 56" xfId="14135"/>
    <cellStyle name="Normal 76 2 3 57" xfId="14386"/>
    <cellStyle name="Normal 76 2 3 58" xfId="14637"/>
    <cellStyle name="Normal 76 2 3 59" xfId="14888"/>
    <cellStyle name="Normal 76 2 3 6" xfId="1577"/>
    <cellStyle name="Normal 76 2 3 60" xfId="15139"/>
    <cellStyle name="Normal 76 2 3 61" xfId="15389"/>
    <cellStyle name="Normal 76 2 3 62" xfId="15638"/>
    <cellStyle name="Normal 76 2 3 63" xfId="15888"/>
    <cellStyle name="Normal 76 2 3 64" xfId="16144"/>
    <cellStyle name="Normal 76 2 3 65" xfId="16395"/>
    <cellStyle name="Normal 76 2 3 66" xfId="16646"/>
    <cellStyle name="Normal 76 2 3 67" xfId="16897"/>
    <cellStyle name="Normal 76 2 3 68" xfId="17148"/>
    <cellStyle name="Normal 76 2 3 69" xfId="17399"/>
    <cellStyle name="Normal 76 2 3 7" xfId="1830"/>
    <cellStyle name="Normal 76 2 3 70" xfId="17650"/>
    <cellStyle name="Normal 76 2 3 71" xfId="17901"/>
    <cellStyle name="Normal 76 2 3 72" xfId="18152"/>
    <cellStyle name="Normal 76 2 3 73" xfId="18403"/>
    <cellStyle name="Normal 76 2 3 74" xfId="18654"/>
    <cellStyle name="Normal 76 2 3 75" xfId="18905"/>
    <cellStyle name="Normal 76 2 3 76" xfId="19155"/>
    <cellStyle name="Normal 76 2 3 77" xfId="19406"/>
    <cellStyle name="Normal 76 2 3 78" xfId="19657"/>
    <cellStyle name="Normal 76 2 3 79" xfId="19913"/>
    <cellStyle name="Normal 76 2 3 8" xfId="2087"/>
    <cellStyle name="Normal 76 2 3 80" xfId="20165"/>
    <cellStyle name="Normal 76 2 3 81" xfId="20417"/>
    <cellStyle name="Normal 76 2 3 82" xfId="20669"/>
    <cellStyle name="Normal 76 2 3 83" xfId="20919"/>
    <cellStyle name="Normal 76 2 3 84" xfId="21168"/>
    <cellStyle name="Normal 76 2 3 85" xfId="21416"/>
    <cellStyle name="Normal 76 2 3 86" xfId="21660"/>
    <cellStyle name="Normal 76 2 3 87" xfId="21902"/>
    <cellStyle name="Normal 76 2 3 88" xfId="22143"/>
    <cellStyle name="Normal 76 2 3 9" xfId="2338"/>
    <cellStyle name="Normal 76 2 30" xfId="6938"/>
    <cellStyle name="Normal 76 2 31" xfId="7189"/>
    <cellStyle name="Normal 76 2 32" xfId="7440"/>
    <cellStyle name="Normal 76 2 33" xfId="7691"/>
    <cellStyle name="Normal 76 2 34" xfId="7942"/>
    <cellStyle name="Normal 76 2 35" xfId="8193"/>
    <cellStyle name="Normal 76 2 36" xfId="8444"/>
    <cellStyle name="Normal 76 2 37" xfId="8695"/>
    <cellStyle name="Normal 76 2 38" xfId="8946"/>
    <cellStyle name="Normal 76 2 39" xfId="9197"/>
    <cellStyle name="Normal 76 2 4" xfId="398"/>
    <cellStyle name="Normal 76 2 40" xfId="9448"/>
    <cellStyle name="Normal 76 2 41" xfId="9699"/>
    <cellStyle name="Normal 76 2 42" xfId="9950"/>
    <cellStyle name="Normal 76 2 43" xfId="10201"/>
    <cellStyle name="Normal 76 2 44" xfId="10452"/>
    <cellStyle name="Normal 76 2 45" xfId="10703"/>
    <cellStyle name="Normal 76 2 46" xfId="10954"/>
    <cellStyle name="Normal 76 2 47" xfId="11205"/>
    <cellStyle name="Normal 76 2 48" xfId="11456"/>
    <cellStyle name="Normal 76 2 49" xfId="11707"/>
    <cellStyle name="Normal 76 2 5" xfId="647"/>
    <cellStyle name="Normal 76 2 50" xfId="11958"/>
    <cellStyle name="Normal 76 2 51" xfId="12209"/>
    <cellStyle name="Normal 76 2 52" xfId="12460"/>
    <cellStyle name="Normal 76 2 53" xfId="12711"/>
    <cellStyle name="Normal 76 2 54" xfId="12962"/>
    <cellStyle name="Normal 76 2 55" xfId="13213"/>
    <cellStyle name="Normal 76 2 56" xfId="13464"/>
    <cellStyle name="Normal 76 2 57" xfId="13715"/>
    <cellStyle name="Normal 76 2 58" xfId="13966"/>
    <cellStyle name="Normal 76 2 59" xfId="14217"/>
    <cellStyle name="Normal 76 2 6" xfId="900"/>
    <cellStyle name="Normal 76 2 60" xfId="14468"/>
    <cellStyle name="Normal 76 2 61" xfId="14719"/>
    <cellStyle name="Normal 76 2 62" xfId="14969"/>
    <cellStyle name="Normal 76 2 63" xfId="15220"/>
    <cellStyle name="Normal 76 2 64" xfId="15471"/>
    <cellStyle name="Normal 76 2 65" xfId="15718"/>
    <cellStyle name="Normal 76 2 66" xfId="15975"/>
    <cellStyle name="Normal 76 2 67" xfId="16226"/>
    <cellStyle name="Normal 76 2 68" xfId="16477"/>
    <cellStyle name="Normal 76 2 69" xfId="16728"/>
    <cellStyle name="Normal 76 2 7" xfId="1155"/>
    <cellStyle name="Normal 76 2 70" xfId="16979"/>
    <cellStyle name="Normal 76 2 71" xfId="17230"/>
    <cellStyle name="Normal 76 2 72" xfId="17481"/>
    <cellStyle name="Normal 76 2 73" xfId="17732"/>
    <cellStyle name="Normal 76 2 74" xfId="17983"/>
    <cellStyle name="Normal 76 2 75" xfId="18234"/>
    <cellStyle name="Normal 76 2 76" xfId="18485"/>
    <cellStyle name="Normal 76 2 77" xfId="18735"/>
    <cellStyle name="Normal 76 2 78" xfId="18986"/>
    <cellStyle name="Normal 76 2 79" xfId="19237"/>
    <cellStyle name="Normal 76 2 8" xfId="1408"/>
    <cellStyle name="Normal 76 2 80" xfId="19487"/>
    <cellStyle name="Normal 76 2 81" xfId="19743"/>
    <cellStyle name="Normal 76 2 82" xfId="19995"/>
    <cellStyle name="Normal 76 2 83" xfId="20247"/>
    <cellStyle name="Normal 76 2 84" xfId="20499"/>
    <cellStyle name="Normal 76 2 85" xfId="20749"/>
    <cellStyle name="Normal 76 2 86" xfId="20999"/>
    <cellStyle name="Normal 76 2 87" xfId="21250"/>
    <cellStyle name="Normal 76 2 88" xfId="21494"/>
    <cellStyle name="Normal 76 2 89" xfId="21738"/>
    <cellStyle name="Normal 76 2 9" xfId="1661"/>
    <cellStyle name="Normal 76 2 90" xfId="21979"/>
    <cellStyle name="Normal 76 20" xfId="4144"/>
    <cellStyle name="Normal 76 21" xfId="4395"/>
    <cellStyle name="Normal 76 22" xfId="4646"/>
    <cellStyle name="Normal 76 23" xfId="4897"/>
    <cellStyle name="Normal 76 24" xfId="5148"/>
    <cellStyle name="Normal 76 25" xfId="5399"/>
    <cellStyle name="Normal 76 26" xfId="5650"/>
    <cellStyle name="Normal 76 27" xfId="5901"/>
    <cellStyle name="Normal 76 28" xfId="6152"/>
    <cellStyle name="Normal 76 29" xfId="6403"/>
    <cellStyle name="Normal 76 3" xfId="180"/>
    <cellStyle name="Normal 76 3 10" xfId="2480"/>
    <cellStyle name="Normal 76 3 11" xfId="2731"/>
    <cellStyle name="Normal 76 3 12" xfId="2982"/>
    <cellStyle name="Normal 76 3 13" xfId="3233"/>
    <cellStyle name="Normal 76 3 14" xfId="3484"/>
    <cellStyle name="Normal 76 3 15" xfId="3735"/>
    <cellStyle name="Normal 76 3 16" xfId="3986"/>
    <cellStyle name="Normal 76 3 17" xfId="4237"/>
    <cellStyle name="Normal 76 3 18" xfId="4488"/>
    <cellStyle name="Normal 76 3 19" xfId="4739"/>
    <cellStyle name="Normal 76 3 2" xfId="457"/>
    <cellStyle name="Normal 76 3 20" xfId="4990"/>
    <cellStyle name="Normal 76 3 21" xfId="5241"/>
    <cellStyle name="Normal 76 3 22" xfId="5492"/>
    <cellStyle name="Normal 76 3 23" xfId="5743"/>
    <cellStyle name="Normal 76 3 24" xfId="5994"/>
    <cellStyle name="Normal 76 3 25" xfId="6245"/>
    <cellStyle name="Normal 76 3 26" xfId="6496"/>
    <cellStyle name="Normal 76 3 27" xfId="6747"/>
    <cellStyle name="Normal 76 3 28" xfId="6998"/>
    <cellStyle name="Normal 76 3 29" xfId="7249"/>
    <cellStyle name="Normal 76 3 3" xfId="707"/>
    <cellStyle name="Normal 76 3 30" xfId="7500"/>
    <cellStyle name="Normal 76 3 31" xfId="7751"/>
    <cellStyle name="Normal 76 3 32" xfId="8002"/>
    <cellStyle name="Normal 76 3 33" xfId="8253"/>
    <cellStyle name="Normal 76 3 34" xfId="8504"/>
    <cellStyle name="Normal 76 3 35" xfId="8755"/>
    <cellStyle name="Normal 76 3 36" xfId="9006"/>
    <cellStyle name="Normal 76 3 37" xfId="9257"/>
    <cellStyle name="Normal 76 3 38" xfId="9508"/>
    <cellStyle name="Normal 76 3 39" xfId="9759"/>
    <cellStyle name="Normal 76 3 4" xfId="960"/>
    <cellStyle name="Normal 76 3 40" xfId="10010"/>
    <cellStyle name="Normal 76 3 41" xfId="10261"/>
    <cellStyle name="Normal 76 3 42" xfId="10512"/>
    <cellStyle name="Normal 76 3 43" xfId="10763"/>
    <cellStyle name="Normal 76 3 44" xfId="11014"/>
    <cellStyle name="Normal 76 3 45" xfId="11265"/>
    <cellStyle name="Normal 76 3 46" xfId="11516"/>
    <cellStyle name="Normal 76 3 47" xfId="11767"/>
    <cellStyle name="Normal 76 3 48" xfId="12018"/>
    <cellStyle name="Normal 76 3 49" xfId="12269"/>
    <cellStyle name="Normal 76 3 5" xfId="1215"/>
    <cellStyle name="Normal 76 3 50" xfId="12520"/>
    <cellStyle name="Normal 76 3 51" xfId="12771"/>
    <cellStyle name="Normal 76 3 52" xfId="13022"/>
    <cellStyle name="Normal 76 3 53" xfId="13273"/>
    <cellStyle name="Normal 76 3 54" xfId="13524"/>
    <cellStyle name="Normal 76 3 55" xfId="13775"/>
    <cellStyle name="Normal 76 3 56" xfId="14026"/>
    <cellStyle name="Normal 76 3 57" xfId="14277"/>
    <cellStyle name="Normal 76 3 58" xfId="14528"/>
    <cellStyle name="Normal 76 3 59" xfId="14779"/>
    <cellStyle name="Normal 76 3 6" xfId="1468"/>
    <cellStyle name="Normal 76 3 60" xfId="15030"/>
    <cellStyle name="Normal 76 3 61" xfId="15280"/>
    <cellStyle name="Normal 76 3 62" xfId="15531"/>
    <cellStyle name="Normal 76 3 63" xfId="15779"/>
    <cellStyle name="Normal 76 3 64" xfId="16035"/>
    <cellStyle name="Normal 76 3 65" xfId="16286"/>
    <cellStyle name="Normal 76 3 66" xfId="16537"/>
    <cellStyle name="Normal 76 3 67" xfId="16788"/>
    <cellStyle name="Normal 76 3 68" xfId="17039"/>
    <cellStyle name="Normal 76 3 69" xfId="17290"/>
    <cellStyle name="Normal 76 3 7" xfId="1722"/>
    <cellStyle name="Normal 76 3 70" xfId="17541"/>
    <cellStyle name="Normal 76 3 71" xfId="17792"/>
    <cellStyle name="Normal 76 3 72" xfId="18043"/>
    <cellStyle name="Normal 76 3 73" xfId="18294"/>
    <cellStyle name="Normal 76 3 74" xfId="18545"/>
    <cellStyle name="Normal 76 3 75" xfId="18796"/>
    <cellStyle name="Normal 76 3 76" xfId="19046"/>
    <cellStyle name="Normal 76 3 77" xfId="19298"/>
    <cellStyle name="Normal 76 3 78" xfId="19548"/>
    <cellStyle name="Normal 76 3 79" xfId="19804"/>
    <cellStyle name="Normal 76 3 8" xfId="1978"/>
    <cellStyle name="Normal 76 3 80" xfId="20056"/>
    <cellStyle name="Normal 76 3 81" xfId="20308"/>
    <cellStyle name="Normal 76 3 82" xfId="20560"/>
    <cellStyle name="Normal 76 3 83" xfId="20810"/>
    <cellStyle name="Normal 76 3 84" xfId="21060"/>
    <cellStyle name="Normal 76 3 85" xfId="21309"/>
    <cellStyle name="Normal 76 3 86" xfId="21553"/>
    <cellStyle name="Normal 76 3 87" xfId="21797"/>
    <cellStyle name="Normal 76 3 88" xfId="22038"/>
    <cellStyle name="Normal 76 3 9" xfId="2229"/>
    <cellStyle name="Normal 76 30" xfId="6654"/>
    <cellStyle name="Normal 76 31" xfId="6905"/>
    <cellStyle name="Normal 76 32" xfId="7156"/>
    <cellStyle name="Normal 76 33" xfId="7407"/>
    <cellStyle name="Normal 76 34" xfId="7658"/>
    <cellStyle name="Normal 76 35" xfId="7909"/>
    <cellStyle name="Normal 76 36" xfId="8160"/>
    <cellStyle name="Normal 76 37" xfId="8411"/>
    <cellStyle name="Normal 76 38" xfId="8662"/>
    <cellStyle name="Normal 76 39" xfId="8913"/>
    <cellStyle name="Normal 76 4" xfId="256"/>
    <cellStyle name="Normal 76 4 10" xfId="2556"/>
    <cellStyle name="Normal 76 4 11" xfId="2807"/>
    <cellStyle name="Normal 76 4 12" xfId="3058"/>
    <cellStyle name="Normal 76 4 13" xfId="3309"/>
    <cellStyle name="Normal 76 4 14" xfId="3560"/>
    <cellStyle name="Normal 76 4 15" xfId="3811"/>
    <cellStyle name="Normal 76 4 16" xfId="4062"/>
    <cellStyle name="Normal 76 4 17" xfId="4313"/>
    <cellStyle name="Normal 76 4 18" xfId="4564"/>
    <cellStyle name="Normal 76 4 19" xfId="4815"/>
    <cellStyle name="Normal 76 4 2" xfId="532"/>
    <cellStyle name="Normal 76 4 20" xfId="5066"/>
    <cellStyle name="Normal 76 4 21" xfId="5317"/>
    <cellStyle name="Normal 76 4 22" xfId="5568"/>
    <cellStyle name="Normal 76 4 23" xfId="5819"/>
    <cellStyle name="Normal 76 4 24" xfId="6070"/>
    <cellStyle name="Normal 76 4 25" xfId="6321"/>
    <cellStyle name="Normal 76 4 26" xfId="6572"/>
    <cellStyle name="Normal 76 4 27" xfId="6823"/>
    <cellStyle name="Normal 76 4 28" xfId="7074"/>
    <cellStyle name="Normal 76 4 29" xfId="7325"/>
    <cellStyle name="Normal 76 4 3" xfId="782"/>
    <cellStyle name="Normal 76 4 30" xfId="7576"/>
    <cellStyle name="Normal 76 4 31" xfId="7827"/>
    <cellStyle name="Normal 76 4 32" xfId="8078"/>
    <cellStyle name="Normal 76 4 33" xfId="8329"/>
    <cellStyle name="Normal 76 4 34" xfId="8580"/>
    <cellStyle name="Normal 76 4 35" xfId="8831"/>
    <cellStyle name="Normal 76 4 36" xfId="9082"/>
    <cellStyle name="Normal 76 4 37" xfId="9333"/>
    <cellStyle name="Normal 76 4 38" xfId="9584"/>
    <cellStyle name="Normal 76 4 39" xfId="9835"/>
    <cellStyle name="Normal 76 4 4" xfId="1034"/>
    <cellStyle name="Normal 76 4 40" xfId="10086"/>
    <cellStyle name="Normal 76 4 41" xfId="10337"/>
    <cellStyle name="Normal 76 4 42" xfId="10588"/>
    <cellStyle name="Normal 76 4 43" xfId="10839"/>
    <cellStyle name="Normal 76 4 44" xfId="11090"/>
    <cellStyle name="Normal 76 4 45" xfId="11341"/>
    <cellStyle name="Normal 76 4 46" xfId="11592"/>
    <cellStyle name="Normal 76 4 47" xfId="11843"/>
    <cellStyle name="Normal 76 4 48" xfId="12094"/>
    <cellStyle name="Normal 76 4 49" xfId="12345"/>
    <cellStyle name="Normal 76 4 5" xfId="1290"/>
    <cellStyle name="Normal 76 4 50" xfId="12596"/>
    <cellStyle name="Normal 76 4 51" xfId="12847"/>
    <cellStyle name="Normal 76 4 52" xfId="13098"/>
    <cellStyle name="Normal 76 4 53" xfId="13349"/>
    <cellStyle name="Normal 76 4 54" xfId="13600"/>
    <cellStyle name="Normal 76 4 55" xfId="13851"/>
    <cellStyle name="Normal 76 4 56" xfId="14102"/>
    <cellStyle name="Normal 76 4 57" xfId="14353"/>
    <cellStyle name="Normal 76 4 58" xfId="14604"/>
    <cellStyle name="Normal 76 4 59" xfId="14855"/>
    <cellStyle name="Normal 76 4 6" xfId="1544"/>
    <cellStyle name="Normal 76 4 60" xfId="15106"/>
    <cellStyle name="Normal 76 4 61" xfId="15356"/>
    <cellStyle name="Normal 76 4 62" xfId="15606"/>
    <cellStyle name="Normal 76 4 63" xfId="15855"/>
    <cellStyle name="Normal 76 4 64" xfId="16111"/>
    <cellStyle name="Normal 76 4 65" xfId="16362"/>
    <cellStyle name="Normal 76 4 66" xfId="16613"/>
    <cellStyle name="Normal 76 4 67" xfId="16864"/>
    <cellStyle name="Normal 76 4 68" xfId="17115"/>
    <cellStyle name="Normal 76 4 69" xfId="17366"/>
    <cellStyle name="Normal 76 4 7" xfId="1797"/>
    <cellStyle name="Normal 76 4 70" xfId="17617"/>
    <cellStyle name="Normal 76 4 71" xfId="17868"/>
    <cellStyle name="Normal 76 4 72" xfId="18119"/>
    <cellStyle name="Normal 76 4 73" xfId="18370"/>
    <cellStyle name="Normal 76 4 74" xfId="18621"/>
    <cellStyle name="Normal 76 4 75" xfId="18872"/>
    <cellStyle name="Normal 76 4 76" xfId="19122"/>
    <cellStyle name="Normal 76 4 77" xfId="19374"/>
    <cellStyle name="Normal 76 4 78" xfId="19624"/>
    <cellStyle name="Normal 76 4 79" xfId="19880"/>
    <cellStyle name="Normal 76 4 8" xfId="2054"/>
    <cellStyle name="Normal 76 4 80" xfId="20132"/>
    <cellStyle name="Normal 76 4 81" xfId="20384"/>
    <cellStyle name="Normal 76 4 82" xfId="20636"/>
    <cellStyle name="Normal 76 4 83" xfId="20886"/>
    <cellStyle name="Normal 76 4 84" xfId="21136"/>
    <cellStyle name="Normal 76 4 85" xfId="21384"/>
    <cellStyle name="Normal 76 4 86" xfId="21628"/>
    <cellStyle name="Normal 76 4 87" xfId="21871"/>
    <cellStyle name="Normal 76 4 88" xfId="22112"/>
    <cellStyle name="Normal 76 4 9" xfId="2305"/>
    <cellStyle name="Normal 76 40" xfId="9164"/>
    <cellStyle name="Normal 76 41" xfId="9415"/>
    <cellStyle name="Normal 76 42" xfId="9666"/>
    <cellStyle name="Normal 76 43" xfId="9917"/>
    <cellStyle name="Normal 76 44" xfId="10168"/>
    <cellStyle name="Normal 76 45" xfId="10419"/>
    <cellStyle name="Normal 76 46" xfId="10670"/>
    <cellStyle name="Normal 76 47" xfId="10921"/>
    <cellStyle name="Normal 76 48" xfId="11172"/>
    <cellStyle name="Normal 76 49" xfId="11423"/>
    <cellStyle name="Normal 76 5" xfId="365"/>
    <cellStyle name="Normal 76 50" xfId="11674"/>
    <cellStyle name="Normal 76 51" xfId="11925"/>
    <cellStyle name="Normal 76 52" xfId="12176"/>
    <cellStyle name="Normal 76 53" xfId="12427"/>
    <cellStyle name="Normal 76 54" xfId="12678"/>
    <cellStyle name="Normal 76 55" xfId="12929"/>
    <cellStyle name="Normal 76 56" xfId="13180"/>
    <cellStyle name="Normal 76 57" xfId="13431"/>
    <cellStyle name="Normal 76 58" xfId="13682"/>
    <cellStyle name="Normal 76 59" xfId="13933"/>
    <cellStyle name="Normal 76 6" xfId="614"/>
    <cellStyle name="Normal 76 60" xfId="14184"/>
    <cellStyle name="Normal 76 61" xfId="14435"/>
    <cellStyle name="Normal 76 62" xfId="14686"/>
    <cellStyle name="Normal 76 63" xfId="14936"/>
    <cellStyle name="Normal 76 64" xfId="15187"/>
    <cellStyle name="Normal 76 65" xfId="15438"/>
    <cellStyle name="Normal 76 66" xfId="15685"/>
    <cellStyle name="Normal 76 67" xfId="15942"/>
    <cellStyle name="Normal 76 68" xfId="16193"/>
    <cellStyle name="Normal 76 69" xfId="16444"/>
    <cellStyle name="Normal 76 7" xfId="867"/>
    <cellStyle name="Normal 76 70" xfId="16695"/>
    <cellStyle name="Normal 76 71" xfId="16946"/>
    <cellStyle name="Normal 76 72" xfId="17197"/>
    <cellStyle name="Normal 76 73" xfId="17448"/>
    <cellStyle name="Normal 76 74" xfId="17699"/>
    <cellStyle name="Normal 76 75" xfId="17950"/>
    <cellStyle name="Normal 76 76" xfId="18201"/>
    <cellStyle name="Normal 76 77" xfId="18452"/>
    <cellStyle name="Normal 76 78" xfId="18702"/>
    <cellStyle name="Normal 76 79" xfId="18953"/>
    <cellStyle name="Normal 76 8" xfId="1122"/>
    <cellStyle name="Normal 76 80" xfId="19204"/>
    <cellStyle name="Normal 76 81" xfId="19454"/>
    <cellStyle name="Normal 76 82" xfId="19710"/>
    <cellStyle name="Normal 76 83" xfId="19962"/>
    <cellStyle name="Normal 76 84" xfId="20214"/>
    <cellStyle name="Normal 76 85" xfId="20466"/>
    <cellStyle name="Normal 76 86" xfId="20716"/>
    <cellStyle name="Normal 76 87" xfId="20966"/>
    <cellStyle name="Normal 76 88" xfId="21217"/>
    <cellStyle name="Normal 76 89" xfId="21461"/>
    <cellStyle name="Normal 76 9" xfId="1375"/>
    <cellStyle name="Normal 76 90" xfId="21705"/>
    <cellStyle name="Normal 76 91" xfId="21946"/>
    <cellStyle name="Normal 77" xfId="24671"/>
    <cellStyle name="Normal 77 2" xfId="24628"/>
    <cellStyle name="Normal 77 3" xfId="24629"/>
    <cellStyle name="Normal 78" xfId="87"/>
    <cellStyle name="Normal 78 10" xfId="1629"/>
    <cellStyle name="Normal 78 11" xfId="1886"/>
    <cellStyle name="Normal 78 12" xfId="2137"/>
    <cellStyle name="Normal 78 13" xfId="2388"/>
    <cellStyle name="Normal 78 14" xfId="2639"/>
    <cellStyle name="Normal 78 15" xfId="2890"/>
    <cellStyle name="Normal 78 16" xfId="3141"/>
    <cellStyle name="Normal 78 17" xfId="3392"/>
    <cellStyle name="Normal 78 18" xfId="3643"/>
    <cellStyle name="Normal 78 19" xfId="3894"/>
    <cellStyle name="Normal 78 2" xfId="120"/>
    <cellStyle name="Normal 78 2 10" xfId="1919"/>
    <cellStyle name="Normal 78 2 11" xfId="2170"/>
    <cellStyle name="Normal 78 2 12" xfId="2421"/>
    <cellStyle name="Normal 78 2 13" xfId="2672"/>
    <cellStyle name="Normal 78 2 14" xfId="2923"/>
    <cellStyle name="Normal 78 2 15" xfId="3174"/>
    <cellStyle name="Normal 78 2 16" xfId="3425"/>
    <cellStyle name="Normal 78 2 17" xfId="3676"/>
    <cellStyle name="Normal 78 2 18" xfId="3927"/>
    <cellStyle name="Normal 78 2 19" xfId="4178"/>
    <cellStyle name="Normal 78 2 2" xfId="214"/>
    <cellStyle name="Normal 78 2 2 10" xfId="2514"/>
    <cellStyle name="Normal 78 2 2 11" xfId="2765"/>
    <cellStyle name="Normal 78 2 2 12" xfId="3016"/>
    <cellStyle name="Normal 78 2 2 13" xfId="3267"/>
    <cellStyle name="Normal 78 2 2 14" xfId="3518"/>
    <cellStyle name="Normal 78 2 2 15" xfId="3769"/>
    <cellStyle name="Normal 78 2 2 16" xfId="4020"/>
    <cellStyle name="Normal 78 2 2 17" xfId="4271"/>
    <cellStyle name="Normal 78 2 2 18" xfId="4522"/>
    <cellStyle name="Normal 78 2 2 19" xfId="4773"/>
    <cellStyle name="Normal 78 2 2 2" xfId="491"/>
    <cellStyle name="Normal 78 2 2 20" xfId="5024"/>
    <cellStyle name="Normal 78 2 2 21" xfId="5275"/>
    <cellStyle name="Normal 78 2 2 22" xfId="5526"/>
    <cellStyle name="Normal 78 2 2 23" xfId="5777"/>
    <cellStyle name="Normal 78 2 2 24" xfId="6028"/>
    <cellStyle name="Normal 78 2 2 25" xfId="6279"/>
    <cellStyle name="Normal 78 2 2 26" xfId="6530"/>
    <cellStyle name="Normal 78 2 2 27" xfId="6781"/>
    <cellStyle name="Normal 78 2 2 28" xfId="7032"/>
    <cellStyle name="Normal 78 2 2 29" xfId="7283"/>
    <cellStyle name="Normal 78 2 2 3" xfId="741"/>
    <cellStyle name="Normal 78 2 2 30" xfId="7534"/>
    <cellStyle name="Normal 78 2 2 31" xfId="7785"/>
    <cellStyle name="Normal 78 2 2 32" xfId="8036"/>
    <cellStyle name="Normal 78 2 2 33" xfId="8287"/>
    <cellStyle name="Normal 78 2 2 34" xfId="8538"/>
    <cellStyle name="Normal 78 2 2 35" xfId="8789"/>
    <cellStyle name="Normal 78 2 2 36" xfId="9040"/>
    <cellStyle name="Normal 78 2 2 37" xfId="9291"/>
    <cellStyle name="Normal 78 2 2 38" xfId="9542"/>
    <cellStyle name="Normal 78 2 2 39" xfId="9793"/>
    <cellStyle name="Normal 78 2 2 4" xfId="994"/>
    <cellStyle name="Normal 78 2 2 40" xfId="10044"/>
    <cellStyle name="Normal 78 2 2 41" xfId="10295"/>
    <cellStyle name="Normal 78 2 2 42" xfId="10546"/>
    <cellStyle name="Normal 78 2 2 43" xfId="10797"/>
    <cellStyle name="Normal 78 2 2 44" xfId="11048"/>
    <cellStyle name="Normal 78 2 2 45" xfId="11299"/>
    <cellStyle name="Normal 78 2 2 46" xfId="11550"/>
    <cellStyle name="Normal 78 2 2 47" xfId="11801"/>
    <cellStyle name="Normal 78 2 2 48" xfId="12052"/>
    <cellStyle name="Normal 78 2 2 49" xfId="12303"/>
    <cellStyle name="Normal 78 2 2 5" xfId="1249"/>
    <cellStyle name="Normal 78 2 2 50" xfId="12554"/>
    <cellStyle name="Normal 78 2 2 51" xfId="12805"/>
    <cellStyle name="Normal 78 2 2 52" xfId="13056"/>
    <cellStyle name="Normal 78 2 2 53" xfId="13307"/>
    <cellStyle name="Normal 78 2 2 54" xfId="13558"/>
    <cellStyle name="Normal 78 2 2 55" xfId="13809"/>
    <cellStyle name="Normal 78 2 2 56" xfId="14060"/>
    <cellStyle name="Normal 78 2 2 57" xfId="14311"/>
    <cellStyle name="Normal 78 2 2 58" xfId="14562"/>
    <cellStyle name="Normal 78 2 2 59" xfId="14813"/>
    <cellStyle name="Normal 78 2 2 6" xfId="1502"/>
    <cellStyle name="Normal 78 2 2 60" xfId="15064"/>
    <cellStyle name="Normal 78 2 2 61" xfId="15314"/>
    <cellStyle name="Normal 78 2 2 62" xfId="15565"/>
    <cellStyle name="Normal 78 2 2 63" xfId="15813"/>
    <cellStyle name="Normal 78 2 2 64" xfId="16069"/>
    <cellStyle name="Normal 78 2 2 65" xfId="16320"/>
    <cellStyle name="Normal 78 2 2 66" xfId="16571"/>
    <cellStyle name="Normal 78 2 2 67" xfId="16822"/>
    <cellStyle name="Normal 78 2 2 68" xfId="17073"/>
    <cellStyle name="Normal 78 2 2 69" xfId="17324"/>
    <cellStyle name="Normal 78 2 2 7" xfId="1756"/>
    <cellStyle name="Normal 78 2 2 70" xfId="17575"/>
    <cellStyle name="Normal 78 2 2 71" xfId="17826"/>
    <cellStyle name="Normal 78 2 2 72" xfId="18077"/>
    <cellStyle name="Normal 78 2 2 73" xfId="18328"/>
    <cellStyle name="Normal 78 2 2 74" xfId="18579"/>
    <cellStyle name="Normal 78 2 2 75" xfId="18830"/>
    <cellStyle name="Normal 78 2 2 76" xfId="19080"/>
    <cellStyle name="Normal 78 2 2 77" xfId="19332"/>
    <cellStyle name="Normal 78 2 2 78" xfId="19582"/>
    <cellStyle name="Normal 78 2 2 79" xfId="19838"/>
    <cellStyle name="Normal 78 2 2 8" xfId="2012"/>
    <cellStyle name="Normal 78 2 2 80" xfId="20090"/>
    <cellStyle name="Normal 78 2 2 81" xfId="20342"/>
    <cellStyle name="Normal 78 2 2 82" xfId="20594"/>
    <cellStyle name="Normal 78 2 2 83" xfId="20844"/>
    <cellStyle name="Normal 78 2 2 84" xfId="21094"/>
    <cellStyle name="Normal 78 2 2 85" xfId="21343"/>
    <cellStyle name="Normal 78 2 2 86" xfId="21587"/>
    <cellStyle name="Normal 78 2 2 87" xfId="21831"/>
    <cellStyle name="Normal 78 2 2 88" xfId="22072"/>
    <cellStyle name="Normal 78 2 2 9" xfId="2263"/>
    <cellStyle name="Normal 78 2 20" xfId="4429"/>
    <cellStyle name="Normal 78 2 21" xfId="4680"/>
    <cellStyle name="Normal 78 2 22" xfId="4931"/>
    <cellStyle name="Normal 78 2 23" xfId="5182"/>
    <cellStyle name="Normal 78 2 24" xfId="5433"/>
    <cellStyle name="Normal 78 2 25" xfId="5684"/>
    <cellStyle name="Normal 78 2 26" xfId="5935"/>
    <cellStyle name="Normal 78 2 27" xfId="6186"/>
    <cellStyle name="Normal 78 2 28" xfId="6437"/>
    <cellStyle name="Normal 78 2 29" xfId="6688"/>
    <cellStyle name="Normal 78 2 3" xfId="290"/>
    <cellStyle name="Normal 78 2 3 10" xfId="2590"/>
    <cellStyle name="Normal 78 2 3 11" xfId="2841"/>
    <cellStyle name="Normal 78 2 3 12" xfId="3092"/>
    <cellStyle name="Normal 78 2 3 13" xfId="3343"/>
    <cellStyle name="Normal 78 2 3 14" xfId="3594"/>
    <cellStyle name="Normal 78 2 3 15" xfId="3845"/>
    <cellStyle name="Normal 78 2 3 16" xfId="4096"/>
    <cellStyle name="Normal 78 2 3 17" xfId="4347"/>
    <cellStyle name="Normal 78 2 3 18" xfId="4598"/>
    <cellStyle name="Normal 78 2 3 19" xfId="4849"/>
    <cellStyle name="Normal 78 2 3 2" xfId="565"/>
    <cellStyle name="Normal 78 2 3 20" xfId="5100"/>
    <cellStyle name="Normal 78 2 3 21" xfId="5351"/>
    <cellStyle name="Normal 78 2 3 22" xfId="5602"/>
    <cellStyle name="Normal 78 2 3 23" xfId="5853"/>
    <cellStyle name="Normal 78 2 3 24" xfId="6104"/>
    <cellStyle name="Normal 78 2 3 25" xfId="6355"/>
    <cellStyle name="Normal 78 2 3 26" xfId="6606"/>
    <cellStyle name="Normal 78 2 3 27" xfId="6857"/>
    <cellStyle name="Normal 78 2 3 28" xfId="7108"/>
    <cellStyle name="Normal 78 2 3 29" xfId="7359"/>
    <cellStyle name="Normal 78 2 3 3" xfId="815"/>
    <cellStyle name="Normal 78 2 3 30" xfId="7610"/>
    <cellStyle name="Normal 78 2 3 31" xfId="7861"/>
    <cellStyle name="Normal 78 2 3 32" xfId="8112"/>
    <cellStyle name="Normal 78 2 3 33" xfId="8363"/>
    <cellStyle name="Normal 78 2 3 34" xfId="8614"/>
    <cellStyle name="Normal 78 2 3 35" xfId="8865"/>
    <cellStyle name="Normal 78 2 3 36" xfId="9116"/>
    <cellStyle name="Normal 78 2 3 37" xfId="9367"/>
    <cellStyle name="Normal 78 2 3 38" xfId="9618"/>
    <cellStyle name="Normal 78 2 3 39" xfId="9869"/>
    <cellStyle name="Normal 78 2 3 4" xfId="1067"/>
    <cellStyle name="Normal 78 2 3 40" xfId="10120"/>
    <cellStyle name="Normal 78 2 3 41" xfId="10371"/>
    <cellStyle name="Normal 78 2 3 42" xfId="10622"/>
    <cellStyle name="Normal 78 2 3 43" xfId="10873"/>
    <cellStyle name="Normal 78 2 3 44" xfId="11124"/>
    <cellStyle name="Normal 78 2 3 45" xfId="11375"/>
    <cellStyle name="Normal 78 2 3 46" xfId="11626"/>
    <cellStyle name="Normal 78 2 3 47" xfId="11877"/>
    <cellStyle name="Normal 78 2 3 48" xfId="12128"/>
    <cellStyle name="Normal 78 2 3 49" xfId="12379"/>
    <cellStyle name="Normal 78 2 3 5" xfId="1323"/>
    <cellStyle name="Normal 78 2 3 50" xfId="12630"/>
    <cellStyle name="Normal 78 2 3 51" xfId="12881"/>
    <cellStyle name="Normal 78 2 3 52" xfId="13132"/>
    <cellStyle name="Normal 78 2 3 53" xfId="13383"/>
    <cellStyle name="Normal 78 2 3 54" xfId="13634"/>
    <cellStyle name="Normal 78 2 3 55" xfId="13885"/>
    <cellStyle name="Normal 78 2 3 56" xfId="14136"/>
    <cellStyle name="Normal 78 2 3 57" xfId="14387"/>
    <cellStyle name="Normal 78 2 3 58" xfId="14638"/>
    <cellStyle name="Normal 78 2 3 59" xfId="14889"/>
    <cellStyle name="Normal 78 2 3 6" xfId="1578"/>
    <cellStyle name="Normal 78 2 3 60" xfId="15140"/>
    <cellStyle name="Normal 78 2 3 61" xfId="15390"/>
    <cellStyle name="Normal 78 2 3 62" xfId="15639"/>
    <cellStyle name="Normal 78 2 3 63" xfId="15889"/>
    <cellStyle name="Normal 78 2 3 64" xfId="16145"/>
    <cellStyle name="Normal 78 2 3 65" xfId="16396"/>
    <cellStyle name="Normal 78 2 3 66" xfId="16647"/>
    <cellStyle name="Normal 78 2 3 67" xfId="16898"/>
    <cellStyle name="Normal 78 2 3 68" xfId="17149"/>
    <cellStyle name="Normal 78 2 3 69" xfId="17400"/>
    <cellStyle name="Normal 78 2 3 7" xfId="1831"/>
    <cellStyle name="Normal 78 2 3 70" xfId="17651"/>
    <cellStyle name="Normal 78 2 3 71" xfId="17902"/>
    <cellStyle name="Normal 78 2 3 72" xfId="18153"/>
    <cellStyle name="Normal 78 2 3 73" xfId="18404"/>
    <cellStyle name="Normal 78 2 3 74" xfId="18655"/>
    <cellStyle name="Normal 78 2 3 75" xfId="18906"/>
    <cellStyle name="Normal 78 2 3 76" xfId="19156"/>
    <cellStyle name="Normal 78 2 3 77" xfId="19407"/>
    <cellStyle name="Normal 78 2 3 78" xfId="19658"/>
    <cellStyle name="Normal 78 2 3 79" xfId="19914"/>
    <cellStyle name="Normal 78 2 3 8" xfId="2088"/>
    <cellStyle name="Normal 78 2 3 80" xfId="20166"/>
    <cellStyle name="Normal 78 2 3 81" xfId="20418"/>
    <cellStyle name="Normal 78 2 3 82" xfId="20670"/>
    <cellStyle name="Normal 78 2 3 83" xfId="20920"/>
    <cellStyle name="Normal 78 2 3 84" xfId="21169"/>
    <cellStyle name="Normal 78 2 3 85" xfId="21417"/>
    <cellStyle name="Normal 78 2 3 86" xfId="21661"/>
    <cellStyle name="Normal 78 2 3 87" xfId="21903"/>
    <cellStyle name="Normal 78 2 3 88" xfId="22144"/>
    <cellStyle name="Normal 78 2 3 9" xfId="2339"/>
    <cellStyle name="Normal 78 2 30" xfId="6939"/>
    <cellStyle name="Normal 78 2 31" xfId="7190"/>
    <cellStyle name="Normal 78 2 32" xfId="7441"/>
    <cellStyle name="Normal 78 2 33" xfId="7692"/>
    <cellStyle name="Normal 78 2 34" xfId="7943"/>
    <cellStyle name="Normal 78 2 35" xfId="8194"/>
    <cellStyle name="Normal 78 2 36" xfId="8445"/>
    <cellStyle name="Normal 78 2 37" xfId="8696"/>
    <cellStyle name="Normal 78 2 38" xfId="8947"/>
    <cellStyle name="Normal 78 2 39" xfId="9198"/>
    <cellStyle name="Normal 78 2 4" xfId="399"/>
    <cellStyle name="Normal 78 2 40" xfId="9449"/>
    <cellStyle name="Normal 78 2 41" xfId="9700"/>
    <cellStyle name="Normal 78 2 42" xfId="9951"/>
    <cellStyle name="Normal 78 2 43" xfId="10202"/>
    <cellStyle name="Normal 78 2 44" xfId="10453"/>
    <cellStyle name="Normal 78 2 45" xfId="10704"/>
    <cellStyle name="Normal 78 2 46" xfId="10955"/>
    <cellStyle name="Normal 78 2 47" xfId="11206"/>
    <cellStyle name="Normal 78 2 48" xfId="11457"/>
    <cellStyle name="Normal 78 2 49" xfId="11708"/>
    <cellStyle name="Normal 78 2 5" xfId="648"/>
    <cellStyle name="Normal 78 2 50" xfId="11959"/>
    <cellStyle name="Normal 78 2 51" xfId="12210"/>
    <cellStyle name="Normal 78 2 52" xfId="12461"/>
    <cellStyle name="Normal 78 2 53" xfId="12712"/>
    <cellStyle name="Normal 78 2 54" xfId="12963"/>
    <cellStyle name="Normal 78 2 55" xfId="13214"/>
    <cellStyle name="Normal 78 2 56" xfId="13465"/>
    <cellStyle name="Normal 78 2 57" xfId="13716"/>
    <cellStyle name="Normal 78 2 58" xfId="13967"/>
    <cellStyle name="Normal 78 2 59" xfId="14218"/>
    <cellStyle name="Normal 78 2 6" xfId="901"/>
    <cellStyle name="Normal 78 2 60" xfId="14469"/>
    <cellStyle name="Normal 78 2 61" xfId="14720"/>
    <cellStyle name="Normal 78 2 62" xfId="14970"/>
    <cellStyle name="Normal 78 2 63" xfId="15221"/>
    <cellStyle name="Normal 78 2 64" xfId="15472"/>
    <cellStyle name="Normal 78 2 65" xfId="15719"/>
    <cellStyle name="Normal 78 2 66" xfId="15976"/>
    <cellStyle name="Normal 78 2 67" xfId="16227"/>
    <cellStyle name="Normal 78 2 68" xfId="16478"/>
    <cellStyle name="Normal 78 2 69" xfId="16729"/>
    <cellStyle name="Normal 78 2 7" xfId="1156"/>
    <cellStyle name="Normal 78 2 70" xfId="16980"/>
    <cellStyle name="Normal 78 2 71" xfId="17231"/>
    <cellStyle name="Normal 78 2 72" xfId="17482"/>
    <cellStyle name="Normal 78 2 73" xfId="17733"/>
    <cellStyle name="Normal 78 2 74" xfId="17984"/>
    <cellStyle name="Normal 78 2 75" xfId="18235"/>
    <cellStyle name="Normal 78 2 76" xfId="18486"/>
    <cellStyle name="Normal 78 2 77" xfId="18736"/>
    <cellStyle name="Normal 78 2 78" xfId="18987"/>
    <cellStyle name="Normal 78 2 79" xfId="19238"/>
    <cellStyle name="Normal 78 2 8" xfId="1409"/>
    <cellStyle name="Normal 78 2 80" xfId="19488"/>
    <cellStyle name="Normal 78 2 81" xfId="19744"/>
    <cellStyle name="Normal 78 2 82" xfId="19996"/>
    <cellStyle name="Normal 78 2 83" xfId="20248"/>
    <cellStyle name="Normal 78 2 84" xfId="20500"/>
    <cellStyle name="Normal 78 2 85" xfId="20750"/>
    <cellStyle name="Normal 78 2 86" xfId="21000"/>
    <cellStyle name="Normal 78 2 87" xfId="21251"/>
    <cellStyle name="Normal 78 2 88" xfId="21495"/>
    <cellStyle name="Normal 78 2 89" xfId="21739"/>
    <cellStyle name="Normal 78 2 9" xfId="1662"/>
    <cellStyle name="Normal 78 2 90" xfId="21980"/>
    <cellStyle name="Normal 78 20" xfId="4145"/>
    <cellStyle name="Normal 78 21" xfId="4396"/>
    <cellStyle name="Normal 78 22" xfId="4647"/>
    <cellStyle name="Normal 78 23" xfId="4898"/>
    <cellStyle name="Normal 78 24" xfId="5149"/>
    <cellStyle name="Normal 78 25" xfId="5400"/>
    <cellStyle name="Normal 78 26" xfId="5651"/>
    <cellStyle name="Normal 78 27" xfId="5902"/>
    <cellStyle name="Normal 78 28" xfId="6153"/>
    <cellStyle name="Normal 78 29" xfId="6404"/>
    <cellStyle name="Normal 78 3" xfId="181"/>
    <cellStyle name="Normal 78 3 10" xfId="2481"/>
    <cellStyle name="Normal 78 3 11" xfId="2732"/>
    <cellStyle name="Normal 78 3 12" xfId="2983"/>
    <cellStyle name="Normal 78 3 13" xfId="3234"/>
    <cellStyle name="Normal 78 3 14" xfId="3485"/>
    <cellStyle name="Normal 78 3 15" xfId="3736"/>
    <cellStyle name="Normal 78 3 16" xfId="3987"/>
    <cellStyle name="Normal 78 3 17" xfId="4238"/>
    <cellStyle name="Normal 78 3 18" xfId="4489"/>
    <cellStyle name="Normal 78 3 19" xfId="4740"/>
    <cellStyle name="Normal 78 3 2" xfId="458"/>
    <cellStyle name="Normal 78 3 20" xfId="4991"/>
    <cellStyle name="Normal 78 3 21" xfId="5242"/>
    <cellStyle name="Normal 78 3 22" xfId="5493"/>
    <cellStyle name="Normal 78 3 23" xfId="5744"/>
    <cellStyle name="Normal 78 3 24" xfId="5995"/>
    <cellStyle name="Normal 78 3 25" xfId="6246"/>
    <cellStyle name="Normal 78 3 26" xfId="6497"/>
    <cellStyle name="Normal 78 3 27" xfId="6748"/>
    <cellStyle name="Normal 78 3 28" xfId="6999"/>
    <cellStyle name="Normal 78 3 29" xfId="7250"/>
    <cellStyle name="Normal 78 3 3" xfId="708"/>
    <cellStyle name="Normal 78 3 30" xfId="7501"/>
    <cellStyle name="Normal 78 3 31" xfId="7752"/>
    <cellStyle name="Normal 78 3 32" xfId="8003"/>
    <cellStyle name="Normal 78 3 33" xfId="8254"/>
    <cellStyle name="Normal 78 3 34" xfId="8505"/>
    <cellStyle name="Normal 78 3 35" xfId="8756"/>
    <cellStyle name="Normal 78 3 36" xfId="9007"/>
    <cellStyle name="Normal 78 3 37" xfId="9258"/>
    <cellStyle name="Normal 78 3 38" xfId="9509"/>
    <cellStyle name="Normal 78 3 39" xfId="9760"/>
    <cellStyle name="Normal 78 3 4" xfId="961"/>
    <cellStyle name="Normal 78 3 40" xfId="10011"/>
    <cellStyle name="Normal 78 3 41" xfId="10262"/>
    <cellStyle name="Normal 78 3 42" xfId="10513"/>
    <cellStyle name="Normal 78 3 43" xfId="10764"/>
    <cellStyle name="Normal 78 3 44" xfId="11015"/>
    <cellStyle name="Normal 78 3 45" xfId="11266"/>
    <cellStyle name="Normal 78 3 46" xfId="11517"/>
    <cellStyle name="Normal 78 3 47" xfId="11768"/>
    <cellStyle name="Normal 78 3 48" xfId="12019"/>
    <cellStyle name="Normal 78 3 49" xfId="12270"/>
    <cellStyle name="Normal 78 3 5" xfId="1216"/>
    <cellStyle name="Normal 78 3 50" xfId="12521"/>
    <cellStyle name="Normal 78 3 51" xfId="12772"/>
    <cellStyle name="Normal 78 3 52" xfId="13023"/>
    <cellStyle name="Normal 78 3 53" xfId="13274"/>
    <cellStyle name="Normal 78 3 54" xfId="13525"/>
    <cellStyle name="Normal 78 3 55" xfId="13776"/>
    <cellStyle name="Normal 78 3 56" xfId="14027"/>
    <cellStyle name="Normal 78 3 57" xfId="14278"/>
    <cellStyle name="Normal 78 3 58" xfId="14529"/>
    <cellStyle name="Normal 78 3 59" xfId="14780"/>
    <cellStyle name="Normal 78 3 6" xfId="1469"/>
    <cellStyle name="Normal 78 3 60" xfId="15031"/>
    <cellStyle name="Normal 78 3 61" xfId="15281"/>
    <cellStyle name="Normal 78 3 62" xfId="15532"/>
    <cellStyle name="Normal 78 3 63" xfId="15780"/>
    <cellStyle name="Normal 78 3 64" xfId="16036"/>
    <cellStyle name="Normal 78 3 65" xfId="16287"/>
    <cellStyle name="Normal 78 3 66" xfId="16538"/>
    <cellStyle name="Normal 78 3 67" xfId="16789"/>
    <cellStyle name="Normal 78 3 68" xfId="17040"/>
    <cellStyle name="Normal 78 3 69" xfId="17291"/>
    <cellStyle name="Normal 78 3 7" xfId="1723"/>
    <cellStyle name="Normal 78 3 70" xfId="17542"/>
    <cellStyle name="Normal 78 3 71" xfId="17793"/>
    <cellStyle name="Normal 78 3 72" xfId="18044"/>
    <cellStyle name="Normal 78 3 73" xfId="18295"/>
    <cellStyle name="Normal 78 3 74" xfId="18546"/>
    <cellStyle name="Normal 78 3 75" xfId="18797"/>
    <cellStyle name="Normal 78 3 76" xfId="19047"/>
    <cellStyle name="Normal 78 3 77" xfId="19299"/>
    <cellStyle name="Normal 78 3 78" xfId="19549"/>
    <cellStyle name="Normal 78 3 79" xfId="19805"/>
    <cellStyle name="Normal 78 3 8" xfId="1979"/>
    <cellStyle name="Normal 78 3 80" xfId="20057"/>
    <cellStyle name="Normal 78 3 81" xfId="20309"/>
    <cellStyle name="Normal 78 3 82" xfId="20561"/>
    <cellStyle name="Normal 78 3 83" xfId="20811"/>
    <cellStyle name="Normal 78 3 84" xfId="21061"/>
    <cellStyle name="Normal 78 3 85" xfId="21310"/>
    <cellStyle name="Normal 78 3 86" xfId="21554"/>
    <cellStyle name="Normal 78 3 87" xfId="21798"/>
    <cellStyle name="Normal 78 3 88" xfId="22039"/>
    <cellStyle name="Normal 78 3 9" xfId="2230"/>
    <cellStyle name="Normal 78 30" xfId="6655"/>
    <cellStyle name="Normal 78 31" xfId="6906"/>
    <cellStyle name="Normal 78 32" xfId="7157"/>
    <cellStyle name="Normal 78 33" xfId="7408"/>
    <cellStyle name="Normal 78 34" xfId="7659"/>
    <cellStyle name="Normal 78 35" xfId="7910"/>
    <cellStyle name="Normal 78 36" xfId="8161"/>
    <cellStyle name="Normal 78 37" xfId="8412"/>
    <cellStyle name="Normal 78 38" xfId="8663"/>
    <cellStyle name="Normal 78 39" xfId="8914"/>
    <cellStyle name="Normal 78 4" xfId="257"/>
    <cellStyle name="Normal 78 4 10" xfId="2557"/>
    <cellStyle name="Normal 78 4 11" xfId="2808"/>
    <cellStyle name="Normal 78 4 12" xfId="3059"/>
    <cellStyle name="Normal 78 4 13" xfId="3310"/>
    <cellStyle name="Normal 78 4 14" xfId="3561"/>
    <cellStyle name="Normal 78 4 15" xfId="3812"/>
    <cellStyle name="Normal 78 4 16" xfId="4063"/>
    <cellStyle name="Normal 78 4 17" xfId="4314"/>
    <cellStyle name="Normal 78 4 18" xfId="4565"/>
    <cellStyle name="Normal 78 4 19" xfId="4816"/>
    <cellStyle name="Normal 78 4 2" xfId="533"/>
    <cellStyle name="Normal 78 4 20" xfId="5067"/>
    <cellStyle name="Normal 78 4 21" xfId="5318"/>
    <cellStyle name="Normal 78 4 22" xfId="5569"/>
    <cellStyle name="Normal 78 4 23" xfId="5820"/>
    <cellStyle name="Normal 78 4 24" xfId="6071"/>
    <cellStyle name="Normal 78 4 25" xfId="6322"/>
    <cellStyle name="Normal 78 4 26" xfId="6573"/>
    <cellStyle name="Normal 78 4 27" xfId="6824"/>
    <cellStyle name="Normal 78 4 28" xfId="7075"/>
    <cellStyle name="Normal 78 4 29" xfId="7326"/>
    <cellStyle name="Normal 78 4 3" xfId="783"/>
    <cellStyle name="Normal 78 4 30" xfId="7577"/>
    <cellStyle name="Normal 78 4 31" xfId="7828"/>
    <cellStyle name="Normal 78 4 32" xfId="8079"/>
    <cellStyle name="Normal 78 4 33" xfId="8330"/>
    <cellStyle name="Normal 78 4 34" xfId="8581"/>
    <cellStyle name="Normal 78 4 35" xfId="8832"/>
    <cellStyle name="Normal 78 4 36" xfId="9083"/>
    <cellStyle name="Normal 78 4 37" xfId="9334"/>
    <cellStyle name="Normal 78 4 38" xfId="9585"/>
    <cellStyle name="Normal 78 4 39" xfId="9836"/>
    <cellStyle name="Normal 78 4 4" xfId="1035"/>
    <cellStyle name="Normal 78 4 40" xfId="10087"/>
    <cellStyle name="Normal 78 4 41" xfId="10338"/>
    <cellStyle name="Normal 78 4 42" xfId="10589"/>
    <cellStyle name="Normal 78 4 43" xfId="10840"/>
    <cellStyle name="Normal 78 4 44" xfId="11091"/>
    <cellStyle name="Normal 78 4 45" xfId="11342"/>
    <cellStyle name="Normal 78 4 46" xfId="11593"/>
    <cellStyle name="Normal 78 4 47" xfId="11844"/>
    <cellStyle name="Normal 78 4 48" xfId="12095"/>
    <cellStyle name="Normal 78 4 49" xfId="12346"/>
    <cellStyle name="Normal 78 4 5" xfId="1291"/>
    <cellStyle name="Normal 78 4 50" xfId="12597"/>
    <cellStyle name="Normal 78 4 51" xfId="12848"/>
    <cellStyle name="Normal 78 4 52" xfId="13099"/>
    <cellStyle name="Normal 78 4 53" xfId="13350"/>
    <cellStyle name="Normal 78 4 54" xfId="13601"/>
    <cellStyle name="Normal 78 4 55" xfId="13852"/>
    <cellStyle name="Normal 78 4 56" xfId="14103"/>
    <cellStyle name="Normal 78 4 57" xfId="14354"/>
    <cellStyle name="Normal 78 4 58" xfId="14605"/>
    <cellStyle name="Normal 78 4 59" xfId="14856"/>
    <cellStyle name="Normal 78 4 6" xfId="1545"/>
    <cellStyle name="Normal 78 4 60" xfId="15107"/>
    <cellStyle name="Normal 78 4 61" xfId="15357"/>
    <cellStyle name="Normal 78 4 62" xfId="15607"/>
    <cellStyle name="Normal 78 4 63" xfId="15856"/>
    <cellStyle name="Normal 78 4 64" xfId="16112"/>
    <cellStyle name="Normal 78 4 65" xfId="16363"/>
    <cellStyle name="Normal 78 4 66" xfId="16614"/>
    <cellStyle name="Normal 78 4 67" xfId="16865"/>
    <cellStyle name="Normal 78 4 68" xfId="17116"/>
    <cellStyle name="Normal 78 4 69" xfId="17367"/>
    <cellStyle name="Normal 78 4 7" xfId="1798"/>
    <cellStyle name="Normal 78 4 70" xfId="17618"/>
    <cellStyle name="Normal 78 4 71" xfId="17869"/>
    <cellStyle name="Normal 78 4 72" xfId="18120"/>
    <cellStyle name="Normal 78 4 73" xfId="18371"/>
    <cellStyle name="Normal 78 4 74" xfId="18622"/>
    <cellStyle name="Normal 78 4 75" xfId="18873"/>
    <cellStyle name="Normal 78 4 76" xfId="19123"/>
    <cellStyle name="Normal 78 4 77" xfId="19375"/>
    <cellStyle name="Normal 78 4 78" xfId="19625"/>
    <cellStyle name="Normal 78 4 79" xfId="19881"/>
    <cellStyle name="Normal 78 4 8" xfId="2055"/>
    <cellStyle name="Normal 78 4 80" xfId="20133"/>
    <cellStyle name="Normal 78 4 81" xfId="20385"/>
    <cellStyle name="Normal 78 4 82" xfId="20637"/>
    <cellStyle name="Normal 78 4 83" xfId="20887"/>
    <cellStyle name="Normal 78 4 84" xfId="21137"/>
    <cellStyle name="Normal 78 4 85" xfId="21385"/>
    <cellStyle name="Normal 78 4 86" xfId="21629"/>
    <cellStyle name="Normal 78 4 87" xfId="21872"/>
    <cellStyle name="Normal 78 4 88" xfId="22113"/>
    <cellStyle name="Normal 78 4 9" xfId="2306"/>
    <cellStyle name="Normal 78 40" xfId="9165"/>
    <cellStyle name="Normal 78 41" xfId="9416"/>
    <cellStyle name="Normal 78 42" xfId="9667"/>
    <cellStyle name="Normal 78 43" xfId="9918"/>
    <cellStyle name="Normal 78 44" xfId="10169"/>
    <cellStyle name="Normal 78 45" xfId="10420"/>
    <cellStyle name="Normal 78 46" xfId="10671"/>
    <cellStyle name="Normal 78 47" xfId="10922"/>
    <cellStyle name="Normal 78 48" xfId="11173"/>
    <cellStyle name="Normal 78 49" xfId="11424"/>
    <cellStyle name="Normal 78 5" xfId="366"/>
    <cellStyle name="Normal 78 50" xfId="11675"/>
    <cellStyle name="Normal 78 51" xfId="11926"/>
    <cellStyle name="Normal 78 52" xfId="12177"/>
    <cellStyle name="Normal 78 53" xfId="12428"/>
    <cellStyle name="Normal 78 54" xfId="12679"/>
    <cellStyle name="Normal 78 55" xfId="12930"/>
    <cellStyle name="Normal 78 56" xfId="13181"/>
    <cellStyle name="Normal 78 57" xfId="13432"/>
    <cellStyle name="Normal 78 58" xfId="13683"/>
    <cellStyle name="Normal 78 59" xfId="13934"/>
    <cellStyle name="Normal 78 6" xfId="615"/>
    <cellStyle name="Normal 78 60" xfId="14185"/>
    <cellStyle name="Normal 78 61" xfId="14436"/>
    <cellStyle name="Normal 78 62" xfId="14687"/>
    <cellStyle name="Normal 78 63" xfId="14937"/>
    <cellStyle name="Normal 78 64" xfId="15188"/>
    <cellStyle name="Normal 78 65" xfId="15439"/>
    <cellStyle name="Normal 78 66" xfId="15686"/>
    <cellStyle name="Normal 78 67" xfId="15943"/>
    <cellStyle name="Normal 78 68" xfId="16194"/>
    <cellStyle name="Normal 78 69" xfId="16445"/>
    <cellStyle name="Normal 78 7" xfId="868"/>
    <cellStyle name="Normal 78 70" xfId="16696"/>
    <cellStyle name="Normal 78 71" xfId="16947"/>
    <cellStyle name="Normal 78 72" xfId="17198"/>
    <cellStyle name="Normal 78 73" xfId="17449"/>
    <cellStyle name="Normal 78 74" xfId="17700"/>
    <cellStyle name="Normal 78 75" xfId="17951"/>
    <cellStyle name="Normal 78 76" xfId="18202"/>
    <cellStyle name="Normal 78 77" xfId="18453"/>
    <cellStyle name="Normal 78 78" xfId="18703"/>
    <cellStyle name="Normal 78 79" xfId="18954"/>
    <cellStyle name="Normal 78 8" xfId="1123"/>
    <cellStyle name="Normal 78 80" xfId="19205"/>
    <cellStyle name="Normal 78 81" xfId="19455"/>
    <cellStyle name="Normal 78 82" xfId="19711"/>
    <cellStyle name="Normal 78 83" xfId="19963"/>
    <cellStyle name="Normal 78 84" xfId="20215"/>
    <cellStyle name="Normal 78 85" xfId="20467"/>
    <cellStyle name="Normal 78 86" xfId="20717"/>
    <cellStyle name="Normal 78 87" xfId="20967"/>
    <cellStyle name="Normal 78 88" xfId="21218"/>
    <cellStyle name="Normal 78 89" xfId="21462"/>
    <cellStyle name="Normal 78 9" xfId="1376"/>
    <cellStyle name="Normal 78 90" xfId="21706"/>
    <cellStyle name="Normal 78 91" xfId="21947"/>
    <cellStyle name="Normal 79" xfId="24672"/>
    <cellStyle name="Normal 79 2" xfId="24630"/>
    <cellStyle name="Normal 79 3" xfId="24631"/>
    <cellStyle name="Normal 8" xfId="72"/>
    <cellStyle name="Normal 8 10" xfId="1614"/>
    <cellStyle name="Normal 8 11" xfId="1871"/>
    <cellStyle name="Normal 8 12" xfId="2122"/>
    <cellStyle name="Normal 8 13" xfId="2373"/>
    <cellStyle name="Normal 8 14" xfId="2624"/>
    <cellStyle name="Normal 8 15" xfId="2875"/>
    <cellStyle name="Normal 8 16" xfId="3126"/>
    <cellStyle name="Normal 8 17" xfId="3377"/>
    <cellStyle name="Normal 8 18" xfId="3628"/>
    <cellStyle name="Normal 8 19" xfId="3879"/>
    <cellStyle name="Normal 8 2" xfId="105"/>
    <cellStyle name="Normal 8 2 10" xfId="1904"/>
    <cellStyle name="Normal 8 2 11" xfId="2155"/>
    <cellStyle name="Normal 8 2 12" xfId="2406"/>
    <cellStyle name="Normal 8 2 13" xfId="2657"/>
    <cellStyle name="Normal 8 2 14" xfId="2908"/>
    <cellStyle name="Normal 8 2 15" xfId="3159"/>
    <cellStyle name="Normal 8 2 16" xfId="3410"/>
    <cellStyle name="Normal 8 2 17" xfId="3661"/>
    <cellStyle name="Normal 8 2 18" xfId="3912"/>
    <cellStyle name="Normal 8 2 19" xfId="4163"/>
    <cellStyle name="Normal 8 2 2" xfId="199"/>
    <cellStyle name="Normal 8 2 2 10" xfId="2499"/>
    <cellStyle name="Normal 8 2 2 11" xfId="2750"/>
    <cellStyle name="Normal 8 2 2 12" xfId="3001"/>
    <cellStyle name="Normal 8 2 2 13" xfId="3252"/>
    <cellStyle name="Normal 8 2 2 14" xfId="3503"/>
    <cellStyle name="Normal 8 2 2 15" xfId="3754"/>
    <cellStyle name="Normal 8 2 2 16" xfId="4005"/>
    <cellStyle name="Normal 8 2 2 17" xfId="4256"/>
    <cellStyle name="Normal 8 2 2 18" xfId="4507"/>
    <cellStyle name="Normal 8 2 2 19" xfId="4758"/>
    <cellStyle name="Normal 8 2 2 2" xfId="476"/>
    <cellStyle name="Normal 8 2 2 20" xfId="5009"/>
    <cellStyle name="Normal 8 2 2 21" xfId="5260"/>
    <cellStyle name="Normal 8 2 2 22" xfId="5511"/>
    <cellStyle name="Normal 8 2 2 23" xfId="5762"/>
    <cellStyle name="Normal 8 2 2 24" xfId="6013"/>
    <cellStyle name="Normal 8 2 2 25" xfId="6264"/>
    <cellStyle name="Normal 8 2 2 26" xfId="6515"/>
    <cellStyle name="Normal 8 2 2 27" xfId="6766"/>
    <cellStyle name="Normal 8 2 2 28" xfId="7017"/>
    <cellStyle name="Normal 8 2 2 29" xfId="7268"/>
    <cellStyle name="Normal 8 2 2 3" xfId="726"/>
    <cellStyle name="Normal 8 2 2 30" xfId="7519"/>
    <cellStyle name="Normal 8 2 2 31" xfId="7770"/>
    <cellStyle name="Normal 8 2 2 32" xfId="8021"/>
    <cellStyle name="Normal 8 2 2 33" xfId="8272"/>
    <cellStyle name="Normal 8 2 2 34" xfId="8523"/>
    <cellStyle name="Normal 8 2 2 35" xfId="8774"/>
    <cellStyle name="Normal 8 2 2 36" xfId="9025"/>
    <cellStyle name="Normal 8 2 2 37" xfId="9276"/>
    <cellStyle name="Normal 8 2 2 38" xfId="9527"/>
    <cellStyle name="Normal 8 2 2 39" xfId="9778"/>
    <cellStyle name="Normal 8 2 2 4" xfId="979"/>
    <cellStyle name="Normal 8 2 2 40" xfId="10029"/>
    <cellStyle name="Normal 8 2 2 41" xfId="10280"/>
    <cellStyle name="Normal 8 2 2 42" xfId="10531"/>
    <cellStyle name="Normal 8 2 2 43" xfId="10782"/>
    <cellStyle name="Normal 8 2 2 44" xfId="11033"/>
    <cellStyle name="Normal 8 2 2 45" xfId="11284"/>
    <cellStyle name="Normal 8 2 2 46" xfId="11535"/>
    <cellStyle name="Normal 8 2 2 47" xfId="11786"/>
    <cellStyle name="Normal 8 2 2 48" xfId="12037"/>
    <cellStyle name="Normal 8 2 2 49" xfId="12288"/>
    <cellStyle name="Normal 8 2 2 5" xfId="1234"/>
    <cellStyle name="Normal 8 2 2 50" xfId="12539"/>
    <cellStyle name="Normal 8 2 2 51" xfId="12790"/>
    <cellStyle name="Normal 8 2 2 52" xfId="13041"/>
    <cellStyle name="Normal 8 2 2 53" xfId="13292"/>
    <cellStyle name="Normal 8 2 2 54" xfId="13543"/>
    <cellStyle name="Normal 8 2 2 55" xfId="13794"/>
    <cellStyle name="Normal 8 2 2 56" xfId="14045"/>
    <cellStyle name="Normal 8 2 2 57" xfId="14296"/>
    <cellStyle name="Normal 8 2 2 58" xfId="14547"/>
    <cellStyle name="Normal 8 2 2 59" xfId="14798"/>
    <cellStyle name="Normal 8 2 2 6" xfId="1487"/>
    <cellStyle name="Normal 8 2 2 60" xfId="15049"/>
    <cellStyle name="Normal 8 2 2 61" xfId="15299"/>
    <cellStyle name="Normal 8 2 2 62" xfId="15550"/>
    <cellStyle name="Normal 8 2 2 63" xfId="15798"/>
    <cellStyle name="Normal 8 2 2 64" xfId="16054"/>
    <cellStyle name="Normal 8 2 2 65" xfId="16305"/>
    <cellStyle name="Normal 8 2 2 66" xfId="16556"/>
    <cellStyle name="Normal 8 2 2 67" xfId="16807"/>
    <cellStyle name="Normal 8 2 2 68" xfId="17058"/>
    <cellStyle name="Normal 8 2 2 69" xfId="17309"/>
    <cellStyle name="Normal 8 2 2 7" xfId="1741"/>
    <cellStyle name="Normal 8 2 2 70" xfId="17560"/>
    <cellStyle name="Normal 8 2 2 71" xfId="17811"/>
    <cellStyle name="Normal 8 2 2 72" xfId="18062"/>
    <cellStyle name="Normal 8 2 2 73" xfId="18313"/>
    <cellStyle name="Normal 8 2 2 74" xfId="18564"/>
    <cellStyle name="Normal 8 2 2 75" xfId="18815"/>
    <cellStyle name="Normal 8 2 2 76" xfId="19065"/>
    <cellStyle name="Normal 8 2 2 77" xfId="19317"/>
    <cellStyle name="Normal 8 2 2 78" xfId="19567"/>
    <cellStyle name="Normal 8 2 2 79" xfId="19823"/>
    <cellStyle name="Normal 8 2 2 8" xfId="1997"/>
    <cellStyle name="Normal 8 2 2 80" xfId="20075"/>
    <cellStyle name="Normal 8 2 2 81" xfId="20327"/>
    <cellStyle name="Normal 8 2 2 82" xfId="20579"/>
    <cellStyle name="Normal 8 2 2 83" xfId="20829"/>
    <cellStyle name="Normal 8 2 2 84" xfId="21079"/>
    <cellStyle name="Normal 8 2 2 85" xfId="21328"/>
    <cellStyle name="Normal 8 2 2 86" xfId="21572"/>
    <cellStyle name="Normal 8 2 2 87" xfId="21816"/>
    <cellStyle name="Normal 8 2 2 88" xfId="22057"/>
    <cellStyle name="Normal 8 2 2 9" xfId="2248"/>
    <cellStyle name="Normal 8 2 20" xfId="4414"/>
    <cellStyle name="Normal 8 2 21" xfId="4665"/>
    <cellStyle name="Normal 8 2 22" xfId="4916"/>
    <cellStyle name="Normal 8 2 23" xfId="5167"/>
    <cellStyle name="Normal 8 2 24" xfId="5418"/>
    <cellStyle name="Normal 8 2 25" xfId="5669"/>
    <cellStyle name="Normal 8 2 26" xfId="5920"/>
    <cellStyle name="Normal 8 2 27" xfId="6171"/>
    <cellStyle name="Normal 8 2 28" xfId="6422"/>
    <cellStyle name="Normal 8 2 29" xfId="6673"/>
    <cellStyle name="Normal 8 2 3" xfId="275"/>
    <cellStyle name="Normal 8 2 3 10" xfId="2575"/>
    <cellStyle name="Normal 8 2 3 11" xfId="2826"/>
    <cellStyle name="Normal 8 2 3 12" xfId="3077"/>
    <cellStyle name="Normal 8 2 3 13" xfId="3328"/>
    <cellStyle name="Normal 8 2 3 14" xfId="3579"/>
    <cellStyle name="Normal 8 2 3 15" xfId="3830"/>
    <cellStyle name="Normal 8 2 3 16" xfId="4081"/>
    <cellStyle name="Normal 8 2 3 17" xfId="4332"/>
    <cellStyle name="Normal 8 2 3 18" xfId="4583"/>
    <cellStyle name="Normal 8 2 3 19" xfId="4834"/>
    <cellStyle name="Normal 8 2 3 2" xfId="550"/>
    <cellStyle name="Normal 8 2 3 20" xfId="5085"/>
    <cellStyle name="Normal 8 2 3 21" xfId="5336"/>
    <cellStyle name="Normal 8 2 3 22" xfId="5587"/>
    <cellStyle name="Normal 8 2 3 23" xfId="5838"/>
    <cellStyle name="Normal 8 2 3 24" xfId="6089"/>
    <cellStyle name="Normal 8 2 3 25" xfId="6340"/>
    <cellStyle name="Normal 8 2 3 26" xfId="6591"/>
    <cellStyle name="Normal 8 2 3 27" xfId="6842"/>
    <cellStyle name="Normal 8 2 3 28" xfId="7093"/>
    <cellStyle name="Normal 8 2 3 29" xfId="7344"/>
    <cellStyle name="Normal 8 2 3 3" xfId="800"/>
    <cellStyle name="Normal 8 2 3 30" xfId="7595"/>
    <cellStyle name="Normal 8 2 3 31" xfId="7846"/>
    <cellStyle name="Normal 8 2 3 32" xfId="8097"/>
    <cellStyle name="Normal 8 2 3 33" xfId="8348"/>
    <cellStyle name="Normal 8 2 3 34" xfId="8599"/>
    <cellStyle name="Normal 8 2 3 35" xfId="8850"/>
    <cellStyle name="Normal 8 2 3 36" xfId="9101"/>
    <cellStyle name="Normal 8 2 3 37" xfId="9352"/>
    <cellStyle name="Normal 8 2 3 38" xfId="9603"/>
    <cellStyle name="Normal 8 2 3 39" xfId="9854"/>
    <cellStyle name="Normal 8 2 3 4" xfId="1052"/>
    <cellStyle name="Normal 8 2 3 40" xfId="10105"/>
    <cellStyle name="Normal 8 2 3 41" xfId="10356"/>
    <cellStyle name="Normal 8 2 3 42" xfId="10607"/>
    <cellStyle name="Normal 8 2 3 43" xfId="10858"/>
    <cellStyle name="Normal 8 2 3 44" xfId="11109"/>
    <cellStyle name="Normal 8 2 3 45" xfId="11360"/>
    <cellStyle name="Normal 8 2 3 46" xfId="11611"/>
    <cellStyle name="Normal 8 2 3 47" xfId="11862"/>
    <cellStyle name="Normal 8 2 3 48" xfId="12113"/>
    <cellStyle name="Normal 8 2 3 49" xfId="12364"/>
    <cellStyle name="Normal 8 2 3 5" xfId="1308"/>
    <cellStyle name="Normal 8 2 3 50" xfId="12615"/>
    <cellStyle name="Normal 8 2 3 51" xfId="12866"/>
    <cellStyle name="Normal 8 2 3 52" xfId="13117"/>
    <cellStyle name="Normal 8 2 3 53" xfId="13368"/>
    <cellStyle name="Normal 8 2 3 54" xfId="13619"/>
    <cellStyle name="Normal 8 2 3 55" xfId="13870"/>
    <cellStyle name="Normal 8 2 3 56" xfId="14121"/>
    <cellStyle name="Normal 8 2 3 57" xfId="14372"/>
    <cellStyle name="Normal 8 2 3 58" xfId="14623"/>
    <cellStyle name="Normal 8 2 3 59" xfId="14874"/>
    <cellStyle name="Normal 8 2 3 6" xfId="1563"/>
    <cellStyle name="Normal 8 2 3 60" xfId="15125"/>
    <cellStyle name="Normal 8 2 3 61" xfId="15375"/>
    <cellStyle name="Normal 8 2 3 62" xfId="15624"/>
    <cellStyle name="Normal 8 2 3 63" xfId="15874"/>
    <cellStyle name="Normal 8 2 3 64" xfId="16130"/>
    <cellStyle name="Normal 8 2 3 65" xfId="16381"/>
    <cellStyle name="Normal 8 2 3 66" xfId="16632"/>
    <cellStyle name="Normal 8 2 3 67" xfId="16883"/>
    <cellStyle name="Normal 8 2 3 68" xfId="17134"/>
    <cellStyle name="Normal 8 2 3 69" xfId="17385"/>
    <cellStyle name="Normal 8 2 3 7" xfId="1816"/>
    <cellStyle name="Normal 8 2 3 70" xfId="17636"/>
    <cellStyle name="Normal 8 2 3 71" xfId="17887"/>
    <cellStyle name="Normal 8 2 3 72" xfId="18138"/>
    <cellStyle name="Normal 8 2 3 73" xfId="18389"/>
    <cellStyle name="Normal 8 2 3 74" xfId="18640"/>
    <cellStyle name="Normal 8 2 3 75" xfId="18891"/>
    <cellStyle name="Normal 8 2 3 76" xfId="19141"/>
    <cellStyle name="Normal 8 2 3 77" xfId="19392"/>
    <cellStyle name="Normal 8 2 3 78" xfId="19643"/>
    <cellStyle name="Normal 8 2 3 79" xfId="19899"/>
    <cellStyle name="Normal 8 2 3 8" xfId="2073"/>
    <cellStyle name="Normal 8 2 3 80" xfId="20151"/>
    <cellStyle name="Normal 8 2 3 81" xfId="20403"/>
    <cellStyle name="Normal 8 2 3 82" xfId="20655"/>
    <cellStyle name="Normal 8 2 3 83" xfId="20905"/>
    <cellStyle name="Normal 8 2 3 84" xfId="21154"/>
    <cellStyle name="Normal 8 2 3 85" xfId="21402"/>
    <cellStyle name="Normal 8 2 3 86" xfId="21646"/>
    <cellStyle name="Normal 8 2 3 87" xfId="21888"/>
    <cellStyle name="Normal 8 2 3 88" xfId="22129"/>
    <cellStyle name="Normal 8 2 3 9" xfId="2324"/>
    <cellStyle name="Normal 8 2 30" xfId="6924"/>
    <cellStyle name="Normal 8 2 31" xfId="7175"/>
    <cellStyle name="Normal 8 2 32" xfId="7426"/>
    <cellStyle name="Normal 8 2 33" xfId="7677"/>
    <cellStyle name="Normal 8 2 34" xfId="7928"/>
    <cellStyle name="Normal 8 2 35" xfId="8179"/>
    <cellStyle name="Normal 8 2 36" xfId="8430"/>
    <cellStyle name="Normal 8 2 37" xfId="8681"/>
    <cellStyle name="Normal 8 2 38" xfId="8932"/>
    <cellStyle name="Normal 8 2 39" xfId="9183"/>
    <cellStyle name="Normal 8 2 4" xfId="384"/>
    <cellStyle name="Normal 8 2 40" xfId="9434"/>
    <cellStyle name="Normal 8 2 41" xfId="9685"/>
    <cellStyle name="Normal 8 2 42" xfId="9936"/>
    <cellStyle name="Normal 8 2 43" xfId="10187"/>
    <cellStyle name="Normal 8 2 44" xfId="10438"/>
    <cellStyle name="Normal 8 2 45" xfId="10689"/>
    <cellStyle name="Normal 8 2 46" xfId="10940"/>
    <cellStyle name="Normal 8 2 47" xfId="11191"/>
    <cellStyle name="Normal 8 2 48" xfId="11442"/>
    <cellStyle name="Normal 8 2 49" xfId="11693"/>
    <cellStyle name="Normal 8 2 5" xfId="633"/>
    <cellStyle name="Normal 8 2 50" xfId="11944"/>
    <cellStyle name="Normal 8 2 51" xfId="12195"/>
    <cellStyle name="Normal 8 2 52" xfId="12446"/>
    <cellStyle name="Normal 8 2 53" xfId="12697"/>
    <cellStyle name="Normal 8 2 54" xfId="12948"/>
    <cellStyle name="Normal 8 2 55" xfId="13199"/>
    <cellStyle name="Normal 8 2 56" xfId="13450"/>
    <cellStyle name="Normal 8 2 57" xfId="13701"/>
    <cellStyle name="Normal 8 2 58" xfId="13952"/>
    <cellStyle name="Normal 8 2 59" xfId="14203"/>
    <cellStyle name="Normal 8 2 6" xfId="886"/>
    <cellStyle name="Normal 8 2 60" xfId="14454"/>
    <cellStyle name="Normal 8 2 61" xfId="14705"/>
    <cellStyle name="Normal 8 2 62" xfId="14955"/>
    <cellStyle name="Normal 8 2 63" xfId="15206"/>
    <cellStyle name="Normal 8 2 64" xfId="15457"/>
    <cellStyle name="Normal 8 2 65" xfId="15704"/>
    <cellStyle name="Normal 8 2 66" xfId="15961"/>
    <cellStyle name="Normal 8 2 67" xfId="16212"/>
    <cellStyle name="Normal 8 2 68" xfId="16463"/>
    <cellStyle name="Normal 8 2 69" xfId="16714"/>
    <cellStyle name="Normal 8 2 7" xfId="1141"/>
    <cellStyle name="Normal 8 2 70" xfId="16965"/>
    <cellStyle name="Normal 8 2 71" xfId="17216"/>
    <cellStyle name="Normal 8 2 72" xfId="17467"/>
    <cellStyle name="Normal 8 2 73" xfId="17718"/>
    <cellStyle name="Normal 8 2 74" xfId="17969"/>
    <cellStyle name="Normal 8 2 75" xfId="18220"/>
    <cellStyle name="Normal 8 2 76" xfId="18471"/>
    <cellStyle name="Normal 8 2 77" xfId="18721"/>
    <cellStyle name="Normal 8 2 78" xfId="18972"/>
    <cellStyle name="Normal 8 2 79" xfId="19223"/>
    <cellStyle name="Normal 8 2 8" xfId="1394"/>
    <cellStyle name="Normal 8 2 80" xfId="19473"/>
    <cellStyle name="Normal 8 2 81" xfId="19729"/>
    <cellStyle name="Normal 8 2 82" xfId="19981"/>
    <cellStyle name="Normal 8 2 83" xfId="20233"/>
    <cellStyle name="Normal 8 2 84" xfId="20485"/>
    <cellStyle name="Normal 8 2 85" xfId="20735"/>
    <cellStyle name="Normal 8 2 86" xfId="20985"/>
    <cellStyle name="Normal 8 2 87" xfId="21236"/>
    <cellStyle name="Normal 8 2 88" xfId="21480"/>
    <cellStyle name="Normal 8 2 89" xfId="21724"/>
    <cellStyle name="Normal 8 2 9" xfId="1647"/>
    <cellStyle name="Normal 8 2 90" xfId="21965"/>
    <cellStyle name="Normal 8 20" xfId="4130"/>
    <cellStyle name="Normal 8 21" xfId="4381"/>
    <cellStyle name="Normal 8 22" xfId="4632"/>
    <cellStyle name="Normal 8 23" xfId="4883"/>
    <cellStyle name="Normal 8 24" xfId="5134"/>
    <cellStyle name="Normal 8 25" xfId="5385"/>
    <cellStyle name="Normal 8 26" xfId="5636"/>
    <cellStyle name="Normal 8 27" xfId="5887"/>
    <cellStyle name="Normal 8 28" xfId="6138"/>
    <cellStyle name="Normal 8 29" xfId="6389"/>
    <cellStyle name="Normal 8 3" xfId="166"/>
    <cellStyle name="Normal 8 3 10" xfId="2466"/>
    <cellStyle name="Normal 8 3 11" xfId="2717"/>
    <cellStyle name="Normal 8 3 12" xfId="2968"/>
    <cellStyle name="Normal 8 3 13" xfId="3219"/>
    <cellStyle name="Normal 8 3 14" xfId="3470"/>
    <cellStyle name="Normal 8 3 15" xfId="3721"/>
    <cellStyle name="Normal 8 3 16" xfId="3972"/>
    <cellStyle name="Normal 8 3 17" xfId="4223"/>
    <cellStyle name="Normal 8 3 18" xfId="4474"/>
    <cellStyle name="Normal 8 3 19" xfId="4725"/>
    <cellStyle name="Normal 8 3 2" xfId="443"/>
    <cellStyle name="Normal 8 3 20" xfId="4976"/>
    <cellStyle name="Normal 8 3 21" xfId="5227"/>
    <cellStyle name="Normal 8 3 22" xfId="5478"/>
    <cellStyle name="Normal 8 3 23" xfId="5729"/>
    <cellStyle name="Normal 8 3 24" xfId="5980"/>
    <cellStyle name="Normal 8 3 25" xfId="6231"/>
    <cellStyle name="Normal 8 3 26" xfId="6482"/>
    <cellStyle name="Normal 8 3 27" xfId="6733"/>
    <cellStyle name="Normal 8 3 28" xfId="6984"/>
    <cellStyle name="Normal 8 3 29" xfId="7235"/>
    <cellStyle name="Normal 8 3 3" xfId="693"/>
    <cellStyle name="Normal 8 3 30" xfId="7486"/>
    <cellStyle name="Normal 8 3 31" xfId="7737"/>
    <cellStyle name="Normal 8 3 32" xfId="7988"/>
    <cellStyle name="Normal 8 3 33" xfId="8239"/>
    <cellStyle name="Normal 8 3 34" xfId="8490"/>
    <cellStyle name="Normal 8 3 35" xfId="8741"/>
    <cellStyle name="Normal 8 3 36" xfId="8992"/>
    <cellStyle name="Normal 8 3 37" xfId="9243"/>
    <cellStyle name="Normal 8 3 38" xfId="9494"/>
    <cellStyle name="Normal 8 3 39" xfId="9745"/>
    <cellStyle name="Normal 8 3 4" xfId="946"/>
    <cellStyle name="Normal 8 3 40" xfId="9996"/>
    <cellStyle name="Normal 8 3 41" xfId="10247"/>
    <cellStyle name="Normal 8 3 42" xfId="10498"/>
    <cellStyle name="Normal 8 3 43" xfId="10749"/>
    <cellStyle name="Normal 8 3 44" xfId="11000"/>
    <cellStyle name="Normal 8 3 45" xfId="11251"/>
    <cellStyle name="Normal 8 3 46" xfId="11502"/>
    <cellStyle name="Normal 8 3 47" xfId="11753"/>
    <cellStyle name="Normal 8 3 48" xfId="12004"/>
    <cellStyle name="Normal 8 3 49" xfId="12255"/>
    <cellStyle name="Normal 8 3 5" xfId="1201"/>
    <cellStyle name="Normal 8 3 50" xfId="12506"/>
    <cellStyle name="Normal 8 3 51" xfId="12757"/>
    <cellStyle name="Normal 8 3 52" xfId="13008"/>
    <cellStyle name="Normal 8 3 53" xfId="13259"/>
    <cellStyle name="Normal 8 3 54" xfId="13510"/>
    <cellStyle name="Normal 8 3 55" xfId="13761"/>
    <cellStyle name="Normal 8 3 56" xfId="14012"/>
    <cellStyle name="Normal 8 3 57" xfId="14263"/>
    <cellStyle name="Normal 8 3 58" xfId="14514"/>
    <cellStyle name="Normal 8 3 59" xfId="14765"/>
    <cellStyle name="Normal 8 3 6" xfId="1454"/>
    <cellStyle name="Normal 8 3 60" xfId="15016"/>
    <cellStyle name="Normal 8 3 61" xfId="15266"/>
    <cellStyle name="Normal 8 3 62" xfId="15517"/>
    <cellStyle name="Normal 8 3 63" xfId="15765"/>
    <cellStyle name="Normal 8 3 64" xfId="16021"/>
    <cellStyle name="Normal 8 3 65" xfId="16272"/>
    <cellStyle name="Normal 8 3 66" xfId="16523"/>
    <cellStyle name="Normal 8 3 67" xfId="16774"/>
    <cellStyle name="Normal 8 3 68" xfId="17025"/>
    <cellStyle name="Normal 8 3 69" xfId="17276"/>
    <cellStyle name="Normal 8 3 7" xfId="1708"/>
    <cellStyle name="Normal 8 3 70" xfId="17527"/>
    <cellStyle name="Normal 8 3 71" xfId="17778"/>
    <cellStyle name="Normal 8 3 72" xfId="18029"/>
    <cellStyle name="Normal 8 3 73" xfId="18280"/>
    <cellStyle name="Normal 8 3 74" xfId="18531"/>
    <cellStyle name="Normal 8 3 75" xfId="18782"/>
    <cellStyle name="Normal 8 3 76" xfId="19032"/>
    <cellStyle name="Normal 8 3 77" xfId="19284"/>
    <cellStyle name="Normal 8 3 78" xfId="19534"/>
    <cellStyle name="Normal 8 3 79" xfId="19790"/>
    <cellStyle name="Normal 8 3 8" xfId="1964"/>
    <cellStyle name="Normal 8 3 80" xfId="20042"/>
    <cellStyle name="Normal 8 3 81" xfId="20294"/>
    <cellStyle name="Normal 8 3 82" xfId="20546"/>
    <cellStyle name="Normal 8 3 83" xfId="20796"/>
    <cellStyle name="Normal 8 3 84" xfId="21046"/>
    <cellStyle name="Normal 8 3 85" xfId="21295"/>
    <cellStyle name="Normal 8 3 86" xfId="21539"/>
    <cellStyle name="Normal 8 3 87" xfId="21783"/>
    <cellStyle name="Normal 8 3 88" xfId="22024"/>
    <cellStyle name="Normal 8 3 9" xfId="2215"/>
    <cellStyle name="Normal 8 30" xfId="6640"/>
    <cellStyle name="Normal 8 31" xfId="6891"/>
    <cellStyle name="Normal 8 32" xfId="7142"/>
    <cellStyle name="Normal 8 33" xfId="7393"/>
    <cellStyle name="Normal 8 34" xfId="7644"/>
    <cellStyle name="Normal 8 35" xfId="7895"/>
    <cellStyle name="Normal 8 36" xfId="8146"/>
    <cellStyle name="Normal 8 37" xfId="8397"/>
    <cellStyle name="Normal 8 38" xfId="8648"/>
    <cellStyle name="Normal 8 39" xfId="8899"/>
    <cellStyle name="Normal 8 4" xfId="242"/>
    <cellStyle name="Normal 8 4 10" xfId="2542"/>
    <cellStyle name="Normal 8 4 11" xfId="2793"/>
    <cellStyle name="Normal 8 4 12" xfId="3044"/>
    <cellStyle name="Normal 8 4 13" xfId="3295"/>
    <cellStyle name="Normal 8 4 14" xfId="3546"/>
    <cellStyle name="Normal 8 4 15" xfId="3797"/>
    <cellStyle name="Normal 8 4 16" xfId="4048"/>
    <cellStyle name="Normal 8 4 17" xfId="4299"/>
    <cellStyle name="Normal 8 4 18" xfId="4550"/>
    <cellStyle name="Normal 8 4 19" xfId="4801"/>
    <cellStyle name="Normal 8 4 2" xfId="518"/>
    <cellStyle name="Normal 8 4 20" xfId="5052"/>
    <cellStyle name="Normal 8 4 21" xfId="5303"/>
    <cellStyle name="Normal 8 4 22" xfId="5554"/>
    <cellStyle name="Normal 8 4 23" xfId="5805"/>
    <cellStyle name="Normal 8 4 24" xfId="6056"/>
    <cellStyle name="Normal 8 4 25" xfId="6307"/>
    <cellStyle name="Normal 8 4 26" xfId="6558"/>
    <cellStyle name="Normal 8 4 27" xfId="6809"/>
    <cellStyle name="Normal 8 4 28" xfId="7060"/>
    <cellStyle name="Normal 8 4 29" xfId="7311"/>
    <cellStyle name="Normal 8 4 3" xfId="768"/>
    <cellStyle name="Normal 8 4 30" xfId="7562"/>
    <cellStyle name="Normal 8 4 31" xfId="7813"/>
    <cellStyle name="Normal 8 4 32" xfId="8064"/>
    <cellStyle name="Normal 8 4 33" xfId="8315"/>
    <cellStyle name="Normal 8 4 34" xfId="8566"/>
    <cellStyle name="Normal 8 4 35" xfId="8817"/>
    <cellStyle name="Normal 8 4 36" xfId="9068"/>
    <cellStyle name="Normal 8 4 37" xfId="9319"/>
    <cellStyle name="Normal 8 4 38" xfId="9570"/>
    <cellStyle name="Normal 8 4 39" xfId="9821"/>
    <cellStyle name="Normal 8 4 4" xfId="1020"/>
    <cellStyle name="Normal 8 4 40" xfId="10072"/>
    <cellStyle name="Normal 8 4 41" xfId="10323"/>
    <cellStyle name="Normal 8 4 42" xfId="10574"/>
    <cellStyle name="Normal 8 4 43" xfId="10825"/>
    <cellStyle name="Normal 8 4 44" xfId="11076"/>
    <cellStyle name="Normal 8 4 45" xfId="11327"/>
    <cellStyle name="Normal 8 4 46" xfId="11578"/>
    <cellStyle name="Normal 8 4 47" xfId="11829"/>
    <cellStyle name="Normal 8 4 48" xfId="12080"/>
    <cellStyle name="Normal 8 4 49" xfId="12331"/>
    <cellStyle name="Normal 8 4 5" xfId="1276"/>
    <cellStyle name="Normal 8 4 50" xfId="12582"/>
    <cellStyle name="Normal 8 4 51" xfId="12833"/>
    <cellStyle name="Normal 8 4 52" xfId="13084"/>
    <cellStyle name="Normal 8 4 53" xfId="13335"/>
    <cellStyle name="Normal 8 4 54" xfId="13586"/>
    <cellStyle name="Normal 8 4 55" xfId="13837"/>
    <cellStyle name="Normal 8 4 56" xfId="14088"/>
    <cellStyle name="Normal 8 4 57" xfId="14339"/>
    <cellStyle name="Normal 8 4 58" xfId="14590"/>
    <cellStyle name="Normal 8 4 59" xfId="14841"/>
    <cellStyle name="Normal 8 4 6" xfId="1530"/>
    <cellStyle name="Normal 8 4 60" xfId="15092"/>
    <cellStyle name="Normal 8 4 61" xfId="15342"/>
    <cellStyle name="Normal 8 4 62" xfId="15592"/>
    <cellStyle name="Normal 8 4 63" xfId="15841"/>
    <cellStyle name="Normal 8 4 64" xfId="16097"/>
    <cellStyle name="Normal 8 4 65" xfId="16348"/>
    <cellStyle name="Normal 8 4 66" xfId="16599"/>
    <cellStyle name="Normal 8 4 67" xfId="16850"/>
    <cellStyle name="Normal 8 4 68" xfId="17101"/>
    <cellStyle name="Normal 8 4 69" xfId="17352"/>
    <cellStyle name="Normal 8 4 7" xfId="1783"/>
    <cellStyle name="Normal 8 4 70" xfId="17603"/>
    <cellStyle name="Normal 8 4 71" xfId="17854"/>
    <cellStyle name="Normal 8 4 72" xfId="18105"/>
    <cellStyle name="Normal 8 4 73" xfId="18356"/>
    <cellStyle name="Normal 8 4 74" xfId="18607"/>
    <cellStyle name="Normal 8 4 75" xfId="18858"/>
    <cellStyle name="Normal 8 4 76" xfId="19108"/>
    <cellStyle name="Normal 8 4 77" xfId="19360"/>
    <cellStyle name="Normal 8 4 78" xfId="19610"/>
    <cellStyle name="Normal 8 4 79" xfId="19866"/>
    <cellStyle name="Normal 8 4 8" xfId="2040"/>
    <cellStyle name="Normal 8 4 80" xfId="20118"/>
    <cellStyle name="Normal 8 4 81" xfId="20370"/>
    <cellStyle name="Normal 8 4 82" xfId="20622"/>
    <cellStyle name="Normal 8 4 83" xfId="20872"/>
    <cellStyle name="Normal 8 4 84" xfId="21122"/>
    <cellStyle name="Normal 8 4 85" xfId="21370"/>
    <cellStyle name="Normal 8 4 86" xfId="21614"/>
    <cellStyle name="Normal 8 4 87" xfId="21857"/>
    <cellStyle name="Normal 8 4 88" xfId="22098"/>
    <cellStyle name="Normal 8 4 9" xfId="2291"/>
    <cellStyle name="Normal 8 40" xfId="9150"/>
    <cellStyle name="Normal 8 41" xfId="9401"/>
    <cellStyle name="Normal 8 42" xfId="9652"/>
    <cellStyle name="Normal 8 43" xfId="9903"/>
    <cellStyle name="Normal 8 44" xfId="10154"/>
    <cellStyle name="Normal 8 45" xfId="10405"/>
    <cellStyle name="Normal 8 46" xfId="10656"/>
    <cellStyle name="Normal 8 47" xfId="10907"/>
    <cellStyle name="Normal 8 48" xfId="11158"/>
    <cellStyle name="Normal 8 49" xfId="11409"/>
    <cellStyle name="Normal 8 5" xfId="351"/>
    <cellStyle name="Normal 8 50" xfId="11660"/>
    <cellStyle name="Normal 8 51" xfId="11911"/>
    <cellStyle name="Normal 8 52" xfId="12162"/>
    <cellStyle name="Normal 8 53" xfId="12413"/>
    <cellStyle name="Normal 8 54" xfId="12664"/>
    <cellStyle name="Normal 8 55" xfId="12915"/>
    <cellStyle name="Normal 8 56" xfId="13166"/>
    <cellStyle name="Normal 8 57" xfId="13417"/>
    <cellStyle name="Normal 8 58" xfId="13668"/>
    <cellStyle name="Normal 8 59" xfId="13919"/>
    <cellStyle name="Normal 8 6" xfId="600"/>
    <cellStyle name="Normal 8 60" xfId="14170"/>
    <cellStyle name="Normal 8 61" xfId="14421"/>
    <cellStyle name="Normal 8 62" xfId="14672"/>
    <cellStyle name="Normal 8 63" xfId="14922"/>
    <cellStyle name="Normal 8 64" xfId="15173"/>
    <cellStyle name="Normal 8 65" xfId="15424"/>
    <cellStyle name="Normal 8 66" xfId="15671"/>
    <cellStyle name="Normal 8 67" xfId="15928"/>
    <cellStyle name="Normal 8 68" xfId="16179"/>
    <cellStyle name="Normal 8 69" xfId="16430"/>
    <cellStyle name="Normal 8 7" xfId="853"/>
    <cellStyle name="Normal 8 70" xfId="16681"/>
    <cellStyle name="Normal 8 71" xfId="16932"/>
    <cellStyle name="Normal 8 72" xfId="17183"/>
    <cellStyle name="Normal 8 73" xfId="17434"/>
    <cellStyle name="Normal 8 74" xfId="17685"/>
    <cellStyle name="Normal 8 75" xfId="17936"/>
    <cellStyle name="Normal 8 76" xfId="18187"/>
    <cellStyle name="Normal 8 77" xfId="18438"/>
    <cellStyle name="Normal 8 78" xfId="18688"/>
    <cellStyle name="Normal 8 79" xfId="18939"/>
    <cellStyle name="Normal 8 8" xfId="1108"/>
    <cellStyle name="Normal 8 80" xfId="19190"/>
    <cellStyle name="Normal 8 81" xfId="19440"/>
    <cellStyle name="Normal 8 82" xfId="19696"/>
    <cellStyle name="Normal 8 83" xfId="19948"/>
    <cellStyle name="Normal 8 84" xfId="20200"/>
    <cellStyle name="Normal 8 85" xfId="20452"/>
    <cellStyle name="Normal 8 86" xfId="20702"/>
    <cellStyle name="Normal 8 87" xfId="20952"/>
    <cellStyle name="Normal 8 88" xfId="21203"/>
    <cellStyle name="Normal 8 89" xfId="21447"/>
    <cellStyle name="Normal 8 9" xfId="1361"/>
    <cellStyle name="Normal 8 90" xfId="21691"/>
    <cellStyle name="Normal 8 91" xfId="21932"/>
    <cellStyle name="Normal 80" xfId="24669"/>
    <cellStyle name="Normal 80 2" xfId="24632"/>
    <cellStyle name="Normal 80 3" xfId="24633"/>
    <cellStyle name="Normal 81" xfId="88"/>
    <cellStyle name="Normal 81 10" xfId="1630"/>
    <cellStyle name="Normal 81 11" xfId="1887"/>
    <cellStyle name="Normal 81 12" xfId="2138"/>
    <cellStyle name="Normal 81 13" xfId="2389"/>
    <cellStyle name="Normal 81 14" xfId="2640"/>
    <cellStyle name="Normal 81 15" xfId="2891"/>
    <cellStyle name="Normal 81 16" xfId="3142"/>
    <cellStyle name="Normal 81 17" xfId="3393"/>
    <cellStyle name="Normal 81 18" xfId="3644"/>
    <cellStyle name="Normal 81 19" xfId="3895"/>
    <cellStyle name="Normal 81 2" xfId="121"/>
    <cellStyle name="Normal 81 2 10" xfId="1920"/>
    <cellStyle name="Normal 81 2 11" xfId="2171"/>
    <cellStyle name="Normal 81 2 12" xfId="2422"/>
    <cellStyle name="Normal 81 2 13" xfId="2673"/>
    <cellStyle name="Normal 81 2 14" xfId="2924"/>
    <cellStyle name="Normal 81 2 15" xfId="3175"/>
    <cellStyle name="Normal 81 2 16" xfId="3426"/>
    <cellStyle name="Normal 81 2 17" xfId="3677"/>
    <cellStyle name="Normal 81 2 18" xfId="3928"/>
    <cellStyle name="Normal 81 2 19" xfId="4179"/>
    <cellStyle name="Normal 81 2 2" xfId="215"/>
    <cellStyle name="Normal 81 2 2 10" xfId="2515"/>
    <cellStyle name="Normal 81 2 2 11" xfId="2766"/>
    <cellStyle name="Normal 81 2 2 12" xfId="3017"/>
    <cellStyle name="Normal 81 2 2 13" xfId="3268"/>
    <cellStyle name="Normal 81 2 2 14" xfId="3519"/>
    <cellStyle name="Normal 81 2 2 15" xfId="3770"/>
    <cellStyle name="Normal 81 2 2 16" xfId="4021"/>
    <cellStyle name="Normal 81 2 2 17" xfId="4272"/>
    <cellStyle name="Normal 81 2 2 18" xfId="4523"/>
    <cellStyle name="Normal 81 2 2 19" xfId="4774"/>
    <cellStyle name="Normal 81 2 2 2" xfId="492"/>
    <cellStyle name="Normal 81 2 2 20" xfId="5025"/>
    <cellStyle name="Normal 81 2 2 21" xfId="5276"/>
    <cellStyle name="Normal 81 2 2 22" xfId="5527"/>
    <cellStyle name="Normal 81 2 2 23" xfId="5778"/>
    <cellStyle name="Normal 81 2 2 24" xfId="6029"/>
    <cellStyle name="Normal 81 2 2 25" xfId="6280"/>
    <cellStyle name="Normal 81 2 2 26" xfId="6531"/>
    <cellStyle name="Normal 81 2 2 27" xfId="6782"/>
    <cellStyle name="Normal 81 2 2 28" xfId="7033"/>
    <cellStyle name="Normal 81 2 2 29" xfId="7284"/>
    <cellStyle name="Normal 81 2 2 3" xfId="742"/>
    <cellStyle name="Normal 81 2 2 30" xfId="7535"/>
    <cellStyle name="Normal 81 2 2 31" xfId="7786"/>
    <cellStyle name="Normal 81 2 2 32" xfId="8037"/>
    <cellStyle name="Normal 81 2 2 33" xfId="8288"/>
    <cellStyle name="Normal 81 2 2 34" xfId="8539"/>
    <cellStyle name="Normal 81 2 2 35" xfId="8790"/>
    <cellStyle name="Normal 81 2 2 36" xfId="9041"/>
    <cellStyle name="Normal 81 2 2 37" xfId="9292"/>
    <cellStyle name="Normal 81 2 2 38" xfId="9543"/>
    <cellStyle name="Normal 81 2 2 39" xfId="9794"/>
    <cellStyle name="Normal 81 2 2 4" xfId="995"/>
    <cellStyle name="Normal 81 2 2 40" xfId="10045"/>
    <cellStyle name="Normal 81 2 2 41" xfId="10296"/>
    <cellStyle name="Normal 81 2 2 42" xfId="10547"/>
    <cellStyle name="Normal 81 2 2 43" xfId="10798"/>
    <cellStyle name="Normal 81 2 2 44" xfId="11049"/>
    <cellStyle name="Normal 81 2 2 45" xfId="11300"/>
    <cellStyle name="Normal 81 2 2 46" xfId="11551"/>
    <cellStyle name="Normal 81 2 2 47" xfId="11802"/>
    <cellStyle name="Normal 81 2 2 48" xfId="12053"/>
    <cellStyle name="Normal 81 2 2 49" xfId="12304"/>
    <cellStyle name="Normal 81 2 2 5" xfId="1250"/>
    <cellStyle name="Normal 81 2 2 50" xfId="12555"/>
    <cellStyle name="Normal 81 2 2 51" xfId="12806"/>
    <cellStyle name="Normal 81 2 2 52" xfId="13057"/>
    <cellStyle name="Normal 81 2 2 53" xfId="13308"/>
    <cellStyle name="Normal 81 2 2 54" xfId="13559"/>
    <cellStyle name="Normal 81 2 2 55" xfId="13810"/>
    <cellStyle name="Normal 81 2 2 56" xfId="14061"/>
    <cellStyle name="Normal 81 2 2 57" xfId="14312"/>
    <cellStyle name="Normal 81 2 2 58" xfId="14563"/>
    <cellStyle name="Normal 81 2 2 59" xfId="14814"/>
    <cellStyle name="Normal 81 2 2 6" xfId="1503"/>
    <cellStyle name="Normal 81 2 2 60" xfId="15065"/>
    <cellStyle name="Normal 81 2 2 61" xfId="15315"/>
    <cellStyle name="Normal 81 2 2 62" xfId="15566"/>
    <cellStyle name="Normal 81 2 2 63" xfId="15814"/>
    <cellStyle name="Normal 81 2 2 64" xfId="16070"/>
    <cellStyle name="Normal 81 2 2 65" xfId="16321"/>
    <cellStyle name="Normal 81 2 2 66" xfId="16572"/>
    <cellStyle name="Normal 81 2 2 67" xfId="16823"/>
    <cellStyle name="Normal 81 2 2 68" xfId="17074"/>
    <cellStyle name="Normal 81 2 2 69" xfId="17325"/>
    <cellStyle name="Normal 81 2 2 7" xfId="1757"/>
    <cellStyle name="Normal 81 2 2 70" xfId="17576"/>
    <cellStyle name="Normal 81 2 2 71" xfId="17827"/>
    <cellStyle name="Normal 81 2 2 72" xfId="18078"/>
    <cellStyle name="Normal 81 2 2 73" xfId="18329"/>
    <cellStyle name="Normal 81 2 2 74" xfId="18580"/>
    <cellStyle name="Normal 81 2 2 75" xfId="18831"/>
    <cellStyle name="Normal 81 2 2 76" xfId="19081"/>
    <cellStyle name="Normal 81 2 2 77" xfId="19333"/>
    <cellStyle name="Normal 81 2 2 78" xfId="19583"/>
    <cellStyle name="Normal 81 2 2 79" xfId="19839"/>
    <cellStyle name="Normal 81 2 2 8" xfId="2013"/>
    <cellStyle name="Normal 81 2 2 80" xfId="20091"/>
    <cellStyle name="Normal 81 2 2 81" xfId="20343"/>
    <cellStyle name="Normal 81 2 2 82" xfId="20595"/>
    <cellStyle name="Normal 81 2 2 83" xfId="20845"/>
    <cellStyle name="Normal 81 2 2 84" xfId="21095"/>
    <cellStyle name="Normal 81 2 2 85" xfId="21344"/>
    <cellStyle name="Normal 81 2 2 86" xfId="21588"/>
    <cellStyle name="Normal 81 2 2 87" xfId="21832"/>
    <cellStyle name="Normal 81 2 2 88" xfId="22073"/>
    <cellStyle name="Normal 81 2 2 9" xfId="2264"/>
    <cellStyle name="Normal 81 2 20" xfId="4430"/>
    <cellStyle name="Normal 81 2 21" xfId="4681"/>
    <cellStyle name="Normal 81 2 22" xfId="4932"/>
    <cellStyle name="Normal 81 2 23" xfId="5183"/>
    <cellStyle name="Normal 81 2 24" xfId="5434"/>
    <cellStyle name="Normal 81 2 25" xfId="5685"/>
    <cellStyle name="Normal 81 2 26" xfId="5936"/>
    <cellStyle name="Normal 81 2 27" xfId="6187"/>
    <cellStyle name="Normal 81 2 28" xfId="6438"/>
    <cellStyle name="Normal 81 2 29" xfId="6689"/>
    <cellStyle name="Normal 81 2 3" xfId="291"/>
    <cellStyle name="Normal 81 2 3 10" xfId="2591"/>
    <cellStyle name="Normal 81 2 3 11" xfId="2842"/>
    <cellStyle name="Normal 81 2 3 12" xfId="3093"/>
    <cellStyle name="Normal 81 2 3 13" xfId="3344"/>
    <cellStyle name="Normal 81 2 3 14" xfId="3595"/>
    <cellStyle name="Normal 81 2 3 15" xfId="3846"/>
    <cellStyle name="Normal 81 2 3 16" xfId="4097"/>
    <cellStyle name="Normal 81 2 3 17" xfId="4348"/>
    <cellStyle name="Normal 81 2 3 18" xfId="4599"/>
    <cellStyle name="Normal 81 2 3 19" xfId="4850"/>
    <cellStyle name="Normal 81 2 3 2" xfId="566"/>
    <cellStyle name="Normal 81 2 3 20" xfId="5101"/>
    <cellStyle name="Normal 81 2 3 21" xfId="5352"/>
    <cellStyle name="Normal 81 2 3 22" xfId="5603"/>
    <cellStyle name="Normal 81 2 3 23" xfId="5854"/>
    <cellStyle name="Normal 81 2 3 24" xfId="6105"/>
    <cellStyle name="Normal 81 2 3 25" xfId="6356"/>
    <cellStyle name="Normal 81 2 3 26" xfId="6607"/>
    <cellStyle name="Normal 81 2 3 27" xfId="6858"/>
    <cellStyle name="Normal 81 2 3 28" xfId="7109"/>
    <cellStyle name="Normal 81 2 3 29" xfId="7360"/>
    <cellStyle name="Normal 81 2 3 3" xfId="816"/>
    <cellStyle name="Normal 81 2 3 30" xfId="7611"/>
    <cellStyle name="Normal 81 2 3 31" xfId="7862"/>
    <cellStyle name="Normal 81 2 3 32" xfId="8113"/>
    <cellStyle name="Normal 81 2 3 33" xfId="8364"/>
    <cellStyle name="Normal 81 2 3 34" xfId="8615"/>
    <cellStyle name="Normal 81 2 3 35" xfId="8866"/>
    <cellStyle name="Normal 81 2 3 36" xfId="9117"/>
    <cellStyle name="Normal 81 2 3 37" xfId="9368"/>
    <cellStyle name="Normal 81 2 3 38" xfId="9619"/>
    <cellStyle name="Normal 81 2 3 39" xfId="9870"/>
    <cellStyle name="Normal 81 2 3 4" xfId="1068"/>
    <cellStyle name="Normal 81 2 3 40" xfId="10121"/>
    <cellStyle name="Normal 81 2 3 41" xfId="10372"/>
    <cellStyle name="Normal 81 2 3 42" xfId="10623"/>
    <cellStyle name="Normal 81 2 3 43" xfId="10874"/>
    <cellStyle name="Normal 81 2 3 44" xfId="11125"/>
    <cellStyle name="Normal 81 2 3 45" xfId="11376"/>
    <cellStyle name="Normal 81 2 3 46" xfId="11627"/>
    <cellStyle name="Normal 81 2 3 47" xfId="11878"/>
    <cellStyle name="Normal 81 2 3 48" xfId="12129"/>
    <cellStyle name="Normal 81 2 3 49" xfId="12380"/>
    <cellStyle name="Normal 81 2 3 5" xfId="1324"/>
    <cellStyle name="Normal 81 2 3 50" xfId="12631"/>
    <cellStyle name="Normal 81 2 3 51" xfId="12882"/>
    <cellStyle name="Normal 81 2 3 52" xfId="13133"/>
    <cellStyle name="Normal 81 2 3 53" xfId="13384"/>
    <cellStyle name="Normal 81 2 3 54" xfId="13635"/>
    <cellStyle name="Normal 81 2 3 55" xfId="13886"/>
    <cellStyle name="Normal 81 2 3 56" xfId="14137"/>
    <cellStyle name="Normal 81 2 3 57" xfId="14388"/>
    <cellStyle name="Normal 81 2 3 58" xfId="14639"/>
    <cellStyle name="Normal 81 2 3 59" xfId="14890"/>
    <cellStyle name="Normal 81 2 3 6" xfId="1579"/>
    <cellStyle name="Normal 81 2 3 60" xfId="15141"/>
    <cellStyle name="Normal 81 2 3 61" xfId="15391"/>
    <cellStyle name="Normal 81 2 3 62" xfId="15640"/>
    <cellStyle name="Normal 81 2 3 63" xfId="15890"/>
    <cellStyle name="Normal 81 2 3 64" xfId="16146"/>
    <cellStyle name="Normal 81 2 3 65" xfId="16397"/>
    <cellStyle name="Normal 81 2 3 66" xfId="16648"/>
    <cellStyle name="Normal 81 2 3 67" xfId="16899"/>
    <cellStyle name="Normal 81 2 3 68" xfId="17150"/>
    <cellStyle name="Normal 81 2 3 69" xfId="17401"/>
    <cellStyle name="Normal 81 2 3 7" xfId="1832"/>
    <cellStyle name="Normal 81 2 3 70" xfId="17652"/>
    <cellStyle name="Normal 81 2 3 71" xfId="17903"/>
    <cellStyle name="Normal 81 2 3 72" xfId="18154"/>
    <cellStyle name="Normal 81 2 3 73" xfId="18405"/>
    <cellStyle name="Normal 81 2 3 74" xfId="18656"/>
    <cellStyle name="Normal 81 2 3 75" xfId="18907"/>
    <cellStyle name="Normal 81 2 3 76" xfId="19157"/>
    <cellStyle name="Normal 81 2 3 77" xfId="19408"/>
    <cellStyle name="Normal 81 2 3 78" xfId="19659"/>
    <cellStyle name="Normal 81 2 3 79" xfId="19915"/>
    <cellStyle name="Normal 81 2 3 8" xfId="2089"/>
    <cellStyle name="Normal 81 2 3 80" xfId="20167"/>
    <cellStyle name="Normal 81 2 3 81" xfId="20419"/>
    <cellStyle name="Normal 81 2 3 82" xfId="20671"/>
    <cellStyle name="Normal 81 2 3 83" xfId="20921"/>
    <cellStyle name="Normal 81 2 3 84" xfId="21170"/>
    <cellStyle name="Normal 81 2 3 85" xfId="21418"/>
    <cellStyle name="Normal 81 2 3 86" xfId="21662"/>
    <cellStyle name="Normal 81 2 3 87" xfId="21904"/>
    <cellStyle name="Normal 81 2 3 88" xfId="22145"/>
    <cellStyle name="Normal 81 2 3 9" xfId="2340"/>
    <cellStyle name="Normal 81 2 30" xfId="6940"/>
    <cellStyle name="Normal 81 2 31" xfId="7191"/>
    <cellStyle name="Normal 81 2 32" xfId="7442"/>
    <cellStyle name="Normal 81 2 33" xfId="7693"/>
    <cellStyle name="Normal 81 2 34" xfId="7944"/>
    <cellStyle name="Normal 81 2 35" xfId="8195"/>
    <cellStyle name="Normal 81 2 36" xfId="8446"/>
    <cellStyle name="Normal 81 2 37" xfId="8697"/>
    <cellStyle name="Normal 81 2 38" xfId="8948"/>
    <cellStyle name="Normal 81 2 39" xfId="9199"/>
    <cellStyle name="Normal 81 2 4" xfId="400"/>
    <cellStyle name="Normal 81 2 40" xfId="9450"/>
    <cellStyle name="Normal 81 2 41" xfId="9701"/>
    <cellStyle name="Normal 81 2 42" xfId="9952"/>
    <cellStyle name="Normal 81 2 43" xfId="10203"/>
    <cellStyle name="Normal 81 2 44" xfId="10454"/>
    <cellStyle name="Normal 81 2 45" xfId="10705"/>
    <cellStyle name="Normal 81 2 46" xfId="10956"/>
    <cellStyle name="Normal 81 2 47" xfId="11207"/>
    <cellStyle name="Normal 81 2 48" xfId="11458"/>
    <cellStyle name="Normal 81 2 49" xfId="11709"/>
    <cellStyle name="Normal 81 2 5" xfId="649"/>
    <cellStyle name="Normal 81 2 50" xfId="11960"/>
    <cellStyle name="Normal 81 2 51" xfId="12211"/>
    <cellStyle name="Normal 81 2 52" xfId="12462"/>
    <cellStyle name="Normal 81 2 53" xfId="12713"/>
    <cellStyle name="Normal 81 2 54" xfId="12964"/>
    <cellStyle name="Normal 81 2 55" xfId="13215"/>
    <cellStyle name="Normal 81 2 56" xfId="13466"/>
    <cellStyle name="Normal 81 2 57" xfId="13717"/>
    <cellStyle name="Normal 81 2 58" xfId="13968"/>
    <cellStyle name="Normal 81 2 59" xfId="14219"/>
    <cellStyle name="Normal 81 2 6" xfId="902"/>
    <cellStyle name="Normal 81 2 60" xfId="14470"/>
    <cellStyle name="Normal 81 2 61" xfId="14721"/>
    <cellStyle name="Normal 81 2 62" xfId="14971"/>
    <cellStyle name="Normal 81 2 63" xfId="15222"/>
    <cellStyle name="Normal 81 2 64" xfId="15473"/>
    <cellStyle name="Normal 81 2 65" xfId="15720"/>
    <cellStyle name="Normal 81 2 66" xfId="15977"/>
    <cellStyle name="Normal 81 2 67" xfId="16228"/>
    <cellStyle name="Normal 81 2 68" xfId="16479"/>
    <cellStyle name="Normal 81 2 69" xfId="16730"/>
    <cellStyle name="Normal 81 2 7" xfId="1157"/>
    <cellStyle name="Normal 81 2 70" xfId="16981"/>
    <cellStyle name="Normal 81 2 71" xfId="17232"/>
    <cellStyle name="Normal 81 2 72" xfId="17483"/>
    <cellStyle name="Normal 81 2 73" xfId="17734"/>
    <cellStyle name="Normal 81 2 74" xfId="17985"/>
    <cellStyle name="Normal 81 2 75" xfId="18236"/>
    <cellStyle name="Normal 81 2 76" xfId="18487"/>
    <cellStyle name="Normal 81 2 77" xfId="18737"/>
    <cellStyle name="Normal 81 2 78" xfId="18988"/>
    <cellStyle name="Normal 81 2 79" xfId="19239"/>
    <cellStyle name="Normal 81 2 8" xfId="1410"/>
    <cellStyle name="Normal 81 2 80" xfId="19489"/>
    <cellStyle name="Normal 81 2 81" xfId="19745"/>
    <cellStyle name="Normal 81 2 82" xfId="19997"/>
    <cellStyle name="Normal 81 2 83" xfId="20249"/>
    <cellStyle name="Normal 81 2 84" xfId="20501"/>
    <cellStyle name="Normal 81 2 85" xfId="20751"/>
    <cellStyle name="Normal 81 2 86" xfId="21001"/>
    <cellStyle name="Normal 81 2 87" xfId="21252"/>
    <cellStyle name="Normal 81 2 88" xfId="21496"/>
    <cellStyle name="Normal 81 2 89" xfId="21740"/>
    <cellStyle name="Normal 81 2 9" xfId="1663"/>
    <cellStyle name="Normal 81 2 90" xfId="21981"/>
    <cellStyle name="Normal 81 20" xfId="4146"/>
    <cellStyle name="Normal 81 21" xfId="4397"/>
    <cellStyle name="Normal 81 22" xfId="4648"/>
    <cellStyle name="Normal 81 23" xfId="4899"/>
    <cellStyle name="Normal 81 24" xfId="5150"/>
    <cellStyle name="Normal 81 25" xfId="5401"/>
    <cellStyle name="Normal 81 26" xfId="5652"/>
    <cellStyle name="Normal 81 27" xfId="5903"/>
    <cellStyle name="Normal 81 28" xfId="6154"/>
    <cellStyle name="Normal 81 29" xfId="6405"/>
    <cellStyle name="Normal 81 3" xfId="182"/>
    <cellStyle name="Normal 81 3 10" xfId="2482"/>
    <cellStyle name="Normal 81 3 11" xfId="2733"/>
    <cellStyle name="Normal 81 3 12" xfId="2984"/>
    <cellStyle name="Normal 81 3 13" xfId="3235"/>
    <cellStyle name="Normal 81 3 14" xfId="3486"/>
    <cellStyle name="Normal 81 3 15" xfId="3737"/>
    <cellStyle name="Normal 81 3 16" xfId="3988"/>
    <cellStyle name="Normal 81 3 17" xfId="4239"/>
    <cellStyle name="Normal 81 3 18" xfId="4490"/>
    <cellStyle name="Normal 81 3 19" xfId="4741"/>
    <cellStyle name="Normal 81 3 2" xfId="459"/>
    <cellStyle name="Normal 81 3 20" xfId="4992"/>
    <cellStyle name="Normal 81 3 21" xfId="5243"/>
    <cellStyle name="Normal 81 3 22" xfId="5494"/>
    <cellStyle name="Normal 81 3 23" xfId="5745"/>
    <cellStyle name="Normal 81 3 24" xfId="5996"/>
    <cellStyle name="Normal 81 3 25" xfId="6247"/>
    <cellStyle name="Normal 81 3 26" xfId="6498"/>
    <cellStyle name="Normal 81 3 27" xfId="6749"/>
    <cellStyle name="Normal 81 3 28" xfId="7000"/>
    <cellStyle name="Normal 81 3 29" xfId="7251"/>
    <cellStyle name="Normal 81 3 3" xfId="709"/>
    <cellStyle name="Normal 81 3 30" xfId="7502"/>
    <cellStyle name="Normal 81 3 31" xfId="7753"/>
    <cellStyle name="Normal 81 3 32" xfId="8004"/>
    <cellStyle name="Normal 81 3 33" xfId="8255"/>
    <cellStyle name="Normal 81 3 34" xfId="8506"/>
    <cellStyle name="Normal 81 3 35" xfId="8757"/>
    <cellStyle name="Normal 81 3 36" xfId="9008"/>
    <cellStyle name="Normal 81 3 37" xfId="9259"/>
    <cellStyle name="Normal 81 3 38" xfId="9510"/>
    <cellStyle name="Normal 81 3 39" xfId="9761"/>
    <cellStyle name="Normal 81 3 4" xfId="962"/>
    <cellStyle name="Normal 81 3 40" xfId="10012"/>
    <cellStyle name="Normal 81 3 41" xfId="10263"/>
    <cellStyle name="Normal 81 3 42" xfId="10514"/>
    <cellStyle name="Normal 81 3 43" xfId="10765"/>
    <cellStyle name="Normal 81 3 44" xfId="11016"/>
    <cellStyle name="Normal 81 3 45" xfId="11267"/>
    <cellStyle name="Normal 81 3 46" xfId="11518"/>
    <cellStyle name="Normal 81 3 47" xfId="11769"/>
    <cellStyle name="Normal 81 3 48" xfId="12020"/>
    <cellStyle name="Normal 81 3 49" xfId="12271"/>
    <cellStyle name="Normal 81 3 5" xfId="1217"/>
    <cellStyle name="Normal 81 3 50" xfId="12522"/>
    <cellStyle name="Normal 81 3 51" xfId="12773"/>
    <cellStyle name="Normal 81 3 52" xfId="13024"/>
    <cellStyle name="Normal 81 3 53" xfId="13275"/>
    <cellStyle name="Normal 81 3 54" xfId="13526"/>
    <cellStyle name="Normal 81 3 55" xfId="13777"/>
    <cellStyle name="Normal 81 3 56" xfId="14028"/>
    <cellStyle name="Normal 81 3 57" xfId="14279"/>
    <cellStyle name="Normal 81 3 58" xfId="14530"/>
    <cellStyle name="Normal 81 3 59" xfId="14781"/>
    <cellStyle name="Normal 81 3 6" xfId="1470"/>
    <cellStyle name="Normal 81 3 60" xfId="15032"/>
    <cellStyle name="Normal 81 3 61" xfId="15282"/>
    <cellStyle name="Normal 81 3 62" xfId="15533"/>
    <cellStyle name="Normal 81 3 63" xfId="15781"/>
    <cellStyle name="Normal 81 3 64" xfId="16037"/>
    <cellStyle name="Normal 81 3 65" xfId="16288"/>
    <cellStyle name="Normal 81 3 66" xfId="16539"/>
    <cellStyle name="Normal 81 3 67" xfId="16790"/>
    <cellStyle name="Normal 81 3 68" xfId="17041"/>
    <cellStyle name="Normal 81 3 69" xfId="17292"/>
    <cellStyle name="Normal 81 3 7" xfId="1724"/>
    <cellStyle name="Normal 81 3 70" xfId="17543"/>
    <cellStyle name="Normal 81 3 71" xfId="17794"/>
    <cellStyle name="Normal 81 3 72" xfId="18045"/>
    <cellStyle name="Normal 81 3 73" xfId="18296"/>
    <cellStyle name="Normal 81 3 74" xfId="18547"/>
    <cellStyle name="Normal 81 3 75" xfId="18798"/>
    <cellStyle name="Normal 81 3 76" xfId="19048"/>
    <cellStyle name="Normal 81 3 77" xfId="19300"/>
    <cellStyle name="Normal 81 3 78" xfId="19550"/>
    <cellStyle name="Normal 81 3 79" xfId="19806"/>
    <cellStyle name="Normal 81 3 8" xfId="1980"/>
    <cellStyle name="Normal 81 3 80" xfId="20058"/>
    <cellStyle name="Normal 81 3 81" xfId="20310"/>
    <cellStyle name="Normal 81 3 82" xfId="20562"/>
    <cellStyle name="Normal 81 3 83" xfId="20812"/>
    <cellStyle name="Normal 81 3 84" xfId="21062"/>
    <cellStyle name="Normal 81 3 85" xfId="21311"/>
    <cellStyle name="Normal 81 3 86" xfId="21555"/>
    <cellStyle name="Normal 81 3 87" xfId="21799"/>
    <cellStyle name="Normal 81 3 88" xfId="22040"/>
    <cellStyle name="Normal 81 3 9" xfId="2231"/>
    <cellStyle name="Normal 81 30" xfId="6656"/>
    <cellStyle name="Normal 81 31" xfId="6907"/>
    <cellStyle name="Normal 81 32" xfId="7158"/>
    <cellStyle name="Normal 81 33" xfId="7409"/>
    <cellStyle name="Normal 81 34" xfId="7660"/>
    <cellStyle name="Normal 81 35" xfId="7911"/>
    <cellStyle name="Normal 81 36" xfId="8162"/>
    <cellStyle name="Normal 81 37" xfId="8413"/>
    <cellStyle name="Normal 81 38" xfId="8664"/>
    <cellStyle name="Normal 81 39" xfId="8915"/>
    <cellStyle name="Normal 81 4" xfId="258"/>
    <cellStyle name="Normal 81 4 10" xfId="2558"/>
    <cellStyle name="Normal 81 4 11" xfId="2809"/>
    <cellStyle name="Normal 81 4 12" xfId="3060"/>
    <cellStyle name="Normal 81 4 13" xfId="3311"/>
    <cellStyle name="Normal 81 4 14" xfId="3562"/>
    <cellStyle name="Normal 81 4 15" xfId="3813"/>
    <cellStyle name="Normal 81 4 16" xfId="4064"/>
    <cellStyle name="Normal 81 4 17" xfId="4315"/>
    <cellStyle name="Normal 81 4 18" xfId="4566"/>
    <cellStyle name="Normal 81 4 19" xfId="4817"/>
    <cellStyle name="Normal 81 4 2" xfId="534"/>
    <cellStyle name="Normal 81 4 20" xfId="5068"/>
    <cellStyle name="Normal 81 4 21" xfId="5319"/>
    <cellStyle name="Normal 81 4 22" xfId="5570"/>
    <cellStyle name="Normal 81 4 23" xfId="5821"/>
    <cellStyle name="Normal 81 4 24" xfId="6072"/>
    <cellStyle name="Normal 81 4 25" xfId="6323"/>
    <cellStyle name="Normal 81 4 26" xfId="6574"/>
    <cellStyle name="Normal 81 4 27" xfId="6825"/>
    <cellStyle name="Normal 81 4 28" xfId="7076"/>
    <cellStyle name="Normal 81 4 29" xfId="7327"/>
    <cellStyle name="Normal 81 4 3" xfId="784"/>
    <cellStyle name="Normal 81 4 30" xfId="7578"/>
    <cellStyle name="Normal 81 4 31" xfId="7829"/>
    <cellStyle name="Normal 81 4 32" xfId="8080"/>
    <cellStyle name="Normal 81 4 33" xfId="8331"/>
    <cellStyle name="Normal 81 4 34" xfId="8582"/>
    <cellStyle name="Normal 81 4 35" xfId="8833"/>
    <cellStyle name="Normal 81 4 36" xfId="9084"/>
    <cellStyle name="Normal 81 4 37" xfId="9335"/>
    <cellStyle name="Normal 81 4 38" xfId="9586"/>
    <cellStyle name="Normal 81 4 39" xfId="9837"/>
    <cellStyle name="Normal 81 4 4" xfId="1036"/>
    <cellStyle name="Normal 81 4 40" xfId="10088"/>
    <cellStyle name="Normal 81 4 41" xfId="10339"/>
    <cellStyle name="Normal 81 4 42" xfId="10590"/>
    <cellStyle name="Normal 81 4 43" xfId="10841"/>
    <cellStyle name="Normal 81 4 44" xfId="11092"/>
    <cellStyle name="Normal 81 4 45" xfId="11343"/>
    <cellStyle name="Normal 81 4 46" xfId="11594"/>
    <cellStyle name="Normal 81 4 47" xfId="11845"/>
    <cellStyle name="Normal 81 4 48" xfId="12096"/>
    <cellStyle name="Normal 81 4 49" xfId="12347"/>
    <cellStyle name="Normal 81 4 5" xfId="1292"/>
    <cellStyle name="Normal 81 4 50" xfId="12598"/>
    <cellStyle name="Normal 81 4 51" xfId="12849"/>
    <cellStyle name="Normal 81 4 52" xfId="13100"/>
    <cellStyle name="Normal 81 4 53" xfId="13351"/>
    <cellStyle name="Normal 81 4 54" xfId="13602"/>
    <cellStyle name="Normal 81 4 55" xfId="13853"/>
    <cellStyle name="Normal 81 4 56" xfId="14104"/>
    <cellStyle name="Normal 81 4 57" xfId="14355"/>
    <cellStyle name="Normal 81 4 58" xfId="14606"/>
    <cellStyle name="Normal 81 4 59" xfId="14857"/>
    <cellStyle name="Normal 81 4 6" xfId="1546"/>
    <cellStyle name="Normal 81 4 60" xfId="15108"/>
    <cellStyle name="Normal 81 4 61" xfId="15358"/>
    <cellStyle name="Normal 81 4 62" xfId="15608"/>
    <cellStyle name="Normal 81 4 63" xfId="15857"/>
    <cellStyle name="Normal 81 4 64" xfId="16113"/>
    <cellStyle name="Normal 81 4 65" xfId="16364"/>
    <cellStyle name="Normal 81 4 66" xfId="16615"/>
    <cellStyle name="Normal 81 4 67" xfId="16866"/>
    <cellStyle name="Normal 81 4 68" xfId="17117"/>
    <cellStyle name="Normal 81 4 69" xfId="17368"/>
    <cellStyle name="Normal 81 4 7" xfId="1799"/>
    <cellStyle name="Normal 81 4 70" xfId="17619"/>
    <cellStyle name="Normal 81 4 71" xfId="17870"/>
    <cellStyle name="Normal 81 4 72" xfId="18121"/>
    <cellStyle name="Normal 81 4 73" xfId="18372"/>
    <cellStyle name="Normal 81 4 74" xfId="18623"/>
    <cellStyle name="Normal 81 4 75" xfId="18874"/>
    <cellStyle name="Normal 81 4 76" xfId="19124"/>
    <cellStyle name="Normal 81 4 77" xfId="19376"/>
    <cellStyle name="Normal 81 4 78" xfId="19626"/>
    <cellStyle name="Normal 81 4 79" xfId="19882"/>
    <cellStyle name="Normal 81 4 8" xfId="2056"/>
    <cellStyle name="Normal 81 4 80" xfId="20134"/>
    <cellStyle name="Normal 81 4 81" xfId="20386"/>
    <cellStyle name="Normal 81 4 82" xfId="20638"/>
    <cellStyle name="Normal 81 4 83" xfId="20888"/>
    <cellStyle name="Normal 81 4 84" xfId="21138"/>
    <cellStyle name="Normal 81 4 85" xfId="21386"/>
    <cellStyle name="Normal 81 4 86" xfId="21630"/>
    <cellStyle name="Normal 81 4 87" xfId="21873"/>
    <cellStyle name="Normal 81 4 88" xfId="22114"/>
    <cellStyle name="Normal 81 4 9" xfId="2307"/>
    <cellStyle name="Normal 81 40" xfId="9166"/>
    <cellStyle name="Normal 81 41" xfId="9417"/>
    <cellStyle name="Normal 81 42" xfId="9668"/>
    <cellStyle name="Normal 81 43" xfId="9919"/>
    <cellStyle name="Normal 81 44" xfId="10170"/>
    <cellStyle name="Normal 81 45" xfId="10421"/>
    <cellStyle name="Normal 81 46" xfId="10672"/>
    <cellStyle name="Normal 81 47" xfId="10923"/>
    <cellStyle name="Normal 81 48" xfId="11174"/>
    <cellStyle name="Normal 81 49" xfId="11425"/>
    <cellStyle name="Normal 81 5" xfId="367"/>
    <cellStyle name="Normal 81 50" xfId="11676"/>
    <cellStyle name="Normal 81 51" xfId="11927"/>
    <cellStyle name="Normal 81 52" xfId="12178"/>
    <cellStyle name="Normal 81 53" xfId="12429"/>
    <cellStyle name="Normal 81 54" xfId="12680"/>
    <cellStyle name="Normal 81 55" xfId="12931"/>
    <cellStyle name="Normal 81 56" xfId="13182"/>
    <cellStyle name="Normal 81 57" xfId="13433"/>
    <cellStyle name="Normal 81 58" xfId="13684"/>
    <cellStyle name="Normal 81 59" xfId="13935"/>
    <cellStyle name="Normal 81 6" xfId="616"/>
    <cellStyle name="Normal 81 60" xfId="14186"/>
    <cellStyle name="Normal 81 61" xfId="14437"/>
    <cellStyle name="Normal 81 62" xfId="14688"/>
    <cellStyle name="Normal 81 63" xfId="14938"/>
    <cellStyle name="Normal 81 64" xfId="15189"/>
    <cellStyle name="Normal 81 65" xfId="15440"/>
    <cellStyle name="Normal 81 66" xfId="15687"/>
    <cellStyle name="Normal 81 67" xfId="15944"/>
    <cellStyle name="Normal 81 68" xfId="16195"/>
    <cellStyle name="Normal 81 69" xfId="16446"/>
    <cellStyle name="Normal 81 7" xfId="869"/>
    <cellStyle name="Normal 81 70" xfId="16697"/>
    <cellStyle name="Normal 81 71" xfId="16948"/>
    <cellStyle name="Normal 81 72" xfId="17199"/>
    <cellStyle name="Normal 81 73" xfId="17450"/>
    <cellStyle name="Normal 81 74" xfId="17701"/>
    <cellStyle name="Normal 81 75" xfId="17952"/>
    <cellStyle name="Normal 81 76" xfId="18203"/>
    <cellStyle name="Normal 81 77" xfId="18454"/>
    <cellStyle name="Normal 81 78" xfId="18704"/>
    <cellStyle name="Normal 81 79" xfId="18955"/>
    <cellStyle name="Normal 81 8" xfId="1124"/>
    <cellStyle name="Normal 81 80" xfId="19206"/>
    <cellStyle name="Normal 81 81" xfId="19456"/>
    <cellStyle name="Normal 81 82" xfId="19712"/>
    <cellStyle name="Normal 81 83" xfId="19964"/>
    <cellStyle name="Normal 81 84" xfId="20216"/>
    <cellStyle name="Normal 81 85" xfId="20468"/>
    <cellStyle name="Normal 81 86" xfId="20718"/>
    <cellStyle name="Normal 81 87" xfId="20968"/>
    <cellStyle name="Normal 81 88" xfId="21219"/>
    <cellStyle name="Normal 81 89" xfId="21463"/>
    <cellStyle name="Normal 81 9" xfId="1377"/>
    <cellStyle name="Normal 81 90" xfId="21707"/>
    <cellStyle name="Normal 81 91" xfId="21948"/>
    <cellStyle name="Normal 82" xfId="22222"/>
    <cellStyle name="Normal 82 2" xfId="24634"/>
    <cellStyle name="Normal 82 3" xfId="24635"/>
    <cellStyle name="Normal 83" xfId="22223"/>
    <cellStyle name="Normal 83 2" xfId="24636"/>
    <cellStyle name="Normal 83 3" xfId="24637"/>
    <cellStyle name="Normal 84" xfId="24638"/>
    <cellStyle name="Normal 84 2" xfId="24639"/>
    <cellStyle name="Normal 84 3" xfId="24640"/>
    <cellStyle name="Normal 85" xfId="24641"/>
    <cellStyle name="Normal 85 2" xfId="24642"/>
    <cellStyle name="Normal 85 3" xfId="24643"/>
    <cellStyle name="Normal 85 4" xfId="24644"/>
    <cellStyle name="Normal 85 5" xfId="24645"/>
    <cellStyle name="Normal 85 6" xfId="24646"/>
    <cellStyle name="Normal 86" xfId="24670"/>
    <cellStyle name="Normal 86 2" xfId="24647"/>
    <cellStyle name="Normal 86 3" xfId="24648"/>
    <cellStyle name="Normal 86 4" xfId="24649"/>
    <cellStyle name="Normal 86 5" xfId="24650"/>
    <cellStyle name="Normal 87" xfId="24673"/>
    <cellStyle name="Normal 87 2" xfId="24651"/>
    <cellStyle name="Normal 87 3" xfId="24652"/>
    <cellStyle name="Normal 87 4" xfId="24653"/>
    <cellStyle name="Normal 88" xfId="24674"/>
    <cellStyle name="Normal 88 2" xfId="24654"/>
    <cellStyle name="Normal 88 3" xfId="24655"/>
    <cellStyle name="Normal 89" xfId="24675"/>
    <cellStyle name="Normal 89 2" xfId="24656"/>
    <cellStyle name="Normal 9" xfId="305"/>
    <cellStyle name="Normal 9 10" xfId="2605"/>
    <cellStyle name="Normal 9 11" xfId="2856"/>
    <cellStyle name="Normal 9 12" xfId="3107"/>
    <cellStyle name="Normal 9 13" xfId="3358"/>
    <cellStyle name="Normal 9 14" xfId="3609"/>
    <cellStyle name="Normal 9 15" xfId="3860"/>
    <cellStyle name="Normal 9 16" xfId="4111"/>
    <cellStyle name="Normal 9 17" xfId="4362"/>
    <cellStyle name="Normal 9 18" xfId="4613"/>
    <cellStyle name="Normal 9 19" xfId="4864"/>
    <cellStyle name="Normal 9 2" xfId="580"/>
    <cellStyle name="Normal 9 20" xfId="5115"/>
    <cellStyle name="Normal 9 21" xfId="5366"/>
    <cellStyle name="Normal 9 22" xfId="5617"/>
    <cellStyle name="Normal 9 23" xfId="5868"/>
    <cellStyle name="Normal 9 24" xfId="6119"/>
    <cellStyle name="Normal 9 25" xfId="6370"/>
    <cellStyle name="Normal 9 26" xfId="6621"/>
    <cellStyle name="Normal 9 27" xfId="6872"/>
    <cellStyle name="Normal 9 28" xfId="7123"/>
    <cellStyle name="Normal 9 29" xfId="7374"/>
    <cellStyle name="Normal 9 3" xfId="830"/>
    <cellStyle name="Normal 9 30" xfId="7625"/>
    <cellStyle name="Normal 9 31" xfId="7876"/>
    <cellStyle name="Normal 9 32" xfId="8127"/>
    <cellStyle name="Normal 9 33" xfId="8378"/>
    <cellStyle name="Normal 9 34" xfId="8629"/>
    <cellStyle name="Normal 9 35" xfId="8880"/>
    <cellStyle name="Normal 9 36" xfId="9131"/>
    <cellStyle name="Normal 9 37" xfId="9382"/>
    <cellStyle name="Normal 9 38" xfId="9633"/>
    <cellStyle name="Normal 9 39" xfId="9884"/>
    <cellStyle name="Normal 9 4" xfId="1082"/>
    <cellStyle name="Normal 9 40" xfId="10135"/>
    <cellStyle name="Normal 9 41" xfId="10386"/>
    <cellStyle name="Normal 9 42" xfId="10637"/>
    <cellStyle name="Normal 9 43" xfId="10888"/>
    <cellStyle name="Normal 9 44" xfId="11139"/>
    <cellStyle name="Normal 9 45" xfId="11390"/>
    <cellStyle name="Normal 9 46" xfId="11641"/>
    <cellStyle name="Normal 9 47" xfId="11892"/>
    <cellStyle name="Normal 9 48" xfId="12143"/>
    <cellStyle name="Normal 9 49" xfId="12394"/>
    <cellStyle name="Normal 9 5" xfId="1338"/>
    <cellStyle name="Normal 9 50" xfId="12645"/>
    <cellStyle name="Normal 9 51" xfId="12896"/>
    <cellStyle name="Normal 9 52" xfId="13147"/>
    <cellStyle name="Normal 9 53" xfId="13398"/>
    <cellStyle name="Normal 9 54" xfId="13649"/>
    <cellStyle name="Normal 9 55" xfId="13900"/>
    <cellStyle name="Normal 9 56" xfId="14151"/>
    <cellStyle name="Normal 9 57" xfId="14402"/>
    <cellStyle name="Normal 9 58" xfId="14653"/>
    <cellStyle name="Normal 9 59" xfId="14904"/>
    <cellStyle name="Normal 9 6" xfId="1593"/>
    <cellStyle name="Normal 9 60" xfId="15155"/>
    <cellStyle name="Normal 9 61" xfId="15405"/>
    <cellStyle name="Normal 9 62" xfId="15654"/>
    <cellStyle name="Normal 9 63" xfId="15904"/>
    <cellStyle name="Normal 9 64" xfId="16160"/>
    <cellStyle name="Normal 9 65" xfId="16411"/>
    <cellStyle name="Normal 9 66" xfId="16662"/>
    <cellStyle name="Normal 9 67" xfId="16913"/>
    <cellStyle name="Normal 9 68" xfId="17164"/>
    <cellStyle name="Normal 9 69" xfId="17415"/>
    <cellStyle name="Normal 9 7" xfId="1846"/>
    <cellStyle name="Normal 9 70" xfId="17666"/>
    <cellStyle name="Normal 9 71" xfId="17917"/>
    <cellStyle name="Normal 9 72" xfId="18168"/>
    <cellStyle name="Normal 9 73" xfId="18419"/>
    <cellStyle name="Normal 9 74" xfId="18670"/>
    <cellStyle name="Normal 9 75" xfId="18921"/>
    <cellStyle name="Normal 9 76" xfId="19171"/>
    <cellStyle name="Normal 9 77" xfId="19422"/>
    <cellStyle name="Normal 9 78" xfId="19673"/>
    <cellStyle name="Normal 9 79" xfId="19929"/>
    <cellStyle name="Normal 9 8" xfId="2103"/>
    <cellStyle name="Normal 9 80" xfId="20181"/>
    <cellStyle name="Normal 9 81" xfId="20433"/>
    <cellStyle name="Normal 9 82" xfId="20685"/>
    <cellStyle name="Normal 9 83" xfId="20935"/>
    <cellStyle name="Normal 9 84" xfId="21184"/>
    <cellStyle name="Normal 9 85" xfId="21432"/>
    <cellStyle name="Normal 9 86" xfId="21676"/>
    <cellStyle name="Normal 9 87" xfId="21918"/>
    <cellStyle name="Normal 9 88" xfId="22159"/>
    <cellStyle name="Normal 9 89" xfId="24766"/>
    <cellStyle name="Normal 9 9" xfId="2354"/>
    <cellStyle name="Normal 90" xfId="24676"/>
    <cellStyle name="Normal 91" xfId="22181"/>
    <cellStyle name="Normal 92" xfId="22182"/>
    <cellStyle name="Normal 93" xfId="89"/>
    <cellStyle name="Normal 93 10" xfId="1631"/>
    <cellStyle name="Normal 93 11" xfId="1888"/>
    <cellStyle name="Normal 93 12" xfId="2139"/>
    <cellStyle name="Normal 93 13" xfId="2390"/>
    <cellStyle name="Normal 93 14" xfId="2641"/>
    <cellStyle name="Normal 93 15" xfId="2892"/>
    <cellStyle name="Normal 93 16" xfId="3143"/>
    <cellStyle name="Normal 93 17" xfId="3394"/>
    <cellStyle name="Normal 93 18" xfId="3645"/>
    <cellStyle name="Normal 93 19" xfId="3896"/>
    <cellStyle name="Normal 93 2" xfId="122"/>
    <cellStyle name="Normal 93 2 10" xfId="1921"/>
    <cellStyle name="Normal 93 2 11" xfId="2172"/>
    <cellStyle name="Normal 93 2 12" xfId="2423"/>
    <cellStyle name="Normal 93 2 13" xfId="2674"/>
    <cellStyle name="Normal 93 2 14" xfId="2925"/>
    <cellStyle name="Normal 93 2 15" xfId="3176"/>
    <cellStyle name="Normal 93 2 16" xfId="3427"/>
    <cellStyle name="Normal 93 2 17" xfId="3678"/>
    <cellStyle name="Normal 93 2 18" xfId="3929"/>
    <cellStyle name="Normal 93 2 19" xfId="4180"/>
    <cellStyle name="Normal 93 2 2" xfId="216"/>
    <cellStyle name="Normal 93 2 2 10" xfId="2516"/>
    <cellStyle name="Normal 93 2 2 11" xfId="2767"/>
    <cellStyle name="Normal 93 2 2 12" xfId="3018"/>
    <cellStyle name="Normal 93 2 2 13" xfId="3269"/>
    <cellStyle name="Normal 93 2 2 14" xfId="3520"/>
    <cellStyle name="Normal 93 2 2 15" xfId="3771"/>
    <cellStyle name="Normal 93 2 2 16" xfId="4022"/>
    <cellStyle name="Normal 93 2 2 17" xfId="4273"/>
    <cellStyle name="Normal 93 2 2 18" xfId="4524"/>
    <cellStyle name="Normal 93 2 2 19" xfId="4775"/>
    <cellStyle name="Normal 93 2 2 2" xfId="493"/>
    <cellStyle name="Normal 93 2 2 20" xfId="5026"/>
    <cellStyle name="Normal 93 2 2 21" xfId="5277"/>
    <cellStyle name="Normal 93 2 2 22" xfId="5528"/>
    <cellStyle name="Normal 93 2 2 23" xfId="5779"/>
    <cellStyle name="Normal 93 2 2 24" xfId="6030"/>
    <cellStyle name="Normal 93 2 2 25" xfId="6281"/>
    <cellStyle name="Normal 93 2 2 26" xfId="6532"/>
    <cellStyle name="Normal 93 2 2 27" xfId="6783"/>
    <cellStyle name="Normal 93 2 2 28" xfId="7034"/>
    <cellStyle name="Normal 93 2 2 29" xfId="7285"/>
    <cellStyle name="Normal 93 2 2 3" xfId="743"/>
    <cellStyle name="Normal 93 2 2 30" xfId="7536"/>
    <cellStyle name="Normal 93 2 2 31" xfId="7787"/>
    <cellStyle name="Normal 93 2 2 32" xfId="8038"/>
    <cellStyle name="Normal 93 2 2 33" xfId="8289"/>
    <cellStyle name="Normal 93 2 2 34" xfId="8540"/>
    <cellStyle name="Normal 93 2 2 35" xfId="8791"/>
    <cellStyle name="Normal 93 2 2 36" xfId="9042"/>
    <cellStyle name="Normal 93 2 2 37" xfId="9293"/>
    <cellStyle name="Normal 93 2 2 38" xfId="9544"/>
    <cellStyle name="Normal 93 2 2 39" xfId="9795"/>
    <cellStyle name="Normal 93 2 2 4" xfId="996"/>
    <cellStyle name="Normal 93 2 2 40" xfId="10046"/>
    <cellStyle name="Normal 93 2 2 41" xfId="10297"/>
    <cellStyle name="Normal 93 2 2 42" xfId="10548"/>
    <cellStyle name="Normal 93 2 2 43" xfId="10799"/>
    <cellStyle name="Normal 93 2 2 44" xfId="11050"/>
    <cellStyle name="Normal 93 2 2 45" xfId="11301"/>
    <cellStyle name="Normal 93 2 2 46" xfId="11552"/>
    <cellStyle name="Normal 93 2 2 47" xfId="11803"/>
    <cellStyle name="Normal 93 2 2 48" xfId="12054"/>
    <cellStyle name="Normal 93 2 2 49" xfId="12305"/>
    <cellStyle name="Normal 93 2 2 5" xfId="1251"/>
    <cellStyle name="Normal 93 2 2 50" xfId="12556"/>
    <cellStyle name="Normal 93 2 2 51" xfId="12807"/>
    <cellStyle name="Normal 93 2 2 52" xfId="13058"/>
    <cellStyle name="Normal 93 2 2 53" xfId="13309"/>
    <cellStyle name="Normal 93 2 2 54" xfId="13560"/>
    <cellStyle name="Normal 93 2 2 55" xfId="13811"/>
    <cellStyle name="Normal 93 2 2 56" xfId="14062"/>
    <cellStyle name="Normal 93 2 2 57" xfId="14313"/>
    <cellStyle name="Normal 93 2 2 58" xfId="14564"/>
    <cellStyle name="Normal 93 2 2 59" xfId="14815"/>
    <cellStyle name="Normal 93 2 2 6" xfId="1504"/>
    <cellStyle name="Normal 93 2 2 60" xfId="15066"/>
    <cellStyle name="Normal 93 2 2 61" xfId="15316"/>
    <cellStyle name="Normal 93 2 2 62" xfId="15567"/>
    <cellStyle name="Normal 93 2 2 63" xfId="15815"/>
    <cellStyle name="Normal 93 2 2 64" xfId="16071"/>
    <cellStyle name="Normal 93 2 2 65" xfId="16322"/>
    <cellStyle name="Normal 93 2 2 66" xfId="16573"/>
    <cellStyle name="Normal 93 2 2 67" xfId="16824"/>
    <cellStyle name="Normal 93 2 2 68" xfId="17075"/>
    <cellStyle name="Normal 93 2 2 69" xfId="17326"/>
    <cellStyle name="Normal 93 2 2 7" xfId="1758"/>
    <cellStyle name="Normal 93 2 2 70" xfId="17577"/>
    <cellStyle name="Normal 93 2 2 71" xfId="17828"/>
    <cellStyle name="Normal 93 2 2 72" xfId="18079"/>
    <cellStyle name="Normal 93 2 2 73" xfId="18330"/>
    <cellStyle name="Normal 93 2 2 74" xfId="18581"/>
    <cellStyle name="Normal 93 2 2 75" xfId="18832"/>
    <cellStyle name="Normal 93 2 2 76" xfId="19082"/>
    <cellStyle name="Normal 93 2 2 77" xfId="19334"/>
    <cellStyle name="Normal 93 2 2 78" xfId="19584"/>
    <cellStyle name="Normal 93 2 2 79" xfId="19840"/>
    <cellStyle name="Normal 93 2 2 8" xfId="2014"/>
    <cellStyle name="Normal 93 2 2 80" xfId="20092"/>
    <cellStyle name="Normal 93 2 2 81" xfId="20344"/>
    <cellStyle name="Normal 93 2 2 82" xfId="20596"/>
    <cellStyle name="Normal 93 2 2 83" xfId="20846"/>
    <cellStyle name="Normal 93 2 2 84" xfId="21096"/>
    <cellStyle name="Normal 93 2 2 85" xfId="21345"/>
    <cellStyle name="Normal 93 2 2 86" xfId="21589"/>
    <cellStyle name="Normal 93 2 2 87" xfId="21833"/>
    <cellStyle name="Normal 93 2 2 88" xfId="22074"/>
    <cellStyle name="Normal 93 2 2 9" xfId="2265"/>
    <cellStyle name="Normal 93 2 20" xfId="4431"/>
    <cellStyle name="Normal 93 2 21" xfId="4682"/>
    <cellStyle name="Normal 93 2 22" xfId="4933"/>
    <cellStyle name="Normal 93 2 23" xfId="5184"/>
    <cellStyle name="Normal 93 2 24" xfId="5435"/>
    <cellStyle name="Normal 93 2 25" xfId="5686"/>
    <cellStyle name="Normal 93 2 26" xfId="5937"/>
    <cellStyle name="Normal 93 2 27" xfId="6188"/>
    <cellStyle name="Normal 93 2 28" xfId="6439"/>
    <cellStyle name="Normal 93 2 29" xfId="6690"/>
    <cellStyle name="Normal 93 2 3" xfId="292"/>
    <cellStyle name="Normal 93 2 3 10" xfId="2592"/>
    <cellStyle name="Normal 93 2 3 11" xfId="2843"/>
    <cellStyle name="Normal 93 2 3 12" xfId="3094"/>
    <cellStyle name="Normal 93 2 3 13" xfId="3345"/>
    <cellStyle name="Normal 93 2 3 14" xfId="3596"/>
    <cellStyle name="Normal 93 2 3 15" xfId="3847"/>
    <cellStyle name="Normal 93 2 3 16" xfId="4098"/>
    <cellStyle name="Normal 93 2 3 17" xfId="4349"/>
    <cellStyle name="Normal 93 2 3 18" xfId="4600"/>
    <cellStyle name="Normal 93 2 3 19" xfId="4851"/>
    <cellStyle name="Normal 93 2 3 2" xfId="567"/>
    <cellStyle name="Normal 93 2 3 20" xfId="5102"/>
    <cellStyle name="Normal 93 2 3 21" xfId="5353"/>
    <cellStyle name="Normal 93 2 3 22" xfId="5604"/>
    <cellStyle name="Normal 93 2 3 23" xfId="5855"/>
    <cellStyle name="Normal 93 2 3 24" xfId="6106"/>
    <cellStyle name="Normal 93 2 3 25" xfId="6357"/>
    <cellStyle name="Normal 93 2 3 26" xfId="6608"/>
    <cellStyle name="Normal 93 2 3 27" xfId="6859"/>
    <cellStyle name="Normal 93 2 3 28" xfId="7110"/>
    <cellStyle name="Normal 93 2 3 29" xfId="7361"/>
    <cellStyle name="Normal 93 2 3 3" xfId="817"/>
    <cellStyle name="Normal 93 2 3 30" xfId="7612"/>
    <cellStyle name="Normal 93 2 3 31" xfId="7863"/>
    <cellStyle name="Normal 93 2 3 32" xfId="8114"/>
    <cellStyle name="Normal 93 2 3 33" xfId="8365"/>
    <cellStyle name="Normal 93 2 3 34" xfId="8616"/>
    <cellStyle name="Normal 93 2 3 35" xfId="8867"/>
    <cellStyle name="Normal 93 2 3 36" xfId="9118"/>
    <cellStyle name="Normal 93 2 3 37" xfId="9369"/>
    <cellStyle name="Normal 93 2 3 38" xfId="9620"/>
    <cellStyle name="Normal 93 2 3 39" xfId="9871"/>
    <cellStyle name="Normal 93 2 3 4" xfId="1069"/>
    <cellStyle name="Normal 93 2 3 40" xfId="10122"/>
    <cellStyle name="Normal 93 2 3 41" xfId="10373"/>
    <cellStyle name="Normal 93 2 3 42" xfId="10624"/>
    <cellStyle name="Normal 93 2 3 43" xfId="10875"/>
    <cellStyle name="Normal 93 2 3 44" xfId="11126"/>
    <cellStyle name="Normal 93 2 3 45" xfId="11377"/>
    <cellStyle name="Normal 93 2 3 46" xfId="11628"/>
    <cellStyle name="Normal 93 2 3 47" xfId="11879"/>
    <cellStyle name="Normal 93 2 3 48" xfId="12130"/>
    <cellStyle name="Normal 93 2 3 49" xfId="12381"/>
    <cellStyle name="Normal 93 2 3 5" xfId="1325"/>
    <cellStyle name="Normal 93 2 3 50" xfId="12632"/>
    <cellStyle name="Normal 93 2 3 51" xfId="12883"/>
    <cellStyle name="Normal 93 2 3 52" xfId="13134"/>
    <cellStyle name="Normal 93 2 3 53" xfId="13385"/>
    <cellStyle name="Normal 93 2 3 54" xfId="13636"/>
    <cellStyle name="Normal 93 2 3 55" xfId="13887"/>
    <cellStyle name="Normal 93 2 3 56" xfId="14138"/>
    <cellStyle name="Normal 93 2 3 57" xfId="14389"/>
    <cellStyle name="Normal 93 2 3 58" xfId="14640"/>
    <cellStyle name="Normal 93 2 3 59" xfId="14891"/>
    <cellStyle name="Normal 93 2 3 6" xfId="1580"/>
    <cellStyle name="Normal 93 2 3 60" xfId="15142"/>
    <cellStyle name="Normal 93 2 3 61" xfId="15392"/>
    <cellStyle name="Normal 93 2 3 62" xfId="15641"/>
    <cellStyle name="Normal 93 2 3 63" xfId="15891"/>
    <cellStyle name="Normal 93 2 3 64" xfId="16147"/>
    <cellStyle name="Normal 93 2 3 65" xfId="16398"/>
    <cellStyle name="Normal 93 2 3 66" xfId="16649"/>
    <cellStyle name="Normal 93 2 3 67" xfId="16900"/>
    <cellStyle name="Normal 93 2 3 68" xfId="17151"/>
    <cellStyle name="Normal 93 2 3 69" xfId="17402"/>
    <cellStyle name="Normal 93 2 3 7" xfId="1833"/>
    <cellStyle name="Normal 93 2 3 70" xfId="17653"/>
    <cellStyle name="Normal 93 2 3 71" xfId="17904"/>
    <cellStyle name="Normal 93 2 3 72" xfId="18155"/>
    <cellStyle name="Normal 93 2 3 73" xfId="18406"/>
    <cellStyle name="Normal 93 2 3 74" xfId="18657"/>
    <cellStyle name="Normal 93 2 3 75" xfId="18908"/>
    <cellStyle name="Normal 93 2 3 76" xfId="19158"/>
    <cellStyle name="Normal 93 2 3 77" xfId="19409"/>
    <cellStyle name="Normal 93 2 3 78" xfId="19660"/>
    <cellStyle name="Normal 93 2 3 79" xfId="19916"/>
    <cellStyle name="Normal 93 2 3 8" xfId="2090"/>
    <cellStyle name="Normal 93 2 3 80" xfId="20168"/>
    <cellStyle name="Normal 93 2 3 81" xfId="20420"/>
    <cellStyle name="Normal 93 2 3 82" xfId="20672"/>
    <cellStyle name="Normal 93 2 3 83" xfId="20922"/>
    <cellStyle name="Normal 93 2 3 84" xfId="21171"/>
    <cellStyle name="Normal 93 2 3 85" xfId="21419"/>
    <cellStyle name="Normal 93 2 3 86" xfId="21663"/>
    <cellStyle name="Normal 93 2 3 87" xfId="21905"/>
    <cellStyle name="Normal 93 2 3 88" xfId="22146"/>
    <cellStyle name="Normal 93 2 3 9" xfId="2341"/>
    <cellStyle name="Normal 93 2 30" xfId="6941"/>
    <cellStyle name="Normal 93 2 31" xfId="7192"/>
    <cellStyle name="Normal 93 2 32" xfId="7443"/>
    <cellStyle name="Normal 93 2 33" xfId="7694"/>
    <cellStyle name="Normal 93 2 34" xfId="7945"/>
    <cellStyle name="Normal 93 2 35" xfId="8196"/>
    <cellStyle name="Normal 93 2 36" xfId="8447"/>
    <cellStyle name="Normal 93 2 37" xfId="8698"/>
    <cellStyle name="Normal 93 2 38" xfId="8949"/>
    <cellStyle name="Normal 93 2 39" xfId="9200"/>
    <cellStyle name="Normal 93 2 4" xfId="401"/>
    <cellStyle name="Normal 93 2 40" xfId="9451"/>
    <cellStyle name="Normal 93 2 41" xfId="9702"/>
    <cellStyle name="Normal 93 2 42" xfId="9953"/>
    <cellStyle name="Normal 93 2 43" xfId="10204"/>
    <cellStyle name="Normal 93 2 44" xfId="10455"/>
    <cellStyle name="Normal 93 2 45" xfId="10706"/>
    <cellStyle name="Normal 93 2 46" xfId="10957"/>
    <cellStyle name="Normal 93 2 47" xfId="11208"/>
    <cellStyle name="Normal 93 2 48" xfId="11459"/>
    <cellStyle name="Normal 93 2 49" xfId="11710"/>
    <cellStyle name="Normal 93 2 5" xfId="650"/>
    <cellStyle name="Normal 93 2 50" xfId="11961"/>
    <cellStyle name="Normal 93 2 51" xfId="12212"/>
    <cellStyle name="Normal 93 2 52" xfId="12463"/>
    <cellStyle name="Normal 93 2 53" xfId="12714"/>
    <cellStyle name="Normal 93 2 54" xfId="12965"/>
    <cellStyle name="Normal 93 2 55" xfId="13216"/>
    <cellStyle name="Normal 93 2 56" xfId="13467"/>
    <cellStyle name="Normal 93 2 57" xfId="13718"/>
    <cellStyle name="Normal 93 2 58" xfId="13969"/>
    <cellStyle name="Normal 93 2 59" xfId="14220"/>
    <cellStyle name="Normal 93 2 6" xfId="903"/>
    <cellStyle name="Normal 93 2 60" xfId="14471"/>
    <cellStyle name="Normal 93 2 61" xfId="14722"/>
    <cellStyle name="Normal 93 2 62" xfId="14972"/>
    <cellStyle name="Normal 93 2 63" xfId="15223"/>
    <cellStyle name="Normal 93 2 64" xfId="15474"/>
    <cellStyle name="Normal 93 2 65" xfId="15721"/>
    <cellStyle name="Normal 93 2 66" xfId="15978"/>
    <cellStyle name="Normal 93 2 67" xfId="16229"/>
    <cellStyle name="Normal 93 2 68" xfId="16480"/>
    <cellStyle name="Normal 93 2 69" xfId="16731"/>
    <cellStyle name="Normal 93 2 7" xfId="1158"/>
    <cellStyle name="Normal 93 2 70" xfId="16982"/>
    <cellStyle name="Normal 93 2 71" xfId="17233"/>
    <cellStyle name="Normal 93 2 72" xfId="17484"/>
    <cellStyle name="Normal 93 2 73" xfId="17735"/>
    <cellStyle name="Normal 93 2 74" xfId="17986"/>
    <cellStyle name="Normal 93 2 75" xfId="18237"/>
    <cellStyle name="Normal 93 2 76" xfId="18488"/>
    <cellStyle name="Normal 93 2 77" xfId="18738"/>
    <cellStyle name="Normal 93 2 78" xfId="18989"/>
    <cellStyle name="Normal 93 2 79" xfId="19240"/>
    <cellStyle name="Normal 93 2 8" xfId="1411"/>
    <cellStyle name="Normal 93 2 80" xfId="19490"/>
    <cellStyle name="Normal 93 2 81" xfId="19746"/>
    <cellStyle name="Normal 93 2 82" xfId="19998"/>
    <cellStyle name="Normal 93 2 83" xfId="20250"/>
    <cellStyle name="Normal 93 2 84" xfId="20502"/>
    <cellStyle name="Normal 93 2 85" xfId="20752"/>
    <cellStyle name="Normal 93 2 86" xfId="21002"/>
    <cellStyle name="Normal 93 2 87" xfId="21253"/>
    <cellStyle name="Normal 93 2 88" xfId="21497"/>
    <cellStyle name="Normal 93 2 89" xfId="21741"/>
    <cellStyle name="Normal 93 2 9" xfId="1664"/>
    <cellStyle name="Normal 93 2 90" xfId="21982"/>
    <cellStyle name="Normal 93 20" xfId="4147"/>
    <cellStyle name="Normal 93 21" xfId="4398"/>
    <cellStyle name="Normal 93 22" xfId="4649"/>
    <cellStyle name="Normal 93 23" xfId="4900"/>
    <cellStyle name="Normal 93 24" xfId="5151"/>
    <cellStyle name="Normal 93 25" xfId="5402"/>
    <cellStyle name="Normal 93 26" xfId="5653"/>
    <cellStyle name="Normal 93 27" xfId="5904"/>
    <cellStyle name="Normal 93 28" xfId="6155"/>
    <cellStyle name="Normal 93 29" xfId="6406"/>
    <cellStyle name="Normal 93 3" xfId="183"/>
    <cellStyle name="Normal 93 3 10" xfId="2483"/>
    <cellStyle name="Normal 93 3 11" xfId="2734"/>
    <cellStyle name="Normal 93 3 12" xfId="2985"/>
    <cellStyle name="Normal 93 3 13" xfId="3236"/>
    <cellStyle name="Normal 93 3 14" xfId="3487"/>
    <cellStyle name="Normal 93 3 15" xfId="3738"/>
    <cellStyle name="Normal 93 3 16" xfId="3989"/>
    <cellStyle name="Normal 93 3 17" xfId="4240"/>
    <cellStyle name="Normal 93 3 18" xfId="4491"/>
    <cellStyle name="Normal 93 3 19" xfId="4742"/>
    <cellStyle name="Normal 93 3 2" xfId="460"/>
    <cellStyle name="Normal 93 3 20" xfId="4993"/>
    <cellStyle name="Normal 93 3 21" xfId="5244"/>
    <cellStyle name="Normal 93 3 22" xfId="5495"/>
    <cellStyle name="Normal 93 3 23" xfId="5746"/>
    <cellStyle name="Normal 93 3 24" xfId="5997"/>
    <cellStyle name="Normal 93 3 25" xfId="6248"/>
    <cellStyle name="Normal 93 3 26" xfId="6499"/>
    <cellStyle name="Normal 93 3 27" xfId="6750"/>
    <cellStyle name="Normal 93 3 28" xfId="7001"/>
    <cellStyle name="Normal 93 3 29" xfId="7252"/>
    <cellStyle name="Normal 93 3 3" xfId="710"/>
    <cellStyle name="Normal 93 3 30" xfId="7503"/>
    <cellStyle name="Normal 93 3 31" xfId="7754"/>
    <cellStyle name="Normal 93 3 32" xfId="8005"/>
    <cellStyle name="Normal 93 3 33" xfId="8256"/>
    <cellStyle name="Normal 93 3 34" xfId="8507"/>
    <cellStyle name="Normal 93 3 35" xfId="8758"/>
    <cellStyle name="Normal 93 3 36" xfId="9009"/>
    <cellStyle name="Normal 93 3 37" xfId="9260"/>
    <cellStyle name="Normal 93 3 38" xfId="9511"/>
    <cellStyle name="Normal 93 3 39" xfId="9762"/>
    <cellStyle name="Normal 93 3 4" xfId="963"/>
    <cellStyle name="Normal 93 3 40" xfId="10013"/>
    <cellStyle name="Normal 93 3 41" xfId="10264"/>
    <cellStyle name="Normal 93 3 42" xfId="10515"/>
    <cellStyle name="Normal 93 3 43" xfId="10766"/>
    <cellStyle name="Normal 93 3 44" xfId="11017"/>
    <cellStyle name="Normal 93 3 45" xfId="11268"/>
    <cellStyle name="Normal 93 3 46" xfId="11519"/>
    <cellStyle name="Normal 93 3 47" xfId="11770"/>
    <cellStyle name="Normal 93 3 48" xfId="12021"/>
    <cellStyle name="Normal 93 3 49" xfId="12272"/>
    <cellStyle name="Normal 93 3 5" xfId="1218"/>
    <cellStyle name="Normal 93 3 50" xfId="12523"/>
    <cellStyle name="Normal 93 3 51" xfId="12774"/>
    <cellStyle name="Normal 93 3 52" xfId="13025"/>
    <cellStyle name="Normal 93 3 53" xfId="13276"/>
    <cellStyle name="Normal 93 3 54" xfId="13527"/>
    <cellStyle name="Normal 93 3 55" xfId="13778"/>
    <cellStyle name="Normal 93 3 56" xfId="14029"/>
    <cellStyle name="Normal 93 3 57" xfId="14280"/>
    <cellStyle name="Normal 93 3 58" xfId="14531"/>
    <cellStyle name="Normal 93 3 59" xfId="14782"/>
    <cellStyle name="Normal 93 3 6" xfId="1471"/>
    <cellStyle name="Normal 93 3 60" xfId="15033"/>
    <cellStyle name="Normal 93 3 61" xfId="15283"/>
    <cellStyle name="Normal 93 3 62" xfId="15534"/>
    <cellStyle name="Normal 93 3 63" xfId="15782"/>
    <cellStyle name="Normal 93 3 64" xfId="16038"/>
    <cellStyle name="Normal 93 3 65" xfId="16289"/>
    <cellStyle name="Normal 93 3 66" xfId="16540"/>
    <cellStyle name="Normal 93 3 67" xfId="16791"/>
    <cellStyle name="Normal 93 3 68" xfId="17042"/>
    <cellStyle name="Normal 93 3 69" xfId="17293"/>
    <cellStyle name="Normal 93 3 7" xfId="1725"/>
    <cellStyle name="Normal 93 3 70" xfId="17544"/>
    <cellStyle name="Normal 93 3 71" xfId="17795"/>
    <cellStyle name="Normal 93 3 72" xfId="18046"/>
    <cellStyle name="Normal 93 3 73" xfId="18297"/>
    <cellStyle name="Normal 93 3 74" xfId="18548"/>
    <cellStyle name="Normal 93 3 75" xfId="18799"/>
    <cellStyle name="Normal 93 3 76" xfId="19049"/>
    <cellStyle name="Normal 93 3 77" xfId="19301"/>
    <cellStyle name="Normal 93 3 78" xfId="19551"/>
    <cellStyle name="Normal 93 3 79" xfId="19807"/>
    <cellStyle name="Normal 93 3 8" xfId="1981"/>
    <cellStyle name="Normal 93 3 80" xfId="20059"/>
    <cellStyle name="Normal 93 3 81" xfId="20311"/>
    <cellStyle name="Normal 93 3 82" xfId="20563"/>
    <cellStyle name="Normal 93 3 83" xfId="20813"/>
    <cellStyle name="Normal 93 3 84" xfId="21063"/>
    <cellStyle name="Normal 93 3 85" xfId="21312"/>
    <cellStyle name="Normal 93 3 86" xfId="21556"/>
    <cellStyle name="Normal 93 3 87" xfId="21800"/>
    <cellStyle name="Normal 93 3 88" xfId="22041"/>
    <cellStyle name="Normal 93 3 9" xfId="2232"/>
    <cellStyle name="Normal 93 30" xfId="6657"/>
    <cellStyle name="Normal 93 31" xfId="6908"/>
    <cellStyle name="Normal 93 32" xfId="7159"/>
    <cellStyle name="Normal 93 33" xfId="7410"/>
    <cellStyle name="Normal 93 34" xfId="7661"/>
    <cellStyle name="Normal 93 35" xfId="7912"/>
    <cellStyle name="Normal 93 36" xfId="8163"/>
    <cellStyle name="Normal 93 37" xfId="8414"/>
    <cellStyle name="Normal 93 38" xfId="8665"/>
    <cellStyle name="Normal 93 39" xfId="8916"/>
    <cellStyle name="Normal 93 4" xfId="259"/>
    <cellStyle name="Normal 93 4 10" xfId="2559"/>
    <cellStyle name="Normal 93 4 11" xfId="2810"/>
    <cellStyle name="Normal 93 4 12" xfId="3061"/>
    <cellStyle name="Normal 93 4 13" xfId="3312"/>
    <cellStyle name="Normal 93 4 14" xfId="3563"/>
    <cellStyle name="Normal 93 4 15" xfId="3814"/>
    <cellStyle name="Normal 93 4 16" xfId="4065"/>
    <cellStyle name="Normal 93 4 17" xfId="4316"/>
    <cellStyle name="Normal 93 4 18" xfId="4567"/>
    <cellStyle name="Normal 93 4 19" xfId="4818"/>
    <cellStyle name="Normal 93 4 2" xfId="535"/>
    <cellStyle name="Normal 93 4 20" xfId="5069"/>
    <cellStyle name="Normal 93 4 21" xfId="5320"/>
    <cellStyle name="Normal 93 4 22" xfId="5571"/>
    <cellStyle name="Normal 93 4 23" xfId="5822"/>
    <cellStyle name="Normal 93 4 24" xfId="6073"/>
    <cellStyle name="Normal 93 4 25" xfId="6324"/>
    <cellStyle name="Normal 93 4 26" xfId="6575"/>
    <cellStyle name="Normal 93 4 27" xfId="6826"/>
    <cellStyle name="Normal 93 4 28" xfId="7077"/>
    <cellStyle name="Normal 93 4 29" xfId="7328"/>
    <cellStyle name="Normal 93 4 3" xfId="785"/>
    <cellStyle name="Normal 93 4 30" xfId="7579"/>
    <cellStyle name="Normal 93 4 31" xfId="7830"/>
    <cellStyle name="Normal 93 4 32" xfId="8081"/>
    <cellStyle name="Normal 93 4 33" xfId="8332"/>
    <cellStyle name="Normal 93 4 34" xfId="8583"/>
    <cellStyle name="Normal 93 4 35" xfId="8834"/>
    <cellStyle name="Normal 93 4 36" xfId="9085"/>
    <cellStyle name="Normal 93 4 37" xfId="9336"/>
    <cellStyle name="Normal 93 4 38" xfId="9587"/>
    <cellStyle name="Normal 93 4 39" xfId="9838"/>
    <cellStyle name="Normal 93 4 4" xfId="1037"/>
    <cellStyle name="Normal 93 4 40" xfId="10089"/>
    <cellStyle name="Normal 93 4 41" xfId="10340"/>
    <cellStyle name="Normal 93 4 42" xfId="10591"/>
    <cellStyle name="Normal 93 4 43" xfId="10842"/>
    <cellStyle name="Normal 93 4 44" xfId="11093"/>
    <cellStyle name="Normal 93 4 45" xfId="11344"/>
    <cellStyle name="Normal 93 4 46" xfId="11595"/>
    <cellStyle name="Normal 93 4 47" xfId="11846"/>
    <cellStyle name="Normal 93 4 48" xfId="12097"/>
    <cellStyle name="Normal 93 4 49" xfId="12348"/>
    <cellStyle name="Normal 93 4 5" xfId="1293"/>
    <cellStyle name="Normal 93 4 50" xfId="12599"/>
    <cellStyle name="Normal 93 4 51" xfId="12850"/>
    <cellStyle name="Normal 93 4 52" xfId="13101"/>
    <cellStyle name="Normal 93 4 53" xfId="13352"/>
    <cellStyle name="Normal 93 4 54" xfId="13603"/>
    <cellStyle name="Normal 93 4 55" xfId="13854"/>
    <cellStyle name="Normal 93 4 56" xfId="14105"/>
    <cellStyle name="Normal 93 4 57" xfId="14356"/>
    <cellStyle name="Normal 93 4 58" xfId="14607"/>
    <cellStyle name="Normal 93 4 59" xfId="14858"/>
    <cellStyle name="Normal 93 4 6" xfId="1547"/>
    <cellStyle name="Normal 93 4 60" xfId="15109"/>
    <cellStyle name="Normal 93 4 61" xfId="15359"/>
    <cellStyle name="Normal 93 4 62" xfId="15609"/>
    <cellStyle name="Normal 93 4 63" xfId="15858"/>
    <cellStyle name="Normal 93 4 64" xfId="16114"/>
    <cellStyle name="Normal 93 4 65" xfId="16365"/>
    <cellStyle name="Normal 93 4 66" xfId="16616"/>
    <cellStyle name="Normal 93 4 67" xfId="16867"/>
    <cellStyle name="Normal 93 4 68" xfId="17118"/>
    <cellStyle name="Normal 93 4 69" xfId="17369"/>
    <cellStyle name="Normal 93 4 7" xfId="1800"/>
    <cellStyle name="Normal 93 4 70" xfId="17620"/>
    <cellStyle name="Normal 93 4 71" xfId="17871"/>
    <cellStyle name="Normal 93 4 72" xfId="18122"/>
    <cellStyle name="Normal 93 4 73" xfId="18373"/>
    <cellStyle name="Normal 93 4 74" xfId="18624"/>
    <cellStyle name="Normal 93 4 75" xfId="18875"/>
    <cellStyle name="Normal 93 4 76" xfId="19125"/>
    <cellStyle name="Normal 93 4 77" xfId="19377"/>
    <cellStyle name="Normal 93 4 78" xfId="19627"/>
    <cellStyle name="Normal 93 4 79" xfId="19883"/>
    <cellStyle name="Normal 93 4 8" xfId="2057"/>
    <cellStyle name="Normal 93 4 80" xfId="20135"/>
    <cellStyle name="Normal 93 4 81" xfId="20387"/>
    <cellStyle name="Normal 93 4 82" xfId="20639"/>
    <cellStyle name="Normal 93 4 83" xfId="20889"/>
    <cellStyle name="Normal 93 4 84" xfId="21139"/>
    <cellStyle name="Normal 93 4 85" xfId="21387"/>
    <cellStyle name="Normal 93 4 86" xfId="21631"/>
    <cellStyle name="Normal 93 4 87" xfId="21874"/>
    <cellStyle name="Normal 93 4 88" xfId="22115"/>
    <cellStyle name="Normal 93 4 9" xfId="2308"/>
    <cellStyle name="Normal 93 40" xfId="9167"/>
    <cellStyle name="Normal 93 41" xfId="9418"/>
    <cellStyle name="Normal 93 42" xfId="9669"/>
    <cellStyle name="Normal 93 43" xfId="9920"/>
    <cellStyle name="Normal 93 44" xfId="10171"/>
    <cellStyle name="Normal 93 45" xfId="10422"/>
    <cellStyle name="Normal 93 46" xfId="10673"/>
    <cellStyle name="Normal 93 47" xfId="10924"/>
    <cellStyle name="Normal 93 48" xfId="11175"/>
    <cellStyle name="Normal 93 49" xfId="11426"/>
    <cellStyle name="Normal 93 5" xfId="368"/>
    <cellStyle name="Normal 93 50" xfId="11677"/>
    <cellStyle name="Normal 93 51" xfId="11928"/>
    <cellStyle name="Normal 93 52" xfId="12179"/>
    <cellStyle name="Normal 93 53" xfId="12430"/>
    <cellStyle name="Normal 93 54" xfId="12681"/>
    <cellStyle name="Normal 93 55" xfId="12932"/>
    <cellStyle name="Normal 93 56" xfId="13183"/>
    <cellStyle name="Normal 93 57" xfId="13434"/>
    <cellStyle name="Normal 93 58" xfId="13685"/>
    <cellStyle name="Normal 93 59" xfId="13936"/>
    <cellStyle name="Normal 93 6" xfId="617"/>
    <cellStyle name="Normal 93 60" xfId="14187"/>
    <cellStyle name="Normal 93 61" xfId="14438"/>
    <cellStyle name="Normal 93 62" xfId="14689"/>
    <cellStyle name="Normal 93 63" xfId="14939"/>
    <cellStyle name="Normal 93 64" xfId="15190"/>
    <cellStyle name="Normal 93 65" xfId="15441"/>
    <cellStyle name="Normal 93 66" xfId="15688"/>
    <cellStyle name="Normal 93 67" xfId="15945"/>
    <cellStyle name="Normal 93 68" xfId="16196"/>
    <cellStyle name="Normal 93 69" xfId="16447"/>
    <cellStyle name="Normal 93 7" xfId="870"/>
    <cellStyle name="Normal 93 70" xfId="16698"/>
    <cellStyle name="Normal 93 71" xfId="16949"/>
    <cellStyle name="Normal 93 72" xfId="17200"/>
    <cellStyle name="Normal 93 73" xfId="17451"/>
    <cellStyle name="Normal 93 74" xfId="17702"/>
    <cellStyle name="Normal 93 75" xfId="17953"/>
    <cellStyle name="Normal 93 76" xfId="18204"/>
    <cellStyle name="Normal 93 77" xfId="18455"/>
    <cellStyle name="Normal 93 78" xfId="18705"/>
    <cellStyle name="Normal 93 79" xfId="18956"/>
    <cellStyle name="Normal 93 8" xfId="1125"/>
    <cellStyle name="Normal 93 80" xfId="19207"/>
    <cellStyle name="Normal 93 81" xfId="19457"/>
    <cellStyle name="Normal 93 82" xfId="19713"/>
    <cellStyle name="Normal 93 83" xfId="19965"/>
    <cellStyle name="Normal 93 84" xfId="20217"/>
    <cellStyle name="Normal 93 85" xfId="20469"/>
    <cellStyle name="Normal 93 86" xfId="20719"/>
    <cellStyle name="Normal 93 87" xfId="20969"/>
    <cellStyle name="Normal 93 88" xfId="21220"/>
    <cellStyle name="Normal 93 89" xfId="21464"/>
    <cellStyle name="Normal 93 9" xfId="1378"/>
    <cellStyle name="Normal 93 90" xfId="21708"/>
    <cellStyle name="Normal 93 91" xfId="21949"/>
    <cellStyle name="Normal 94" xfId="90"/>
    <cellStyle name="Normal 94 10" xfId="1632"/>
    <cellStyle name="Normal 94 11" xfId="1889"/>
    <cellStyle name="Normal 94 12" xfId="2140"/>
    <cellStyle name="Normal 94 13" xfId="2391"/>
    <cellStyle name="Normal 94 14" xfId="2642"/>
    <cellStyle name="Normal 94 15" xfId="2893"/>
    <cellStyle name="Normal 94 16" xfId="3144"/>
    <cellStyle name="Normal 94 17" xfId="3395"/>
    <cellStyle name="Normal 94 18" xfId="3646"/>
    <cellStyle name="Normal 94 19" xfId="3897"/>
    <cellStyle name="Normal 94 2" xfId="123"/>
    <cellStyle name="Normal 94 2 10" xfId="1922"/>
    <cellStyle name="Normal 94 2 11" xfId="2173"/>
    <cellStyle name="Normal 94 2 12" xfId="2424"/>
    <cellStyle name="Normal 94 2 13" xfId="2675"/>
    <cellStyle name="Normal 94 2 14" xfId="2926"/>
    <cellStyle name="Normal 94 2 15" xfId="3177"/>
    <cellStyle name="Normal 94 2 16" xfId="3428"/>
    <cellStyle name="Normal 94 2 17" xfId="3679"/>
    <cellStyle name="Normal 94 2 18" xfId="3930"/>
    <cellStyle name="Normal 94 2 19" xfId="4181"/>
    <cellStyle name="Normal 94 2 2" xfId="217"/>
    <cellStyle name="Normal 94 2 2 10" xfId="2517"/>
    <cellStyle name="Normal 94 2 2 11" xfId="2768"/>
    <cellStyle name="Normal 94 2 2 12" xfId="3019"/>
    <cellStyle name="Normal 94 2 2 13" xfId="3270"/>
    <cellStyle name="Normal 94 2 2 14" xfId="3521"/>
    <cellStyle name="Normal 94 2 2 15" xfId="3772"/>
    <cellStyle name="Normal 94 2 2 16" xfId="4023"/>
    <cellStyle name="Normal 94 2 2 17" xfId="4274"/>
    <cellStyle name="Normal 94 2 2 18" xfId="4525"/>
    <cellStyle name="Normal 94 2 2 19" xfId="4776"/>
    <cellStyle name="Normal 94 2 2 2" xfId="494"/>
    <cellStyle name="Normal 94 2 2 20" xfId="5027"/>
    <cellStyle name="Normal 94 2 2 21" xfId="5278"/>
    <cellStyle name="Normal 94 2 2 22" xfId="5529"/>
    <cellStyle name="Normal 94 2 2 23" xfId="5780"/>
    <cellStyle name="Normal 94 2 2 24" xfId="6031"/>
    <cellStyle name="Normal 94 2 2 25" xfId="6282"/>
    <cellStyle name="Normal 94 2 2 26" xfId="6533"/>
    <cellStyle name="Normal 94 2 2 27" xfId="6784"/>
    <cellStyle name="Normal 94 2 2 28" xfId="7035"/>
    <cellStyle name="Normal 94 2 2 29" xfId="7286"/>
    <cellStyle name="Normal 94 2 2 3" xfId="744"/>
    <cellStyle name="Normal 94 2 2 30" xfId="7537"/>
    <cellStyle name="Normal 94 2 2 31" xfId="7788"/>
    <cellStyle name="Normal 94 2 2 32" xfId="8039"/>
    <cellStyle name="Normal 94 2 2 33" xfId="8290"/>
    <cellStyle name="Normal 94 2 2 34" xfId="8541"/>
    <cellStyle name="Normal 94 2 2 35" xfId="8792"/>
    <cellStyle name="Normal 94 2 2 36" xfId="9043"/>
    <cellStyle name="Normal 94 2 2 37" xfId="9294"/>
    <cellStyle name="Normal 94 2 2 38" xfId="9545"/>
    <cellStyle name="Normal 94 2 2 39" xfId="9796"/>
    <cellStyle name="Normal 94 2 2 4" xfId="997"/>
    <cellStyle name="Normal 94 2 2 40" xfId="10047"/>
    <cellStyle name="Normal 94 2 2 41" xfId="10298"/>
    <cellStyle name="Normal 94 2 2 42" xfId="10549"/>
    <cellStyle name="Normal 94 2 2 43" xfId="10800"/>
    <cellStyle name="Normal 94 2 2 44" xfId="11051"/>
    <cellStyle name="Normal 94 2 2 45" xfId="11302"/>
    <cellStyle name="Normal 94 2 2 46" xfId="11553"/>
    <cellStyle name="Normal 94 2 2 47" xfId="11804"/>
    <cellStyle name="Normal 94 2 2 48" xfId="12055"/>
    <cellStyle name="Normal 94 2 2 49" xfId="12306"/>
    <cellStyle name="Normal 94 2 2 5" xfId="1252"/>
    <cellStyle name="Normal 94 2 2 50" xfId="12557"/>
    <cellStyle name="Normal 94 2 2 51" xfId="12808"/>
    <cellStyle name="Normal 94 2 2 52" xfId="13059"/>
    <cellStyle name="Normal 94 2 2 53" xfId="13310"/>
    <cellStyle name="Normal 94 2 2 54" xfId="13561"/>
    <cellStyle name="Normal 94 2 2 55" xfId="13812"/>
    <cellStyle name="Normal 94 2 2 56" xfId="14063"/>
    <cellStyle name="Normal 94 2 2 57" xfId="14314"/>
    <cellStyle name="Normal 94 2 2 58" xfId="14565"/>
    <cellStyle name="Normal 94 2 2 59" xfId="14816"/>
    <cellStyle name="Normal 94 2 2 6" xfId="1505"/>
    <cellStyle name="Normal 94 2 2 60" xfId="15067"/>
    <cellStyle name="Normal 94 2 2 61" xfId="15317"/>
    <cellStyle name="Normal 94 2 2 62" xfId="15568"/>
    <cellStyle name="Normal 94 2 2 63" xfId="15816"/>
    <cellStyle name="Normal 94 2 2 64" xfId="16072"/>
    <cellStyle name="Normal 94 2 2 65" xfId="16323"/>
    <cellStyle name="Normal 94 2 2 66" xfId="16574"/>
    <cellStyle name="Normal 94 2 2 67" xfId="16825"/>
    <cellStyle name="Normal 94 2 2 68" xfId="17076"/>
    <cellStyle name="Normal 94 2 2 69" xfId="17327"/>
    <cellStyle name="Normal 94 2 2 7" xfId="1759"/>
    <cellStyle name="Normal 94 2 2 70" xfId="17578"/>
    <cellStyle name="Normal 94 2 2 71" xfId="17829"/>
    <cellStyle name="Normal 94 2 2 72" xfId="18080"/>
    <cellStyle name="Normal 94 2 2 73" xfId="18331"/>
    <cellStyle name="Normal 94 2 2 74" xfId="18582"/>
    <cellStyle name="Normal 94 2 2 75" xfId="18833"/>
    <cellStyle name="Normal 94 2 2 76" xfId="19083"/>
    <cellStyle name="Normal 94 2 2 77" xfId="19335"/>
    <cellStyle name="Normal 94 2 2 78" xfId="19585"/>
    <cellStyle name="Normal 94 2 2 79" xfId="19841"/>
    <cellStyle name="Normal 94 2 2 8" xfId="2015"/>
    <cellStyle name="Normal 94 2 2 80" xfId="20093"/>
    <cellStyle name="Normal 94 2 2 81" xfId="20345"/>
    <cellStyle name="Normal 94 2 2 82" xfId="20597"/>
    <cellStyle name="Normal 94 2 2 83" xfId="20847"/>
    <cellStyle name="Normal 94 2 2 84" xfId="21097"/>
    <cellStyle name="Normal 94 2 2 85" xfId="21346"/>
    <cellStyle name="Normal 94 2 2 86" xfId="21590"/>
    <cellStyle name="Normal 94 2 2 87" xfId="21834"/>
    <cellStyle name="Normal 94 2 2 88" xfId="22075"/>
    <cellStyle name="Normal 94 2 2 9" xfId="2266"/>
    <cellStyle name="Normal 94 2 20" xfId="4432"/>
    <cellStyle name="Normal 94 2 21" xfId="4683"/>
    <cellStyle name="Normal 94 2 22" xfId="4934"/>
    <cellStyle name="Normal 94 2 23" xfId="5185"/>
    <cellStyle name="Normal 94 2 24" xfId="5436"/>
    <cellStyle name="Normal 94 2 25" xfId="5687"/>
    <cellStyle name="Normal 94 2 26" xfId="5938"/>
    <cellStyle name="Normal 94 2 27" xfId="6189"/>
    <cellStyle name="Normal 94 2 28" xfId="6440"/>
    <cellStyle name="Normal 94 2 29" xfId="6691"/>
    <cellStyle name="Normal 94 2 3" xfId="293"/>
    <cellStyle name="Normal 94 2 3 10" xfId="2593"/>
    <cellStyle name="Normal 94 2 3 11" xfId="2844"/>
    <cellStyle name="Normal 94 2 3 12" xfId="3095"/>
    <cellStyle name="Normal 94 2 3 13" xfId="3346"/>
    <cellStyle name="Normal 94 2 3 14" xfId="3597"/>
    <cellStyle name="Normal 94 2 3 15" xfId="3848"/>
    <cellStyle name="Normal 94 2 3 16" xfId="4099"/>
    <cellStyle name="Normal 94 2 3 17" xfId="4350"/>
    <cellStyle name="Normal 94 2 3 18" xfId="4601"/>
    <cellStyle name="Normal 94 2 3 19" xfId="4852"/>
    <cellStyle name="Normal 94 2 3 2" xfId="568"/>
    <cellStyle name="Normal 94 2 3 20" xfId="5103"/>
    <cellStyle name="Normal 94 2 3 21" xfId="5354"/>
    <cellStyle name="Normal 94 2 3 22" xfId="5605"/>
    <cellStyle name="Normal 94 2 3 23" xfId="5856"/>
    <cellStyle name="Normal 94 2 3 24" xfId="6107"/>
    <cellStyle name="Normal 94 2 3 25" xfId="6358"/>
    <cellStyle name="Normal 94 2 3 26" xfId="6609"/>
    <cellStyle name="Normal 94 2 3 27" xfId="6860"/>
    <cellStyle name="Normal 94 2 3 28" xfId="7111"/>
    <cellStyle name="Normal 94 2 3 29" xfId="7362"/>
    <cellStyle name="Normal 94 2 3 3" xfId="818"/>
    <cellStyle name="Normal 94 2 3 30" xfId="7613"/>
    <cellStyle name="Normal 94 2 3 31" xfId="7864"/>
    <cellStyle name="Normal 94 2 3 32" xfId="8115"/>
    <cellStyle name="Normal 94 2 3 33" xfId="8366"/>
    <cellStyle name="Normal 94 2 3 34" xfId="8617"/>
    <cellStyle name="Normal 94 2 3 35" xfId="8868"/>
    <cellStyle name="Normal 94 2 3 36" xfId="9119"/>
    <cellStyle name="Normal 94 2 3 37" xfId="9370"/>
    <cellStyle name="Normal 94 2 3 38" xfId="9621"/>
    <cellStyle name="Normal 94 2 3 39" xfId="9872"/>
    <cellStyle name="Normal 94 2 3 4" xfId="1070"/>
    <cellStyle name="Normal 94 2 3 40" xfId="10123"/>
    <cellStyle name="Normal 94 2 3 41" xfId="10374"/>
    <cellStyle name="Normal 94 2 3 42" xfId="10625"/>
    <cellStyle name="Normal 94 2 3 43" xfId="10876"/>
    <cellStyle name="Normal 94 2 3 44" xfId="11127"/>
    <cellStyle name="Normal 94 2 3 45" xfId="11378"/>
    <cellStyle name="Normal 94 2 3 46" xfId="11629"/>
    <cellStyle name="Normal 94 2 3 47" xfId="11880"/>
    <cellStyle name="Normal 94 2 3 48" xfId="12131"/>
    <cellStyle name="Normal 94 2 3 49" xfId="12382"/>
    <cellStyle name="Normal 94 2 3 5" xfId="1326"/>
    <cellStyle name="Normal 94 2 3 50" xfId="12633"/>
    <cellStyle name="Normal 94 2 3 51" xfId="12884"/>
    <cellStyle name="Normal 94 2 3 52" xfId="13135"/>
    <cellStyle name="Normal 94 2 3 53" xfId="13386"/>
    <cellStyle name="Normal 94 2 3 54" xfId="13637"/>
    <cellStyle name="Normal 94 2 3 55" xfId="13888"/>
    <cellStyle name="Normal 94 2 3 56" xfId="14139"/>
    <cellStyle name="Normal 94 2 3 57" xfId="14390"/>
    <cellStyle name="Normal 94 2 3 58" xfId="14641"/>
    <cellStyle name="Normal 94 2 3 59" xfId="14892"/>
    <cellStyle name="Normal 94 2 3 6" xfId="1581"/>
    <cellStyle name="Normal 94 2 3 60" xfId="15143"/>
    <cellStyle name="Normal 94 2 3 61" xfId="15393"/>
    <cellStyle name="Normal 94 2 3 62" xfId="15642"/>
    <cellStyle name="Normal 94 2 3 63" xfId="15892"/>
    <cellStyle name="Normal 94 2 3 64" xfId="16148"/>
    <cellStyle name="Normal 94 2 3 65" xfId="16399"/>
    <cellStyle name="Normal 94 2 3 66" xfId="16650"/>
    <cellStyle name="Normal 94 2 3 67" xfId="16901"/>
    <cellStyle name="Normal 94 2 3 68" xfId="17152"/>
    <cellStyle name="Normal 94 2 3 69" xfId="17403"/>
    <cellStyle name="Normal 94 2 3 7" xfId="1834"/>
    <cellStyle name="Normal 94 2 3 70" xfId="17654"/>
    <cellStyle name="Normal 94 2 3 71" xfId="17905"/>
    <cellStyle name="Normal 94 2 3 72" xfId="18156"/>
    <cellStyle name="Normal 94 2 3 73" xfId="18407"/>
    <cellStyle name="Normal 94 2 3 74" xfId="18658"/>
    <cellStyle name="Normal 94 2 3 75" xfId="18909"/>
    <cellStyle name="Normal 94 2 3 76" xfId="19159"/>
    <cellStyle name="Normal 94 2 3 77" xfId="19410"/>
    <cellStyle name="Normal 94 2 3 78" xfId="19661"/>
    <cellStyle name="Normal 94 2 3 79" xfId="19917"/>
    <cellStyle name="Normal 94 2 3 8" xfId="2091"/>
    <cellStyle name="Normal 94 2 3 80" xfId="20169"/>
    <cellStyle name="Normal 94 2 3 81" xfId="20421"/>
    <cellStyle name="Normal 94 2 3 82" xfId="20673"/>
    <cellStyle name="Normal 94 2 3 83" xfId="20923"/>
    <cellStyle name="Normal 94 2 3 84" xfId="21172"/>
    <cellStyle name="Normal 94 2 3 85" xfId="21420"/>
    <cellStyle name="Normal 94 2 3 86" xfId="21664"/>
    <cellStyle name="Normal 94 2 3 87" xfId="21906"/>
    <cellStyle name="Normal 94 2 3 88" xfId="22147"/>
    <cellStyle name="Normal 94 2 3 9" xfId="2342"/>
    <cellStyle name="Normal 94 2 30" xfId="6942"/>
    <cellStyle name="Normal 94 2 31" xfId="7193"/>
    <cellStyle name="Normal 94 2 32" xfId="7444"/>
    <cellStyle name="Normal 94 2 33" xfId="7695"/>
    <cellStyle name="Normal 94 2 34" xfId="7946"/>
    <cellStyle name="Normal 94 2 35" xfId="8197"/>
    <cellStyle name="Normal 94 2 36" xfId="8448"/>
    <cellStyle name="Normal 94 2 37" xfId="8699"/>
    <cellStyle name="Normal 94 2 38" xfId="8950"/>
    <cellStyle name="Normal 94 2 39" xfId="9201"/>
    <cellStyle name="Normal 94 2 4" xfId="402"/>
    <cellStyle name="Normal 94 2 40" xfId="9452"/>
    <cellStyle name="Normal 94 2 41" xfId="9703"/>
    <cellStyle name="Normal 94 2 42" xfId="9954"/>
    <cellStyle name="Normal 94 2 43" xfId="10205"/>
    <cellStyle name="Normal 94 2 44" xfId="10456"/>
    <cellStyle name="Normal 94 2 45" xfId="10707"/>
    <cellStyle name="Normal 94 2 46" xfId="10958"/>
    <cellStyle name="Normal 94 2 47" xfId="11209"/>
    <cellStyle name="Normal 94 2 48" xfId="11460"/>
    <cellStyle name="Normal 94 2 49" xfId="11711"/>
    <cellStyle name="Normal 94 2 5" xfId="651"/>
    <cellStyle name="Normal 94 2 50" xfId="11962"/>
    <cellStyle name="Normal 94 2 51" xfId="12213"/>
    <cellStyle name="Normal 94 2 52" xfId="12464"/>
    <cellStyle name="Normal 94 2 53" xfId="12715"/>
    <cellStyle name="Normal 94 2 54" xfId="12966"/>
    <cellStyle name="Normal 94 2 55" xfId="13217"/>
    <cellStyle name="Normal 94 2 56" xfId="13468"/>
    <cellStyle name="Normal 94 2 57" xfId="13719"/>
    <cellStyle name="Normal 94 2 58" xfId="13970"/>
    <cellStyle name="Normal 94 2 59" xfId="14221"/>
    <cellStyle name="Normal 94 2 6" xfId="904"/>
    <cellStyle name="Normal 94 2 60" xfId="14472"/>
    <cellStyle name="Normal 94 2 61" xfId="14723"/>
    <cellStyle name="Normal 94 2 62" xfId="14973"/>
    <cellStyle name="Normal 94 2 63" xfId="15224"/>
    <cellStyle name="Normal 94 2 64" xfId="15475"/>
    <cellStyle name="Normal 94 2 65" xfId="15722"/>
    <cellStyle name="Normal 94 2 66" xfId="15979"/>
    <cellStyle name="Normal 94 2 67" xfId="16230"/>
    <cellStyle name="Normal 94 2 68" xfId="16481"/>
    <cellStyle name="Normal 94 2 69" xfId="16732"/>
    <cellStyle name="Normal 94 2 7" xfId="1159"/>
    <cellStyle name="Normal 94 2 70" xfId="16983"/>
    <cellStyle name="Normal 94 2 71" xfId="17234"/>
    <cellStyle name="Normal 94 2 72" xfId="17485"/>
    <cellStyle name="Normal 94 2 73" xfId="17736"/>
    <cellStyle name="Normal 94 2 74" xfId="17987"/>
    <cellStyle name="Normal 94 2 75" xfId="18238"/>
    <cellStyle name="Normal 94 2 76" xfId="18489"/>
    <cellStyle name="Normal 94 2 77" xfId="18739"/>
    <cellStyle name="Normal 94 2 78" xfId="18990"/>
    <cellStyle name="Normal 94 2 79" xfId="19241"/>
    <cellStyle name="Normal 94 2 8" xfId="1412"/>
    <cellStyle name="Normal 94 2 80" xfId="19491"/>
    <cellStyle name="Normal 94 2 81" xfId="19747"/>
    <cellStyle name="Normal 94 2 82" xfId="19999"/>
    <cellStyle name="Normal 94 2 83" xfId="20251"/>
    <cellStyle name="Normal 94 2 84" xfId="20503"/>
    <cellStyle name="Normal 94 2 85" xfId="20753"/>
    <cellStyle name="Normal 94 2 86" xfId="21003"/>
    <cellStyle name="Normal 94 2 87" xfId="21254"/>
    <cellStyle name="Normal 94 2 88" xfId="21498"/>
    <cellStyle name="Normal 94 2 89" xfId="21742"/>
    <cellStyle name="Normal 94 2 9" xfId="1665"/>
    <cellStyle name="Normal 94 2 90" xfId="21983"/>
    <cellStyle name="Normal 94 20" xfId="4148"/>
    <cellStyle name="Normal 94 21" xfId="4399"/>
    <cellStyle name="Normal 94 22" xfId="4650"/>
    <cellStyle name="Normal 94 23" xfId="4901"/>
    <cellStyle name="Normal 94 24" xfId="5152"/>
    <cellStyle name="Normal 94 25" xfId="5403"/>
    <cellStyle name="Normal 94 26" xfId="5654"/>
    <cellStyle name="Normal 94 27" xfId="5905"/>
    <cellStyle name="Normal 94 28" xfId="6156"/>
    <cellStyle name="Normal 94 29" xfId="6407"/>
    <cellStyle name="Normal 94 3" xfId="184"/>
    <cellStyle name="Normal 94 3 10" xfId="2484"/>
    <cellStyle name="Normal 94 3 11" xfId="2735"/>
    <cellStyle name="Normal 94 3 12" xfId="2986"/>
    <cellStyle name="Normal 94 3 13" xfId="3237"/>
    <cellStyle name="Normal 94 3 14" xfId="3488"/>
    <cellStyle name="Normal 94 3 15" xfId="3739"/>
    <cellStyle name="Normal 94 3 16" xfId="3990"/>
    <cellStyle name="Normal 94 3 17" xfId="4241"/>
    <cellStyle name="Normal 94 3 18" xfId="4492"/>
    <cellStyle name="Normal 94 3 19" xfId="4743"/>
    <cellStyle name="Normal 94 3 2" xfId="461"/>
    <cellStyle name="Normal 94 3 20" xfId="4994"/>
    <cellStyle name="Normal 94 3 21" xfId="5245"/>
    <cellStyle name="Normal 94 3 22" xfId="5496"/>
    <cellStyle name="Normal 94 3 23" xfId="5747"/>
    <cellStyle name="Normal 94 3 24" xfId="5998"/>
    <cellStyle name="Normal 94 3 25" xfId="6249"/>
    <cellStyle name="Normal 94 3 26" xfId="6500"/>
    <cellStyle name="Normal 94 3 27" xfId="6751"/>
    <cellStyle name="Normal 94 3 28" xfId="7002"/>
    <cellStyle name="Normal 94 3 29" xfId="7253"/>
    <cellStyle name="Normal 94 3 3" xfId="711"/>
    <cellStyle name="Normal 94 3 30" xfId="7504"/>
    <cellStyle name="Normal 94 3 31" xfId="7755"/>
    <cellStyle name="Normal 94 3 32" xfId="8006"/>
    <cellStyle name="Normal 94 3 33" xfId="8257"/>
    <cellStyle name="Normal 94 3 34" xfId="8508"/>
    <cellStyle name="Normal 94 3 35" xfId="8759"/>
    <cellStyle name="Normal 94 3 36" xfId="9010"/>
    <cellStyle name="Normal 94 3 37" xfId="9261"/>
    <cellStyle name="Normal 94 3 38" xfId="9512"/>
    <cellStyle name="Normal 94 3 39" xfId="9763"/>
    <cellStyle name="Normal 94 3 4" xfId="964"/>
    <cellStyle name="Normal 94 3 40" xfId="10014"/>
    <cellStyle name="Normal 94 3 41" xfId="10265"/>
    <cellStyle name="Normal 94 3 42" xfId="10516"/>
    <cellStyle name="Normal 94 3 43" xfId="10767"/>
    <cellStyle name="Normal 94 3 44" xfId="11018"/>
    <cellStyle name="Normal 94 3 45" xfId="11269"/>
    <cellStyle name="Normal 94 3 46" xfId="11520"/>
    <cellStyle name="Normal 94 3 47" xfId="11771"/>
    <cellStyle name="Normal 94 3 48" xfId="12022"/>
    <cellStyle name="Normal 94 3 49" xfId="12273"/>
    <cellStyle name="Normal 94 3 5" xfId="1219"/>
    <cellStyle name="Normal 94 3 50" xfId="12524"/>
    <cellStyle name="Normal 94 3 51" xfId="12775"/>
    <cellStyle name="Normal 94 3 52" xfId="13026"/>
    <cellStyle name="Normal 94 3 53" xfId="13277"/>
    <cellStyle name="Normal 94 3 54" xfId="13528"/>
    <cellStyle name="Normal 94 3 55" xfId="13779"/>
    <cellStyle name="Normal 94 3 56" xfId="14030"/>
    <cellStyle name="Normal 94 3 57" xfId="14281"/>
    <cellStyle name="Normal 94 3 58" xfId="14532"/>
    <cellStyle name="Normal 94 3 59" xfId="14783"/>
    <cellStyle name="Normal 94 3 6" xfId="1472"/>
    <cellStyle name="Normal 94 3 60" xfId="15034"/>
    <cellStyle name="Normal 94 3 61" xfId="15284"/>
    <cellStyle name="Normal 94 3 62" xfId="15535"/>
    <cellStyle name="Normal 94 3 63" xfId="15783"/>
    <cellStyle name="Normal 94 3 64" xfId="16039"/>
    <cellStyle name="Normal 94 3 65" xfId="16290"/>
    <cellStyle name="Normal 94 3 66" xfId="16541"/>
    <cellStyle name="Normal 94 3 67" xfId="16792"/>
    <cellStyle name="Normal 94 3 68" xfId="17043"/>
    <cellStyle name="Normal 94 3 69" xfId="17294"/>
    <cellStyle name="Normal 94 3 7" xfId="1726"/>
    <cellStyle name="Normal 94 3 70" xfId="17545"/>
    <cellStyle name="Normal 94 3 71" xfId="17796"/>
    <cellStyle name="Normal 94 3 72" xfId="18047"/>
    <cellStyle name="Normal 94 3 73" xfId="18298"/>
    <cellStyle name="Normal 94 3 74" xfId="18549"/>
    <cellStyle name="Normal 94 3 75" xfId="18800"/>
    <cellStyle name="Normal 94 3 76" xfId="19050"/>
    <cellStyle name="Normal 94 3 77" xfId="19302"/>
    <cellStyle name="Normal 94 3 78" xfId="19552"/>
    <cellStyle name="Normal 94 3 79" xfId="19808"/>
    <cellStyle name="Normal 94 3 8" xfId="1982"/>
    <cellStyle name="Normal 94 3 80" xfId="20060"/>
    <cellStyle name="Normal 94 3 81" xfId="20312"/>
    <cellStyle name="Normal 94 3 82" xfId="20564"/>
    <cellStyle name="Normal 94 3 83" xfId="20814"/>
    <cellStyle name="Normal 94 3 84" xfId="21064"/>
    <cellStyle name="Normal 94 3 85" xfId="21313"/>
    <cellStyle name="Normal 94 3 86" xfId="21557"/>
    <cellStyle name="Normal 94 3 87" xfId="21801"/>
    <cellStyle name="Normal 94 3 88" xfId="22042"/>
    <cellStyle name="Normal 94 3 9" xfId="2233"/>
    <cellStyle name="Normal 94 30" xfId="6658"/>
    <cellStyle name="Normal 94 31" xfId="6909"/>
    <cellStyle name="Normal 94 32" xfId="7160"/>
    <cellStyle name="Normal 94 33" xfId="7411"/>
    <cellStyle name="Normal 94 34" xfId="7662"/>
    <cellStyle name="Normal 94 35" xfId="7913"/>
    <cellStyle name="Normal 94 36" xfId="8164"/>
    <cellStyle name="Normal 94 37" xfId="8415"/>
    <cellStyle name="Normal 94 38" xfId="8666"/>
    <cellStyle name="Normal 94 39" xfId="8917"/>
    <cellStyle name="Normal 94 4" xfId="260"/>
    <cellStyle name="Normal 94 4 10" xfId="2560"/>
    <cellStyle name="Normal 94 4 11" xfId="2811"/>
    <cellStyle name="Normal 94 4 12" xfId="3062"/>
    <cellStyle name="Normal 94 4 13" xfId="3313"/>
    <cellStyle name="Normal 94 4 14" xfId="3564"/>
    <cellStyle name="Normal 94 4 15" xfId="3815"/>
    <cellStyle name="Normal 94 4 16" xfId="4066"/>
    <cellStyle name="Normal 94 4 17" xfId="4317"/>
    <cellStyle name="Normal 94 4 18" xfId="4568"/>
    <cellStyle name="Normal 94 4 19" xfId="4819"/>
    <cellStyle name="Normal 94 4 2" xfId="536"/>
    <cellStyle name="Normal 94 4 20" xfId="5070"/>
    <cellStyle name="Normal 94 4 21" xfId="5321"/>
    <cellStyle name="Normal 94 4 22" xfId="5572"/>
    <cellStyle name="Normal 94 4 23" xfId="5823"/>
    <cellStyle name="Normal 94 4 24" xfId="6074"/>
    <cellStyle name="Normal 94 4 25" xfId="6325"/>
    <cellStyle name="Normal 94 4 26" xfId="6576"/>
    <cellStyle name="Normal 94 4 27" xfId="6827"/>
    <cellStyle name="Normal 94 4 28" xfId="7078"/>
    <cellStyle name="Normal 94 4 29" xfId="7329"/>
    <cellStyle name="Normal 94 4 3" xfId="786"/>
    <cellStyle name="Normal 94 4 30" xfId="7580"/>
    <cellStyle name="Normal 94 4 31" xfId="7831"/>
    <cellStyle name="Normal 94 4 32" xfId="8082"/>
    <cellStyle name="Normal 94 4 33" xfId="8333"/>
    <cellStyle name="Normal 94 4 34" xfId="8584"/>
    <cellStyle name="Normal 94 4 35" xfId="8835"/>
    <cellStyle name="Normal 94 4 36" xfId="9086"/>
    <cellStyle name="Normal 94 4 37" xfId="9337"/>
    <cellStyle name="Normal 94 4 38" xfId="9588"/>
    <cellStyle name="Normal 94 4 39" xfId="9839"/>
    <cellStyle name="Normal 94 4 4" xfId="1038"/>
    <cellStyle name="Normal 94 4 40" xfId="10090"/>
    <cellStyle name="Normal 94 4 41" xfId="10341"/>
    <cellStyle name="Normal 94 4 42" xfId="10592"/>
    <cellStyle name="Normal 94 4 43" xfId="10843"/>
    <cellStyle name="Normal 94 4 44" xfId="11094"/>
    <cellStyle name="Normal 94 4 45" xfId="11345"/>
    <cellStyle name="Normal 94 4 46" xfId="11596"/>
    <cellStyle name="Normal 94 4 47" xfId="11847"/>
    <cellStyle name="Normal 94 4 48" xfId="12098"/>
    <cellStyle name="Normal 94 4 49" xfId="12349"/>
    <cellStyle name="Normal 94 4 5" xfId="1294"/>
    <cellStyle name="Normal 94 4 50" xfId="12600"/>
    <cellStyle name="Normal 94 4 51" xfId="12851"/>
    <cellStyle name="Normal 94 4 52" xfId="13102"/>
    <cellStyle name="Normal 94 4 53" xfId="13353"/>
    <cellStyle name="Normal 94 4 54" xfId="13604"/>
    <cellStyle name="Normal 94 4 55" xfId="13855"/>
    <cellStyle name="Normal 94 4 56" xfId="14106"/>
    <cellStyle name="Normal 94 4 57" xfId="14357"/>
    <cellStyle name="Normal 94 4 58" xfId="14608"/>
    <cellStyle name="Normal 94 4 59" xfId="14859"/>
    <cellStyle name="Normal 94 4 6" xfId="1548"/>
    <cellStyle name="Normal 94 4 60" xfId="15110"/>
    <cellStyle name="Normal 94 4 61" xfId="15360"/>
    <cellStyle name="Normal 94 4 62" xfId="15610"/>
    <cellStyle name="Normal 94 4 63" xfId="15859"/>
    <cellStyle name="Normal 94 4 64" xfId="16115"/>
    <cellStyle name="Normal 94 4 65" xfId="16366"/>
    <cellStyle name="Normal 94 4 66" xfId="16617"/>
    <cellStyle name="Normal 94 4 67" xfId="16868"/>
    <cellStyle name="Normal 94 4 68" xfId="17119"/>
    <cellStyle name="Normal 94 4 69" xfId="17370"/>
    <cellStyle name="Normal 94 4 7" xfId="1801"/>
    <cellStyle name="Normal 94 4 70" xfId="17621"/>
    <cellStyle name="Normal 94 4 71" xfId="17872"/>
    <cellStyle name="Normal 94 4 72" xfId="18123"/>
    <cellStyle name="Normal 94 4 73" xfId="18374"/>
    <cellStyle name="Normal 94 4 74" xfId="18625"/>
    <cellStyle name="Normal 94 4 75" xfId="18876"/>
    <cellStyle name="Normal 94 4 76" xfId="19126"/>
    <cellStyle name="Normal 94 4 77" xfId="19378"/>
    <cellStyle name="Normal 94 4 78" xfId="19628"/>
    <cellStyle name="Normal 94 4 79" xfId="19884"/>
    <cellStyle name="Normal 94 4 8" xfId="2058"/>
    <cellStyle name="Normal 94 4 80" xfId="20136"/>
    <cellStyle name="Normal 94 4 81" xfId="20388"/>
    <cellStyle name="Normal 94 4 82" xfId="20640"/>
    <cellStyle name="Normal 94 4 83" xfId="20890"/>
    <cellStyle name="Normal 94 4 84" xfId="21140"/>
    <cellStyle name="Normal 94 4 85" xfId="21388"/>
    <cellStyle name="Normal 94 4 86" xfId="21632"/>
    <cellStyle name="Normal 94 4 87" xfId="21875"/>
    <cellStyle name="Normal 94 4 88" xfId="22116"/>
    <cellStyle name="Normal 94 4 9" xfId="2309"/>
    <cellStyle name="Normal 94 40" xfId="9168"/>
    <cellStyle name="Normal 94 41" xfId="9419"/>
    <cellStyle name="Normal 94 42" xfId="9670"/>
    <cellStyle name="Normal 94 43" xfId="9921"/>
    <cellStyle name="Normal 94 44" xfId="10172"/>
    <cellStyle name="Normal 94 45" xfId="10423"/>
    <cellStyle name="Normal 94 46" xfId="10674"/>
    <cellStyle name="Normal 94 47" xfId="10925"/>
    <cellStyle name="Normal 94 48" xfId="11176"/>
    <cellStyle name="Normal 94 49" xfId="11427"/>
    <cellStyle name="Normal 94 5" xfId="369"/>
    <cellStyle name="Normal 94 50" xfId="11678"/>
    <cellStyle name="Normal 94 51" xfId="11929"/>
    <cellStyle name="Normal 94 52" xfId="12180"/>
    <cellStyle name="Normal 94 53" xfId="12431"/>
    <cellStyle name="Normal 94 54" xfId="12682"/>
    <cellStyle name="Normal 94 55" xfId="12933"/>
    <cellStyle name="Normal 94 56" xfId="13184"/>
    <cellStyle name="Normal 94 57" xfId="13435"/>
    <cellStyle name="Normal 94 58" xfId="13686"/>
    <cellStyle name="Normal 94 59" xfId="13937"/>
    <cellStyle name="Normal 94 6" xfId="618"/>
    <cellStyle name="Normal 94 60" xfId="14188"/>
    <cellStyle name="Normal 94 61" xfId="14439"/>
    <cellStyle name="Normal 94 62" xfId="14690"/>
    <cellStyle name="Normal 94 63" xfId="14940"/>
    <cellStyle name="Normal 94 64" xfId="15191"/>
    <cellStyle name="Normal 94 65" xfId="15442"/>
    <cellStyle name="Normal 94 66" xfId="15689"/>
    <cellStyle name="Normal 94 67" xfId="15946"/>
    <cellStyle name="Normal 94 68" xfId="16197"/>
    <cellStyle name="Normal 94 69" xfId="16448"/>
    <cellStyle name="Normal 94 7" xfId="871"/>
    <cellStyle name="Normal 94 70" xfId="16699"/>
    <cellStyle name="Normal 94 71" xfId="16950"/>
    <cellStyle name="Normal 94 72" xfId="17201"/>
    <cellStyle name="Normal 94 73" xfId="17452"/>
    <cellStyle name="Normal 94 74" xfId="17703"/>
    <cellStyle name="Normal 94 75" xfId="17954"/>
    <cellStyle name="Normal 94 76" xfId="18205"/>
    <cellStyle name="Normal 94 77" xfId="18456"/>
    <cellStyle name="Normal 94 78" xfId="18706"/>
    <cellStyle name="Normal 94 79" xfId="18957"/>
    <cellStyle name="Normal 94 8" xfId="1126"/>
    <cellStyle name="Normal 94 80" xfId="19208"/>
    <cellStyle name="Normal 94 81" xfId="19458"/>
    <cellStyle name="Normal 94 82" xfId="19714"/>
    <cellStyle name="Normal 94 83" xfId="19966"/>
    <cellStyle name="Normal 94 84" xfId="20218"/>
    <cellStyle name="Normal 94 85" xfId="20470"/>
    <cellStyle name="Normal 94 86" xfId="20720"/>
    <cellStyle name="Normal 94 87" xfId="20970"/>
    <cellStyle name="Normal 94 88" xfId="21221"/>
    <cellStyle name="Normal 94 89" xfId="21465"/>
    <cellStyle name="Normal 94 9" xfId="1379"/>
    <cellStyle name="Normal 94 90" xfId="21709"/>
    <cellStyle name="Normal 94 91" xfId="21950"/>
    <cellStyle name="Normal 95" xfId="22183"/>
    <cellStyle name="Normal 96" xfId="22184"/>
    <cellStyle name="Normal 97" xfId="22185"/>
    <cellStyle name="Normal 97 2" xfId="22258"/>
    <cellStyle name="Normal 98" xfId="22260"/>
    <cellStyle name="Normal 99" xfId="24677"/>
    <cellStyle name="Normal_Appendixtables and Charts-Oct 2006" xfId="9"/>
    <cellStyle name="Normal_Book2" xfId="10"/>
    <cellStyle name="Normal_Canadian Mortgage Payment Formula" xfId="24762"/>
    <cellStyle name="Normal_employment" xfId="11"/>
    <cellStyle name="Normal_food insecurity (2)" xfId="12"/>
    <cellStyle name="Normal_Incidence" xfId="13"/>
    <cellStyle name="Normal_Incidence 2" xfId="24770"/>
    <cellStyle name="Normal_MinimumwageNEW" xfId="14"/>
    <cellStyle name="Normal_newtables" xfId="15"/>
    <cellStyle name="Normal_oneyearforeconomy" xfId="16"/>
    <cellStyle name="Normal_provincedta" xfId="17"/>
    <cellStyle name="Normal_Provinces-Oct 19 2006-rescaling 1981 new unpaid work" xfId="18"/>
    <cellStyle name="Normal_rags and riches tables" xfId="19"/>
    <cellStyle name="Normal_Savings" xfId="20"/>
    <cellStyle name="Normal_Sheet1" xfId="21"/>
    <cellStyle name="Normal_Tables - CIW BACKUP" xfId="22"/>
    <cellStyle name="Normal_welfarenew" xfId="23"/>
    <cellStyle name="Normal_Wellbeing" xfId="24"/>
    <cellStyle name="Note 10" xfId="24657"/>
    <cellStyle name="Note 11" xfId="24658"/>
    <cellStyle name="Note 12" xfId="24659"/>
    <cellStyle name="Note 2" xfId="79"/>
    <cellStyle name="Note 2 10" xfId="1621"/>
    <cellStyle name="Note 2 11" xfId="1878"/>
    <cellStyle name="Note 2 12" xfId="2129"/>
    <cellStyle name="Note 2 13" xfId="2380"/>
    <cellStyle name="Note 2 14" xfId="2631"/>
    <cellStyle name="Note 2 15" xfId="2882"/>
    <cellStyle name="Note 2 16" xfId="3133"/>
    <cellStyle name="Note 2 17" xfId="3384"/>
    <cellStyle name="Note 2 18" xfId="3635"/>
    <cellStyle name="Note 2 19" xfId="3886"/>
    <cellStyle name="Note 2 2" xfId="112"/>
    <cellStyle name="Note 2 2 10" xfId="1911"/>
    <cellStyle name="Note 2 2 11" xfId="2162"/>
    <cellStyle name="Note 2 2 12" xfId="2413"/>
    <cellStyle name="Note 2 2 13" xfId="2664"/>
    <cellStyle name="Note 2 2 14" xfId="2915"/>
    <cellStyle name="Note 2 2 15" xfId="3166"/>
    <cellStyle name="Note 2 2 16" xfId="3417"/>
    <cellStyle name="Note 2 2 17" xfId="3668"/>
    <cellStyle name="Note 2 2 18" xfId="3919"/>
    <cellStyle name="Note 2 2 19" xfId="4170"/>
    <cellStyle name="Note 2 2 2" xfId="206"/>
    <cellStyle name="Note 2 2 2 10" xfId="2506"/>
    <cellStyle name="Note 2 2 2 11" xfId="2757"/>
    <cellStyle name="Note 2 2 2 12" xfId="3008"/>
    <cellStyle name="Note 2 2 2 13" xfId="3259"/>
    <cellStyle name="Note 2 2 2 14" xfId="3510"/>
    <cellStyle name="Note 2 2 2 15" xfId="3761"/>
    <cellStyle name="Note 2 2 2 16" xfId="4012"/>
    <cellStyle name="Note 2 2 2 17" xfId="4263"/>
    <cellStyle name="Note 2 2 2 18" xfId="4514"/>
    <cellStyle name="Note 2 2 2 19" xfId="4765"/>
    <cellStyle name="Note 2 2 2 2" xfId="483"/>
    <cellStyle name="Note 2 2 2 20" xfId="5016"/>
    <cellStyle name="Note 2 2 2 21" xfId="5267"/>
    <cellStyle name="Note 2 2 2 22" xfId="5518"/>
    <cellStyle name="Note 2 2 2 23" xfId="5769"/>
    <cellStyle name="Note 2 2 2 24" xfId="6020"/>
    <cellStyle name="Note 2 2 2 25" xfId="6271"/>
    <cellStyle name="Note 2 2 2 26" xfId="6522"/>
    <cellStyle name="Note 2 2 2 27" xfId="6773"/>
    <cellStyle name="Note 2 2 2 28" xfId="7024"/>
    <cellStyle name="Note 2 2 2 29" xfId="7275"/>
    <cellStyle name="Note 2 2 2 3" xfId="733"/>
    <cellStyle name="Note 2 2 2 30" xfId="7526"/>
    <cellStyle name="Note 2 2 2 31" xfId="7777"/>
    <cellStyle name="Note 2 2 2 32" xfId="8028"/>
    <cellStyle name="Note 2 2 2 33" xfId="8279"/>
    <cellStyle name="Note 2 2 2 34" xfId="8530"/>
    <cellStyle name="Note 2 2 2 35" xfId="8781"/>
    <cellStyle name="Note 2 2 2 36" xfId="9032"/>
    <cellStyle name="Note 2 2 2 37" xfId="9283"/>
    <cellStyle name="Note 2 2 2 38" xfId="9534"/>
    <cellStyle name="Note 2 2 2 39" xfId="9785"/>
    <cellStyle name="Note 2 2 2 4" xfId="986"/>
    <cellStyle name="Note 2 2 2 40" xfId="10036"/>
    <cellStyle name="Note 2 2 2 41" xfId="10287"/>
    <cellStyle name="Note 2 2 2 42" xfId="10538"/>
    <cellStyle name="Note 2 2 2 43" xfId="10789"/>
    <cellStyle name="Note 2 2 2 44" xfId="11040"/>
    <cellStyle name="Note 2 2 2 45" xfId="11291"/>
    <cellStyle name="Note 2 2 2 46" xfId="11542"/>
    <cellStyle name="Note 2 2 2 47" xfId="11793"/>
    <cellStyle name="Note 2 2 2 48" xfId="12044"/>
    <cellStyle name="Note 2 2 2 49" xfId="12295"/>
    <cellStyle name="Note 2 2 2 5" xfId="1241"/>
    <cellStyle name="Note 2 2 2 50" xfId="12546"/>
    <cellStyle name="Note 2 2 2 51" xfId="12797"/>
    <cellStyle name="Note 2 2 2 52" xfId="13048"/>
    <cellStyle name="Note 2 2 2 53" xfId="13299"/>
    <cellStyle name="Note 2 2 2 54" xfId="13550"/>
    <cellStyle name="Note 2 2 2 55" xfId="13801"/>
    <cellStyle name="Note 2 2 2 56" xfId="14052"/>
    <cellStyle name="Note 2 2 2 57" xfId="14303"/>
    <cellStyle name="Note 2 2 2 58" xfId="14554"/>
    <cellStyle name="Note 2 2 2 59" xfId="14805"/>
    <cellStyle name="Note 2 2 2 6" xfId="1494"/>
    <cellStyle name="Note 2 2 2 60" xfId="15056"/>
    <cellStyle name="Note 2 2 2 61" xfId="15306"/>
    <cellStyle name="Note 2 2 2 62" xfId="15557"/>
    <cellStyle name="Note 2 2 2 63" xfId="15805"/>
    <cellStyle name="Note 2 2 2 64" xfId="16061"/>
    <cellStyle name="Note 2 2 2 65" xfId="16312"/>
    <cellStyle name="Note 2 2 2 66" xfId="16563"/>
    <cellStyle name="Note 2 2 2 67" xfId="16814"/>
    <cellStyle name="Note 2 2 2 68" xfId="17065"/>
    <cellStyle name="Note 2 2 2 69" xfId="17316"/>
    <cellStyle name="Note 2 2 2 7" xfId="1748"/>
    <cellStyle name="Note 2 2 2 70" xfId="17567"/>
    <cellStyle name="Note 2 2 2 71" xfId="17818"/>
    <cellStyle name="Note 2 2 2 72" xfId="18069"/>
    <cellStyle name="Note 2 2 2 73" xfId="18320"/>
    <cellStyle name="Note 2 2 2 74" xfId="18571"/>
    <cellStyle name="Note 2 2 2 75" xfId="18822"/>
    <cellStyle name="Note 2 2 2 76" xfId="19072"/>
    <cellStyle name="Note 2 2 2 77" xfId="19324"/>
    <cellStyle name="Note 2 2 2 78" xfId="19574"/>
    <cellStyle name="Note 2 2 2 79" xfId="19830"/>
    <cellStyle name="Note 2 2 2 8" xfId="2004"/>
    <cellStyle name="Note 2 2 2 80" xfId="20082"/>
    <cellStyle name="Note 2 2 2 81" xfId="20334"/>
    <cellStyle name="Note 2 2 2 82" xfId="20586"/>
    <cellStyle name="Note 2 2 2 83" xfId="20836"/>
    <cellStyle name="Note 2 2 2 84" xfId="21086"/>
    <cellStyle name="Note 2 2 2 85" xfId="21335"/>
    <cellStyle name="Note 2 2 2 86" xfId="21579"/>
    <cellStyle name="Note 2 2 2 87" xfId="21823"/>
    <cellStyle name="Note 2 2 2 88" xfId="22064"/>
    <cellStyle name="Note 2 2 2 9" xfId="2255"/>
    <cellStyle name="Note 2 2 20" xfId="4421"/>
    <cellStyle name="Note 2 2 21" xfId="4672"/>
    <cellStyle name="Note 2 2 22" xfId="4923"/>
    <cellStyle name="Note 2 2 23" xfId="5174"/>
    <cellStyle name="Note 2 2 24" xfId="5425"/>
    <cellStyle name="Note 2 2 25" xfId="5676"/>
    <cellStyle name="Note 2 2 26" xfId="5927"/>
    <cellStyle name="Note 2 2 27" xfId="6178"/>
    <cellStyle name="Note 2 2 28" xfId="6429"/>
    <cellStyle name="Note 2 2 29" xfId="6680"/>
    <cellStyle name="Note 2 2 3" xfId="282"/>
    <cellStyle name="Note 2 2 3 10" xfId="2582"/>
    <cellStyle name="Note 2 2 3 11" xfId="2833"/>
    <cellStyle name="Note 2 2 3 12" xfId="3084"/>
    <cellStyle name="Note 2 2 3 13" xfId="3335"/>
    <cellStyle name="Note 2 2 3 14" xfId="3586"/>
    <cellStyle name="Note 2 2 3 15" xfId="3837"/>
    <cellStyle name="Note 2 2 3 16" xfId="4088"/>
    <cellStyle name="Note 2 2 3 17" xfId="4339"/>
    <cellStyle name="Note 2 2 3 18" xfId="4590"/>
    <cellStyle name="Note 2 2 3 19" xfId="4841"/>
    <cellStyle name="Note 2 2 3 2" xfId="557"/>
    <cellStyle name="Note 2 2 3 20" xfId="5092"/>
    <cellStyle name="Note 2 2 3 21" xfId="5343"/>
    <cellStyle name="Note 2 2 3 22" xfId="5594"/>
    <cellStyle name="Note 2 2 3 23" xfId="5845"/>
    <cellStyle name="Note 2 2 3 24" xfId="6096"/>
    <cellStyle name="Note 2 2 3 25" xfId="6347"/>
    <cellStyle name="Note 2 2 3 26" xfId="6598"/>
    <cellStyle name="Note 2 2 3 27" xfId="6849"/>
    <cellStyle name="Note 2 2 3 28" xfId="7100"/>
    <cellStyle name="Note 2 2 3 29" xfId="7351"/>
    <cellStyle name="Note 2 2 3 3" xfId="807"/>
    <cellStyle name="Note 2 2 3 30" xfId="7602"/>
    <cellStyle name="Note 2 2 3 31" xfId="7853"/>
    <cellStyle name="Note 2 2 3 32" xfId="8104"/>
    <cellStyle name="Note 2 2 3 33" xfId="8355"/>
    <cellStyle name="Note 2 2 3 34" xfId="8606"/>
    <cellStyle name="Note 2 2 3 35" xfId="8857"/>
    <cellStyle name="Note 2 2 3 36" xfId="9108"/>
    <cellStyle name="Note 2 2 3 37" xfId="9359"/>
    <cellStyle name="Note 2 2 3 38" xfId="9610"/>
    <cellStyle name="Note 2 2 3 39" xfId="9861"/>
    <cellStyle name="Note 2 2 3 4" xfId="1059"/>
    <cellStyle name="Note 2 2 3 40" xfId="10112"/>
    <cellStyle name="Note 2 2 3 41" xfId="10363"/>
    <cellStyle name="Note 2 2 3 42" xfId="10614"/>
    <cellStyle name="Note 2 2 3 43" xfId="10865"/>
    <cellStyle name="Note 2 2 3 44" xfId="11116"/>
    <cellStyle name="Note 2 2 3 45" xfId="11367"/>
    <cellStyle name="Note 2 2 3 46" xfId="11618"/>
    <cellStyle name="Note 2 2 3 47" xfId="11869"/>
    <cellStyle name="Note 2 2 3 48" xfId="12120"/>
    <cellStyle name="Note 2 2 3 49" xfId="12371"/>
    <cellStyle name="Note 2 2 3 5" xfId="1315"/>
    <cellStyle name="Note 2 2 3 50" xfId="12622"/>
    <cellStyle name="Note 2 2 3 51" xfId="12873"/>
    <cellStyle name="Note 2 2 3 52" xfId="13124"/>
    <cellStyle name="Note 2 2 3 53" xfId="13375"/>
    <cellStyle name="Note 2 2 3 54" xfId="13626"/>
    <cellStyle name="Note 2 2 3 55" xfId="13877"/>
    <cellStyle name="Note 2 2 3 56" xfId="14128"/>
    <cellStyle name="Note 2 2 3 57" xfId="14379"/>
    <cellStyle name="Note 2 2 3 58" xfId="14630"/>
    <cellStyle name="Note 2 2 3 59" xfId="14881"/>
    <cellStyle name="Note 2 2 3 6" xfId="1570"/>
    <cellStyle name="Note 2 2 3 60" xfId="15132"/>
    <cellStyle name="Note 2 2 3 61" xfId="15382"/>
    <cellStyle name="Note 2 2 3 62" xfId="15631"/>
    <cellStyle name="Note 2 2 3 63" xfId="15881"/>
    <cellStyle name="Note 2 2 3 64" xfId="16137"/>
    <cellStyle name="Note 2 2 3 65" xfId="16388"/>
    <cellStyle name="Note 2 2 3 66" xfId="16639"/>
    <cellStyle name="Note 2 2 3 67" xfId="16890"/>
    <cellStyle name="Note 2 2 3 68" xfId="17141"/>
    <cellStyle name="Note 2 2 3 69" xfId="17392"/>
    <cellStyle name="Note 2 2 3 7" xfId="1823"/>
    <cellStyle name="Note 2 2 3 70" xfId="17643"/>
    <cellStyle name="Note 2 2 3 71" xfId="17894"/>
    <cellStyle name="Note 2 2 3 72" xfId="18145"/>
    <cellStyle name="Note 2 2 3 73" xfId="18396"/>
    <cellStyle name="Note 2 2 3 74" xfId="18647"/>
    <cellStyle name="Note 2 2 3 75" xfId="18898"/>
    <cellStyle name="Note 2 2 3 76" xfId="19148"/>
    <cellStyle name="Note 2 2 3 77" xfId="19399"/>
    <cellStyle name="Note 2 2 3 78" xfId="19650"/>
    <cellStyle name="Note 2 2 3 79" xfId="19906"/>
    <cellStyle name="Note 2 2 3 8" xfId="2080"/>
    <cellStyle name="Note 2 2 3 80" xfId="20158"/>
    <cellStyle name="Note 2 2 3 81" xfId="20410"/>
    <cellStyle name="Note 2 2 3 82" xfId="20662"/>
    <cellStyle name="Note 2 2 3 83" xfId="20912"/>
    <cellStyle name="Note 2 2 3 84" xfId="21161"/>
    <cellStyle name="Note 2 2 3 85" xfId="21409"/>
    <cellStyle name="Note 2 2 3 86" xfId="21653"/>
    <cellStyle name="Note 2 2 3 87" xfId="21895"/>
    <cellStyle name="Note 2 2 3 88" xfId="22136"/>
    <cellStyle name="Note 2 2 3 9" xfId="2331"/>
    <cellStyle name="Note 2 2 30" xfId="6931"/>
    <cellStyle name="Note 2 2 31" xfId="7182"/>
    <cellStyle name="Note 2 2 32" xfId="7433"/>
    <cellStyle name="Note 2 2 33" xfId="7684"/>
    <cellStyle name="Note 2 2 34" xfId="7935"/>
    <cellStyle name="Note 2 2 35" xfId="8186"/>
    <cellStyle name="Note 2 2 36" xfId="8437"/>
    <cellStyle name="Note 2 2 37" xfId="8688"/>
    <cellStyle name="Note 2 2 38" xfId="8939"/>
    <cellStyle name="Note 2 2 39" xfId="9190"/>
    <cellStyle name="Note 2 2 4" xfId="391"/>
    <cellStyle name="Note 2 2 40" xfId="9441"/>
    <cellStyle name="Note 2 2 41" xfId="9692"/>
    <cellStyle name="Note 2 2 42" xfId="9943"/>
    <cellStyle name="Note 2 2 43" xfId="10194"/>
    <cellStyle name="Note 2 2 44" xfId="10445"/>
    <cellStyle name="Note 2 2 45" xfId="10696"/>
    <cellStyle name="Note 2 2 46" xfId="10947"/>
    <cellStyle name="Note 2 2 47" xfId="11198"/>
    <cellStyle name="Note 2 2 48" xfId="11449"/>
    <cellStyle name="Note 2 2 49" xfId="11700"/>
    <cellStyle name="Note 2 2 5" xfId="640"/>
    <cellStyle name="Note 2 2 50" xfId="11951"/>
    <cellStyle name="Note 2 2 51" xfId="12202"/>
    <cellStyle name="Note 2 2 52" xfId="12453"/>
    <cellStyle name="Note 2 2 53" xfId="12704"/>
    <cellStyle name="Note 2 2 54" xfId="12955"/>
    <cellStyle name="Note 2 2 55" xfId="13206"/>
    <cellStyle name="Note 2 2 56" xfId="13457"/>
    <cellStyle name="Note 2 2 57" xfId="13708"/>
    <cellStyle name="Note 2 2 58" xfId="13959"/>
    <cellStyle name="Note 2 2 59" xfId="14210"/>
    <cellStyle name="Note 2 2 6" xfId="893"/>
    <cellStyle name="Note 2 2 60" xfId="14461"/>
    <cellStyle name="Note 2 2 61" xfId="14712"/>
    <cellStyle name="Note 2 2 62" xfId="14962"/>
    <cellStyle name="Note 2 2 63" xfId="15213"/>
    <cellStyle name="Note 2 2 64" xfId="15464"/>
    <cellStyle name="Note 2 2 65" xfId="15711"/>
    <cellStyle name="Note 2 2 66" xfId="15968"/>
    <cellStyle name="Note 2 2 67" xfId="16219"/>
    <cellStyle name="Note 2 2 68" xfId="16470"/>
    <cellStyle name="Note 2 2 69" xfId="16721"/>
    <cellStyle name="Note 2 2 7" xfId="1148"/>
    <cellStyle name="Note 2 2 70" xfId="16972"/>
    <cellStyle name="Note 2 2 71" xfId="17223"/>
    <cellStyle name="Note 2 2 72" xfId="17474"/>
    <cellStyle name="Note 2 2 73" xfId="17725"/>
    <cellStyle name="Note 2 2 74" xfId="17976"/>
    <cellStyle name="Note 2 2 75" xfId="18227"/>
    <cellStyle name="Note 2 2 76" xfId="18478"/>
    <cellStyle name="Note 2 2 77" xfId="18728"/>
    <cellStyle name="Note 2 2 78" xfId="18979"/>
    <cellStyle name="Note 2 2 79" xfId="19230"/>
    <cellStyle name="Note 2 2 8" xfId="1401"/>
    <cellStyle name="Note 2 2 80" xfId="19480"/>
    <cellStyle name="Note 2 2 81" xfId="19736"/>
    <cellStyle name="Note 2 2 82" xfId="19988"/>
    <cellStyle name="Note 2 2 83" xfId="20240"/>
    <cellStyle name="Note 2 2 84" xfId="20492"/>
    <cellStyle name="Note 2 2 85" xfId="20742"/>
    <cellStyle name="Note 2 2 86" xfId="20992"/>
    <cellStyle name="Note 2 2 87" xfId="21243"/>
    <cellStyle name="Note 2 2 88" xfId="21487"/>
    <cellStyle name="Note 2 2 89" xfId="21731"/>
    <cellStyle name="Note 2 2 9" xfId="1654"/>
    <cellStyle name="Note 2 2 90" xfId="21972"/>
    <cellStyle name="Note 2 20" xfId="4137"/>
    <cellStyle name="Note 2 21" xfId="4388"/>
    <cellStyle name="Note 2 22" xfId="4639"/>
    <cellStyle name="Note 2 23" xfId="4890"/>
    <cellStyle name="Note 2 24" xfId="5141"/>
    <cellStyle name="Note 2 25" xfId="5392"/>
    <cellStyle name="Note 2 26" xfId="5643"/>
    <cellStyle name="Note 2 27" xfId="5894"/>
    <cellStyle name="Note 2 28" xfId="6145"/>
    <cellStyle name="Note 2 29" xfId="6396"/>
    <cellStyle name="Note 2 3" xfId="173"/>
    <cellStyle name="Note 2 3 10" xfId="2473"/>
    <cellStyle name="Note 2 3 11" xfId="2724"/>
    <cellStyle name="Note 2 3 12" xfId="2975"/>
    <cellStyle name="Note 2 3 13" xfId="3226"/>
    <cellStyle name="Note 2 3 14" xfId="3477"/>
    <cellStyle name="Note 2 3 15" xfId="3728"/>
    <cellStyle name="Note 2 3 16" xfId="3979"/>
    <cellStyle name="Note 2 3 17" xfId="4230"/>
    <cellStyle name="Note 2 3 18" xfId="4481"/>
    <cellStyle name="Note 2 3 19" xfId="4732"/>
    <cellStyle name="Note 2 3 2" xfId="450"/>
    <cellStyle name="Note 2 3 20" xfId="4983"/>
    <cellStyle name="Note 2 3 21" xfId="5234"/>
    <cellStyle name="Note 2 3 22" xfId="5485"/>
    <cellStyle name="Note 2 3 23" xfId="5736"/>
    <cellStyle name="Note 2 3 24" xfId="5987"/>
    <cellStyle name="Note 2 3 25" xfId="6238"/>
    <cellStyle name="Note 2 3 26" xfId="6489"/>
    <cellStyle name="Note 2 3 27" xfId="6740"/>
    <cellStyle name="Note 2 3 28" xfId="6991"/>
    <cellStyle name="Note 2 3 29" xfId="7242"/>
    <cellStyle name="Note 2 3 3" xfId="700"/>
    <cellStyle name="Note 2 3 30" xfId="7493"/>
    <cellStyle name="Note 2 3 31" xfId="7744"/>
    <cellStyle name="Note 2 3 32" xfId="7995"/>
    <cellStyle name="Note 2 3 33" xfId="8246"/>
    <cellStyle name="Note 2 3 34" xfId="8497"/>
    <cellStyle name="Note 2 3 35" xfId="8748"/>
    <cellStyle name="Note 2 3 36" xfId="8999"/>
    <cellStyle name="Note 2 3 37" xfId="9250"/>
    <cellStyle name="Note 2 3 38" xfId="9501"/>
    <cellStyle name="Note 2 3 39" xfId="9752"/>
    <cellStyle name="Note 2 3 4" xfId="953"/>
    <cellStyle name="Note 2 3 40" xfId="10003"/>
    <cellStyle name="Note 2 3 41" xfId="10254"/>
    <cellStyle name="Note 2 3 42" xfId="10505"/>
    <cellStyle name="Note 2 3 43" xfId="10756"/>
    <cellStyle name="Note 2 3 44" xfId="11007"/>
    <cellStyle name="Note 2 3 45" xfId="11258"/>
    <cellStyle name="Note 2 3 46" xfId="11509"/>
    <cellStyle name="Note 2 3 47" xfId="11760"/>
    <cellStyle name="Note 2 3 48" xfId="12011"/>
    <cellStyle name="Note 2 3 49" xfId="12262"/>
    <cellStyle name="Note 2 3 5" xfId="1208"/>
    <cellStyle name="Note 2 3 50" xfId="12513"/>
    <cellStyle name="Note 2 3 51" xfId="12764"/>
    <cellStyle name="Note 2 3 52" xfId="13015"/>
    <cellStyle name="Note 2 3 53" xfId="13266"/>
    <cellStyle name="Note 2 3 54" xfId="13517"/>
    <cellStyle name="Note 2 3 55" xfId="13768"/>
    <cellStyle name="Note 2 3 56" xfId="14019"/>
    <cellStyle name="Note 2 3 57" xfId="14270"/>
    <cellStyle name="Note 2 3 58" xfId="14521"/>
    <cellStyle name="Note 2 3 59" xfId="14772"/>
    <cellStyle name="Note 2 3 6" xfId="1461"/>
    <cellStyle name="Note 2 3 60" xfId="15023"/>
    <cellStyle name="Note 2 3 61" xfId="15273"/>
    <cellStyle name="Note 2 3 62" xfId="15524"/>
    <cellStyle name="Note 2 3 63" xfId="15772"/>
    <cellStyle name="Note 2 3 64" xfId="16028"/>
    <cellStyle name="Note 2 3 65" xfId="16279"/>
    <cellStyle name="Note 2 3 66" xfId="16530"/>
    <cellStyle name="Note 2 3 67" xfId="16781"/>
    <cellStyle name="Note 2 3 68" xfId="17032"/>
    <cellStyle name="Note 2 3 69" xfId="17283"/>
    <cellStyle name="Note 2 3 7" xfId="1715"/>
    <cellStyle name="Note 2 3 70" xfId="17534"/>
    <cellStyle name="Note 2 3 71" xfId="17785"/>
    <cellStyle name="Note 2 3 72" xfId="18036"/>
    <cellStyle name="Note 2 3 73" xfId="18287"/>
    <cellStyle name="Note 2 3 74" xfId="18538"/>
    <cellStyle name="Note 2 3 75" xfId="18789"/>
    <cellStyle name="Note 2 3 76" xfId="19039"/>
    <cellStyle name="Note 2 3 77" xfId="19291"/>
    <cellStyle name="Note 2 3 78" xfId="19541"/>
    <cellStyle name="Note 2 3 79" xfId="19797"/>
    <cellStyle name="Note 2 3 8" xfId="1971"/>
    <cellStyle name="Note 2 3 80" xfId="20049"/>
    <cellStyle name="Note 2 3 81" xfId="20301"/>
    <cellStyle name="Note 2 3 82" xfId="20553"/>
    <cellStyle name="Note 2 3 83" xfId="20803"/>
    <cellStyle name="Note 2 3 84" xfId="21053"/>
    <cellStyle name="Note 2 3 85" xfId="21302"/>
    <cellStyle name="Note 2 3 86" xfId="21546"/>
    <cellStyle name="Note 2 3 87" xfId="21790"/>
    <cellStyle name="Note 2 3 88" xfId="22031"/>
    <cellStyle name="Note 2 3 9" xfId="2222"/>
    <cellStyle name="Note 2 30" xfId="6647"/>
    <cellStyle name="Note 2 31" xfId="6898"/>
    <cellStyle name="Note 2 32" xfId="7149"/>
    <cellStyle name="Note 2 33" xfId="7400"/>
    <cellStyle name="Note 2 34" xfId="7651"/>
    <cellStyle name="Note 2 35" xfId="7902"/>
    <cellStyle name="Note 2 36" xfId="8153"/>
    <cellStyle name="Note 2 37" xfId="8404"/>
    <cellStyle name="Note 2 38" xfId="8655"/>
    <cellStyle name="Note 2 39" xfId="8906"/>
    <cellStyle name="Note 2 4" xfId="249"/>
    <cellStyle name="Note 2 4 10" xfId="2549"/>
    <cellStyle name="Note 2 4 11" xfId="2800"/>
    <cellStyle name="Note 2 4 12" xfId="3051"/>
    <cellStyle name="Note 2 4 13" xfId="3302"/>
    <cellStyle name="Note 2 4 14" xfId="3553"/>
    <cellStyle name="Note 2 4 15" xfId="3804"/>
    <cellStyle name="Note 2 4 16" xfId="4055"/>
    <cellStyle name="Note 2 4 17" xfId="4306"/>
    <cellStyle name="Note 2 4 18" xfId="4557"/>
    <cellStyle name="Note 2 4 19" xfId="4808"/>
    <cellStyle name="Note 2 4 2" xfId="525"/>
    <cellStyle name="Note 2 4 20" xfId="5059"/>
    <cellStyle name="Note 2 4 21" xfId="5310"/>
    <cellStyle name="Note 2 4 22" xfId="5561"/>
    <cellStyle name="Note 2 4 23" xfId="5812"/>
    <cellStyle name="Note 2 4 24" xfId="6063"/>
    <cellStyle name="Note 2 4 25" xfId="6314"/>
    <cellStyle name="Note 2 4 26" xfId="6565"/>
    <cellStyle name="Note 2 4 27" xfId="6816"/>
    <cellStyle name="Note 2 4 28" xfId="7067"/>
    <cellStyle name="Note 2 4 29" xfId="7318"/>
    <cellStyle name="Note 2 4 3" xfId="775"/>
    <cellStyle name="Note 2 4 30" xfId="7569"/>
    <cellStyle name="Note 2 4 31" xfId="7820"/>
    <cellStyle name="Note 2 4 32" xfId="8071"/>
    <cellStyle name="Note 2 4 33" xfId="8322"/>
    <cellStyle name="Note 2 4 34" xfId="8573"/>
    <cellStyle name="Note 2 4 35" xfId="8824"/>
    <cellStyle name="Note 2 4 36" xfId="9075"/>
    <cellStyle name="Note 2 4 37" xfId="9326"/>
    <cellStyle name="Note 2 4 38" xfId="9577"/>
    <cellStyle name="Note 2 4 39" xfId="9828"/>
    <cellStyle name="Note 2 4 4" xfId="1027"/>
    <cellStyle name="Note 2 4 40" xfId="10079"/>
    <cellStyle name="Note 2 4 41" xfId="10330"/>
    <cellStyle name="Note 2 4 42" xfId="10581"/>
    <cellStyle name="Note 2 4 43" xfId="10832"/>
    <cellStyle name="Note 2 4 44" xfId="11083"/>
    <cellStyle name="Note 2 4 45" xfId="11334"/>
    <cellStyle name="Note 2 4 46" xfId="11585"/>
    <cellStyle name="Note 2 4 47" xfId="11836"/>
    <cellStyle name="Note 2 4 48" xfId="12087"/>
    <cellStyle name="Note 2 4 49" xfId="12338"/>
    <cellStyle name="Note 2 4 5" xfId="1283"/>
    <cellStyle name="Note 2 4 50" xfId="12589"/>
    <cellStyle name="Note 2 4 51" xfId="12840"/>
    <cellStyle name="Note 2 4 52" xfId="13091"/>
    <cellStyle name="Note 2 4 53" xfId="13342"/>
    <cellStyle name="Note 2 4 54" xfId="13593"/>
    <cellStyle name="Note 2 4 55" xfId="13844"/>
    <cellStyle name="Note 2 4 56" xfId="14095"/>
    <cellStyle name="Note 2 4 57" xfId="14346"/>
    <cellStyle name="Note 2 4 58" xfId="14597"/>
    <cellStyle name="Note 2 4 59" xfId="14848"/>
    <cellStyle name="Note 2 4 6" xfId="1537"/>
    <cellStyle name="Note 2 4 60" xfId="15099"/>
    <cellStyle name="Note 2 4 61" xfId="15349"/>
    <cellStyle name="Note 2 4 62" xfId="15599"/>
    <cellStyle name="Note 2 4 63" xfId="15848"/>
    <cellStyle name="Note 2 4 64" xfId="16104"/>
    <cellStyle name="Note 2 4 65" xfId="16355"/>
    <cellStyle name="Note 2 4 66" xfId="16606"/>
    <cellStyle name="Note 2 4 67" xfId="16857"/>
    <cellStyle name="Note 2 4 68" xfId="17108"/>
    <cellStyle name="Note 2 4 69" xfId="17359"/>
    <cellStyle name="Note 2 4 7" xfId="1790"/>
    <cellStyle name="Note 2 4 70" xfId="17610"/>
    <cellStyle name="Note 2 4 71" xfId="17861"/>
    <cellStyle name="Note 2 4 72" xfId="18112"/>
    <cellStyle name="Note 2 4 73" xfId="18363"/>
    <cellStyle name="Note 2 4 74" xfId="18614"/>
    <cellStyle name="Note 2 4 75" xfId="18865"/>
    <cellStyle name="Note 2 4 76" xfId="19115"/>
    <cellStyle name="Note 2 4 77" xfId="19367"/>
    <cellStyle name="Note 2 4 78" xfId="19617"/>
    <cellStyle name="Note 2 4 79" xfId="19873"/>
    <cellStyle name="Note 2 4 8" xfId="2047"/>
    <cellStyle name="Note 2 4 80" xfId="20125"/>
    <cellStyle name="Note 2 4 81" xfId="20377"/>
    <cellStyle name="Note 2 4 82" xfId="20629"/>
    <cellStyle name="Note 2 4 83" xfId="20879"/>
    <cellStyle name="Note 2 4 84" xfId="21129"/>
    <cellStyle name="Note 2 4 85" xfId="21377"/>
    <cellStyle name="Note 2 4 86" xfId="21621"/>
    <cellStyle name="Note 2 4 87" xfId="21864"/>
    <cellStyle name="Note 2 4 88" xfId="22105"/>
    <cellStyle name="Note 2 4 9" xfId="2298"/>
    <cellStyle name="Note 2 40" xfId="9157"/>
    <cellStyle name="Note 2 41" xfId="9408"/>
    <cellStyle name="Note 2 42" xfId="9659"/>
    <cellStyle name="Note 2 43" xfId="9910"/>
    <cellStyle name="Note 2 44" xfId="10161"/>
    <cellStyle name="Note 2 45" xfId="10412"/>
    <cellStyle name="Note 2 46" xfId="10663"/>
    <cellStyle name="Note 2 47" xfId="10914"/>
    <cellStyle name="Note 2 48" xfId="11165"/>
    <cellStyle name="Note 2 49" xfId="11416"/>
    <cellStyle name="Note 2 5" xfId="358"/>
    <cellStyle name="Note 2 50" xfId="11667"/>
    <cellStyle name="Note 2 51" xfId="11918"/>
    <cellStyle name="Note 2 52" xfId="12169"/>
    <cellStyle name="Note 2 53" xfId="12420"/>
    <cellStyle name="Note 2 54" xfId="12671"/>
    <cellStyle name="Note 2 55" xfId="12922"/>
    <cellStyle name="Note 2 56" xfId="13173"/>
    <cellStyle name="Note 2 57" xfId="13424"/>
    <cellStyle name="Note 2 58" xfId="13675"/>
    <cellStyle name="Note 2 59" xfId="13926"/>
    <cellStyle name="Note 2 6" xfId="607"/>
    <cellStyle name="Note 2 60" xfId="14177"/>
    <cellStyle name="Note 2 61" xfId="14428"/>
    <cellStyle name="Note 2 62" xfId="14679"/>
    <cellStyle name="Note 2 63" xfId="14929"/>
    <cellStyle name="Note 2 64" xfId="15180"/>
    <cellStyle name="Note 2 65" xfId="15431"/>
    <cellStyle name="Note 2 66" xfId="15678"/>
    <cellStyle name="Note 2 67" xfId="15935"/>
    <cellStyle name="Note 2 68" xfId="16186"/>
    <cellStyle name="Note 2 69" xfId="16437"/>
    <cellStyle name="Note 2 7" xfId="860"/>
    <cellStyle name="Note 2 70" xfId="16688"/>
    <cellStyle name="Note 2 71" xfId="16939"/>
    <cellStyle name="Note 2 72" xfId="17190"/>
    <cellStyle name="Note 2 73" xfId="17441"/>
    <cellStyle name="Note 2 74" xfId="17692"/>
    <cellStyle name="Note 2 75" xfId="17943"/>
    <cellStyle name="Note 2 76" xfId="18194"/>
    <cellStyle name="Note 2 77" xfId="18445"/>
    <cellStyle name="Note 2 78" xfId="18695"/>
    <cellStyle name="Note 2 79" xfId="18946"/>
    <cellStyle name="Note 2 8" xfId="1115"/>
    <cellStyle name="Note 2 80" xfId="19197"/>
    <cellStyle name="Note 2 81" xfId="19447"/>
    <cellStyle name="Note 2 82" xfId="19703"/>
    <cellStyle name="Note 2 83" xfId="19955"/>
    <cellStyle name="Note 2 84" xfId="20207"/>
    <cellStyle name="Note 2 85" xfId="20459"/>
    <cellStyle name="Note 2 86" xfId="20709"/>
    <cellStyle name="Note 2 87" xfId="20959"/>
    <cellStyle name="Note 2 88" xfId="21210"/>
    <cellStyle name="Note 2 89" xfId="21454"/>
    <cellStyle name="Note 2 9" xfId="1368"/>
    <cellStyle name="Note 2 90" xfId="21698"/>
    <cellStyle name="Note 2 91" xfId="21939"/>
    <cellStyle name="Note 2 92" xfId="22240"/>
    <cellStyle name="Note 2 93" xfId="22255"/>
    <cellStyle name="Note 2 94" xfId="24706"/>
    <cellStyle name="Note 2 95" xfId="24722"/>
    <cellStyle name="Note 2 96" xfId="24738"/>
    <cellStyle name="Note 2 97" xfId="24754"/>
    <cellStyle name="Note 2 98" xfId="24761"/>
    <cellStyle name="Note 3" xfId="24660"/>
    <cellStyle name="Note 4" xfId="24661"/>
    <cellStyle name="Note 5" xfId="24662"/>
    <cellStyle name="Note 6" xfId="24663"/>
    <cellStyle name="Note 7" xfId="24664"/>
    <cellStyle name="Note 8" xfId="24665"/>
    <cellStyle name="Note 9" xfId="24666"/>
    <cellStyle name="Output" xfId="40" builtinId="21" customBuiltin="1"/>
    <cellStyle name="Title" xfId="31" builtinId="15" customBuiltin="1"/>
    <cellStyle name="Total" xfId="46" builtinId="25" customBuiltin="1"/>
    <cellStyle name="Warning Text" xfId="4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externalLink" Target="externalLinks/externalLink10.xml"/><Relationship Id="rId201" Type="http://schemas.openxmlformats.org/officeDocument/2006/relationships/worksheet" Target="worksheets/sheet201.xml"/><Relationship Id="rId222"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externalLink" Target="externalLinks/externalLink6.xml"/><Relationship Id="rId228"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styles" Target="styles.xml"/><Relationship Id="rId19" Type="http://schemas.openxmlformats.org/officeDocument/2006/relationships/worksheet" Target="worksheets/sheet19.xml"/><Relationship Id="rId224" Type="http://schemas.openxmlformats.org/officeDocument/2006/relationships/externalLink" Target="externalLinks/externalLink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externalLink" Target="externalLinks/externalLink2.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externalLink" Target="externalLinks/externalLink3.xml"/><Relationship Id="rId225" Type="http://schemas.openxmlformats.org/officeDocument/2006/relationships/externalLink" Target="externalLinks/externalLink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externalLink" Target="externalLinks/externalLink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xdr:col>
      <xdr:colOff>495300</xdr:colOff>
      <xdr:row>13</xdr:row>
      <xdr:rowOff>123825</xdr:rowOff>
    </xdr:from>
    <xdr:ext cx="76200" cy="200025"/>
    <xdr:sp macro="" textlink="">
      <xdr:nvSpPr>
        <xdr:cNvPr id="111617" name="Text Box 1"/>
        <xdr:cNvSpPr txBox="1">
          <a:spLocks noChangeArrowheads="1"/>
        </xdr:cNvSpPr>
      </xdr:nvSpPr>
      <xdr:spPr bwMode="auto">
        <a:xfrm>
          <a:off x="1752600" y="2305050"/>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4</xdr:col>
      <xdr:colOff>438150</xdr:colOff>
      <xdr:row>31</xdr:row>
      <xdr:rowOff>9525</xdr:rowOff>
    </xdr:to>
    <xdr:pic>
      <xdr:nvPicPr>
        <xdr:cNvPr id="412673" name="Picture 1"/>
        <xdr:cNvPicPr>
          <a:picLocks noChangeAspect="1" noChangeArrowheads="1"/>
        </xdr:cNvPicPr>
      </xdr:nvPicPr>
      <xdr:blipFill>
        <a:blip xmlns:r="http://schemas.openxmlformats.org/officeDocument/2006/relationships" r:embed="rId1"/>
        <a:srcRect/>
        <a:stretch>
          <a:fillRect/>
        </a:stretch>
      </xdr:blipFill>
      <xdr:spPr bwMode="auto">
        <a:xfrm>
          <a:off x="0" y="2819400"/>
          <a:ext cx="3571875" cy="29241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IN/Application%20Data/Microsoft/Excel/Atkinson_Incorporated_7(patrick).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1/Main/LOCALS~1/Temp/Graham/Atkinson_Graham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AIN/Application%20Data/Microsoft/Excel/Ben/Atkinson_Ben_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AIN/Application%20Data/Microsoft/Excel/Ben/Atkinson_Ben_1.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MAIN/Application%20Data/Microsoft/Excel/Atkinson_Incorporated_7(graha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MAIN/Application%20Data/Microsoft/Excel/Graham/Atkinson_Graham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Owner/Local%20Settings/Temporary%20Internet%20Files/OLK4/To%20graha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tkinson%20stuff\New%20Atkinson%20Tables%20and%20the%20original%20one\Kim01%20-%20forpri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HP_Owner/Application%20Data/Microsoft/Excel/Simon%20Say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MAIN/Application%20Data/Microsoft/Excel/Graham/Atkinson_Graham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 of Tables"/>
      <sheetName val="1"/>
      <sheetName val="2a"/>
      <sheetName val="2b"/>
      <sheetName val="2c"/>
      <sheetName val="2d"/>
      <sheetName val="2e"/>
      <sheetName val="3a"/>
      <sheetName val="3b"/>
      <sheetName val="4"/>
      <sheetName val="5"/>
      <sheetName val="6a"/>
      <sheetName val="6b"/>
      <sheetName val="6c"/>
      <sheetName val="6d"/>
      <sheetName val="6e"/>
      <sheetName val="7a"/>
      <sheetName val="7b"/>
      <sheetName val="7c"/>
      <sheetName val="7d"/>
      <sheetName val="8a"/>
      <sheetName val="8b"/>
      <sheetName val="8c"/>
      <sheetName val="8d"/>
      <sheetName val="9a"/>
      <sheetName val="9b"/>
      <sheetName val="9c"/>
      <sheetName val="9d"/>
      <sheetName val="10a"/>
      <sheetName val="10b"/>
      <sheetName val="10c"/>
      <sheetName val="10d"/>
      <sheetName val="10e"/>
      <sheetName val="10f"/>
      <sheetName val="10g"/>
      <sheetName val="11a"/>
      <sheetName val="11b"/>
      <sheetName val="11c"/>
      <sheetName val="11d"/>
      <sheetName val="11e"/>
      <sheetName val="11f"/>
      <sheetName val="11g"/>
      <sheetName val="11h"/>
      <sheetName val="11i"/>
      <sheetName val="11j"/>
      <sheetName val="12a"/>
      <sheetName val="12b"/>
      <sheetName val="12c"/>
      <sheetName val="12d"/>
      <sheetName val="12e"/>
      <sheetName val="12f"/>
      <sheetName val="12g"/>
      <sheetName val="12h"/>
      <sheetName val="12i"/>
      <sheetName val="13a"/>
      <sheetName val="13b"/>
      <sheetName val="13c"/>
      <sheetName val="13d"/>
      <sheetName val="13e"/>
      <sheetName val="13f"/>
      <sheetName val="14a"/>
      <sheetName val="14b"/>
      <sheetName val="14c"/>
      <sheetName val="14d"/>
      <sheetName val="14e"/>
      <sheetName val="14f"/>
      <sheetName val="15a"/>
      <sheetName val="15b"/>
      <sheetName val="15c"/>
      <sheetName val="15d"/>
      <sheetName val="15e"/>
      <sheetName val="15f"/>
      <sheetName val="16a"/>
      <sheetName val="16b"/>
      <sheetName val="16c"/>
      <sheetName val="16d"/>
      <sheetName val="16e"/>
      <sheetName val="16f"/>
      <sheetName val="16g"/>
      <sheetName val="16h"/>
      <sheetName val="16i"/>
      <sheetName val="16j"/>
      <sheetName val="16k"/>
      <sheetName val="16l"/>
      <sheetName val="17a"/>
      <sheetName val="17b"/>
      <sheetName val="17c"/>
      <sheetName val="18a"/>
      <sheetName val="18b"/>
      <sheetName val="19a"/>
      <sheetName val="19b"/>
      <sheetName val="19c"/>
      <sheetName val="19d"/>
      <sheetName val="19e"/>
      <sheetName val="19f"/>
      <sheetName val="19g"/>
      <sheetName val="19H"/>
      <sheetName val="19I"/>
      <sheetName val="20a"/>
      <sheetName val="20b"/>
      <sheetName val="21"/>
      <sheetName val="22a"/>
      <sheetName val="22b"/>
      <sheetName val="22c"/>
      <sheetName val="22d"/>
      <sheetName val="23"/>
      <sheetName val="24a"/>
      <sheetName val="24b"/>
      <sheetName val="24c"/>
      <sheetName val="24d"/>
      <sheetName val="24e"/>
      <sheetName val="24f"/>
      <sheetName val="25a"/>
      <sheetName val="25b"/>
      <sheetName val="26a"/>
      <sheetName val="26b"/>
      <sheetName val="26c"/>
      <sheetName val="26d"/>
      <sheetName val="26e"/>
      <sheetName val="27"/>
      <sheetName val="28a"/>
      <sheetName val="28b"/>
      <sheetName val="28c"/>
      <sheetName val="29a"/>
      <sheetName val="29b"/>
      <sheetName val="30"/>
      <sheetName val="31"/>
      <sheetName val="32"/>
      <sheetName val="33"/>
      <sheetName val="Sheet1"/>
      <sheetName val="34a"/>
      <sheetName val="34b"/>
      <sheetName val="35a"/>
      <sheetName val="35b"/>
      <sheetName val="35c"/>
      <sheetName val="35d"/>
      <sheetName val="36"/>
      <sheetName val="36a"/>
      <sheetName val="36b"/>
      <sheetName val="37"/>
      <sheetName val="37a"/>
      <sheetName val="37b"/>
      <sheetName val="37c"/>
      <sheetName val="37d"/>
      <sheetName val="37e"/>
      <sheetName val="37f"/>
      <sheetName val="37g"/>
      <sheetName val="37h"/>
      <sheetName val="37i"/>
      <sheetName val="37j"/>
      <sheetName val="38"/>
      <sheetName val="39"/>
      <sheetName val="40"/>
      <sheetName val="41"/>
      <sheetName val="42"/>
      <sheetName val="43"/>
      <sheetName val="44a"/>
      <sheetName val="44b"/>
      <sheetName val="44c"/>
      <sheetName val="45a"/>
      <sheetName val="45b"/>
      <sheetName val="45c"/>
      <sheetName val="46"/>
      <sheetName val="47"/>
      <sheetName val="47a"/>
      <sheetName val="47b"/>
      <sheetName val="47c"/>
      <sheetName val="47d"/>
      <sheetName val="48"/>
      <sheetName val="49"/>
      <sheetName val="50"/>
      <sheetName val="51a-j"/>
      <sheetName val="52"/>
      <sheetName val="53"/>
      <sheetName val="54"/>
      <sheetName val="55"/>
      <sheetName val="56"/>
      <sheetName val="57"/>
      <sheetName val="58"/>
      <sheetName val="58a"/>
      <sheetName val="58b"/>
      <sheetName val="58c"/>
      <sheetName val="58d"/>
      <sheetName val="58e"/>
      <sheetName val="58f"/>
      <sheetName val="58g"/>
      <sheetName val="58h"/>
      <sheetName val="58i"/>
      <sheetName val="58j"/>
      <sheetName val="59a"/>
      <sheetName val="59b"/>
      <sheetName val="60"/>
      <sheetName val="61"/>
      <sheetName val="62"/>
      <sheetName val="63"/>
      <sheetName val="64"/>
      <sheetName val="65"/>
      <sheetName val="66"/>
      <sheetName val="67"/>
      <sheetName val="68A"/>
      <sheetName val="68B"/>
      <sheetName val="68C"/>
      <sheetName val="69"/>
      <sheetName val="70"/>
      <sheetName val="71a"/>
      <sheetName val="71b"/>
      <sheetName val="71c"/>
      <sheetName val="DataC9-C13"/>
      <sheetName val="DataC14-C21"/>
      <sheetName val="DataC21.1-C24"/>
      <sheetName val="DataC25-C29"/>
      <sheetName val="DataC30-C34"/>
      <sheetName val="DataC35-C39"/>
      <sheetName val="DataC39-C42"/>
      <sheetName val="Data 43-"/>
      <sheetName val="72a"/>
      <sheetName val="72b"/>
      <sheetName val="73a"/>
      <sheetName val="73b"/>
      <sheetName val="DataC5-C8"/>
      <sheetName val="C1"/>
      <sheetName val="C1.1"/>
      <sheetName val="C1.2"/>
      <sheetName val="C2"/>
      <sheetName val="DataC1-C4"/>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21.1"/>
      <sheetName val="C21.2"/>
      <sheetName val="C22"/>
      <sheetName val="C23"/>
      <sheetName val="C24"/>
      <sheetName val="C25"/>
      <sheetName val="C26"/>
      <sheetName val="C27"/>
      <sheetName val="C28"/>
      <sheetName val="C29"/>
      <sheetName val="C30"/>
      <sheetName val="C31"/>
      <sheetName val="C31.1"/>
      <sheetName val="C31.2"/>
      <sheetName val="C32"/>
      <sheetName val="C33"/>
      <sheetName val="C34"/>
      <sheetName val="C35"/>
      <sheetName val="C35b"/>
      <sheetName val="C36"/>
      <sheetName val="C37"/>
      <sheetName val="C37.1"/>
      <sheetName val="C37.2"/>
      <sheetName val="C37.3"/>
      <sheetName val="C38"/>
      <sheetName val="C39"/>
      <sheetName val="C40"/>
      <sheetName val="C41"/>
      <sheetName val="C42"/>
      <sheetName val="C43"/>
      <sheetName val="C44"/>
      <sheetName val="C45"/>
      <sheetName val="C46"/>
      <sheetName val="C47"/>
      <sheetName val="C48"/>
      <sheetName val="C49"/>
    </sheetNames>
    <sheetDataSet>
      <sheetData sheetId="0"/>
      <sheetData sheetId="1">
        <row r="15">
          <cell r="B15">
            <v>24819.915000000001</v>
          </cell>
          <cell r="C15">
            <v>575.30200000000002</v>
          </cell>
          <cell r="D15">
            <v>123.551</v>
          </cell>
          <cell r="E15">
            <v>854.87099999999998</v>
          </cell>
          <cell r="F15">
            <v>706.43799999999999</v>
          </cell>
          <cell r="G15">
            <v>6547.2070000000003</v>
          </cell>
          <cell r="H15">
            <v>8812.2860000000001</v>
          </cell>
          <cell r="I15">
            <v>1035.5450000000001</v>
          </cell>
          <cell r="J15">
            <v>975.75900000000001</v>
          </cell>
          <cell r="K15">
            <v>2291.1039999999998</v>
          </cell>
          <cell r="L15">
            <v>2826.558</v>
          </cell>
        </row>
        <row r="16">
          <cell r="B16">
            <v>25116.941999999999</v>
          </cell>
          <cell r="C16">
            <v>573.79499999999996</v>
          </cell>
          <cell r="D16">
            <v>123.58799999999999</v>
          </cell>
          <cell r="E16">
            <v>859.03800000000001</v>
          </cell>
          <cell r="F16">
            <v>707.45699999999999</v>
          </cell>
          <cell r="G16">
            <v>6580.6310000000003</v>
          </cell>
          <cell r="H16">
            <v>8920.2880000000005</v>
          </cell>
          <cell r="I16">
            <v>1045.2239999999999</v>
          </cell>
          <cell r="J16">
            <v>986.58199999999999</v>
          </cell>
          <cell r="K16">
            <v>2369.8270000000002</v>
          </cell>
          <cell r="L16">
            <v>2876.5129999999999</v>
          </cell>
        </row>
        <row r="17">
          <cell r="B17">
            <v>25366.451000000001</v>
          </cell>
          <cell r="C17">
            <v>579.16399999999999</v>
          </cell>
          <cell r="D17">
            <v>125.102</v>
          </cell>
          <cell r="E17">
            <v>868.28899999999999</v>
          </cell>
          <cell r="F17">
            <v>714.84199999999998</v>
          </cell>
          <cell r="G17">
            <v>6602.9759999999997</v>
          </cell>
          <cell r="H17">
            <v>9039.5640000000003</v>
          </cell>
          <cell r="I17">
            <v>1059.752</v>
          </cell>
          <cell r="J17">
            <v>1001.249</v>
          </cell>
          <cell r="K17">
            <v>2393.587</v>
          </cell>
          <cell r="L17">
            <v>2907.502</v>
          </cell>
        </row>
        <row r="18">
          <cell r="B18">
            <v>25607.053</v>
          </cell>
          <cell r="C18">
            <v>580.06500000000005</v>
          </cell>
          <cell r="D18">
            <v>126.563</v>
          </cell>
          <cell r="E18">
            <v>877.471</v>
          </cell>
          <cell r="F18">
            <v>720.48800000000006</v>
          </cell>
          <cell r="G18">
            <v>6631.22</v>
          </cell>
          <cell r="H18">
            <v>9167.4840000000004</v>
          </cell>
          <cell r="I18">
            <v>1071.81</v>
          </cell>
          <cell r="J18">
            <v>1014.615</v>
          </cell>
          <cell r="K18">
            <v>2393.9070000000002</v>
          </cell>
          <cell r="L18">
            <v>2947.181</v>
          </cell>
        </row>
        <row r="19">
          <cell r="B19">
            <v>25842.116000000002</v>
          </cell>
          <cell r="C19">
            <v>579.27499999999998</v>
          </cell>
          <cell r="D19">
            <v>127.619</v>
          </cell>
          <cell r="E19">
            <v>885.84799999999996</v>
          </cell>
          <cell r="F19">
            <v>723.28700000000003</v>
          </cell>
          <cell r="G19">
            <v>6665.8019999999997</v>
          </cell>
          <cell r="H19">
            <v>9294.6569999999992</v>
          </cell>
          <cell r="I19">
            <v>1082.4949999999999</v>
          </cell>
          <cell r="J19">
            <v>1024.9280000000001</v>
          </cell>
          <cell r="K19">
            <v>2404.4899999999998</v>
          </cell>
          <cell r="L19">
            <v>2975.1309999999999</v>
          </cell>
        </row>
        <row r="20">
          <cell r="B20">
            <v>26100.277999999998</v>
          </cell>
          <cell r="C20">
            <v>576.30600000000004</v>
          </cell>
          <cell r="D20">
            <v>128.43600000000001</v>
          </cell>
          <cell r="E20">
            <v>889.08699999999999</v>
          </cell>
          <cell r="F20">
            <v>725.01900000000001</v>
          </cell>
          <cell r="G20">
            <v>6708.17</v>
          </cell>
          <cell r="H20">
            <v>9437.3590000000004</v>
          </cell>
          <cell r="I20">
            <v>1091.5519999999999</v>
          </cell>
          <cell r="J20">
            <v>1028.7170000000001</v>
          </cell>
          <cell r="K20">
            <v>2432.9299999999998</v>
          </cell>
          <cell r="L20">
            <v>3003.6210000000001</v>
          </cell>
        </row>
        <row r="21">
          <cell r="B21">
            <v>26446.600999999999</v>
          </cell>
          <cell r="C21">
            <v>575.24199999999996</v>
          </cell>
          <cell r="D21">
            <v>128.64099999999999</v>
          </cell>
          <cell r="E21">
            <v>893.60599999999999</v>
          </cell>
          <cell r="F21">
            <v>727.76800000000003</v>
          </cell>
          <cell r="G21">
            <v>6781.9840000000004</v>
          </cell>
          <cell r="H21">
            <v>9637.9449999999997</v>
          </cell>
          <cell r="I21">
            <v>1098.373</v>
          </cell>
          <cell r="J21">
            <v>1032.799</v>
          </cell>
          <cell r="K21">
            <v>2440.877</v>
          </cell>
          <cell r="L21">
            <v>3048.6509999999998</v>
          </cell>
        </row>
        <row r="22">
          <cell r="B22">
            <v>26791.746999999999</v>
          </cell>
          <cell r="C22">
            <v>574.98199999999997</v>
          </cell>
          <cell r="D22">
            <v>129.28899999999999</v>
          </cell>
          <cell r="E22">
            <v>897.21600000000001</v>
          </cell>
          <cell r="F22">
            <v>730.34900000000005</v>
          </cell>
          <cell r="G22">
            <v>6837.0770000000002</v>
          </cell>
          <cell r="H22">
            <v>9838.6200000000008</v>
          </cell>
          <cell r="I22">
            <v>1102.152</v>
          </cell>
          <cell r="J22">
            <v>1028.2249999999999</v>
          </cell>
          <cell r="K22">
            <v>2456.614</v>
          </cell>
          <cell r="L22">
            <v>3114.761</v>
          </cell>
        </row>
        <row r="23">
          <cell r="B23">
            <v>27276.780999999999</v>
          </cell>
          <cell r="C23">
            <v>576.55100000000004</v>
          </cell>
          <cell r="D23">
            <v>130.15299999999999</v>
          </cell>
          <cell r="E23">
            <v>903.84100000000001</v>
          </cell>
          <cell r="F23">
            <v>735.12900000000002</v>
          </cell>
          <cell r="G23">
            <v>6925.1279999999997</v>
          </cell>
          <cell r="H23">
            <v>10103.305</v>
          </cell>
          <cell r="I23">
            <v>1103.7919999999999</v>
          </cell>
          <cell r="J23">
            <v>1019.439</v>
          </cell>
          <cell r="K23">
            <v>2498.3249999999998</v>
          </cell>
          <cell r="L23">
            <v>3196.7249999999999</v>
          </cell>
        </row>
        <row r="24">
          <cell r="B24">
            <v>27691.137999999999</v>
          </cell>
          <cell r="C24">
            <v>577.36800000000005</v>
          </cell>
          <cell r="D24">
            <v>130.404</v>
          </cell>
          <cell r="E24">
            <v>910.45100000000002</v>
          </cell>
          <cell r="F24">
            <v>740.15599999999995</v>
          </cell>
          <cell r="G24">
            <v>6996.9859999999999</v>
          </cell>
          <cell r="H24">
            <v>10295.832</v>
          </cell>
          <cell r="I24">
            <v>1105.421</v>
          </cell>
          <cell r="J24">
            <v>1007.727</v>
          </cell>
          <cell r="K24">
            <v>2547.788</v>
          </cell>
          <cell r="L24">
            <v>3292.1109999999999</v>
          </cell>
        </row>
        <row r="25">
          <cell r="B25">
            <v>28037.42</v>
          </cell>
          <cell r="C25">
            <v>579.64400000000001</v>
          </cell>
          <cell r="D25">
            <v>130.369</v>
          </cell>
          <cell r="E25">
            <v>914.96900000000005</v>
          </cell>
          <cell r="F25">
            <v>745.56700000000001</v>
          </cell>
          <cell r="G25">
            <v>7067.3959999999997</v>
          </cell>
          <cell r="H25">
            <v>10431.316000000001</v>
          </cell>
          <cell r="I25">
            <v>1109.604</v>
          </cell>
          <cell r="J25">
            <v>1002.713</v>
          </cell>
          <cell r="K25">
            <v>2592.306</v>
          </cell>
          <cell r="L25">
            <v>3373.7869999999998</v>
          </cell>
        </row>
        <row r="26">
          <cell r="B26">
            <v>28371.263999999999</v>
          </cell>
          <cell r="C26">
            <v>580.10900000000004</v>
          </cell>
          <cell r="D26">
            <v>130.827</v>
          </cell>
          <cell r="E26">
            <v>919.45100000000002</v>
          </cell>
          <cell r="F26">
            <v>748.12099999999998</v>
          </cell>
          <cell r="G26">
            <v>7110.01</v>
          </cell>
          <cell r="H26">
            <v>10572.205</v>
          </cell>
          <cell r="I26">
            <v>1112.6890000000001</v>
          </cell>
          <cell r="J26">
            <v>1003.995</v>
          </cell>
          <cell r="K26">
            <v>2632.672</v>
          </cell>
          <cell r="L26">
            <v>3468.8020000000001</v>
          </cell>
        </row>
        <row r="27">
          <cell r="B27">
            <v>28684.763999999999</v>
          </cell>
          <cell r="C27">
            <v>579.97699999999998</v>
          </cell>
          <cell r="D27">
            <v>132.17699999999999</v>
          </cell>
          <cell r="E27">
            <v>923.92499999999995</v>
          </cell>
          <cell r="F27">
            <v>748.81200000000001</v>
          </cell>
          <cell r="G27">
            <v>7156.5370000000003</v>
          </cell>
          <cell r="H27">
            <v>10690.038</v>
          </cell>
          <cell r="I27">
            <v>1117.6179999999999</v>
          </cell>
          <cell r="J27">
            <v>1006.9</v>
          </cell>
          <cell r="K27">
            <v>2667.2919999999999</v>
          </cell>
          <cell r="L27">
            <v>3567.7719999999999</v>
          </cell>
        </row>
        <row r="28">
          <cell r="B28">
            <v>29000.663</v>
          </cell>
          <cell r="C28">
            <v>574.46600000000001</v>
          </cell>
          <cell r="D28">
            <v>133.43700000000001</v>
          </cell>
          <cell r="E28">
            <v>926.87099999999998</v>
          </cell>
          <cell r="F28">
            <v>750.18499999999995</v>
          </cell>
          <cell r="G28">
            <v>7192.4030000000002</v>
          </cell>
          <cell r="H28">
            <v>10819.146000000001</v>
          </cell>
          <cell r="I28">
            <v>1123.23</v>
          </cell>
          <cell r="J28">
            <v>1009.575</v>
          </cell>
          <cell r="K28">
            <v>2700.6060000000002</v>
          </cell>
          <cell r="L28">
            <v>3676.0749999999998</v>
          </cell>
        </row>
        <row r="29">
          <cell r="B29">
            <v>29302.311000000002</v>
          </cell>
          <cell r="C29">
            <v>567.39700000000005</v>
          </cell>
          <cell r="D29">
            <v>134.41499999999999</v>
          </cell>
          <cell r="E29">
            <v>928.12</v>
          </cell>
          <cell r="F29">
            <v>750.94299999999998</v>
          </cell>
          <cell r="G29">
            <v>7219.2190000000001</v>
          </cell>
          <cell r="H29">
            <v>10950.119000000001</v>
          </cell>
          <cell r="I29">
            <v>1129.1500000000001</v>
          </cell>
          <cell r="J29">
            <v>1014.187</v>
          </cell>
          <cell r="K29">
            <v>2734.5189999999998</v>
          </cell>
          <cell r="L29">
            <v>3777.39</v>
          </cell>
        </row>
        <row r="30">
          <cell r="B30">
            <v>29610.218000000001</v>
          </cell>
          <cell r="C30">
            <v>559.69799999999998</v>
          </cell>
          <cell r="D30">
            <v>135.73699999999999</v>
          </cell>
          <cell r="E30">
            <v>931.327</v>
          </cell>
          <cell r="F30">
            <v>752.26800000000003</v>
          </cell>
          <cell r="G30">
            <v>7246.8969999999999</v>
          </cell>
          <cell r="H30">
            <v>11082.903</v>
          </cell>
          <cell r="I30">
            <v>1134.1959999999999</v>
          </cell>
          <cell r="J30">
            <v>1018.9450000000001</v>
          </cell>
          <cell r="K30">
            <v>2775.1329999999998</v>
          </cell>
          <cell r="L30">
            <v>3874.317</v>
          </cell>
        </row>
        <row r="31">
          <cell r="B31">
            <v>29905.948</v>
          </cell>
          <cell r="C31">
            <v>550.91099999999994</v>
          </cell>
          <cell r="D31">
            <v>136.095</v>
          </cell>
          <cell r="E31">
            <v>932.40200000000004</v>
          </cell>
          <cell r="F31">
            <v>752.51099999999997</v>
          </cell>
          <cell r="G31">
            <v>7274.6109999999999</v>
          </cell>
          <cell r="H31">
            <v>11227.651</v>
          </cell>
          <cell r="I31">
            <v>1136.1279999999999</v>
          </cell>
          <cell r="J31">
            <v>1017.902</v>
          </cell>
          <cell r="K31">
            <v>2829.848</v>
          </cell>
          <cell r="L31">
            <v>3948.5830000000001</v>
          </cell>
        </row>
        <row r="32">
          <cell r="B32">
            <v>30155.172999999999</v>
          </cell>
          <cell r="C32">
            <v>539.84299999999996</v>
          </cell>
          <cell r="D32">
            <v>135.804</v>
          </cell>
          <cell r="E32">
            <v>931.83600000000001</v>
          </cell>
          <cell r="F32">
            <v>750.53</v>
          </cell>
          <cell r="G32">
            <v>7295.9350000000004</v>
          </cell>
          <cell r="H32">
            <v>11365.901</v>
          </cell>
          <cell r="I32">
            <v>1137.489</v>
          </cell>
          <cell r="J32">
            <v>1017.332</v>
          </cell>
          <cell r="K32">
            <v>2899.0659999999998</v>
          </cell>
          <cell r="L32">
            <v>3983.1129999999998</v>
          </cell>
        </row>
        <row r="33">
          <cell r="B33">
            <v>30401.286</v>
          </cell>
          <cell r="C33">
            <v>533.32899999999995</v>
          </cell>
          <cell r="D33">
            <v>136.28100000000001</v>
          </cell>
          <cell r="E33">
            <v>933.78399999999999</v>
          </cell>
          <cell r="F33">
            <v>750.601</v>
          </cell>
          <cell r="G33">
            <v>7323.25</v>
          </cell>
          <cell r="H33">
            <v>11504.759</v>
          </cell>
          <cell r="I33">
            <v>1142.4480000000001</v>
          </cell>
          <cell r="J33">
            <v>1014.524</v>
          </cell>
          <cell r="K33">
            <v>2952.692</v>
          </cell>
          <cell r="L33">
            <v>4011.375</v>
          </cell>
        </row>
        <row r="34">
          <cell r="B34">
            <v>30685.73</v>
          </cell>
          <cell r="C34">
            <v>527.96600000000001</v>
          </cell>
          <cell r="D34">
            <v>136.47</v>
          </cell>
          <cell r="E34">
            <v>933.82100000000003</v>
          </cell>
          <cell r="F34">
            <v>750.51700000000005</v>
          </cell>
          <cell r="G34">
            <v>7356.951</v>
          </cell>
          <cell r="H34">
            <v>11683.29</v>
          </cell>
          <cell r="I34">
            <v>1147.3130000000001</v>
          </cell>
          <cell r="J34">
            <v>1007.5650000000001</v>
          </cell>
          <cell r="K34">
            <v>3004.1979999999999</v>
          </cell>
          <cell r="L34">
            <v>4039.23</v>
          </cell>
        </row>
        <row r="35">
          <cell r="B35">
            <v>31019.02</v>
          </cell>
          <cell r="C35">
            <v>522.03300000000002</v>
          </cell>
          <cell r="D35">
            <v>136.66300000000001</v>
          </cell>
          <cell r="E35">
            <v>932.45399999999995</v>
          </cell>
          <cell r="F35">
            <v>749.80100000000004</v>
          </cell>
          <cell r="G35">
            <v>7396.3310000000001</v>
          </cell>
          <cell r="H35">
            <v>11896.663</v>
          </cell>
          <cell r="I35">
            <v>1151.4390000000001</v>
          </cell>
          <cell r="J35">
            <v>1000.221</v>
          </cell>
          <cell r="K35">
            <v>3058.0169999999998</v>
          </cell>
          <cell r="L35">
            <v>4076.2640000000001</v>
          </cell>
        </row>
        <row r="36">
          <cell r="B36">
            <v>31353.655999999999</v>
          </cell>
          <cell r="C36">
            <v>519.53099999999995</v>
          </cell>
          <cell r="D36">
            <v>136.876</v>
          </cell>
          <cell r="E36">
            <v>935.01499999999999</v>
          </cell>
          <cell r="F36">
            <v>749.33100000000002</v>
          </cell>
          <cell r="G36">
            <v>7441.076</v>
          </cell>
          <cell r="H36">
            <v>12091.029</v>
          </cell>
          <cell r="I36">
            <v>1156.6130000000001</v>
          </cell>
          <cell r="J36">
            <v>996.80100000000004</v>
          </cell>
          <cell r="K36">
            <v>3128.364</v>
          </cell>
          <cell r="L36">
            <v>4098.1779999999999</v>
          </cell>
        </row>
        <row r="37">
          <cell r="B37">
            <v>31639.67</v>
          </cell>
          <cell r="C37">
            <v>518.52</v>
          </cell>
          <cell r="D37">
            <v>137.221</v>
          </cell>
          <cell r="E37">
            <v>937.49099999999999</v>
          </cell>
          <cell r="F37">
            <v>749.38900000000001</v>
          </cell>
          <cell r="G37">
            <v>7485.8379999999997</v>
          </cell>
          <cell r="H37">
            <v>12242.272999999999</v>
          </cell>
          <cell r="I37">
            <v>1163.819</v>
          </cell>
          <cell r="J37">
            <v>996.48299999999995</v>
          </cell>
          <cell r="K37">
            <v>3183.3960000000002</v>
          </cell>
          <cell r="L37">
            <v>4122.3959999999997</v>
          </cell>
        </row>
        <row r="38">
          <cell r="B38">
            <v>31940.675999999999</v>
          </cell>
          <cell r="C38">
            <v>517.447</v>
          </cell>
          <cell r="D38">
            <v>137.67400000000001</v>
          </cell>
          <cell r="E38">
            <v>939.37599999999998</v>
          </cell>
          <cell r="F38">
            <v>749.36900000000003</v>
          </cell>
          <cell r="G38">
            <v>7535.9290000000001</v>
          </cell>
          <cell r="H38">
            <v>12390.599</v>
          </cell>
          <cell r="I38">
            <v>1173.566</v>
          </cell>
          <cell r="J38">
            <v>997.447</v>
          </cell>
          <cell r="K38">
            <v>3239.471</v>
          </cell>
          <cell r="L38">
            <v>4155.17</v>
          </cell>
        </row>
        <row r="39">
          <cell r="B39">
            <v>32245.208999999999</v>
          </cell>
          <cell r="C39">
            <v>514.36300000000006</v>
          </cell>
          <cell r="D39">
            <v>138.05500000000001</v>
          </cell>
          <cell r="E39">
            <v>937.94100000000003</v>
          </cell>
          <cell r="F39">
            <v>747.96</v>
          </cell>
          <cell r="G39">
            <v>7581.9110000000001</v>
          </cell>
          <cell r="H39">
            <v>12528.48</v>
          </cell>
          <cell r="I39">
            <v>1178.3009999999999</v>
          </cell>
          <cell r="J39">
            <v>993.57899999999995</v>
          </cell>
          <cell r="K39">
            <v>3322.2</v>
          </cell>
          <cell r="L39">
            <v>4196.7879999999996</v>
          </cell>
        </row>
        <row r="40">
          <cell r="B40">
            <v>32576.074000000001</v>
          </cell>
          <cell r="C40">
            <v>510.31299999999999</v>
          </cell>
          <cell r="D40">
            <v>137.91999999999999</v>
          </cell>
          <cell r="E40">
            <v>938.01</v>
          </cell>
          <cell r="F40">
            <v>745.67399999999998</v>
          </cell>
          <cell r="G40">
            <v>7631.5519999999997</v>
          </cell>
          <cell r="H40">
            <v>12665.346</v>
          </cell>
          <cell r="I40">
            <v>1184.0309999999999</v>
          </cell>
          <cell r="J40">
            <v>992.12199999999996</v>
          </cell>
          <cell r="K40">
            <v>3421.2530000000002</v>
          </cell>
          <cell r="L40">
            <v>4243.58</v>
          </cell>
        </row>
        <row r="41">
          <cell r="B41">
            <v>32927.372000000003</v>
          </cell>
          <cell r="C41">
            <v>506.459</v>
          </cell>
          <cell r="D41">
            <v>138.11799999999999</v>
          </cell>
          <cell r="E41">
            <v>936.03899999999999</v>
          </cell>
          <cell r="F41">
            <v>745.37</v>
          </cell>
          <cell r="G41">
            <v>7686.0379999999996</v>
          </cell>
          <cell r="H41">
            <v>12793.572</v>
          </cell>
          <cell r="I41">
            <v>1193.5139999999999</v>
          </cell>
          <cell r="J41">
            <v>999.697</v>
          </cell>
          <cell r="K41">
            <v>3510.8919999999998</v>
          </cell>
          <cell r="L41">
            <v>4310.3050000000003</v>
          </cell>
        </row>
      </sheetData>
      <sheetData sheetId="2">
        <row r="5">
          <cell r="B5">
            <v>9132</v>
          </cell>
          <cell r="C5">
            <v>162</v>
          </cell>
          <cell r="D5">
            <v>41</v>
          </cell>
          <cell r="E5">
            <v>294</v>
          </cell>
          <cell r="F5">
            <v>234</v>
          </cell>
          <cell r="G5">
            <v>2386</v>
          </cell>
          <cell r="H5">
            <v>3262</v>
          </cell>
          <cell r="I5">
            <v>382</v>
          </cell>
          <cell r="J5">
            <v>360</v>
          </cell>
          <cell r="K5">
            <v>889</v>
          </cell>
          <cell r="L5">
            <v>1122</v>
          </cell>
        </row>
        <row r="6">
          <cell r="B6">
            <v>9298</v>
          </cell>
          <cell r="C6">
            <v>165</v>
          </cell>
          <cell r="D6">
            <v>42</v>
          </cell>
          <cell r="E6">
            <v>300</v>
          </cell>
          <cell r="F6">
            <v>239</v>
          </cell>
          <cell r="G6">
            <v>2422</v>
          </cell>
          <cell r="H6">
            <v>3338</v>
          </cell>
          <cell r="I6">
            <v>388</v>
          </cell>
          <cell r="J6">
            <v>365</v>
          </cell>
          <cell r="K6">
            <v>900</v>
          </cell>
          <cell r="L6">
            <v>1140</v>
          </cell>
        </row>
        <row r="7">
          <cell r="B7">
            <v>9480</v>
          </cell>
          <cell r="C7">
            <v>169</v>
          </cell>
          <cell r="D7">
            <v>42</v>
          </cell>
          <cell r="E7">
            <v>309</v>
          </cell>
          <cell r="F7">
            <v>246</v>
          </cell>
          <cell r="G7">
            <v>2466</v>
          </cell>
          <cell r="H7">
            <v>3395</v>
          </cell>
          <cell r="I7">
            <v>398</v>
          </cell>
          <cell r="J7">
            <v>372</v>
          </cell>
          <cell r="K7">
            <v>910</v>
          </cell>
          <cell r="L7">
            <v>1172</v>
          </cell>
        </row>
        <row r="8">
          <cell r="B8">
            <v>9656</v>
          </cell>
          <cell r="C8">
            <v>170</v>
          </cell>
          <cell r="D8">
            <v>43</v>
          </cell>
          <cell r="E8">
            <v>313</v>
          </cell>
          <cell r="F8">
            <v>248</v>
          </cell>
          <cell r="G8">
            <v>2517</v>
          </cell>
          <cell r="H8">
            <v>3483</v>
          </cell>
          <cell r="I8">
            <v>401</v>
          </cell>
          <cell r="J8">
            <v>378</v>
          </cell>
          <cell r="K8">
            <v>917</v>
          </cell>
          <cell r="L8">
            <v>1186</v>
          </cell>
        </row>
        <row r="9">
          <cell r="B9">
            <v>9837</v>
          </cell>
          <cell r="C9">
            <v>172</v>
          </cell>
          <cell r="D9">
            <v>43</v>
          </cell>
          <cell r="E9">
            <v>317</v>
          </cell>
          <cell r="F9">
            <v>252</v>
          </cell>
          <cell r="G9">
            <v>2563</v>
          </cell>
          <cell r="H9">
            <v>3558</v>
          </cell>
          <cell r="I9">
            <v>409</v>
          </cell>
          <cell r="J9">
            <v>383</v>
          </cell>
          <cell r="K9">
            <v>927</v>
          </cell>
          <cell r="L9">
            <v>1211</v>
          </cell>
        </row>
        <row r="10">
          <cell r="B10">
            <v>10005</v>
          </cell>
          <cell r="C10">
            <v>178</v>
          </cell>
          <cell r="D10">
            <v>44</v>
          </cell>
          <cell r="E10">
            <v>324</v>
          </cell>
          <cell r="F10">
            <v>256</v>
          </cell>
          <cell r="G10">
            <v>2607</v>
          </cell>
          <cell r="H10">
            <v>3636</v>
          </cell>
          <cell r="I10">
            <v>411</v>
          </cell>
          <cell r="J10">
            <v>385</v>
          </cell>
          <cell r="K10">
            <v>931</v>
          </cell>
          <cell r="L10">
            <v>1233</v>
          </cell>
        </row>
        <row r="11">
          <cell r="B11">
            <v>10205</v>
          </cell>
          <cell r="C11">
            <v>179</v>
          </cell>
          <cell r="D11">
            <v>45</v>
          </cell>
          <cell r="E11">
            <v>327</v>
          </cell>
          <cell r="F11">
            <v>260</v>
          </cell>
          <cell r="G11">
            <v>2660</v>
          </cell>
          <cell r="H11">
            <v>3726</v>
          </cell>
          <cell r="I11">
            <v>416</v>
          </cell>
          <cell r="J11">
            <v>388</v>
          </cell>
          <cell r="K11">
            <v>942</v>
          </cell>
          <cell r="L11">
            <v>1262</v>
          </cell>
        </row>
        <row r="12">
          <cell r="B12">
            <v>10454</v>
          </cell>
          <cell r="C12">
            <v>184</v>
          </cell>
          <cell r="D12">
            <v>46</v>
          </cell>
          <cell r="E12">
            <v>335</v>
          </cell>
          <cell r="F12">
            <v>266</v>
          </cell>
          <cell r="G12">
            <v>2725</v>
          </cell>
          <cell r="H12">
            <v>3842</v>
          </cell>
          <cell r="I12">
            <v>421</v>
          </cell>
          <cell r="J12">
            <v>388</v>
          </cell>
          <cell r="K12">
            <v>959</v>
          </cell>
          <cell r="L12">
            <v>1288</v>
          </cell>
        </row>
        <row r="13">
          <cell r="B13">
            <v>10659</v>
          </cell>
          <cell r="C13">
            <v>186</v>
          </cell>
          <cell r="D13">
            <v>46</v>
          </cell>
          <cell r="E13">
            <v>339</v>
          </cell>
          <cell r="F13">
            <v>270</v>
          </cell>
          <cell r="G13">
            <v>2779</v>
          </cell>
          <cell r="H13">
            <v>3919</v>
          </cell>
          <cell r="I13">
            <v>424</v>
          </cell>
          <cell r="J13">
            <v>385</v>
          </cell>
          <cell r="K13">
            <v>977</v>
          </cell>
          <cell r="L13">
            <v>1332</v>
          </cell>
        </row>
        <row r="14">
          <cell r="B14">
            <v>10897</v>
          </cell>
          <cell r="C14">
            <v>191</v>
          </cell>
          <cell r="D14">
            <v>47</v>
          </cell>
          <cell r="E14">
            <v>347</v>
          </cell>
          <cell r="F14">
            <v>277</v>
          </cell>
          <cell r="G14">
            <v>2833</v>
          </cell>
          <cell r="H14">
            <v>4022</v>
          </cell>
          <cell r="I14">
            <v>427</v>
          </cell>
          <cell r="J14">
            <v>384</v>
          </cell>
          <cell r="K14">
            <v>998</v>
          </cell>
          <cell r="L14">
            <v>1371</v>
          </cell>
        </row>
        <row r="15">
          <cell r="B15">
            <v>11062</v>
          </cell>
          <cell r="C15">
            <v>192</v>
          </cell>
          <cell r="D15">
            <v>48</v>
          </cell>
          <cell r="E15">
            <v>352</v>
          </cell>
          <cell r="F15">
            <v>281</v>
          </cell>
          <cell r="G15">
            <v>2867</v>
          </cell>
          <cell r="H15">
            <v>4084</v>
          </cell>
          <cell r="I15">
            <v>430</v>
          </cell>
          <cell r="J15">
            <v>385</v>
          </cell>
          <cell r="K15">
            <v>1017</v>
          </cell>
          <cell r="L15">
            <v>1405</v>
          </cell>
        </row>
        <row r="16">
          <cell r="B16">
            <v>11257</v>
          </cell>
          <cell r="C16">
            <v>197</v>
          </cell>
          <cell r="D16">
            <v>49</v>
          </cell>
          <cell r="E16">
            <v>353</v>
          </cell>
          <cell r="F16">
            <v>283</v>
          </cell>
          <cell r="G16">
            <v>2922</v>
          </cell>
          <cell r="H16">
            <v>4150</v>
          </cell>
          <cell r="I16">
            <v>430</v>
          </cell>
          <cell r="J16">
            <v>388</v>
          </cell>
          <cell r="K16">
            <v>1038</v>
          </cell>
          <cell r="L16">
            <v>1448</v>
          </cell>
        </row>
        <row r="17">
          <cell r="B17">
            <v>11387</v>
          </cell>
          <cell r="C17">
            <v>199</v>
          </cell>
          <cell r="D17">
            <v>50</v>
          </cell>
          <cell r="E17">
            <v>357</v>
          </cell>
          <cell r="F17">
            <v>284</v>
          </cell>
          <cell r="G17">
            <v>2940</v>
          </cell>
          <cell r="H17">
            <v>4195</v>
          </cell>
          <cell r="I17">
            <v>432</v>
          </cell>
          <cell r="J17">
            <v>390</v>
          </cell>
          <cell r="K17">
            <v>1043</v>
          </cell>
          <cell r="L17">
            <v>1496</v>
          </cell>
        </row>
        <row r="18">
          <cell r="B18">
            <v>11521</v>
          </cell>
          <cell r="C18">
            <v>198</v>
          </cell>
          <cell r="D18">
            <v>50</v>
          </cell>
          <cell r="E18">
            <v>362</v>
          </cell>
          <cell r="F18">
            <v>288</v>
          </cell>
          <cell r="G18">
            <v>2971</v>
          </cell>
          <cell r="H18">
            <v>4230</v>
          </cell>
          <cell r="I18">
            <v>434</v>
          </cell>
          <cell r="J18">
            <v>393</v>
          </cell>
          <cell r="K18">
            <v>1053</v>
          </cell>
          <cell r="L18">
            <v>1541</v>
          </cell>
        </row>
        <row r="19">
          <cell r="B19">
            <v>11710</v>
          </cell>
          <cell r="C19">
            <v>199</v>
          </cell>
          <cell r="D19">
            <v>51</v>
          </cell>
          <cell r="E19">
            <v>366</v>
          </cell>
          <cell r="F19">
            <v>292</v>
          </cell>
          <cell r="G19">
            <v>2999</v>
          </cell>
          <cell r="H19">
            <v>4300</v>
          </cell>
          <cell r="I19">
            <v>437</v>
          </cell>
          <cell r="J19">
            <v>394</v>
          </cell>
          <cell r="K19">
            <v>1079</v>
          </cell>
          <cell r="L19">
            <v>1594</v>
          </cell>
        </row>
        <row r="20">
          <cell r="B20">
            <v>11858</v>
          </cell>
          <cell r="C20">
            <v>198</v>
          </cell>
          <cell r="D20">
            <v>52</v>
          </cell>
          <cell r="E20">
            <v>367</v>
          </cell>
          <cell r="F20">
            <v>294</v>
          </cell>
          <cell r="G20">
            <v>3030</v>
          </cell>
          <cell r="H20">
            <v>4362</v>
          </cell>
          <cell r="I20">
            <v>439</v>
          </cell>
          <cell r="J20">
            <v>396</v>
          </cell>
          <cell r="K20">
            <v>1094</v>
          </cell>
          <cell r="L20">
            <v>1626</v>
          </cell>
        </row>
        <row r="21">
          <cell r="B21">
            <v>12001</v>
          </cell>
          <cell r="C21">
            <v>198</v>
          </cell>
          <cell r="D21">
            <v>52</v>
          </cell>
          <cell r="E21">
            <v>370</v>
          </cell>
          <cell r="F21">
            <v>296</v>
          </cell>
          <cell r="G21">
            <v>3055</v>
          </cell>
          <cell r="H21">
            <v>4413</v>
          </cell>
          <cell r="I21">
            <v>439</v>
          </cell>
          <cell r="J21">
            <v>398</v>
          </cell>
          <cell r="K21">
            <v>1133</v>
          </cell>
          <cell r="L21">
            <v>1647</v>
          </cell>
        </row>
        <row r="22">
          <cell r="B22">
            <v>12134</v>
          </cell>
          <cell r="C22">
            <v>198</v>
          </cell>
          <cell r="D22">
            <v>53</v>
          </cell>
          <cell r="E22">
            <v>373</v>
          </cell>
          <cell r="F22">
            <v>299</v>
          </cell>
          <cell r="G22">
            <v>3084</v>
          </cell>
          <cell r="H22">
            <v>4461</v>
          </cell>
          <cell r="I22">
            <v>442</v>
          </cell>
          <cell r="J22">
            <v>399</v>
          </cell>
          <cell r="K22">
            <v>1162</v>
          </cell>
          <cell r="L22">
            <v>1662</v>
          </cell>
        </row>
        <row r="23">
          <cell r="B23">
            <v>12288</v>
          </cell>
          <cell r="C23">
            <v>199</v>
          </cell>
          <cell r="D23">
            <v>53</v>
          </cell>
          <cell r="E23">
            <v>378</v>
          </cell>
          <cell r="F23">
            <v>301</v>
          </cell>
          <cell r="G23">
            <v>3124</v>
          </cell>
          <cell r="H23">
            <v>4515</v>
          </cell>
          <cell r="I23">
            <v>446</v>
          </cell>
          <cell r="J23">
            <v>398</v>
          </cell>
          <cell r="K23">
            <v>1192</v>
          </cell>
          <cell r="L23">
            <v>1681</v>
          </cell>
        </row>
        <row r="24">
          <cell r="B24">
            <v>12465</v>
          </cell>
          <cell r="C24">
            <v>200</v>
          </cell>
          <cell r="D24">
            <v>54</v>
          </cell>
          <cell r="E24">
            <v>383</v>
          </cell>
          <cell r="F24">
            <v>302</v>
          </cell>
          <cell r="G24">
            <v>3164</v>
          </cell>
          <cell r="H24">
            <v>4602</v>
          </cell>
          <cell r="I24">
            <v>450</v>
          </cell>
          <cell r="J24">
            <v>398</v>
          </cell>
          <cell r="K24">
            <v>1218</v>
          </cell>
          <cell r="L24">
            <v>1695</v>
          </cell>
        </row>
        <row r="25">
          <cell r="B25">
            <v>12651</v>
          </cell>
          <cell r="C25">
            <v>201</v>
          </cell>
          <cell r="D25">
            <v>54</v>
          </cell>
          <cell r="E25">
            <v>386</v>
          </cell>
          <cell r="F25">
            <v>304</v>
          </cell>
          <cell r="G25">
            <v>3203</v>
          </cell>
          <cell r="H25">
            <v>4689</v>
          </cell>
          <cell r="I25">
            <v>452</v>
          </cell>
          <cell r="J25">
            <v>397</v>
          </cell>
          <cell r="K25">
            <v>1248</v>
          </cell>
          <cell r="L25">
            <v>1716</v>
          </cell>
        </row>
        <row r="26">
          <cell r="B26">
            <v>12859</v>
          </cell>
          <cell r="C26">
            <v>204</v>
          </cell>
          <cell r="D26">
            <v>55</v>
          </cell>
          <cell r="E26">
            <v>390</v>
          </cell>
          <cell r="F26">
            <v>308</v>
          </cell>
          <cell r="G26">
            <v>3254</v>
          </cell>
          <cell r="H26">
            <v>4772</v>
          </cell>
          <cell r="I26">
            <v>456</v>
          </cell>
          <cell r="J26">
            <v>396</v>
          </cell>
          <cell r="K26">
            <v>1279</v>
          </cell>
          <cell r="L26">
            <v>1745</v>
          </cell>
        </row>
        <row r="27">
          <cell r="B27">
            <v>13033</v>
          </cell>
          <cell r="C27">
            <v>207</v>
          </cell>
          <cell r="D27">
            <v>55</v>
          </cell>
          <cell r="E27">
            <v>394</v>
          </cell>
          <cell r="F27">
            <v>309</v>
          </cell>
          <cell r="G27">
            <v>3293</v>
          </cell>
          <cell r="H27">
            <v>4845</v>
          </cell>
          <cell r="I27">
            <v>462</v>
          </cell>
          <cell r="J27">
            <v>398</v>
          </cell>
          <cell r="K27">
            <v>1305</v>
          </cell>
          <cell r="L27">
            <v>1765</v>
          </cell>
        </row>
        <row r="28">
          <cell r="B28">
            <v>13228</v>
          </cell>
          <cell r="C28">
            <v>208</v>
          </cell>
          <cell r="D28">
            <v>56</v>
          </cell>
          <cell r="E28">
            <v>397</v>
          </cell>
          <cell r="F28">
            <v>310</v>
          </cell>
          <cell r="G28">
            <v>3341</v>
          </cell>
          <cell r="H28">
            <v>4927</v>
          </cell>
          <cell r="I28">
            <v>466</v>
          </cell>
          <cell r="J28">
            <v>401</v>
          </cell>
          <cell r="K28">
            <v>1330</v>
          </cell>
          <cell r="L28">
            <v>1792</v>
          </cell>
        </row>
        <row r="29">
          <cell r="B29">
            <v>13459</v>
          </cell>
          <cell r="C29">
            <v>210</v>
          </cell>
          <cell r="D29">
            <v>57</v>
          </cell>
          <cell r="E29">
            <v>401</v>
          </cell>
          <cell r="F29">
            <v>315</v>
          </cell>
          <cell r="G29">
            <v>3397</v>
          </cell>
          <cell r="H29">
            <v>5020</v>
          </cell>
          <cell r="I29">
            <v>468</v>
          </cell>
          <cell r="J29">
            <v>401</v>
          </cell>
          <cell r="K29">
            <v>1372</v>
          </cell>
          <cell r="L29">
            <v>1818</v>
          </cell>
        </row>
        <row r="30">
          <cell r="B30">
            <v>13652</v>
          </cell>
          <cell r="C30">
            <v>210</v>
          </cell>
          <cell r="D30">
            <v>57</v>
          </cell>
          <cell r="E30">
            <v>405</v>
          </cell>
          <cell r="F30">
            <v>316</v>
          </cell>
          <cell r="G30">
            <v>3440</v>
          </cell>
          <cell r="H30">
            <v>5072</v>
          </cell>
          <cell r="I30">
            <v>470</v>
          </cell>
          <cell r="J30">
            <v>400</v>
          </cell>
          <cell r="K30">
            <v>1433</v>
          </cell>
          <cell r="L30">
            <v>1848</v>
          </cell>
        </row>
        <row r="31">
          <cell r="B31">
            <v>13837</v>
          </cell>
          <cell r="C31">
            <v>212</v>
          </cell>
          <cell r="D31">
            <v>58</v>
          </cell>
          <cell r="E31">
            <v>408</v>
          </cell>
          <cell r="F31">
            <v>319</v>
          </cell>
          <cell r="G31">
            <v>3483</v>
          </cell>
          <cell r="H31">
            <v>5127</v>
          </cell>
          <cell r="I31">
            <v>477</v>
          </cell>
          <cell r="J31">
            <v>408</v>
          </cell>
          <cell r="K31">
            <v>1470</v>
          </cell>
          <cell r="L31">
            <v>1874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List of Tables"/>
      <sheetName val="1"/>
      <sheetName val="2a"/>
      <sheetName val="2b"/>
      <sheetName val="2c"/>
      <sheetName val="2d"/>
      <sheetName val="2e"/>
      <sheetName val="3a"/>
      <sheetName val="3b"/>
      <sheetName val="4"/>
      <sheetName val="5"/>
      <sheetName val="6a"/>
      <sheetName val="6b"/>
      <sheetName val="6c"/>
      <sheetName val="6d"/>
      <sheetName val="6e"/>
      <sheetName val="7a"/>
      <sheetName val="7b"/>
      <sheetName val="7c"/>
      <sheetName val="7d"/>
      <sheetName val="8a"/>
      <sheetName val="8b"/>
      <sheetName val="8c"/>
      <sheetName val="8d"/>
      <sheetName val="9a"/>
      <sheetName val="9b"/>
      <sheetName val="9c"/>
      <sheetName val="9d"/>
      <sheetName val="10a"/>
      <sheetName val="10b"/>
      <sheetName val="10c"/>
      <sheetName val="10d"/>
      <sheetName val="10e"/>
      <sheetName val="10f"/>
      <sheetName val="10g"/>
      <sheetName val="11a"/>
      <sheetName val="11b"/>
      <sheetName val="11c"/>
      <sheetName val="11d"/>
      <sheetName val="11e"/>
      <sheetName val="11f"/>
      <sheetName val="11g"/>
      <sheetName val="11h"/>
      <sheetName val="11i"/>
      <sheetName val="11j"/>
      <sheetName val="12a"/>
      <sheetName val="12b"/>
      <sheetName val="12c"/>
      <sheetName val="12d"/>
      <sheetName val="12e"/>
      <sheetName val="12f"/>
      <sheetName val="12g"/>
      <sheetName val="12h"/>
      <sheetName val="12i"/>
      <sheetName val="13a"/>
      <sheetName val="13b"/>
      <sheetName val="13c"/>
      <sheetName val="13d"/>
      <sheetName val="13e"/>
      <sheetName val="13f"/>
      <sheetName val="14a"/>
      <sheetName val="14b"/>
      <sheetName val="14c"/>
      <sheetName val="14d"/>
      <sheetName val="14e"/>
      <sheetName val="14f"/>
      <sheetName val="15a"/>
      <sheetName val="15b"/>
      <sheetName val="15c"/>
      <sheetName val="15d"/>
      <sheetName val="15e"/>
      <sheetName val="15f"/>
      <sheetName val="16a"/>
      <sheetName val="16b"/>
      <sheetName val="16c"/>
      <sheetName val="16d"/>
      <sheetName val="16e"/>
      <sheetName val="16f"/>
      <sheetName val="16g"/>
      <sheetName val="16h"/>
      <sheetName val="16i"/>
      <sheetName val="16j"/>
      <sheetName val="16k"/>
      <sheetName val="16l"/>
      <sheetName val="17a"/>
      <sheetName val="17b"/>
      <sheetName val="17c"/>
      <sheetName val="18a"/>
      <sheetName val="18b"/>
      <sheetName val="19a"/>
      <sheetName val="19b"/>
      <sheetName val="19c"/>
      <sheetName val="19d"/>
      <sheetName val="19e"/>
      <sheetName val="19f"/>
      <sheetName val="19g"/>
      <sheetName val="19H"/>
      <sheetName val="19I"/>
      <sheetName val="20a"/>
      <sheetName val="20b"/>
      <sheetName val="21"/>
      <sheetName val="22a"/>
      <sheetName val="22b"/>
      <sheetName val="22c"/>
      <sheetName val="22d"/>
      <sheetName val="23"/>
      <sheetName val="24a"/>
      <sheetName val="24b"/>
      <sheetName val="24c"/>
      <sheetName val="24d"/>
      <sheetName val="24e"/>
      <sheetName val="24f"/>
      <sheetName val="25a"/>
      <sheetName val="25b"/>
      <sheetName val="26a"/>
      <sheetName val="26b"/>
      <sheetName val="26c"/>
      <sheetName val="26d"/>
      <sheetName val="26e"/>
      <sheetName val="27"/>
      <sheetName val="28a"/>
      <sheetName val="28b"/>
      <sheetName val="28c"/>
      <sheetName val="29a"/>
      <sheetName val="29b"/>
      <sheetName val="30"/>
      <sheetName val="31"/>
      <sheetName val="32"/>
      <sheetName val="33"/>
      <sheetName val="Sheet1"/>
      <sheetName val="34a"/>
      <sheetName val="34b"/>
      <sheetName val="35a"/>
      <sheetName val="35b"/>
      <sheetName val="35c"/>
      <sheetName val="35d"/>
      <sheetName val="36"/>
      <sheetName val="36a"/>
      <sheetName val="36b"/>
      <sheetName val="37"/>
      <sheetName val="37a"/>
      <sheetName val="37b"/>
      <sheetName val="37c"/>
      <sheetName val="37d"/>
      <sheetName val="37e"/>
      <sheetName val="37f"/>
      <sheetName val="37g"/>
      <sheetName val="37h"/>
      <sheetName val="37i"/>
      <sheetName val="37j"/>
      <sheetName val="38"/>
      <sheetName val="39"/>
      <sheetName val="40"/>
      <sheetName val="41"/>
      <sheetName val="42"/>
      <sheetName val="43"/>
      <sheetName val="44a"/>
      <sheetName val="44b"/>
      <sheetName val="44c"/>
      <sheetName val="45a"/>
      <sheetName val="45b"/>
      <sheetName val="45c"/>
      <sheetName val="46"/>
      <sheetName val="47"/>
      <sheetName val="47a"/>
      <sheetName val="47b"/>
      <sheetName val="47c"/>
      <sheetName val="47d"/>
      <sheetName val="48"/>
      <sheetName val="49"/>
      <sheetName val="50"/>
      <sheetName val="51a-j"/>
      <sheetName val="52"/>
      <sheetName val="53"/>
      <sheetName val="54"/>
      <sheetName val="55"/>
      <sheetName val="56"/>
      <sheetName val="57"/>
      <sheetName val="58"/>
      <sheetName val="58a"/>
      <sheetName val="58b"/>
      <sheetName val="58c"/>
      <sheetName val="58d"/>
      <sheetName val="58e"/>
      <sheetName val="58f"/>
      <sheetName val="58g"/>
      <sheetName val="58h"/>
      <sheetName val="58i"/>
      <sheetName val="58j"/>
      <sheetName val="59a"/>
      <sheetName val="59b"/>
      <sheetName val="60"/>
      <sheetName val="61"/>
      <sheetName val="62"/>
      <sheetName val="63"/>
      <sheetName val="64"/>
      <sheetName val="65"/>
      <sheetName val="66"/>
      <sheetName val="67"/>
      <sheetName val="68A"/>
      <sheetName val="68B"/>
      <sheetName val="68C"/>
      <sheetName val="69"/>
      <sheetName val="DataC1-C4"/>
      <sheetName val="70"/>
      <sheetName val="71a"/>
      <sheetName val="71b"/>
      <sheetName val="71c"/>
      <sheetName val="DataC9-C13"/>
      <sheetName val="DataC14-C21"/>
      <sheetName val="DataC21.1-C24"/>
      <sheetName val="DataC25-C29"/>
      <sheetName val="DataC30-C34"/>
      <sheetName val="DataC35-C39"/>
      <sheetName val="DataC39-C42"/>
      <sheetName val="Data 43-"/>
      <sheetName val="72a"/>
      <sheetName val="72b"/>
      <sheetName val="73a"/>
      <sheetName val="73b"/>
      <sheetName val="DataC5-C8"/>
      <sheetName val="C1"/>
      <sheetName val="C1.1"/>
      <sheetName val="C1.2"/>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21.1"/>
      <sheetName val="C21.2"/>
      <sheetName val="C22"/>
      <sheetName val="C23"/>
      <sheetName val="C24"/>
      <sheetName val="C25"/>
      <sheetName val="C26"/>
      <sheetName val="C27"/>
      <sheetName val="C28"/>
      <sheetName val="C29"/>
      <sheetName val="C30"/>
      <sheetName val="C31"/>
      <sheetName val="C31.1"/>
      <sheetName val="C31.2"/>
      <sheetName val="C32"/>
      <sheetName val="C33"/>
      <sheetName val="C34"/>
      <sheetName val="C35"/>
      <sheetName val="C35b"/>
      <sheetName val="C36"/>
      <sheetName val="C37"/>
      <sheetName val="C37.1"/>
      <sheetName val="C37.2"/>
      <sheetName val="C37.3"/>
      <sheetName val="C38"/>
      <sheetName val="C39"/>
      <sheetName val="C40"/>
      <sheetName val="C41"/>
      <sheetName val="C42"/>
      <sheetName val="C43"/>
      <sheetName val="C44"/>
      <sheetName val="C45"/>
      <sheetName val="C46"/>
      <sheetName val="C47"/>
      <sheetName val="C48"/>
      <sheetName val="C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row r="5">
          <cell r="B5">
            <v>15.59</v>
          </cell>
          <cell r="C5">
            <v>8.92</v>
          </cell>
          <cell r="D5">
            <v>16.899999999999999</v>
          </cell>
          <cell r="E5">
            <v>17.05</v>
          </cell>
          <cell r="F5">
            <v>14</v>
          </cell>
          <cell r="G5">
            <v>7.8</v>
          </cell>
          <cell r="H5">
            <v>15.5</v>
          </cell>
          <cell r="I5">
            <v>15</v>
          </cell>
          <cell r="J5">
            <v>90.4</v>
          </cell>
        </row>
        <row r="6">
          <cell r="B6">
            <v>15.78</v>
          </cell>
          <cell r="C6">
            <v>9.1</v>
          </cell>
          <cell r="D6">
            <v>17.100000000000001</v>
          </cell>
          <cell r="E6">
            <v>17.22</v>
          </cell>
          <cell r="F6">
            <v>14.29</v>
          </cell>
          <cell r="G6">
            <v>8</v>
          </cell>
          <cell r="H6">
            <v>15.87</v>
          </cell>
          <cell r="I6">
            <v>15.16</v>
          </cell>
          <cell r="J6">
            <v>91.3</v>
          </cell>
        </row>
        <row r="7">
          <cell r="B7">
            <v>16.170000000000002</v>
          </cell>
          <cell r="C7">
            <v>9.32</v>
          </cell>
          <cell r="D7">
            <v>17.579999999999998</v>
          </cell>
          <cell r="E7">
            <v>17.7</v>
          </cell>
          <cell r="F7">
            <v>14.5</v>
          </cell>
          <cell r="G7">
            <v>8</v>
          </cell>
          <cell r="H7">
            <v>16.100000000000001</v>
          </cell>
          <cell r="I7">
            <v>15.67</v>
          </cell>
          <cell r="J7">
            <v>92.9</v>
          </cell>
        </row>
        <row r="8">
          <cell r="B8">
            <v>16.66</v>
          </cell>
          <cell r="C8">
            <v>9.6300000000000008</v>
          </cell>
          <cell r="D8">
            <v>18.16</v>
          </cell>
          <cell r="E8">
            <v>18.190000000000001</v>
          </cell>
          <cell r="F8">
            <v>15</v>
          </cell>
          <cell r="G8">
            <v>8</v>
          </cell>
          <cell r="H8">
            <v>16.829999999999998</v>
          </cell>
          <cell r="I8">
            <v>16</v>
          </cell>
          <cell r="J8">
            <v>95.4</v>
          </cell>
        </row>
        <row r="9">
          <cell r="B9">
            <v>17.22</v>
          </cell>
          <cell r="C9">
            <v>9.94</v>
          </cell>
          <cell r="D9">
            <v>18.77</v>
          </cell>
          <cell r="E9">
            <v>18.809999999999999</v>
          </cell>
          <cell r="F9">
            <v>15.38</v>
          </cell>
          <cell r="G9">
            <v>8.5</v>
          </cell>
          <cell r="H9">
            <v>17.03</v>
          </cell>
          <cell r="I9">
            <v>16.829999999999998</v>
          </cell>
          <cell r="J9">
            <v>97.8</v>
          </cell>
        </row>
        <row r="10">
          <cell r="B10">
            <v>17.66</v>
          </cell>
          <cell r="C10">
            <v>10.1</v>
          </cell>
          <cell r="D10">
            <v>19.28</v>
          </cell>
          <cell r="E10">
            <v>19.27</v>
          </cell>
          <cell r="F10">
            <v>15.66</v>
          </cell>
          <cell r="G10">
            <v>8.8699999999999992</v>
          </cell>
          <cell r="H10">
            <v>17.579999999999998</v>
          </cell>
          <cell r="I10">
            <v>17</v>
          </cell>
          <cell r="J10">
            <v>100</v>
          </cell>
        </row>
        <row r="11">
          <cell r="B11">
            <v>18.04</v>
          </cell>
          <cell r="C11">
            <v>10.36</v>
          </cell>
          <cell r="D11">
            <v>19.670000000000002</v>
          </cell>
          <cell r="E11">
            <v>19.84</v>
          </cell>
          <cell r="F11">
            <v>16</v>
          </cell>
          <cell r="G11">
            <v>9</v>
          </cell>
          <cell r="H11">
            <v>18</v>
          </cell>
          <cell r="I11">
            <v>17.309999999999999</v>
          </cell>
          <cell r="J11">
            <v>102.8</v>
          </cell>
        </row>
        <row r="12">
          <cell r="B12">
            <v>18.5</v>
          </cell>
          <cell r="C12">
            <v>10.49</v>
          </cell>
          <cell r="D12">
            <v>20.18</v>
          </cell>
          <cell r="E12">
            <v>20.3</v>
          </cell>
          <cell r="F12">
            <v>16.350000000000001</v>
          </cell>
          <cell r="G12">
            <v>9</v>
          </cell>
          <cell r="H12">
            <v>18.27</v>
          </cell>
          <cell r="I12">
            <v>17.829999999999998</v>
          </cell>
          <cell r="J12">
            <v>104.7</v>
          </cell>
        </row>
        <row r="13">
          <cell r="B13">
            <v>19.09</v>
          </cell>
          <cell r="C13">
            <v>10.87</v>
          </cell>
          <cell r="D13">
            <v>20.8</v>
          </cell>
          <cell r="E13">
            <v>20.95</v>
          </cell>
          <cell r="F13">
            <v>17</v>
          </cell>
          <cell r="G13">
            <v>9.5</v>
          </cell>
          <cell r="H13">
            <v>19</v>
          </cell>
          <cell r="I13">
            <v>18.25</v>
          </cell>
          <cell r="J13">
            <v>107</v>
          </cell>
        </row>
        <row r="14">
          <cell r="B14">
            <v>19.72</v>
          </cell>
          <cell r="C14">
            <v>11.36</v>
          </cell>
          <cell r="D14">
            <v>21.49</v>
          </cell>
          <cell r="E14">
            <v>21.5</v>
          </cell>
          <cell r="F14">
            <v>17.309999999999999</v>
          </cell>
          <cell r="G14">
            <v>10</v>
          </cell>
          <cell r="H14">
            <v>19.23</v>
          </cell>
          <cell r="I14">
            <v>18.5</v>
          </cell>
          <cell r="J14">
            <v>109.1</v>
          </cell>
        </row>
        <row r="15">
          <cell r="B15">
            <v>20.41</v>
          </cell>
          <cell r="C15">
            <v>11.81</v>
          </cell>
          <cell r="D15">
            <v>22.28</v>
          </cell>
          <cell r="E15">
            <v>22.03</v>
          </cell>
          <cell r="F15">
            <v>18</v>
          </cell>
          <cell r="G15">
            <v>10</v>
          </cell>
          <cell r="H15">
            <v>20</v>
          </cell>
          <cell r="I15">
            <v>19.23</v>
          </cell>
          <cell r="J15">
            <v>111.5</v>
          </cell>
        </row>
        <row r="16">
          <cell r="B16">
            <v>21.32</v>
          </cell>
          <cell r="C16">
            <v>12.39</v>
          </cell>
          <cell r="D16">
            <v>23.22</v>
          </cell>
          <cell r="E16">
            <v>23.09</v>
          </cell>
          <cell r="F16">
            <v>18.760000000000002</v>
          </cell>
          <cell r="G16">
            <v>10.25</v>
          </cell>
          <cell r="H16">
            <v>20.82</v>
          </cell>
          <cell r="I16">
            <v>20</v>
          </cell>
          <cell r="J16">
            <v>114.1</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 of Tables"/>
      <sheetName val="1"/>
      <sheetName val="2a"/>
      <sheetName val="2b"/>
      <sheetName val="2c"/>
      <sheetName val="2d"/>
      <sheetName val="2e"/>
      <sheetName val="3a"/>
      <sheetName val="3b"/>
      <sheetName val="4"/>
      <sheetName val="5"/>
      <sheetName val="6a"/>
      <sheetName val="6b"/>
      <sheetName val="6c"/>
      <sheetName val="6d"/>
      <sheetName val="6e"/>
      <sheetName val="7a"/>
      <sheetName val="7b"/>
      <sheetName val="7c"/>
      <sheetName val="7d"/>
      <sheetName val="8a"/>
      <sheetName val="8b"/>
      <sheetName val="8c"/>
      <sheetName val="8d"/>
      <sheetName val="9a"/>
      <sheetName val="9b"/>
      <sheetName val="9c"/>
      <sheetName val="9d"/>
      <sheetName val="10a"/>
      <sheetName val="10b"/>
      <sheetName val="10c"/>
      <sheetName val="10d"/>
      <sheetName val="10e"/>
      <sheetName val="10f"/>
      <sheetName val="10g"/>
      <sheetName val="11a"/>
      <sheetName val="11b"/>
      <sheetName val="11c"/>
      <sheetName val="11d"/>
      <sheetName val="11e"/>
      <sheetName val="11f"/>
      <sheetName val="11g"/>
      <sheetName val="11h"/>
      <sheetName val="11i"/>
      <sheetName val="11j"/>
      <sheetName val="12a"/>
      <sheetName val="12b"/>
      <sheetName val="12c"/>
      <sheetName val="12d"/>
      <sheetName val="12e"/>
      <sheetName val="12f"/>
      <sheetName val="12g"/>
      <sheetName val="12h"/>
      <sheetName val="12i"/>
      <sheetName val="13a"/>
      <sheetName val="13b"/>
      <sheetName val="13c"/>
      <sheetName val="13d"/>
      <sheetName val="13e"/>
      <sheetName val="13f"/>
      <sheetName val="14a"/>
      <sheetName val="14b"/>
      <sheetName val="14c"/>
      <sheetName val="14d"/>
      <sheetName val="14e"/>
      <sheetName val="14f"/>
      <sheetName val="15a"/>
      <sheetName val="15b"/>
      <sheetName val="15c"/>
      <sheetName val="15d"/>
      <sheetName val="15e"/>
      <sheetName val="15f"/>
      <sheetName val="16a"/>
      <sheetName val="16b"/>
      <sheetName val="16c"/>
      <sheetName val="16d"/>
      <sheetName val="16e"/>
      <sheetName val="16f"/>
      <sheetName val="16g"/>
      <sheetName val="16h"/>
      <sheetName val="16i"/>
      <sheetName val="16j"/>
      <sheetName val="16k"/>
      <sheetName val="16l"/>
      <sheetName val="17a"/>
      <sheetName val="17b"/>
      <sheetName val="17c"/>
      <sheetName val="18a"/>
      <sheetName val="18b"/>
      <sheetName val="19a"/>
      <sheetName val="19b"/>
      <sheetName val="19c"/>
      <sheetName val="19d"/>
      <sheetName val="19e"/>
      <sheetName val="19f"/>
      <sheetName val="19g"/>
      <sheetName val="19H"/>
      <sheetName val="19I"/>
      <sheetName val="20a"/>
      <sheetName val="20b"/>
      <sheetName val="21"/>
      <sheetName val="22a"/>
      <sheetName val="22b"/>
      <sheetName val="22c"/>
      <sheetName val="22d"/>
      <sheetName val="23"/>
      <sheetName val="24a"/>
      <sheetName val="24b"/>
      <sheetName val="24c"/>
      <sheetName val="24d"/>
      <sheetName val="24e"/>
      <sheetName val="24f"/>
      <sheetName val="25a"/>
      <sheetName val="25b"/>
      <sheetName val="26a"/>
      <sheetName val="26b"/>
      <sheetName val="26c"/>
      <sheetName val="26d"/>
      <sheetName val="26e"/>
      <sheetName val="27"/>
      <sheetName val="28a"/>
      <sheetName val="28b"/>
      <sheetName val="28c"/>
      <sheetName val="29a"/>
      <sheetName val="29b"/>
      <sheetName val="30"/>
      <sheetName val="31"/>
      <sheetName val="32"/>
      <sheetName val="33"/>
      <sheetName val="Sheet1"/>
      <sheetName val="34a"/>
      <sheetName val="34b"/>
      <sheetName val="35a"/>
      <sheetName val="35b"/>
      <sheetName val="35c"/>
      <sheetName val="35d"/>
      <sheetName val="36"/>
      <sheetName val="36a"/>
      <sheetName val="36b"/>
      <sheetName val="37"/>
      <sheetName val="37a"/>
      <sheetName val="37b"/>
      <sheetName val="37c"/>
      <sheetName val="37d"/>
      <sheetName val="37e"/>
      <sheetName val="37f"/>
      <sheetName val="37g"/>
      <sheetName val="37h"/>
      <sheetName val="37i"/>
      <sheetName val="37j"/>
      <sheetName val="38"/>
      <sheetName val="39"/>
      <sheetName val="40"/>
      <sheetName val="41"/>
      <sheetName val="42"/>
      <sheetName val="43"/>
      <sheetName val="44a"/>
      <sheetName val="44b"/>
      <sheetName val="44c"/>
      <sheetName val="45a"/>
      <sheetName val="45b"/>
      <sheetName val="45c"/>
      <sheetName val="46"/>
      <sheetName val="47"/>
      <sheetName val="47a"/>
      <sheetName val="47b"/>
      <sheetName val="47c"/>
      <sheetName val="47d"/>
      <sheetName val="48"/>
      <sheetName val="49"/>
      <sheetName val="50"/>
      <sheetName val="51a-j"/>
      <sheetName val="52"/>
      <sheetName val="53"/>
      <sheetName val="54"/>
      <sheetName val="55"/>
      <sheetName val="56"/>
      <sheetName val="57"/>
      <sheetName val="58"/>
      <sheetName val="58a"/>
      <sheetName val="58b"/>
      <sheetName val="58c"/>
      <sheetName val="58d"/>
      <sheetName val="58e"/>
      <sheetName val="58f"/>
      <sheetName val="58g"/>
      <sheetName val="58h"/>
      <sheetName val="58i"/>
      <sheetName val="58j"/>
      <sheetName val="59a"/>
      <sheetName val="59b"/>
      <sheetName val="60"/>
      <sheetName val="61"/>
      <sheetName val="62"/>
      <sheetName val="63"/>
      <sheetName val="64"/>
      <sheetName val="65"/>
      <sheetName val="66"/>
      <sheetName val="67"/>
      <sheetName val="68A"/>
      <sheetName val="68B"/>
      <sheetName val="68C"/>
      <sheetName val="69"/>
      <sheetName val="DataC1-C4"/>
      <sheetName val="70"/>
      <sheetName val="71a"/>
      <sheetName val="71b"/>
      <sheetName val="71c"/>
      <sheetName val="DataC9-C13"/>
      <sheetName val="DataC14-C21"/>
      <sheetName val="DataC21.1-C24"/>
      <sheetName val="DataC25-C29"/>
      <sheetName val="DataC30-C34"/>
      <sheetName val="DataC35-C39"/>
      <sheetName val="DataC39-C42"/>
      <sheetName val="Data 43-"/>
      <sheetName val="72a"/>
      <sheetName val="72b"/>
      <sheetName val="73a"/>
      <sheetName val="73b"/>
      <sheetName val="DataC5-C8"/>
      <sheetName val="C1"/>
      <sheetName val="C1.1"/>
      <sheetName val="C1.2"/>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21.1"/>
      <sheetName val="C21.2"/>
      <sheetName val="C22"/>
      <sheetName val="C23"/>
      <sheetName val="C24"/>
      <sheetName val="C25"/>
      <sheetName val="C26"/>
      <sheetName val="C27"/>
      <sheetName val="C28"/>
      <sheetName val="C29"/>
      <sheetName val="C30"/>
      <sheetName val="C31"/>
      <sheetName val="C31.1"/>
      <sheetName val="C31.2"/>
      <sheetName val="C32"/>
      <sheetName val="C33"/>
      <sheetName val="C34"/>
      <sheetName val="C35"/>
      <sheetName val="C35b"/>
      <sheetName val="C36"/>
      <sheetName val="C37"/>
      <sheetName val="C37.1"/>
      <sheetName val="C37.2"/>
      <sheetName val="C37.3"/>
      <sheetName val="C38"/>
      <sheetName val="C39"/>
      <sheetName val="C40"/>
      <sheetName val="C41"/>
      <sheetName val="C42"/>
      <sheetName val="C43"/>
      <sheetName val="C44"/>
      <sheetName val="C45"/>
      <sheetName val="C46"/>
      <sheetName val="C47"/>
      <sheetName val="C48"/>
      <sheetName val="C49"/>
    </sheetNames>
    <sheetDataSet>
      <sheetData sheetId="0" refreshError="1"/>
      <sheetData sheetId="1">
        <row r="10">
          <cell r="B10">
            <v>23449.808000000001</v>
          </cell>
          <cell r="C10">
            <v>562.63900000000001</v>
          </cell>
          <cell r="D10">
            <v>118.648</v>
          </cell>
          <cell r="E10">
            <v>835.16600000000005</v>
          </cell>
          <cell r="F10">
            <v>689.49400000000003</v>
          </cell>
          <cell r="G10">
            <v>6396.7610000000004</v>
          </cell>
          <cell r="H10">
            <v>8413.7790000000005</v>
          </cell>
          <cell r="I10">
            <v>1031.758</v>
          </cell>
          <cell r="J10">
            <v>931.61199999999997</v>
          </cell>
          <cell r="K10">
            <v>1869.287</v>
          </cell>
          <cell r="L10">
            <v>2533.8989999999999</v>
          </cell>
        </row>
        <row r="11">
          <cell r="B11">
            <v>23725.843000000001</v>
          </cell>
          <cell r="C11">
            <v>565.34799999999996</v>
          </cell>
          <cell r="D11">
            <v>119.902</v>
          </cell>
          <cell r="E11">
            <v>840.02800000000002</v>
          </cell>
          <cell r="F11">
            <v>695.84299999999996</v>
          </cell>
          <cell r="G11">
            <v>6433.1329999999998</v>
          </cell>
          <cell r="H11">
            <v>8504.08</v>
          </cell>
          <cell r="I11">
            <v>1037.3689999999999</v>
          </cell>
          <cell r="J11">
            <v>944.62099999999998</v>
          </cell>
          <cell r="K11">
            <v>1948.2629999999999</v>
          </cell>
          <cell r="L11">
            <v>2570.3150000000001</v>
          </cell>
        </row>
        <row r="12">
          <cell r="B12">
            <v>23963.203000000001</v>
          </cell>
          <cell r="C12">
            <v>567.63900000000001</v>
          </cell>
          <cell r="D12">
            <v>121.684</v>
          </cell>
          <cell r="E12">
            <v>844.62800000000004</v>
          </cell>
          <cell r="F12">
            <v>699.51400000000001</v>
          </cell>
          <cell r="G12">
            <v>6440.4589999999998</v>
          </cell>
          <cell r="H12">
            <v>8590.1440000000002</v>
          </cell>
          <cell r="I12">
            <v>1040.8810000000001</v>
          </cell>
          <cell r="J12">
            <v>952.43</v>
          </cell>
          <cell r="K12">
            <v>2022.241</v>
          </cell>
          <cell r="L12">
            <v>2615.1619999999998</v>
          </cell>
        </row>
        <row r="13">
          <cell r="B13">
            <v>24201.544000000002</v>
          </cell>
          <cell r="C13">
            <v>570.07500000000005</v>
          </cell>
          <cell r="D13">
            <v>122.88500000000001</v>
          </cell>
          <cell r="E13">
            <v>849.39599999999996</v>
          </cell>
          <cell r="F13">
            <v>703.15800000000002</v>
          </cell>
          <cell r="G13">
            <v>6465.9960000000001</v>
          </cell>
          <cell r="H13">
            <v>8662.0879999999997</v>
          </cell>
          <cell r="I13">
            <v>1037.2719999999999</v>
          </cell>
          <cell r="J13">
            <v>959.73500000000001</v>
          </cell>
          <cell r="K13">
            <v>2096.9659999999999</v>
          </cell>
          <cell r="L13">
            <v>2665.2379999999998</v>
          </cell>
        </row>
        <row r="14">
          <cell r="B14">
            <v>24515.667000000001</v>
          </cell>
          <cell r="C14">
            <v>572.75900000000001</v>
          </cell>
          <cell r="D14">
            <v>123.735</v>
          </cell>
          <cell r="E14">
            <v>852.65899999999999</v>
          </cell>
          <cell r="F14">
            <v>706.21900000000005</v>
          </cell>
          <cell r="G14">
            <v>6505.9970000000003</v>
          </cell>
          <cell r="H14">
            <v>8746.0130000000008</v>
          </cell>
          <cell r="I14">
            <v>1034.4349999999999</v>
          </cell>
          <cell r="J14">
            <v>967.548</v>
          </cell>
          <cell r="K14">
            <v>2191.029</v>
          </cell>
          <cell r="L14">
            <v>2745.8609999999999</v>
          </cell>
        </row>
        <row r="15">
          <cell r="B15">
            <v>24819.915000000001</v>
          </cell>
          <cell r="C15">
            <v>575.30200000000002</v>
          </cell>
          <cell r="D15">
            <v>123.551</v>
          </cell>
          <cell r="E15">
            <v>854.87099999999998</v>
          </cell>
          <cell r="F15">
            <v>706.43799999999999</v>
          </cell>
          <cell r="G15">
            <v>6547.2070000000003</v>
          </cell>
          <cell r="H15">
            <v>8812.2860000000001</v>
          </cell>
          <cell r="I15">
            <v>1035.5450000000001</v>
          </cell>
          <cell r="J15">
            <v>975.75900000000001</v>
          </cell>
          <cell r="K15">
            <v>2291.1039999999998</v>
          </cell>
          <cell r="L15">
            <v>2826.558</v>
          </cell>
        </row>
        <row r="16">
          <cell r="B16">
            <v>25116.941999999999</v>
          </cell>
          <cell r="C16">
            <v>573.79499999999996</v>
          </cell>
          <cell r="D16">
            <v>123.58799999999999</v>
          </cell>
          <cell r="E16">
            <v>859.03800000000001</v>
          </cell>
          <cell r="F16">
            <v>707.45699999999999</v>
          </cell>
          <cell r="G16">
            <v>6580.6310000000003</v>
          </cell>
          <cell r="H16">
            <v>8920.2880000000005</v>
          </cell>
          <cell r="I16">
            <v>1045.2239999999999</v>
          </cell>
          <cell r="J16">
            <v>986.58199999999999</v>
          </cell>
          <cell r="K16">
            <v>2369.8270000000002</v>
          </cell>
          <cell r="L16">
            <v>2876.5129999999999</v>
          </cell>
        </row>
        <row r="17">
          <cell r="B17">
            <v>25366.451000000001</v>
          </cell>
          <cell r="C17">
            <v>579.16399999999999</v>
          </cell>
          <cell r="D17">
            <v>125.102</v>
          </cell>
          <cell r="E17">
            <v>868.28899999999999</v>
          </cell>
          <cell r="F17">
            <v>714.84199999999998</v>
          </cell>
          <cell r="G17">
            <v>6602.9759999999997</v>
          </cell>
          <cell r="H17">
            <v>9039.5640000000003</v>
          </cell>
          <cell r="I17">
            <v>1059.752</v>
          </cell>
          <cell r="J17">
            <v>1001.249</v>
          </cell>
          <cell r="K17">
            <v>2393.587</v>
          </cell>
          <cell r="L17">
            <v>2907.502</v>
          </cell>
        </row>
        <row r="18">
          <cell r="B18">
            <v>25607.053</v>
          </cell>
          <cell r="C18">
            <v>580.06500000000005</v>
          </cell>
          <cell r="D18">
            <v>126.563</v>
          </cell>
          <cell r="E18">
            <v>877.471</v>
          </cell>
          <cell r="F18">
            <v>720.48800000000006</v>
          </cell>
          <cell r="G18">
            <v>6631.22</v>
          </cell>
          <cell r="H18">
            <v>9167.4840000000004</v>
          </cell>
          <cell r="I18">
            <v>1071.81</v>
          </cell>
          <cell r="J18">
            <v>1014.615</v>
          </cell>
          <cell r="K18">
            <v>2393.9070000000002</v>
          </cell>
          <cell r="L18">
            <v>2947.181</v>
          </cell>
        </row>
        <row r="19">
          <cell r="B19">
            <v>25842.116000000002</v>
          </cell>
          <cell r="C19">
            <v>579.27499999999998</v>
          </cell>
          <cell r="D19">
            <v>127.619</v>
          </cell>
          <cell r="E19">
            <v>885.84799999999996</v>
          </cell>
          <cell r="F19">
            <v>723.28700000000003</v>
          </cell>
          <cell r="G19">
            <v>6665.8019999999997</v>
          </cell>
          <cell r="H19">
            <v>9294.6569999999992</v>
          </cell>
          <cell r="I19">
            <v>1082.4949999999999</v>
          </cell>
          <cell r="J19">
            <v>1024.9280000000001</v>
          </cell>
          <cell r="K19">
            <v>2404.4899999999998</v>
          </cell>
          <cell r="L19">
            <v>2975.1309999999999</v>
          </cell>
        </row>
        <row r="20">
          <cell r="B20">
            <v>26100.277999999998</v>
          </cell>
          <cell r="C20">
            <v>576.30600000000004</v>
          </cell>
          <cell r="D20">
            <v>128.43600000000001</v>
          </cell>
          <cell r="E20">
            <v>889.08699999999999</v>
          </cell>
          <cell r="F20">
            <v>725.01900000000001</v>
          </cell>
          <cell r="G20">
            <v>6708.17</v>
          </cell>
          <cell r="H20">
            <v>9437.3590000000004</v>
          </cell>
          <cell r="I20">
            <v>1091.5519999999999</v>
          </cell>
          <cell r="J20">
            <v>1028.7170000000001</v>
          </cell>
          <cell r="K20">
            <v>2432.9299999999998</v>
          </cell>
          <cell r="L20">
            <v>3003.6210000000001</v>
          </cell>
        </row>
        <row r="21">
          <cell r="B21">
            <v>26446.600999999999</v>
          </cell>
          <cell r="C21">
            <v>575.24199999999996</v>
          </cell>
          <cell r="D21">
            <v>128.64099999999999</v>
          </cell>
          <cell r="E21">
            <v>893.60599999999999</v>
          </cell>
          <cell r="F21">
            <v>727.76800000000003</v>
          </cell>
          <cell r="G21">
            <v>6781.9840000000004</v>
          </cell>
          <cell r="H21">
            <v>9637.9449999999997</v>
          </cell>
          <cell r="I21">
            <v>1098.373</v>
          </cell>
          <cell r="J21">
            <v>1032.799</v>
          </cell>
          <cell r="K21">
            <v>2440.877</v>
          </cell>
          <cell r="L21">
            <v>3048.6509999999998</v>
          </cell>
        </row>
        <row r="22">
          <cell r="B22">
            <v>26791.746999999999</v>
          </cell>
          <cell r="C22">
            <v>574.98199999999997</v>
          </cell>
          <cell r="D22">
            <v>129.28899999999999</v>
          </cell>
          <cell r="E22">
            <v>897.21600000000001</v>
          </cell>
          <cell r="F22">
            <v>730.34900000000005</v>
          </cell>
          <cell r="G22">
            <v>6837.0770000000002</v>
          </cell>
          <cell r="H22">
            <v>9838.6200000000008</v>
          </cell>
          <cell r="I22">
            <v>1102.152</v>
          </cell>
          <cell r="J22">
            <v>1028.2249999999999</v>
          </cell>
          <cell r="K22">
            <v>2456.614</v>
          </cell>
          <cell r="L22">
            <v>3114.761</v>
          </cell>
        </row>
        <row r="23">
          <cell r="B23">
            <v>27276.780999999999</v>
          </cell>
          <cell r="C23">
            <v>576.55100000000004</v>
          </cell>
          <cell r="D23">
            <v>130.15299999999999</v>
          </cell>
          <cell r="E23">
            <v>903.84100000000001</v>
          </cell>
          <cell r="F23">
            <v>735.12900000000002</v>
          </cell>
          <cell r="G23">
            <v>6925.1279999999997</v>
          </cell>
          <cell r="H23">
            <v>10103.305</v>
          </cell>
          <cell r="I23">
            <v>1103.7919999999999</v>
          </cell>
          <cell r="J23">
            <v>1019.439</v>
          </cell>
          <cell r="K23">
            <v>2498.3249999999998</v>
          </cell>
          <cell r="L23">
            <v>3196.7249999999999</v>
          </cell>
        </row>
        <row r="24">
          <cell r="B24">
            <v>27691.137999999999</v>
          </cell>
          <cell r="C24">
            <v>577.36800000000005</v>
          </cell>
          <cell r="D24">
            <v>130.404</v>
          </cell>
          <cell r="E24">
            <v>910.45100000000002</v>
          </cell>
          <cell r="F24">
            <v>740.15599999999995</v>
          </cell>
          <cell r="G24">
            <v>6996.9859999999999</v>
          </cell>
          <cell r="H24">
            <v>10295.832</v>
          </cell>
          <cell r="I24">
            <v>1105.421</v>
          </cell>
          <cell r="J24">
            <v>1007.727</v>
          </cell>
          <cell r="K24">
            <v>2547.788</v>
          </cell>
          <cell r="L24">
            <v>3292.1109999999999</v>
          </cell>
        </row>
        <row r="25">
          <cell r="B25">
            <v>28037.42</v>
          </cell>
          <cell r="C25">
            <v>579.64400000000001</v>
          </cell>
          <cell r="D25">
            <v>130.369</v>
          </cell>
          <cell r="E25">
            <v>914.96900000000005</v>
          </cell>
          <cell r="F25">
            <v>745.56700000000001</v>
          </cell>
          <cell r="G25">
            <v>7067.3959999999997</v>
          </cell>
          <cell r="H25">
            <v>10431.316000000001</v>
          </cell>
          <cell r="I25">
            <v>1109.604</v>
          </cell>
          <cell r="J25">
            <v>1002.713</v>
          </cell>
          <cell r="K25">
            <v>2592.306</v>
          </cell>
          <cell r="L25">
            <v>3373.7869999999998</v>
          </cell>
        </row>
        <row r="26">
          <cell r="B26">
            <v>28371.263999999999</v>
          </cell>
          <cell r="C26">
            <v>580.10900000000004</v>
          </cell>
          <cell r="D26">
            <v>130.827</v>
          </cell>
          <cell r="E26">
            <v>919.45100000000002</v>
          </cell>
          <cell r="F26">
            <v>748.12099999999998</v>
          </cell>
          <cell r="G26">
            <v>7110.01</v>
          </cell>
          <cell r="H26">
            <v>10572.205</v>
          </cell>
          <cell r="I26">
            <v>1112.6890000000001</v>
          </cell>
          <cell r="J26">
            <v>1003.995</v>
          </cell>
          <cell r="K26">
            <v>2632.672</v>
          </cell>
          <cell r="L26">
            <v>3468.8020000000001</v>
          </cell>
        </row>
        <row r="27">
          <cell r="B27">
            <v>28684.763999999999</v>
          </cell>
          <cell r="C27">
            <v>579.97699999999998</v>
          </cell>
          <cell r="D27">
            <v>132.17699999999999</v>
          </cell>
          <cell r="E27">
            <v>923.92499999999995</v>
          </cell>
          <cell r="F27">
            <v>748.81200000000001</v>
          </cell>
          <cell r="G27">
            <v>7156.5370000000003</v>
          </cell>
          <cell r="H27">
            <v>10690.038</v>
          </cell>
          <cell r="I27">
            <v>1117.6179999999999</v>
          </cell>
          <cell r="J27">
            <v>1006.9</v>
          </cell>
          <cell r="K27">
            <v>2667.2919999999999</v>
          </cell>
          <cell r="L27">
            <v>3567.7719999999999</v>
          </cell>
        </row>
        <row r="28">
          <cell r="B28">
            <v>29000.663</v>
          </cell>
          <cell r="C28">
            <v>574.46600000000001</v>
          </cell>
          <cell r="D28">
            <v>133.43700000000001</v>
          </cell>
          <cell r="E28">
            <v>926.87099999999998</v>
          </cell>
          <cell r="F28">
            <v>750.18499999999995</v>
          </cell>
          <cell r="G28">
            <v>7192.4030000000002</v>
          </cell>
          <cell r="H28">
            <v>10819.146000000001</v>
          </cell>
          <cell r="I28">
            <v>1123.23</v>
          </cell>
          <cell r="J28">
            <v>1009.575</v>
          </cell>
          <cell r="K28">
            <v>2700.6060000000002</v>
          </cell>
          <cell r="L28">
            <v>3676.0749999999998</v>
          </cell>
        </row>
        <row r="29">
          <cell r="B29">
            <v>29302.311000000002</v>
          </cell>
          <cell r="C29">
            <v>567.39700000000005</v>
          </cell>
          <cell r="D29">
            <v>134.41499999999999</v>
          </cell>
          <cell r="E29">
            <v>928.12</v>
          </cell>
          <cell r="F29">
            <v>750.94299999999998</v>
          </cell>
          <cell r="G29">
            <v>7219.2190000000001</v>
          </cell>
          <cell r="H29">
            <v>10950.119000000001</v>
          </cell>
          <cell r="I29">
            <v>1129.1500000000001</v>
          </cell>
          <cell r="J29">
            <v>1014.187</v>
          </cell>
          <cell r="K29">
            <v>2734.5189999999998</v>
          </cell>
          <cell r="L29">
            <v>3777.39</v>
          </cell>
        </row>
        <row r="30">
          <cell r="B30">
            <v>29610.218000000001</v>
          </cell>
          <cell r="C30">
            <v>559.69799999999998</v>
          </cell>
          <cell r="D30">
            <v>135.73699999999999</v>
          </cell>
          <cell r="E30">
            <v>931.327</v>
          </cell>
          <cell r="F30">
            <v>752.26800000000003</v>
          </cell>
          <cell r="G30">
            <v>7246.8969999999999</v>
          </cell>
          <cell r="H30">
            <v>11082.903</v>
          </cell>
          <cell r="I30">
            <v>1134.1959999999999</v>
          </cell>
          <cell r="J30">
            <v>1018.9450000000001</v>
          </cell>
          <cell r="K30">
            <v>2775.1329999999998</v>
          </cell>
          <cell r="L30">
            <v>3874.317</v>
          </cell>
        </row>
        <row r="31">
          <cell r="B31">
            <v>29905.948</v>
          </cell>
          <cell r="C31">
            <v>550.91099999999994</v>
          </cell>
          <cell r="D31">
            <v>136.095</v>
          </cell>
          <cell r="E31">
            <v>932.40200000000004</v>
          </cell>
          <cell r="F31">
            <v>752.51099999999997</v>
          </cell>
          <cell r="G31">
            <v>7274.6109999999999</v>
          </cell>
          <cell r="H31">
            <v>11227.651</v>
          </cell>
          <cell r="I31">
            <v>1136.1279999999999</v>
          </cell>
          <cell r="J31">
            <v>1017.902</v>
          </cell>
          <cell r="K31">
            <v>2829.848</v>
          </cell>
          <cell r="L31">
            <v>3948.5830000000001</v>
          </cell>
        </row>
        <row r="32">
          <cell r="B32">
            <v>30155.172999999999</v>
          </cell>
          <cell r="C32">
            <v>539.84299999999996</v>
          </cell>
          <cell r="D32">
            <v>135.804</v>
          </cell>
          <cell r="E32">
            <v>931.83600000000001</v>
          </cell>
          <cell r="F32">
            <v>750.53</v>
          </cell>
          <cell r="G32">
            <v>7295.9350000000004</v>
          </cell>
          <cell r="H32">
            <v>11365.901</v>
          </cell>
          <cell r="I32">
            <v>1137.489</v>
          </cell>
          <cell r="J32">
            <v>1017.332</v>
          </cell>
          <cell r="K32">
            <v>2899.0659999999998</v>
          </cell>
          <cell r="L32">
            <v>3983.1129999999998</v>
          </cell>
        </row>
        <row r="33">
          <cell r="B33">
            <v>30401.286</v>
          </cell>
          <cell r="C33">
            <v>533.32899999999995</v>
          </cell>
          <cell r="D33">
            <v>136.28100000000001</v>
          </cell>
          <cell r="E33">
            <v>933.78399999999999</v>
          </cell>
          <cell r="F33">
            <v>750.601</v>
          </cell>
          <cell r="G33">
            <v>7323.25</v>
          </cell>
          <cell r="H33">
            <v>11504.759</v>
          </cell>
          <cell r="I33">
            <v>1142.4480000000001</v>
          </cell>
          <cell r="J33">
            <v>1014.524</v>
          </cell>
          <cell r="K33">
            <v>2952.692</v>
          </cell>
          <cell r="L33">
            <v>4011.375</v>
          </cell>
        </row>
        <row r="34">
          <cell r="B34">
            <v>30685.73</v>
          </cell>
          <cell r="C34">
            <v>527.96600000000001</v>
          </cell>
          <cell r="D34">
            <v>136.47</v>
          </cell>
          <cell r="E34">
            <v>933.82100000000003</v>
          </cell>
          <cell r="F34">
            <v>750.51700000000005</v>
          </cell>
          <cell r="G34">
            <v>7356.951</v>
          </cell>
          <cell r="H34">
            <v>11683.29</v>
          </cell>
          <cell r="I34">
            <v>1147.3130000000001</v>
          </cell>
          <cell r="J34">
            <v>1007.5650000000001</v>
          </cell>
          <cell r="K34">
            <v>3004.1979999999999</v>
          </cell>
          <cell r="L34">
            <v>4039.23</v>
          </cell>
        </row>
        <row r="35">
          <cell r="B35">
            <v>31019.02</v>
          </cell>
          <cell r="C35">
            <v>522.03300000000002</v>
          </cell>
          <cell r="D35">
            <v>136.66300000000001</v>
          </cell>
          <cell r="E35">
            <v>932.45399999999995</v>
          </cell>
          <cell r="F35">
            <v>749.80100000000004</v>
          </cell>
          <cell r="G35">
            <v>7396.3310000000001</v>
          </cell>
          <cell r="H35">
            <v>11896.663</v>
          </cell>
          <cell r="I35">
            <v>1151.4390000000001</v>
          </cell>
          <cell r="J35">
            <v>1000.221</v>
          </cell>
          <cell r="K35">
            <v>3058.0169999999998</v>
          </cell>
          <cell r="L35">
            <v>4076.2640000000001</v>
          </cell>
        </row>
        <row r="36">
          <cell r="B36">
            <v>31353.655999999999</v>
          </cell>
          <cell r="C36">
            <v>519.53099999999995</v>
          </cell>
          <cell r="D36">
            <v>136.876</v>
          </cell>
          <cell r="E36">
            <v>935.01499999999999</v>
          </cell>
          <cell r="F36">
            <v>749.33100000000002</v>
          </cell>
          <cell r="G36">
            <v>7441.076</v>
          </cell>
          <cell r="H36">
            <v>12091.029</v>
          </cell>
          <cell r="I36">
            <v>1156.6130000000001</v>
          </cell>
          <cell r="J36">
            <v>996.80100000000004</v>
          </cell>
          <cell r="K36">
            <v>3128.364</v>
          </cell>
          <cell r="L36">
            <v>4098.1779999999999</v>
          </cell>
        </row>
        <row r="37">
          <cell r="B37">
            <v>31639.67</v>
          </cell>
          <cell r="C37">
            <v>518.52</v>
          </cell>
          <cell r="D37">
            <v>137.221</v>
          </cell>
          <cell r="E37">
            <v>937.49099999999999</v>
          </cell>
          <cell r="F37">
            <v>749.38900000000001</v>
          </cell>
          <cell r="G37">
            <v>7485.8379999999997</v>
          </cell>
          <cell r="H37">
            <v>12242.272999999999</v>
          </cell>
          <cell r="I37">
            <v>1163.819</v>
          </cell>
          <cell r="J37">
            <v>996.48299999999995</v>
          </cell>
          <cell r="K37">
            <v>3183.3960000000002</v>
          </cell>
          <cell r="L37">
            <v>4122.3959999999997</v>
          </cell>
        </row>
        <row r="38">
          <cell r="B38">
            <v>31940.675999999999</v>
          </cell>
          <cell r="C38">
            <v>517.447</v>
          </cell>
          <cell r="D38">
            <v>137.67400000000001</v>
          </cell>
          <cell r="E38">
            <v>939.37599999999998</v>
          </cell>
          <cell r="F38">
            <v>749.36900000000003</v>
          </cell>
          <cell r="G38">
            <v>7535.9290000000001</v>
          </cell>
          <cell r="H38">
            <v>12390.599</v>
          </cell>
          <cell r="I38">
            <v>1173.566</v>
          </cell>
          <cell r="J38">
            <v>997.447</v>
          </cell>
          <cell r="K38">
            <v>3239.471</v>
          </cell>
          <cell r="L38">
            <v>4155.17</v>
          </cell>
        </row>
        <row r="39">
          <cell r="B39">
            <v>32245.208999999999</v>
          </cell>
          <cell r="C39">
            <v>514.36300000000006</v>
          </cell>
          <cell r="D39">
            <v>138.05500000000001</v>
          </cell>
          <cell r="E39">
            <v>937.94100000000003</v>
          </cell>
          <cell r="F39">
            <v>747.96</v>
          </cell>
          <cell r="G39">
            <v>7581.9110000000001</v>
          </cell>
          <cell r="H39">
            <v>12528.48</v>
          </cell>
          <cell r="I39">
            <v>1178.3009999999999</v>
          </cell>
          <cell r="J39">
            <v>993.57899999999995</v>
          </cell>
          <cell r="K39">
            <v>3322.2</v>
          </cell>
          <cell r="L39">
            <v>4196.7879999999996</v>
          </cell>
        </row>
        <row r="40">
          <cell r="B40">
            <v>32576.074000000001</v>
          </cell>
          <cell r="C40">
            <v>510.31299999999999</v>
          </cell>
          <cell r="D40">
            <v>137.91999999999999</v>
          </cell>
          <cell r="E40">
            <v>938.01</v>
          </cell>
          <cell r="F40">
            <v>745.67399999999998</v>
          </cell>
          <cell r="G40">
            <v>7631.5519999999997</v>
          </cell>
          <cell r="H40">
            <v>12665.346</v>
          </cell>
          <cell r="I40">
            <v>1184.0309999999999</v>
          </cell>
          <cell r="J40">
            <v>992.12199999999996</v>
          </cell>
          <cell r="K40">
            <v>3421.2530000000002</v>
          </cell>
          <cell r="L40">
            <v>4243.58</v>
          </cell>
        </row>
        <row r="41">
          <cell r="B41">
            <v>32927.372000000003</v>
          </cell>
          <cell r="C41">
            <v>506.459</v>
          </cell>
          <cell r="D41">
            <v>138.11799999999999</v>
          </cell>
          <cell r="E41">
            <v>936.03899999999999</v>
          </cell>
          <cell r="F41">
            <v>745.37</v>
          </cell>
          <cell r="G41">
            <v>7686.0379999999996</v>
          </cell>
          <cell r="H41">
            <v>12793.572</v>
          </cell>
          <cell r="I41">
            <v>1193.5139999999999</v>
          </cell>
          <cell r="J41">
            <v>999.697</v>
          </cell>
          <cell r="K41">
            <v>3510.8919999999998</v>
          </cell>
          <cell r="L41">
            <v>4310.3050000000003</v>
          </cell>
        </row>
        <row r="42">
          <cell r="B42">
            <v>33311.389000000003</v>
          </cell>
          <cell r="C42">
            <v>507.89499999999998</v>
          </cell>
          <cell r="D42">
            <v>139.81800000000001</v>
          </cell>
          <cell r="E42">
            <v>938.31</v>
          </cell>
          <cell r="F42">
            <v>747.30200000000002</v>
          </cell>
          <cell r="G42">
            <v>7750.5039999999999</v>
          </cell>
          <cell r="H42">
            <v>12928.995999999999</v>
          </cell>
          <cell r="I42">
            <v>1207.9590000000001</v>
          </cell>
          <cell r="J42">
            <v>1015.985</v>
          </cell>
          <cell r="K42">
            <v>3585.1419999999998</v>
          </cell>
          <cell r="L42">
            <v>4381.6030000000001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ist of Tables"/>
      <sheetName val="1"/>
      <sheetName val="2a"/>
      <sheetName val="2b"/>
      <sheetName val="2c"/>
      <sheetName val="2d"/>
      <sheetName val="2e"/>
      <sheetName val="3a"/>
      <sheetName val="3b"/>
      <sheetName val="4"/>
      <sheetName val="5"/>
      <sheetName val="6a"/>
      <sheetName val="6b"/>
      <sheetName val="6c"/>
      <sheetName val="6d"/>
      <sheetName val="6e"/>
      <sheetName val="7a"/>
      <sheetName val="7b"/>
      <sheetName val="7c"/>
      <sheetName val="7d"/>
      <sheetName val="8a"/>
      <sheetName val="8b"/>
      <sheetName val="8c"/>
      <sheetName val="8d"/>
      <sheetName val="9a"/>
      <sheetName val="9b"/>
      <sheetName val="9c"/>
      <sheetName val="9d"/>
      <sheetName val="10a"/>
      <sheetName val="10b"/>
      <sheetName val="10c"/>
      <sheetName val="10d"/>
      <sheetName val="10e"/>
      <sheetName val="10f"/>
      <sheetName val="10g"/>
      <sheetName val="11a"/>
      <sheetName val="11b"/>
      <sheetName val="11c"/>
      <sheetName val="11d"/>
      <sheetName val="11e"/>
      <sheetName val="11f"/>
      <sheetName val="11g"/>
      <sheetName val="11h"/>
      <sheetName val="11i"/>
      <sheetName val="11j"/>
      <sheetName val="12a"/>
      <sheetName val="12b"/>
      <sheetName val="12c"/>
      <sheetName val="12d"/>
      <sheetName val="12e"/>
      <sheetName val="12f"/>
      <sheetName val="12g"/>
      <sheetName val="12h"/>
      <sheetName val="12i"/>
      <sheetName val="13a"/>
      <sheetName val="13b"/>
      <sheetName val="13c"/>
      <sheetName val="13d"/>
      <sheetName val="13e"/>
      <sheetName val="13f"/>
      <sheetName val="14a"/>
      <sheetName val="14b"/>
      <sheetName val="14c"/>
      <sheetName val="14d"/>
      <sheetName val="14e"/>
      <sheetName val="14f"/>
      <sheetName val="15a"/>
      <sheetName val="15b"/>
      <sheetName val="15c"/>
      <sheetName val="15d"/>
      <sheetName val="15e"/>
      <sheetName val="15f"/>
      <sheetName val="16a"/>
      <sheetName val="16b"/>
      <sheetName val="16c"/>
      <sheetName val="16d"/>
      <sheetName val="16e"/>
      <sheetName val="16f"/>
      <sheetName val="16g"/>
      <sheetName val="16h"/>
      <sheetName val="16i"/>
      <sheetName val="16j"/>
      <sheetName val="16k"/>
      <sheetName val="16l"/>
      <sheetName val="17a"/>
      <sheetName val="17b"/>
      <sheetName val="17c"/>
      <sheetName val="18a"/>
      <sheetName val="18b"/>
      <sheetName val="19a"/>
      <sheetName val="19b"/>
      <sheetName val="19c"/>
      <sheetName val="19d"/>
      <sheetName val="19e"/>
      <sheetName val="19f"/>
      <sheetName val="19g"/>
      <sheetName val="19H"/>
      <sheetName val="19I"/>
      <sheetName val="20a"/>
      <sheetName val="20b"/>
      <sheetName val="21"/>
      <sheetName val="22a"/>
      <sheetName val="22b"/>
      <sheetName val="22c"/>
      <sheetName val="22d"/>
      <sheetName val="23"/>
      <sheetName val="24a"/>
      <sheetName val="24b"/>
      <sheetName val="24c"/>
      <sheetName val="24d"/>
      <sheetName val="24f"/>
      <sheetName val="24e"/>
      <sheetName val="25a"/>
      <sheetName val="25b"/>
      <sheetName val="26a"/>
      <sheetName val="26b"/>
      <sheetName val="26c"/>
      <sheetName val="26d"/>
      <sheetName val="26e"/>
      <sheetName val="27"/>
      <sheetName val="28a"/>
      <sheetName val="28b"/>
      <sheetName val="28c"/>
      <sheetName val="29a"/>
      <sheetName val="29b"/>
      <sheetName val="30"/>
      <sheetName val="31"/>
      <sheetName val="32"/>
      <sheetName val="33"/>
      <sheetName val="Sheet1"/>
      <sheetName val="34a"/>
      <sheetName val="34b"/>
      <sheetName val="35a"/>
      <sheetName val="35b"/>
      <sheetName val="35c"/>
      <sheetName val="35d"/>
      <sheetName val="36"/>
      <sheetName val="36a"/>
      <sheetName val="36b"/>
      <sheetName val="37"/>
      <sheetName val="37a"/>
      <sheetName val="37b"/>
      <sheetName val="37c"/>
      <sheetName val="37d"/>
      <sheetName val="37e"/>
      <sheetName val="37f"/>
      <sheetName val="37g"/>
      <sheetName val="37h"/>
      <sheetName val="37i"/>
      <sheetName val="37j"/>
      <sheetName val="38"/>
      <sheetName val="39"/>
      <sheetName val="40"/>
      <sheetName val="41"/>
      <sheetName val="42"/>
      <sheetName val="43"/>
      <sheetName val="44a"/>
      <sheetName val="44b"/>
      <sheetName val="44c"/>
      <sheetName val="45a"/>
      <sheetName val="45b"/>
      <sheetName val="45c"/>
      <sheetName val="46"/>
      <sheetName val="47"/>
      <sheetName val="47a"/>
      <sheetName val="47b"/>
      <sheetName val="47c"/>
      <sheetName val="47d"/>
      <sheetName val="48"/>
      <sheetName val="49"/>
      <sheetName val="50"/>
      <sheetName val="51a-j"/>
      <sheetName val="52"/>
      <sheetName val="53"/>
      <sheetName val="54"/>
      <sheetName val="55"/>
      <sheetName val="56"/>
      <sheetName val="57"/>
      <sheetName val="58"/>
      <sheetName val="58a"/>
      <sheetName val="58b"/>
      <sheetName val="58c"/>
      <sheetName val="58d"/>
      <sheetName val="58e"/>
      <sheetName val="58f"/>
      <sheetName val="58g"/>
      <sheetName val="58h"/>
      <sheetName val="58i"/>
      <sheetName val="58j"/>
      <sheetName val="59a"/>
      <sheetName val="59b"/>
      <sheetName val="60"/>
      <sheetName val="61"/>
      <sheetName val="62"/>
      <sheetName val="63"/>
      <sheetName val="64"/>
      <sheetName val="65"/>
      <sheetName val="66"/>
      <sheetName val="67"/>
      <sheetName val="68A"/>
      <sheetName val="68B"/>
      <sheetName val="68C"/>
      <sheetName val="69"/>
      <sheetName val="DataC1-C4"/>
      <sheetName val="70"/>
      <sheetName val="71a"/>
      <sheetName val="71b"/>
      <sheetName val="71c"/>
      <sheetName val="DataC9-C13"/>
      <sheetName val="DataC14-C21"/>
      <sheetName val="DataC21.1-C24"/>
      <sheetName val="DataC25-C29"/>
      <sheetName val="DataC30-C34"/>
      <sheetName val="DataC35-C39"/>
      <sheetName val="DataC39-C42"/>
      <sheetName val="Data 43-"/>
      <sheetName val="72a"/>
      <sheetName val="72b"/>
      <sheetName val="73a"/>
      <sheetName val="73b"/>
      <sheetName val="DataC5-C8"/>
      <sheetName val="C1"/>
      <sheetName val="C1.1"/>
      <sheetName val="C1.2"/>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21.1"/>
      <sheetName val="C21.2"/>
      <sheetName val="C22"/>
      <sheetName val="C23"/>
      <sheetName val="C24"/>
      <sheetName val="C25"/>
      <sheetName val="C26"/>
      <sheetName val="C27"/>
      <sheetName val="C28"/>
      <sheetName val="C29"/>
      <sheetName val="C30"/>
      <sheetName val="C31"/>
      <sheetName val="C31.1"/>
      <sheetName val="C31.2"/>
      <sheetName val="C32"/>
      <sheetName val="C33"/>
      <sheetName val="C34"/>
      <sheetName val="C35"/>
      <sheetName val="C35b"/>
      <sheetName val="C36"/>
      <sheetName val="C37"/>
      <sheetName val="C37.1"/>
      <sheetName val="C37.2"/>
      <sheetName val="C37.3"/>
      <sheetName val="C38"/>
      <sheetName val="C39"/>
      <sheetName val="C40"/>
      <sheetName val="C41"/>
      <sheetName val="C42"/>
      <sheetName val="C43"/>
      <sheetName val="C44"/>
      <sheetName val="C45"/>
      <sheetName val="C46"/>
      <sheetName val="C47"/>
      <sheetName val="C48"/>
      <sheetName val="C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5">
          <cell r="B5">
            <v>7.1</v>
          </cell>
          <cell r="C5">
            <v>13.4</v>
          </cell>
          <cell r="D5">
            <v>9.3000000000000007</v>
          </cell>
          <cell r="E5">
            <v>9.1999999999999993</v>
          </cell>
          <cell r="F5">
            <v>11</v>
          </cell>
          <cell r="G5">
            <v>8.6999999999999993</v>
          </cell>
          <cell r="H5">
            <v>6.1</v>
          </cell>
          <cell r="I5">
            <v>4.7</v>
          </cell>
          <cell r="J5">
            <v>3.8</v>
          </cell>
          <cell r="K5">
            <v>3.9</v>
          </cell>
          <cell r="L5">
            <v>8.4</v>
          </cell>
        </row>
        <row r="6">
          <cell r="B6">
            <v>8</v>
          </cell>
          <cell r="C6">
            <v>15.4</v>
          </cell>
          <cell r="D6">
            <v>9.5</v>
          </cell>
          <cell r="E6">
            <v>10.3</v>
          </cell>
          <cell r="F6">
            <v>13.3</v>
          </cell>
          <cell r="G6">
            <v>10.4</v>
          </cell>
          <cell r="H6">
            <v>6.9</v>
          </cell>
          <cell r="I6">
            <v>5.7</v>
          </cell>
          <cell r="J6">
            <v>4.4000000000000004</v>
          </cell>
          <cell r="K6">
            <v>4.5</v>
          </cell>
          <cell r="L6">
            <v>8.3000000000000007</v>
          </cell>
        </row>
        <row r="7">
          <cell r="B7">
            <v>8.4</v>
          </cell>
          <cell r="C7">
            <v>15.9</v>
          </cell>
          <cell r="D7">
            <v>9.6999999999999993</v>
          </cell>
          <cell r="E7">
            <v>10.5</v>
          </cell>
          <cell r="F7">
            <v>12.4</v>
          </cell>
          <cell r="G7">
            <v>11</v>
          </cell>
          <cell r="H7">
            <v>7.2</v>
          </cell>
          <cell r="I7">
            <v>6.5</v>
          </cell>
          <cell r="J7">
            <v>4.8</v>
          </cell>
          <cell r="K7">
            <v>4.8</v>
          </cell>
          <cell r="L7">
            <v>8.3000000000000007</v>
          </cell>
        </row>
        <row r="8">
          <cell r="B8">
            <v>7.5</v>
          </cell>
          <cell r="C8">
            <v>14.8</v>
          </cell>
          <cell r="D8">
            <v>11.6</v>
          </cell>
          <cell r="E8">
            <v>10</v>
          </cell>
          <cell r="F8">
            <v>10.9</v>
          </cell>
          <cell r="G8">
            <v>9.6999999999999993</v>
          </cell>
          <cell r="H8">
            <v>6.6</v>
          </cell>
          <cell r="I8">
            <v>5.5</v>
          </cell>
          <cell r="J8">
            <v>4.2</v>
          </cell>
          <cell r="K8">
            <v>3.9</v>
          </cell>
          <cell r="L8">
            <v>7.7</v>
          </cell>
        </row>
        <row r="9">
          <cell r="B9">
            <v>7.5</v>
          </cell>
          <cell r="C9">
            <v>13.3</v>
          </cell>
          <cell r="D9">
            <v>10.5</v>
          </cell>
          <cell r="E9">
            <v>9.6999999999999993</v>
          </cell>
          <cell r="F9">
            <v>11.1</v>
          </cell>
          <cell r="G9">
            <v>10</v>
          </cell>
          <cell r="H9">
            <v>6.9</v>
          </cell>
          <cell r="I9">
            <v>5.5</v>
          </cell>
          <cell r="J9">
            <v>4.3</v>
          </cell>
          <cell r="K9">
            <v>3.9</v>
          </cell>
          <cell r="L9">
            <v>6.7</v>
          </cell>
        </row>
        <row r="10">
          <cell r="B10">
            <v>7.6</v>
          </cell>
          <cell r="C10">
            <v>13.5</v>
          </cell>
          <cell r="D10">
            <v>11.3</v>
          </cell>
          <cell r="E10">
            <v>10</v>
          </cell>
          <cell r="F10">
            <v>11.6</v>
          </cell>
          <cell r="G10">
            <v>10.5</v>
          </cell>
          <cell r="H10">
            <v>6.6</v>
          </cell>
          <cell r="I10">
            <v>6</v>
          </cell>
          <cell r="J10">
            <v>4.5</v>
          </cell>
          <cell r="K10">
            <v>3.9</v>
          </cell>
          <cell r="L10">
            <v>6.8</v>
          </cell>
        </row>
        <row r="11">
          <cell r="B11">
            <v>11</v>
          </cell>
          <cell r="C11">
            <v>16.2</v>
          </cell>
          <cell r="D11">
            <v>12.6</v>
          </cell>
          <cell r="E11">
            <v>12.8</v>
          </cell>
          <cell r="F11">
            <v>14</v>
          </cell>
          <cell r="G11">
            <v>14</v>
          </cell>
          <cell r="H11">
            <v>9.8000000000000007</v>
          </cell>
          <cell r="I11">
            <v>8.5</v>
          </cell>
          <cell r="J11">
            <v>6.3</v>
          </cell>
          <cell r="K11">
            <v>7.7</v>
          </cell>
          <cell r="L11">
            <v>12.1</v>
          </cell>
        </row>
        <row r="12">
          <cell r="B12">
            <v>12</v>
          </cell>
          <cell r="C12">
            <v>18.100000000000001</v>
          </cell>
          <cell r="D12">
            <v>12.2</v>
          </cell>
          <cell r="E12">
            <v>13.4</v>
          </cell>
          <cell r="F12">
            <v>14.9</v>
          </cell>
          <cell r="G12">
            <v>14.2</v>
          </cell>
          <cell r="H12">
            <v>10.4</v>
          </cell>
          <cell r="I12">
            <v>9.5</v>
          </cell>
          <cell r="J12">
            <v>7.7</v>
          </cell>
          <cell r="K12">
            <v>11</v>
          </cell>
          <cell r="L12">
            <v>13.9</v>
          </cell>
        </row>
        <row r="13">
          <cell r="B13">
            <v>11.3</v>
          </cell>
          <cell r="C13">
            <v>20.100000000000001</v>
          </cell>
          <cell r="D13">
            <v>12.5</v>
          </cell>
          <cell r="E13">
            <v>13</v>
          </cell>
          <cell r="F13">
            <v>14.6</v>
          </cell>
          <cell r="G13">
            <v>13.1</v>
          </cell>
          <cell r="H13">
            <v>9</v>
          </cell>
          <cell r="I13">
            <v>8.6</v>
          </cell>
          <cell r="J13">
            <v>8.1</v>
          </cell>
          <cell r="K13">
            <v>11.3</v>
          </cell>
          <cell r="L13">
            <v>15</v>
          </cell>
        </row>
        <row r="14">
          <cell r="B14">
            <v>10.6</v>
          </cell>
          <cell r="C14">
            <v>20.2</v>
          </cell>
          <cell r="D14">
            <v>13.7</v>
          </cell>
          <cell r="E14">
            <v>13.5</v>
          </cell>
          <cell r="F14">
            <v>15.2</v>
          </cell>
          <cell r="G14">
            <v>12.3</v>
          </cell>
          <cell r="H14">
            <v>8</v>
          </cell>
          <cell r="I14">
            <v>8.4</v>
          </cell>
          <cell r="J14">
            <v>8.4</v>
          </cell>
          <cell r="K14">
            <v>9.9</v>
          </cell>
          <cell r="L14">
            <v>14.6</v>
          </cell>
        </row>
        <row r="15">
          <cell r="B15">
            <v>9.6999999999999993</v>
          </cell>
          <cell r="C15">
            <v>18.899999999999999</v>
          </cell>
          <cell r="D15">
            <v>13.2</v>
          </cell>
          <cell r="E15">
            <v>13.3</v>
          </cell>
          <cell r="F15">
            <v>14.4</v>
          </cell>
          <cell r="G15">
            <v>11.1</v>
          </cell>
          <cell r="H15">
            <v>7</v>
          </cell>
          <cell r="I15">
            <v>7.8</v>
          </cell>
          <cell r="J15">
            <v>7.9</v>
          </cell>
          <cell r="K15">
            <v>10.1</v>
          </cell>
          <cell r="L15">
            <v>12.9</v>
          </cell>
        </row>
        <row r="16">
          <cell r="B16">
            <v>8.8000000000000007</v>
          </cell>
          <cell r="C16">
            <v>17.8</v>
          </cell>
          <cell r="D16">
            <v>12.3</v>
          </cell>
          <cell r="E16">
            <v>12</v>
          </cell>
          <cell r="F16">
            <v>13.2</v>
          </cell>
          <cell r="G16">
            <v>10.199999999999999</v>
          </cell>
          <cell r="H16">
            <v>6.1</v>
          </cell>
          <cell r="I16">
            <v>7.5</v>
          </cell>
          <cell r="J16">
            <v>7.3</v>
          </cell>
          <cell r="K16">
            <v>9.6</v>
          </cell>
          <cell r="L16">
            <v>12.1</v>
          </cell>
        </row>
        <row r="17">
          <cell r="B17">
            <v>7.8</v>
          </cell>
          <cell r="C17">
            <v>16.2</v>
          </cell>
          <cell r="D17">
            <v>12.2</v>
          </cell>
          <cell r="E17">
            <v>10.199999999999999</v>
          </cell>
          <cell r="F17">
            <v>11.8</v>
          </cell>
          <cell r="G17">
            <v>9.5</v>
          </cell>
          <cell r="H17">
            <v>5</v>
          </cell>
          <cell r="I17">
            <v>7.7</v>
          </cell>
          <cell r="J17">
            <v>7.3</v>
          </cell>
          <cell r="K17">
            <v>8</v>
          </cell>
          <cell r="L17">
            <v>10.3</v>
          </cell>
        </row>
        <row r="18">
          <cell r="B18">
            <v>7.5</v>
          </cell>
          <cell r="C18">
            <v>15.5</v>
          </cell>
          <cell r="D18">
            <v>13.7</v>
          </cell>
          <cell r="E18">
            <v>9.9</v>
          </cell>
          <cell r="F18">
            <v>12.1</v>
          </cell>
          <cell r="G18">
            <v>9.6</v>
          </cell>
          <cell r="H18">
            <v>5</v>
          </cell>
          <cell r="I18">
            <v>7.5</v>
          </cell>
          <cell r="J18">
            <v>7.3</v>
          </cell>
          <cell r="K18">
            <v>7.2</v>
          </cell>
          <cell r="L18">
            <v>9.1</v>
          </cell>
        </row>
        <row r="19">
          <cell r="B19">
            <v>8.1</v>
          </cell>
          <cell r="C19">
            <v>17</v>
          </cell>
          <cell r="D19">
            <v>14.4</v>
          </cell>
          <cell r="E19">
            <v>10.7</v>
          </cell>
          <cell r="F19">
            <v>12.1</v>
          </cell>
          <cell r="G19">
            <v>10.4</v>
          </cell>
          <cell r="H19">
            <v>6.2</v>
          </cell>
          <cell r="I19">
            <v>7.4</v>
          </cell>
          <cell r="J19">
            <v>7</v>
          </cell>
          <cell r="K19">
            <v>6.9</v>
          </cell>
          <cell r="L19">
            <v>8.4</v>
          </cell>
        </row>
        <row r="20">
          <cell r="B20">
            <v>10.3</v>
          </cell>
          <cell r="C20">
            <v>18</v>
          </cell>
          <cell r="D20">
            <v>16.5</v>
          </cell>
          <cell r="E20">
            <v>12.1</v>
          </cell>
          <cell r="F20">
            <v>12.7</v>
          </cell>
          <cell r="G20">
            <v>12.1</v>
          </cell>
          <cell r="H20">
            <v>9.5</v>
          </cell>
          <cell r="I20">
            <v>8.6</v>
          </cell>
          <cell r="J20">
            <v>7.4</v>
          </cell>
          <cell r="K20">
            <v>8.1999999999999993</v>
          </cell>
          <cell r="L20">
            <v>9.9</v>
          </cell>
        </row>
        <row r="21">
          <cell r="B21">
            <v>11.2</v>
          </cell>
          <cell r="C21">
            <v>20</v>
          </cell>
          <cell r="D21">
            <v>17.600000000000001</v>
          </cell>
          <cell r="E21">
            <v>13.1</v>
          </cell>
          <cell r="F21">
            <v>13</v>
          </cell>
          <cell r="G21">
            <v>12.7</v>
          </cell>
          <cell r="H21">
            <v>10.8</v>
          </cell>
          <cell r="I21">
            <v>9.3000000000000007</v>
          </cell>
          <cell r="J21">
            <v>8</v>
          </cell>
          <cell r="K21">
            <v>9.5</v>
          </cell>
          <cell r="L21">
            <v>10.1</v>
          </cell>
        </row>
        <row r="22">
          <cell r="B22">
            <v>11.4</v>
          </cell>
          <cell r="C22">
            <v>20.100000000000001</v>
          </cell>
          <cell r="D22">
            <v>16.899999999999999</v>
          </cell>
          <cell r="E22">
            <v>14.3</v>
          </cell>
          <cell r="F22">
            <v>12.6</v>
          </cell>
          <cell r="G22">
            <v>13.2</v>
          </cell>
          <cell r="H22">
            <v>10.9</v>
          </cell>
          <cell r="I22">
            <v>9.3000000000000007</v>
          </cell>
          <cell r="J22">
            <v>8.3000000000000007</v>
          </cell>
          <cell r="K22">
            <v>9.6</v>
          </cell>
          <cell r="L22">
            <v>9.6999999999999993</v>
          </cell>
        </row>
        <row r="23">
          <cell r="B23">
            <v>10.4</v>
          </cell>
          <cell r="C23">
            <v>20</v>
          </cell>
          <cell r="D23">
            <v>16.5</v>
          </cell>
          <cell r="E23">
            <v>13.5</v>
          </cell>
          <cell r="F23">
            <v>12.5</v>
          </cell>
          <cell r="G23">
            <v>12.3</v>
          </cell>
          <cell r="H23">
            <v>9.6</v>
          </cell>
          <cell r="I23">
            <v>8.8000000000000007</v>
          </cell>
          <cell r="J23">
            <v>6.9</v>
          </cell>
          <cell r="K23">
            <v>8.8000000000000007</v>
          </cell>
          <cell r="L23">
            <v>9.1</v>
          </cell>
        </row>
        <row r="24">
          <cell r="B24">
            <v>9.5</v>
          </cell>
          <cell r="C24">
            <v>18</v>
          </cell>
          <cell r="D24">
            <v>14.8</v>
          </cell>
          <cell r="E24">
            <v>12.2</v>
          </cell>
          <cell r="F24">
            <v>11.4</v>
          </cell>
          <cell r="G24">
            <v>11.5</v>
          </cell>
          <cell r="H24">
            <v>8.6999999999999993</v>
          </cell>
          <cell r="I24">
            <v>7.3</v>
          </cell>
          <cell r="J24">
            <v>6.7</v>
          </cell>
          <cell r="K24">
            <v>7.8</v>
          </cell>
          <cell r="L24">
            <v>8.5</v>
          </cell>
        </row>
        <row r="25">
          <cell r="B25">
            <v>9.6</v>
          </cell>
          <cell r="C25">
            <v>19.100000000000001</v>
          </cell>
          <cell r="D25">
            <v>14.7</v>
          </cell>
          <cell r="E25">
            <v>12.4</v>
          </cell>
          <cell r="F25">
            <v>11.6</v>
          </cell>
          <cell r="G25">
            <v>11.9</v>
          </cell>
          <cell r="H25">
            <v>9</v>
          </cell>
          <cell r="I25">
            <v>7.3</v>
          </cell>
          <cell r="J25">
            <v>6.7</v>
          </cell>
          <cell r="K25">
            <v>6.9</v>
          </cell>
          <cell r="L25">
            <v>8.6999999999999993</v>
          </cell>
        </row>
        <row r="26">
          <cell r="B26">
            <v>9.1</v>
          </cell>
          <cell r="C26">
            <v>18.399999999999999</v>
          </cell>
          <cell r="D26">
            <v>15.4</v>
          </cell>
          <cell r="E26">
            <v>12.2</v>
          </cell>
          <cell r="F26">
            <v>12.7</v>
          </cell>
          <cell r="G26">
            <v>11.4</v>
          </cell>
          <cell r="H26">
            <v>8.4</v>
          </cell>
          <cell r="I26">
            <v>6.5</v>
          </cell>
          <cell r="J26">
            <v>6</v>
          </cell>
          <cell r="K26">
            <v>5.9</v>
          </cell>
          <cell r="L26">
            <v>8.4</v>
          </cell>
        </row>
        <row r="27">
          <cell r="B27">
            <v>8.3000000000000007</v>
          </cell>
          <cell r="C27">
            <v>17.899999999999999</v>
          </cell>
          <cell r="D27">
            <v>13.9</v>
          </cell>
          <cell r="E27">
            <v>10.5</v>
          </cell>
          <cell r="F27">
            <v>12.2</v>
          </cell>
          <cell r="G27">
            <v>10.3</v>
          </cell>
          <cell r="H27">
            <v>7.2</v>
          </cell>
          <cell r="I27">
            <v>5.6</v>
          </cell>
          <cell r="J27">
            <v>5.8</v>
          </cell>
          <cell r="K27">
            <v>5.6</v>
          </cell>
          <cell r="L27">
            <v>8.8000000000000007</v>
          </cell>
        </row>
        <row r="28">
          <cell r="B28">
            <v>7.6</v>
          </cell>
          <cell r="C28">
            <v>16.899999999999999</v>
          </cell>
          <cell r="D28">
            <v>14.3</v>
          </cell>
          <cell r="E28">
            <v>9.6</v>
          </cell>
          <cell r="F28">
            <v>10.199999999999999</v>
          </cell>
          <cell r="G28">
            <v>9.3000000000000007</v>
          </cell>
          <cell r="H28">
            <v>6.3</v>
          </cell>
          <cell r="I28">
            <v>5.6</v>
          </cell>
          <cell r="J28">
            <v>6.1</v>
          </cell>
          <cell r="K28">
            <v>5.7</v>
          </cell>
          <cell r="L28">
            <v>8.3000000000000007</v>
          </cell>
        </row>
        <row r="29">
          <cell r="B29">
            <v>6.8</v>
          </cell>
          <cell r="C29">
            <v>16.7</v>
          </cell>
          <cell r="D29">
            <v>12.1</v>
          </cell>
          <cell r="E29">
            <v>9.1</v>
          </cell>
          <cell r="F29">
            <v>10</v>
          </cell>
          <cell r="G29">
            <v>8.5</v>
          </cell>
          <cell r="H29">
            <v>5.8</v>
          </cell>
          <cell r="I29">
            <v>5</v>
          </cell>
          <cell r="J29">
            <v>5.0999999999999996</v>
          </cell>
          <cell r="K29">
            <v>5</v>
          </cell>
          <cell r="L29">
            <v>7.1</v>
          </cell>
        </row>
        <row r="30">
          <cell r="B30">
            <v>7.2</v>
          </cell>
          <cell r="C30">
            <v>16.100000000000001</v>
          </cell>
          <cell r="D30">
            <v>11.9</v>
          </cell>
          <cell r="E30">
            <v>9.6999999999999993</v>
          </cell>
          <cell r="F30">
            <v>11.1</v>
          </cell>
          <cell r="G30">
            <v>8.8000000000000007</v>
          </cell>
          <cell r="H30">
            <v>6.3</v>
          </cell>
          <cell r="I30">
            <v>5.0999999999999996</v>
          </cell>
          <cell r="J30">
            <v>5.8</v>
          </cell>
          <cell r="K30">
            <v>4.5999999999999996</v>
          </cell>
          <cell r="L30">
            <v>7.7</v>
          </cell>
        </row>
        <row r="31">
          <cell r="B31">
            <v>7.7</v>
          </cell>
          <cell r="C31">
            <v>16.7</v>
          </cell>
          <cell r="D31">
            <v>12</v>
          </cell>
          <cell r="E31">
            <v>9.6</v>
          </cell>
          <cell r="F31">
            <v>10.199999999999999</v>
          </cell>
          <cell r="G31">
            <v>8.6</v>
          </cell>
          <cell r="H31">
            <v>7.1</v>
          </cell>
          <cell r="I31">
            <v>5.0999999999999996</v>
          </cell>
          <cell r="J31">
            <v>5.7</v>
          </cell>
          <cell r="K31">
            <v>5.3</v>
          </cell>
          <cell r="L31">
            <v>8.5</v>
          </cell>
        </row>
        <row r="32">
          <cell r="B32">
            <v>7.6</v>
          </cell>
          <cell r="C32">
            <v>16.5</v>
          </cell>
          <cell r="D32">
            <v>11</v>
          </cell>
          <cell r="E32">
            <v>9.1</v>
          </cell>
          <cell r="F32">
            <v>10.3</v>
          </cell>
          <cell r="G32">
            <v>9.1</v>
          </cell>
          <cell r="H32">
            <v>6.9</v>
          </cell>
          <cell r="I32">
            <v>5</v>
          </cell>
          <cell r="J32">
            <v>5.6</v>
          </cell>
          <cell r="K32">
            <v>5.0999999999999996</v>
          </cell>
          <cell r="L32">
            <v>8</v>
          </cell>
        </row>
        <row r="33">
          <cell r="B33">
            <v>7.2</v>
          </cell>
          <cell r="C33">
            <v>15.7</v>
          </cell>
          <cell r="D33">
            <v>11.3</v>
          </cell>
          <cell r="E33">
            <v>8.8000000000000007</v>
          </cell>
          <cell r="F33">
            <v>9.8000000000000007</v>
          </cell>
          <cell r="G33">
            <v>8.5</v>
          </cell>
          <cell r="H33">
            <v>6.8</v>
          </cell>
          <cell r="I33">
            <v>5.3</v>
          </cell>
          <cell r="J33">
            <v>5.3</v>
          </cell>
          <cell r="K33">
            <v>4.5999999999999996</v>
          </cell>
          <cell r="L33">
            <v>7.2</v>
          </cell>
        </row>
        <row r="34">
          <cell r="B34">
            <v>6.8</v>
          </cell>
          <cell r="C34">
            <v>15.2</v>
          </cell>
          <cell r="D34">
            <v>10.8</v>
          </cell>
          <cell r="E34">
            <v>8.4</v>
          </cell>
          <cell r="F34">
            <v>9.6999999999999993</v>
          </cell>
          <cell r="G34">
            <v>8.3000000000000007</v>
          </cell>
          <cell r="H34">
            <v>6.6</v>
          </cell>
          <cell r="I34">
            <v>4.8</v>
          </cell>
          <cell r="J34">
            <v>5.0999999999999996</v>
          </cell>
          <cell r="K34">
            <v>3.9</v>
          </cell>
          <cell r="L34">
            <v>5.9</v>
          </cell>
        </row>
        <row r="35">
          <cell r="B35">
            <v>6.3</v>
          </cell>
          <cell r="C35">
            <v>14.8</v>
          </cell>
          <cell r="D35">
            <v>11</v>
          </cell>
          <cell r="E35">
            <v>7.9</v>
          </cell>
          <cell r="F35">
            <v>8.8000000000000007</v>
          </cell>
          <cell r="G35">
            <v>8</v>
          </cell>
          <cell r="H35">
            <v>6.3</v>
          </cell>
          <cell r="I35">
            <v>4.3</v>
          </cell>
          <cell r="J35">
            <v>4.7</v>
          </cell>
          <cell r="K35">
            <v>3.4</v>
          </cell>
          <cell r="L35">
            <v>4.8</v>
          </cell>
        </row>
        <row r="36">
          <cell r="B36">
            <v>6</v>
          </cell>
          <cell r="C36">
            <v>13.6</v>
          </cell>
          <cell r="D36">
            <v>10.3</v>
          </cell>
          <cell r="E36">
            <v>8</v>
          </cell>
          <cell r="F36">
            <v>7.5</v>
          </cell>
          <cell r="G36">
            <v>7.2</v>
          </cell>
          <cell r="H36">
            <v>6.4</v>
          </cell>
          <cell r="I36">
            <v>4.4000000000000004</v>
          </cell>
          <cell r="J36">
            <v>4.2</v>
          </cell>
          <cell r="K36">
            <v>3.5</v>
          </cell>
          <cell r="L36">
            <v>4.2</v>
          </cell>
        </row>
        <row r="37">
          <cell r="B37">
            <v>6.1</v>
          </cell>
          <cell r="C37">
            <v>13.2</v>
          </cell>
          <cell r="D37">
            <v>10.8</v>
          </cell>
          <cell r="E37">
            <v>7.7</v>
          </cell>
          <cell r="F37">
            <v>8.6</v>
          </cell>
          <cell r="G37">
            <v>7.2</v>
          </cell>
          <cell r="H37">
            <v>6.5</v>
          </cell>
          <cell r="I37">
            <v>4.2</v>
          </cell>
          <cell r="J37">
            <v>4.0999999999999996</v>
          </cell>
          <cell r="K37">
            <v>3.6</v>
          </cell>
          <cell r="L37">
            <v>4.5999999999999996</v>
          </cell>
        </row>
      </sheetData>
      <sheetData sheetId="102">
        <row r="7">
          <cell r="B7">
            <v>9.6999999999999993</v>
          </cell>
          <cell r="C7">
            <v>24.9</v>
          </cell>
          <cell r="D7">
            <v>16.100000000000001</v>
          </cell>
          <cell r="E7">
            <v>13.4</v>
          </cell>
          <cell r="F7">
            <v>14.1</v>
          </cell>
          <cell r="G7">
            <v>12.2</v>
          </cell>
          <cell r="H7">
            <v>8.8000000000000007</v>
          </cell>
          <cell r="I7">
            <v>6.9</v>
          </cell>
          <cell r="J7">
            <v>6.4</v>
          </cell>
          <cell r="K7">
            <v>6.1</v>
          </cell>
          <cell r="L7">
            <v>8.8000000000000007</v>
          </cell>
        </row>
        <row r="8">
          <cell r="B8">
            <v>8.8000000000000007</v>
          </cell>
          <cell r="C8">
            <v>23</v>
          </cell>
          <cell r="D8">
            <v>14.6</v>
          </cell>
          <cell r="E8">
            <v>11.6</v>
          </cell>
          <cell r="F8">
            <v>13.2</v>
          </cell>
          <cell r="G8">
            <v>10.9</v>
          </cell>
          <cell r="H8">
            <v>7.5</v>
          </cell>
          <cell r="I8">
            <v>5.9</v>
          </cell>
          <cell r="J8">
            <v>6.1</v>
          </cell>
          <cell r="K8">
            <v>5.7</v>
          </cell>
          <cell r="L8">
            <v>9.1999999999999993</v>
          </cell>
        </row>
        <row r="9">
          <cell r="B9">
            <v>8</v>
          </cell>
          <cell r="C9">
            <v>21.3</v>
          </cell>
          <cell r="D9">
            <v>15</v>
          </cell>
          <cell r="E9">
            <v>10.3</v>
          </cell>
          <cell r="F9">
            <v>11</v>
          </cell>
          <cell r="G9">
            <v>9.9</v>
          </cell>
          <cell r="H9">
            <v>6.5</v>
          </cell>
          <cell r="I9">
            <v>5.8</v>
          </cell>
          <cell r="J9">
            <v>6.3</v>
          </cell>
          <cell r="K9">
            <v>5.9</v>
          </cell>
          <cell r="L9">
            <v>8.6</v>
          </cell>
        </row>
        <row r="10">
          <cell r="B10">
            <v>7.1</v>
          </cell>
          <cell r="C10">
            <v>20.7</v>
          </cell>
          <cell r="D10">
            <v>12.4</v>
          </cell>
          <cell r="E10">
            <v>9.9</v>
          </cell>
          <cell r="F10">
            <v>10.5</v>
          </cell>
          <cell r="G10">
            <v>8.8000000000000007</v>
          </cell>
          <cell r="H10">
            <v>5.9</v>
          </cell>
          <cell r="I10">
            <v>5.0999999999999996</v>
          </cell>
          <cell r="J10">
            <v>5.4</v>
          </cell>
          <cell r="K10">
            <v>5.0999999999999996</v>
          </cell>
          <cell r="L10">
            <v>7.3</v>
          </cell>
        </row>
        <row r="11">
          <cell r="B11">
            <v>7.5</v>
          </cell>
          <cell r="C11">
            <v>18.899999999999999</v>
          </cell>
          <cell r="D11">
            <v>12.3</v>
          </cell>
          <cell r="E11">
            <v>10.199999999999999</v>
          </cell>
          <cell r="F11">
            <v>11.7</v>
          </cell>
          <cell r="G11">
            <v>9</v>
          </cell>
          <cell r="H11">
            <v>6.4</v>
          </cell>
          <cell r="I11">
            <v>5.2</v>
          </cell>
          <cell r="J11">
            <v>6</v>
          </cell>
          <cell r="K11">
            <v>4.7</v>
          </cell>
          <cell r="L11">
            <v>8</v>
          </cell>
        </row>
        <row r="12">
          <cell r="B12">
            <v>7.9</v>
          </cell>
          <cell r="C12">
            <v>19.600000000000001</v>
          </cell>
          <cell r="D12">
            <v>12.3</v>
          </cell>
          <cell r="E12">
            <v>10.1</v>
          </cell>
          <cell r="F12">
            <v>10.7</v>
          </cell>
          <cell r="G12">
            <v>8.9</v>
          </cell>
          <cell r="H12">
            <v>7.2</v>
          </cell>
          <cell r="I12">
            <v>5.3</v>
          </cell>
          <cell r="J12">
            <v>5.8</v>
          </cell>
          <cell r="K12">
            <v>5.4</v>
          </cell>
          <cell r="L12">
            <v>8.8000000000000007</v>
          </cell>
        </row>
        <row r="13">
          <cell r="B13">
            <v>7.8</v>
          </cell>
          <cell r="C13">
            <v>19.100000000000001</v>
          </cell>
          <cell r="D13">
            <v>11.3</v>
          </cell>
          <cell r="E13">
            <v>9.5</v>
          </cell>
          <cell r="F13">
            <v>10.7</v>
          </cell>
          <cell r="G13">
            <v>9.3000000000000007</v>
          </cell>
          <cell r="H13">
            <v>7</v>
          </cell>
          <cell r="I13">
            <v>5.2</v>
          </cell>
          <cell r="J13">
            <v>5.7</v>
          </cell>
          <cell r="K13">
            <v>5.0999999999999996</v>
          </cell>
          <cell r="L13">
            <v>8.3000000000000007</v>
          </cell>
        </row>
        <row r="14">
          <cell r="B14">
            <v>7.4</v>
          </cell>
          <cell r="C14">
            <v>18.100000000000001</v>
          </cell>
          <cell r="D14">
            <v>11.5</v>
          </cell>
          <cell r="E14">
            <v>9.1999999999999993</v>
          </cell>
          <cell r="F14">
            <v>10.199999999999999</v>
          </cell>
          <cell r="G14">
            <v>8.6999999999999993</v>
          </cell>
          <cell r="H14">
            <v>6.9</v>
          </cell>
          <cell r="I14">
            <v>5.4</v>
          </cell>
          <cell r="J14">
            <v>5.5</v>
          </cell>
          <cell r="K14">
            <v>4.7</v>
          </cell>
          <cell r="L14">
            <v>7.3</v>
          </cell>
        </row>
        <row r="15">
          <cell r="B15">
            <v>6.9</v>
          </cell>
          <cell r="C15">
            <v>17.5</v>
          </cell>
          <cell r="D15">
            <v>11</v>
          </cell>
          <cell r="E15">
            <v>8.8000000000000007</v>
          </cell>
          <cell r="F15">
            <v>10.1</v>
          </cell>
          <cell r="G15">
            <v>8.4</v>
          </cell>
          <cell r="H15">
            <v>6.7</v>
          </cell>
          <cell r="I15">
            <v>4.9000000000000004</v>
          </cell>
          <cell r="J15">
            <v>5.3</v>
          </cell>
          <cell r="K15">
            <v>4</v>
          </cell>
          <cell r="L15">
            <v>6</v>
          </cell>
        </row>
        <row r="16">
          <cell r="B16">
            <v>6.4</v>
          </cell>
          <cell r="C16">
            <v>16.8</v>
          </cell>
          <cell r="D16">
            <v>11.3</v>
          </cell>
          <cell r="E16">
            <v>8.1999999999999993</v>
          </cell>
          <cell r="F16">
            <v>9.1</v>
          </cell>
          <cell r="G16">
            <v>8.1999999999999993</v>
          </cell>
          <cell r="H16">
            <v>6.4</v>
          </cell>
          <cell r="I16">
            <v>4.4000000000000004</v>
          </cell>
          <cell r="J16">
            <v>4.8</v>
          </cell>
          <cell r="K16">
            <v>3.5</v>
          </cell>
          <cell r="L16">
            <v>4.8</v>
          </cell>
        </row>
        <row r="17">
          <cell r="B17">
            <v>6.1</v>
          </cell>
          <cell r="C17">
            <v>15.3</v>
          </cell>
          <cell r="D17">
            <v>10.5</v>
          </cell>
          <cell r="E17">
            <v>8.3000000000000007</v>
          </cell>
          <cell r="F17">
            <v>7.8</v>
          </cell>
          <cell r="G17">
            <v>7.3</v>
          </cell>
          <cell r="H17">
            <v>6.4</v>
          </cell>
          <cell r="I17">
            <v>4.4000000000000004</v>
          </cell>
          <cell r="J17">
            <v>4.3</v>
          </cell>
          <cell r="K17">
            <v>3.5</v>
          </cell>
          <cell r="L17">
            <v>4.3</v>
          </cell>
        </row>
        <row r="18">
          <cell r="B18">
            <v>6.3</v>
          </cell>
          <cell r="C18">
            <v>15.1</v>
          </cell>
          <cell r="D18">
            <v>10.9</v>
          </cell>
          <cell r="E18">
            <v>7.9</v>
          </cell>
          <cell r="F18">
            <v>8.8000000000000007</v>
          </cell>
          <cell r="G18">
            <v>7.4</v>
          </cell>
          <cell r="H18">
            <v>6.6</v>
          </cell>
          <cell r="I18">
            <v>4.2</v>
          </cell>
          <cell r="J18">
            <v>4.2</v>
          </cell>
          <cell r="K18">
            <v>3.6</v>
          </cell>
          <cell r="L18">
            <v>4.7</v>
          </cell>
        </row>
        <row r="27">
          <cell r="B27">
            <v>12.3</v>
          </cell>
          <cell r="C27">
            <v>24.3</v>
          </cell>
          <cell r="D27">
            <v>19.7</v>
          </cell>
          <cell r="E27">
            <v>17.2</v>
          </cell>
          <cell r="F27">
            <v>16.899999999999999</v>
          </cell>
          <cell r="G27">
            <v>15</v>
          </cell>
          <cell r="H27">
            <v>11.3</v>
          </cell>
          <cell r="I27">
            <v>9.4</v>
          </cell>
          <cell r="J27">
            <v>9</v>
          </cell>
          <cell r="K27">
            <v>8</v>
          </cell>
          <cell r="L27">
            <v>11.5</v>
          </cell>
        </row>
        <row r="28">
          <cell r="B28">
            <v>11.2</v>
          </cell>
          <cell r="C28">
            <v>23.4</v>
          </cell>
          <cell r="D28">
            <v>18.2</v>
          </cell>
          <cell r="E28">
            <v>14.8</v>
          </cell>
          <cell r="F28">
            <v>15.9</v>
          </cell>
          <cell r="G28">
            <v>13.4</v>
          </cell>
          <cell r="H28">
            <v>9.6999999999999993</v>
          </cell>
          <cell r="I28">
            <v>8.1</v>
          </cell>
          <cell r="J28">
            <v>8.6999999999999993</v>
          </cell>
          <cell r="K28">
            <v>7.6</v>
          </cell>
          <cell r="L28">
            <v>12.2</v>
          </cell>
        </row>
        <row r="29">
          <cell r="B29">
            <v>10</v>
          </cell>
          <cell r="C29">
            <v>21.6</v>
          </cell>
          <cell r="D29">
            <v>17.8</v>
          </cell>
          <cell r="E29">
            <v>13.2</v>
          </cell>
          <cell r="F29">
            <v>13.5</v>
          </cell>
          <cell r="G29">
            <v>12</v>
          </cell>
          <cell r="H29">
            <v>8.3000000000000007</v>
          </cell>
          <cell r="I29">
            <v>7.8</v>
          </cell>
          <cell r="J29">
            <v>8.8000000000000007</v>
          </cell>
          <cell r="K29">
            <v>7.6</v>
          </cell>
          <cell r="L29">
            <v>11.6</v>
          </cell>
        </row>
        <row r="30">
          <cell r="B30">
            <v>9.1</v>
          </cell>
          <cell r="C30">
            <v>20.7</v>
          </cell>
          <cell r="D30">
            <v>15.2</v>
          </cell>
          <cell r="E30">
            <v>12.4</v>
          </cell>
          <cell r="F30">
            <v>12.6</v>
          </cell>
          <cell r="G30">
            <v>11.1</v>
          </cell>
          <cell r="H30">
            <v>7.6</v>
          </cell>
          <cell r="I30">
            <v>6.9</v>
          </cell>
          <cell r="J30">
            <v>7.4</v>
          </cell>
          <cell r="K30">
            <v>6.6</v>
          </cell>
          <cell r="L30">
            <v>10.1</v>
          </cell>
        </row>
        <row r="31">
          <cell r="B31">
            <v>9.4</v>
          </cell>
          <cell r="C31">
            <v>20</v>
          </cell>
          <cell r="D31">
            <v>14.8</v>
          </cell>
          <cell r="E31">
            <v>12.4</v>
          </cell>
          <cell r="F31">
            <v>13.5</v>
          </cell>
          <cell r="G31">
            <v>11</v>
          </cell>
          <cell r="H31">
            <v>8.3000000000000007</v>
          </cell>
          <cell r="I31">
            <v>7.1</v>
          </cell>
          <cell r="J31">
            <v>8.1999999999999993</v>
          </cell>
          <cell r="K31">
            <v>6.1</v>
          </cell>
          <cell r="L31">
            <v>10.9</v>
          </cell>
        </row>
        <row r="32">
          <cell r="B32">
            <v>10.1</v>
          </cell>
          <cell r="C32">
            <v>21.1</v>
          </cell>
          <cell r="D32">
            <v>14.9</v>
          </cell>
          <cell r="E32">
            <v>12.8</v>
          </cell>
          <cell r="F32">
            <v>12.6</v>
          </cell>
          <cell r="G32">
            <v>11</v>
          </cell>
          <cell r="H32">
            <v>9.1999999999999993</v>
          </cell>
          <cell r="I32">
            <v>7.2</v>
          </cell>
          <cell r="J32">
            <v>8.4</v>
          </cell>
          <cell r="K32">
            <v>6.9</v>
          </cell>
          <cell r="L32">
            <v>12.3</v>
          </cell>
        </row>
        <row r="33">
          <cell r="B33">
            <v>10.1</v>
          </cell>
          <cell r="C33">
            <v>20.7</v>
          </cell>
          <cell r="D33">
            <v>13.9</v>
          </cell>
          <cell r="E33">
            <v>12</v>
          </cell>
          <cell r="F33">
            <v>12.8</v>
          </cell>
          <cell r="G33">
            <v>11.4</v>
          </cell>
          <cell r="H33">
            <v>9.3000000000000007</v>
          </cell>
          <cell r="I33">
            <v>7.2</v>
          </cell>
          <cell r="J33">
            <v>8.1999999999999993</v>
          </cell>
          <cell r="K33">
            <v>6.7</v>
          </cell>
          <cell r="L33">
            <v>11.9</v>
          </cell>
        </row>
        <row r="34">
          <cell r="B34">
            <v>9.5</v>
          </cell>
          <cell r="C34">
            <v>19.8</v>
          </cell>
          <cell r="D34">
            <v>14.4</v>
          </cell>
          <cell r="E34">
            <v>11.6</v>
          </cell>
          <cell r="F34">
            <v>12.3</v>
          </cell>
          <cell r="G34">
            <v>10.7</v>
          </cell>
          <cell r="H34">
            <v>8.8000000000000007</v>
          </cell>
          <cell r="I34">
            <v>7.3</v>
          </cell>
          <cell r="J34">
            <v>8</v>
          </cell>
          <cell r="K34">
            <v>6.2</v>
          </cell>
          <cell r="L34">
            <v>10.3</v>
          </cell>
        </row>
        <row r="35">
          <cell r="B35">
            <v>8.9</v>
          </cell>
          <cell r="C35">
            <v>19</v>
          </cell>
          <cell r="D35">
            <v>13.7</v>
          </cell>
          <cell r="E35">
            <v>11.3</v>
          </cell>
          <cell r="F35">
            <v>12.3</v>
          </cell>
          <cell r="G35">
            <v>10.3</v>
          </cell>
          <cell r="H35">
            <v>8.6999999999999993</v>
          </cell>
          <cell r="I35">
            <v>6.8</v>
          </cell>
          <cell r="J35">
            <v>7.4</v>
          </cell>
          <cell r="K35">
            <v>5.3</v>
          </cell>
          <cell r="L35">
            <v>8.4</v>
          </cell>
        </row>
        <row r="36">
          <cell r="B36">
            <v>8.1999999999999993</v>
          </cell>
          <cell r="C36">
            <v>18.399999999999999</v>
          </cell>
          <cell r="D36">
            <v>13.6</v>
          </cell>
          <cell r="E36">
            <v>10.6</v>
          </cell>
          <cell r="F36">
            <v>11.2</v>
          </cell>
          <cell r="G36">
            <v>10</v>
          </cell>
          <cell r="H36">
            <v>8.1999999999999993</v>
          </cell>
          <cell r="I36">
            <v>6.1</v>
          </cell>
          <cell r="J36">
            <v>6.6</v>
          </cell>
          <cell r="K36">
            <v>4.4000000000000004</v>
          </cell>
          <cell r="L36">
            <v>6.8</v>
          </cell>
        </row>
        <row r="37">
          <cell r="B37">
            <v>7.8</v>
          </cell>
          <cell r="C37">
            <v>16.7</v>
          </cell>
          <cell r="D37">
            <v>12.8</v>
          </cell>
          <cell r="E37">
            <v>10.6</v>
          </cell>
          <cell r="F37">
            <v>9.6</v>
          </cell>
          <cell r="G37">
            <v>9</v>
          </cell>
          <cell r="H37">
            <v>8.3000000000000007</v>
          </cell>
          <cell r="I37">
            <v>5.9</v>
          </cell>
          <cell r="J37">
            <v>5.8</v>
          </cell>
          <cell r="K37">
            <v>4.2</v>
          </cell>
          <cell r="L37">
            <v>6</v>
          </cell>
        </row>
        <row r="38">
          <cell r="B38">
            <v>8</v>
          </cell>
          <cell r="C38">
            <v>16.2</v>
          </cell>
          <cell r="D38">
            <v>13.2</v>
          </cell>
          <cell r="E38">
            <v>10.1</v>
          </cell>
          <cell r="F38">
            <v>10.6</v>
          </cell>
          <cell r="G38">
            <v>9.1</v>
          </cell>
          <cell r="H38">
            <v>8.6</v>
          </cell>
          <cell r="I38">
            <v>5.7</v>
          </cell>
          <cell r="J38">
            <v>5.7</v>
          </cell>
          <cell r="K38">
            <v>4.3</v>
          </cell>
          <cell r="L38">
            <v>6.5</v>
          </cell>
        </row>
      </sheetData>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ist of Tables"/>
      <sheetName val="1"/>
      <sheetName val="2a"/>
      <sheetName val="2b"/>
      <sheetName val="2c"/>
      <sheetName val="2d"/>
      <sheetName val="2e"/>
      <sheetName val="3a"/>
      <sheetName val="3b"/>
      <sheetName val="4"/>
      <sheetName val="5"/>
      <sheetName val="6a"/>
      <sheetName val="6b"/>
      <sheetName val="6c"/>
      <sheetName val="6d"/>
      <sheetName val="6e"/>
      <sheetName val="7a"/>
      <sheetName val="7b"/>
      <sheetName val="7c"/>
      <sheetName val="7d"/>
      <sheetName val="8a"/>
      <sheetName val="8b"/>
      <sheetName val="8c"/>
      <sheetName val="8d"/>
      <sheetName val="9a"/>
      <sheetName val="9b"/>
      <sheetName val="9c"/>
      <sheetName val="9d"/>
      <sheetName val="10a"/>
      <sheetName val="10b"/>
      <sheetName val="10c"/>
      <sheetName val="10d"/>
      <sheetName val="10e"/>
      <sheetName val="10f"/>
      <sheetName val="10g"/>
      <sheetName val="11a"/>
      <sheetName val="11b"/>
      <sheetName val="11c"/>
      <sheetName val="11d"/>
      <sheetName val="11e"/>
      <sheetName val="11f"/>
      <sheetName val="11g"/>
      <sheetName val="11h"/>
      <sheetName val="11i"/>
      <sheetName val="11j"/>
      <sheetName val="12a"/>
      <sheetName val="12b"/>
      <sheetName val="12c"/>
      <sheetName val="12d"/>
      <sheetName val="12e"/>
      <sheetName val="12f"/>
      <sheetName val="12g"/>
      <sheetName val="12h"/>
      <sheetName val="12i"/>
      <sheetName val="13a"/>
      <sheetName val="13b"/>
      <sheetName val="13c"/>
      <sheetName val="13d"/>
      <sheetName val="13e"/>
      <sheetName val="13f"/>
      <sheetName val="14a"/>
      <sheetName val="14b"/>
      <sheetName val="14c"/>
      <sheetName val="14d"/>
      <sheetName val="14e"/>
      <sheetName val="14f"/>
      <sheetName val="15a"/>
      <sheetName val="15b"/>
      <sheetName val="15c"/>
      <sheetName val="15d"/>
      <sheetName val="15e"/>
      <sheetName val="15f"/>
      <sheetName val="16a"/>
      <sheetName val="16b"/>
      <sheetName val="16c"/>
      <sheetName val="16d"/>
      <sheetName val="16e"/>
      <sheetName val="16f"/>
      <sheetName val="16g"/>
      <sheetName val="16h"/>
      <sheetName val="16i"/>
      <sheetName val="16j"/>
      <sheetName val="16k"/>
      <sheetName val="16l"/>
      <sheetName val="17a"/>
      <sheetName val="17b"/>
      <sheetName val="17c"/>
      <sheetName val="18a"/>
      <sheetName val="18b"/>
      <sheetName val="19a"/>
      <sheetName val="19b"/>
      <sheetName val="19c"/>
      <sheetName val="19d"/>
      <sheetName val="19e"/>
      <sheetName val="19f"/>
      <sheetName val="19g"/>
      <sheetName val="19H"/>
      <sheetName val="19I"/>
      <sheetName val="20a"/>
      <sheetName val="20b"/>
      <sheetName val="21"/>
      <sheetName val="22a"/>
      <sheetName val="22b"/>
      <sheetName val="22c"/>
      <sheetName val="22d"/>
      <sheetName val="23"/>
      <sheetName val="24a"/>
      <sheetName val="24b"/>
      <sheetName val="24c"/>
      <sheetName val="24d"/>
      <sheetName val="24e"/>
      <sheetName val="24f"/>
      <sheetName val="25a"/>
      <sheetName val="25b"/>
      <sheetName val="26a"/>
      <sheetName val="26b"/>
      <sheetName val="26c"/>
      <sheetName val="26d"/>
      <sheetName val="26e"/>
      <sheetName val="27"/>
      <sheetName val="28a"/>
      <sheetName val="28b"/>
      <sheetName val="28c"/>
      <sheetName val="29a"/>
      <sheetName val="29b"/>
      <sheetName val="30"/>
      <sheetName val="31"/>
      <sheetName val="32"/>
      <sheetName val="33"/>
      <sheetName val="Sheet1"/>
      <sheetName val="34a"/>
      <sheetName val="34b"/>
      <sheetName val="35a"/>
      <sheetName val="35b"/>
      <sheetName val="35c"/>
      <sheetName val="35d"/>
      <sheetName val="36"/>
      <sheetName val="36a"/>
      <sheetName val="36b"/>
      <sheetName val="37"/>
      <sheetName val="37a"/>
      <sheetName val="37b"/>
      <sheetName val="37c"/>
      <sheetName val="37d"/>
      <sheetName val="37e"/>
      <sheetName val="37f"/>
      <sheetName val="37g"/>
      <sheetName val="37h"/>
      <sheetName val="37i"/>
      <sheetName val="37j"/>
      <sheetName val="38"/>
      <sheetName val="39"/>
      <sheetName val="40"/>
      <sheetName val="41"/>
      <sheetName val="42"/>
      <sheetName val="43"/>
      <sheetName val="44a"/>
      <sheetName val="44b"/>
      <sheetName val="44c"/>
      <sheetName val="45a"/>
      <sheetName val="45b"/>
      <sheetName val="45c"/>
      <sheetName val="46"/>
      <sheetName val="47"/>
      <sheetName val="47a"/>
      <sheetName val="47b"/>
      <sheetName val="47c"/>
      <sheetName val="47d"/>
      <sheetName val="48"/>
      <sheetName val="49"/>
      <sheetName val="50"/>
      <sheetName val="51a-j"/>
      <sheetName val="52"/>
      <sheetName val="53"/>
      <sheetName val="54"/>
      <sheetName val="55"/>
      <sheetName val="56"/>
      <sheetName val="57"/>
      <sheetName val="58"/>
      <sheetName val="58a"/>
      <sheetName val="58b"/>
      <sheetName val="58c"/>
      <sheetName val="58d"/>
      <sheetName val="58e"/>
      <sheetName val="58f"/>
      <sheetName val="58g"/>
      <sheetName val="58h"/>
      <sheetName val="58i"/>
      <sheetName val="58j"/>
      <sheetName val="59a"/>
      <sheetName val="59b"/>
      <sheetName val="60"/>
      <sheetName val="61"/>
      <sheetName val="62"/>
      <sheetName val="63"/>
      <sheetName val="64"/>
      <sheetName val="65"/>
      <sheetName val="66"/>
      <sheetName val="67"/>
      <sheetName val="68A"/>
      <sheetName val="68B"/>
      <sheetName val="68C"/>
      <sheetName val="69"/>
      <sheetName val="70"/>
      <sheetName val="71a"/>
      <sheetName val="71b"/>
      <sheetName val="71c"/>
      <sheetName val="DataC9-C13"/>
      <sheetName val="DataC14-C21"/>
      <sheetName val="DataC21.1-C24"/>
      <sheetName val="DataC25-C29"/>
      <sheetName val="DataC30-C34"/>
      <sheetName val="DataC35-C39"/>
      <sheetName val="DataC39-C42"/>
      <sheetName val="Data 43-"/>
      <sheetName val="72a"/>
      <sheetName val="72b"/>
      <sheetName val="73a"/>
      <sheetName val="73b"/>
      <sheetName val="DataC5-C8"/>
      <sheetName val="C1"/>
      <sheetName val="C1.1"/>
      <sheetName val="C1.2"/>
      <sheetName val="C2"/>
      <sheetName val="DataC1-C4"/>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21.1"/>
      <sheetName val="C21.2"/>
      <sheetName val="C22"/>
      <sheetName val="C23"/>
      <sheetName val="C24"/>
      <sheetName val="C25"/>
      <sheetName val="C26"/>
      <sheetName val="C27"/>
      <sheetName val="C28"/>
      <sheetName val="C29"/>
      <sheetName val="C30"/>
      <sheetName val="C31"/>
      <sheetName val="C31.1"/>
      <sheetName val="C31.2"/>
      <sheetName val="C32"/>
      <sheetName val="C33"/>
      <sheetName val="C34"/>
      <sheetName val="C35"/>
      <sheetName val="C35b"/>
      <sheetName val="C36"/>
      <sheetName val="C37"/>
      <sheetName val="C37.1"/>
      <sheetName val="C37.2"/>
      <sheetName val="C37.3"/>
      <sheetName val="C38"/>
      <sheetName val="C39"/>
      <sheetName val="C40"/>
      <sheetName val="C41"/>
      <sheetName val="C42"/>
      <sheetName val="C43"/>
      <sheetName val="C44"/>
      <sheetName val="C45"/>
      <sheetName val="C46"/>
      <sheetName val="C47"/>
      <sheetName val="C48"/>
      <sheetName val="C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ow r="6">
          <cell r="B6">
            <v>8600</v>
          </cell>
          <cell r="C6">
            <v>21500</v>
          </cell>
          <cell r="D6">
            <v>31000</v>
          </cell>
          <cell r="E6">
            <v>42200</v>
          </cell>
          <cell r="F6">
            <v>67900</v>
          </cell>
          <cell r="G6">
            <v>18700</v>
          </cell>
          <cell r="H6">
            <v>45900</v>
          </cell>
          <cell r="I6">
            <v>63800</v>
          </cell>
          <cell r="J6">
            <v>84200</v>
          </cell>
          <cell r="K6">
            <v>125600</v>
          </cell>
        </row>
        <row r="7">
          <cell r="B7">
            <v>7600</v>
          </cell>
          <cell r="C7">
            <v>19500</v>
          </cell>
          <cell r="D7">
            <v>29300</v>
          </cell>
          <cell r="E7">
            <v>40400</v>
          </cell>
          <cell r="F7">
            <v>67100</v>
          </cell>
          <cell r="G7">
            <v>16600</v>
          </cell>
          <cell r="H7">
            <v>41100</v>
          </cell>
          <cell r="I7">
            <v>60500</v>
          </cell>
          <cell r="J7">
            <v>80300</v>
          </cell>
          <cell r="K7">
            <v>123900</v>
          </cell>
        </row>
        <row r="8">
          <cell r="B8">
            <v>7400</v>
          </cell>
          <cell r="C8">
            <v>18400</v>
          </cell>
          <cell r="D8">
            <v>28400</v>
          </cell>
          <cell r="E8">
            <v>40000</v>
          </cell>
          <cell r="F8">
            <v>67900</v>
          </cell>
          <cell r="G8">
            <v>15800</v>
          </cell>
          <cell r="H8">
            <v>39000</v>
          </cell>
          <cell r="I8">
            <v>58200</v>
          </cell>
          <cell r="J8">
            <v>78800</v>
          </cell>
          <cell r="K8">
            <v>124800</v>
          </cell>
        </row>
        <row r="9">
          <cell r="B9">
            <v>7100</v>
          </cell>
          <cell r="C9">
            <v>18700</v>
          </cell>
          <cell r="D9">
            <v>29100</v>
          </cell>
          <cell r="E9">
            <v>40200</v>
          </cell>
          <cell r="F9">
            <v>67800</v>
          </cell>
          <cell r="G9">
            <v>15200</v>
          </cell>
          <cell r="H9">
            <v>39000</v>
          </cell>
          <cell r="I9">
            <v>59400</v>
          </cell>
          <cell r="J9">
            <v>78900</v>
          </cell>
          <cell r="K9">
            <v>125200</v>
          </cell>
        </row>
        <row r="10">
          <cell r="B10">
            <v>7900</v>
          </cell>
          <cell r="C10">
            <v>19700</v>
          </cell>
          <cell r="D10">
            <v>30300</v>
          </cell>
          <cell r="E10">
            <v>41400</v>
          </cell>
          <cell r="F10">
            <v>69300</v>
          </cell>
          <cell r="G10">
            <v>16500</v>
          </cell>
          <cell r="H10">
            <v>40900</v>
          </cell>
          <cell r="I10">
            <v>61000</v>
          </cell>
          <cell r="J10">
            <v>80600</v>
          </cell>
          <cell r="K10">
            <v>127100</v>
          </cell>
        </row>
        <row r="11">
          <cell r="B11">
            <v>8200</v>
          </cell>
          <cell r="C11">
            <v>20200</v>
          </cell>
          <cell r="D11">
            <v>31200</v>
          </cell>
          <cell r="E11">
            <v>42100</v>
          </cell>
          <cell r="F11">
            <v>71100</v>
          </cell>
          <cell r="G11">
            <v>17100</v>
          </cell>
          <cell r="H11">
            <v>41500</v>
          </cell>
          <cell r="I11">
            <v>62800</v>
          </cell>
          <cell r="J11">
            <v>82300</v>
          </cell>
          <cell r="K11">
            <v>131000</v>
          </cell>
        </row>
        <row r="12">
          <cell r="B12">
            <v>8700</v>
          </cell>
          <cell r="C12">
            <v>20800</v>
          </cell>
          <cell r="D12">
            <v>31200</v>
          </cell>
          <cell r="E12">
            <v>42900</v>
          </cell>
          <cell r="F12">
            <v>72200</v>
          </cell>
          <cell r="G12">
            <v>18100</v>
          </cell>
          <cell r="H12">
            <v>42200</v>
          </cell>
          <cell r="I12">
            <v>63100</v>
          </cell>
          <cell r="J12">
            <v>84000</v>
          </cell>
          <cell r="K12">
            <v>133100</v>
          </cell>
        </row>
        <row r="13">
          <cell r="B13">
            <v>8800</v>
          </cell>
          <cell r="C13">
            <v>21700</v>
          </cell>
          <cell r="D13">
            <v>32700</v>
          </cell>
          <cell r="E13">
            <v>44100</v>
          </cell>
          <cell r="F13">
            <v>74000</v>
          </cell>
          <cell r="G13">
            <v>18100</v>
          </cell>
          <cell r="H13">
            <v>44000</v>
          </cell>
          <cell r="I13">
            <v>65400</v>
          </cell>
          <cell r="J13">
            <v>85400</v>
          </cell>
          <cell r="K13">
            <v>135100</v>
          </cell>
        </row>
        <row r="14">
          <cell r="B14">
            <v>9300</v>
          </cell>
          <cell r="C14">
            <v>22600</v>
          </cell>
          <cell r="D14">
            <v>33300</v>
          </cell>
          <cell r="E14">
            <v>45100</v>
          </cell>
          <cell r="F14">
            <v>76100</v>
          </cell>
          <cell r="G14">
            <v>18800</v>
          </cell>
          <cell r="H14">
            <v>45900</v>
          </cell>
          <cell r="I14">
            <v>66600</v>
          </cell>
          <cell r="J14">
            <v>87500</v>
          </cell>
          <cell r="K14">
            <v>139300</v>
          </cell>
        </row>
        <row r="15">
          <cell r="B15">
            <v>8200</v>
          </cell>
          <cell r="C15">
            <v>21000</v>
          </cell>
          <cell r="D15">
            <v>32100</v>
          </cell>
          <cell r="E15">
            <v>44000</v>
          </cell>
          <cell r="F15">
            <v>74300</v>
          </cell>
          <cell r="G15">
            <v>16700</v>
          </cell>
          <cell r="H15">
            <v>42500</v>
          </cell>
          <cell r="I15">
            <v>64000</v>
          </cell>
          <cell r="J15">
            <v>85200</v>
          </cell>
          <cell r="K15">
            <v>136700</v>
          </cell>
        </row>
        <row r="16">
          <cell r="B16">
            <v>7400</v>
          </cell>
          <cell r="C16">
            <v>18900</v>
          </cell>
          <cell r="D16">
            <v>29800</v>
          </cell>
          <cell r="E16">
            <v>41900</v>
          </cell>
          <cell r="F16">
            <v>73800</v>
          </cell>
          <cell r="G16">
            <v>15400</v>
          </cell>
          <cell r="H16">
            <v>38600</v>
          </cell>
          <cell r="I16">
            <v>59300</v>
          </cell>
          <cell r="J16">
            <v>80900</v>
          </cell>
          <cell r="K16">
            <v>135200</v>
          </cell>
        </row>
        <row r="17">
          <cell r="B17">
            <v>6800</v>
          </cell>
          <cell r="C17">
            <v>18400</v>
          </cell>
          <cell r="D17">
            <v>29400</v>
          </cell>
          <cell r="E17">
            <v>41600</v>
          </cell>
          <cell r="F17">
            <v>73500</v>
          </cell>
          <cell r="G17">
            <v>13700</v>
          </cell>
          <cell r="H17">
            <v>37600</v>
          </cell>
          <cell r="I17">
            <v>58400</v>
          </cell>
          <cell r="J17">
            <v>79900</v>
          </cell>
          <cell r="K17">
            <v>133800</v>
          </cell>
        </row>
        <row r="18">
          <cell r="B18">
            <v>6500</v>
          </cell>
          <cell r="C18">
            <v>17700</v>
          </cell>
          <cell r="D18">
            <v>28700</v>
          </cell>
          <cell r="E18">
            <v>40600</v>
          </cell>
          <cell r="F18">
            <v>70000</v>
          </cell>
          <cell r="G18">
            <v>13300</v>
          </cell>
          <cell r="H18">
            <v>35900</v>
          </cell>
          <cell r="I18">
            <v>57300</v>
          </cell>
          <cell r="J18">
            <v>79000</v>
          </cell>
          <cell r="K18">
            <v>127100</v>
          </cell>
        </row>
        <row r="19">
          <cell r="B19">
            <v>6700</v>
          </cell>
          <cell r="C19">
            <v>18200</v>
          </cell>
          <cell r="D19">
            <v>29200</v>
          </cell>
          <cell r="E19">
            <v>41300</v>
          </cell>
          <cell r="F19">
            <v>71700</v>
          </cell>
          <cell r="G19">
            <v>13700</v>
          </cell>
          <cell r="H19">
            <v>37100</v>
          </cell>
          <cell r="I19">
            <v>58300</v>
          </cell>
          <cell r="J19">
            <v>80600</v>
          </cell>
          <cell r="K19">
            <v>131000</v>
          </cell>
        </row>
        <row r="20">
          <cell r="B20">
            <v>6900</v>
          </cell>
          <cell r="C20">
            <v>18300</v>
          </cell>
          <cell r="D20">
            <v>29200</v>
          </cell>
          <cell r="E20">
            <v>41600</v>
          </cell>
          <cell r="F20">
            <v>72600</v>
          </cell>
          <cell r="G20">
            <v>14100</v>
          </cell>
          <cell r="H20">
            <v>37000</v>
          </cell>
          <cell r="I20">
            <v>57600</v>
          </cell>
          <cell r="J20">
            <v>80700</v>
          </cell>
          <cell r="K20">
            <v>132300</v>
          </cell>
        </row>
        <row r="21">
          <cell r="B21">
            <v>6600</v>
          </cell>
          <cell r="C21">
            <v>18100</v>
          </cell>
          <cell r="D21">
            <v>29400</v>
          </cell>
          <cell r="E21">
            <v>41800</v>
          </cell>
          <cell r="F21">
            <v>74700</v>
          </cell>
          <cell r="G21">
            <v>13600</v>
          </cell>
          <cell r="H21">
            <v>36800</v>
          </cell>
          <cell r="I21">
            <v>58600</v>
          </cell>
          <cell r="J21">
            <v>81300</v>
          </cell>
          <cell r="K21">
            <v>137000</v>
          </cell>
        </row>
        <row r="22">
          <cell r="B22">
            <v>7000</v>
          </cell>
          <cell r="C22">
            <v>18400</v>
          </cell>
          <cell r="D22">
            <v>30000</v>
          </cell>
          <cell r="E22">
            <v>42500</v>
          </cell>
          <cell r="F22">
            <v>76000</v>
          </cell>
          <cell r="G22">
            <v>14300</v>
          </cell>
          <cell r="H22">
            <v>37200</v>
          </cell>
          <cell r="I22">
            <v>59200</v>
          </cell>
          <cell r="J22">
            <v>83100</v>
          </cell>
          <cell r="K22">
            <v>139000</v>
          </cell>
        </row>
        <row r="23">
          <cell r="B23">
            <v>7000</v>
          </cell>
          <cell r="C23">
            <v>19000</v>
          </cell>
          <cell r="D23">
            <v>31200</v>
          </cell>
          <cell r="E23">
            <v>44300</v>
          </cell>
          <cell r="F23">
            <v>82000</v>
          </cell>
          <cell r="G23">
            <v>14300</v>
          </cell>
          <cell r="H23">
            <v>37900</v>
          </cell>
          <cell r="I23">
            <v>62200</v>
          </cell>
          <cell r="J23">
            <v>86200</v>
          </cell>
          <cell r="K23">
            <v>150400</v>
          </cell>
        </row>
        <row r="24">
          <cell r="B24">
            <v>7900</v>
          </cell>
          <cell r="C24">
            <v>20500</v>
          </cell>
          <cell r="D24">
            <v>32500</v>
          </cell>
          <cell r="E24">
            <v>45400</v>
          </cell>
          <cell r="F24">
            <v>83500</v>
          </cell>
          <cell r="G24">
            <v>16000</v>
          </cell>
          <cell r="H24">
            <v>41100</v>
          </cell>
          <cell r="I24">
            <v>64300</v>
          </cell>
          <cell r="J24">
            <v>88100</v>
          </cell>
          <cell r="K24">
            <v>153400</v>
          </cell>
        </row>
        <row r="25">
          <cell r="B25">
            <v>8600</v>
          </cell>
          <cell r="C25">
            <v>21100</v>
          </cell>
          <cell r="D25">
            <v>33400</v>
          </cell>
          <cell r="E25">
            <v>46900</v>
          </cell>
          <cell r="F25">
            <v>89100</v>
          </cell>
          <cell r="G25">
            <v>17400</v>
          </cell>
          <cell r="H25">
            <v>42400</v>
          </cell>
          <cell r="I25">
            <v>65600</v>
          </cell>
          <cell r="J25">
            <v>90800</v>
          </cell>
          <cell r="K25">
            <v>166200</v>
          </cell>
        </row>
        <row r="26">
          <cell r="B26">
            <v>8400</v>
          </cell>
          <cell r="C26">
            <v>21100</v>
          </cell>
          <cell r="D26">
            <v>33400</v>
          </cell>
          <cell r="E26">
            <v>47300</v>
          </cell>
          <cell r="F26">
            <v>90600</v>
          </cell>
          <cell r="G26">
            <v>17200</v>
          </cell>
          <cell r="H26">
            <v>41800</v>
          </cell>
          <cell r="I26">
            <v>66100</v>
          </cell>
          <cell r="J26">
            <v>91400</v>
          </cell>
          <cell r="K26">
            <v>167800</v>
          </cell>
        </row>
        <row r="27">
          <cell r="B27">
            <v>8500</v>
          </cell>
          <cell r="C27">
            <v>21100</v>
          </cell>
          <cell r="D27">
            <v>33300</v>
          </cell>
          <cell r="E27">
            <v>47300</v>
          </cell>
          <cell r="F27">
            <v>90800</v>
          </cell>
          <cell r="G27">
            <v>17000</v>
          </cell>
          <cell r="H27">
            <v>42000</v>
          </cell>
          <cell r="I27">
            <v>65900</v>
          </cell>
          <cell r="J27">
            <v>91100</v>
          </cell>
          <cell r="K27">
            <v>166200</v>
          </cell>
        </row>
        <row r="28">
          <cell r="B28">
            <v>8600</v>
          </cell>
          <cell r="C28">
            <v>21000</v>
          </cell>
          <cell r="D28">
            <v>33400</v>
          </cell>
          <cell r="E28">
            <v>47400</v>
          </cell>
          <cell r="F28">
            <v>89300</v>
          </cell>
          <cell r="G28">
            <v>17500</v>
          </cell>
          <cell r="H28">
            <v>41700</v>
          </cell>
          <cell r="I28">
            <v>66300</v>
          </cell>
          <cell r="J28">
            <v>90600</v>
          </cell>
          <cell r="K28">
            <v>164500</v>
          </cell>
        </row>
        <row r="29">
          <cell r="B29">
            <v>8800</v>
          </cell>
          <cell r="C29">
            <v>21300</v>
          </cell>
          <cell r="D29">
            <v>34200</v>
          </cell>
          <cell r="E29">
            <v>48400</v>
          </cell>
          <cell r="F29">
            <v>93100</v>
          </cell>
          <cell r="G29">
            <v>17800</v>
          </cell>
          <cell r="H29">
            <v>41900</v>
          </cell>
          <cell r="I29">
            <v>67400</v>
          </cell>
          <cell r="J29">
            <v>92000</v>
          </cell>
          <cell r="K29">
            <v>172400</v>
          </cell>
        </row>
        <row r="30">
          <cell r="B30">
            <v>9200</v>
          </cell>
          <cell r="C30">
            <v>22000</v>
          </cell>
          <cell r="D30">
            <v>34600</v>
          </cell>
          <cell r="E30">
            <v>49600</v>
          </cell>
          <cell r="F30">
            <v>92900</v>
          </cell>
          <cell r="G30">
            <v>18400</v>
          </cell>
          <cell r="H30">
            <v>43000</v>
          </cell>
          <cell r="I30">
            <v>68400</v>
          </cell>
          <cell r="J30">
            <v>95300</v>
          </cell>
          <cell r="K30">
            <v>170700</v>
          </cell>
        </row>
        <row r="31">
          <cell r="B31">
            <v>9600</v>
          </cell>
          <cell r="C31">
            <v>22100</v>
          </cell>
          <cell r="D31">
            <v>35100</v>
          </cell>
          <cell r="E31">
            <v>50000</v>
          </cell>
          <cell r="F31">
            <v>95000</v>
          </cell>
          <cell r="G31">
            <v>19200</v>
          </cell>
          <cell r="H31">
            <v>44400</v>
          </cell>
          <cell r="I31">
            <v>68500</v>
          </cell>
          <cell r="J31">
            <v>95300</v>
          </cell>
          <cell r="K31">
            <v>173700</v>
          </cell>
        </row>
        <row r="32">
          <cell r="B32">
            <v>10000</v>
          </cell>
          <cell r="C32">
            <v>23300</v>
          </cell>
          <cell r="D32">
            <v>35900</v>
          </cell>
          <cell r="E32">
            <v>51500</v>
          </cell>
          <cell r="F32">
            <v>98500</v>
          </cell>
          <cell r="G32">
            <v>20400</v>
          </cell>
          <cell r="H32">
            <v>46400</v>
          </cell>
          <cell r="I32">
            <v>69700</v>
          </cell>
          <cell r="J32">
            <v>99000</v>
          </cell>
          <cell r="K32">
            <v>178000</v>
          </cell>
        </row>
      </sheetData>
      <sheetData sheetId="107">
        <row r="6">
          <cell r="B6">
            <v>13400</v>
          </cell>
          <cell r="C6">
            <v>24800</v>
          </cell>
          <cell r="D6">
            <v>33500</v>
          </cell>
          <cell r="E6">
            <v>44200</v>
          </cell>
          <cell r="F6">
            <v>69600</v>
          </cell>
          <cell r="G6">
            <v>27900</v>
          </cell>
          <cell r="H6">
            <v>52300</v>
          </cell>
          <cell r="I6">
            <v>68700</v>
          </cell>
          <cell r="J6">
            <v>88100</v>
          </cell>
          <cell r="K6">
            <v>128700</v>
          </cell>
        </row>
        <row r="7">
          <cell r="B7">
            <v>12800</v>
          </cell>
          <cell r="C7">
            <v>23800</v>
          </cell>
          <cell r="D7">
            <v>32500</v>
          </cell>
          <cell r="E7">
            <v>42900</v>
          </cell>
          <cell r="F7">
            <v>69300</v>
          </cell>
          <cell r="G7">
            <v>26900</v>
          </cell>
          <cell r="H7">
            <v>49400</v>
          </cell>
          <cell r="I7">
            <v>66900</v>
          </cell>
          <cell r="J7">
            <v>85200</v>
          </cell>
          <cell r="K7">
            <v>127800</v>
          </cell>
        </row>
        <row r="8">
          <cell r="B8">
            <v>12500</v>
          </cell>
          <cell r="C8">
            <v>23000</v>
          </cell>
          <cell r="D8">
            <v>31900</v>
          </cell>
          <cell r="E8">
            <v>42700</v>
          </cell>
          <cell r="F8">
            <v>69900</v>
          </cell>
          <cell r="G8">
            <v>25700</v>
          </cell>
          <cell r="H8">
            <v>47600</v>
          </cell>
          <cell r="I8">
            <v>64800</v>
          </cell>
          <cell r="J8">
            <v>83900</v>
          </cell>
          <cell r="K8">
            <v>128400</v>
          </cell>
        </row>
        <row r="9">
          <cell r="B9">
            <v>12400</v>
          </cell>
          <cell r="C9">
            <v>23500</v>
          </cell>
          <cell r="D9">
            <v>32400</v>
          </cell>
          <cell r="E9">
            <v>42900</v>
          </cell>
          <cell r="F9">
            <v>70100</v>
          </cell>
          <cell r="G9">
            <v>25600</v>
          </cell>
          <cell r="H9">
            <v>48000</v>
          </cell>
          <cell r="I9">
            <v>66000</v>
          </cell>
          <cell r="J9">
            <v>84000</v>
          </cell>
          <cell r="K9">
            <v>129200</v>
          </cell>
        </row>
        <row r="10">
          <cell r="B10">
            <v>13200</v>
          </cell>
          <cell r="C10">
            <v>24300</v>
          </cell>
          <cell r="D10">
            <v>33500</v>
          </cell>
          <cell r="E10">
            <v>44200</v>
          </cell>
          <cell r="F10">
            <v>71500</v>
          </cell>
          <cell r="G10">
            <v>26700</v>
          </cell>
          <cell r="H10">
            <v>49500</v>
          </cell>
          <cell r="I10">
            <v>67200</v>
          </cell>
          <cell r="J10">
            <v>86000</v>
          </cell>
          <cell r="K10">
            <v>131200</v>
          </cell>
        </row>
        <row r="11">
          <cell r="B11">
            <v>13700</v>
          </cell>
          <cell r="C11">
            <v>25000</v>
          </cell>
          <cell r="D11">
            <v>34400</v>
          </cell>
          <cell r="E11">
            <v>45000</v>
          </cell>
          <cell r="F11">
            <v>73300</v>
          </cell>
          <cell r="G11">
            <v>27700</v>
          </cell>
          <cell r="H11">
            <v>50300</v>
          </cell>
          <cell r="I11">
            <v>68900</v>
          </cell>
          <cell r="J11">
            <v>87500</v>
          </cell>
          <cell r="K11">
            <v>135100</v>
          </cell>
        </row>
        <row r="12">
          <cell r="B12">
            <v>14100</v>
          </cell>
          <cell r="C12">
            <v>25400</v>
          </cell>
          <cell r="D12">
            <v>34600</v>
          </cell>
          <cell r="E12">
            <v>45800</v>
          </cell>
          <cell r="F12">
            <v>74400</v>
          </cell>
          <cell r="G12">
            <v>28400</v>
          </cell>
          <cell r="H12">
            <v>50400</v>
          </cell>
          <cell r="I12">
            <v>69400</v>
          </cell>
          <cell r="J12">
            <v>89200</v>
          </cell>
          <cell r="K12">
            <v>137100</v>
          </cell>
        </row>
        <row r="13">
          <cell r="B13">
            <v>14800</v>
          </cell>
          <cell r="C13">
            <v>26200</v>
          </cell>
          <cell r="D13">
            <v>35900</v>
          </cell>
          <cell r="E13">
            <v>47000</v>
          </cell>
          <cell r="F13">
            <v>76200</v>
          </cell>
          <cell r="G13">
            <v>29000</v>
          </cell>
          <cell r="H13">
            <v>52300</v>
          </cell>
          <cell r="I13">
            <v>71400</v>
          </cell>
          <cell r="J13">
            <v>90600</v>
          </cell>
          <cell r="K13">
            <v>138900</v>
          </cell>
        </row>
        <row r="14">
          <cell r="B14">
            <v>15300</v>
          </cell>
          <cell r="C14">
            <v>27200</v>
          </cell>
          <cell r="D14">
            <v>36600</v>
          </cell>
          <cell r="E14">
            <v>48000</v>
          </cell>
          <cell r="F14">
            <v>78700</v>
          </cell>
          <cell r="G14">
            <v>30000</v>
          </cell>
          <cell r="H14">
            <v>54300</v>
          </cell>
          <cell r="I14">
            <v>73000</v>
          </cell>
          <cell r="J14">
            <v>92900</v>
          </cell>
          <cell r="K14">
            <v>143900</v>
          </cell>
        </row>
        <row r="15">
          <cell r="B15">
            <v>14100</v>
          </cell>
          <cell r="C15">
            <v>26100</v>
          </cell>
          <cell r="D15">
            <v>36100</v>
          </cell>
          <cell r="E15">
            <v>47400</v>
          </cell>
          <cell r="F15">
            <v>77100</v>
          </cell>
          <cell r="G15">
            <v>27600</v>
          </cell>
          <cell r="H15">
            <v>51600</v>
          </cell>
          <cell r="I15">
            <v>71200</v>
          </cell>
          <cell r="J15">
            <v>91500</v>
          </cell>
          <cell r="K15">
            <v>141500</v>
          </cell>
        </row>
        <row r="16">
          <cell r="B16">
            <v>13500</v>
          </cell>
          <cell r="C16">
            <v>24700</v>
          </cell>
          <cell r="D16">
            <v>34100</v>
          </cell>
          <cell r="E16">
            <v>45700</v>
          </cell>
          <cell r="F16">
            <v>76800</v>
          </cell>
          <cell r="G16">
            <v>26900</v>
          </cell>
          <cell r="H16">
            <v>49100</v>
          </cell>
          <cell r="I16">
            <v>67300</v>
          </cell>
          <cell r="J16">
            <v>87900</v>
          </cell>
          <cell r="K16">
            <v>140600</v>
          </cell>
        </row>
        <row r="17">
          <cell r="B17">
            <v>13200</v>
          </cell>
          <cell r="C17">
            <v>24700</v>
          </cell>
          <cell r="D17">
            <v>34100</v>
          </cell>
          <cell r="E17">
            <v>45600</v>
          </cell>
          <cell r="F17">
            <v>76400</v>
          </cell>
          <cell r="G17">
            <v>25600</v>
          </cell>
          <cell r="H17">
            <v>49100</v>
          </cell>
          <cell r="I17">
            <v>67200</v>
          </cell>
          <cell r="J17">
            <v>87100</v>
          </cell>
          <cell r="K17">
            <v>139100</v>
          </cell>
        </row>
        <row r="18">
          <cell r="B18">
            <v>13200</v>
          </cell>
          <cell r="C18">
            <v>24000</v>
          </cell>
          <cell r="D18">
            <v>33400</v>
          </cell>
          <cell r="E18">
            <v>44600</v>
          </cell>
          <cell r="F18">
            <v>73100</v>
          </cell>
          <cell r="G18">
            <v>26100</v>
          </cell>
          <cell r="H18">
            <v>47100</v>
          </cell>
          <cell r="I18">
            <v>66100</v>
          </cell>
          <cell r="J18">
            <v>86400</v>
          </cell>
          <cell r="K18">
            <v>132500</v>
          </cell>
        </row>
        <row r="19">
          <cell r="B19">
            <v>13200</v>
          </cell>
          <cell r="C19">
            <v>24400</v>
          </cell>
          <cell r="D19">
            <v>33900</v>
          </cell>
          <cell r="E19">
            <v>45200</v>
          </cell>
          <cell r="F19">
            <v>74700</v>
          </cell>
          <cell r="G19">
            <v>26100</v>
          </cell>
          <cell r="H19">
            <v>48300</v>
          </cell>
          <cell r="I19">
            <v>66900</v>
          </cell>
          <cell r="J19">
            <v>87800</v>
          </cell>
          <cell r="K19">
            <v>136400</v>
          </cell>
        </row>
        <row r="20">
          <cell r="B20">
            <v>13200</v>
          </cell>
          <cell r="C20">
            <v>24300</v>
          </cell>
          <cell r="D20">
            <v>33900</v>
          </cell>
          <cell r="E20">
            <v>45400</v>
          </cell>
          <cell r="F20">
            <v>75600</v>
          </cell>
          <cell r="G20">
            <v>26100</v>
          </cell>
          <cell r="H20">
            <v>47600</v>
          </cell>
          <cell r="I20">
            <v>66000</v>
          </cell>
          <cell r="J20">
            <v>87400</v>
          </cell>
          <cell r="K20">
            <v>137500</v>
          </cell>
        </row>
        <row r="21">
          <cell r="B21">
            <v>12800</v>
          </cell>
          <cell r="C21">
            <v>24000</v>
          </cell>
          <cell r="D21">
            <v>33900</v>
          </cell>
          <cell r="E21">
            <v>45600</v>
          </cell>
          <cell r="F21">
            <v>77900</v>
          </cell>
          <cell r="G21">
            <v>25400</v>
          </cell>
          <cell r="H21">
            <v>47600</v>
          </cell>
          <cell r="I21">
            <v>66600</v>
          </cell>
          <cell r="J21">
            <v>88000</v>
          </cell>
          <cell r="K21">
            <v>142500</v>
          </cell>
        </row>
        <row r="22">
          <cell r="B22">
            <v>13100</v>
          </cell>
          <cell r="C22">
            <v>24200</v>
          </cell>
          <cell r="D22">
            <v>34300</v>
          </cell>
          <cell r="E22">
            <v>46100</v>
          </cell>
          <cell r="F22">
            <v>78900</v>
          </cell>
          <cell r="G22">
            <v>25700</v>
          </cell>
          <cell r="H22">
            <v>47400</v>
          </cell>
          <cell r="I22">
            <v>66900</v>
          </cell>
          <cell r="J22">
            <v>89700</v>
          </cell>
          <cell r="K22">
            <v>144000</v>
          </cell>
        </row>
        <row r="23">
          <cell r="B23">
            <v>13500</v>
          </cell>
          <cell r="C23">
            <v>25000</v>
          </cell>
          <cell r="D23">
            <v>35500</v>
          </cell>
          <cell r="E23">
            <v>48000</v>
          </cell>
          <cell r="F23">
            <v>84900</v>
          </cell>
          <cell r="G23">
            <v>26700</v>
          </cell>
          <cell r="H23">
            <v>48500</v>
          </cell>
          <cell r="I23">
            <v>70000</v>
          </cell>
          <cell r="J23">
            <v>92800</v>
          </cell>
          <cell r="K23">
            <v>155300</v>
          </cell>
        </row>
        <row r="24">
          <cell r="B24">
            <v>14000</v>
          </cell>
          <cell r="C24">
            <v>26000</v>
          </cell>
          <cell r="D24">
            <v>36500</v>
          </cell>
          <cell r="E24">
            <v>48900</v>
          </cell>
          <cell r="F24">
            <v>86100</v>
          </cell>
          <cell r="G24">
            <v>27700</v>
          </cell>
          <cell r="H24">
            <v>50800</v>
          </cell>
          <cell r="I24">
            <v>71600</v>
          </cell>
          <cell r="J24">
            <v>94300</v>
          </cell>
          <cell r="K24">
            <v>158100</v>
          </cell>
        </row>
        <row r="25">
          <cell r="B25">
            <v>14700</v>
          </cell>
          <cell r="C25">
            <v>26500</v>
          </cell>
          <cell r="D25">
            <v>37400</v>
          </cell>
          <cell r="E25">
            <v>50300</v>
          </cell>
          <cell r="F25">
            <v>91500</v>
          </cell>
          <cell r="G25">
            <v>29000</v>
          </cell>
          <cell r="H25">
            <v>52000</v>
          </cell>
          <cell r="I25">
            <v>72700</v>
          </cell>
          <cell r="J25">
            <v>96900</v>
          </cell>
          <cell r="K25">
            <v>170400</v>
          </cell>
        </row>
        <row r="26">
          <cell r="B26">
            <v>14800</v>
          </cell>
          <cell r="C26">
            <v>26900</v>
          </cell>
          <cell r="D26">
            <v>37800</v>
          </cell>
          <cell r="E26">
            <v>50900</v>
          </cell>
          <cell r="F26">
            <v>93100</v>
          </cell>
          <cell r="G26">
            <v>29300</v>
          </cell>
          <cell r="H26">
            <v>52200</v>
          </cell>
          <cell r="I26">
            <v>74000</v>
          </cell>
          <cell r="J26">
            <v>98000</v>
          </cell>
          <cell r="K26">
            <v>172200</v>
          </cell>
        </row>
        <row r="27">
          <cell r="B27">
            <v>14700</v>
          </cell>
          <cell r="C27">
            <v>26800</v>
          </cell>
          <cell r="D27">
            <v>37700</v>
          </cell>
          <cell r="E27">
            <v>51000</v>
          </cell>
          <cell r="F27">
            <v>93400</v>
          </cell>
          <cell r="G27">
            <v>28600</v>
          </cell>
          <cell r="H27">
            <v>52200</v>
          </cell>
          <cell r="I27">
            <v>73800</v>
          </cell>
          <cell r="J27">
            <v>97600</v>
          </cell>
          <cell r="K27">
            <v>170800</v>
          </cell>
        </row>
        <row r="28">
          <cell r="B28">
            <v>14800</v>
          </cell>
          <cell r="C28">
            <v>26800</v>
          </cell>
          <cell r="D28">
            <v>37700</v>
          </cell>
          <cell r="E28">
            <v>51100</v>
          </cell>
          <cell r="F28">
            <v>92000</v>
          </cell>
          <cell r="G28">
            <v>29200</v>
          </cell>
          <cell r="H28">
            <v>51900</v>
          </cell>
          <cell r="I28">
            <v>74000</v>
          </cell>
          <cell r="J28">
            <v>97200</v>
          </cell>
          <cell r="K28">
            <v>169100</v>
          </cell>
        </row>
        <row r="29">
          <cell r="B29">
            <v>15000</v>
          </cell>
          <cell r="C29">
            <v>27200</v>
          </cell>
          <cell r="D29">
            <v>38600</v>
          </cell>
          <cell r="E29">
            <v>52200</v>
          </cell>
          <cell r="F29">
            <v>95800</v>
          </cell>
          <cell r="G29">
            <v>29600</v>
          </cell>
          <cell r="H29">
            <v>52300</v>
          </cell>
          <cell r="I29">
            <v>75300</v>
          </cell>
          <cell r="J29">
            <v>98700</v>
          </cell>
          <cell r="K29">
            <v>177200</v>
          </cell>
        </row>
        <row r="30">
          <cell r="B30">
            <v>15500</v>
          </cell>
          <cell r="C30">
            <v>27900</v>
          </cell>
          <cell r="D30">
            <v>39300</v>
          </cell>
          <cell r="E30">
            <v>53300</v>
          </cell>
          <cell r="F30">
            <v>95400</v>
          </cell>
          <cell r="G30">
            <v>30200</v>
          </cell>
          <cell r="H30">
            <v>53500</v>
          </cell>
          <cell r="I30">
            <v>76900</v>
          </cell>
          <cell r="J30">
            <v>101800</v>
          </cell>
          <cell r="K30">
            <v>175000</v>
          </cell>
        </row>
        <row r="31">
          <cell r="B31">
            <v>16200</v>
          </cell>
          <cell r="C31">
            <v>28300</v>
          </cell>
          <cell r="D31">
            <v>39800</v>
          </cell>
          <cell r="E31">
            <v>54100</v>
          </cell>
          <cell r="F31">
            <v>97700</v>
          </cell>
          <cell r="G31">
            <v>31500</v>
          </cell>
          <cell r="H31">
            <v>55800</v>
          </cell>
          <cell r="I31">
            <v>77000</v>
          </cell>
          <cell r="J31">
            <v>102500</v>
          </cell>
          <cell r="K31">
            <v>178300</v>
          </cell>
        </row>
        <row r="32">
          <cell r="B32">
            <v>17000</v>
          </cell>
          <cell r="C32">
            <v>29300</v>
          </cell>
          <cell r="D32">
            <v>40900</v>
          </cell>
          <cell r="E32">
            <v>55500</v>
          </cell>
          <cell r="F32">
            <v>101200</v>
          </cell>
          <cell r="G32">
            <v>33600</v>
          </cell>
          <cell r="H32">
            <v>57400</v>
          </cell>
          <cell r="I32">
            <v>78700</v>
          </cell>
          <cell r="J32">
            <v>106100</v>
          </cell>
          <cell r="K32">
            <v>182500</v>
          </cell>
        </row>
      </sheetData>
      <sheetData sheetId="108">
        <row r="6">
          <cell r="B6">
            <v>12800</v>
          </cell>
          <cell r="C6">
            <v>22000</v>
          </cell>
          <cell r="D6">
            <v>28600</v>
          </cell>
          <cell r="E6">
            <v>37000</v>
          </cell>
          <cell r="F6">
            <v>56400</v>
          </cell>
          <cell r="G6">
            <v>26400</v>
          </cell>
          <cell r="H6">
            <v>46200</v>
          </cell>
          <cell r="I6">
            <v>58600</v>
          </cell>
          <cell r="J6">
            <v>73700</v>
          </cell>
          <cell r="K6">
            <v>104300</v>
          </cell>
        </row>
        <row r="7">
          <cell r="B7">
            <v>12300</v>
          </cell>
          <cell r="C7">
            <v>21400</v>
          </cell>
          <cell r="D7">
            <v>27900</v>
          </cell>
          <cell r="E7">
            <v>35800</v>
          </cell>
          <cell r="F7">
            <v>55700</v>
          </cell>
          <cell r="G7">
            <v>25600</v>
          </cell>
          <cell r="H7">
            <v>44100</v>
          </cell>
          <cell r="I7">
            <v>57300</v>
          </cell>
          <cell r="J7">
            <v>71000</v>
          </cell>
          <cell r="K7">
            <v>102900</v>
          </cell>
        </row>
        <row r="8">
          <cell r="B8">
            <v>11900</v>
          </cell>
          <cell r="C8">
            <v>20600</v>
          </cell>
          <cell r="D8">
            <v>27300</v>
          </cell>
          <cell r="E8">
            <v>35600</v>
          </cell>
          <cell r="F8">
            <v>55700</v>
          </cell>
          <cell r="G8">
            <v>24500</v>
          </cell>
          <cell r="H8">
            <v>42500</v>
          </cell>
          <cell r="I8">
            <v>55500</v>
          </cell>
          <cell r="J8">
            <v>69900</v>
          </cell>
          <cell r="K8">
            <v>102200</v>
          </cell>
        </row>
        <row r="9">
          <cell r="B9">
            <v>11900</v>
          </cell>
          <cell r="C9">
            <v>21100</v>
          </cell>
          <cell r="D9">
            <v>27800</v>
          </cell>
          <cell r="E9">
            <v>35700</v>
          </cell>
          <cell r="F9">
            <v>55900</v>
          </cell>
          <cell r="G9">
            <v>24400</v>
          </cell>
          <cell r="H9">
            <v>42900</v>
          </cell>
          <cell r="I9">
            <v>56500</v>
          </cell>
          <cell r="J9">
            <v>69800</v>
          </cell>
          <cell r="K9">
            <v>102900</v>
          </cell>
        </row>
        <row r="10">
          <cell r="B10">
            <v>12500</v>
          </cell>
          <cell r="C10">
            <v>21600</v>
          </cell>
          <cell r="D10">
            <v>28500</v>
          </cell>
          <cell r="E10">
            <v>36500</v>
          </cell>
          <cell r="F10">
            <v>56800</v>
          </cell>
          <cell r="G10">
            <v>25300</v>
          </cell>
          <cell r="H10">
            <v>43900</v>
          </cell>
          <cell r="I10">
            <v>57000</v>
          </cell>
          <cell r="J10">
            <v>71000</v>
          </cell>
          <cell r="K10">
            <v>104300</v>
          </cell>
        </row>
        <row r="11">
          <cell r="B11">
            <v>13000</v>
          </cell>
          <cell r="C11">
            <v>21900</v>
          </cell>
          <cell r="D11">
            <v>28700</v>
          </cell>
          <cell r="E11">
            <v>36700</v>
          </cell>
          <cell r="F11">
            <v>57600</v>
          </cell>
          <cell r="G11">
            <v>26000</v>
          </cell>
          <cell r="H11">
            <v>43800</v>
          </cell>
          <cell r="I11">
            <v>57400</v>
          </cell>
          <cell r="J11">
            <v>71400</v>
          </cell>
          <cell r="K11">
            <v>106000</v>
          </cell>
        </row>
        <row r="12">
          <cell r="B12">
            <v>13200</v>
          </cell>
          <cell r="C12">
            <v>22000</v>
          </cell>
          <cell r="D12">
            <v>28700</v>
          </cell>
          <cell r="E12">
            <v>36900</v>
          </cell>
          <cell r="F12">
            <v>57300</v>
          </cell>
          <cell r="G12">
            <v>26300</v>
          </cell>
          <cell r="H12">
            <v>43400</v>
          </cell>
          <cell r="I12">
            <v>57500</v>
          </cell>
          <cell r="J12">
            <v>71800</v>
          </cell>
          <cell r="K12">
            <v>105700</v>
          </cell>
        </row>
        <row r="13">
          <cell r="B13">
            <v>14000</v>
          </cell>
          <cell r="C13">
            <v>22800</v>
          </cell>
          <cell r="D13">
            <v>29700</v>
          </cell>
          <cell r="E13">
            <v>37900</v>
          </cell>
          <cell r="F13">
            <v>58300</v>
          </cell>
          <cell r="G13">
            <v>27300</v>
          </cell>
          <cell r="H13">
            <v>45200</v>
          </cell>
          <cell r="I13">
            <v>59000</v>
          </cell>
          <cell r="J13">
            <v>73100</v>
          </cell>
          <cell r="K13">
            <v>106400</v>
          </cell>
        </row>
        <row r="14">
          <cell r="B14">
            <v>14100</v>
          </cell>
          <cell r="C14">
            <v>23400</v>
          </cell>
          <cell r="D14">
            <v>30200</v>
          </cell>
          <cell r="E14">
            <v>38600</v>
          </cell>
          <cell r="F14">
            <v>59700</v>
          </cell>
          <cell r="G14">
            <v>27600</v>
          </cell>
          <cell r="H14">
            <v>46500</v>
          </cell>
          <cell r="I14">
            <v>60200</v>
          </cell>
          <cell r="J14">
            <v>74600</v>
          </cell>
          <cell r="K14">
            <v>109200</v>
          </cell>
        </row>
        <row r="15">
          <cell r="B15">
            <v>13200</v>
          </cell>
          <cell r="C15">
            <v>22600</v>
          </cell>
          <cell r="D15">
            <v>29500</v>
          </cell>
          <cell r="E15">
            <v>37800</v>
          </cell>
          <cell r="F15">
            <v>57800</v>
          </cell>
          <cell r="G15">
            <v>25800</v>
          </cell>
          <cell r="H15">
            <v>44300</v>
          </cell>
          <cell r="I15">
            <v>58000</v>
          </cell>
          <cell r="J15">
            <v>72900</v>
          </cell>
          <cell r="K15">
            <v>106200</v>
          </cell>
        </row>
        <row r="16">
          <cell r="B16">
            <v>12800</v>
          </cell>
          <cell r="C16">
            <v>21500</v>
          </cell>
          <cell r="D16">
            <v>28100</v>
          </cell>
          <cell r="E16">
            <v>36400</v>
          </cell>
          <cell r="F16">
            <v>57400</v>
          </cell>
          <cell r="G16">
            <v>25300</v>
          </cell>
          <cell r="H16">
            <v>42400</v>
          </cell>
          <cell r="I16">
            <v>55300</v>
          </cell>
          <cell r="J16">
            <v>69900</v>
          </cell>
          <cell r="K16">
            <v>104900</v>
          </cell>
        </row>
        <row r="17">
          <cell r="B17">
            <v>12500</v>
          </cell>
          <cell r="C17">
            <v>21700</v>
          </cell>
          <cell r="D17">
            <v>28400</v>
          </cell>
          <cell r="E17">
            <v>36600</v>
          </cell>
          <cell r="F17">
            <v>57400</v>
          </cell>
          <cell r="G17">
            <v>24200</v>
          </cell>
          <cell r="H17">
            <v>42900</v>
          </cell>
          <cell r="I17">
            <v>55700</v>
          </cell>
          <cell r="J17">
            <v>69800</v>
          </cell>
          <cell r="K17">
            <v>104400</v>
          </cell>
        </row>
        <row r="18">
          <cell r="B18">
            <v>12500</v>
          </cell>
          <cell r="C18">
            <v>21100</v>
          </cell>
          <cell r="D18">
            <v>27700</v>
          </cell>
          <cell r="E18">
            <v>35800</v>
          </cell>
          <cell r="F18">
            <v>55500</v>
          </cell>
          <cell r="G18">
            <v>24700</v>
          </cell>
          <cell r="H18">
            <v>41100</v>
          </cell>
          <cell r="I18">
            <v>54700</v>
          </cell>
          <cell r="J18">
            <v>69300</v>
          </cell>
          <cell r="K18">
            <v>100600</v>
          </cell>
        </row>
        <row r="19">
          <cell r="B19">
            <v>12600</v>
          </cell>
          <cell r="C19">
            <v>21400</v>
          </cell>
          <cell r="D19">
            <v>28000</v>
          </cell>
          <cell r="E19">
            <v>36100</v>
          </cell>
          <cell r="F19">
            <v>56200</v>
          </cell>
          <cell r="G19">
            <v>24600</v>
          </cell>
          <cell r="H19">
            <v>42100</v>
          </cell>
          <cell r="I19">
            <v>55100</v>
          </cell>
          <cell r="J19">
            <v>70000</v>
          </cell>
          <cell r="K19">
            <v>102200</v>
          </cell>
        </row>
        <row r="20">
          <cell r="B20">
            <v>12500</v>
          </cell>
          <cell r="C20">
            <v>21300</v>
          </cell>
          <cell r="D20">
            <v>28000</v>
          </cell>
          <cell r="E20">
            <v>36100</v>
          </cell>
          <cell r="F20">
            <v>56600</v>
          </cell>
          <cell r="G20">
            <v>24600</v>
          </cell>
          <cell r="H20">
            <v>41400</v>
          </cell>
          <cell r="I20">
            <v>54400</v>
          </cell>
          <cell r="J20">
            <v>69400</v>
          </cell>
          <cell r="K20">
            <v>102900</v>
          </cell>
        </row>
        <row r="21">
          <cell r="B21">
            <v>12200</v>
          </cell>
          <cell r="C21">
            <v>21000</v>
          </cell>
          <cell r="D21">
            <v>28000</v>
          </cell>
          <cell r="E21">
            <v>36300</v>
          </cell>
          <cell r="F21">
            <v>57800</v>
          </cell>
          <cell r="G21">
            <v>24000</v>
          </cell>
          <cell r="H21">
            <v>41400</v>
          </cell>
          <cell r="I21">
            <v>54800</v>
          </cell>
          <cell r="J21">
            <v>70000</v>
          </cell>
          <cell r="K21">
            <v>105600</v>
          </cell>
        </row>
        <row r="22">
          <cell r="B22">
            <v>12100</v>
          </cell>
          <cell r="C22">
            <v>21200</v>
          </cell>
          <cell r="D22">
            <v>28300</v>
          </cell>
          <cell r="E22">
            <v>36800</v>
          </cell>
          <cell r="F22">
            <v>58800</v>
          </cell>
          <cell r="G22">
            <v>23800</v>
          </cell>
          <cell r="H22">
            <v>41300</v>
          </cell>
          <cell r="I22">
            <v>55000</v>
          </cell>
          <cell r="J22">
            <v>71500</v>
          </cell>
          <cell r="K22">
            <v>107300</v>
          </cell>
        </row>
        <row r="23">
          <cell r="B23">
            <v>12600</v>
          </cell>
          <cell r="C23">
            <v>22000</v>
          </cell>
          <cell r="D23">
            <v>29400</v>
          </cell>
          <cell r="E23">
            <v>38400</v>
          </cell>
          <cell r="F23">
            <v>62900</v>
          </cell>
          <cell r="G23">
            <v>24800</v>
          </cell>
          <cell r="H23">
            <v>42500</v>
          </cell>
          <cell r="I23">
            <v>58000</v>
          </cell>
          <cell r="J23">
            <v>74200</v>
          </cell>
          <cell r="K23">
            <v>115100</v>
          </cell>
        </row>
        <row r="24">
          <cell r="B24">
            <v>13200</v>
          </cell>
          <cell r="C24">
            <v>23000</v>
          </cell>
          <cell r="D24">
            <v>30500</v>
          </cell>
          <cell r="E24">
            <v>39600</v>
          </cell>
          <cell r="F24">
            <v>64200</v>
          </cell>
          <cell r="G24">
            <v>26000</v>
          </cell>
          <cell r="H24">
            <v>44700</v>
          </cell>
          <cell r="I24">
            <v>59700</v>
          </cell>
          <cell r="J24">
            <v>76300</v>
          </cell>
          <cell r="K24">
            <v>118000</v>
          </cell>
        </row>
        <row r="25">
          <cell r="B25">
            <v>13300</v>
          </cell>
          <cell r="C25">
            <v>23400</v>
          </cell>
          <cell r="D25">
            <v>31200</v>
          </cell>
          <cell r="E25">
            <v>40600</v>
          </cell>
          <cell r="F25">
            <v>68000</v>
          </cell>
          <cell r="G25">
            <v>26300</v>
          </cell>
          <cell r="H25">
            <v>45600</v>
          </cell>
          <cell r="I25">
            <v>60500</v>
          </cell>
          <cell r="J25">
            <v>78300</v>
          </cell>
          <cell r="K25">
            <v>126500</v>
          </cell>
        </row>
        <row r="26">
          <cell r="B26">
            <v>14200</v>
          </cell>
          <cell r="C26">
            <v>24100</v>
          </cell>
          <cell r="D26">
            <v>32200</v>
          </cell>
          <cell r="E26">
            <v>42100</v>
          </cell>
          <cell r="F26">
            <v>70800</v>
          </cell>
          <cell r="G26">
            <v>28000</v>
          </cell>
          <cell r="H26">
            <v>46700</v>
          </cell>
          <cell r="I26">
            <v>63000</v>
          </cell>
          <cell r="J26">
            <v>81100</v>
          </cell>
          <cell r="K26">
            <v>130800</v>
          </cell>
        </row>
        <row r="27">
          <cell r="B27">
            <v>14000</v>
          </cell>
          <cell r="C27">
            <v>24100</v>
          </cell>
          <cell r="D27">
            <v>32300</v>
          </cell>
          <cell r="E27">
            <v>42300</v>
          </cell>
          <cell r="F27">
            <v>71300</v>
          </cell>
          <cell r="G27">
            <v>27200</v>
          </cell>
          <cell r="H27">
            <v>46800</v>
          </cell>
          <cell r="I27">
            <v>63200</v>
          </cell>
          <cell r="J27">
            <v>81000</v>
          </cell>
          <cell r="K27">
            <v>130400</v>
          </cell>
        </row>
        <row r="28">
          <cell r="B28">
            <v>14100</v>
          </cell>
          <cell r="C28">
            <v>24100</v>
          </cell>
          <cell r="D28">
            <v>32300</v>
          </cell>
          <cell r="E28">
            <v>42300</v>
          </cell>
          <cell r="F28">
            <v>70200</v>
          </cell>
          <cell r="G28">
            <v>27800</v>
          </cell>
          <cell r="H28">
            <v>46600</v>
          </cell>
          <cell r="I28">
            <v>63300</v>
          </cell>
          <cell r="J28">
            <v>80300</v>
          </cell>
          <cell r="K28">
            <v>128900</v>
          </cell>
        </row>
        <row r="29">
          <cell r="B29">
            <v>14200</v>
          </cell>
          <cell r="C29">
            <v>24600</v>
          </cell>
          <cell r="D29">
            <v>33100</v>
          </cell>
          <cell r="E29">
            <v>43200</v>
          </cell>
          <cell r="F29">
            <v>73100</v>
          </cell>
          <cell r="G29">
            <v>28100</v>
          </cell>
          <cell r="H29">
            <v>47000</v>
          </cell>
          <cell r="I29">
            <v>64400</v>
          </cell>
          <cell r="J29">
            <v>81700</v>
          </cell>
          <cell r="K29">
            <v>134900</v>
          </cell>
        </row>
        <row r="30">
          <cell r="B30">
            <v>14700</v>
          </cell>
          <cell r="C30">
            <v>25200</v>
          </cell>
          <cell r="D30">
            <v>33800</v>
          </cell>
          <cell r="E30">
            <v>44200</v>
          </cell>
          <cell r="F30">
            <v>73100</v>
          </cell>
          <cell r="G30">
            <v>28600</v>
          </cell>
          <cell r="H30">
            <v>48300</v>
          </cell>
          <cell r="I30">
            <v>66000</v>
          </cell>
          <cell r="J30">
            <v>84400</v>
          </cell>
          <cell r="K30">
            <v>133800</v>
          </cell>
        </row>
        <row r="31">
          <cell r="B31">
            <v>15400</v>
          </cell>
          <cell r="C31">
            <v>25600</v>
          </cell>
          <cell r="D31">
            <v>34300</v>
          </cell>
          <cell r="E31">
            <v>45000</v>
          </cell>
          <cell r="F31">
            <v>75200</v>
          </cell>
          <cell r="G31">
            <v>29800</v>
          </cell>
          <cell r="H31">
            <v>50300</v>
          </cell>
          <cell r="I31">
            <v>66200</v>
          </cell>
          <cell r="J31">
            <v>85200</v>
          </cell>
          <cell r="K31">
            <v>136900</v>
          </cell>
        </row>
        <row r="32">
          <cell r="B32">
            <v>16100</v>
          </cell>
          <cell r="C32">
            <v>26700</v>
          </cell>
          <cell r="D32">
            <v>35500</v>
          </cell>
          <cell r="E32">
            <v>46500</v>
          </cell>
          <cell r="F32">
            <v>78200</v>
          </cell>
          <cell r="G32">
            <v>31600</v>
          </cell>
          <cell r="H32">
            <v>52300</v>
          </cell>
          <cell r="I32">
            <v>68300</v>
          </cell>
          <cell r="J32">
            <v>88800</v>
          </cell>
          <cell r="K32">
            <v>140900</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ist of Tables"/>
      <sheetName val="1"/>
      <sheetName val="2a"/>
      <sheetName val="2b"/>
      <sheetName val="2c"/>
      <sheetName val="2d"/>
      <sheetName val="2e"/>
      <sheetName val="3a"/>
      <sheetName val="3b"/>
      <sheetName val="4"/>
      <sheetName val="5"/>
      <sheetName val="6a"/>
      <sheetName val="6b"/>
      <sheetName val="6c"/>
      <sheetName val="6d"/>
      <sheetName val="6e"/>
      <sheetName val="7a"/>
      <sheetName val="7b"/>
      <sheetName val="7c"/>
      <sheetName val="7d"/>
      <sheetName val="8a"/>
      <sheetName val="8b"/>
      <sheetName val="8c"/>
      <sheetName val="8d"/>
      <sheetName val="9a"/>
      <sheetName val="9b"/>
      <sheetName val="9c"/>
      <sheetName val="9d"/>
      <sheetName val="10a"/>
      <sheetName val="10b"/>
      <sheetName val="10c"/>
      <sheetName val="10d"/>
      <sheetName val="10e"/>
      <sheetName val="10f"/>
      <sheetName val="10g"/>
      <sheetName val="11a"/>
      <sheetName val="11b"/>
      <sheetName val="11c"/>
      <sheetName val="11d"/>
      <sheetName val="11e"/>
      <sheetName val="11f"/>
      <sheetName val="11g"/>
      <sheetName val="11h"/>
      <sheetName val="11i"/>
      <sheetName val="11j"/>
      <sheetName val="12a"/>
      <sheetName val="12b"/>
      <sheetName val="12c"/>
      <sheetName val="12d"/>
      <sheetName val="12e"/>
      <sheetName val="12f"/>
      <sheetName val="12g"/>
      <sheetName val="12h"/>
      <sheetName val="12i"/>
      <sheetName val="13a"/>
      <sheetName val="13b"/>
      <sheetName val="13c"/>
      <sheetName val="13d"/>
      <sheetName val="13e"/>
      <sheetName val="13f"/>
      <sheetName val="14a"/>
      <sheetName val="14b"/>
      <sheetName val="14c"/>
      <sheetName val="14d"/>
      <sheetName val="14e"/>
      <sheetName val="14f"/>
      <sheetName val="15a"/>
      <sheetName val="15b"/>
      <sheetName val="15c"/>
      <sheetName val="15d"/>
      <sheetName val="15e"/>
      <sheetName val="15f"/>
      <sheetName val="16a"/>
      <sheetName val="16b"/>
      <sheetName val="16c"/>
      <sheetName val="16d"/>
      <sheetName val="16e"/>
      <sheetName val="16f"/>
      <sheetName val="16g"/>
      <sheetName val="16h"/>
      <sheetName val="16i"/>
      <sheetName val="16j"/>
      <sheetName val="16k"/>
      <sheetName val="16l"/>
      <sheetName val="17a"/>
      <sheetName val="17b"/>
      <sheetName val="17c"/>
      <sheetName val="18a"/>
      <sheetName val="18b"/>
      <sheetName val="19a"/>
      <sheetName val="19b"/>
      <sheetName val="19c"/>
      <sheetName val="19d"/>
      <sheetName val="19e"/>
      <sheetName val="19f"/>
      <sheetName val="19g"/>
      <sheetName val="19H"/>
      <sheetName val="19I"/>
      <sheetName val="20a"/>
      <sheetName val="20b"/>
      <sheetName val="21"/>
      <sheetName val="22a"/>
      <sheetName val="22b"/>
      <sheetName val="22c"/>
      <sheetName val="22d"/>
      <sheetName val="23"/>
      <sheetName val="24a"/>
      <sheetName val="24b"/>
      <sheetName val="24c"/>
      <sheetName val="24d"/>
      <sheetName val="24e"/>
      <sheetName val="24f"/>
      <sheetName val="25a"/>
      <sheetName val="25b"/>
      <sheetName val="26a"/>
      <sheetName val="26b"/>
      <sheetName val="26c"/>
      <sheetName val="26d"/>
      <sheetName val="26e"/>
      <sheetName val="27"/>
      <sheetName val="28a"/>
      <sheetName val="28b"/>
      <sheetName val="28c"/>
      <sheetName val="29a"/>
      <sheetName val="29b"/>
      <sheetName val="30"/>
      <sheetName val="31"/>
      <sheetName val="32"/>
      <sheetName val="33"/>
      <sheetName val="Sheet1"/>
      <sheetName val="34a"/>
      <sheetName val="34b"/>
      <sheetName val="35a"/>
      <sheetName val="35b"/>
      <sheetName val="35c"/>
      <sheetName val="35d"/>
      <sheetName val="36"/>
      <sheetName val="36a"/>
      <sheetName val="36b"/>
      <sheetName val="37"/>
      <sheetName val="37a"/>
      <sheetName val="37b"/>
      <sheetName val="37c"/>
      <sheetName val="37d"/>
      <sheetName val="37e"/>
      <sheetName val="37f"/>
      <sheetName val="37g"/>
      <sheetName val="37h"/>
      <sheetName val="37i"/>
      <sheetName val="37j"/>
      <sheetName val="38"/>
      <sheetName val="39"/>
      <sheetName val="40"/>
      <sheetName val="41"/>
      <sheetName val="42"/>
      <sheetName val="43"/>
      <sheetName val="44a"/>
      <sheetName val="44b"/>
      <sheetName val="44c"/>
      <sheetName val="45a"/>
      <sheetName val="45b"/>
      <sheetName val="45c"/>
      <sheetName val="46"/>
      <sheetName val="47"/>
      <sheetName val="47a"/>
      <sheetName val="47b"/>
      <sheetName val="47c"/>
      <sheetName val="47d"/>
      <sheetName val="48"/>
      <sheetName val="49"/>
      <sheetName val="50"/>
      <sheetName val="51a-j"/>
      <sheetName val="52"/>
      <sheetName val="53"/>
      <sheetName val="54"/>
      <sheetName val="55"/>
      <sheetName val="56"/>
      <sheetName val="57"/>
      <sheetName val="58"/>
      <sheetName val="58a"/>
      <sheetName val="58b"/>
      <sheetName val="58c"/>
      <sheetName val="58d"/>
      <sheetName val="58e"/>
      <sheetName val="58f"/>
      <sheetName val="58g"/>
      <sheetName val="58h"/>
      <sheetName val="58i"/>
      <sheetName val="58j"/>
      <sheetName val="59a"/>
      <sheetName val="59b"/>
      <sheetName val="60"/>
      <sheetName val="61"/>
      <sheetName val="62"/>
      <sheetName val="63"/>
      <sheetName val="64"/>
      <sheetName val="65"/>
      <sheetName val="66"/>
      <sheetName val="67"/>
      <sheetName val="68A"/>
      <sheetName val="68B"/>
      <sheetName val="68C"/>
      <sheetName val="69"/>
      <sheetName val="DataC1-C4"/>
      <sheetName val="70"/>
      <sheetName val="71a"/>
      <sheetName val="71b"/>
      <sheetName val="71c"/>
      <sheetName val="DataC9-C13"/>
      <sheetName val="DataC14-C21"/>
      <sheetName val="DataC21.1-C24"/>
      <sheetName val="DataC25-C29"/>
      <sheetName val="DataC30-C34"/>
      <sheetName val="DataC35-C39"/>
      <sheetName val="DataC39-C42"/>
      <sheetName val="Data 43-"/>
      <sheetName val="72a"/>
      <sheetName val="72b"/>
      <sheetName val="73a"/>
      <sheetName val="73b"/>
      <sheetName val="DataC5-C8"/>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ow r="35">
          <cell r="D35">
            <v>6.4685345833941339</v>
          </cell>
          <cell r="F35">
            <v>5.25</v>
          </cell>
          <cell r="G35">
            <v>5.4</v>
          </cell>
          <cell r="H35">
            <v>5.5</v>
          </cell>
          <cell r="I35">
            <v>5.5</v>
          </cell>
          <cell r="J35">
            <v>6.8</v>
          </cell>
          <cell r="K35">
            <v>6.85</v>
          </cell>
          <cell r="L35">
            <v>5.4</v>
          </cell>
          <cell r="M35">
            <v>5.6</v>
          </cell>
          <cell r="N35">
            <v>5</v>
          </cell>
          <cell r="O35">
            <v>7</v>
          </cell>
        </row>
        <row r="36">
          <cell r="D36">
            <v>6.5520955845709157</v>
          </cell>
          <cell r="F36">
            <v>5.25</v>
          </cell>
          <cell r="G36">
            <v>5.4</v>
          </cell>
          <cell r="H36">
            <v>5.5</v>
          </cell>
          <cell r="I36">
            <v>5.5</v>
          </cell>
          <cell r="J36">
            <v>6.9</v>
          </cell>
          <cell r="K36">
            <v>6.85</v>
          </cell>
          <cell r="L36">
            <v>5.4</v>
          </cell>
          <cell r="M36">
            <v>5.6</v>
          </cell>
          <cell r="N36">
            <v>5.4</v>
          </cell>
          <cell r="O36">
            <v>7.15</v>
          </cell>
        </row>
        <row r="37">
          <cell r="D37">
            <v>6.6356677795747805</v>
          </cell>
          <cell r="F37">
            <v>5.5</v>
          </cell>
          <cell r="G37">
            <v>5.4</v>
          </cell>
          <cell r="H37">
            <v>5.6</v>
          </cell>
          <cell r="I37">
            <v>5.5</v>
          </cell>
          <cell r="J37">
            <v>6.9</v>
          </cell>
          <cell r="K37">
            <v>6.85</v>
          </cell>
          <cell r="L37">
            <v>6</v>
          </cell>
          <cell r="M37">
            <v>6</v>
          </cell>
          <cell r="N37">
            <v>5.7750000000000004</v>
          </cell>
          <cell r="O37">
            <v>7.15</v>
          </cell>
        </row>
        <row r="38">
          <cell r="D38">
            <v>6.7185648392733777</v>
          </cell>
          <cell r="F38">
            <v>5.5</v>
          </cell>
          <cell r="G38">
            <v>5.6</v>
          </cell>
          <cell r="H38">
            <v>5.7</v>
          </cell>
          <cell r="I38">
            <v>5.75</v>
          </cell>
          <cell r="J38">
            <v>6.9</v>
          </cell>
          <cell r="K38">
            <v>6.85</v>
          </cell>
          <cell r="L38">
            <v>6</v>
          </cell>
          <cell r="M38">
            <v>6</v>
          </cell>
          <cell r="N38">
            <v>5.9</v>
          </cell>
          <cell r="O38">
            <v>7.6</v>
          </cell>
        </row>
        <row r="39">
          <cell r="D39">
            <v>6.8072610429406808</v>
          </cell>
          <cell r="F39">
            <v>5.5</v>
          </cell>
          <cell r="G39">
            <v>5.8</v>
          </cell>
          <cell r="H39">
            <v>5.8</v>
          </cell>
          <cell r="I39">
            <v>5.9</v>
          </cell>
          <cell r="J39">
            <v>7</v>
          </cell>
          <cell r="K39">
            <v>6.85</v>
          </cell>
          <cell r="L39">
            <v>6.25</v>
          </cell>
          <cell r="M39">
            <v>6</v>
          </cell>
          <cell r="N39">
            <v>5.9</v>
          </cell>
          <cell r="O39">
            <v>8</v>
          </cell>
        </row>
        <row r="40">
          <cell r="D40">
            <v>6.8925919636325625</v>
          </cell>
          <cell r="F40">
            <v>5.875</v>
          </cell>
          <cell r="G40">
            <v>6</v>
          </cell>
          <cell r="H40">
            <v>6</v>
          </cell>
          <cell r="I40">
            <v>6</v>
          </cell>
          <cell r="J40">
            <v>7.2</v>
          </cell>
          <cell r="K40">
            <v>6.85</v>
          </cell>
          <cell r="L40">
            <v>6.5</v>
          </cell>
          <cell r="M40">
            <v>6.5</v>
          </cell>
          <cell r="N40">
            <v>5.9</v>
          </cell>
          <cell r="O40">
            <v>8</v>
          </cell>
        </row>
        <row r="41">
          <cell r="D41">
            <v>6.9391796354076938</v>
          </cell>
          <cell r="F41">
            <v>6</v>
          </cell>
          <cell r="G41">
            <v>6.25</v>
          </cell>
          <cell r="H41">
            <v>6.25</v>
          </cell>
          <cell r="I41">
            <v>6</v>
          </cell>
          <cell r="J41">
            <v>7.3</v>
          </cell>
          <cell r="K41">
            <v>6.85</v>
          </cell>
          <cell r="L41">
            <v>6.75</v>
          </cell>
          <cell r="M41">
            <v>6.65</v>
          </cell>
          <cell r="N41">
            <v>5.9</v>
          </cell>
          <cell r="O41">
            <v>8</v>
          </cell>
        </row>
        <row r="42">
          <cell r="D42">
            <v>7.1138975982943506</v>
          </cell>
          <cell r="F42">
            <v>6</v>
          </cell>
          <cell r="G42">
            <v>6.5</v>
          </cell>
          <cell r="H42">
            <v>6.5</v>
          </cell>
          <cell r="I42">
            <v>6.2</v>
          </cell>
          <cell r="J42">
            <v>7.45</v>
          </cell>
          <cell r="K42">
            <v>7.15</v>
          </cell>
          <cell r="L42">
            <v>7</v>
          </cell>
          <cell r="M42">
            <v>6.65</v>
          </cell>
          <cell r="N42">
            <v>5.9</v>
          </cell>
          <cell r="O42">
            <v>8</v>
          </cell>
        </row>
        <row r="43">
          <cell r="D43">
            <v>7.4267370452141979</v>
          </cell>
          <cell r="F43">
            <v>6.25</v>
          </cell>
          <cell r="G43">
            <v>6.8</v>
          </cell>
          <cell r="H43">
            <v>6.8</v>
          </cell>
          <cell r="I43">
            <v>6.3</v>
          </cell>
          <cell r="J43">
            <v>7.6</v>
          </cell>
          <cell r="K43">
            <v>7.45</v>
          </cell>
          <cell r="L43">
            <v>7.25</v>
          </cell>
          <cell r="M43">
            <v>7.05</v>
          </cell>
          <cell r="N43">
            <v>7</v>
          </cell>
          <cell r="O43">
            <v>8</v>
          </cell>
        </row>
        <row r="44">
          <cell r="D44">
            <v>7.6326243759213313</v>
          </cell>
          <cell r="F44">
            <v>6.75</v>
          </cell>
          <cell r="G44">
            <v>7.15</v>
          </cell>
          <cell r="H44">
            <v>7.15</v>
          </cell>
          <cell r="I44">
            <v>6.7</v>
          </cell>
          <cell r="J44">
            <v>7.75</v>
          </cell>
          <cell r="K44">
            <v>7.75</v>
          </cell>
          <cell r="L44">
            <v>7.6</v>
          </cell>
          <cell r="M44">
            <v>7.55</v>
          </cell>
          <cell r="N44">
            <v>7</v>
          </cell>
          <cell r="O44">
            <v>8</v>
          </cell>
        </row>
        <row r="45">
          <cell r="D45">
            <v>7.9632268889626703</v>
          </cell>
          <cell r="F45">
            <v>7.5</v>
          </cell>
          <cell r="G45">
            <v>7.5</v>
          </cell>
          <cell r="H45">
            <v>7.6</v>
          </cell>
          <cell r="I45">
            <v>7.25</v>
          </cell>
          <cell r="J45">
            <v>8</v>
          </cell>
          <cell r="K45">
            <v>8</v>
          </cell>
          <cell r="L45">
            <v>8</v>
          </cell>
          <cell r="M45">
            <v>7.95</v>
          </cell>
          <cell r="N45">
            <v>8</v>
          </cell>
          <cell r="O45">
            <v>8</v>
          </cell>
        </row>
        <row r="46">
          <cell r="F46">
            <v>8</v>
          </cell>
          <cell r="G46">
            <v>7.75</v>
          </cell>
          <cell r="H46">
            <v>8.1</v>
          </cell>
          <cell r="I46">
            <v>7.75</v>
          </cell>
          <cell r="J46">
            <v>8.5</v>
          </cell>
          <cell r="K46">
            <v>8.75</v>
          </cell>
          <cell r="L46">
            <v>8.5</v>
          </cell>
          <cell r="M46">
            <v>8.6</v>
          </cell>
          <cell r="N46">
            <v>8.4</v>
          </cell>
          <cell r="O46">
            <v>8</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ow r="4">
          <cell r="B4">
            <v>11356600</v>
          </cell>
          <cell r="C4">
            <v>10072500</v>
          </cell>
          <cell r="D4">
            <v>1284100</v>
          </cell>
          <cell r="E4">
            <v>323300</v>
          </cell>
          <cell r="F4">
            <v>588000</v>
          </cell>
          <cell r="G4">
            <v>334900</v>
          </cell>
          <cell r="H4">
            <v>37900</v>
          </cell>
        </row>
        <row r="5">
          <cell r="B5">
            <v>11640500</v>
          </cell>
          <cell r="C5">
            <v>10266000</v>
          </cell>
          <cell r="D5">
            <v>1374500</v>
          </cell>
          <cell r="E5">
            <v>327500</v>
          </cell>
          <cell r="F5">
            <v>628800</v>
          </cell>
          <cell r="G5">
            <v>375200</v>
          </cell>
          <cell r="H5">
            <v>43000</v>
          </cell>
        </row>
        <row r="6">
          <cell r="B6">
            <v>11973800</v>
          </cell>
          <cell r="C6">
            <v>10535200</v>
          </cell>
          <cell r="D6">
            <v>1438500</v>
          </cell>
          <cell r="E6">
            <v>337800</v>
          </cell>
          <cell r="F6">
            <v>676200</v>
          </cell>
          <cell r="G6">
            <v>387400</v>
          </cell>
          <cell r="H6">
            <v>37100</v>
          </cell>
        </row>
        <row r="7">
          <cell r="B7">
            <v>12390500</v>
          </cell>
          <cell r="C7">
            <v>10842700</v>
          </cell>
          <cell r="D7">
            <v>1547700</v>
          </cell>
          <cell r="E7">
            <v>357200</v>
          </cell>
          <cell r="F7">
            <v>723500</v>
          </cell>
          <cell r="G7">
            <v>424200</v>
          </cell>
          <cell r="H7">
            <v>42700</v>
          </cell>
        </row>
        <row r="8">
          <cell r="B8">
            <v>12669500</v>
          </cell>
          <cell r="C8">
            <v>11049600</v>
          </cell>
          <cell r="D8">
            <v>1619800</v>
          </cell>
          <cell r="E8">
            <v>370500</v>
          </cell>
          <cell r="F8">
            <v>771500</v>
          </cell>
          <cell r="G8">
            <v>444300</v>
          </cell>
          <cell r="H8">
            <v>33500</v>
          </cell>
        </row>
        <row r="9">
          <cell r="B9">
            <v>12995900</v>
          </cell>
          <cell r="C9">
            <v>11314800</v>
          </cell>
          <cell r="D9">
            <v>1681200</v>
          </cell>
          <cell r="E9">
            <v>393100</v>
          </cell>
          <cell r="F9">
            <v>797200</v>
          </cell>
          <cell r="G9">
            <v>454600</v>
          </cell>
          <cell r="H9">
            <v>36200</v>
          </cell>
        </row>
        <row r="10">
          <cell r="B10">
            <v>13270500</v>
          </cell>
          <cell r="C10">
            <v>11619100</v>
          </cell>
          <cell r="D10">
            <v>1651300</v>
          </cell>
          <cell r="E10">
            <v>385500</v>
          </cell>
          <cell r="F10">
            <v>798000</v>
          </cell>
          <cell r="G10">
            <v>432800</v>
          </cell>
          <cell r="H10">
            <v>35100</v>
          </cell>
        </row>
        <row r="11">
          <cell r="B11">
            <v>13493600</v>
          </cell>
          <cell r="C11">
            <v>11772400</v>
          </cell>
          <cell r="D11">
            <v>1721200</v>
          </cell>
          <cell r="E11">
            <v>394600</v>
          </cell>
          <cell r="F11">
            <v>830700</v>
          </cell>
          <cell r="G11">
            <v>458300</v>
          </cell>
          <cell r="H11">
            <v>37700</v>
          </cell>
        </row>
        <row r="12">
          <cell r="B12">
            <v>13658200</v>
          </cell>
          <cell r="C12">
            <v>11860600</v>
          </cell>
          <cell r="D12">
            <v>1797600</v>
          </cell>
          <cell r="E12">
            <v>426800</v>
          </cell>
          <cell r="F12">
            <v>874000</v>
          </cell>
          <cell r="G12">
            <v>458000</v>
          </cell>
          <cell r="H12">
            <v>38700</v>
          </cell>
        </row>
        <row r="13">
          <cell r="B13">
            <v>13986300</v>
          </cell>
          <cell r="C13">
            <v>12163100</v>
          </cell>
          <cell r="D13">
            <v>1823200</v>
          </cell>
          <cell r="E13">
            <v>431000</v>
          </cell>
          <cell r="F13">
            <v>896200</v>
          </cell>
          <cell r="G13">
            <v>456200</v>
          </cell>
          <cell r="H13">
            <v>39700</v>
          </cell>
        </row>
        <row r="14">
          <cell r="B14">
            <v>14251400</v>
          </cell>
          <cell r="C14">
            <v>12408800</v>
          </cell>
          <cell r="D14">
            <v>1842600</v>
          </cell>
          <cell r="E14">
            <v>416800</v>
          </cell>
          <cell r="F14">
            <v>934700</v>
          </cell>
          <cell r="G14">
            <v>474800</v>
          </cell>
          <cell r="H14">
            <v>16200</v>
          </cell>
        </row>
        <row r="15">
          <cell r="B15">
            <v>14496200</v>
          </cell>
          <cell r="C15">
            <v>12721200</v>
          </cell>
          <cell r="D15">
            <v>1775000</v>
          </cell>
          <cell r="E15">
            <v>416300</v>
          </cell>
          <cell r="F15">
            <v>899300</v>
          </cell>
          <cell r="G15">
            <v>447400</v>
          </cell>
          <cell r="H15">
            <v>12000</v>
          </cell>
        </row>
      </sheetData>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List of Tables"/>
      <sheetName val="STC 051-0001"/>
      <sheetName val="1"/>
      <sheetName val="STC 202-0601"/>
      <sheetName val="2a"/>
      <sheetName val="STC 202-0601b"/>
      <sheetName val="2b"/>
      <sheetName val="STC 202-0601d"/>
      <sheetName val="2c"/>
      <sheetName val="2d"/>
      <sheetName val="2e"/>
      <sheetName val="3a"/>
      <sheetName val="3b"/>
      <sheetName val="STC 326-0002"/>
      <sheetName val="4"/>
      <sheetName val="STC 384-0036"/>
      <sheetName val="5"/>
      <sheetName val="STC 384-0013"/>
      <sheetName val="6"/>
      <sheetName val="STC 384-0013b"/>
      <sheetName val="7a"/>
      <sheetName val="7b"/>
      <sheetName val="STC 384-0013c"/>
      <sheetName val="8a"/>
      <sheetName val="8b"/>
      <sheetName val="8c"/>
      <sheetName val="8d"/>
      <sheetName val="STC 384-0013d"/>
      <sheetName val="9a"/>
      <sheetName val="9b"/>
      <sheetName val="9c"/>
      <sheetName val="9d"/>
      <sheetName val="10a"/>
      <sheetName val="STC 202-0301"/>
      <sheetName val="10b"/>
      <sheetName val="STC 202-0301b"/>
      <sheetName val="10c"/>
      <sheetName val="STC 202-0301c"/>
      <sheetName val="10d"/>
      <sheetName val="STC 202-0501"/>
      <sheetName val="10e"/>
      <sheetName val="STC 202-0501b"/>
      <sheetName val="10f"/>
      <sheetName val="STC 202-0501c"/>
      <sheetName val="10g"/>
      <sheetName val="STC 202-0201"/>
      <sheetName val="11a"/>
      <sheetName val="STC 202-0401"/>
      <sheetName val="11b"/>
      <sheetName val="STC 202-0601c"/>
      <sheetName val="11c"/>
      <sheetName val="11d"/>
      <sheetName val="11e"/>
      <sheetName val="11f"/>
      <sheetName val="STC 202-0706"/>
      <sheetName val="11g"/>
      <sheetName val="STC 202-0202"/>
      <sheetName val="11h"/>
      <sheetName val="STC 202-0403"/>
      <sheetName val="11i"/>
      <sheetName val="STC 202-0603"/>
      <sheetName val="11j"/>
      <sheetName val="STC 202-0201a"/>
      <sheetName val="12a"/>
      <sheetName val="STC 202-0401a"/>
      <sheetName val="12b"/>
      <sheetName val="STC 202-0601a"/>
      <sheetName val="12c"/>
      <sheetName val="12d"/>
      <sheetName val="12e"/>
      <sheetName val="12f"/>
      <sheetName val="STC 202-0203"/>
      <sheetName val="12g"/>
      <sheetName val="STC 202-0411"/>
      <sheetName val="12h"/>
      <sheetName val="STC 202-0605"/>
      <sheetName val="12i"/>
      <sheetName val="13a"/>
      <sheetName val="13b"/>
      <sheetName val="STC 378-0005"/>
      <sheetName val="13c"/>
      <sheetName val="13d"/>
      <sheetName val="13e"/>
      <sheetName val="13f"/>
      <sheetName val="STC 202-0705"/>
      <sheetName val="14a"/>
      <sheetName val="STC 202-0705a"/>
      <sheetName val="14b"/>
      <sheetName val="STC 202-0705b"/>
      <sheetName val="14c"/>
      <sheetName val="14d"/>
      <sheetName val="14e"/>
      <sheetName val="14f"/>
      <sheetName val="STC 202-0706a"/>
      <sheetName val="15a"/>
      <sheetName val="STC 202-0706b"/>
      <sheetName val="15b"/>
      <sheetName val="STC 202-0706c"/>
      <sheetName val="15c"/>
      <sheetName val="15d"/>
      <sheetName val="15e"/>
      <sheetName val="15f"/>
      <sheetName val="STC 202-0802"/>
      <sheetName val="16a"/>
      <sheetName val="STC 202-0802a"/>
      <sheetName val="16b"/>
      <sheetName val="STC 202-0802b"/>
      <sheetName val="16c"/>
      <sheetName val="STC 202-0802c"/>
      <sheetName val="16d"/>
      <sheetName val="16e"/>
      <sheetName val="STC 202-0804"/>
      <sheetName val="16f"/>
      <sheetName val="STC 202-0804a"/>
      <sheetName val="16g"/>
      <sheetName val="16h"/>
      <sheetName val="STC 202-0804b"/>
      <sheetName val="16i"/>
      <sheetName val="202-0804c"/>
      <sheetName val="16j"/>
      <sheetName val="STC 202-0802d"/>
      <sheetName val="16k"/>
      <sheetName val="STC 202-0802e"/>
      <sheetName val="16l"/>
      <sheetName val="STC 202-0805"/>
      <sheetName val="17a"/>
      <sheetName val="17b"/>
      <sheetName val="STC 202-0804c"/>
      <sheetName val="17c"/>
      <sheetName val="STC 111-0015"/>
      <sheetName val="18a"/>
      <sheetName val="STC 111-0015a"/>
      <sheetName val="18b"/>
      <sheetName val="19a"/>
      <sheetName val="19b"/>
      <sheetName val="19c"/>
      <sheetName val="19d"/>
      <sheetName val="19e"/>
      <sheetName val="19f"/>
      <sheetName val="19g"/>
      <sheetName val="20a"/>
      <sheetName val="20b"/>
      <sheetName val="STC 177-0001 "/>
      <sheetName val="21"/>
      <sheetName val="STC 282-0086"/>
      <sheetName val="22a"/>
      <sheetName val="STC 282-0086a"/>
      <sheetName val="22b"/>
      <sheetName val="22c"/>
      <sheetName val="22d"/>
      <sheetName val="23"/>
      <sheetName val="STC 202-0706d"/>
      <sheetName val="24a"/>
      <sheetName val="STC 202-0706e"/>
      <sheetName val="24b"/>
      <sheetName val="STC 202-0706f"/>
      <sheetName val="24c"/>
      <sheetName val="24d"/>
      <sheetName val="24e"/>
      <sheetName val="24f"/>
      <sheetName val="STC 282-0048"/>
      <sheetName val="25"/>
      <sheetName val="26a"/>
      <sheetName val="26b"/>
      <sheetName val="26c"/>
      <sheetName val="26d"/>
      <sheetName val="26e"/>
      <sheetName val="27"/>
      <sheetName val="28a"/>
      <sheetName val="28b"/>
      <sheetName val="28c"/>
      <sheetName val="29a"/>
      <sheetName val="29b"/>
      <sheetName val="30"/>
      <sheetName val="31"/>
      <sheetName val="STC 380-0016"/>
      <sheetName val="32"/>
      <sheetName val="STC 384-0012"/>
      <sheetName val="33"/>
      <sheetName val="forTable34a-1"/>
      <sheetName val="forTable34a-2"/>
      <sheetName val="34a"/>
      <sheetName val="forTable34b-1"/>
      <sheetName val="34b"/>
      <sheetName val="34c"/>
      <sheetName val="STC 282-0002a"/>
      <sheetName val="STC 202-0802f"/>
      <sheetName val="35a"/>
      <sheetName val="35b"/>
      <sheetName val="35c"/>
      <sheetName val="35d"/>
      <sheetName val="36"/>
      <sheetName val="STC 282-0002"/>
      <sheetName val="37"/>
      <sheetName val="37a"/>
      <sheetName val="37b"/>
      <sheetName val="37c"/>
      <sheetName val="37d"/>
      <sheetName val="37e"/>
      <sheetName val="37f"/>
      <sheetName val="37g"/>
      <sheetName val="37h"/>
      <sheetName val="37i"/>
      <sheetName val="37j"/>
      <sheetName val="38"/>
      <sheetName val="39"/>
      <sheetName val="40"/>
      <sheetName val="41"/>
      <sheetName val="STC 203-0001"/>
      <sheetName val="42"/>
      <sheetName val="43"/>
      <sheetName val="STC 282-0018"/>
      <sheetName val="44a"/>
      <sheetName val="STC 282-0026"/>
      <sheetName val="44b"/>
      <sheetName val="STC 282-0010"/>
      <sheetName val="44c"/>
      <sheetName val="45a"/>
      <sheetName val="Vectors for 45b"/>
      <sheetName val="45b"/>
      <sheetName val="45c"/>
      <sheetName val="45d"/>
      <sheetName val="45e"/>
      <sheetName val="STC 384-0013a"/>
      <sheetName val="46"/>
      <sheetName val="STC 378-0004"/>
      <sheetName val="47"/>
      <sheetName val="47a"/>
      <sheetName val="47b"/>
      <sheetName val="47c"/>
      <sheetName val="STC 380-0019"/>
      <sheetName val="47d"/>
      <sheetName val="48"/>
      <sheetName val="49"/>
      <sheetName val="50"/>
      <sheetName val="DataC1-C4"/>
      <sheetName val="DataC5-C8"/>
      <sheetName val="DataC9-C13"/>
      <sheetName val="DataC14-C18"/>
      <sheetName val="DataC21.1-C24"/>
      <sheetName val="DataC25-C29"/>
      <sheetName val="DataC30-C34"/>
      <sheetName val="DataC35-C39"/>
      <sheetName val="DataC39-C42"/>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1.1"/>
      <sheetName val="C22"/>
      <sheetName val="C23"/>
      <sheetName val="C24"/>
      <sheetName val="C25"/>
      <sheetName val="C26"/>
      <sheetName val="C27"/>
      <sheetName val="C28"/>
      <sheetName val="C29"/>
      <sheetName val="C30"/>
      <sheetName val="C31"/>
      <sheetName val="C31.1"/>
      <sheetName val="C31.2"/>
      <sheetName val="C32"/>
      <sheetName val="C33"/>
      <sheetName val="C34"/>
      <sheetName val="C35"/>
      <sheetName val="C36"/>
      <sheetName val="C37"/>
      <sheetName val="C37.1"/>
      <sheetName val="C37.2"/>
      <sheetName val="C37.3"/>
      <sheetName val="C38"/>
      <sheetName val="C39"/>
      <sheetName val="C40"/>
      <sheetName val="C41"/>
      <sheetName val="C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row r="6">
          <cell r="E6">
            <v>7421.9481365251422</v>
          </cell>
          <cell r="F6">
            <v>8346.2249439223997</v>
          </cell>
          <cell r="G6">
            <v>8645.5451740314293</v>
          </cell>
          <cell r="H6">
            <v>8815.0224490509772</v>
          </cell>
          <cell r="I6">
            <v>8779.0291047108549</v>
          </cell>
        </row>
        <row r="8">
          <cell r="E8">
            <v>15714.995077774531</v>
          </cell>
          <cell r="F8">
            <v>16841.837535619154</v>
          </cell>
          <cell r="G8">
            <v>17015.367898186938</v>
          </cell>
          <cell r="H8">
            <v>17587.424258489806</v>
          </cell>
          <cell r="I8">
            <v>17598.972418100446</v>
          </cell>
        </row>
        <row r="9">
          <cell r="E9">
            <v>21370.181307161864</v>
          </cell>
          <cell r="F9">
            <v>22627.966704171256</v>
          </cell>
          <cell r="G9">
            <v>23395.318064036648</v>
          </cell>
          <cell r="H9">
            <v>23624.74772403665</v>
          </cell>
          <cell r="I9">
            <v>23548.458931405105</v>
          </cell>
        </row>
        <row r="11">
          <cell r="E11">
            <v>7386.6695960878333</v>
          </cell>
          <cell r="F11">
            <v>8435.3226358148004</v>
          </cell>
          <cell r="G11">
            <v>8721.0621322702518</v>
          </cell>
          <cell r="H11">
            <v>8899.8235976262567</v>
          </cell>
          <cell r="I11">
            <v>8884.8914467437662</v>
          </cell>
        </row>
        <row r="13">
          <cell r="E13">
            <v>15783.371191309918</v>
          </cell>
          <cell r="F13">
            <v>17033.999103194161</v>
          </cell>
          <cell r="G13">
            <v>17141.4966082254</v>
          </cell>
          <cell r="H13">
            <v>17780.127578875472</v>
          </cell>
          <cell r="I13">
            <v>17853.292209889238</v>
          </cell>
        </row>
        <row r="14">
          <cell r="E14">
            <v>21234.211621677219</v>
          </cell>
          <cell r="F14">
            <v>22619.469531283255</v>
          </cell>
          <cell r="G14">
            <v>23309.244703402648</v>
          </cell>
          <cell r="H14">
            <v>23559.764490257618</v>
          </cell>
          <cell r="I14">
            <v>23558.702659080907</v>
          </cell>
        </row>
        <row r="16">
          <cell r="E16">
            <v>5430</v>
          </cell>
          <cell r="F16">
            <v>5501</v>
          </cell>
          <cell r="G16">
            <v>5582</v>
          </cell>
          <cell r="H16">
            <v>5720</v>
          </cell>
          <cell r="I16">
            <v>5655</v>
          </cell>
        </row>
        <row r="18">
          <cell r="E18">
            <v>15273</v>
          </cell>
          <cell r="F18">
            <v>15507</v>
          </cell>
          <cell r="G18">
            <v>15957</v>
          </cell>
          <cell r="H18">
            <v>16415</v>
          </cell>
          <cell r="I18">
            <v>16239</v>
          </cell>
        </row>
        <row r="19">
          <cell r="E19">
            <v>18726</v>
          </cell>
          <cell r="F19">
            <v>18920</v>
          </cell>
          <cell r="G19">
            <v>18818</v>
          </cell>
          <cell r="H19">
            <v>18755</v>
          </cell>
          <cell r="I19">
            <v>18539</v>
          </cell>
        </row>
        <row r="21">
          <cell r="E21">
            <v>10030</v>
          </cell>
          <cell r="F21">
            <v>10092</v>
          </cell>
          <cell r="G21">
            <v>10264</v>
          </cell>
          <cell r="H21">
            <v>10296</v>
          </cell>
          <cell r="I21">
            <v>10229</v>
          </cell>
        </row>
        <row r="23">
          <cell r="E23">
            <v>15393</v>
          </cell>
          <cell r="F23">
            <v>15596</v>
          </cell>
          <cell r="G23">
            <v>15952</v>
          </cell>
          <cell r="H23">
            <v>16064</v>
          </cell>
          <cell r="I23">
            <v>15973</v>
          </cell>
        </row>
        <row r="24">
          <cell r="E24">
            <v>23417</v>
          </cell>
          <cell r="F24">
            <v>23647</v>
          </cell>
          <cell r="G24">
            <v>24165</v>
          </cell>
          <cell r="H24">
            <v>24081</v>
          </cell>
          <cell r="I24">
            <v>23897</v>
          </cell>
        </row>
        <row r="26">
          <cell r="E26">
            <v>8511</v>
          </cell>
          <cell r="F26">
            <v>8227</v>
          </cell>
          <cell r="G26">
            <v>7996</v>
          </cell>
          <cell r="H26">
            <v>7760</v>
          </cell>
          <cell r="I26">
            <v>7628</v>
          </cell>
        </row>
        <row r="28">
          <cell r="E28">
            <v>15162</v>
          </cell>
          <cell r="F28">
            <v>15321</v>
          </cell>
          <cell r="G28">
            <v>15458</v>
          </cell>
          <cell r="H28">
            <v>15352</v>
          </cell>
          <cell r="I28">
            <v>15106</v>
          </cell>
        </row>
        <row r="29">
          <cell r="E29">
            <v>20148</v>
          </cell>
          <cell r="F29">
            <v>19616</v>
          </cell>
          <cell r="G29">
            <v>19470</v>
          </cell>
          <cell r="H29">
            <v>19154</v>
          </cell>
          <cell r="I29">
            <v>18896</v>
          </cell>
        </row>
        <row r="31">
          <cell r="E31">
            <v>4122</v>
          </cell>
          <cell r="F31">
            <v>4164</v>
          </cell>
          <cell r="G31">
            <v>4243</v>
          </cell>
          <cell r="H31">
            <v>4125</v>
          </cell>
          <cell r="I31">
            <v>4072</v>
          </cell>
        </row>
        <row r="33">
          <cell r="E33">
            <v>12610</v>
          </cell>
          <cell r="F33">
            <v>12683</v>
          </cell>
          <cell r="G33">
            <v>12718</v>
          </cell>
          <cell r="H33">
            <v>12674</v>
          </cell>
          <cell r="I33">
            <v>12693</v>
          </cell>
        </row>
        <row r="34">
          <cell r="E34">
            <v>14827</v>
          </cell>
          <cell r="F34">
            <v>14854</v>
          </cell>
          <cell r="G34">
            <v>15148</v>
          </cell>
          <cell r="H34">
            <v>15189</v>
          </cell>
          <cell r="I34">
            <v>15195</v>
          </cell>
        </row>
        <row r="36">
          <cell r="E36">
            <v>5128</v>
          </cell>
          <cell r="F36">
            <v>7336</v>
          </cell>
          <cell r="G36">
            <v>7774</v>
          </cell>
          <cell r="H36">
            <v>7875</v>
          </cell>
          <cell r="I36">
            <v>7898</v>
          </cell>
        </row>
        <row r="38">
          <cell r="E38">
            <v>13717</v>
          </cell>
          <cell r="F38">
            <v>14774</v>
          </cell>
          <cell r="G38">
            <v>13951</v>
          </cell>
          <cell r="H38">
            <v>15476</v>
          </cell>
          <cell r="I38">
            <v>16032</v>
          </cell>
        </row>
        <row r="39">
          <cell r="E39">
            <v>18890</v>
          </cell>
          <cell r="F39">
            <v>18778</v>
          </cell>
          <cell r="G39">
            <v>19642</v>
          </cell>
          <cell r="H39">
            <v>19854</v>
          </cell>
          <cell r="I39">
            <v>20322</v>
          </cell>
        </row>
        <row r="41">
          <cell r="E41">
            <v>9091</v>
          </cell>
          <cell r="F41">
            <v>10018</v>
          </cell>
          <cell r="G41">
            <v>10447</v>
          </cell>
          <cell r="H41">
            <v>10687</v>
          </cell>
          <cell r="I41">
            <v>10663</v>
          </cell>
        </row>
        <row r="43">
          <cell r="E43">
            <v>17841</v>
          </cell>
          <cell r="F43">
            <v>20051</v>
          </cell>
          <cell r="G43">
            <v>20805</v>
          </cell>
          <cell r="H43">
            <v>21039</v>
          </cell>
          <cell r="I43">
            <v>20995</v>
          </cell>
        </row>
        <row r="44">
          <cell r="E44">
            <v>23392</v>
          </cell>
          <cell r="F44">
            <v>26865</v>
          </cell>
          <cell r="G44">
            <v>27750</v>
          </cell>
          <cell r="H44">
            <v>28019</v>
          </cell>
          <cell r="I44">
            <v>27928</v>
          </cell>
        </row>
        <row r="46">
          <cell r="E46">
            <v>8709</v>
          </cell>
          <cell r="F46">
            <v>8923</v>
          </cell>
          <cell r="G46">
            <v>8981</v>
          </cell>
          <cell r="H46">
            <v>9036</v>
          </cell>
          <cell r="I46">
            <v>8894</v>
          </cell>
        </row>
        <row r="48">
          <cell r="E48">
            <v>14269</v>
          </cell>
          <cell r="F48">
            <v>14362</v>
          </cell>
          <cell r="G48">
            <v>14432</v>
          </cell>
          <cell r="H48">
            <v>15630</v>
          </cell>
          <cell r="I48">
            <v>14238</v>
          </cell>
        </row>
        <row r="49">
          <cell r="E49">
            <v>24450</v>
          </cell>
          <cell r="F49">
            <v>25195</v>
          </cell>
          <cell r="G49">
            <v>25605</v>
          </cell>
          <cell r="H49">
            <v>25912</v>
          </cell>
          <cell r="I49">
            <v>23891</v>
          </cell>
        </row>
        <row r="51">
          <cell r="E51">
            <v>7052</v>
          </cell>
          <cell r="F51">
            <v>6996</v>
          </cell>
          <cell r="G51">
            <v>6957</v>
          </cell>
          <cell r="H51">
            <v>7087</v>
          </cell>
          <cell r="I51">
            <v>7448</v>
          </cell>
        </row>
        <row r="53">
          <cell r="E53">
            <v>15904</v>
          </cell>
          <cell r="F53">
            <v>15758</v>
          </cell>
          <cell r="G53">
            <v>15544</v>
          </cell>
          <cell r="H53">
            <v>15285</v>
          </cell>
          <cell r="I53">
            <v>15122</v>
          </cell>
        </row>
        <row r="54">
          <cell r="E54">
            <v>22731</v>
          </cell>
          <cell r="F54">
            <v>22386</v>
          </cell>
          <cell r="G54">
            <v>22047</v>
          </cell>
          <cell r="H54">
            <v>22019</v>
          </cell>
          <cell r="I54">
            <v>21736</v>
          </cell>
        </row>
        <row r="56">
          <cell r="E56">
            <v>6970</v>
          </cell>
          <cell r="F56">
            <v>6755</v>
          </cell>
          <cell r="G56">
            <v>7492</v>
          </cell>
          <cell r="H56">
            <v>7424</v>
          </cell>
          <cell r="I56">
            <v>7013</v>
          </cell>
        </row>
        <row r="58">
          <cell r="E58">
            <v>14468</v>
          </cell>
          <cell r="F58">
            <v>14130</v>
          </cell>
          <cell r="G58">
            <v>15030</v>
          </cell>
          <cell r="H58">
            <v>14890</v>
          </cell>
          <cell r="I58">
            <v>14373</v>
          </cell>
        </row>
        <row r="59">
          <cell r="E59">
            <v>22129</v>
          </cell>
          <cell r="F59">
            <v>21480</v>
          </cell>
          <cell r="G59">
            <v>23735</v>
          </cell>
          <cell r="H59">
            <v>23426</v>
          </cell>
          <cell r="I59">
            <v>22661</v>
          </cell>
        </row>
        <row r="61">
          <cell r="E61">
            <v>7847</v>
          </cell>
          <cell r="F61">
            <v>8120</v>
          </cell>
          <cell r="G61">
            <v>7793</v>
          </cell>
          <cell r="H61">
            <v>8275</v>
          </cell>
          <cell r="I61">
            <v>8302</v>
          </cell>
        </row>
        <row r="63">
          <cell r="E63">
            <v>15699</v>
          </cell>
          <cell r="F63">
            <v>16104</v>
          </cell>
          <cell r="G63">
            <v>16126</v>
          </cell>
          <cell r="H63">
            <v>16644</v>
          </cell>
          <cell r="I63">
            <v>16688</v>
          </cell>
        </row>
        <row r="64">
          <cell r="E64">
            <v>20508</v>
          </cell>
          <cell r="F64">
            <v>20855</v>
          </cell>
          <cell r="G64">
            <v>20851</v>
          </cell>
          <cell r="H64">
            <v>21645</v>
          </cell>
          <cell r="I64">
            <v>21726</v>
          </cell>
        </row>
      </sheetData>
      <sheetData sheetId="182" refreshError="1"/>
      <sheetData sheetId="183" refreshError="1">
        <row r="6">
          <cell r="E6">
            <v>39.988808778638543</v>
          </cell>
          <cell r="F6">
            <v>46.320490433360867</v>
          </cell>
          <cell r="G6">
            <v>45.445618179828315</v>
          </cell>
          <cell r="H6">
            <v>42.921843734295585</v>
          </cell>
          <cell r="I6">
            <v>42.812550862838371</v>
          </cell>
        </row>
        <row r="8">
          <cell r="E8">
            <v>61.180456831263086</v>
          </cell>
          <cell r="F8">
            <v>65.237801695753902</v>
          </cell>
          <cell r="G8">
            <v>65.959457885711601</v>
          </cell>
          <cell r="H8">
            <v>69.035128272535644</v>
          </cell>
          <cell r="I8">
            <v>69.188198194936561</v>
          </cell>
        </row>
        <row r="9">
          <cell r="E9">
            <v>57.705161992446627</v>
          </cell>
          <cell r="F9">
            <v>62.284426091109268</v>
          </cell>
          <cell r="G9">
            <v>61.886396830642454</v>
          </cell>
          <cell r="H9">
            <v>62.230811976859115</v>
          </cell>
          <cell r="I9">
            <v>61.906984612204141</v>
          </cell>
        </row>
        <row r="11">
          <cell r="E11">
            <v>40.010174853601129</v>
          </cell>
          <cell r="F11">
            <v>47.193135253911088</v>
          </cell>
          <cell r="G11">
            <v>45.855325462875122</v>
          </cell>
          <cell r="H11">
            <v>43.307482055354853</v>
          </cell>
          <cell r="I11">
            <v>43.300893675856813</v>
          </cell>
        </row>
        <row r="13">
          <cell r="E13">
            <v>61.531258071387832</v>
          </cell>
          <cell r="F13">
            <v>66.080694891089067</v>
          </cell>
          <cell r="G13">
            <v>66.482186208103442</v>
          </cell>
          <cell r="H13">
            <v>69.777187165460276</v>
          </cell>
          <cell r="I13">
            <v>70.167304907090454</v>
          </cell>
        </row>
        <row r="14">
          <cell r="E14">
            <v>57.526110442467711</v>
          </cell>
          <cell r="F14">
            <v>62.675603662059785</v>
          </cell>
          <cell r="G14">
            <v>61.677197776934513</v>
          </cell>
          <cell r="H14">
            <v>62.04081552194075</v>
          </cell>
          <cell r="I14">
            <v>61.939040189520398</v>
          </cell>
        </row>
        <row r="16">
          <cell r="E16">
            <v>32</v>
          </cell>
          <cell r="F16">
            <v>32</v>
          </cell>
          <cell r="G16">
            <v>33</v>
          </cell>
          <cell r="H16">
            <v>32</v>
          </cell>
          <cell r="I16">
            <v>32</v>
          </cell>
        </row>
        <row r="18">
          <cell r="E18">
            <v>66</v>
          </cell>
          <cell r="F18">
            <v>67</v>
          </cell>
          <cell r="G18">
            <v>69</v>
          </cell>
          <cell r="H18">
            <v>74</v>
          </cell>
          <cell r="I18">
            <v>73</v>
          </cell>
        </row>
        <row r="19">
          <cell r="E19">
            <v>56.000000000000007</v>
          </cell>
          <cell r="F19">
            <v>56.000000000000007</v>
          </cell>
          <cell r="G19">
            <v>56.000000000000007</v>
          </cell>
          <cell r="H19">
            <v>56.000000000000007</v>
          </cell>
          <cell r="I19">
            <v>56.000000000000007</v>
          </cell>
        </row>
        <row r="21">
          <cell r="E21">
            <v>66</v>
          </cell>
          <cell r="F21">
            <v>60</v>
          </cell>
          <cell r="G21">
            <v>62</v>
          </cell>
          <cell r="H21">
            <v>57.999999999999993</v>
          </cell>
          <cell r="I21">
            <v>57.999999999999993</v>
          </cell>
        </row>
        <row r="23">
          <cell r="E23">
            <v>75</v>
          </cell>
          <cell r="F23">
            <v>69</v>
          </cell>
          <cell r="G23">
            <v>71</v>
          </cell>
          <cell r="H23">
            <v>73</v>
          </cell>
          <cell r="I23">
            <v>72</v>
          </cell>
        </row>
        <row r="24">
          <cell r="E24">
            <v>78</v>
          </cell>
          <cell r="F24">
            <v>71</v>
          </cell>
          <cell r="G24">
            <v>73</v>
          </cell>
          <cell r="H24">
            <v>73</v>
          </cell>
          <cell r="I24">
            <v>72</v>
          </cell>
        </row>
        <row r="26">
          <cell r="E26">
            <v>50</v>
          </cell>
          <cell r="F26">
            <v>48</v>
          </cell>
          <cell r="G26">
            <v>47</v>
          </cell>
          <cell r="H26">
            <v>43</v>
          </cell>
          <cell r="I26">
            <v>43</v>
          </cell>
        </row>
        <row r="28">
          <cell r="E28">
            <v>66</v>
          </cell>
          <cell r="F28">
            <v>66</v>
          </cell>
          <cell r="G28">
            <v>67</v>
          </cell>
          <cell r="H28">
            <v>69</v>
          </cell>
          <cell r="I28">
            <v>68</v>
          </cell>
        </row>
        <row r="29">
          <cell r="E29">
            <v>60</v>
          </cell>
          <cell r="F29">
            <v>57.999999999999993</v>
          </cell>
          <cell r="G29">
            <v>57.999999999999993</v>
          </cell>
          <cell r="H29">
            <v>57.999999999999993</v>
          </cell>
          <cell r="I29">
            <v>56.999999999999993</v>
          </cell>
        </row>
        <row r="31">
          <cell r="E31">
            <v>24</v>
          </cell>
          <cell r="F31">
            <v>24</v>
          </cell>
          <cell r="G31">
            <v>25</v>
          </cell>
          <cell r="H31">
            <v>23</v>
          </cell>
          <cell r="I31">
            <v>23</v>
          </cell>
        </row>
        <row r="33">
          <cell r="E33">
            <v>55.000000000000007</v>
          </cell>
          <cell r="F33">
            <v>55.000000000000007</v>
          </cell>
          <cell r="G33">
            <v>55.000000000000007</v>
          </cell>
          <cell r="H33">
            <v>56.999999999999993</v>
          </cell>
          <cell r="I33">
            <v>56.999999999999993</v>
          </cell>
        </row>
        <row r="34">
          <cell r="E34">
            <v>44</v>
          </cell>
          <cell r="F34">
            <v>44</v>
          </cell>
          <cell r="G34">
            <v>45</v>
          </cell>
          <cell r="H34">
            <v>46</v>
          </cell>
          <cell r="I34">
            <v>46</v>
          </cell>
        </row>
        <row r="36">
          <cell r="E36">
            <v>31</v>
          </cell>
          <cell r="F36">
            <v>48</v>
          </cell>
          <cell r="G36">
            <v>41</v>
          </cell>
          <cell r="H36">
            <v>38</v>
          </cell>
          <cell r="I36">
            <v>38</v>
          </cell>
        </row>
        <row r="38">
          <cell r="E38">
            <v>54</v>
          </cell>
          <cell r="F38">
            <v>57.999999999999993</v>
          </cell>
          <cell r="G38">
            <v>54</v>
          </cell>
          <cell r="H38">
            <v>60</v>
          </cell>
          <cell r="I38">
            <v>62</v>
          </cell>
        </row>
        <row r="39">
          <cell r="E39">
            <v>54</v>
          </cell>
          <cell r="F39">
            <v>59</v>
          </cell>
          <cell r="G39">
            <v>52</v>
          </cell>
          <cell r="H39">
            <v>51</v>
          </cell>
          <cell r="I39">
            <v>53</v>
          </cell>
        </row>
        <row r="41">
          <cell r="E41">
            <v>47</v>
          </cell>
          <cell r="F41">
            <v>52</v>
          </cell>
          <cell r="G41">
            <v>54</v>
          </cell>
          <cell r="H41">
            <v>51</v>
          </cell>
          <cell r="I41">
            <v>51</v>
          </cell>
        </row>
        <row r="43">
          <cell r="E43">
            <v>68</v>
          </cell>
          <cell r="F43">
            <v>76</v>
          </cell>
          <cell r="G43">
            <v>79</v>
          </cell>
          <cell r="H43">
            <v>81</v>
          </cell>
          <cell r="I43">
            <v>81</v>
          </cell>
        </row>
        <row r="44">
          <cell r="E44">
            <v>61</v>
          </cell>
          <cell r="F44">
            <v>70</v>
          </cell>
          <cell r="G44">
            <v>72</v>
          </cell>
          <cell r="H44">
            <v>73</v>
          </cell>
          <cell r="I44">
            <v>72</v>
          </cell>
        </row>
        <row r="46">
          <cell r="E46">
            <v>40</v>
          </cell>
          <cell r="F46">
            <v>46</v>
          </cell>
          <cell r="G46">
            <v>46</v>
          </cell>
          <cell r="H46">
            <v>43</v>
          </cell>
          <cell r="I46">
            <v>43</v>
          </cell>
        </row>
        <row r="48">
          <cell r="E48">
            <v>50</v>
          </cell>
          <cell r="F48">
            <v>54</v>
          </cell>
          <cell r="G48">
            <v>55.000000000000007</v>
          </cell>
          <cell r="H48">
            <v>60</v>
          </cell>
          <cell r="I48">
            <v>55.000000000000007</v>
          </cell>
        </row>
        <row r="49">
          <cell r="E49">
            <v>60</v>
          </cell>
          <cell r="F49">
            <v>65</v>
          </cell>
          <cell r="G49">
            <v>67</v>
          </cell>
          <cell r="H49">
            <v>67</v>
          </cell>
          <cell r="I49">
            <v>62</v>
          </cell>
        </row>
        <row r="51">
          <cell r="E51">
            <v>42</v>
          </cell>
          <cell r="F51">
            <v>41</v>
          </cell>
          <cell r="G51">
            <v>41</v>
          </cell>
          <cell r="H51">
            <v>40</v>
          </cell>
          <cell r="I51">
            <v>42</v>
          </cell>
        </row>
        <row r="53">
          <cell r="E53">
            <v>69</v>
          </cell>
          <cell r="F53">
            <v>68</v>
          </cell>
          <cell r="G53">
            <v>68</v>
          </cell>
          <cell r="H53">
            <v>69</v>
          </cell>
          <cell r="I53">
            <v>68</v>
          </cell>
        </row>
        <row r="54">
          <cell r="E54">
            <v>68</v>
          </cell>
          <cell r="F54">
            <v>66</v>
          </cell>
          <cell r="G54">
            <v>65</v>
          </cell>
          <cell r="H54">
            <v>66</v>
          </cell>
          <cell r="I54">
            <v>65</v>
          </cell>
        </row>
        <row r="56">
          <cell r="E56">
            <v>36</v>
          </cell>
          <cell r="F56">
            <v>35</v>
          </cell>
          <cell r="G56">
            <v>39</v>
          </cell>
          <cell r="H56">
            <v>36</v>
          </cell>
          <cell r="I56">
            <v>34</v>
          </cell>
        </row>
        <row r="58">
          <cell r="E58">
            <v>55.000000000000007</v>
          </cell>
          <cell r="F58">
            <v>53</v>
          </cell>
          <cell r="G58">
            <v>56.999999999999993</v>
          </cell>
          <cell r="H58">
            <v>57.999999999999993</v>
          </cell>
          <cell r="I58">
            <v>56.000000000000007</v>
          </cell>
        </row>
        <row r="59">
          <cell r="E59">
            <v>57.999999999999993</v>
          </cell>
          <cell r="F59">
            <v>56.000000000000007</v>
          </cell>
          <cell r="G59">
            <v>62</v>
          </cell>
          <cell r="H59">
            <v>61</v>
          </cell>
          <cell r="I59">
            <v>59</v>
          </cell>
        </row>
        <row r="61">
          <cell r="E61">
            <v>41</v>
          </cell>
          <cell r="F61">
            <v>42</v>
          </cell>
          <cell r="G61">
            <v>40</v>
          </cell>
          <cell r="H61">
            <v>40</v>
          </cell>
          <cell r="I61">
            <v>40</v>
          </cell>
        </row>
        <row r="63">
          <cell r="E63">
            <v>60</v>
          </cell>
          <cell r="F63">
            <v>61</v>
          </cell>
          <cell r="G63">
            <v>62</v>
          </cell>
          <cell r="H63">
            <v>64</v>
          </cell>
          <cell r="I63">
            <v>65</v>
          </cell>
        </row>
        <row r="64">
          <cell r="E64">
            <v>53</v>
          </cell>
          <cell r="F64">
            <v>54</v>
          </cell>
          <cell r="G64">
            <v>54</v>
          </cell>
          <cell r="H64">
            <v>56.000000000000007</v>
          </cell>
          <cell r="I64">
            <v>56.000000000000007</v>
          </cell>
        </row>
      </sheetData>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list"/>
      <sheetName val="1"/>
      <sheetName val="2"/>
      <sheetName val="3"/>
      <sheetName val="4"/>
      <sheetName val="5"/>
      <sheetName val="6"/>
      <sheetName val="7"/>
      <sheetName val="8"/>
      <sheetName val="9"/>
      <sheetName val="10"/>
      <sheetName val="11"/>
      <sheetName val="12"/>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a8"/>
      <sheetName val="a9"/>
      <sheetName val="a10"/>
      <sheetName val="a11"/>
      <sheetName val="a12"/>
      <sheetName val="a12A"/>
      <sheetName val="new gdp"/>
      <sheetName val="a13"/>
      <sheetName val="a14"/>
      <sheetName val="a15"/>
      <sheetName val="a16"/>
      <sheetName val="a17"/>
      <sheetName val="a18"/>
      <sheetName val="a19"/>
      <sheetName val="a20"/>
      <sheetName val="a20 (2)"/>
      <sheetName val="a21"/>
      <sheetName val="a22"/>
      <sheetName val="a23"/>
      <sheetName val="a24"/>
      <sheetName val="a25"/>
      <sheetName val="a26"/>
      <sheetName val="a27"/>
      <sheetName val="a28"/>
      <sheetName val="a29"/>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s>
    <sheetDataSet>
      <sheetData sheetId="0" refreshError="1"/>
      <sheetData sheetId="1" refreshError="1"/>
      <sheetData sheetId="2" refreshError="1"/>
      <sheetData sheetId="3" refreshError="1"/>
      <sheetData sheetId="4" refreshError="1">
        <row r="8">
          <cell r="H8">
            <v>0.6406795447939686</v>
          </cell>
          <cell r="O8">
            <v>0.45456371321782513</v>
          </cell>
          <cell r="V8">
            <v>0.61630645569520737</v>
          </cell>
          <cell r="AC8">
            <v>0.58291153671618301</v>
          </cell>
          <cell r="AJ8">
            <v>0.53368642183992909</v>
          </cell>
          <cell r="AQ8">
            <v>0.60354964426852786</v>
          </cell>
          <cell r="AX8">
            <v>0.68790278184899689</v>
          </cell>
          <cell r="BE8">
            <v>0.71532806593295561</v>
          </cell>
          <cell r="BL8">
            <v>0.75022495213998774</v>
          </cell>
          <cell r="BS8">
            <v>0.73917954737033353</v>
          </cell>
          <cell r="BZ8">
            <v>0.6013810386511419</v>
          </cell>
        </row>
        <row r="9">
          <cell r="H9">
            <v>0.66968008629877285</v>
          </cell>
          <cell r="O9">
            <v>0.46560061314464363</v>
          </cell>
          <cell r="V9">
            <v>0.62288239842327109</v>
          </cell>
          <cell r="AC9">
            <v>0.59023810081155836</v>
          </cell>
          <cell r="AJ9">
            <v>0.54156255669566167</v>
          </cell>
          <cell r="AQ9">
            <v>0.61185581495416863</v>
          </cell>
          <cell r="AX9">
            <v>0.69441040822792155</v>
          </cell>
          <cell r="BE9">
            <v>0.71878083469692766</v>
          </cell>
          <cell r="BL9">
            <v>0.75364092505399138</v>
          </cell>
          <cell r="BS9">
            <v>0.7425355780514773</v>
          </cell>
          <cell r="BZ9">
            <v>0.60836026748471084</v>
          </cell>
        </row>
        <row r="10">
          <cell r="H10">
            <v>0.67251404635307088</v>
          </cell>
          <cell r="O10">
            <v>0.46447109566063316</v>
          </cell>
          <cell r="V10">
            <v>0.62266451696039593</v>
          </cell>
          <cell r="AC10">
            <v>0.59090432620951239</v>
          </cell>
          <cell r="AJ10">
            <v>0.54466363154256692</v>
          </cell>
          <cell r="AQ10">
            <v>0.61356687706148916</v>
          </cell>
          <cell r="AX10">
            <v>0.69659547507394537</v>
          </cell>
          <cell r="BE10">
            <v>0.72016273215400073</v>
          </cell>
          <cell r="BL10">
            <v>0.75496659825906454</v>
          </cell>
          <cell r="BS10">
            <v>0.74342266604022766</v>
          </cell>
          <cell r="BZ10">
            <v>0.6098439872684307</v>
          </cell>
        </row>
        <row r="11">
          <cell r="H11">
            <v>0.67114882319933089</v>
          </cell>
          <cell r="O11">
            <v>0.46000188847987011</v>
          </cell>
          <cell r="V11">
            <v>0.61702172573132141</v>
          </cell>
          <cell r="AC11">
            <v>0.58896620134797661</v>
          </cell>
          <cell r="AJ11">
            <v>0.53821883120697833</v>
          </cell>
          <cell r="AQ11">
            <v>0.61114098692886065</v>
          </cell>
          <cell r="AX11">
            <v>0.69645129275110496</v>
          </cell>
          <cell r="BE11">
            <v>0.71883942206697915</v>
          </cell>
          <cell r="BL11">
            <v>0.75335841996473496</v>
          </cell>
          <cell r="BS11">
            <v>0.74285220326477808</v>
          </cell>
          <cell r="BZ11">
            <v>0.60743676700548721</v>
          </cell>
        </row>
        <row r="12">
          <cell r="H12">
            <v>0.6701765204032013</v>
          </cell>
          <cell r="O12">
            <v>0.45862722448861581</v>
          </cell>
          <cell r="V12">
            <v>0.6147807214297496</v>
          </cell>
          <cell r="AC12">
            <v>0.58863659521489353</v>
          </cell>
          <cell r="AJ12">
            <v>0.5381224764069702</v>
          </cell>
          <cell r="AQ12">
            <v>0.60850275113582752</v>
          </cell>
          <cell r="AX12">
            <v>0.69670397968737297</v>
          </cell>
          <cell r="BE12">
            <v>0.7204866621685313</v>
          </cell>
          <cell r="BL12">
            <v>0.75446359817583208</v>
          </cell>
          <cell r="BS12">
            <v>0.74365450042435177</v>
          </cell>
          <cell r="BZ12">
            <v>0.60653869005116068</v>
          </cell>
        </row>
        <row r="13">
          <cell r="H13">
            <v>0.67290633361328078</v>
          </cell>
          <cell r="O13">
            <v>0.48058623396154243</v>
          </cell>
          <cell r="V13">
            <v>0.67279781133723027</v>
          </cell>
          <cell r="AC13">
            <v>0.60696379094418318</v>
          </cell>
          <cell r="AJ13">
            <v>0.56649799456216521</v>
          </cell>
          <cell r="AQ13">
            <v>0.61946412354963765</v>
          </cell>
          <cell r="AX13">
            <v>0.68818840662383929</v>
          </cell>
          <cell r="BE13">
            <v>0.7346366474426449</v>
          </cell>
          <cell r="BL13">
            <v>0.769080636621849</v>
          </cell>
          <cell r="BS13">
            <v>0.74287419992189929</v>
          </cell>
          <cell r="BZ13">
            <v>0.59680340796288167</v>
          </cell>
        </row>
        <row r="14">
          <cell r="H14">
            <v>0.62818318840122622</v>
          </cell>
          <cell r="O14">
            <v>0.37975465719739632</v>
          </cell>
          <cell r="V14">
            <v>0.66527125348140936</v>
          </cell>
          <cell r="AC14">
            <v>0.56245954718073143</v>
          </cell>
          <cell r="AJ14">
            <v>0.45982393449971359</v>
          </cell>
          <cell r="AQ14">
            <v>0.53872328677019476</v>
          </cell>
          <cell r="AX14">
            <v>0.6469169799483272</v>
          </cell>
          <cell r="BE14">
            <v>0.70114699019048154</v>
          </cell>
          <cell r="BL14">
            <v>0.75184209186892392</v>
          </cell>
          <cell r="BS14">
            <v>0.72073015986325362</v>
          </cell>
          <cell r="BZ14">
            <v>0.60012117830444578</v>
          </cell>
        </row>
        <row r="15">
          <cell r="H15">
            <v>0.61320972335268642</v>
          </cell>
          <cell r="O15">
            <v>0.36639856376964069</v>
          </cell>
          <cell r="V15">
            <v>0.66620861210786098</v>
          </cell>
          <cell r="AC15">
            <v>0.55526338084997695</v>
          </cell>
          <cell r="AJ15">
            <v>0.50724299951935681</v>
          </cell>
          <cell r="AQ15">
            <v>0.5134393691390311</v>
          </cell>
          <cell r="AX15">
            <v>0.63406848955823036</v>
          </cell>
          <cell r="BE15">
            <v>0.67273560824885192</v>
          </cell>
          <cell r="BL15">
            <v>0.73595802175889857</v>
          </cell>
          <cell r="BS15">
            <v>0.70874999429646357</v>
          </cell>
          <cell r="BZ15">
            <v>0.60556526480695516</v>
          </cell>
        </row>
        <row r="16">
          <cell r="H16">
            <v>0.6355360527127174</v>
          </cell>
          <cell r="O16">
            <v>0.38612057397064409</v>
          </cell>
          <cell r="V16">
            <v>0.52597432830909119</v>
          </cell>
          <cell r="AC16">
            <v>0.55291232444197358</v>
          </cell>
          <cell r="AJ16">
            <v>0.55016961974242384</v>
          </cell>
          <cell r="AQ16">
            <v>0.55409308583750094</v>
          </cell>
          <cell r="AX16">
            <v>0.647580918800433</v>
          </cell>
          <cell r="BE16">
            <v>0.70034536121382074</v>
          </cell>
          <cell r="BL16">
            <v>0.7449958091634411</v>
          </cell>
          <cell r="BS16">
            <v>0.73477306765027728</v>
          </cell>
          <cell r="BZ16">
            <v>0.61202600021712794</v>
          </cell>
        </row>
        <row r="17">
          <cell r="H17">
            <v>0.63271622933567939</v>
          </cell>
          <cell r="O17">
            <v>0.46039704920270408</v>
          </cell>
          <cell r="V17">
            <v>0.57428090202592075</v>
          </cell>
          <cell r="AC17">
            <v>0.56441848145248297</v>
          </cell>
          <cell r="AJ17">
            <v>0.53860405735059302</v>
          </cell>
          <cell r="AQ17">
            <v>0.53511203542896169</v>
          </cell>
          <cell r="AX17">
            <v>0.63801867312828231</v>
          </cell>
          <cell r="BE17">
            <v>0.69974526838458084</v>
          </cell>
          <cell r="BL17">
            <v>0.73846880998537801</v>
          </cell>
          <cell r="BS17">
            <v>0.73492635537062145</v>
          </cell>
          <cell r="BZ17">
            <v>0.64676572872277327</v>
          </cell>
        </row>
      </sheetData>
      <sheetData sheetId="5" refreshError="1">
        <row r="6">
          <cell r="C6">
            <v>-0.20324387236027347</v>
          </cell>
          <cell r="E6">
            <v>-2.7085399977696413E-2</v>
          </cell>
          <cell r="G6">
            <v>-0.32172152466895027</v>
          </cell>
          <cell r="I6">
            <v>-0.17393323207467168</v>
          </cell>
          <cell r="K6">
            <v>8.688061844662158E-2</v>
          </cell>
          <cell r="M6">
            <v>-0.41241679976766643</v>
          </cell>
          <cell r="O6">
            <v>-1.4084416920553611E-2</v>
          </cell>
          <cell r="Q6">
            <v>-0.15502417263107232</v>
          </cell>
          <cell r="S6">
            <v>-0.81300673182029648</v>
          </cell>
          <cell r="U6">
            <v>-0.20002930334486799</v>
          </cell>
          <cell r="W6">
            <v>-0.43139846169824658</v>
          </cell>
        </row>
        <row r="7">
          <cell r="C7">
            <v>-0.19901067751905363</v>
          </cell>
          <cell r="E7">
            <v>-0.15279205182050631</v>
          </cell>
          <cell r="G7">
            <v>-0.3968141439532929</v>
          </cell>
          <cell r="I7">
            <v>-0.13560610424713573</v>
          </cell>
          <cell r="K7">
            <v>4.8275961692720457E-2</v>
          </cell>
          <cell r="M7">
            <v>-0.32550541768553309</v>
          </cell>
          <cell r="O7">
            <v>-1.8996115106371624E-2</v>
          </cell>
          <cell r="Q7">
            <v>-0.17694663235620997</v>
          </cell>
          <cell r="S7">
            <v>-0.81836689778517746</v>
          </cell>
          <cell r="U7">
            <v>-0.21415495053048125</v>
          </cell>
          <cell r="W7">
            <v>-0.40881610619756481</v>
          </cell>
        </row>
        <row r="8">
          <cell r="C8">
            <v>-0.15532250163717198</v>
          </cell>
          <cell r="E8">
            <v>-0.2415916898108901</v>
          </cell>
          <cell r="G8">
            <v>-0.3773412932159001</v>
          </cell>
          <cell r="I8">
            <v>-8.4337252058428583E-2</v>
          </cell>
          <cell r="K8">
            <v>2.8383004795583242E-2</v>
          </cell>
          <cell r="M8">
            <v>-0.24578959865413272</v>
          </cell>
          <cell r="O8">
            <v>-1.5679741496868E-3</v>
          </cell>
          <cell r="Q8">
            <v>-7.9102886277314641E-2</v>
          </cell>
          <cell r="S8">
            <v>-0.43414113685484468</v>
          </cell>
          <cell r="U8">
            <v>-0.16570226103879557</v>
          </cell>
          <cell r="W8">
            <v>-0.34412847881510067</v>
          </cell>
        </row>
        <row r="9">
          <cell r="C9">
            <v>-8.8587233069844964E-2</v>
          </cell>
          <cell r="E9">
            <v>-0.29092037659326714</v>
          </cell>
          <cell r="G9">
            <v>-0.44099790252401028</v>
          </cell>
          <cell r="I9">
            <v>-2.3538588483208046E-2</v>
          </cell>
          <cell r="K9">
            <v>2.3708169001803722E-2</v>
          </cell>
          <cell r="M9">
            <v>-0.1259961407571869</v>
          </cell>
          <cell r="O9">
            <v>3.1849604957377022E-2</v>
          </cell>
          <cell r="Q9">
            <v>-6.0342166299966318E-2</v>
          </cell>
          <cell r="S9">
            <v>-0.23810768909331703</v>
          </cell>
          <cell r="U9">
            <v>-0.11431952092983319</v>
          </cell>
          <cell r="W9">
            <v>-0.29300555740556511</v>
          </cell>
        </row>
        <row r="10">
          <cell r="C10">
            <v>-4.7654457754672572E-2</v>
          </cell>
          <cell r="E10">
            <v>-0.35449352186764876</v>
          </cell>
          <cell r="G10">
            <v>-0.67037406469265337</v>
          </cell>
          <cell r="I10">
            <v>1.3005796406785513E-2</v>
          </cell>
          <cell r="K10">
            <v>2.0969609453408099E-2</v>
          </cell>
          <cell r="M10">
            <v>-1.776609563739695E-2</v>
          </cell>
          <cell r="O10">
            <v>5.2830012739759798E-2</v>
          </cell>
          <cell r="Q10">
            <v>-1.7590838045321029E-2</v>
          </cell>
          <cell r="S10">
            <v>-4.267307352677116E-2</v>
          </cell>
          <cell r="U10">
            <v>-4.1779446207249687E-2</v>
          </cell>
          <cell r="W10">
            <v>-0.2604795608496876</v>
          </cell>
        </row>
        <row r="11">
          <cell r="C11">
            <v>-2.4658666899151749E-2</v>
          </cell>
          <cell r="E11">
            <v>-0.87898028429789221</v>
          </cell>
          <cell r="G11">
            <v>-0.29463002996204668</v>
          </cell>
          <cell r="I11">
            <v>-0.13576286024569603</v>
          </cell>
          <cell r="K11">
            <v>9.8114935892589253E-2</v>
          </cell>
          <cell r="M11">
            <v>9.7611340673752184E-2</v>
          </cell>
          <cell r="O11">
            <v>8.1397347943059487E-2</v>
          </cell>
          <cell r="Q11">
            <v>1.145028733152657E-2</v>
          </cell>
          <cell r="S11">
            <v>-0.10890944843174676</v>
          </cell>
          <cell r="U11">
            <v>-7.658191625658335E-3</v>
          </cell>
          <cell r="W11">
            <v>-0.36510444242118639</v>
          </cell>
        </row>
        <row r="12">
          <cell r="C12">
            <v>-3.222556266221701E-2</v>
          </cell>
          <cell r="E12">
            <v>-1.4010437939764049</v>
          </cell>
          <cell r="G12">
            <v>-0.21631076611910166</v>
          </cell>
          <cell r="I12">
            <v>3.9999190510125501E-2</v>
          </cell>
          <cell r="K12">
            <v>8.8101398617370666E-2</v>
          </cell>
          <cell r="M12">
            <v>0.17705661419762822</v>
          </cell>
          <cell r="O12">
            <v>3.6435026351882623E-2</v>
          </cell>
          <cell r="Q12">
            <v>-6.4848818378302489E-2</v>
          </cell>
          <cell r="S12">
            <v>-0.29437939024826104</v>
          </cell>
          <cell r="U12">
            <v>1.0043639055537254E-2</v>
          </cell>
          <cell r="W12">
            <v>-0.45115028775071164</v>
          </cell>
        </row>
        <row r="13">
          <cell r="C13">
            <v>-2.9815425278163901E-2</v>
          </cell>
          <cell r="E13">
            <v>-1.671105076454626</v>
          </cell>
          <cell r="G13">
            <v>-0.3681720367596486</v>
          </cell>
          <cell r="I13">
            <v>8.498806729059187E-2</v>
          </cell>
          <cell r="K13">
            <v>-2.5101693095810493E-2</v>
          </cell>
          <cell r="M13">
            <v>0.20330196964142769</v>
          </cell>
          <cell r="O13">
            <v>-1.7614168255260892E-2</v>
          </cell>
          <cell r="Q13">
            <v>4.4198080495209478E-2</v>
          </cell>
          <cell r="S13">
            <v>-7.5559289876553207E-2</v>
          </cell>
          <cell r="U13">
            <v>5.8497176614705382E-2</v>
          </cell>
          <cell r="W13">
            <v>-0.36555854089676859</v>
          </cell>
        </row>
        <row r="14">
          <cell r="C14">
            <v>-3.7750784141361599E-2</v>
          </cell>
          <cell r="E14">
            <v>-1.6445655981084284</v>
          </cell>
          <cell r="G14">
            <v>-1.0268174822546574</v>
          </cell>
          <cell r="I14">
            <v>2.5042779669220579E-2</v>
          </cell>
          <cell r="K14">
            <v>-0.26861028717006052</v>
          </cell>
          <cell r="M14">
            <v>0.25162232860533262</v>
          </cell>
          <cell r="O14">
            <v>-8.391981463575672E-2</v>
          </cell>
          <cell r="Q14">
            <v>-6.0296416311348314E-2</v>
          </cell>
          <cell r="S14">
            <v>-4.7025034666659374E-2</v>
          </cell>
          <cell r="U14">
            <v>0.11164256230063162</v>
          </cell>
          <cell r="W14">
            <v>-0.25656071784600759</v>
          </cell>
        </row>
        <row r="15">
          <cell r="C15">
            <v>-9.0694929360928989E-2</v>
          </cell>
          <cell r="E15">
            <v>-1.6368063406893645</v>
          </cell>
          <cell r="G15">
            <v>-1.8648870318672717</v>
          </cell>
          <cell r="I15">
            <v>-6.0809844417772187E-2</v>
          </cell>
          <cell r="K15">
            <v>-0.4586333698234899</v>
          </cell>
          <cell r="M15">
            <v>0.18021147099189097</v>
          </cell>
          <cell r="O15">
            <v>-0.10731015976925845</v>
          </cell>
          <cell r="Q15">
            <v>-0.2448419921918486</v>
          </cell>
          <cell r="S15">
            <v>2.2387992382104566E-2</v>
          </cell>
          <cell r="U15">
            <v>4.2797934934128069E-2</v>
          </cell>
          <cell r="W15">
            <v>-0.36720285465286495</v>
          </cell>
        </row>
      </sheetData>
      <sheetData sheetId="6" refreshError="1">
        <row r="8">
          <cell r="F8">
            <v>0.63990812599577085</v>
          </cell>
          <cell r="K8">
            <v>0.90270252941378848</v>
          </cell>
          <cell r="P8">
            <v>0.74856096318370136</v>
          </cell>
          <cell r="U8">
            <v>0.73064128850596155</v>
          </cell>
          <cell r="Z8">
            <v>0.80507725625543058</v>
          </cell>
          <cell r="AE8">
            <v>0.86870909231798321</v>
          </cell>
          <cell r="AJ8">
            <v>0.70311736952646475</v>
          </cell>
          <cell r="AO8">
            <v>0.66475422168270315</v>
          </cell>
          <cell r="AT8">
            <v>0.83275802595767601</v>
          </cell>
          <cell r="AY8">
            <v>0.73223020809708472</v>
          </cell>
          <cell r="BD8">
            <v>0.4108181285950302</v>
          </cell>
        </row>
        <row r="9">
          <cell r="F9">
            <v>0.61420144972929647</v>
          </cell>
          <cell r="K9">
            <v>0.88655811892514369</v>
          </cell>
          <cell r="P9">
            <v>0.73676515583536339</v>
          </cell>
          <cell r="U9">
            <v>0.6552953441368351</v>
          </cell>
          <cell r="Z9">
            <v>0.81696850143621924</v>
          </cell>
          <cell r="AE9">
            <v>0.83843089174325192</v>
          </cell>
          <cell r="AJ9">
            <v>0.68503628868003763</v>
          </cell>
          <cell r="AO9">
            <v>0.66017689774748622</v>
          </cell>
          <cell r="AT9">
            <v>0.82958944397269951</v>
          </cell>
          <cell r="AY9">
            <v>0.72964027847941026</v>
          </cell>
          <cell r="BD9">
            <v>0.41628911100044147</v>
          </cell>
        </row>
        <row r="10">
          <cell r="F10">
            <v>0.57083164149994736</v>
          </cell>
          <cell r="K10">
            <v>0.85691116731927153</v>
          </cell>
          <cell r="P10">
            <v>0.78940013537506537</v>
          </cell>
          <cell r="U10">
            <v>0.5416538608250081</v>
          </cell>
          <cell r="Z10">
            <v>0.77770231602266915</v>
          </cell>
          <cell r="AE10">
            <v>0.79786307705287229</v>
          </cell>
          <cell r="AJ10">
            <v>0.67734796752087933</v>
          </cell>
          <cell r="AO10">
            <v>0.61406022231549473</v>
          </cell>
          <cell r="AT10">
            <v>0.81605988224602888</v>
          </cell>
          <cell r="AY10">
            <v>0.68791296692126369</v>
          </cell>
          <cell r="BD10">
            <v>0.3622037679176992</v>
          </cell>
        </row>
        <row r="11">
          <cell r="F11">
            <v>0.55765720174771616</v>
          </cell>
          <cell r="K11">
            <v>0.82455581222291319</v>
          </cell>
          <cell r="P11">
            <v>0.66885050208378383</v>
          </cell>
          <cell r="U11">
            <v>0.46478617124670341</v>
          </cell>
          <cell r="Z11">
            <v>0.73794690708672128</v>
          </cell>
          <cell r="AE11">
            <v>0.71531880749777954</v>
          </cell>
          <cell r="AJ11">
            <v>0.68174849887423039</v>
          </cell>
          <cell r="AO11">
            <v>0.63022393387217868</v>
          </cell>
          <cell r="AT11">
            <v>0.74816541665704683</v>
          </cell>
          <cell r="AY11">
            <v>0.6484508284273014</v>
          </cell>
          <cell r="BD11">
            <v>0.32758740046159984</v>
          </cell>
        </row>
        <row r="12">
          <cell r="F12">
            <v>0.58855957091742706</v>
          </cell>
          <cell r="K12">
            <v>0.80409603824396647</v>
          </cell>
          <cell r="P12">
            <v>0.79127733116290599</v>
          </cell>
          <cell r="U12">
            <v>0.51527382042786818</v>
          </cell>
          <cell r="Z12">
            <v>0.77060568949064179</v>
          </cell>
          <cell r="AE12">
            <v>0.70257143124391463</v>
          </cell>
          <cell r="AJ12">
            <v>0.6791768154198875</v>
          </cell>
          <cell r="AO12">
            <v>0.64971367886548237</v>
          </cell>
          <cell r="AT12">
            <v>0.69495672929597074</v>
          </cell>
          <cell r="AY12">
            <v>0.61512801808645257</v>
          </cell>
          <cell r="BD12">
            <v>0.36119158557927067</v>
          </cell>
        </row>
        <row r="13">
          <cell r="F13">
            <v>0.48876688116818806</v>
          </cell>
          <cell r="K13">
            <v>0.77119369799718462</v>
          </cell>
          <cell r="P13">
            <v>0.72607226278919568</v>
          </cell>
          <cell r="U13">
            <v>0.55185163513181146</v>
          </cell>
          <cell r="Z13">
            <v>0.70036553293691028</v>
          </cell>
          <cell r="AE13">
            <v>0.64331951111413943</v>
          </cell>
          <cell r="AJ13">
            <v>0.61367597975966803</v>
          </cell>
          <cell r="AO13">
            <v>0.63520468964890042</v>
          </cell>
          <cell r="AT13">
            <v>0.67275791965605425</v>
          </cell>
          <cell r="AY13">
            <v>0.6264835263783648</v>
          </cell>
          <cell r="BD13">
            <v>0.28091787220152248</v>
          </cell>
        </row>
        <row r="14">
          <cell r="F14">
            <v>0.39986762598774761</v>
          </cell>
          <cell r="K14">
            <v>0.74490288256974047</v>
          </cell>
          <cell r="P14">
            <v>0.73893811908652107</v>
          </cell>
          <cell r="U14">
            <v>0.61510224327088259</v>
          </cell>
          <cell r="Z14">
            <v>0.67474344425175115</v>
          </cell>
          <cell r="AE14">
            <v>0.62226260944272671</v>
          </cell>
          <cell r="AJ14">
            <v>0.54334717511959396</v>
          </cell>
          <cell r="AO14">
            <v>0.59386074899631736</v>
          </cell>
          <cell r="AT14">
            <v>0.59536050892161696</v>
          </cell>
          <cell r="AY14">
            <v>0.64809838056008895</v>
          </cell>
          <cell r="BD14">
            <v>0.27891114782093579</v>
          </cell>
        </row>
        <row r="15">
          <cell r="F15">
            <v>0.35481682277636312</v>
          </cell>
          <cell r="K15">
            <v>0.75231087389980256</v>
          </cell>
          <cell r="P15">
            <v>0.69096459197355842</v>
          </cell>
          <cell r="U15">
            <v>0.54464573289377993</v>
          </cell>
          <cell r="Z15">
            <v>0.57621251888825864</v>
          </cell>
          <cell r="AE15">
            <v>0.60977154386605126</v>
          </cell>
          <cell r="AJ15">
            <v>0.51862202567356108</v>
          </cell>
          <cell r="AO15">
            <v>0.54621268030100756</v>
          </cell>
          <cell r="AT15">
            <v>0.63451180825593645</v>
          </cell>
          <cell r="AY15">
            <v>0.63921420691249331</v>
          </cell>
          <cell r="BD15">
            <v>0.29420238267783244</v>
          </cell>
        </row>
        <row r="16">
          <cell r="F16">
            <v>0.30173000300354907</v>
          </cell>
          <cell r="K16">
            <v>0.70728131823158713</v>
          </cell>
          <cell r="P16">
            <v>0.61730705008934006</v>
          </cell>
          <cell r="U16">
            <v>0.42710313909152531</v>
          </cell>
          <cell r="Z16">
            <v>0.51866600756402559</v>
          </cell>
          <cell r="AE16">
            <v>0.62310359855285191</v>
          </cell>
          <cell r="AJ16">
            <v>0.48164007235318856</v>
          </cell>
          <cell r="AO16">
            <v>0.5246733323089845</v>
          </cell>
          <cell r="AT16">
            <v>0.63481737756862133</v>
          </cell>
          <cell r="AY16">
            <v>0.61640714681124742</v>
          </cell>
          <cell r="BD16">
            <v>0.26401115822846682</v>
          </cell>
        </row>
        <row r="17">
          <cell r="F17">
            <v>0.38058072381499497</v>
          </cell>
          <cell r="K17">
            <v>0.70330918959862532</v>
          </cell>
          <cell r="P17">
            <v>0.64178577689641392</v>
          </cell>
          <cell r="U17">
            <v>0.45635531062485185</v>
          </cell>
          <cell r="Z17">
            <v>0.48299753425877462</v>
          </cell>
          <cell r="AE17">
            <v>0.63567709423951302</v>
          </cell>
          <cell r="AJ17">
            <v>0.57637548012294837</v>
          </cell>
          <cell r="AO17">
            <v>0.52954110969235768</v>
          </cell>
          <cell r="AT17">
            <v>0.5770214617205156</v>
          </cell>
          <cell r="AY17">
            <v>0.66005160213174552</v>
          </cell>
          <cell r="BD17">
            <v>0.25576058714052513</v>
          </cell>
        </row>
      </sheetData>
      <sheetData sheetId="7" refreshError="1">
        <row r="8">
          <cell r="E8">
            <v>0.37340271894380572</v>
          </cell>
          <cell r="I8">
            <v>0.46247556121951361</v>
          </cell>
          <cell r="M8">
            <v>5.2408173610995916E-2</v>
          </cell>
          <cell r="Q8">
            <v>0.6688478042752618</v>
          </cell>
          <cell r="U8">
            <v>-0.13689306818889352</v>
          </cell>
          <cell r="Y8">
            <v>0.30099046068619556</v>
          </cell>
          <cell r="AC8">
            <v>0.59569039952224878</v>
          </cell>
          <cell r="AG8">
            <v>0.24173641891688974</v>
          </cell>
          <cell r="AK8">
            <v>-0.17961259797288234</v>
          </cell>
          <cell r="AO8">
            <v>0.14886122930511386</v>
          </cell>
          <cell r="AS8">
            <v>0.50642562709037808</v>
          </cell>
        </row>
        <row r="9">
          <cell r="E9">
            <v>0.37340271894380572</v>
          </cell>
          <cell r="I9">
            <v>0.46247556121951361</v>
          </cell>
          <cell r="M9">
            <v>5.2408173610995916E-2</v>
          </cell>
          <cell r="Q9">
            <v>0.6688478042752618</v>
          </cell>
          <cell r="U9">
            <v>-0.13689306818889352</v>
          </cell>
          <cell r="Y9">
            <v>0.30099046068619556</v>
          </cell>
          <cell r="AC9">
            <v>0.59569039952224878</v>
          </cell>
          <cell r="AG9">
            <v>0.24173641891688974</v>
          </cell>
          <cell r="AK9">
            <v>-0.17961259797288234</v>
          </cell>
          <cell r="AO9">
            <v>0.14886122930511386</v>
          </cell>
          <cell r="AS9">
            <v>0.50642562709037808</v>
          </cell>
        </row>
        <row r="10">
          <cell r="E10">
            <v>0.37340271894380572</v>
          </cell>
          <cell r="I10">
            <v>0.46247556121951361</v>
          </cell>
          <cell r="M10">
            <v>5.2408173610995916E-2</v>
          </cell>
          <cell r="Q10">
            <v>0.6688478042752618</v>
          </cell>
          <cell r="U10">
            <v>-0.13689306818889352</v>
          </cell>
          <cell r="Y10">
            <v>0.30099046068619556</v>
          </cell>
          <cell r="AC10">
            <v>0.59569039952224878</v>
          </cell>
          <cell r="AG10">
            <v>0.24173641891688974</v>
          </cell>
          <cell r="AK10">
            <v>-0.17961259797288234</v>
          </cell>
          <cell r="AO10">
            <v>0.14886122930511386</v>
          </cell>
          <cell r="AS10">
            <v>0.50642562709037808</v>
          </cell>
        </row>
        <row r="11">
          <cell r="E11">
            <v>0.33746152901370047</v>
          </cell>
          <cell r="I11">
            <v>0.4618511871348342</v>
          </cell>
          <cell r="M11">
            <v>0.14970477625170892</v>
          </cell>
          <cell r="Q11">
            <v>0.63822685621166719</v>
          </cell>
          <cell r="U11">
            <v>-0.2736897389752978</v>
          </cell>
          <cell r="Y11">
            <v>0.25861983610449613</v>
          </cell>
          <cell r="AC11">
            <v>0.57772404916840614</v>
          </cell>
          <cell r="AG11">
            <v>0.21321679560538048</v>
          </cell>
          <cell r="AK11">
            <v>-0.26164941286485249</v>
          </cell>
          <cell r="AO11">
            <v>0.15843525479115028</v>
          </cell>
          <cell r="AS11">
            <v>0.43842953573610721</v>
          </cell>
        </row>
        <row r="12">
          <cell r="E12">
            <v>0.30108100042206287</v>
          </cell>
          <cell r="I12">
            <v>0.46122598343079035</v>
          </cell>
          <cell r="M12">
            <v>0.23624351897695373</v>
          </cell>
          <cell r="Q12">
            <v>0.60404794660609029</v>
          </cell>
          <cell r="U12">
            <v>-0.42798736895548734</v>
          </cell>
          <cell r="Y12">
            <v>0.2134058546319248</v>
          </cell>
          <cell r="AC12">
            <v>0.5587989867374592</v>
          </cell>
          <cell r="AG12">
            <v>0.18351947765236307</v>
          </cell>
          <cell r="AK12">
            <v>-0.34973845367254336</v>
          </cell>
          <cell r="AO12">
            <v>0.16789229290990892</v>
          </cell>
          <cell r="AS12">
            <v>0.3595791056329245</v>
          </cell>
        </row>
        <row r="13">
          <cell r="E13">
            <v>0.25377506122552224</v>
          </cell>
          <cell r="I13">
            <v>0.39252540251923512</v>
          </cell>
          <cell r="M13">
            <v>0.27928223883117698</v>
          </cell>
          <cell r="Q13">
            <v>0.60899317427956745</v>
          </cell>
          <cell r="U13">
            <v>-0.40877768764303363</v>
          </cell>
          <cell r="Y13">
            <v>0.19057140123858138</v>
          </cell>
          <cell r="AC13">
            <v>0.52325016138545299</v>
          </cell>
          <cell r="AG13">
            <v>7.4538830934247471E-2</v>
          </cell>
          <cell r="AK13">
            <v>-0.32169711646090265</v>
          </cell>
          <cell r="AO13">
            <v>0.160148607536506</v>
          </cell>
          <cell r="AS13">
            <v>0.24796405043633427</v>
          </cell>
        </row>
        <row r="14">
          <cell r="E14">
            <v>0.20480066137046152</v>
          </cell>
          <cell r="I14">
            <v>0.31380738473255188</v>
          </cell>
          <cell r="M14">
            <v>0.31966009018357183</v>
          </cell>
          <cell r="Q14">
            <v>0.61386391890784142</v>
          </cell>
          <cell r="U14">
            <v>-0.38983926502149041</v>
          </cell>
          <cell r="Y14">
            <v>0.16701173229019614</v>
          </cell>
          <cell r="AC14">
            <v>0.48431863149388826</v>
          </cell>
          <cell r="AG14">
            <v>-5.0301590102230863E-2</v>
          </cell>
          <cell r="AK14">
            <v>-0.29426907338063923</v>
          </cell>
          <cell r="AO14">
            <v>0.15232648460101617</v>
          </cell>
          <cell r="AS14">
            <v>0.11459992004946858</v>
          </cell>
        </row>
        <row r="15">
          <cell r="E15">
            <v>0.31284218743345749</v>
          </cell>
          <cell r="I15">
            <v>0.3965802239543475</v>
          </cell>
          <cell r="M15">
            <v>0.18988172673807993</v>
          </cell>
          <cell r="Q15">
            <v>0.63178859532178755</v>
          </cell>
          <cell r="U15">
            <v>-0.24921072499618718</v>
          </cell>
          <cell r="Y15">
            <v>0.23924294358086193</v>
          </cell>
          <cell r="AC15">
            <v>0.57191015481095508</v>
          </cell>
          <cell r="AG15">
            <v>0.15202400367508742</v>
          </cell>
          <cell r="AK15">
            <v>-0.21048929301017621</v>
          </cell>
          <cell r="AO15">
            <v>0.31744918447910642</v>
          </cell>
          <cell r="AS15">
            <v>0.28144247167359676</v>
          </cell>
        </row>
        <row r="16">
          <cell r="E16">
            <v>0.41231516995083156</v>
          </cell>
          <cell r="I16">
            <v>0.46827703581054547</v>
          </cell>
          <cell r="M16">
            <v>3.2615461579288643E-2</v>
          </cell>
          <cell r="Q16">
            <v>0.64870455470723909</v>
          </cell>
          <cell r="U16">
            <v>-0.12353913318189509</v>
          </cell>
          <cell r="Y16">
            <v>0.30465738647004653</v>
          </cell>
          <cell r="AC16">
            <v>0.64237846415149991</v>
          </cell>
          <cell r="AG16">
            <v>0.31269257724628197</v>
          </cell>
          <cell r="AK16">
            <v>-0.13243164103081206</v>
          </cell>
          <cell r="AO16">
            <v>0.44761856905771918</v>
          </cell>
          <cell r="AS16">
            <v>0.41424605674664922</v>
          </cell>
        </row>
        <row r="17">
          <cell r="E17">
            <v>0.51073076313398058</v>
          </cell>
          <cell r="I17">
            <v>0.55008948416089443</v>
          </cell>
          <cell r="M17">
            <v>0.26640758427996142</v>
          </cell>
          <cell r="Q17">
            <v>0.68617398402203278</v>
          </cell>
          <cell r="U17">
            <v>-1.4469848849103809E-2</v>
          </cell>
          <cell r="Y17">
            <v>0.38020254456839353</v>
          </cell>
          <cell r="AC17">
            <v>0.72624984366394862</v>
          </cell>
          <cell r="AG17">
            <v>0.49054963217279846</v>
          </cell>
          <cell r="AK17">
            <v>9.6921663251710324E-2</v>
          </cell>
          <cell r="AO17">
            <v>0.48101212961554257</v>
          </cell>
          <cell r="AS17">
            <v>0.53221195080332151</v>
          </cell>
        </row>
      </sheetData>
      <sheetData sheetId="8" refreshError="1">
        <row r="5">
          <cell r="C5">
            <v>0.42100275768127526</v>
          </cell>
          <cell r="D5">
            <v>0.23710829053802898</v>
          </cell>
          <cell r="E5">
            <v>7.7983623735257593E-2</v>
          </cell>
          <cell r="H5">
            <v>0.4404534578974777</v>
          </cell>
          <cell r="I5">
            <v>0.24173198882869287</v>
          </cell>
          <cell r="J5">
            <v>6.6876448595655835E-2</v>
          </cell>
          <cell r="M5">
            <v>0.43899964199864028</v>
          </cell>
          <cell r="N5">
            <v>0.22946674910275874</v>
          </cell>
          <cell r="O5">
            <v>7.9330379125368236E-2</v>
          </cell>
          <cell r="R5">
            <v>0.43020016955044521</v>
          </cell>
          <cell r="S5">
            <v>0.22784376039200294</v>
          </cell>
          <cell r="T5">
            <v>8.1484274379944696E-2</v>
          </cell>
          <cell r="W5">
            <v>0.43186177527326886</v>
          </cell>
          <cell r="X5">
            <v>0.23363119285178671</v>
          </cell>
          <cell r="Y5">
            <v>7.6890565536949923E-2</v>
          </cell>
          <cell r="AB5">
            <v>0.41367737945674449</v>
          </cell>
          <cell r="AC5">
            <v>0.24835602049577177</v>
          </cell>
          <cell r="AD5">
            <v>7.3801164044247261E-2</v>
          </cell>
          <cell r="AG5">
            <v>0.42141467139556688</v>
          </cell>
          <cell r="AH5">
            <v>0.23159862211354601</v>
          </cell>
          <cell r="AI5">
            <v>8.0026620337448923E-2</v>
          </cell>
          <cell r="AL5">
            <v>0.42892529211073627</v>
          </cell>
          <cell r="AM5">
            <v>0.22239604529714346</v>
          </cell>
          <cell r="AN5">
            <v>8.4699169432455229E-2</v>
          </cell>
          <cell r="AQ5">
            <v>0.42863361718095672</v>
          </cell>
          <cell r="AR5">
            <v>0.22940207768586107</v>
          </cell>
          <cell r="AS5">
            <v>8.6259550897832729E-2</v>
          </cell>
          <cell r="AV5">
            <v>0.41723048649327327</v>
          </cell>
          <cell r="AW5">
            <v>0.25485354384307074</v>
          </cell>
          <cell r="AX5">
            <v>7.1148381145749715E-2</v>
          </cell>
          <cell r="BA5">
            <v>0.42445204851766727</v>
          </cell>
          <cell r="BB5">
            <v>0.22405596357918073</v>
          </cell>
          <cell r="BC5">
            <v>8.3575567564228875E-2</v>
          </cell>
        </row>
        <row r="6">
          <cell r="C6">
            <v>0.42103870962091017</v>
          </cell>
          <cell r="D6">
            <v>0.23368355865084584</v>
          </cell>
          <cell r="E6">
            <v>7.8602786299840396E-2</v>
          </cell>
          <cell r="H6">
            <v>0.44089206196901742</v>
          </cell>
          <cell r="I6">
            <v>0.23814669483660988</v>
          </cell>
          <cell r="J6">
            <v>6.7095737026196214E-2</v>
          </cell>
          <cell r="M6">
            <v>0.4390031641472677</v>
          </cell>
          <cell r="N6">
            <v>0.22721653285585927</v>
          </cell>
          <cell r="O6">
            <v>7.9194760876127271E-2</v>
          </cell>
          <cell r="R6">
            <v>0.43017490820952248</v>
          </cell>
          <cell r="S6">
            <v>0.22566832835871534</v>
          </cell>
          <cell r="T6">
            <v>8.1409991578532764E-2</v>
          </cell>
          <cell r="W6">
            <v>0.43185431218327236</v>
          </cell>
          <cell r="X6">
            <v>0.23078517558505734</v>
          </cell>
          <cell r="Y6">
            <v>7.6965215703375139E-2</v>
          </cell>
          <cell r="AB6">
            <v>0.41371429880409571</v>
          </cell>
          <cell r="AC6">
            <v>0.24387418215256246</v>
          </cell>
          <cell r="AD6">
            <v>7.4748871162997624E-2</v>
          </cell>
          <cell r="AG6">
            <v>0.42125700936329663</v>
          </cell>
          <cell r="AH6">
            <v>0.22877394838879606</v>
          </cell>
          <cell r="AI6">
            <v>8.0717458603340272E-2</v>
          </cell>
          <cell r="AL6">
            <v>0.4295180191089546</v>
          </cell>
          <cell r="AM6">
            <v>0.21932412572504434</v>
          </cell>
          <cell r="AN6">
            <v>8.5121627369219938E-2</v>
          </cell>
          <cell r="AQ6">
            <v>0.4274969245225243</v>
          </cell>
          <cell r="AR6">
            <v>0.22878678261266283</v>
          </cell>
          <cell r="AS6">
            <v>8.6789610531959951E-2</v>
          </cell>
          <cell r="AV6">
            <v>0.41886412276989116</v>
          </cell>
          <cell r="AW6">
            <v>0.24870870011924076</v>
          </cell>
          <cell r="AX6">
            <v>7.1776985699828336E-2</v>
          </cell>
          <cell r="BA6">
            <v>0.4240683686970359</v>
          </cell>
          <cell r="BB6">
            <v>0.22182145988586344</v>
          </cell>
          <cell r="BC6">
            <v>8.3659041944754486E-2</v>
          </cell>
        </row>
        <row r="7">
          <cell r="C7">
            <v>0.41962961243458696</v>
          </cell>
          <cell r="D7">
            <v>0.2329014860350492</v>
          </cell>
          <cell r="E7">
            <v>7.8843979840370712E-2</v>
          </cell>
          <cell r="H7">
            <v>0.44117810915482769</v>
          </cell>
          <cell r="I7">
            <v>0.23533117186103247</v>
          </cell>
          <cell r="J7">
            <v>6.710426108178158E-2</v>
          </cell>
          <cell r="M7">
            <v>0.43927610204736595</v>
          </cell>
          <cell r="N7">
            <v>0.22450636910502136</v>
          </cell>
          <cell r="O7">
            <v>7.8783797153967036E-2</v>
          </cell>
          <cell r="R7">
            <v>0.43076970582070501</v>
          </cell>
          <cell r="S7">
            <v>0.22234886107156662</v>
          </cell>
          <cell r="T7">
            <v>8.1191932122691407E-2</v>
          </cell>
          <cell r="W7">
            <v>0.432155104962123</v>
          </cell>
          <cell r="X7">
            <v>0.22752025750909949</v>
          </cell>
          <cell r="Y7">
            <v>7.6915723906865477E-2</v>
          </cell>
          <cell r="AB7">
            <v>0.41372019350916206</v>
          </cell>
          <cell r="AC7">
            <v>0.23935208096591648</v>
          </cell>
          <cell r="AD7">
            <v>7.5703785909650614E-2</v>
          </cell>
          <cell r="AG7">
            <v>0.42104318875260927</v>
          </cell>
          <cell r="AH7">
            <v>0.22604647936322342</v>
          </cell>
          <cell r="AI7">
            <v>8.1287984843739322E-2</v>
          </cell>
          <cell r="AL7">
            <v>0.43048012354324022</v>
          </cell>
          <cell r="AM7">
            <v>0.21569454387216705</v>
          </cell>
          <cell r="AN7">
            <v>8.52831449610673E-2</v>
          </cell>
          <cell r="AQ7">
            <v>0.42692595167579694</v>
          </cell>
          <cell r="AR7">
            <v>0.22774302331379304</v>
          </cell>
          <cell r="AS7">
            <v>8.7149566921537969E-2</v>
          </cell>
          <cell r="AV7">
            <v>0.42056941616505339</v>
          </cell>
          <cell r="AW7">
            <v>0.24225366120101041</v>
          </cell>
          <cell r="AX7">
            <v>7.2298390634388629E-2</v>
          </cell>
          <cell r="BA7">
            <v>0.42377986370651666</v>
          </cell>
          <cell r="BB7">
            <v>0.21941593401000836</v>
          </cell>
          <cell r="BC7">
            <v>8.3615031360951983E-2</v>
          </cell>
        </row>
        <row r="8">
          <cell r="C8">
            <v>0.41828296518930619</v>
          </cell>
          <cell r="D8">
            <v>0.23215407418589193</v>
          </cell>
          <cell r="E8">
            <v>7.8858928130649528E-2</v>
          </cell>
          <cell r="H8">
            <v>0.44089560256158528</v>
          </cell>
          <cell r="I8">
            <v>0.23352454359802488</v>
          </cell>
          <cell r="J8">
            <v>6.7053797106094937E-2</v>
          </cell>
          <cell r="M8">
            <v>0.43960182143839199</v>
          </cell>
          <cell r="N8">
            <v>0.2214611217119575</v>
          </cell>
          <cell r="O8">
            <v>7.8457406339105043E-2</v>
          </cell>
          <cell r="R8">
            <v>0.4308636529227447</v>
          </cell>
          <cell r="S8">
            <v>0.21978233326546459</v>
          </cell>
          <cell r="T8">
            <v>8.10244376282033E-2</v>
          </cell>
          <cell r="W8">
            <v>0.43261181559838957</v>
          </cell>
          <cell r="X8">
            <v>0.22432155639301787</v>
          </cell>
          <cell r="Y8">
            <v>7.6780444402379869E-2</v>
          </cell>
          <cell r="AB8">
            <v>0.41410726320979935</v>
          </cell>
          <cell r="AC8">
            <v>0.23455908002301967</v>
          </cell>
          <cell r="AD8">
            <v>7.641002148041208E-2</v>
          </cell>
          <cell r="AG8">
            <v>0.42104409218763056</v>
          </cell>
          <cell r="AH8">
            <v>0.22306366023794966</v>
          </cell>
          <cell r="AI8">
            <v>8.1572545733218774E-2</v>
          </cell>
          <cell r="AL8">
            <v>0.43201750949751544</v>
          </cell>
          <cell r="AM8">
            <v>0.21117415136703976</v>
          </cell>
          <cell r="AN8">
            <v>8.5110931131685663E-2</v>
          </cell>
          <cell r="AQ8">
            <v>0.4269053135043856</v>
          </cell>
          <cell r="AR8">
            <v>0.2255079389811846</v>
          </cell>
          <cell r="AS8">
            <v>8.7191682019316E-2</v>
          </cell>
          <cell r="AV8">
            <v>0.4220138316388215</v>
          </cell>
          <cell r="AW8">
            <v>0.2359834338715599</v>
          </cell>
          <cell r="AX8">
            <v>7.2785289229363045E-2</v>
          </cell>
          <cell r="BA8">
            <v>0.42377270465685357</v>
          </cell>
          <cell r="BB8">
            <v>0.21638220497229613</v>
          </cell>
          <cell r="BC8">
            <v>8.3576136217434815E-2</v>
          </cell>
        </row>
        <row r="9">
          <cell r="C9">
            <v>0.42189930609362408</v>
          </cell>
          <cell r="D9">
            <v>0.22260165875786797</v>
          </cell>
          <cell r="E9">
            <v>7.9739856869173203E-2</v>
          </cell>
          <cell r="H9">
            <v>0.44100475982475018</v>
          </cell>
          <cell r="I9">
            <v>0.23068329647835681</v>
          </cell>
          <cell r="J9">
            <v>6.6830502006837531E-2</v>
          </cell>
          <cell r="M9">
            <v>0.4399867712547213</v>
          </cell>
          <cell r="N9">
            <v>0.21766425479659235</v>
          </cell>
          <cell r="O9">
            <v>7.8236564500353198E-2</v>
          </cell>
          <cell r="R9">
            <v>0.43134905982817956</v>
          </cell>
          <cell r="S9">
            <v>0.21699713396277759</v>
          </cell>
          <cell r="T9">
            <v>8.0652890908057703E-2</v>
          </cell>
          <cell r="W9">
            <v>0.43384887060823019</v>
          </cell>
          <cell r="X9">
            <v>0.22014376944284531</v>
          </cell>
          <cell r="Y9">
            <v>7.6390386411852626E-2</v>
          </cell>
          <cell r="AB9">
            <v>0.41474532648529067</v>
          </cell>
          <cell r="AC9">
            <v>0.22975369069921764</v>
          </cell>
          <cell r="AD9">
            <v>7.7095160456616199E-2</v>
          </cell>
          <cell r="AG9">
            <v>0.42096037610585391</v>
          </cell>
          <cell r="AH9">
            <v>0.2204771031412647</v>
          </cell>
          <cell r="AI9">
            <v>8.1932043867374571E-2</v>
          </cell>
          <cell r="AL9">
            <v>0.43320593781184769</v>
          </cell>
          <cell r="AM9">
            <v>0.20724888607126751</v>
          </cell>
          <cell r="AN9">
            <v>8.5070271925253613E-2</v>
          </cell>
          <cell r="AQ9">
            <v>0.42826500411510765</v>
          </cell>
          <cell r="AR9">
            <v>0.22080791690012427</v>
          </cell>
          <cell r="AS9">
            <v>8.6956733286980073E-2</v>
          </cell>
          <cell r="AV9">
            <v>0.42485128385679433</v>
          </cell>
          <cell r="AW9">
            <v>0.22736677857349305</v>
          </cell>
          <cell r="AX9">
            <v>7.318489639177643E-2</v>
          </cell>
          <cell r="BA9">
            <v>0.42317791211670658</v>
          </cell>
          <cell r="BB9">
            <v>0.21478970677915035</v>
          </cell>
          <cell r="BC9">
            <v>8.3402093917082878E-2</v>
          </cell>
        </row>
        <row r="10">
          <cell r="C10">
            <v>0.42429160656646997</v>
          </cell>
          <cell r="D10">
            <v>0.21552251858331364</v>
          </cell>
          <cell r="E10">
            <v>8.0328815153885083E-2</v>
          </cell>
          <cell r="H10">
            <v>0.44106461987336693</v>
          </cell>
          <cell r="I10">
            <v>0.2278743020983717</v>
          </cell>
          <cell r="J10">
            <v>6.6496778482472318E-2</v>
          </cell>
          <cell r="M10">
            <v>0.43983811487508201</v>
          </cell>
          <cell r="N10">
            <v>0.21514807377533365</v>
          </cell>
          <cell r="O10">
            <v>7.7671480803245915E-2</v>
          </cell>
          <cell r="R10">
            <v>0.43191524290127997</v>
          </cell>
          <cell r="S10">
            <v>0.21400322965051</v>
          </cell>
          <cell r="T10">
            <v>8.0101967089098239E-2</v>
          </cell>
          <cell r="W10">
            <v>0.43506967143416042</v>
          </cell>
          <cell r="X10">
            <v>0.21596040080920387</v>
          </cell>
          <cell r="Y10">
            <v>7.5880723165560479E-2</v>
          </cell>
          <cell r="AB10">
            <v>0.41652856720295534</v>
          </cell>
          <cell r="AC10">
            <v>0.22353694502943117</v>
          </cell>
          <cell r="AD10">
            <v>7.7827717230238264E-2</v>
          </cell>
          <cell r="AG10">
            <v>0.42338248526238165</v>
          </cell>
          <cell r="AH10">
            <v>0.21314140943541571</v>
          </cell>
          <cell r="AI10">
            <v>8.2822145687481571E-2</v>
          </cell>
          <cell r="AL10">
            <v>0.43451535712595984</v>
          </cell>
          <cell r="AM10">
            <v>0.20326532885788276</v>
          </cell>
          <cell r="AN10">
            <v>8.4903673201480512E-2</v>
          </cell>
          <cell r="AQ10">
            <v>0.43057205228948364</v>
          </cell>
          <cell r="AR10">
            <v>0.21528919518357295</v>
          </cell>
          <cell r="AS10">
            <v>8.6311852095237826E-2</v>
          </cell>
          <cell r="AV10">
            <v>0.4280720572009804</v>
          </cell>
          <cell r="AW10">
            <v>0.21848621162980914</v>
          </cell>
          <cell r="AX10">
            <v>7.3472954277786051E-2</v>
          </cell>
          <cell r="BA10">
            <v>0.4284784244953635</v>
          </cell>
          <cell r="BB10">
            <v>0.20224045092756601</v>
          </cell>
          <cell r="BC10">
            <v>8.4683046326450448E-2</v>
          </cell>
        </row>
        <row r="11">
          <cell r="C11">
            <v>0.4266767175303266</v>
          </cell>
          <cell r="D11">
            <v>0.20877860602655771</v>
          </cell>
          <cell r="E11">
            <v>8.0923844754022964E-2</v>
          </cell>
          <cell r="H11">
            <v>0.44066020868416439</v>
          </cell>
          <cell r="I11">
            <v>0.22624339100936533</v>
          </cell>
          <cell r="J11">
            <v>6.655348893868139E-2</v>
          </cell>
          <cell r="M11">
            <v>0.4407515011850312</v>
          </cell>
          <cell r="N11">
            <v>0.21220594207130689</v>
          </cell>
          <cell r="O11">
            <v>7.7379646795179266E-2</v>
          </cell>
          <cell r="R11">
            <v>0.43191788597309017</v>
          </cell>
          <cell r="S11">
            <v>0.21168690110679497</v>
          </cell>
          <cell r="T11">
            <v>8.0040763089734346E-2</v>
          </cell>
          <cell r="W11">
            <v>0.43540105092438869</v>
          </cell>
          <cell r="X11">
            <v>0.21330481418166386</v>
          </cell>
          <cell r="Y11">
            <v>7.5875508170135275E-2</v>
          </cell>
          <cell r="AB11">
            <v>0.41783385827040287</v>
          </cell>
          <cell r="AC11">
            <v>0.21828829890844242</v>
          </cell>
          <cell r="AD11">
            <v>7.8730196903058949E-2</v>
          </cell>
          <cell r="AG11">
            <v>0.4259715303573095</v>
          </cell>
          <cell r="AH11">
            <v>0.20599011350091614</v>
          </cell>
          <cell r="AI11">
            <v>8.3681596645461681E-2</v>
          </cell>
          <cell r="AL11">
            <v>0.43612286238368086</v>
          </cell>
          <cell r="AM11">
            <v>0.19940812105717692</v>
          </cell>
          <cell r="AN11">
            <v>8.4714742561422265E-2</v>
          </cell>
          <cell r="AQ11">
            <v>0.43316007780528792</v>
          </cell>
          <cell r="AR11">
            <v>0.21009528968242672</v>
          </cell>
          <cell r="AS11">
            <v>8.5715448339443376E-2</v>
          </cell>
          <cell r="AV11">
            <v>0.43189461845060195</v>
          </cell>
          <cell r="AW11">
            <v>0.20823588654814704</v>
          </cell>
          <cell r="AX11">
            <v>7.3117689945970218E-2</v>
          </cell>
          <cell r="BA11">
            <v>0.43415262559402917</v>
          </cell>
          <cell r="BB11">
            <v>0.18976998775961623</v>
          </cell>
          <cell r="BC11">
            <v>8.5758635102835601E-2</v>
          </cell>
        </row>
        <row r="12">
          <cell r="C12">
            <v>0.42783625661915103</v>
          </cell>
          <cell r="D12">
            <v>0.20421615713817404</v>
          </cell>
          <cell r="E12">
            <v>8.1321787881178997E-2</v>
          </cell>
          <cell r="H12">
            <v>0.43742471456459264</v>
          </cell>
          <cell r="I12">
            <v>0.22926797791723927</v>
          </cell>
          <cell r="J12">
            <v>6.6380375479548448E-2</v>
          </cell>
          <cell r="M12">
            <v>0.44009661897595748</v>
          </cell>
          <cell r="N12">
            <v>0.21129077010558625</v>
          </cell>
          <cell r="O12">
            <v>7.6619348276291466E-2</v>
          </cell>
          <cell r="R12">
            <v>0.43180746313804025</v>
          </cell>
          <cell r="S12">
            <v>0.2096735550005179</v>
          </cell>
          <cell r="T12">
            <v>7.9874888625543428E-2</v>
          </cell>
          <cell r="W12">
            <v>0.43357902224411915</v>
          </cell>
          <cell r="X12">
            <v>0.21429940552904297</v>
          </cell>
          <cell r="Y12">
            <v>7.5480610419063024E-2</v>
          </cell>
          <cell r="AB12">
            <v>0.42200696271773525</v>
          </cell>
          <cell r="AC12">
            <v>0.20764537213277279</v>
          </cell>
          <cell r="AD12">
            <v>8.0182399524420314E-2</v>
          </cell>
          <cell r="AG12">
            <v>0.42652468969261786</v>
          </cell>
          <cell r="AH12">
            <v>0.20237379745837039</v>
          </cell>
          <cell r="AI12">
            <v>8.4200713970364341E-2</v>
          </cell>
          <cell r="AL12">
            <v>0.43596960580405802</v>
          </cell>
          <cell r="AM12">
            <v>0.19846286878840758</v>
          </cell>
          <cell r="AN12">
            <v>8.4402189601839164E-2</v>
          </cell>
          <cell r="AQ12">
            <v>0.43172270135141272</v>
          </cell>
          <cell r="AR12">
            <v>0.21171846121998186</v>
          </cell>
          <cell r="AS12">
            <v>8.4784127370989032E-2</v>
          </cell>
          <cell r="AV12">
            <v>0.43256802326327848</v>
          </cell>
          <cell r="AW12">
            <v>0.20433343177212301</v>
          </cell>
          <cell r="AX12">
            <v>7.2430187649994815E-2</v>
          </cell>
          <cell r="BA12">
            <v>0.43348887350166154</v>
          </cell>
          <cell r="BB12">
            <v>0.18922527269913847</v>
          </cell>
          <cell r="BC12">
            <v>8.5348949987569284E-2</v>
          </cell>
        </row>
        <row r="13">
          <cell r="C13">
            <v>0.42866081094838154</v>
          </cell>
          <cell r="D13">
            <v>0.20081804649108151</v>
          </cell>
          <cell r="E13">
            <v>8.1354298807762127E-2</v>
          </cell>
          <cell r="H13">
            <v>0.43621071888577045</v>
          </cell>
          <cell r="I13">
            <v>0.22869163823232858</v>
          </cell>
          <cell r="J13">
            <v>6.6087617876948362E-2</v>
          </cell>
          <cell r="M13">
            <v>0.44353504069440586</v>
          </cell>
          <cell r="N13">
            <v>0.20287884505780748</v>
          </cell>
          <cell r="O13">
            <v>7.6581356275932114E-2</v>
          </cell>
          <cell r="R13">
            <v>0.43447305795257091</v>
          </cell>
          <cell r="S13">
            <v>0.20290916764753741</v>
          </cell>
          <cell r="T13">
            <v>7.9929077624113692E-2</v>
          </cell>
          <cell r="W13">
            <v>0.43647374680673451</v>
          </cell>
          <cell r="X13">
            <v>0.20689039008594678</v>
          </cell>
          <cell r="Y13">
            <v>7.5618901903742181E-2</v>
          </cell>
          <cell r="AB13">
            <v>0.42057615577779639</v>
          </cell>
          <cell r="AC13">
            <v>0.20830320204927813</v>
          </cell>
          <cell r="AD13">
            <v>8.0095456872895265E-2</v>
          </cell>
          <cell r="AG13">
            <v>0.42776256580539318</v>
          </cell>
          <cell r="AH13">
            <v>0.19777138988383489</v>
          </cell>
          <cell r="AI13">
            <v>8.466529206673605E-2</v>
          </cell>
          <cell r="AL13">
            <v>0.43668339580387816</v>
          </cell>
          <cell r="AM13">
            <v>0.19618084894745025</v>
          </cell>
          <cell r="AN13">
            <v>8.4285335258436997E-2</v>
          </cell>
          <cell r="AQ13">
            <v>0.43305172311402784</v>
          </cell>
          <cell r="AR13">
            <v>0.20909667404961013</v>
          </cell>
          <cell r="AS13">
            <v>8.404828173319763E-2</v>
          </cell>
          <cell r="AV13">
            <v>0.43455721188783059</v>
          </cell>
          <cell r="AW13">
            <v>0.19906616323332155</v>
          </cell>
          <cell r="AX13">
            <v>7.165631545784712E-2</v>
          </cell>
          <cell r="BA13">
            <v>0.436618130888144</v>
          </cell>
          <cell r="BB13">
            <v>0.18235004221987636</v>
          </cell>
          <cell r="BC13">
            <v>8.5415976523336601E-2</v>
          </cell>
        </row>
        <row r="14">
          <cell r="C14">
            <v>0.42974200948575714</v>
          </cell>
          <cell r="D14">
            <v>0.19736523621769581</v>
          </cell>
          <cell r="E14">
            <v>8.1283127318488385E-2</v>
          </cell>
          <cell r="H14">
            <v>0.43862144650843354</v>
          </cell>
          <cell r="I14">
            <v>0.22120309903912158</v>
          </cell>
          <cell r="J14">
            <v>6.6433550035760333E-2</v>
          </cell>
          <cell r="M14">
            <v>0.43814641176443131</v>
          </cell>
          <cell r="N14">
            <v>0.21049647103753957</v>
          </cell>
          <cell r="O14">
            <v>7.5520992978745469E-2</v>
          </cell>
          <cell r="R14">
            <v>0.43170836952754282</v>
          </cell>
          <cell r="S14">
            <v>0.20620146193288538</v>
          </cell>
          <cell r="T14">
            <v>7.9120381313899243E-2</v>
          </cell>
          <cell r="W14">
            <v>0.43517646524562265</v>
          </cell>
          <cell r="X14">
            <v>0.20720161752080493</v>
          </cell>
          <cell r="Y14">
            <v>7.5243313637560372E-2</v>
          </cell>
          <cell r="AB14">
            <v>0.42293607921605414</v>
          </cell>
          <cell r="AC14">
            <v>0.20221009052453345</v>
          </cell>
          <cell r="AD14">
            <v>8.0631947789033098E-2</v>
          </cell>
          <cell r="AG14">
            <v>0.42739730771686135</v>
          </cell>
          <cell r="AH14">
            <v>0.19650631946229469</v>
          </cell>
          <cell r="AI14">
            <v>8.4722181623546666E-2</v>
          </cell>
          <cell r="AL14">
            <v>0.43857233320282973</v>
          </cell>
          <cell r="AM14">
            <v>0.1922294240529531</v>
          </cell>
          <cell r="AN14">
            <v>8.4181712887708426E-2</v>
          </cell>
          <cell r="AQ14">
            <v>0.44022817903985056</v>
          </cell>
          <cell r="AR14">
            <v>0.19611834094128019</v>
          </cell>
          <cell r="AS14">
            <v>8.4267437928363595E-2</v>
          </cell>
          <cell r="AV14">
            <v>0.43555510777830708</v>
          </cell>
          <cell r="AW14">
            <v>0.19638445713981695</v>
          </cell>
          <cell r="AX14">
            <v>7.0341145952218506E-2</v>
          </cell>
          <cell r="BA14">
            <v>0.43842182477503128</v>
          </cell>
          <cell r="BB14">
            <v>0.17896722256665606</v>
          </cell>
          <cell r="BC14">
            <v>8.4753299689461367E-2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8">
          <cell r="D8">
            <v>80.10486689970422</v>
          </cell>
          <cell r="G8">
            <v>126.59591836734694</v>
          </cell>
          <cell r="J8">
            <v>103.49999999999999</v>
          </cell>
          <cell r="M8">
            <v>84.860465116279073</v>
          </cell>
          <cell r="P8">
            <v>106.28421052631579</v>
          </cell>
          <cell r="S8">
            <v>90.155720776538629</v>
          </cell>
          <cell r="V8">
            <v>73.912785947712408</v>
          </cell>
          <cell r="Y8">
            <v>40.952830188679251</v>
          </cell>
          <cell r="AB8">
            <v>41.954248366013069</v>
          </cell>
          <cell r="AE8">
            <v>34.883190883190885</v>
          </cell>
          <cell r="AH8">
            <v>77.868986693961105</v>
          </cell>
        </row>
        <row r="9">
          <cell r="D9">
            <v>80.10486689970422</v>
          </cell>
          <cell r="G9">
            <v>126.59591836734694</v>
          </cell>
          <cell r="J9">
            <v>103.49999999999999</v>
          </cell>
          <cell r="M9">
            <v>84.860465116279073</v>
          </cell>
          <cell r="P9">
            <v>106.28421052631579</v>
          </cell>
          <cell r="S9">
            <v>90.155720776538629</v>
          </cell>
          <cell r="V9">
            <v>73.912785947712408</v>
          </cell>
          <cell r="Y9">
            <v>40.952830188679251</v>
          </cell>
          <cell r="AB9">
            <v>41.954248366013069</v>
          </cell>
          <cell r="AE9">
            <v>34.883190883190885</v>
          </cell>
          <cell r="AH9">
            <v>77.868986693961105</v>
          </cell>
        </row>
        <row r="10">
          <cell r="D10">
            <v>80.10486689970422</v>
          </cell>
          <cell r="G10">
            <v>126.59591836734694</v>
          </cell>
          <cell r="J10">
            <v>103.49999999999999</v>
          </cell>
          <cell r="M10">
            <v>84.860465116279073</v>
          </cell>
          <cell r="P10">
            <v>106.28421052631579</v>
          </cell>
          <cell r="S10">
            <v>90.155720776538629</v>
          </cell>
          <cell r="V10">
            <v>73.912785947712408</v>
          </cell>
          <cell r="Y10">
            <v>40.952830188679251</v>
          </cell>
          <cell r="AB10">
            <v>41.954248366013069</v>
          </cell>
          <cell r="AE10">
            <v>34.883190883190885</v>
          </cell>
          <cell r="AH10">
            <v>77.868986693961105</v>
          </cell>
        </row>
        <row r="11">
          <cell r="D11">
            <v>80.10486689970422</v>
          </cell>
          <cell r="G11">
            <v>126.59591836734694</v>
          </cell>
          <cell r="J11">
            <v>103.49999999999999</v>
          </cell>
          <cell r="M11">
            <v>84.860465116279073</v>
          </cell>
          <cell r="P11">
            <v>106.28421052631579</v>
          </cell>
          <cell r="S11">
            <v>90.155720776538629</v>
          </cell>
          <cell r="V11">
            <v>73.912785947712408</v>
          </cell>
          <cell r="Y11">
            <v>40.952830188679251</v>
          </cell>
          <cell r="AB11">
            <v>41.954248366013069</v>
          </cell>
          <cell r="AE11">
            <v>34.883190883190885</v>
          </cell>
          <cell r="AH11">
            <v>77.868986693961105</v>
          </cell>
        </row>
        <row r="12">
          <cell r="D12">
            <v>80.104816482925528</v>
          </cell>
          <cell r="G12">
            <v>126.59693877551021</v>
          </cell>
          <cell r="J12">
            <v>103.50852272727272</v>
          </cell>
          <cell r="M12">
            <v>84.861295681063112</v>
          </cell>
          <cell r="P12">
            <v>106.28421052631579</v>
          </cell>
          <cell r="S12">
            <v>90.155875671210239</v>
          </cell>
          <cell r="V12">
            <v>73.912785947712408</v>
          </cell>
          <cell r="Y12">
            <v>40.952240566037737</v>
          </cell>
          <cell r="AB12">
            <v>41.951797385620907</v>
          </cell>
          <cell r="AE12">
            <v>34.883903133903132</v>
          </cell>
          <cell r="AH12">
            <v>77.868858751279433</v>
          </cell>
        </row>
        <row r="13">
          <cell r="D13">
            <v>84.241765259478356</v>
          </cell>
          <cell r="G13">
            <v>149.67312925170066</v>
          </cell>
          <cell r="J13">
            <v>151.50378787878788</v>
          </cell>
          <cell r="M13">
            <v>100.21345514950167</v>
          </cell>
          <cell r="P13">
            <v>130.13859649122807</v>
          </cell>
          <cell r="S13">
            <v>100.50037863141952</v>
          </cell>
          <cell r="V13">
            <v>68.154479847494557</v>
          </cell>
          <cell r="Y13">
            <v>54.875393081761011</v>
          </cell>
          <cell r="AB13">
            <v>56.614379084967318</v>
          </cell>
          <cell r="AE13">
            <v>34.927587844254511</v>
          </cell>
          <cell r="AH13">
            <v>72.723217331968598</v>
          </cell>
        </row>
        <row r="14">
          <cell r="D14">
            <v>77.012172176784546</v>
          </cell>
          <cell r="G14">
            <v>130.37273242630386</v>
          </cell>
          <cell r="J14">
            <v>152.57065217391306</v>
          </cell>
          <cell r="M14">
            <v>102.14123062015506</v>
          </cell>
          <cell r="P14">
            <v>116.35714285714286</v>
          </cell>
          <cell r="S14">
            <v>88.839921171171184</v>
          </cell>
          <cell r="V14">
            <v>59.51710309035149</v>
          </cell>
          <cell r="Y14">
            <v>59.049429657794676</v>
          </cell>
          <cell r="AB14">
            <v>61.756445672191518</v>
          </cell>
          <cell r="AE14">
            <v>35.695882352941176</v>
          </cell>
          <cell r="AH14">
            <v>72.640961021505362</v>
          </cell>
        </row>
        <row r="15">
          <cell r="D15">
            <v>76.045354811088529</v>
          </cell>
          <cell r="G15">
            <v>132.34447983014863</v>
          </cell>
          <cell r="J15">
            <v>154.00347222222223</v>
          </cell>
          <cell r="M15">
            <v>101.21041666666666</v>
          </cell>
          <cell r="P15">
            <v>123.75931372549019</v>
          </cell>
          <cell r="S15">
            <v>86.720943494038366</v>
          </cell>
          <cell r="V15">
            <v>57.373207443897101</v>
          </cell>
          <cell r="Y15">
            <v>61.921236559139778</v>
          </cell>
          <cell r="AB15">
            <v>60.510162601626021</v>
          </cell>
          <cell r="AE15">
            <v>35.090466249130131</v>
          </cell>
          <cell r="AH15">
            <v>76.849593495934954</v>
          </cell>
        </row>
        <row r="16">
          <cell r="D16">
            <v>70.861389464793064</v>
          </cell>
          <cell r="G16">
            <v>124.14366883116882</v>
          </cell>
          <cell r="J16">
            <v>111.14754098360656</v>
          </cell>
          <cell r="M16">
            <v>92.804924242424235</v>
          </cell>
          <cell r="P16">
            <v>124.94961873638344</v>
          </cell>
          <cell r="S16">
            <v>84.0755333792154</v>
          </cell>
          <cell r="V16">
            <v>51.961325008671523</v>
          </cell>
          <cell r="Y16">
            <v>56.87358490566038</v>
          </cell>
          <cell r="AB16">
            <v>53.630036630036628</v>
          </cell>
          <cell r="AE16">
            <v>30.422182821118994</v>
          </cell>
          <cell r="AH16">
            <v>65.79400937081661</v>
          </cell>
        </row>
        <row r="17">
          <cell r="D17">
            <v>67.456839420678364</v>
          </cell>
          <cell r="G17">
            <v>132.15089285714285</v>
          </cell>
          <cell r="J17">
            <v>113.11011904761907</v>
          </cell>
          <cell r="M17">
            <v>88.696599616858251</v>
          </cell>
          <cell r="P17">
            <v>117.12028301886792</v>
          </cell>
          <cell r="S17">
            <v>76.770765383779064</v>
          </cell>
          <cell r="V17">
            <v>53.132461271801539</v>
          </cell>
          <cell r="Y17">
            <v>54.898631840796014</v>
          </cell>
          <cell r="AB17">
            <v>50.279824561403508</v>
          </cell>
          <cell r="AE17">
            <v>30.726163663663662</v>
          </cell>
          <cell r="AH17">
            <v>59.929988974641667</v>
          </cell>
        </row>
      </sheetData>
      <sheetData sheetId="45" refreshError="1"/>
      <sheetData sheetId="46" refreshError="1">
        <row r="4">
          <cell r="B4">
            <v>7.1</v>
          </cell>
          <cell r="C4">
            <v>13.4</v>
          </cell>
          <cell r="D4">
            <v>9.3000000000000007</v>
          </cell>
          <cell r="E4">
            <v>9.1999999999999993</v>
          </cell>
          <cell r="F4">
            <v>11</v>
          </cell>
          <cell r="G4">
            <v>8.6999999999999993</v>
          </cell>
          <cell r="H4">
            <v>6.1</v>
          </cell>
          <cell r="I4">
            <v>4.7</v>
          </cell>
          <cell r="J4">
            <v>3.8</v>
          </cell>
          <cell r="K4">
            <v>3.9</v>
          </cell>
          <cell r="L4">
            <v>8.4</v>
          </cell>
        </row>
        <row r="5">
          <cell r="B5">
            <v>7.1</v>
          </cell>
          <cell r="C5">
            <v>13.4</v>
          </cell>
          <cell r="D5">
            <v>9.3000000000000007</v>
          </cell>
          <cell r="E5">
            <v>9.1999999999999993</v>
          </cell>
          <cell r="F5">
            <v>11</v>
          </cell>
          <cell r="G5">
            <v>8.6999999999999993</v>
          </cell>
          <cell r="H5">
            <v>6.1</v>
          </cell>
          <cell r="I5">
            <v>4.7</v>
          </cell>
          <cell r="J5">
            <v>3.8</v>
          </cell>
          <cell r="K5">
            <v>3.9</v>
          </cell>
          <cell r="L5">
            <v>8.4</v>
          </cell>
        </row>
        <row r="6">
          <cell r="B6">
            <v>7.1</v>
          </cell>
          <cell r="C6">
            <v>13.4</v>
          </cell>
          <cell r="D6">
            <v>9.3000000000000007</v>
          </cell>
          <cell r="E6">
            <v>9.1999999999999993</v>
          </cell>
          <cell r="F6">
            <v>11</v>
          </cell>
          <cell r="G6">
            <v>8.6999999999999993</v>
          </cell>
          <cell r="H6">
            <v>6.1</v>
          </cell>
          <cell r="I6">
            <v>4.7</v>
          </cell>
          <cell r="J6">
            <v>3.8</v>
          </cell>
          <cell r="K6">
            <v>3.9</v>
          </cell>
          <cell r="L6">
            <v>8.4</v>
          </cell>
        </row>
        <row r="7">
          <cell r="B7">
            <v>7.1</v>
          </cell>
          <cell r="C7">
            <v>13.4</v>
          </cell>
          <cell r="D7">
            <v>9.3000000000000007</v>
          </cell>
          <cell r="E7">
            <v>9.1999999999999993</v>
          </cell>
          <cell r="F7">
            <v>11</v>
          </cell>
          <cell r="G7">
            <v>8.6999999999999993</v>
          </cell>
          <cell r="H7">
            <v>6.1</v>
          </cell>
          <cell r="I7">
            <v>4.7</v>
          </cell>
          <cell r="J7">
            <v>3.8</v>
          </cell>
          <cell r="K7">
            <v>3.9</v>
          </cell>
          <cell r="L7">
            <v>8.4</v>
          </cell>
        </row>
        <row r="8">
          <cell r="B8">
            <v>7.1</v>
          </cell>
          <cell r="C8">
            <v>13.4</v>
          </cell>
          <cell r="D8">
            <v>9.3000000000000007</v>
          </cell>
          <cell r="E8">
            <v>9.1999999999999993</v>
          </cell>
          <cell r="F8">
            <v>11</v>
          </cell>
          <cell r="G8">
            <v>8.6999999999999993</v>
          </cell>
          <cell r="H8">
            <v>6.1</v>
          </cell>
          <cell r="I8">
            <v>4.7</v>
          </cell>
          <cell r="J8">
            <v>3.8</v>
          </cell>
          <cell r="K8">
            <v>3.9</v>
          </cell>
          <cell r="L8">
            <v>8.4</v>
          </cell>
        </row>
        <row r="9">
          <cell r="B9">
            <v>7.1</v>
          </cell>
          <cell r="C9">
            <v>13.4</v>
          </cell>
          <cell r="D9">
            <v>9.3000000000000007</v>
          </cell>
          <cell r="E9">
            <v>9.1999999999999993</v>
          </cell>
          <cell r="F9">
            <v>11</v>
          </cell>
          <cell r="G9">
            <v>8.6999999999999993</v>
          </cell>
          <cell r="H9">
            <v>6.1</v>
          </cell>
          <cell r="I9">
            <v>4.7</v>
          </cell>
          <cell r="J9">
            <v>3.8</v>
          </cell>
          <cell r="K9">
            <v>3.9</v>
          </cell>
          <cell r="L9">
            <v>8.4</v>
          </cell>
        </row>
        <row r="10">
          <cell r="B10">
            <v>8</v>
          </cell>
          <cell r="C10">
            <v>15.4</v>
          </cell>
          <cell r="D10">
            <v>9.5</v>
          </cell>
          <cell r="E10">
            <v>10.3</v>
          </cell>
          <cell r="F10">
            <v>13.3</v>
          </cell>
          <cell r="G10">
            <v>10.4</v>
          </cell>
          <cell r="H10">
            <v>6.9</v>
          </cell>
          <cell r="I10">
            <v>5.7</v>
          </cell>
          <cell r="J10">
            <v>4.4000000000000004</v>
          </cell>
          <cell r="K10">
            <v>4.5</v>
          </cell>
          <cell r="L10">
            <v>8.3000000000000007</v>
          </cell>
        </row>
        <row r="11">
          <cell r="B11">
            <v>8.4</v>
          </cell>
          <cell r="C11">
            <v>15.9</v>
          </cell>
          <cell r="D11">
            <v>9.6999999999999993</v>
          </cell>
          <cell r="E11">
            <v>10.5</v>
          </cell>
          <cell r="F11">
            <v>12.4</v>
          </cell>
          <cell r="G11">
            <v>11</v>
          </cell>
          <cell r="H11">
            <v>7.2</v>
          </cell>
          <cell r="I11">
            <v>6.5</v>
          </cell>
          <cell r="J11">
            <v>4.8</v>
          </cell>
          <cell r="K11">
            <v>4.8</v>
          </cell>
          <cell r="L11">
            <v>8.3000000000000007</v>
          </cell>
        </row>
        <row r="12">
          <cell r="B12">
            <v>7.5</v>
          </cell>
          <cell r="C12">
            <v>14.8</v>
          </cell>
          <cell r="D12">
            <v>11.6</v>
          </cell>
          <cell r="E12">
            <v>10</v>
          </cell>
          <cell r="F12">
            <v>10.9</v>
          </cell>
          <cell r="G12">
            <v>9.6999999999999993</v>
          </cell>
          <cell r="H12">
            <v>6.6</v>
          </cell>
          <cell r="I12">
            <v>5.5</v>
          </cell>
          <cell r="J12">
            <v>4.2</v>
          </cell>
          <cell r="K12">
            <v>3.9</v>
          </cell>
          <cell r="L12">
            <v>7.7</v>
          </cell>
        </row>
        <row r="13">
          <cell r="B13">
            <v>7.5</v>
          </cell>
          <cell r="C13">
            <v>13.3</v>
          </cell>
          <cell r="D13">
            <v>10.5</v>
          </cell>
          <cell r="E13">
            <v>9.6999999999999993</v>
          </cell>
          <cell r="F13">
            <v>11.1</v>
          </cell>
          <cell r="G13">
            <v>10</v>
          </cell>
          <cell r="H13">
            <v>6.9</v>
          </cell>
          <cell r="I13">
            <v>5.5</v>
          </cell>
          <cell r="J13">
            <v>4.3</v>
          </cell>
          <cell r="K13">
            <v>3.9</v>
          </cell>
          <cell r="L13">
            <v>6.7</v>
          </cell>
        </row>
      </sheetData>
      <sheetData sheetId="47" refreshError="1"/>
      <sheetData sheetId="48" refreshError="1"/>
      <sheetData sheetId="49" refreshError="1">
        <row r="4">
          <cell r="B4">
            <v>29.89815965226385</v>
          </cell>
          <cell r="C4">
            <v>37.615238058599395</v>
          </cell>
          <cell r="D4">
            <v>45.666931792514596</v>
          </cell>
          <cell r="E4">
            <v>39.384641948100878</v>
          </cell>
          <cell r="F4">
            <v>39.185977454761655</v>
          </cell>
          <cell r="G4">
            <v>37.398873078682264</v>
          </cell>
          <cell r="H4">
            <v>36.182854078733186</v>
          </cell>
          <cell r="I4">
            <v>39.853943682805088</v>
          </cell>
          <cell r="J4">
            <v>38.180796910218682</v>
          </cell>
          <cell r="K4">
            <v>38.403421171893214</v>
          </cell>
          <cell r="L4">
            <v>36.603731558354788</v>
          </cell>
        </row>
        <row r="5">
          <cell r="B5">
            <v>43.311674199125022</v>
          </cell>
          <cell r="C5">
            <v>40.845388737625392</v>
          </cell>
          <cell r="D5">
            <v>48.020967536054215</v>
          </cell>
          <cell r="E5">
            <v>42.583465802887005</v>
          </cell>
          <cell r="F5">
            <v>41.931593303503305</v>
          </cell>
          <cell r="G5">
            <v>40.812396931843473</v>
          </cell>
          <cell r="H5">
            <v>39.444962709219205</v>
          </cell>
          <cell r="I5">
            <v>42.977712994596331</v>
          </cell>
          <cell r="J5">
            <v>41.197508932495211</v>
          </cell>
          <cell r="K5">
            <v>41.96797435350463</v>
          </cell>
          <cell r="L5">
            <v>39.924497722975218</v>
          </cell>
        </row>
        <row r="6">
          <cell r="B6">
            <v>44.62245539289183</v>
          </cell>
          <cell r="C6">
            <v>40.514814781882372</v>
          </cell>
          <cell r="D6">
            <v>47.942971000397996</v>
          </cell>
          <cell r="E6">
            <v>42.874343991884906</v>
          </cell>
          <cell r="F6">
            <v>43.012626120202782</v>
          </cell>
          <cell r="G6">
            <v>41.51557912477336</v>
          </cell>
          <cell r="H6">
            <v>40.540281493912723</v>
          </cell>
          <cell r="I6">
            <v>44.227935399725297</v>
          </cell>
          <cell r="J6">
            <v>42.368236685914809</v>
          </cell>
          <cell r="K6">
            <v>42.910180373978768</v>
          </cell>
          <cell r="L6">
            <v>40.630462031217505</v>
          </cell>
        </row>
        <row r="7">
          <cell r="B7">
            <v>43.991003713640595</v>
          </cell>
          <cell r="C7">
            <v>39.206819538166243</v>
          </cell>
          <cell r="D7">
            <v>45.922981959148458</v>
          </cell>
          <cell r="E7">
            <v>42.028146516516038</v>
          </cell>
          <cell r="F7">
            <v>40.765972619788322</v>
          </cell>
          <cell r="G7">
            <v>40.5186294898241</v>
          </cell>
          <cell r="H7">
            <v>40.468006539526243</v>
          </cell>
          <cell r="I7">
            <v>43.030717826699522</v>
          </cell>
          <cell r="J7">
            <v>40.948023201615847</v>
          </cell>
          <cell r="K7">
            <v>42.304272653097428</v>
          </cell>
          <cell r="L7">
            <v>39.485089699890203</v>
          </cell>
        </row>
        <row r="8">
          <cell r="B8">
            <v>43.541315456615237</v>
          </cell>
          <cell r="C8">
            <v>38.804186196673143</v>
          </cell>
          <cell r="D8">
            <v>45.117038963675519</v>
          </cell>
          <cell r="E8">
            <v>41.883828476181222</v>
          </cell>
          <cell r="F8">
            <v>40.732383394762294</v>
          </cell>
          <cell r="G8">
            <v>39.434346020972349</v>
          </cell>
          <cell r="H8">
            <v>40.594672114286368</v>
          </cell>
          <cell r="I8">
            <v>44.521640524448728</v>
          </cell>
          <cell r="J8">
            <v>41.926476901576464</v>
          </cell>
          <cell r="K8">
            <v>43.155538322197131</v>
          </cell>
          <cell r="L8">
            <v>39.057842542767204</v>
          </cell>
        </row>
        <row r="9">
          <cell r="B9">
            <v>42.603693332123079</v>
          </cell>
          <cell r="C9">
            <v>38.257273983319742</v>
          </cell>
          <cell r="D9">
            <v>45.012516245711964</v>
          </cell>
          <cell r="E9">
            <v>42.24332706265718</v>
          </cell>
          <cell r="F9">
            <v>41.344686796592676</v>
          </cell>
          <cell r="G9">
            <v>39.416404217762626</v>
          </cell>
          <cell r="H9">
            <v>39.395181755953871</v>
          </cell>
          <cell r="I9">
            <v>42.779220500353709</v>
          </cell>
          <cell r="J9">
            <v>40.633869247022517</v>
          </cell>
          <cell r="K9">
            <v>42.273832774093847</v>
          </cell>
          <cell r="L9">
            <v>36.861563165923805</v>
          </cell>
        </row>
        <row r="10">
          <cell r="B10">
            <v>42.268987970177221</v>
          </cell>
          <cell r="C10">
            <v>37.820324587298266</v>
          </cell>
          <cell r="D10">
            <v>44.797315322319889</v>
          </cell>
          <cell r="E10">
            <v>41.136462600505332</v>
          </cell>
          <cell r="F10">
            <v>41.336558010761799</v>
          </cell>
          <cell r="G10">
            <v>39.051274925037603</v>
          </cell>
          <cell r="H10">
            <v>39.182626384538338</v>
          </cell>
          <cell r="I10">
            <v>43.641007826779457</v>
          </cell>
          <cell r="J10">
            <v>41.192786306654071</v>
          </cell>
          <cell r="K10">
            <v>43.092650966950593</v>
          </cell>
          <cell r="L10">
            <v>36.571524051924833</v>
          </cell>
        </row>
        <row r="11">
          <cell r="B11">
            <v>43.244659658905555</v>
          </cell>
          <cell r="C11">
            <v>39.072417801848125</v>
          </cell>
          <cell r="D11">
            <v>46.515430423652951</v>
          </cell>
          <cell r="E11">
            <v>41.785807843652563</v>
          </cell>
          <cell r="F11">
            <v>42.368310383412251</v>
          </cell>
          <cell r="G11">
            <v>39.375551691063514</v>
          </cell>
          <cell r="H11">
            <v>40.037341447682465</v>
          </cell>
          <cell r="I11">
            <v>43.612298242341851</v>
          </cell>
          <cell r="J11">
            <v>42.034435110302184</v>
          </cell>
          <cell r="K11">
            <v>43.756513136698466</v>
          </cell>
          <cell r="L11">
            <v>37.193396311724612</v>
          </cell>
        </row>
        <row r="12">
          <cell r="B12">
            <v>39.408252342851654</v>
          </cell>
          <cell r="C12">
            <v>34.511971412346718</v>
          </cell>
          <cell r="D12">
            <v>42.837387775038849</v>
          </cell>
          <cell r="E12">
            <v>36.710549484601934</v>
          </cell>
          <cell r="F12">
            <v>37.04322630439524</v>
          </cell>
          <cell r="G12">
            <v>35.796252083637654</v>
          </cell>
          <cell r="H12">
            <v>36.865053871627865</v>
          </cell>
          <cell r="I12">
            <v>39.618098794733442</v>
          </cell>
          <cell r="J12">
            <v>37.221839880672775</v>
          </cell>
          <cell r="K12">
            <v>38.668201749500703</v>
          </cell>
          <cell r="L12">
            <v>33.673493817869321</v>
          </cell>
        </row>
        <row r="13">
          <cell r="B13">
            <v>39.848403215372244</v>
          </cell>
          <cell r="C13">
            <v>36.556983698365428</v>
          </cell>
          <cell r="D13">
            <v>43.619172656623093</v>
          </cell>
          <cell r="E13">
            <v>38.244433533852053</v>
          </cell>
          <cell r="F13">
            <v>38.371477602499937</v>
          </cell>
          <cell r="G13">
            <v>35.787166595925996</v>
          </cell>
          <cell r="H13">
            <v>37.685976833978593</v>
          </cell>
          <cell r="I13">
            <v>40.638344244629245</v>
          </cell>
          <cell r="J13">
            <v>37.816471677316748</v>
          </cell>
          <cell r="K13">
            <v>38.470487878178702</v>
          </cell>
          <cell r="L13">
            <v>33.912570747897966</v>
          </cell>
        </row>
      </sheetData>
      <sheetData sheetId="50" refreshError="1"/>
      <sheetData sheetId="51" refreshError="1"/>
      <sheetData sheetId="52" refreshError="1">
        <row r="4">
          <cell r="B4">
            <v>2.8610284148125276</v>
          </cell>
          <cell r="C4">
            <v>2.5353559667577663</v>
          </cell>
          <cell r="D4">
            <v>3.0800636195646995</v>
          </cell>
          <cell r="E4">
            <v>2.806840456397826</v>
          </cell>
          <cell r="F4">
            <v>2.3246616316326589</v>
          </cell>
          <cell r="G4">
            <v>3.247736237684657</v>
          </cell>
          <cell r="H4">
            <v>2.5113204382812095</v>
          </cell>
          <cell r="I4">
            <v>2.7718823894021276</v>
          </cell>
          <cell r="J4">
            <v>3.9883256744182929</v>
          </cell>
          <cell r="K4">
            <v>2.8550854899759948</v>
          </cell>
          <cell r="L4">
            <v>3.2828285283106475</v>
          </cell>
        </row>
        <row r="5">
          <cell r="B5">
            <v>2.8532023085322757</v>
          </cell>
          <cell r="C5">
            <v>2.7677557627409231</v>
          </cell>
          <cell r="D5">
            <v>3.2188908744926596</v>
          </cell>
          <cell r="E5">
            <v>2.7359832936529478</v>
          </cell>
          <cell r="F5">
            <v>2.3960318751486911</v>
          </cell>
          <cell r="G5">
            <v>3.0870590804427409</v>
          </cell>
          <cell r="H5">
            <v>2.520400925587023</v>
          </cell>
          <cell r="I5">
            <v>2.8124114711403139</v>
          </cell>
          <cell r="J5">
            <v>3.9982352651870605</v>
          </cell>
          <cell r="K5">
            <v>2.8812002378906203</v>
          </cell>
          <cell r="L5">
            <v>3.2410794662344409</v>
          </cell>
        </row>
        <row r="6">
          <cell r="B6">
            <v>2.7724339242583746</v>
          </cell>
          <cell r="C6">
            <v>2.931923827436091</v>
          </cell>
          <cell r="D6">
            <v>3.182890500031653</v>
          </cell>
          <cell r="E6">
            <v>2.641200156768154</v>
          </cell>
          <cell r="F6">
            <v>2.4328089196139069</v>
          </cell>
          <cell r="G6">
            <v>2.9396846988332976</v>
          </cell>
          <cell r="H6">
            <v>2.4881807022072455</v>
          </cell>
          <cell r="I6">
            <v>2.6315231387122342</v>
          </cell>
          <cell r="J6">
            <v>3.2878990407894819</v>
          </cell>
          <cell r="K6">
            <v>2.7916234733548535</v>
          </cell>
          <cell r="L6">
            <v>3.1214884089122106</v>
          </cell>
        </row>
        <row r="7">
          <cell r="B7">
            <v>2.6490572964302661</v>
          </cell>
          <cell r="C7">
            <v>3.0231200893385766</v>
          </cell>
          <cell r="D7">
            <v>3.3005754657778033</v>
          </cell>
          <cell r="E7">
            <v>2.528798809633412</v>
          </cell>
          <cell r="F7">
            <v>2.4414515082820678</v>
          </cell>
          <cell r="G7">
            <v>2.7182169024419052</v>
          </cell>
          <cell r="H7">
            <v>2.4264000529505623</v>
          </cell>
          <cell r="I7">
            <v>2.5968393138603494</v>
          </cell>
          <cell r="J7">
            <v>2.9254827915473807</v>
          </cell>
          <cell r="K7">
            <v>2.6966297865186908</v>
          </cell>
          <cell r="L7">
            <v>3.0269750611182085</v>
          </cell>
        </row>
        <row r="8">
          <cell r="B8">
            <v>2.5733829506990178</v>
          </cell>
          <cell r="C8">
            <v>3.1406507512024255</v>
          </cell>
          <cell r="D8">
            <v>3.7246339583868493</v>
          </cell>
          <cell r="E8">
            <v>2.461237487553301</v>
          </cell>
          <cell r="F8">
            <v>2.4465144120425681</v>
          </cell>
          <cell r="G8">
            <v>2.5181269307788368</v>
          </cell>
          <cell r="H8">
            <v>2.3876125869192006</v>
          </cell>
          <cell r="I8">
            <v>2.5178029238305499</v>
          </cell>
          <cell r="J8">
            <v>2.5641736315316788</v>
          </cell>
          <cell r="K8">
            <v>2.562521540701979</v>
          </cell>
          <cell r="L8">
            <v>2.9668427224318914</v>
          </cell>
        </row>
        <row r="9">
          <cell r="B9">
            <v>2.5308695512491854</v>
          </cell>
          <cell r="C9">
            <v>4.1102940819075764</v>
          </cell>
          <cell r="D9">
            <v>3.0299782998901601</v>
          </cell>
          <cell r="E9">
            <v>2.7362730958356525</v>
          </cell>
          <cell r="F9">
            <v>2.3038922209119148</v>
          </cell>
          <cell r="G9">
            <v>2.3048232410639922</v>
          </cell>
          <cell r="H9">
            <v>2.3347988115484979</v>
          </cell>
          <cell r="I9">
            <v>2.4641132302959536</v>
          </cell>
          <cell r="J9">
            <v>2.6866279311961772</v>
          </cell>
          <cell r="K9">
            <v>2.4994399735199417</v>
          </cell>
          <cell r="L9">
            <v>3.1602676587859575</v>
          </cell>
        </row>
        <row r="10">
          <cell r="B10">
            <v>2.5448588271210872</v>
          </cell>
          <cell r="C10">
            <v>5.0754574313479166</v>
          </cell>
          <cell r="D10">
            <v>2.8851857955013598</v>
          </cell>
          <cell r="E10">
            <v>2.4113335310756949</v>
          </cell>
          <cell r="F10">
            <v>2.3224047179493867</v>
          </cell>
          <cell r="G10">
            <v>2.1579490296510428</v>
          </cell>
          <cell r="H10">
            <v>2.4179227688851777</v>
          </cell>
          <cell r="I10">
            <v>2.6051709733884549</v>
          </cell>
          <cell r="J10">
            <v>3.0295149304702038</v>
          </cell>
          <cell r="K10">
            <v>2.4667137670819366</v>
          </cell>
          <cell r="L10">
            <v>3.3193446575495971</v>
          </cell>
        </row>
        <row r="11">
          <cell r="B11">
            <v>2.5404030928529777</v>
          </cell>
          <cell r="C11">
            <v>5.5747324182385816</v>
          </cell>
          <cell r="D11">
            <v>3.1659388646288207</v>
          </cell>
          <cell r="E11">
            <v>2.3281604799123743</v>
          </cell>
          <cell r="F11">
            <v>2.5316885946029726</v>
          </cell>
          <cell r="G11">
            <v>2.1094280074041736</v>
          </cell>
          <cell r="H11">
            <v>2.51784605548628</v>
          </cell>
          <cell r="I11">
            <v>2.4035708457954486</v>
          </cell>
          <cell r="J11">
            <v>2.6249719254827752</v>
          </cell>
          <cell r="K11">
            <v>2.3771354346839524</v>
          </cell>
          <cell r="L11">
            <v>3.1611071719822323</v>
          </cell>
        </row>
        <row r="12">
          <cell r="B12">
            <v>2.5550735637773512</v>
          </cell>
          <cell r="C12">
            <v>5.5256676371570821</v>
          </cell>
          <cell r="D12">
            <v>4.3836076587168291</v>
          </cell>
          <cell r="E12">
            <v>2.4389841508091119</v>
          </cell>
          <cell r="F12">
            <v>2.9818743783574058</v>
          </cell>
          <cell r="G12">
            <v>2.0200958885351854</v>
          </cell>
          <cell r="H12">
            <v>2.6404284205836124</v>
          </cell>
          <cell r="I12">
            <v>2.5967547337059567</v>
          </cell>
          <cell r="J12">
            <v>2.5722193066507755</v>
          </cell>
          <cell r="K12">
            <v>2.2788830621181813</v>
          </cell>
          <cell r="L12">
            <v>2.959597773169508</v>
          </cell>
        </row>
        <row r="13">
          <cell r="B13">
            <v>2.6529538936338484</v>
          </cell>
          <cell r="C13">
            <v>5.5113227332499592</v>
          </cell>
          <cell r="D13">
            <v>5.9329862277460528</v>
          </cell>
          <cell r="E13">
            <v>2.5977039323795013</v>
          </cell>
          <cell r="F13">
            <v>3.3331789831126826</v>
          </cell>
          <cell r="G13">
            <v>2.1521164976044527</v>
          </cell>
          <cell r="H13">
            <v>2.6836712510727958</v>
          </cell>
          <cell r="I13">
            <v>2.9379328142251344</v>
          </cell>
          <cell r="J13">
            <v>2.4438921808525493</v>
          </cell>
          <cell r="K13">
            <v>2.4061593607067273</v>
          </cell>
          <cell r="L13">
            <v>3.1641470921125285</v>
          </cell>
        </row>
      </sheetData>
      <sheetData sheetId="53" refreshError="1">
        <row r="8">
          <cell r="E8">
            <v>0.59732204139460865</v>
          </cell>
          <cell r="F8">
            <v>69.216953969747877</v>
          </cell>
          <cell r="G8">
            <v>0.35071106104121486</v>
          </cell>
          <cell r="L8">
            <v>0.14204276434158444</v>
          </cell>
          <cell r="M8">
            <v>71.659935665094139</v>
          </cell>
          <cell r="N8">
            <v>0.42229925518109424</v>
          </cell>
          <cell r="S8">
            <v>0.26282341282664429</v>
          </cell>
          <cell r="T8">
            <v>67.956850646436237</v>
          </cell>
          <cell r="U8">
            <v>0.57569092783990561</v>
          </cell>
          <cell r="Z8">
            <v>0.4141452725116101</v>
          </cell>
          <cell r="AA8">
            <v>69.223981033009181</v>
          </cell>
          <cell r="AC8">
            <v>0.38291999999999998</v>
          </cell>
          <cell r="AG8">
            <v>0.35443037974683544</v>
          </cell>
          <cell r="AH8">
            <v>62.847673646218546</v>
          </cell>
          <cell r="AI8">
            <v>0.36310776392327326</v>
          </cell>
          <cell r="AN8">
            <v>0.39495148313656608</v>
          </cell>
          <cell r="AO8">
            <v>45.570990151913321</v>
          </cell>
          <cell r="AP8">
            <v>0.31214581768290606</v>
          </cell>
          <cell r="AU8">
            <v>0.65822419080362005</v>
          </cell>
          <cell r="AV8">
            <v>52.862648216668404</v>
          </cell>
          <cell r="AW8">
            <v>0.34620366545302661</v>
          </cell>
          <cell r="BB8">
            <v>0.60641910395443099</v>
          </cell>
          <cell r="BC8">
            <v>60.490731560971341</v>
          </cell>
          <cell r="BD8">
            <v>0.36899008455604398</v>
          </cell>
          <cell r="BI8">
            <v>0.38848725633255654</v>
          </cell>
          <cell r="BJ8">
            <v>61.303149512027495</v>
          </cell>
          <cell r="BK8">
            <v>0.29450208883241052</v>
          </cell>
          <cell r="BP8">
            <v>0.9707977349823087</v>
          </cell>
          <cell r="BQ8">
            <v>40.284547036441666</v>
          </cell>
          <cell r="BR8">
            <v>0.27912776351165963</v>
          </cell>
          <cell r="BW8">
            <v>0.92571111914679793</v>
          </cell>
          <cell r="BX8">
            <v>53.216844197432941</v>
          </cell>
          <cell r="BY8">
            <v>0.47486107266220628</v>
          </cell>
        </row>
        <row r="9">
          <cell r="E9">
            <v>0.63843094492865382</v>
          </cell>
          <cell r="F9">
            <v>69.216953969747877</v>
          </cell>
          <cell r="G9">
            <v>0.35071106104121486</v>
          </cell>
          <cell r="L9">
            <v>0.16275263438586168</v>
          </cell>
          <cell r="M9">
            <v>71.659935665094139</v>
          </cell>
          <cell r="N9">
            <v>0.42229925518109424</v>
          </cell>
          <cell r="S9">
            <v>0.27452802297588375</v>
          </cell>
          <cell r="T9">
            <v>67.956850646436237</v>
          </cell>
          <cell r="U9">
            <v>0.57569092783990561</v>
          </cell>
          <cell r="Z9">
            <v>0.5244888779502499</v>
          </cell>
          <cell r="AA9">
            <v>69.223981033009181</v>
          </cell>
          <cell r="AC9">
            <v>0.38291999999999998</v>
          </cell>
          <cell r="AG9">
            <v>0.33420230714339505</v>
          </cell>
          <cell r="AH9">
            <v>62.847673646218546</v>
          </cell>
          <cell r="AI9">
            <v>0.36310776392327326</v>
          </cell>
          <cell r="AN9">
            <v>0.47758114736157975</v>
          </cell>
          <cell r="AO9">
            <v>45.570990151913321</v>
          </cell>
          <cell r="AP9">
            <v>0.31214581768290606</v>
          </cell>
          <cell r="AU9">
            <v>0.69657687127137957</v>
          </cell>
          <cell r="AV9">
            <v>52.862648216668404</v>
          </cell>
          <cell r="AW9">
            <v>0.34620366545302661</v>
          </cell>
          <cell r="BB9">
            <v>0.61437996470028899</v>
          </cell>
          <cell r="BC9">
            <v>60.490731560971341</v>
          </cell>
          <cell r="BD9">
            <v>0.36899008455604398</v>
          </cell>
          <cell r="BI9">
            <v>0.39530037092271808</v>
          </cell>
          <cell r="BJ9">
            <v>61.303149512027495</v>
          </cell>
          <cell r="BK9">
            <v>0.29450208883241052</v>
          </cell>
          <cell r="BP9">
            <v>0.97973898735196452</v>
          </cell>
          <cell r="BQ9">
            <v>40.284547036441666</v>
          </cell>
          <cell r="BR9">
            <v>0.27912776351165963</v>
          </cell>
          <cell r="BW9">
            <v>0.91730681920539503</v>
          </cell>
          <cell r="BX9">
            <v>53.216844197432941</v>
          </cell>
          <cell r="BY9">
            <v>0.47486107266220628</v>
          </cell>
        </row>
        <row r="10">
          <cell r="E10">
            <v>0.70778589553794446</v>
          </cell>
          <cell r="F10">
            <v>69.216953969747877</v>
          </cell>
          <cell r="G10">
            <v>0.35071106104121486</v>
          </cell>
          <cell r="L10">
            <v>0.20078341385584828</v>
          </cell>
          <cell r="M10">
            <v>71.659935665094139</v>
          </cell>
          <cell r="N10">
            <v>0.42229925518109424</v>
          </cell>
          <cell r="S10">
            <v>0.22229998147500155</v>
          </cell>
          <cell r="T10">
            <v>67.956850646436237</v>
          </cell>
          <cell r="U10">
            <v>0.57569092783990561</v>
          </cell>
          <cell r="Z10">
            <v>0.6909160307454868</v>
          </cell>
          <cell r="AA10">
            <v>69.223981033009181</v>
          </cell>
          <cell r="AC10">
            <v>0.38291999999999998</v>
          </cell>
          <cell r="AG10">
            <v>0.40099760379480659</v>
          </cell>
          <cell r="AH10">
            <v>62.847673646218546</v>
          </cell>
          <cell r="AI10">
            <v>0.36310776392327326</v>
          </cell>
          <cell r="AN10">
            <v>0.58829132308470855</v>
          </cell>
          <cell r="AO10">
            <v>45.570990151913321</v>
          </cell>
          <cell r="AP10">
            <v>0.31214581768290606</v>
          </cell>
          <cell r="AU10">
            <v>0.71288495192514112</v>
          </cell>
          <cell r="AV10">
            <v>52.862648216668404</v>
          </cell>
          <cell r="AW10">
            <v>0.34620366545302661</v>
          </cell>
          <cell r="BB10">
            <v>0.69458587461009935</v>
          </cell>
          <cell r="BC10">
            <v>60.490731560971341</v>
          </cell>
          <cell r="BD10">
            <v>0.36899008455604398</v>
          </cell>
          <cell r="BI10">
            <v>0.42439176096265641</v>
          </cell>
          <cell r="BJ10">
            <v>61.303149512027495</v>
          </cell>
          <cell r="BK10">
            <v>0.29450208883241052</v>
          </cell>
          <cell r="BP10">
            <v>1.1237948029241469</v>
          </cell>
          <cell r="BQ10">
            <v>40.284547036441666</v>
          </cell>
          <cell r="BR10">
            <v>0.27912776351165963</v>
          </cell>
          <cell r="BW10">
            <v>1.0003905164315945</v>
          </cell>
          <cell r="BX10">
            <v>53.216844197432941</v>
          </cell>
          <cell r="BY10">
            <v>0.47486107266220628</v>
          </cell>
        </row>
        <row r="11">
          <cell r="E11">
            <v>0.84733440874290855</v>
          </cell>
          <cell r="F11">
            <v>64.257633690756279</v>
          </cell>
          <cell r="G11">
            <v>0.32495469824295015</v>
          </cell>
          <cell r="L11">
            <v>0.26404087808943177</v>
          </cell>
          <cell r="M11">
            <v>73.718801927877792</v>
          </cell>
          <cell r="N11">
            <v>0.3766865377957771</v>
          </cell>
          <cell r="S11">
            <v>0.38497784372305655</v>
          </cell>
          <cell r="T11">
            <v>56.75479617407899</v>
          </cell>
          <cell r="U11">
            <v>0.61221757155974077</v>
          </cell>
          <cell r="Z11">
            <v>0.86392267593397043</v>
          </cell>
          <cell r="AA11">
            <v>70.28844987531437</v>
          </cell>
          <cell r="AC11">
            <v>0.35074</v>
          </cell>
          <cell r="AG11">
            <v>0.51347445379580037</v>
          </cell>
          <cell r="AH11">
            <v>58.291870468613588</v>
          </cell>
          <cell r="AI11">
            <v>0.35729214417147004</v>
          </cell>
          <cell r="AN11">
            <v>0.87078876915227954</v>
          </cell>
          <cell r="AO11">
            <v>45.184142950033582</v>
          </cell>
          <cell r="AP11">
            <v>0.29412673536923561</v>
          </cell>
          <cell r="AU11">
            <v>0.7721994060782208</v>
          </cell>
          <cell r="AV11">
            <v>53.723865762626787</v>
          </cell>
          <cell r="AW11">
            <v>0.31036968761878247</v>
          </cell>
          <cell r="BB11">
            <v>0.7561325252763399</v>
          </cell>
          <cell r="BC11">
            <v>58.763514759783348</v>
          </cell>
          <cell r="BD11">
            <v>0.33479662786058961</v>
          </cell>
          <cell r="BI11">
            <v>0.49447110865752758</v>
          </cell>
          <cell r="BJ11">
            <v>59.806252010309287</v>
          </cell>
          <cell r="BK11">
            <v>0.34821481440198476</v>
          </cell>
          <cell r="BP11">
            <v>1.2227510291549621</v>
          </cell>
          <cell r="BQ11">
            <v>39.019637735422435</v>
          </cell>
          <cell r="BR11">
            <v>0.29696229977709171</v>
          </cell>
          <cell r="BW11">
            <v>1.1578923312486193</v>
          </cell>
          <cell r="BX11">
            <v>55.379551557759662</v>
          </cell>
          <cell r="BY11">
            <v>0.41520266964369068</v>
          </cell>
        </row>
        <row r="12">
          <cell r="E12">
            <v>0.92962786323076674</v>
          </cell>
          <cell r="F12">
            <v>59.298313411764688</v>
          </cell>
          <cell r="G12">
            <v>0.29919833544468549</v>
          </cell>
          <cell r="L12">
            <v>0.32391424796488089</v>
          </cell>
          <cell r="M12">
            <v>75.777668190661458</v>
          </cell>
          <cell r="N12">
            <v>0.33107382041046007</v>
          </cell>
          <cell r="S12">
            <v>0.29182311628178442</v>
          </cell>
          <cell r="T12">
            <v>45.552741701721743</v>
          </cell>
          <cell r="U12">
            <v>0.64874421527957604</v>
          </cell>
          <cell r="Z12">
            <v>0.85077819301530822</v>
          </cell>
          <cell r="AA12">
            <v>71.352918717619559</v>
          </cell>
          <cell r="AC12">
            <v>0.31856000000000001</v>
          </cell>
          <cell r="AG12">
            <v>0.4990979364473182</v>
          </cell>
          <cell r="AH12">
            <v>53.736067291008638</v>
          </cell>
          <cell r="AI12">
            <v>0.35147652441966681</v>
          </cell>
          <cell r="AN12">
            <v>0.97563542124944058</v>
          </cell>
          <cell r="AO12">
            <v>44.79729574815385</v>
          </cell>
          <cell r="AP12">
            <v>0.27610765305556512</v>
          </cell>
          <cell r="AU12">
            <v>0.86587954246301002</v>
          </cell>
          <cell r="AV12">
            <v>54.585083308585162</v>
          </cell>
          <cell r="AW12">
            <v>0.27453570978453834</v>
          </cell>
          <cell r="BB12">
            <v>0.82351671523090841</v>
          </cell>
          <cell r="BC12">
            <v>57.03629795859537</v>
          </cell>
          <cell r="BD12">
            <v>0.30060317116513519</v>
          </cell>
          <cell r="BI12">
            <v>0.52752357764531388</v>
          </cell>
          <cell r="BJ12">
            <v>58.30935450859107</v>
          </cell>
          <cell r="BK12">
            <v>0.401927539971559</v>
          </cell>
          <cell r="BP12">
            <v>1.3009633068942739</v>
          </cell>
          <cell r="BQ12">
            <v>37.754728434403205</v>
          </cell>
          <cell r="BR12">
            <v>0.31479683604252379</v>
          </cell>
          <cell r="BW12">
            <v>1.2375967231776701</v>
          </cell>
          <cell r="BX12">
            <v>57.542258918086382</v>
          </cell>
          <cell r="BY12">
            <v>0.35554426662517502</v>
          </cell>
        </row>
        <row r="13">
          <cell r="E13">
            <v>0.97290093889867302</v>
          </cell>
          <cell r="F13">
            <v>64.608557889075612</v>
          </cell>
          <cell r="G13">
            <v>0.32402280973969633</v>
          </cell>
          <cell r="L13">
            <v>0.35199136624950711</v>
          </cell>
          <cell r="M13">
            <v>71.000958995041472</v>
          </cell>
          <cell r="N13">
            <v>0.37626933334320506</v>
          </cell>
          <cell r="S13">
            <v>0.44164398164893115</v>
          </cell>
          <cell r="T13">
            <v>45.388594719483976</v>
          </cell>
          <cell r="U13">
            <v>0.55649215924661544</v>
          </cell>
          <cell r="Z13">
            <v>0.91496752204560228</v>
          </cell>
          <cell r="AA13">
            <v>64.701921508010514</v>
          </cell>
          <cell r="AC13">
            <v>0.30267500000000003</v>
          </cell>
          <cell r="AG13">
            <v>0.59776824690760089</v>
          </cell>
          <cell r="AH13">
            <v>56.647141623998074</v>
          </cell>
          <cell r="AI13">
            <v>0.35890364796529034</v>
          </cell>
          <cell r="AN13">
            <v>1.0257896320673754</v>
          </cell>
          <cell r="AO13">
            <v>49.555418888654472</v>
          </cell>
          <cell r="AP13">
            <v>0.28264181104282937</v>
          </cell>
          <cell r="AU13">
            <v>0.90380388685750312</v>
          </cell>
          <cell r="AV13">
            <v>54.070314787409806</v>
          </cell>
          <cell r="AW13">
            <v>0.31755139026071227</v>
          </cell>
          <cell r="BB13">
            <v>0.79394133996519101</v>
          </cell>
          <cell r="BC13">
            <v>52.121163171296288</v>
          </cell>
          <cell r="BD13">
            <v>0.35481542252051523</v>
          </cell>
          <cell r="BI13">
            <v>0.54868250284683029</v>
          </cell>
          <cell r="BJ13">
            <v>56.721914530927833</v>
          </cell>
          <cell r="BK13">
            <v>0.42493180924631618</v>
          </cell>
          <cell r="BP13">
            <v>1.2966941923031401</v>
          </cell>
          <cell r="BQ13">
            <v>34.621708060889226</v>
          </cell>
          <cell r="BR13">
            <v>0.33459480749314108</v>
          </cell>
          <cell r="BW13">
            <v>1.3231810681098251</v>
          </cell>
          <cell r="BX13">
            <v>52.251059801400267</v>
          </cell>
          <cell r="BY13">
            <v>0.41129520094912086</v>
          </cell>
        </row>
        <row r="14">
          <cell r="E14">
            <v>0.97652383440363832</v>
          </cell>
          <cell r="F14">
            <v>69.918802366386529</v>
          </cell>
          <cell r="G14">
            <v>0.34884728403470722</v>
          </cell>
          <cell r="L14">
            <v>0.37347813801491458</v>
          </cell>
          <cell r="M14">
            <v>66.2242497994215</v>
          </cell>
          <cell r="N14">
            <v>0.42146484627594999</v>
          </cell>
          <cell r="S14">
            <v>0.50753843857292125</v>
          </cell>
          <cell r="T14">
            <v>45.224447737246209</v>
          </cell>
          <cell r="U14">
            <v>0.464240103213655</v>
          </cell>
          <cell r="Z14">
            <v>0.92879895265290136</v>
          </cell>
          <cell r="AA14">
            <v>58.050924298401455</v>
          </cell>
          <cell r="AC14">
            <v>0.28678999999999999</v>
          </cell>
          <cell r="AG14">
            <v>0.60261173556569314</v>
          </cell>
          <cell r="AH14">
            <v>59.55821595698751</v>
          </cell>
          <cell r="AI14">
            <v>0.36633077151091381</v>
          </cell>
          <cell r="AN14">
            <v>0.96682228098318379</v>
          </cell>
          <cell r="AO14">
            <v>54.313542029155101</v>
          </cell>
          <cell r="AP14">
            <v>0.28917596903009357</v>
          </cell>
          <cell r="AU14">
            <v>0.94501302714943181</v>
          </cell>
          <cell r="AV14">
            <v>53.555546266234451</v>
          </cell>
          <cell r="AW14">
            <v>0.3605670707368861</v>
          </cell>
          <cell r="BB14">
            <v>0.84354385517747799</v>
          </cell>
          <cell r="BC14">
            <v>47.206028383997193</v>
          </cell>
          <cell r="BD14">
            <v>0.40902767387589528</v>
          </cell>
          <cell r="BI14">
            <v>0.65714827075043747</v>
          </cell>
          <cell r="BJ14">
            <v>55.134474553264603</v>
          </cell>
          <cell r="BK14">
            <v>0.44793607852107337</v>
          </cell>
          <cell r="BP14">
            <v>1.2708735488431526</v>
          </cell>
          <cell r="BQ14">
            <v>31.488687687375243</v>
          </cell>
          <cell r="BR14">
            <v>0.35439277894375837</v>
          </cell>
          <cell r="BW14">
            <v>1.3000784679526167</v>
          </cell>
          <cell r="BX14">
            <v>46.959860684714151</v>
          </cell>
          <cell r="BY14">
            <v>0.46704613527306671</v>
          </cell>
        </row>
        <row r="15">
          <cell r="E15">
            <v>0.99216974877821029</v>
          </cell>
          <cell r="F15">
            <v>72.041850010084019</v>
          </cell>
          <cell r="G15">
            <v>0.35769504765726684</v>
          </cell>
          <cell r="L15">
            <v>0.34532537009255854</v>
          </cell>
          <cell r="M15">
            <v>67.638667096518702</v>
          </cell>
          <cell r="N15">
            <v>0.43398097985311118</v>
          </cell>
          <cell r="S15">
            <v>0.49312366445674205</v>
          </cell>
          <cell r="T15">
            <v>45.036851186117325</v>
          </cell>
          <cell r="U15">
            <v>0.56365598041200693</v>
          </cell>
          <cell r="Z15">
            <v>0.99778552701911571</v>
          </cell>
          <cell r="AA15">
            <v>59.620564794681989</v>
          </cell>
          <cell r="AC15">
            <v>0.30591000000000002</v>
          </cell>
          <cell r="AG15">
            <v>0.71359828686898696</v>
          </cell>
          <cell r="AH15">
            <v>65.514375394968624</v>
          </cell>
          <cell r="AI15">
            <v>0.36304561226180354</v>
          </cell>
          <cell r="AN15">
            <v>0.98281576551529892</v>
          </cell>
          <cell r="AO15">
            <v>52.137161108756132</v>
          </cell>
          <cell r="AP15">
            <v>0.30580798318840086</v>
          </cell>
          <cell r="AU15">
            <v>0.96882185572273216</v>
          </cell>
          <cell r="AV15">
            <v>53.626798077590713</v>
          </cell>
          <cell r="AW15">
            <v>0.36971299974242061</v>
          </cell>
          <cell r="BB15">
            <v>0.87781441470008004</v>
          </cell>
          <cell r="BC15">
            <v>50.767557252358479</v>
          </cell>
          <cell r="BD15">
            <v>0.40699014872145572</v>
          </cell>
          <cell r="BI15">
            <v>0.62807329281058399</v>
          </cell>
          <cell r="BJ15">
            <v>52.917523278350522</v>
          </cell>
          <cell r="BK15">
            <v>0.44257821351850163</v>
          </cell>
          <cell r="BP15">
            <v>1.2629376066300577</v>
          </cell>
          <cell r="BQ15">
            <v>33.408269015385699</v>
          </cell>
          <cell r="BR15">
            <v>0.34430290368655675</v>
          </cell>
          <cell r="BW15">
            <v>1.2730151591230443</v>
          </cell>
          <cell r="BX15">
            <v>47.338428177596292</v>
          </cell>
          <cell r="BY15">
            <v>0.46331053454177684</v>
          </cell>
        </row>
        <row r="16">
          <cell r="E16">
            <v>1.0163121049121724</v>
          </cell>
          <cell r="F16">
            <v>74.164897653781495</v>
          </cell>
          <cell r="G16">
            <v>0.36654281127982652</v>
          </cell>
          <cell r="L16">
            <v>0.38546563130970529</v>
          </cell>
          <cell r="M16">
            <v>69.053084393615919</v>
          </cell>
          <cell r="N16">
            <v>0.44649711343027232</v>
          </cell>
          <cell r="S16">
            <v>0.51709278942832526</v>
          </cell>
          <cell r="T16">
            <v>44.849254634988448</v>
          </cell>
          <cell r="U16">
            <v>0.66307185761035881</v>
          </cell>
          <cell r="Z16">
            <v>1.1444266422522316</v>
          </cell>
          <cell r="AA16">
            <v>61.190205290962524</v>
          </cell>
          <cell r="AC16">
            <v>0.32502999999999999</v>
          </cell>
          <cell r="AG16">
            <v>0.74698427240800125</v>
          </cell>
          <cell r="AH16">
            <v>71.470534832949738</v>
          </cell>
          <cell r="AI16">
            <v>0.35976045301269333</v>
          </cell>
          <cell r="AN16">
            <v>0.94059820449686926</v>
          </cell>
          <cell r="AO16">
            <v>49.960780188357163</v>
          </cell>
          <cell r="AP16">
            <v>0.32243999734670825</v>
          </cell>
          <cell r="AU16">
            <v>1.0147469604852606</v>
          </cell>
          <cell r="AV16">
            <v>53.698049888946976</v>
          </cell>
          <cell r="AW16">
            <v>0.37885892874795507</v>
          </cell>
          <cell r="BB16">
            <v>0.86240234355432399</v>
          </cell>
          <cell r="BC16">
            <v>54.329086120719765</v>
          </cell>
          <cell r="BD16">
            <v>0.40495262356701617</v>
          </cell>
          <cell r="BI16">
            <v>0.6630347290474734</v>
          </cell>
          <cell r="BJ16">
            <v>50.700572003436434</v>
          </cell>
          <cell r="BK16">
            <v>0.43722034851592984</v>
          </cell>
          <cell r="BP16">
            <v>1.3053567395462531</v>
          </cell>
          <cell r="BQ16">
            <v>35.32785034339615</v>
          </cell>
          <cell r="BR16">
            <v>0.33421302842935513</v>
          </cell>
          <cell r="BW16">
            <v>1.3266255521969887</v>
          </cell>
          <cell r="BX16">
            <v>47.716995670478433</v>
          </cell>
          <cell r="BY16">
            <v>0.45957493381048692</v>
          </cell>
        </row>
        <row r="17">
          <cell r="E17">
            <v>1.0407267685718269</v>
          </cell>
          <cell r="F17">
            <v>70.428123771428545</v>
          </cell>
          <cell r="G17">
            <v>0.33517440882863347</v>
          </cell>
          <cell r="L17">
            <v>0.43662110335332871</v>
          </cell>
          <cell r="M17">
            <v>62.993869456544196</v>
          </cell>
          <cell r="N17">
            <v>0.43770637020019559</v>
          </cell>
          <cell r="S17">
            <v>0.57734880014168066</v>
          </cell>
          <cell r="T17">
            <v>46.739876126834169</v>
          </cell>
          <cell r="U17">
            <v>0.53463332030606225</v>
          </cell>
          <cell r="Z17">
            <v>1.1515245009977557</v>
          </cell>
          <cell r="AA17">
            <v>65.261218696340364</v>
          </cell>
          <cell r="AC17">
            <v>0.2877654673788328</v>
          </cell>
          <cell r="AG17">
            <v>0.80052643970997517</v>
          </cell>
          <cell r="AH17">
            <v>72.753209364970999</v>
          </cell>
          <cell r="AI17">
            <v>0.35355416567450942</v>
          </cell>
          <cell r="AN17">
            <v>0.89833653590728502</v>
          </cell>
          <cell r="AO17">
            <v>49.107670049199207</v>
          </cell>
          <cell r="AP17">
            <v>0.33240981645725642</v>
          </cell>
          <cell r="AU17">
            <v>1.0304038464982017</v>
          </cell>
          <cell r="AV17">
            <v>47.109322608386485</v>
          </cell>
          <cell r="AW17">
            <v>0.34952268187545688</v>
          </cell>
          <cell r="BB17">
            <v>0.91313786100857308</v>
          </cell>
          <cell r="BC17">
            <v>53.079641350890967</v>
          </cell>
          <cell r="BD17">
            <v>0.38755664746442525</v>
          </cell>
          <cell r="BI17">
            <v>0.78612885062909577</v>
          </cell>
          <cell r="BJ17">
            <v>57.466077247422696</v>
          </cell>
          <cell r="BK17">
            <v>0.37500929616653045</v>
          </cell>
          <cell r="BP17">
            <v>1.4427501329975798</v>
          </cell>
          <cell r="BQ17">
            <v>29.183264587800949</v>
          </cell>
          <cell r="BR17">
            <v>0.3258138890260629</v>
          </cell>
          <cell r="BW17">
            <v>1.3743658406772499</v>
          </cell>
          <cell r="BX17">
            <v>52.866388152042028</v>
          </cell>
          <cell r="BY17">
            <v>0.40480971280535238</v>
          </cell>
        </row>
      </sheetData>
      <sheetData sheetId="54" refreshError="1"/>
      <sheetData sheetId="55" refreshError="1">
        <row r="8">
          <cell r="C8">
            <v>0.26390532804543826</v>
          </cell>
          <cell r="E8">
            <v>0.42100275768127526</v>
          </cell>
          <cell r="G8">
            <v>0.23710829053802898</v>
          </cell>
          <cell r="I8">
            <v>7.7983623735257593E-2</v>
          </cell>
          <cell r="L8">
            <v>0.25093810467817362</v>
          </cell>
          <cell r="N8">
            <v>0.4404534578974777</v>
          </cell>
          <cell r="P8">
            <v>0.24173198882869287</v>
          </cell>
          <cell r="R8">
            <v>6.6876448595655835E-2</v>
          </cell>
          <cell r="U8">
            <v>0.25220322977323278</v>
          </cell>
          <cell r="W8">
            <v>0.43899964199864028</v>
          </cell>
          <cell r="Y8">
            <v>0.22946674910275874</v>
          </cell>
          <cell r="AA8">
            <v>7.9330379125368236E-2</v>
          </cell>
          <cell r="AD8">
            <v>0.26047179567760714</v>
          </cell>
          <cell r="AF8">
            <v>0.43020016955044521</v>
          </cell>
          <cell r="AH8">
            <v>0.22784376039200294</v>
          </cell>
          <cell r="AJ8">
            <v>8.1484274379944696E-2</v>
          </cell>
          <cell r="AM8">
            <v>0.25761646633799451</v>
          </cell>
          <cell r="AO8">
            <v>0.43186177527326886</v>
          </cell>
          <cell r="AQ8">
            <v>0.23363119285178671</v>
          </cell>
          <cell r="AS8">
            <v>7.6890565536949923E-2</v>
          </cell>
          <cell r="AV8">
            <v>0.26416543600323655</v>
          </cell>
          <cell r="AX8">
            <v>0.41367737945674449</v>
          </cell>
          <cell r="AZ8">
            <v>0.24835602049577177</v>
          </cell>
          <cell r="BB8">
            <v>7.3801164044247261E-2</v>
          </cell>
          <cell r="BE8">
            <v>0.26696008615343814</v>
          </cell>
          <cell r="BG8">
            <v>0.42141467139556688</v>
          </cell>
          <cell r="BI8">
            <v>0.23159862211354601</v>
          </cell>
          <cell r="BK8">
            <v>8.0026620337448923E-2</v>
          </cell>
          <cell r="BN8">
            <v>0.26397949315966501</v>
          </cell>
          <cell r="BP8">
            <v>0.42892529211073627</v>
          </cell>
          <cell r="BR8">
            <v>0.22239604529714346</v>
          </cell>
          <cell r="BT8">
            <v>8.4699169432455229E-2</v>
          </cell>
          <cell r="BW8">
            <v>0.25570475423534955</v>
          </cell>
          <cell r="BY8">
            <v>0.42863361718095672</v>
          </cell>
          <cell r="CA8">
            <v>0.22940207768586107</v>
          </cell>
          <cell r="CC8">
            <v>8.6259550897832729E-2</v>
          </cell>
          <cell r="CF8">
            <v>0.25676758851790638</v>
          </cell>
          <cell r="CH8">
            <v>0.41723048649327327</v>
          </cell>
          <cell r="CJ8">
            <v>0.25485354384307074</v>
          </cell>
          <cell r="CL8">
            <v>7.1148381145749715E-2</v>
          </cell>
          <cell r="CO8">
            <v>0.26791642033892321</v>
          </cell>
          <cell r="CQ8">
            <v>0.42445204851766727</v>
          </cell>
          <cell r="CS8">
            <v>0.22405596357918073</v>
          </cell>
          <cell r="CU8">
            <v>8.3575567564228875E-2</v>
          </cell>
        </row>
        <row r="9">
          <cell r="C9">
            <v>0.26667494542840359</v>
          </cell>
          <cell r="E9">
            <v>0.42103870962091017</v>
          </cell>
          <cell r="G9">
            <v>0.23368355865084584</v>
          </cell>
          <cell r="I9">
            <v>7.8602786299840396E-2</v>
          </cell>
          <cell r="L9">
            <v>0.25386550616817644</v>
          </cell>
          <cell r="N9">
            <v>0.44089206196901742</v>
          </cell>
          <cell r="P9">
            <v>0.23814669483660988</v>
          </cell>
          <cell r="R9">
            <v>6.7095737026196214E-2</v>
          </cell>
          <cell r="U9">
            <v>0.25458554212074569</v>
          </cell>
          <cell r="W9">
            <v>0.4390031641472677</v>
          </cell>
          <cell r="Y9">
            <v>0.22721653285585927</v>
          </cell>
          <cell r="AA9">
            <v>7.9194760876127271E-2</v>
          </cell>
          <cell r="AD9">
            <v>0.26274677185322948</v>
          </cell>
          <cell r="AF9">
            <v>0.43017490820952248</v>
          </cell>
          <cell r="AH9">
            <v>0.22566832835871534</v>
          </cell>
          <cell r="AJ9">
            <v>8.1409991578532764E-2</v>
          </cell>
          <cell r="AM9">
            <v>0.26039529652829524</v>
          </cell>
          <cell r="AO9">
            <v>0.43185431218327236</v>
          </cell>
          <cell r="AQ9">
            <v>0.23078517558505734</v>
          </cell>
          <cell r="AS9">
            <v>7.6965215703375139E-2</v>
          </cell>
          <cell r="AV9">
            <v>0.26766264788034422</v>
          </cell>
          <cell r="AX9">
            <v>0.41371429880409571</v>
          </cell>
          <cell r="AZ9">
            <v>0.24387418215256246</v>
          </cell>
          <cell r="BB9">
            <v>7.4748871162997624E-2</v>
          </cell>
          <cell r="BE9">
            <v>0.26925158364456697</v>
          </cell>
          <cell r="BG9">
            <v>0.42125700936329663</v>
          </cell>
          <cell r="BI9">
            <v>0.22877394838879606</v>
          </cell>
          <cell r="BK9">
            <v>8.0717458603340272E-2</v>
          </cell>
          <cell r="BN9">
            <v>0.26603622779678116</v>
          </cell>
          <cell r="BP9">
            <v>0.4295180191089546</v>
          </cell>
          <cell r="BR9">
            <v>0.21932412572504434</v>
          </cell>
          <cell r="BT9">
            <v>8.5121627369219938E-2</v>
          </cell>
          <cell r="BW9">
            <v>0.25692668233285287</v>
          </cell>
          <cell r="BY9">
            <v>0.4274969245225243</v>
          </cell>
          <cell r="CA9">
            <v>0.22878678261266283</v>
          </cell>
          <cell r="CC9">
            <v>8.6789610531959951E-2</v>
          </cell>
          <cell r="CF9">
            <v>0.26065019141103968</v>
          </cell>
          <cell r="CH9">
            <v>0.41886412276989116</v>
          </cell>
          <cell r="CJ9">
            <v>0.24870870011924076</v>
          </cell>
          <cell r="CL9">
            <v>7.1776985699828336E-2</v>
          </cell>
          <cell r="CO9">
            <v>0.27045112947234629</v>
          </cell>
          <cell r="CQ9">
            <v>0.4240683686970359</v>
          </cell>
          <cell r="CS9">
            <v>0.22182145988586344</v>
          </cell>
          <cell r="CU9">
            <v>8.3659041944754486E-2</v>
          </cell>
        </row>
        <row r="10">
          <cell r="C10">
            <v>0.26862492168999313</v>
          </cell>
          <cell r="E10">
            <v>0.41962961243458696</v>
          </cell>
          <cell r="G10">
            <v>0.2329014860350492</v>
          </cell>
          <cell r="I10">
            <v>7.8843979840370712E-2</v>
          </cell>
          <cell r="L10">
            <v>0.25638645790235842</v>
          </cell>
          <cell r="N10">
            <v>0.44117810915482769</v>
          </cell>
          <cell r="P10">
            <v>0.23533117186103247</v>
          </cell>
          <cell r="R10">
            <v>6.710426108178158E-2</v>
          </cell>
          <cell r="U10">
            <v>0.2574337316936457</v>
          </cell>
          <cell r="W10">
            <v>0.43927610204736595</v>
          </cell>
          <cell r="Y10">
            <v>0.22450636910502136</v>
          </cell>
          <cell r="AA10">
            <v>7.8783797153967036E-2</v>
          </cell>
          <cell r="AD10">
            <v>0.26568950098503696</v>
          </cell>
          <cell r="AF10">
            <v>0.43076970582070501</v>
          </cell>
          <cell r="AH10">
            <v>0.22234886107156662</v>
          </cell>
          <cell r="AJ10">
            <v>8.1191932122691407E-2</v>
          </cell>
          <cell r="AM10">
            <v>0.26340891362191188</v>
          </cell>
          <cell r="AO10">
            <v>0.432155104962123</v>
          </cell>
          <cell r="AQ10">
            <v>0.22752025750909949</v>
          </cell>
          <cell r="AS10">
            <v>7.6915723906865477E-2</v>
          </cell>
          <cell r="AV10">
            <v>0.27122393961527091</v>
          </cell>
          <cell r="AX10">
            <v>0.41372019350916206</v>
          </cell>
          <cell r="AZ10">
            <v>0.23935208096591648</v>
          </cell>
          <cell r="BB10">
            <v>7.5703785909650614E-2</v>
          </cell>
          <cell r="BE10">
            <v>0.27162234704042798</v>
          </cell>
          <cell r="BG10">
            <v>0.42104318875260927</v>
          </cell>
          <cell r="BI10">
            <v>0.22604647936322342</v>
          </cell>
          <cell r="BK10">
            <v>8.1287984843739322E-2</v>
          </cell>
          <cell r="BN10">
            <v>0.26854218762352539</v>
          </cell>
          <cell r="BP10">
            <v>0.43048012354324022</v>
          </cell>
          <cell r="BR10">
            <v>0.21569454387216705</v>
          </cell>
          <cell r="BT10">
            <v>8.52831449610673E-2</v>
          </cell>
          <cell r="BW10">
            <v>0.258181458088872</v>
          </cell>
          <cell r="BY10">
            <v>0.42692595167579694</v>
          </cell>
          <cell r="CA10">
            <v>0.22774302331379304</v>
          </cell>
          <cell r="CC10">
            <v>8.7149566921537969E-2</v>
          </cell>
          <cell r="CF10">
            <v>0.26487853199954758</v>
          </cell>
          <cell r="CH10">
            <v>0.42056941616505339</v>
          </cell>
          <cell r="CJ10">
            <v>0.24225366120101041</v>
          </cell>
          <cell r="CL10">
            <v>7.2298390634388629E-2</v>
          </cell>
          <cell r="CO10">
            <v>0.27318917092252309</v>
          </cell>
          <cell r="CQ10">
            <v>0.42377986370651666</v>
          </cell>
          <cell r="CS10">
            <v>0.21941593401000836</v>
          </cell>
          <cell r="CU10">
            <v>8.3615031360951983E-2</v>
          </cell>
        </row>
        <row r="11">
          <cell r="C11">
            <v>0.27070403249415242</v>
          </cell>
          <cell r="E11">
            <v>0.41828296518930619</v>
          </cell>
          <cell r="G11">
            <v>0.23215407418589193</v>
          </cell>
          <cell r="I11">
            <v>7.8858928130649528E-2</v>
          </cell>
          <cell r="L11">
            <v>0.25852605673429507</v>
          </cell>
          <cell r="N11">
            <v>0.44089560256158528</v>
          </cell>
          <cell r="P11">
            <v>0.23352454359802488</v>
          </cell>
          <cell r="R11">
            <v>6.7053797106094937E-2</v>
          </cell>
          <cell r="U11">
            <v>0.26047965051054539</v>
          </cell>
          <cell r="W11">
            <v>0.43960182143839199</v>
          </cell>
          <cell r="Y11">
            <v>0.2214611217119575</v>
          </cell>
          <cell r="AA11">
            <v>7.8457406339105043E-2</v>
          </cell>
          <cell r="AD11">
            <v>0.26832957618358733</v>
          </cell>
          <cell r="AF11">
            <v>0.4308636529227447</v>
          </cell>
          <cell r="AH11">
            <v>0.21978233326546459</v>
          </cell>
          <cell r="AJ11">
            <v>8.10244376282033E-2</v>
          </cell>
          <cell r="AM11">
            <v>0.2662861836062127</v>
          </cell>
          <cell r="AO11">
            <v>0.43261181559838957</v>
          </cell>
          <cell r="AQ11">
            <v>0.22432155639301787</v>
          </cell>
          <cell r="AS11">
            <v>7.6780444402379869E-2</v>
          </cell>
          <cell r="AV11">
            <v>0.274923635286769</v>
          </cell>
          <cell r="AX11">
            <v>0.41410726320979935</v>
          </cell>
          <cell r="AZ11">
            <v>0.23455908002301967</v>
          </cell>
          <cell r="BB11">
            <v>7.641002148041208E-2</v>
          </cell>
          <cell r="BE11">
            <v>0.27431970184120108</v>
          </cell>
          <cell r="BG11">
            <v>0.42104409218763056</v>
          </cell>
          <cell r="BI11">
            <v>0.22306366023794966</v>
          </cell>
          <cell r="BK11">
            <v>8.1572545733218774E-2</v>
          </cell>
          <cell r="BN11">
            <v>0.27169740800375908</v>
          </cell>
          <cell r="BP11">
            <v>0.43201750949751544</v>
          </cell>
          <cell r="BR11">
            <v>0.21117415136703976</v>
          </cell>
          <cell r="BT11">
            <v>8.5110931131685663E-2</v>
          </cell>
          <cell r="BW11">
            <v>0.26039506549511388</v>
          </cell>
          <cell r="BY11">
            <v>0.4269053135043856</v>
          </cell>
          <cell r="CA11">
            <v>0.2255079389811846</v>
          </cell>
          <cell r="CC11">
            <v>8.7191682019316E-2</v>
          </cell>
          <cell r="CF11">
            <v>0.26921744526025559</v>
          </cell>
          <cell r="CH11">
            <v>0.4220138316388215</v>
          </cell>
          <cell r="CJ11">
            <v>0.2359834338715599</v>
          </cell>
          <cell r="CL11">
            <v>7.2785289229363045E-2</v>
          </cell>
          <cell r="CO11">
            <v>0.27626895415341551</v>
          </cell>
          <cell r="CQ11">
            <v>0.42377270465685357</v>
          </cell>
          <cell r="CS11">
            <v>0.21638220497229613</v>
          </cell>
          <cell r="CU11">
            <v>8.3576136217434815E-2</v>
          </cell>
        </row>
        <row r="12">
          <cell r="C12">
            <v>0.27575917827933472</v>
          </cell>
          <cell r="E12">
            <v>0.42189930609362408</v>
          </cell>
          <cell r="G12">
            <v>0.22260165875786797</v>
          </cell>
          <cell r="I12">
            <v>7.9739856869173203E-2</v>
          </cell>
          <cell r="L12">
            <v>0.26148144169005555</v>
          </cell>
          <cell r="N12">
            <v>0.44100475982475018</v>
          </cell>
          <cell r="P12">
            <v>0.23068329647835681</v>
          </cell>
          <cell r="R12">
            <v>6.6830502006837531E-2</v>
          </cell>
          <cell r="U12">
            <v>0.26411240944833325</v>
          </cell>
          <cell r="W12">
            <v>0.4399867712547213</v>
          </cell>
          <cell r="Y12">
            <v>0.21766425479659235</v>
          </cell>
          <cell r="AA12">
            <v>7.8236564500353198E-2</v>
          </cell>
          <cell r="AD12">
            <v>0.27100091530098513</v>
          </cell>
          <cell r="AF12">
            <v>0.43134905982817956</v>
          </cell>
          <cell r="AH12">
            <v>0.21699713396277759</v>
          </cell>
          <cell r="AJ12">
            <v>8.0652890908057703E-2</v>
          </cell>
          <cell r="AM12">
            <v>0.26961697353707187</v>
          </cell>
          <cell r="AO12">
            <v>0.43384887060823019</v>
          </cell>
          <cell r="AQ12">
            <v>0.22014376944284531</v>
          </cell>
          <cell r="AS12">
            <v>7.6390386411852626E-2</v>
          </cell>
          <cell r="AV12">
            <v>0.2784058223588754</v>
          </cell>
          <cell r="AX12">
            <v>0.41474532648529067</v>
          </cell>
          <cell r="AZ12">
            <v>0.22975369069921764</v>
          </cell>
          <cell r="BB12">
            <v>7.7095160456616199E-2</v>
          </cell>
          <cell r="BE12">
            <v>0.27663047688550685</v>
          </cell>
          <cell r="BG12">
            <v>0.42096037610585391</v>
          </cell>
          <cell r="BI12">
            <v>0.2204771031412647</v>
          </cell>
          <cell r="BK12">
            <v>8.1932043867374571E-2</v>
          </cell>
          <cell r="BN12">
            <v>0.27447490419163117</v>
          </cell>
          <cell r="BP12">
            <v>0.43320593781184769</v>
          </cell>
          <cell r="BR12">
            <v>0.20724888607126751</v>
          </cell>
          <cell r="BT12">
            <v>8.5070271925253613E-2</v>
          </cell>
          <cell r="BW12">
            <v>0.26397034569778804</v>
          </cell>
          <cell r="BY12">
            <v>0.42826500411510765</v>
          </cell>
          <cell r="CA12">
            <v>0.22080791690012427</v>
          </cell>
          <cell r="CC12">
            <v>8.6956733286980073E-2</v>
          </cell>
          <cell r="CF12">
            <v>0.2745970411779361</v>
          </cell>
          <cell r="CH12">
            <v>0.42485128385679433</v>
          </cell>
          <cell r="CJ12">
            <v>0.22736677857349305</v>
          </cell>
          <cell r="CL12">
            <v>7.318489639177643E-2</v>
          </cell>
          <cell r="CO12">
            <v>0.27863028718706012</v>
          </cell>
          <cell r="CQ12">
            <v>0.42317791211670658</v>
          </cell>
          <cell r="CS12">
            <v>0.21478970677915035</v>
          </cell>
          <cell r="CU12">
            <v>8.3402093917082878E-2</v>
          </cell>
        </row>
        <row r="13">
          <cell r="C13">
            <v>0.27985705969633135</v>
          </cell>
          <cell r="E13">
            <v>0.42429160656646997</v>
          </cell>
          <cell r="G13">
            <v>0.21552251858331364</v>
          </cell>
          <cell r="I13">
            <v>8.0328815153885083E-2</v>
          </cell>
          <cell r="L13">
            <v>0.26456429954578903</v>
          </cell>
          <cell r="N13">
            <v>0.44106461987336693</v>
          </cell>
          <cell r="P13">
            <v>0.2278743020983717</v>
          </cell>
          <cell r="R13">
            <v>6.6496778482472318E-2</v>
          </cell>
          <cell r="U13">
            <v>0.26734233054633838</v>
          </cell>
          <cell r="W13">
            <v>0.43983811487508201</v>
          </cell>
          <cell r="Y13">
            <v>0.21514807377533365</v>
          </cell>
          <cell r="AA13">
            <v>7.7671480803245915E-2</v>
          </cell>
          <cell r="AD13">
            <v>0.27397956035911181</v>
          </cell>
          <cell r="AF13">
            <v>0.43191524290127997</v>
          </cell>
          <cell r="AH13">
            <v>0.21400322965051</v>
          </cell>
          <cell r="AJ13">
            <v>8.0101967089098239E-2</v>
          </cell>
          <cell r="AM13">
            <v>0.27308920459107527</v>
          </cell>
          <cell r="AO13">
            <v>0.43506967143416042</v>
          </cell>
          <cell r="AQ13">
            <v>0.21596040080920387</v>
          </cell>
          <cell r="AS13">
            <v>7.5880723165560479E-2</v>
          </cell>
          <cell r="AV13">
            <v>0.28210677053737526</v>
          </cell>
          <cell r="AX13">
            <v>0.41652856720295534</v>
          </cell>
          <cell r="AZ13">
            <v>0.22353694502943117</v>
          </cell>
          <cell r="BB13">
            <v>7.7827717230238264E-2</v>
          </cell>
          <cell r="BE13">
            <v>0.28065395961472123</v>
          </cell>
          <cell r="BG13">
            <v>0.42338248526238165</v>
          </cell>
          <cell r="BI13">
            <v>0.21314140943541571</v>
          </cell>
          <cell r="BK13">
            <v>8.2822145687481571E-2</v>
          </cell>
          <cell r="BN13">
            <v>0.27731564081467669</v>
          </cell>
          <cell r="BP13">
            <v>0.43451535712595984</v>
          </cell>
          <cell r="BR13">
            <v>0.20326532885788276</v>
          </cell>
          <cell r="BT13">
            <v>8.4903673201480512E-2</v>
          </cell>
          <cell r="BW13">
            <v>0.26782690043170559</v>
          </cell>
          <cell r="BY13">
            <v>0.43057205228948364</v>
          </cell>
          <cell r="CA13">
            <v>0.21528919518357295</v>
          </cell>
          <cell r="CC13">
            <v>8.6311852095237826E-2</v>
          </cell>
          <cell r="CF13">
            <v>0.27996877689142446</v>
          </cell>
          <cell r="CH13">
            <v>0.4280720572009804</v>
          </cell>
          <cell r="CJ13">
            <v>0.21848621162980914</v>
          </cell>
          <cell r="CL13">
            <v>7.3472954277786051E-2</v>
          </cell>
          <cell r="CO13">
            <v>0.28459807825062006</v>
          </cell>
          <cell r="CQ13">
            <v>0.4284784244953635</v>
          </cell>
          <cell r="CS13">
            <v>0.20224045092756601</v>
          </cell>
          <cell r="CU13">
            <v>8.4683046326450448E-2</v>
          </cell>
        </row>
        <row r="14">
          <cell r="C14">
            <v>0.28362083168909269</v>
          </cell>
          <cell r="E14">
            <v>0.4266767175303266</v>
          </cell>
          <cell r="G14">
            <v>0.20877860602655771</v>
          </cell>
          <cell r="I14">
            <v>8.0923844754022964E-2</v>
          </cell>
          <cell r="L14">
            <v>0.2665429113677889</v>
          </cell>
          <cell r="N14">
            <v>0.44066020868416439</v>
          </cell>
          <cell r="P14">
            <v>0.22624339100936533</v>
          </cell>
          <cell r="R14">
            <v>6.655348893868139E-2</v>
          </cell>
          <cell r="U14">
            <v>0.26966290994848269</v>
          </cell>
          <cell r="W14">
            <v>0.4407515011850312</v>
          </cell>
          <cell r="Y14">
            <v>0.21220594207130689</v>
          </cell>
          <cell r="AA14">
            <v>7.7379646795179266E-2</v>
          </cell>
          <cell r="AD14">
            <v>0.27635444983038054</v>
          </cell>
          <cell r="AF14">
            <v>0.43191788597309017</v>
          </cell>
          <cell r="AH14">
            <v>0.21168690110679497</v>
          </cell>
          <cell r="AJ14">
            <v>8.0040763089734346E-2</v>
          </cell>
          <cell r="AM14">
            <v>0.27541862672381218</v>
          </cell>
          <cell r="AO14">
            <v>0.43540105092438869</v>
          </cell>
          <cell r="AQ14">
            <v>0.21330481418166386</v>
          </cell>
          <cell r="AS14">
            <v>7.5875508170135275E-2</v>
          </cell>
          <cell r="AV14">
            <v>0.28514764591809577</v>
          </cell>
          <cell r="AX14">
            <v>0.41783385827040287</v>
          </cell>
          <cell r="AZ14">
            <v>0.21828829890844242</v>
          </cell>
          <cell r="BB14">
            <v>7.8730196903058949E-2</v>
          </cell>
          <cell r="BE14">
            <v>0.28435675949631267</v>
          </cell>
          <cell r="BG14">
            <v>0.4259715303573095</v>
          </cell>
          <cell r="BI14">
            <v>0.20599011350091614</v>
          </cell>
          <cell r="BK14">
            <v>8.3681596645461681E-2</v>
          </cell>
          <cell r="BN14">
            <v>0.2797542739977199</v>
          </cell>
          <cell r="BP14">
            <v>0.43612286238368086</v>
          </cell>
          <cell r="BR14">
            <v>0.19940812105717692</v>
          </cell>
          <cell r="BT14">
            <v>8.4714742561422265E-2</v>
          </cell>
          <cell r="BW14">
            <v>0.27102918417284194</v>
          </cell>
          <cell r="BY14">
            <v>0.43316007780528792</v>
          </cell>
          <cell r="CA14">
            <v>0.21009528968242672</v>
          </cell>
          <cell r="CC14">
            <v>8.5715448339443376E-2</v>
          </cell>
          <cell r="CF14">
            <v>0.28675180505528086</v>
          </cell>
          <cell r="CH14">
            <v>0.43189461845060195</v>
          </cell>
          <cell r="CJ14">
            <v>0.20823588654814704</v>
          </cell>
          <cell r="CL14">
            <v>7.3117689945970218E-2</v>
          </cell>
          <cell r="CO14">
            <v>0.29031875154351905</v>
          </cell>
          <cell r="CQ14">
            <v>0.43415262559402917</v>
          </cell>
          <cell r="CS14">
            <v>0.18976998775961623</v>
          </cell>
          <cell r="CU14">
            <v>8.5758635102835601E-2</v>
          </cell>
        </row>
        <row r="15">
          <cell r="C15">
            <v>0.28662579836149588</v>
          </cell>
          <cell r="E15">
            <v>0.42783625661915103</v>
          </cell>
          <cell r="G15">
            <v>0.20421615713817404</v>
          </cell>
          <cell r="I15">
            <v>8.1321787881178997E-2</v>
          </cell>
          <cell r="L15">
            <v>0.26692693203861978</v>
          </cell>
          <cell r="N15">
            <v>0.43742471456459264</v>
          </cell>
          <cell r="P15">
            <v>0.22926797791723927</v>
          </cell>
          <cell r="R15">
            <v>6.6380375479548448E-2</v>
          </cell>
          <cell r="U15">
            <v>0.27199326264216483</v>
          </cell>
          <cell r="W15">
            <v>0.44009661897595748</v>
          </cell>
          <cell r="Y15">
            <v>0.21129077010558625</v>
          </cell>
          <cell r="AA15">
            <v>7.6619348276291466E-2</v>
          </cell>
          <cell r="AD15">
            <v>0.2786440932358985</v>
          </cell>
          <cell r="AF15">
            <v>0.43180746313804025</v>
          </cell>
          <cell r="AH15">
            <v>0.2096735550005179</v>
          </cell>
          <cell r="AJ15">
            <v>7.9874888625543428E-2</v>
          </cell>
          <cell r="AM15">
            <v>0.27664096180777481</v>
          </cell>
          <cell r="AO15">
            <v>0.43357902224411915</v>
          </cell>
          <cell r="AQ15">
            <v>0.21429940552904297</v>
          </cell>
          <cell r="AS15">
            <v>7.5480610419063024E-2</v>
          </cell>
          <cell r="AV15">
            <v>0.29016526562507167</v>
          </cell>
          <cell r="AX15">
            <v>0.42200696271773525</v>
          </cell>
          <cell r="AZ15">
            <v>0.20764537213277279</v>
          </cell>
          <cell r="BB15">
            <v>8.0182399524420314E-2</v>
          </cell>
          <cell r="BE15">
            <v>0.28690079887864733</v>
          </cell>
          <cell r="BG15">
            <v>0.42652468969261786</v>
          </cell>
          <cell r="BI15">
            <v>0.20237379745837039</v>
          </cell>
          <cell r="BK15">
            <v>8.4200713970364341E-2</v>
          </cell>
          <cell r="BN15">
            <v>0.28116533580569514</v>
          </cell>
          <cell r="BP15">
            <v>0.43596960580405802</v>
          </cell>
          <cell r="BR15">
            <v>0.19846286878840758</v>
          </cell>
          <cell r="BT15">
            <v>8.4402189601839164E-2</v>
          </cell>
          <cell r="BW15">
            <v>0.27177471005761628</v>
          </cell>
          <cell r="BY15">
            <v>0.43172270135141272</v>
          </cell>
          <cell r="CA15">
            <v>0.21171846121998186</v>
          </cell>
          <cell r="CC15">
            <v>8.4784127370989032E-2</v>
          </cell>
          <cell r="CF15">
            <v>0.29066835731460372</v>
          </cell>
          <cell r="CH15">
            <v>0.43256802326327848</v>
          </cell>
          <cell r="CJ15">
            <v>0.20433343177212301</v>
          </cell>
          <cell r="CL15">
            <v>7.2430187649994815E-2</v>
          </cell>
          <cell r="CO15">
            <v>0.29193690381163073</v>
          </cell>
          <cell r="CQ15">
            <v>0.43348887350166154</v>
          </cell>
          <cell r="CS15">
            <v>0.18922527269913847</v>
          </cell>
          <cell r="CU15">
            <v>8.5348949987569284E-2</v>
          </cell>
        </row>
        <row r="16">
          <cell r="C16">
            <v>0.28916684375277485</v>
          </cell>
          <cell r="E16">
            <v>0.42866081094838154</v>
          </cell>
          <cell r="G16">
            <v>0.20081804649108151</v>
          </cell>
          <cell r="I16">
            <v>8.1354298807762127E-2</v>
          </cell>
          <cell r="L16">
            <v>0.26901002500495258</v>
          </cell>
          <cell r="N16">
            <v>0.43621071888577045</v>
          </cell>
          <cell r="P16">
            <v>0.22869163823232858</v>
          </cell>
          <cell r="R16">
            <v>6.6087617876948362E-2</v>
          </cell>
          <cell r="U16">
            <v>0.27700475797185459</v>
          </cell>
          <cell r="W16">
            <v>0.44353504069440586</v>
          </cell>
          <cell r="Y16">
            <v>0.20287884505780748</v>
          </cell>
          <cell r="AA16">
            <v>7.6581356275932114E-2</v>
          </cell>
          <cell r="AD16">
            <v>0.28268869677577801</v>
          </cell>
          <cell r="AF16">
            <v>0.43447305795257091</v>
          </cell>
          <cell r="AH16">
            <v>0.20290916764753741</v>
          </cell>
          <cell r="AJ16">
            <v>7.9929077624113692E-2</v>
          </cell>
          <cell r="AM16">
            <v>0.2810169612035765</v>
          </cell>
          <cell r="AO16">
            <v>0.43647374680673451</v>
          </cell>
          <cell r="AQ16">
            <v>0.20689039008594678</v>
          </cell>
          <cell r="AS16">
            <v>7.5618901903742181E-2</v>
          </cell>
          <cell r="AV16">
            <v>0.2910251853000303</v>
          </cell>
          <cell r="AX16">
            <v>0.42057615577779639</v>
          </cell>
          <cell r="AZ16">
            <v>0.20830320204927813</v>
          </cell>
          <cell r="BB16">
            <v>8.0095456872895265E-2</v>
          </cell>
          <cell r="BE16">
            <v>0.2898007522440359</v>
          </cell>
          <cell r="BG16">
            <v>0.42776256580539318</v>
          </cell>
          <cell r="BI16">
            <v>0.19777138988383489</v>
          </cell>
          <cell r="BK16">
            <v>8.466529206673605E-2</v>
          </cell>
          <cell r="BN16">
            <v>0.28285041999023458</v>
          </cell>
          <cell r="BP16">
            <v>0.43668339580387816</v>
          </cell>
          <cell r="BR16">
            <v>0.19618084894745025</v>
          </cell>
          <cell r="BT16">
            <v>8.4285335258436997E-2</v>
          </cell>
          <cell r="BW16">
            <v>0.27380332110316447</v>
          </cell>
          <cell r="BY16">
            <v>0.43305172311402784</v>
          </cell>
          <cell r="CA16">
            <v>0.20909667404961013</v>
          </cell>
          <cell r="CC16">
            <v>8.404828173319763E-2</v>
          </cell>
          <cell r="CF16">
            <v>0.29472030942100069</v>
          </cell>
          <cell r="CH16">
            <v>0.43455721188783059</v>
          </cell>
          <cell r="CJ16">
            <v>0.19906616323332155</v>
          </cell>
          <cell r="CL16">
            <v>7.165631545784712E-2</v>
          </cell>
          <cell r="CO16">
            <v>0.29561585036864302</v>
          </cell>
          <cell r="CQ16">
            <v>0.436618130888144</v>
          </cell>
          <cell r="CS16">
            <v>0.18235004221987636</v>
          </cell>
          <cell r="CU16">
            <v>8.5415976523336601E-2</v>
          </cell>
        </row>
        <row r="17">
          <cell r="C17">
            <v>0.29160962697805876</v>
          </cell>
          <cell r="E17">
            <v>0.42974200948575714</v>
          </cell>
          <cell r="G17">
            <v>0.19736523621769581</v>
          </cell>
          <cell r="I17">
            <v>8.1283127318488385E-2</v>
          </cell>
          <cell r="L17">
            <v>0.2737419044166845</v>
          </cell>
          <cell r="N17">
            <v>0.43862144650843354</v>
          </cell>
          <cell r="P17">
            <v>0.22120309903912158</v>
          </cell>
          <cell r="R17">
            <v>6.6433550035760333E-2</v>
          </cell>
          <cell r="U17">
            <v>0.27583612421928361</v>
          </cell>
          <cell r="W17">
            <v>0.43814641176443131</v>
          </cell>
          <cell r="Y17">
            <v>0.21049647103753957</v>
          </cell>
          <cell r="AA17">
            <v>7.5520992978745469E-2</v>
          </cell>
          <cell r="AD17">
            <v>0.28296978722567245</v>
          </cell>
          <cell r="AF17">
            <v>0.43170836952754282</v>
          </cell>
          <cell r="AH17">
            <v>0.20620146193288538</v>
          </cell>
          <cell r="AJ17">
            <v>7.9120381313899243E-2</v>
          </cell>
          <cell r="AM17">
            <v>0.28237860359601197</v>
          </cell>
          <cell r="AO17">
            <v>0.43517646524562265</v>
          </cell>
          <cell r="AQ17">
            <v>0.20720161752080493</v>
          </cell>
          <cell r="AS17">
            <v>7.5243313637560372E-2</v>
          </cell>
          <cell r="AV17">
            <v>0.29422188247037923</v>
          </cell>
          <cell r="AX17">
            <v>0.42293607921605414</v>
          </cell>
          <cell r="AZ17">
            <v>0.20221009052453345</v>
          </cell>
          <cell r="BB17">
            <v>8.0631947789033098E-2</v>
          </cell>
          <cell r="BE17">
            <v>0.29137419119729741</v>
          </cell>
          <cell r="BG17">
            <v>0.42739730771686135</v>
          </cell>
          <cell r="BI17">
            <v>0.19650631946229469</v>
          </cell>
          <cell r="BK17">
            <v>8.4722181623546666E-2</v>
          </cell>
          <cell r="BN17">
            <v>0.28501652985650883</v>
          </cell>
          <cell r="BP17">
            <v>0.43857233320282973</v>
          </cell>
          <cell r="BR17">
            <v>0.1922294240529531</v>
          </cell>
          <cell r="BT17">
            <v>8.4181712887708426E-2</v>
          </cell>
          <cell r="BW17">
            <v>0.2793860420905056</v>
          </cell>
          <cell r="BY17">
            <v>0.44022817903985056</v>
          </cell>
          <cell r="CA17">
            <v>0.19611834094128019</v>
          </cell>
          <cell r="CC17">
            <v>8.4267437928363595E-2</v>
          </cell>
          <cell r="CF17">
            <v>0.29771928912965745</v>
          </cell>
          <cell r="CH17">
            <v>0.43555510777830708</v>
          </cell>
          <cell r="CJ17">
            <v>0.19638445713981695</v>
          </cell>
          <cell r="CL17">
            <v>7.0341145952218506E-2</v>
          </cell>
          <cell r="CO17">
            <v>0.29785765296885125</v>
          </cell>
          <cell r="CQ17">
            <v>0.43842182477503128</v>
          </cell>
          <cell r="CS17">
            <v>0.17896722256665606</v>
          </cell>
          <cell r="CU17">
            <v>8.4753299689461367E-2</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List of Tables"/>
      <sheetName val="1"/>
      <sheetName val="2a"/>
      <sheetName val="2b"/>
      <sheetName val="2c"/>
      <sheetName val="2d"/>
      <sheetName val="2e"/>
      <sheetName val="3a"/>
      <sheetName val="3b"/>
      <sheetName val="4"/>
      <sheetName val="5"/>
      <sheetName val="6a"/>
      <sheetName val="6b"/>
      <sheetName val="6c"/>
      <sheetName val="6d"/>
      <sheetName val="6e"/>
      <sheetName val="7a"/>
      <sheetName val="7b"/>
      <sheetName val="7c"/>
      <sheetName val="7d"/>
      <sheetName val="8a"/>
      <sheetName val="8b"/>
      <sheetName val="8c"/>
      <sheetName val="8d"/>
      <sheetName val="9a"/>
      <sheetName val="9b"/>
      <sheetName val="9c"/>
      <sheetName val="9d"/>
      <sheetName val="10a"/>
      <sheetName val="10b"/>
      <sheetName val="10c"/>
      <sheetName val="10d"/>
      <sheetName val="10e"/>
      <sheetName val="10f"/>
      <sheetName val="10g"/>
      <sheetName val="11a"/>
      <sheetName val="11b"/>
      <sheetName val="11c"/>
      <sheetName val="11d"/>
      <sheetName val="11e"/>
      <sheetName val="11f"/>
      <sheetName val="11g"/>
      <sheetName val="11h"/>
      <sheetName val="11i"/>
      <sheetName val="11j"/>
      <sheetName val="12a"/>
      <sheetName val="12b"/>
      <sheetName val="12c"/>
      <sheetName val="12d"/>
      <sheetName val="12e"/>
      <sheetName val="12f"/>
      <sheetName val="12g"/>
      <sheetName val="12h"/>
      <sheetName val="12i"/>
      <sheetName val="13a"/>
      <sheetName val="13b"/>
      <sheetName val="13c"/>
      <sheetName val="13d"/>
      <sheetName val="13e"/>
      <sheetName val="13f"/>
      <sheetName val="14a"/>
      <sheetName val="14b"/>
      <sheetName val="14c"/>
      <sheetName val="14d"/>
      <sheetName val="14e"/>
      <sheetName val="14f"/>
      <sheetName val="15a"/>
      <sheetName val="15b"/>
      <sheetName val="15c"/>
      <sheetName val="15d"/>
      <sheetName val="15e"/>
      <sheetName val="15f"/>
      <sheetName val="16a"/>
      <sheetName val="16b"/>
      <sheetName val="16c"/>
      <sheetName val="16d"/>
      <sheetName val="16e"/>
      <sheetName val="16f"/>
      <sheetName val="16g"/>
      <sheetName val="16h"/>
      <sheetName val="16i"/>
      <sheetName val="16j"/>
      <sheetName val="16k"/>
      <sheetName val="16l"/>
      <sheetName val="17a"/>
      <sheetName val="17b"/>
      <sheetName val="17c"/>
      <sheetName val="18a"/>
      <sheetName val="18b"/>
      <sheetName val="19a"/>
      <sheetName val="19b"/>
      <sheetName val="19c"/>
      <sheetName val="19d"/>
      <sheetName val="19e"/>
      <sheetName val="19f"/>
      <sheetName val="19g"/>
      <sheetName val="19H"/>
      <sheetName val="19I"/>
      <sheetName val="20a"/>
      <sheetName val="20b"/>
      <sheetName val="21"/>
      <sheetName val="22a"/>
      <sheetName val="22b"/>
      <sheetName val="22c"/>
      <sheetName val="22d"/>
      <sheetName val="23"/>
      <sheetName val="24a"/>
      <sheetName val="24b"/>
      <sheetName val="24c"/>
      <sheetName val="24d"/>
      <sheetName val="24e"/>
      <sheetName val="24f"/>
      <sheetName val="25a"/>
      <sheetName val="25b"/>
      <sheetName val="26a"/>
      <sheetName val="26b"/>
      <sheetName val="26c"/>
      <sheetName val="26d"/>
      <sheetName val="26e"/>
      <sheetName val="27"/>
      <sheetName val="28a"/>
      <sheetName val="28b"/>
      <sheetName val="28c"/>
      <sheetName val="29a"/>
      <sheetName val="29b"/>
      <sheetName val="30"/>
      <sheetName val="31"/>
      <sheetName val="32"/>
      <sheetName val="33"/>
      <sheetName val="Sheet1"/>
      <sheetName val="34a"/>
      <sheetName val="34b"/>
      <sheetName val="35a"/>
      <sheetName val="35b"/>
      <sheetName val="35c"/>
      <sheetName val="35d"/>
      <sheetName val="36"/>
      <sheetName val="36a"/>
      <sheetName val="36b"/>
      <sheetName val="37"/>
      <sheetName val="37a"/>
      <sheetName val="37b"/>
      <sheetName val="37c"/>
      <sheetName val="37d"/>
      <sheetName val="37e"/>
      <sheetName val="37f"/>
      <sheetName val="37g"/>
      <sheetName val="37h"/>
      <sheetName val="37i"/>
      <sheetName val="37j"/>
      <sheetName val="38"/>
      <sheetName val="39"/>
      <sheetName val="40"/>
      <sheetName val="41"/>
      <sheetName val="42"/>
      <sheetName val="43"/>
      <sheetName val="44a"/>
      <sheetName val="44b"/>
      <sheetName val="44c"/>
      <sheetName val="45a"/>
      <sheetName val="45b"/>
      <sheetName val="45c"/>
      <sheetName val="46"/>
      <sheetName val="47"/>
      <sheetName val="47a"/>
      <sheetName val="47b"/>
      <sheetName val="47c"/>
      <sheetName val="47d"/>
      <sheetName val="48"/>
      <sheetName val="49"/>
      <sheetName val="50"/>
      <sheetName val="51a-j"/>
      <sheetName val="52"/>
      <sheetName val="53"/>
      <sheetName val="54"/>
      <sheetName val="55"/>
      <sheetName val="56"/>
      <sheetName val="57"/>
      <sheetName val="58"/>
      <sheetName val="58a"/>
      <sheetName val="58b"/>
      <sheetName val="58c"/>
      <sheetName val="58d"/>
      <sheetName val="58e"/>
      <sheetName val="58f"/>
      <sheetName val="58g"/>
      <sheetName val="58h"/>
      <sheetName val="58i"/>
      <sheetName val="58j"/>
      <sheetName val="59a"/>
      <sheetName val="59b"/>
      <sheetName val="60"/>
      <sheetName val="61"/>
      <sheetName val="62"/>
      <sheetName val="63"/>
      <sheetName val="64"/>
      <sheetName val="65"/>
      <sheetName val="66"/>
      <sheetName val="67"/>
      <sheetName val="68A"/>
      <sheetName val="68B"/>
      <sheetName val="68C"/>
      <sheetName val="69"/>
      <sheetName val="DataC1-C4"/>
      <sheetName val="70"/>
      <sheetName val="71a"/>
      <sheetName val="71b"/>
      <sheetName val="71c"/>
      <sheetName val="DataC9-C13"/>
      <sheetName val="DataC14-C21"/>
      <sheetName val="DataC21.1-C24"/>
      <sheetName val="DataC25-C29"/>
      <sheetName val="DataC30-C34"/>
      <sheetName val="DataC35-C39"/>
      <sheetName val="DataC39-C42"/>
      <sheetName val="Data 43-"/>
      <sheetName val="72a"/>
      <sheetName val="72b"/>
      <sheetName val="73a"/>
      <sheetName val="73b"/>
      <sheetName val="DataC5-C8"/>
      <sheetName val="C1"/>
      <sheetName val="C1.1"/>
      <sheetName val="C1.2"/>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21.1"/>
      <sheetName val="C21.2"/>
      <sheetName val="C22"/>
      <sheetName val="C23"/>
      <sheetName val="C24"/>
      <sheetName val="C25"/>
      <sheetName val="C26"/>
      <sheetName val="C27"/>
      <sheetName val="C28"/>
      <sheetName val="C29"/>
      <sheetName val="C30"/>
      <sheetName val="C31"/>
      <sheetName val="C31.1"/>
      <sheetName val="C31.2"/>
      <sheetName val="C32"/>
      <sheetName val="C33"/>
      <sheetName val="C34"/>
      <sheetName val="C35"/>
      <sheetName val="C35b"/>
      <sheetName val="C36"/>
      <sheetName val="C37"/>
      <sheetName val="C37.1"/>
      <sheetName val="C37.2"/>
      <sheetName val="C37.3"/>
      <sheetName val="C38"/>
      <sheetName val="C39"/>
      <sheetName val="C40"/>
      <sheetName val="C41"/>
      <sheetName val="C42"/>
      <sheetName val="C43"/>
      <sheetName val="C44"/>
      <sheetName val="C45"/>
      <sheetName val="C46"/>
      <sheetName val="C47"/>
      <sheetName val="C48"/>
      <sheetName val="C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
          <cell r="B5">
            <v>49.5</v>
          </cell>
        </row>
        <row r="6">
          <cell r="B6">
            <v>54.9</v>
          </cell>
        </row>
        <row r="7">
          <cell r="B7">
            <v>58.1</v>
          </cell>
        </row>
        <row r="8">
          <cell r="B8">
            <v>60.6</v>
          </cell>
        </row>
        <row r="9">
          <cell r="B9">
            <v>63</v>
          </cell>
        </row>
        <row r="10">
          <cell r="B10">
            <v>65.599999999999994</v>
          </cell>
        </row>
        <row r="11">
          <cell r="B11">
            <v>68.5</v>
          </cell>
        </row>
        <row r="12">
          <cell r="B12">
            <v>71.2</v>
          </cell>
        </row>
        <row r="13">
          <cell r="B13">
            <v>74.8</v>
          </cell>
        </row>
        <row r="14">
          <cell r="B14">
            <v>78.400000000000006</v>
          </cell>
        </row>
        <row r="15">
          <cell r="B15">
            <v>82.8</v>
          </cell>
        </row>
        <row r="16">
          <cell r="B16">
            <v>84</v>
          </cell>
        </row>
        <row r="17">
          <cell r="B17">
            <v>85.6</v>
          </cell>
        </row>
        <row r="18">
          <cell r="B18">
            <v>85.7</v>
          </cell>
        </row>
        <row r="19">
          <cell r="B19">
            <v>87.6</v>
          </cell>
        </row>
        <row r="20">
          <cell r="B20">
            <v>88.9</v>
          </cell>
        </row>
        <row r="21">
          <cell r="B21">
            <v>90.4</v>
          </cell>
        </row>
        <row r="22">
          <cell r="B22">
            <v>91.3</v>
          </cell>
        </row>
        <row r="23">
          <cell r="B23">
            <v>92.9</v>
          </cell>
        </row>
        <row r="24">
          <cell r="B24">
            <v>95.4</v>
          </cell>
        </row>
        <row r="25">
          <cell r="B25">
            <v>97.8</v>
          </cell>
        </row>
        <row r="26">
          <cell r="B26">
            <v>100</v>
          </cell>
        </row>
        <row r="27">
          <cell r="B27">
            <v>102.8</v>
          </cell>
        </row>
        <row r="28">
          <cell r="B28">
            <v>104.7</v>
          </cell>
        </row>
        <row r="29">
          <cell r="B29">
            <v>107</v>
          </cell>
        </row>
        <row r="30">
          <cell r="B30">
            <v>109.1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4">
          <cell r="C4">
            <v>4757</v>
          </cell>
          <cell r="D4">
            <v>8213</v>
          </cell>
          <cell r="E4">
            <v>2321</v>
          </cell>
          <cell r="F4">
            <v>818</v>
          </cell>
        </row>
        <row r="5">
          <cell r="C5">
            <v>8454</v>
          </cell>
          <cell r="D5">
            <v>9304</v>
          </cell>
          <cell r="E5">
            <v>2873</v>
          </cell>
          <cell r="F5">
            <v>995</v>
          </cell>
        </row>
        <row r="6">
          <cell r="C6">
            <v>10062</v>
          </cell>
          <cell r="D6">
            <v>10137</v>
          </cell>
          <cell r="E6">
            <v>3485</v>
          </cell>
          <cell r="F6">
            <v>1211</v>
          </cell>
        </row>
        <row r="7">
          <cell r="C7">
            <v>9859</v>
          </cell>
          <cell r="D7">
            <v>10999</v>
          </cell>
          <cell r="E7">
            <v>4045</v>
          </cell>
          <cell r="F7">
            <v>1544</v>
          </cell>
        </row>
        <row r="8">
          <cell r="C8">
            <v>10118</v>
          </cell>
          <cell r="D8">
            <v>12150</v>
          </cell>
          <cell r="E8">
            <v>4676</v>
          </cell>
          <cell r="F8">
            <v>1841</v>
          </cell>
        </row>
        <row r="9">
          <cell r="B9">
            <v>395</v>
          </cell>
          <cell r="C9">
            <v>10394</v>
          </cell>
          <cell r="D9">
            <v>13148</v>
          </cell>
          <cell r="E9">
            <v>5349</v>
          </cell>
          <cell r="F9">
            <v>2066</v>
          </cell>
        </row>
        <row r="10">
          <cell r="B10">
            <v>402</v>
          </cell>
          <cell r="C10">
            <v>10369</v>
          </cell>
          <cell r="D10">
            <v>14006</v>
          </cell>
          <cell r="E10">
            <v>6948</v>
          </cell>
          <cell r="F10">
            <v>2329</v>
          </cell>
        </row>
        <row r="11">
          <cell r="B11">
            <v>351</v>
          </cell>
          <cell r="C11">
            <v>10781</v>
          </cell>
          <cell r="D11">
            <v>14801</v>
          </cell>
          <cell r="E11">
            <v>8095</v>
          </cell>
          <cell r="F11">
            <v>2606</v>
          </cell>
        </row>
        <row r="12">
          <cell r="B12">
            <v>488</v>
          </cell>
          <cell r="C12">
            <v>11445</v>
          </cell>
          <cell r="D12">
            <v>15718</v>
          </cell>
          <cell r="E12">
            <v>9137</v>
          </cell>
          <cell r="F12">
            <v>2884</v>
          </cell>
        </row>
        <row r="13">
          <cell r="B13">
            <v>579</v>
          </cell>
          <cell r="C13">
            <v>13119</v>
          </cell>
          <cell r="D13">
            <v>16705</v>
          </cell>
          <cell r="E13">
            <v>10199</v>
          </cell>
          <cell r="F13">
            <v>3170</v>
          </cell>
        </row>
        <row r="14">
          <cell r="B14">
            <v>598</v>
          </cell>
          <cell r="C14">
            <v>17323</v>
          </cell>
          <cell r="D14">
            <v>17955</v>
          </cell>
          <cell r="E14">
            <v>11298</v>
          </cell>
          <cell r="F14">
            <v>3510</v>
          </cell>
        </row>
        <row r="15">
          <cell r="B15">
            <v>658</v>
          </cell>
          <cell r="C15">
            <v>18648</v>
          </cell>
          <cell r="D15">
            <v>18776</v>
          </cell>
          <cell r="E15">
            <v>12808</v>
          </cell>
          <cell r="F15">
            <v>3891</v>
          </cell>
        </row>
        <row r="16">
          <cell r="B16">
            <v>5252</v>
          </cell>
          <cell r="C16">
            <v>17591</v>
          </cell>
          <cell r="D16">
            <v>19479</v>
          </cell>
          <cell r="E16">
            <v>14058</v>
          </cell>
          <cell r="F16">
            <v>4163</v>
          </cell>
        </row>
        <row r="17">
          <cell r="B17">
            <v>5259</v>
          </cell>
          <cell r="C17">
            <v>15012</v>
          </cell>
          <cell r="D17">
            <v>20170</v>
          </cell>
          <cell r="E17">
            <v>15132</v>
          </cell>
          <cell r="F17">
            <v>4433</v>
          </cell>
        </row>
        <row r="18">
          <cell r="B18">
            <v>5214</v>
          </cell>
          <cell r="C18">
            <v>12889</v>
          </cell>
          <cell r="D18">
            <v>20622</v>
          </cell>
          <cell r="E18">
            <v>15777</v>
          </cell>
          <cell r="F18">
            <v>4712</v>
          </cell>
        </row>
        <row r="19">
          <cell r="B19">
            <v>5228</v>
          </cell>
          <cell r="C19">
            <v>11859</v>
          </cell>
          <cell r="D19">
            <v>21221</v>
          </cell>
          <cell r="E19">
            <v>16559</v>
          </cell>
          <cell r="F19">
            <v>5028</v>
          </cell>
        </row>
        <row r="20">
          <cell r="B20">
            <v>5310</v>
          </cell>
          <cell r="C20">
            <v>10874</v>
          </cell>
          <cell r="D20">
            <v>21798</v>
          </cell>
          <cell r="E20">
            <v>17327</v>
          </cell>
          <cell r="F20">
            <v>5285</v>
          </cell>
        </row>
        <row r="21">
          <cell r="B21">
            <v>5600</v>
          </cell>
          <cell r="C21">
            <v>10713</v>
          </cell>
          <cell r="D21">
            <v>22398</v>
          </cell>
          <cell r="E21">
            <v>18054</v>
          </cell>
          <cell r="F21">
            <v>5525</v>
          </cell>
        </row>
        <row r="22">
          <cell r="B22">
            <v>5939</v>
          </cell>
          <cell r="C22">
            <v>10150</v>
          </cell>
          <cell r="D22">
            <v>22907</v>
          </cell>
          <cell r="E22">
            <v>18540</v>
          </cell>
          <cell r="F22">
            <v>5731</v>
          </cell>
        </row>
        <row r="23">
          <cell r="B23">
            <v>6577</v>
          </cell>
          <cell r="C23">
            <v>9615</v>
          </cell>
          <cell r="D23">
            <v>23790</v>
          </cell>
          <cell r="E23">
            <v>19183</v>
          </cell>
          <cell r="F23">
            <v>6003</v>
          </cell>
        </row>
        <row r="24">
          <cell r="B24">
            <v>7379</v>
          </cell>
          <cell r="C24">
            <v>11361</v>
          </cell>
          <cell r="D24">
            <v>24789</v>
          </cell>
          <cell r="E24">
            <v>20023</v>
          </cell>
          <cell r="F24">
            <v>6342</v>
          </cell>
        </row>
        <row r="25">
          <cell r="B25">
            <v>7824</v>
          </cell>
          <cell r="C25">
            <v>12837</v>
          </cell>
          <cell r="D25">
            <v>25747</v>
          </cell>
          <cell r="E25">
            <v>21076</v>
          </cell>
          <cell r="F25">
            <v>6696</v>
          </cell>
        </row>
        <row r="26">
          <cell r="B26">
            <v>8051</v>
          </cell>
          <cell r="C26">
            <v>13361</v>
          </cell>
          <cell r="D26">
            <v>26931</v>
          </cell>
          <cell r="E26">
            <v>21986</v>
          </cell>
          <cell r="F26">
            <v>7027</v>
          </cell>
        </row>
        <row r="27">
          <cell r="B27">
            <v>8547</v>
          </cell>
          <cell r="C27">
            <v>13269</v>
          </cell>
          <cell r="D27">
            <v>27992</v>
          </cell>
          <cell r="E27">
            <v>23129</v>
          </cell>
          <cell r="F27">
            <v>7500</v>
          </cell>
        </row>
        <row r="28">
          <cell r="B28">
            <v>9174</v>
          </cell>
          <cell r="C28">
            <v>12937</v>
          </cell>
          <cell r="D28">
            <v>29085</v>
          </cell>
          <cell r="E28">
            <v>24225</v>
          </cell>
          <cell r="F28">
            <v>7796</v>
          </cell>
        </row>
        <row r="29">
          <cell r="B29">
            <v>9470</v>
          </cell>
          <cell r="C29">
            <v>12498</v>
          </cell>
          <cell r="D29">
            <v>30468</v>
          </cell>
          <cell r="E29">
            <v>25417</v>
          </cell>
          <cell r="F29">
            <v>8244</v>
          </cell>
        </row>
      </sheetData>
      <sheetData sheetId="196" refreshError="1"/>
      <sheetData sheetId="197" refreshError="1"/>
      <sheetData sheetId="198" refreshError="1"/>
      <sheetData sheetId="199" refreshError="1"/>
      <sheetData sheetId="200">
        <row r="4">
          <cell r="B4">
            <v>10491.3</v>
          </cell>
          <cell r="C4">
            <v>2891.9</v>
          </cell>
          <cell r="D4">
            <v>2753.8</v>
          </cell>
          <cell r="E4">
            <v>1934.4</v>
          </cell>
          <cell r="F4">
            <v>1722.5</v>
          </cell>
          <cell r="G4">
            <v>1016.6</v>
          </cell>
          <cell r="H4">
            <v>172.1</v>
          </cell>
        </row>
        <row r="5">
          <cell r="B5">
            <v>10785.2</v>
          </cell>
          <cell r="C5">
            <v>2983.6</v>
          </cell>
          <cell r="D5">
            <v>2878.5</v>
          </cell>
          <cell r="E5">
            <v>1999</v>
          </cell>
          <cell r="F5">
            <v>1728.2</v>
          </cell>
          <cell r="G5">
            <v>1030.9000000000001</v>
          </cell>
          <cell r="H5">
            <v>164.9</v>
          </cell>
        </row>
        <row r="6">
          <cell r="B6">
            <v>11154.6</v>
          </cell>
          <cell r="C6">
            <v>3065.8</v>
          </cell>
          <cell r="D6">
            <v>3032.6</v>
          </cell>
          <cell r="E6">
            <v>2081.4</v>
          </cell>
          <cell r="F6">
            <v>1757.2</v>
          </cell>
          <cell r="G6">
            <v>1051.5999999999999</v>
          </cell>
          <cell r="H6">
            <v>166</v>
          </cell>
        </row>
        <row r="7">
          <cell r="B7">
            <v>11536.7</v>
          </cell>
          <cell r="C7">
            <v>3177.7</v>
          </cell>
          <cell r="D7">
            <v>3155.2</v>
          </cell>
          <cell r="E7">
            <v>2170.4</v>
          </cell>
          <cell r="F7">
            <v>1772.8</v>
          </cell>
          <cell r="G7">
            <v>1089.9000000000001</v>
          </cell>
          <cell r="H7">
            <v>170.8</v>
          </cell>
        </row>
        <row r="8">
          <cell r="B8">
            <v>11879.4</v>
          </cell>
          <cell r="C8">
            <v>3253.5</v>
          </cell>
          <cell r="D8">
            <v>3291.4</v>
          </cell>
          <cell r="E8">
            <v>2265.6999999999998</v>
          </cell>
          <cell r="F8">
            <v>1796.2</v>
          </cell>
          <cell r="G8">
            <v>1103.2</v>
          </cell>
          <cell r="H8">
            <v>169.5</v>
          </cell>
        </row>
        <row r="9">
          <cell r="B9">
            <v>12235.8</v>
          </cell>
          <cell r="C9">
            <v>3284.7</v>
          </cell>
          <cell r="D9">
            <v>3434</v>
          </cell>
          <cell r="E9">
            <v>2398.6999999999998</v>
          </cell>
          <cell r="F9">
            <v>1827</v>
          </cell>
          <cell r="G9">
            <v>1120.3</v>
          </cell>
          <cell r="H9">
            <v>171</v>
          </cell>
        </row>
        <row r="10">
          <cell r="B10">
            <v>12301.8</v>
          </cell>
          <cell r="C10">
            <v>3153.7</v>
          </cell>
          <cell r="D10">
            <v>3478.5</v>
          </cell>
          <cell r="E10">
            <v>2533.1</v>
          </cell>
          <cell r="F10">
            <v>1828.7</v>
          </cell>
          <cell r="G10">
            <v>1133</v>
          </cell>
          <cell r="H10">
            <v>174.7</v>
          </cell>
        </row>
        <row r="11">
          <cell r="B11">
            <v>12527.6</v>
          </cell>
          <cell r="C11">
            <v>3112.4</v>
          </cell>
          <cell r="D11">
            <v>3574.5</v>
          </cell>
          <cell r="E11">
            <v>2662.7</v>
          </cell>
          <cell r="F11">
            <v>1861.9</v>
          </cell>
          <cell r="G11">
            <v>1147</v>
          </cell>
          <cell r="H11">
            <v>169.1</v>
          </cell>
        </row>
        <row r="12">
          <cell r="B12">
            <v>12747.9</v>
          </cell>
          <cell r="C12">
            <v>3070.2</v>
          </cell>
          <cell r="D12">
            <v>3675.5</v>
          </cell>
          <cell r="E12">
            <v>2804.9</v>
          </cell>
          <cell r="F12">
            <v>1869.2</v>
          </cell>
          <cell r="G12">
            <v>1155.3</v>
          </cell>
          <cell r="H12">
            <v>172.7</v>
          </cell>
        </row>
        <row r="13">
          <cell r="B13">
            <v>13012.4</v>
          </cell>
          <cell r="C13">
            <v>3029.1</v>
          </cell>
          <cell r="D13">
            <v>3790.2</v>
          </cell>
          <cell r="E13">
            <v>2935.7</v>
          </cell>
          <cell r="F13">
            <v>1911.7</v>
          </cell>
          <cell r="G13">
            <v>1165.9000000000001</v>
          </cell>
          <cell r="H13">
            <v>179.8</v>
          </cell>
        </row>
        <row r="14">
          <cell r="B14">
            <v>13272.1</v>
          </cell>
          <cell r="C14">
            <v>3024</v>
          </cell>
          <cell r="D14">
            <v>3926.3</v>
          </cell>
          <cell r="E14">
            <v>3071.4</v>
          </cell>
          <cell r="F14">
            <v>1928.8</v>
          </cell>
          <cell r="G14">
            <v>1153.4000000000001</v>
          </cell>
          <cell r="H14">
            <v>168.2</v>
          </cell>
        </row>
        <row r="15">
          <cell r="B15">
            <v>13526</v>
          </cell>
          <cell r="C15">
            <v>2967.2</v>
          </cell>
          <cell r="D15">
            <v>4002.8</v>
          </cell>
          <cell r="E15">
            <v>3208.4</v>
          </cell>
          <cell r="F15">
            <v>2012.7</v>
          </cell>
          <cell r="G15">
            <v>1159.4000000000001</v>
          </cell>
          <cell r="H15">
            <v>175.5</v>
          </cell>
        </row>
        <row r="16">
          <cell r="B16">
            <v>13779.1</v>
          </cell>
          <cell r="C16">
            <v>2891.6</v>
          </cell>
          <cell r="D16">
            <v>4088.6</v>
          </cell>
          <cell r="E16">
            <v>3358.2</v>
          </cell>
          <cell r="F16">
            <v>2092.3000000000002</v>
          </cell>
          <cell r="G16">
            <v>1170</v>
          </cell>
          <cell r="H16">
            <v>178.4</v>
          </cell>
        </row>
        <row r="17">
          <cell r="B17">
            <v>14057</v>
          </cell>
          <cell r="C17">
            <v>2838.9</v>
          </cell>
          <cell r="D17">
            <v>4172.7</v>
          </cell>
          <cell r="E17">
            <v>3505.5</v>
          </cell>
          <cell r="F17">
            <v>2186.9</v>
          </cell>
          <cell r="G17">
            <v>1165.9000000000001</v>
          </cell>
          <cell r="H17">
            <v>186.9</v>
          </cell>
        </row>
        <row r="18">
          <cell r="B18">
            <v>14244.6</v>
          </cell>
          <cell r="C18">
            <v>2744.2</v>
          </cell>
          <cell r="D18">
            <v>4211.6000000000004</v>
          </cell>
          <cell r="E18">
            <v>3658.6</v>
          </cell>
          <cell r="F18">
            <v>2268</v>
          </cell>
          <cell r="G18">
            <v>1169.9000000000001</v>
          </cell>
          <cell r="H18">
            <v>192.5</v>
          </cell>
        </row>
        <row r="19">
          <cell r="B19">
            <v>14336.3</v>
          </cell>
          <cell r="C19">
            <v>2656.3</v>
          </cell>
          <cell r="D19">
            <v>4181.8</v>
          </cell>
          <cell r="E19">
            <v>3760.7</v>
          </cell>
          <cell r="F19">
            <v>2379.4</v>
          </cell>
          <cell r="G19">
            <v>1159.0999999999999</v>
          </cell>
          <cell r="H19">
            <v>199.1</v>
          </cell>
        </row>
        <row r="20">
          <cell r="B20">
            <v>14336.1</v>
          </cell>
          <cell r="C20">
            <v>2569.6999999999998</v>
          </cell>
          <cell r="D20">
            <v>4096.7</v>
          </cell>
          <cell r="E20">
            <v>3802.2</v>
          </cell>
          <cell r="F20">
            <v>2513.5</v>
          </cell>
          <cell r="G20">
            <v>1155.9000000000001</v>
          </cell>
          <cell r="H20">
            <v>198.2</v>
          </cell>
        </row>
        <row r="21">
          <cell r="B21">
            <v>14435</v>
          </cell>
          <cell r="C21">
            <v>2502.5</v>
          </cell>
          <cell r="D21">
            <v>4034.8</v>
          </cell>
          <cell r="E21">
            <v>3904.4</v>
          </cell>
          <cell r="F21">
            <v>2647</v>
          </cell>
          <cell r="G21">
            <v>1152.9000000000001</v>
          </cell>
          <cell r="H21">
            <v>193.5</v>
          </cell>
        </row>
        <row r="22">
          <cell r="B22">
            <v>14573.7</v>
          </cell>
          <cell r="C22">
            <v>2485</v>
          </cell>
          <cell r="D22">
            <v>3961.4</v>
          </cell>
          <cell r="E22">
            <v>3983.9</v>
          </cell>
          <cell r="F22">
            <v>2761.9</v>
          </cell>
          <cell r="G22">
            <v>1172.0999999999999</v>
          </cell>
          <cell r="H22">
            <v>209.4</v>
          </cell>
        </row>
        <row r="23">
          <cell r="B23">
            <v>14689.2</v>
          </cell>
          <cell r="C23">
            <v>2462.1999999999998</v>
          </cell>
          <cell r="D23">
            <v>3910.8</v>
          </cell>
          <cell r="E23">
            <v>4066.2</v>
          </cell>
          <cell r="F23">
            <v>2887.7</v>
          </cell>
          <cell r="G23">
            <v>1160.7</v>
          </cell>
          <cell r="H23">
            <v>201.6</v>
          </cell>
        </row>
        <row r="24">
          <cell r="B24">
            <v>14853.5</v>
          </cell>
          <cell r="C24">
            <v>2440.4</v>
          </cell>
          <cell r="D24">
            <v>3878.4</v>
          </cell>
          <cell r="E24">
            <v>4165.7</v>
          </cell>
          <cell r="F24">
            <v>2987.3</v>
          </cell>
          <cell r="G24">
            <v>1177.7</v>
          </cell>
          <cell r="H24">
            <v>203.9</v>
          </cell>
        </row>
        <row r="25">
          <cell r="B25">
            <v>15079.1</v>
          </cell>
          <cell r="C25">
            <v>2425.6</v>
          </cell>
          <cell r="D25">
            <v>3815.4</v>
          </cell>
          <cell r="E25">
            <v>4282.5</v>
          </cell>
          <cell r="F25">
            <v>3119.6</v>
          </cell>
          <cell r="G25">
            <v>1222.2</v>
          </cell>
          <cell r="H25">
            <v>213.8</v>
          </cell>
        </row>
        <row r="26">
          <cell r="B26">
            <v>15316.3</v>
          </cell>
          <cell r="C26">
            <v>2461.1</v>
          </cell>
          <cell r="D26">
            <v>3754.4</v>
          </cell>
          <cell r="E26">
            <v>4361.1000000000004</v>
          </cell>
          <cell r="F26">
            <v>3250.4</v>
          </cell>
          <cell r="G26">
            <v>1266.4000000000001</v>
          </cell>
          <cell r="H26">
            <v>223</v>
          </cell>
        </row>
        <row r="27">
          <cell r="B27">
            <v>15588.3</v>
          </cell>
          <cell r="C27">
            <v>2551.3000000000002</v>
          </cell>
          <cell r="D27">
            <v>3664.9</v>
          </cell>
          <cell r="E27">
            <v>4434.7</v>
          </cell>
          <cell r="F27">
            <v>3384.7</v>
          </cell>
          <cell r="G27">
            <v>1334.5</v>
          </cell>
          <cell r="H27">
            <v>218.1</v>
          </cell>
        </row>
        <row r="28">
          <cell r="B28">
            <v>15847</v>
          </cell>
          <cell r="C28">
            <v>2621.4</v>
          </cell>
          <cell r="D28">
            <v>3622.2</v>
          </cell>
          <cell r="E28">
            <v>4461.7</v>
          </cell>
          <cell r="F28">
            <v>3517.7</v>
          </cell>
          <cell r="G28">
            <v>1408.8</v>
          </cell>
          <cell r="H28">
            <v>215.1</v>
          </cell>
        </row>
        <row r="29">
          <cell r="B29">
            <v>16109.8</v>
          </cell>
          <cell r="C29">
            <v>2668.3</v>
          </cell>
          <cell r="D29">
            <v>3620.8</v>
          </cell>
          <cell r="E29">
            <v>4479.3</v>
          </cell>
          <cell r="F29">
            <v>3649.3</v>
          </cell>
          <cell r="G29">
            <v>1472</v>
          </cell>
          <cell r="H29">
            <v>220.2</v>
          </cell>
        </row>
        <row r="30">
          <cell r="B30">
            <v>16579.3</v>
          </cell>
          <cell r="C30">
            <v>2777.2</v>
          </cell>
          <cell r="D30">
            <v>3647.9</v>
          </cell>
          <cell r="E30">
            <v>4495.2</v>
          </cell>
          <cell r="F30">
            <v>3792.5</v>
          </cell>
          <cell r="G30">
            <v>1620</v>
          </cell>
          <cell r="H30">
            <v>246.4</v>
          </cell>
        </row>
        <row r="31">
          <cell r="B31">
            <v>16958.5</v>
          </cell>
          <cell r="C31">
            <v>2835.1</v>
          </cell>
          <cell r="D31">
            <v>3677.9</v>
          </cell>
          <cell r="E31">
            <v>4449</v>
          </cell>
          <cell r="F31">
            <v>3912.1</v>
          </cell>
          <cell r="G31">
            <v>1803.1</v>
          </cell>
          <cell r="H31">
            <v>281.39999999999998</v>
          </cell>
        </row>
        <row r="32">
          <cell r="B32">
            <v>17182.3</v>
          </cell>
          <cell r="C32">
            <v>2841</v>
          </cell>
          <cell r="D32">
            <v>3712.2</v>
          </cell>
          <cell r="E32">
            <v>4409.5</v>
          </cell>
          <cell r="F32">
            <v>4011.3</v>
          </cell>
          <cell r="G32">
            <v>1912.7</v>
          </cell>
          <cell r="H32">
            <v>295.60000000000002</v>
          </cell>
        </row>
        <row r="33">
          <cell r="B33">
            <v>17342.599999999999</v>
          </cell>
          <cell r="C33">
            <v>2822.7</v>
          </cell>
          <cell r="D33">
            <v>3724.9</v>
          </cell>
          <cell r="E33">
            <v>4360.2</v>
          </cell>
          <cell r="F33">
            <v>4100.2</v>
          </cell>
          <cell r="G33">
            <v>2016</v>
          </cell>
          <cell r="H33">
            <v>318.5</v>
          </cell>
        </row>
        <row r="34">
          <cell r="B34">
            <v>17592.8</v>
          </cell>
          <cell r="C34">
            <v>2869.5</v>
          </cell>
          <cell r="D34">
            <v>3748.8</v>
          </cell>
          <cell r="E34">
            <v>4315</v>
          </cell>
          <cell r="F34">
            <v>4205.2</v>
          </cell>
          <cell r="G34">
            <v>2122.5</v>
          </cell>
          <cell r="H34">
            <v>331.8</v>
          </cell>
        </row>
        <row r="35">
          <cell r="B35">
            <v>17945.8</v>
          </cell>
          <cell r="C35">
            <v>2915.1</v>
          </cell>
          <cell r="D35">
            <v>3819.4</v>
          </cell>
          <cell r="E35">
            <v>4273.3999999999996</v>
          </cell>
          <cell r="F35">
            <v>4317</v>
          </cell>
          <cell r="G35">
            <v>2254.5</v>
          </cell>
          <cell r="H35">
            <v>366.4</v>
          </cell>
        </row>
        <row r="36">
          <cell r="B36">
            <v>18245.099999999999</v>
          </cell>
          <cell r="C36">
            <v>2949.6</v>
          </cell>
          <cell r="D36">
            <v>3861.8</v>
          </cell>
          <cell r="E36">
            <v>4214.7</v>
          </cell>
          <cell r="F36">
            <v>4428.8999999999996</v>
          </cell>
          <cell r="G36">
            <v>2361.4</v>
          </cell>
          <cell r="H36">
            <v>428.6</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ow r="5">
          <cell r="B5">
            <v>15.59</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printerSettings" Target="../printerSettings/printerSettings212.bin"/><Relationship Id="rId1" Type="http://schemas.openxmlformats.org/officeDocument/2006/relationships/hyperlink" Target="http://www.statcan.ca/bsolc/english/bsolc?catno=97-563-XWE2006021" TargetMode="External"/></Relationships>
</file>

<file path=xl/worksheets/_rels/sheet213.xml.rels><?xml version="1.0" encoding="UTF-8" standalone="yes"?>
<Relationships xmlns="http://schemas.openxmlformats.org/package/2006/relationships"><Relationship Id="rId2" Type="http://schemas.openxmlformats.org/officeDocument/2006/relationships/printerSettings" Target="../printerSettings/printerSettings213.bin"/><Relationship Id="rId1" Type="http://schemas.openxmlformats.org/officeDocument/2006/relationships/hyperlink" Target="http://www.statcan.ca/bsolc/english/bsolc?catno=97-563-XWE2006021" TargetMode="External"/></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codeName="Sheet56">
    <pageSetUpPr fitToPage="1"/>
  </sheetPr>
  <dimension ref="A1:P222"/>
  <sheetViews>
    <sheetView tabSelected="1" view="pageBreakPreview" workbookViewId="0">
      <selection activeCell="A14" sqref="A14"/>
    </sheetView>
  </sheetViews>
  <sheetFormatPr defaultColWidth="8.85546875" defaultRowHeight="12.75"/>
  <cols>
    <col min="1" max="1" width="134.85546875" style="1" customWidth="1"/>
    <col min="2" max="2" width="8.85546875" style="351" customWidth="1"/>
    <col min="3" max="8" width="8.85546875" style="1" customWidth="1"/>
    <col min="9" max="9" width="10.5703125" style="1" customWidth="1"/>
    <col min="10" max="11" width="8.85546875" style="1" customWidth="1"/>
    <col min="12" max="13" width="13.42578125" style="1" customWidth="1"/>
    <col min="14" max="14" width="18.85546875" style="351" customWidth="1"/>
    <col min="15" max="16" width="13.42578125" style="1" customWidth="1"/>
    <col min="17" max="16384" width="8.85546875" style="1"/>
  </cols>
  <sheetData>
    <row r="1" spans="1:12" ht="18.75">
      <c r="A1" s="639" t="s">
        <v>1190</v>
      </c>
      <c r="B1" s="1332"/>
      <c r="C1" s="639"/>
      <c r="D1" s="639"/>
      <c r="E1" s="639"/>
      <c r="F1" s="639"/>
      <c r="G1" s="639"/>
      <c r="H1" s="639"/>
      <c r="I1" s="639"/>
      <c r="J1" s="639"/>
    </row>
    <row r="2" spans="1:12">
      <c r="A2" s="139"/>
    </row>
    <row r="3" spans="1:12">
      <c r="A3" s="633" t="str">
        <f>'1'!$A$1</f>
        <v>Table 1: Annual Estimates of Population on July 1st (in thousands), 1974-2008</v>
      </c>
      <c r="L3" s="351"/>
    </row>
    <row r="4" spans="1:12">
      <c r="A4" s="634" t="str">
        <f>'2a'!$A$1</f>
        <v>Table 2A: Number of Family Units (in thousands), 1981-2007</v>
      </c>
      <c r="L4" s="351"/>
    </row>
    <row r="5" spans="1:12">
      <c r="A5" s="634" t="str">
        <f>'2b'!$A$1</f>
        <v>Table 2B: Number of Unattached Individuals (in thousands), 1981-2007</v>
      </c>
      <c r="L5" s="351"/>
    </row>
    <row r="6" spans="1:12">
      <c r="A6" s="634" t="str">
        <f>'2c'!$A$1</f>
        <v>Table 2C: Number of Economic Families (in thousands), 1981-2007</v>
      </c>
      <c r="L6" s="351"/>
    </row>
    <row r="7" spans="1:12">
      <c r="A7" s="634" t="str">
        <f>'2d'!$A$1</f>
        <v>Table 2D: Number of Family Units by Economic Family Type, Canada, (in thousands), 1981-2007</v>
      </c>
      <c r="L7" s="351"/>
    </row>
    <row r="8" spans="1:12">
      <c r="A8" s="634" t="str">
        <f>'2e'!$A$1</f>
        <v>Table 2E: Number of Persons by Economic Family Type, Canada, (in thousands), 1981-2007</v>
      </c>
      <c r="L8" s="351"/>
    </row>
    <row r="9" spans="1:12" ht="15.75">
      <c r="A9" s="634" t="str">
        <f>'3a'!$A$1</f>
        <v>Table 3A: Average Number of Persons per Family Unit, 1981-2007</v>
      </c>
      <c r="I9" s="3"/>
      <c r="L9" s="351"/>
    </row>
    <row r="10" spans="1:12">
      <c r="A10" s="634" t="str">
        <f>'3b'!$A$1</f>
        <v>Table 3B: Average Number of Persons per Economic Family Unit, 1981-2007</v>
      </c>
      <c r="L10" s="351"/>
    </row>
    <row r="11" spans="1:12">
      <c r="A11" s="634" t="str">
        <f>'4'!$A$1</f>
        <v>Table 4: Consumer Price Index, 2005 Basket Content (2002=100), 1981-2008</v>
      </c>
      <c r="L11" s="351"/>
    </row>
    <row r="12" spans="1:12">
      <c r="A12" s="634" t="str">
        <f>'5'!$A$1</f>
        <v>Table 5: Personal Consumption Expenditure Implicit Price Index, Chained 2002 Dollars (2002=100), 1981-2008</v>
      </c>
      <c r="L12" s="351"/>
    </row>
    <row r="13" spans="1:12">
      <c r="A13" s="634" t="str">
        <f>'6a'!A1</f>
        <v>Table 6A: Gross Domestic Product, Millions of Current Dollars, 1981-2008</v>
      </c>
      <c r="L13" s="351"/>
    </row>
    <row r="14" spans="1:12">
      <c r="A14" s="634" t="str">
        <f>'6b'!$A$1</f>
        <v>Table 6B: Gross Domestic Product Implicit Price Index, Chained 2002 Dollars (2002=100), 1981-2008</v>
      </c>
      <c r="L14" s="351"/>
    </row>
    <row r="15" spans="1:12">
      <c r="A15" s="634" t="str">
        <f>'6c'!A1</f>
        <v>Table 6C: Final Domestic Demand Implicit Price Index, Chained 2002 Dollars (2002=100), 1981-2008</v>
      </c>
      <c r="L15" s="351"/>
    </row>
    <row r="16" spans="1:12">
      <c r="A16" s="634" t="str">
        <f>'6d'!A1</f>
        <v>Table 6D: Real Gross Domestic Product, Millions of 2002 Chained Dollars, 1981-2008</v>
      </c>
      <c r="L16" s="351"/>
    </row>
    <row r="17" spans="1:12">
      <c r="A17" s="634" t="str">
        <f>'6e'!A1</f>
        <v>Table 6E: Real Gross Domestic Income, Millions of 2002 Chained Dollars, 1981-2008</v>
      </c>
      <c r="L17" s="351"/>
    </row>
    <row r="18" spans="1:12">
      <c r="A18" s="634" t="str">
        <f>'7a'!$A$1</f>
        <v>Table 7A: Gross Domestic Product per Capita, (in chained 2002$), 1981-2008</v>
      </c>
      <c r="L18" s="351"/>
    </row>
    <row r="19" spans="1:12">
      <c r="A19" s="634" t="str">
        <f>'7b'!$A$1</f>
        <v>Table 7B: Gross Domestic Product per Capita as a Proportion of the National Average, (in chained 2002$), 1981-2008</v>
      </c>
      <c r="L19" s="351"/>
    </row>
    <row r="20" spans="1:12">
      <c r="A20" s="634" t="str">
        <f>'7c'!A1</f>
        <v>Table 7C: Gross Domestic Product per Capita, (in current dollars), 1981-2008</v>
      </c>
      <c r="L20" s="351"/>
    </row>
    <row r="21" spans="1:12">
      <c r="A21" s="634" t="str">
        <f>'7d'!A1</f>
        <v>Table 7D: Gross Domestic Product per Capita as a Proportion of the National Average,  (in current dollars), 1981-2008</v>
      </c>
      <c r="L21" s="351"/>
    </row>
    <row r="22" spans="1:12">
      <c r="A22" s="634" t="str">
        <f>'8a'!$A$1</f>
        <v>Table 8A: Personal Income per Capita (in current $), 1981-2008</v>
      </c>
      <c r="L22" s="351"/>
    </row>
    <row r="23" spans="1:12">
      <c r="A23" s="634" t="str">
        <f>'8b'!$A$1</f>
        <v>Table 8B: Real Personal Income per Capita, Adjusted with the Consumer Price Index (in 2002$), 1981-2008</v>
      </c>
      <c r="L23" s="351"/>
    </row>
    <row r="24" spans="1:12">
      <c r="A24" s="634" t="str">
        <f>'8c'!$A$1</f>
        <v>Table 8C: Real Personal Income per Capita, Adjusted with the Personal Expenditure Price Index (in 2002$), 1981-2008</v>
      </c>
      <c r="L24" s="351"/>
    </row>
    <row r="25" spans="1:12">
      <c r="A25" s="634" t="str">
        <f>'8d'!$A$1</f>
        <v>Table 8D: Provincial Real Personal Income per Capita as a Proportion of the National Average, 1981-2008</v>
      </c>
      <c r="L25" s="351"/>
    </row>
    <row r="26" spans="1:12">
      <c r="A26" s="634" t="str">
        <f>'9a'!$A$1</f>
        <v>Table 9A: Personal Disposable Income per Capita (in current $), 1981-2008</v>
      </c>
      <c r="L26" s="351"/>
    </row>
    <row r="27" spans="1:12" ht="15.75">
      <c r="A27" s="634" t="str">
        <f>'9b'!$A$1</f>
        <v>Table 9B: Real Personal Disposable Income per Capita, Adjusted with the Consumer Price Index (in 2002$), 1981-2008</v>
      </c>
      <c r="B27" s="1333"/>
      <c r="C27" s="40"/>
      <c r="L27" s="351"/>
    </row>
    <row r="28" spans="1:12" ht="15.75">
      <c r="A28" s="634" t="str">
        <f>'9c'!$A$1</f>
        <v>Table 9C: Real Personal Disposable Income per Capita, Adjusted with the Personal Expenditure Price Index (in 2002$), 1981-2008</v>
      </c>
      <c r="B28" s="1333"/>
      <c r="C28" s="40"/>
      <c r="L28" s="351"/>
    </row>
    <row r="29" spans="1:12" ht="15.75">
      <c r="A29" s="634" t="str">
        <f>'9d'!$A$1</f>
        <v>Table 9D: Provincial Real Personal Disposable Income per Capita as a Proportion of the National Average , 1981-2008</v>
      </c>
      <c r="B29" s="1333"/>
      <c r="C29" s="40"/>
      <c r="L29" s="351"/>
    </row>
    <row r="30" spans="1:12" ht="15.75">
      <c r="A30" s="634" t="str">
        <f>'10a'!$A$1</f>
        <v>Table 10A: Implicit Tax Rate on Personal Income (in percent), 1981-2008</v>
      </c>
      <c r="B30" s="1333"/>
      <c r="C30" s="40"/>
      <c r="L30" s="351"/>
    </row>
    <row r="31" spans="1:12" ht="15.75">
      <c r="A31" s="634" t="str">
        <f>'10b'!$A$1</f>
        <v>Table 10B: Average Government Transfers, All Family Units (in $2007), 1981-2007</v>
      </c>
      <c r="B31" s="1333"/>
      <c r="C31" s="40"/>
      <c r="L31" s="351"/>
    </row>
    <row r="32" spans="1:12" ht="15.75">
      <c r="A32" s="634" t="str">
        <f>'10c'!$A$1</f>
        <v>Table 10C: Average Implicit Rate of Government Transfers, All Family Units (in percent), 1981-2007</v>
      </c>
      <c r="B32" s="1333"/>
      <c r="C32" s="40"/>
      <c r="I32" s="3"/>
      <c r="L32" s="351"/>
    </row>
    <row r="33" spans="1:12" ht="15.75">
      <c r="A33" s="634" t="str">
        <f>'10d'!$A$1</f>
        <v>Table 10D: Government Transfers by After-Tax Income Quintiles, Canada, 2007</v>
      </c>
      <c r="B33" s="1333"/>
      <c r="C33" s="40"/>
      <c r="I33" s="3"/>
      <c r="L33" s="351"/>
    </row>
    <row r="34" spans="1:12" ht="15.75">
      <c r="A34" s="634" t="str">
        <f>'10e'!$A$1</f>
        <v>Table 10E: Average Income Tax, All Family Units (in $2007), 1981-2007</v>
      </c>
      <c r="B34" s="1333"/>
      <c r="C34" s="40"/>
      <c r="I34" s="3"/>
      <c r="L34" s="351"/>
    </row>
    <row r="35" spans="1:12" ht="15.75">
      <c r="A35" s="634" t="str">
        <f>'10f'!$A$1</f>
        <v>Table 10F: Average Implicit Income Tax Rate, All Family Units (in percent), 1981-2007</v>
      </c>
      <c r="B35" s="1333"/>
      <c r="C35" s="40"/>
      <c r="L35" s="351"/>
    </row>
    <row r="36" spans="1:12" ht="15.75">
      <c r="A36" s="634" t="str">
        <f>'10g'!$A$1</f>
        <v>Table 10G: Income tax by after-tax income quintiles, Canada, 2007</v>
      </c>
      <c r="B36" s="1333"/>
      <c r="C36" s="40"/>
      <c r="L36" s="351"/>
    </row>
    <row r="37" spans="1:12">
      <c r="A37" s="634" t="str">
        <f>'11a'!$B$1</f>
        <v>Table 11A: Average Market Income Of All Family Units, (in 2007$), 1981-2007</v>
      </c>
      <c r="L37" s="351"/>
    </row>
    <row r="38" spans="1:12">
      <c r="A38" s="634" t="str">
        <f>'11b'!$B$1</f>
        <v>Table 11B: Average Total Income of All Family Units, (in 2007$), 1981-2007</v>
      </c>
      <c r="L38" s="351"/>
    </row>
    <row r="39" spans="1:12">
      <c r="A39" s="634" t="str">
        <f>'11c'!$B$1</f>
        <v>Table 11C: Average After-Tax Income of All Family Units, (in 2007$), 1981-2007</v>
      </c>
      <c r="L39" s="351"/>
    </row>
    <row r="40" spans="1:12">
      <c r="A40" s="634" t="str">
        <f>'11d'!$B$1</f>
        <v>Table 11D: Provincial Average Market Income of All Family Units as a Proportion of the National Average, 1981-2007</v>
      </c>
      <c r="L40" s="351"/>
    </row>
    <row r="41" spans="1:12">
      <c r="A41" s="634" t="str">
        <f>'11e'!$B$1</f>
        <v>Table 11E: Provincial Average Total Income of All Family Units as a Proportion of the National Average, 1981-2007</v>
      </c>
      <c r="L41" s="351"/>
    </row>
    <row r="42" spans="1:12" ht="15.75" customHeight="1">
      <c r="A42" s="634" t="str">
        <f>'11f'!$B$1</f>
        <v>Table 11F: Provincial Average After-Tax Income of All Family Units as A Proportion of the National Average, 1981-2007</v>
      </c>
      <c r="L42" s="351"/>
    </row>
    <row r="43" spans="1:12" ht="18" customHeight="1">
      <c r="A43" s="634" t="str">
        <f>'11g'!$A$1</f>
        <v>Table 11G: Average Income of Economic Families, Adjusted and Unadjusted for Family Size (in 2007$), 1981-2007</v>
      </c>
      <c r="L43" s="351"/>
    </row>
    <row r="44" spans="1:12" ht="18" customHeight="1">
      <c r="A44" s="634" t="str">
        <f>'11h'!$A$1</f>
        <v>Table 11H: Average Market Income by Economic Family Type, (in 2007$), 1981-2007</v>
      </c>
      <c r="L44" s="351"/>
    </row>
    <row r="45" spans="1:12" ht="18" customHeight="1">
      <c r="A45" s="634" t="str">
        <f>'11i'!$A$1</f>
        <v>Table 11I: Average Total Income by Economic Family Type, (in 2007$), 1981-2007</v>
      </c>
      <c r="L45" s="351"/>
    </row>
    <row r="46" spans="1:12" ht="18" customHeight="1">
      <c r="A46" s="634" t="str">
        <f>'11j'!$A$1</f>
        <v>Table 11j: Average After-Tax Income by Economic Family Type, (in 2007$), 1981-2007</v>
      </c>
      <c r="J46" s="3"/>
      <c r="L46" s="351"/>
    </row>
    <row r="47" spans="1:12" ht="18" customHeight="1">
      <c r="A47" s="634" t="str">
        <f>'12a'!$B$1</f>
        <v>Table 12A: Median Market Income of All Family Units, (in 2007$), 1981-2007</v>
      </c>
      <c r="H47" s="3"/>
      <c r="I47" s="3"/>
      <c r="L47" s="351"/>
    </row>
    <row r="48" spans="1:12" ht="18" customHeight="1">
      <c r="A48" s="634" t="str">
        <f>'12b'!$B$1</f>
        <v>Table 12B: Median Total Income of All Family Units, (in 2007$), 1981-2007</v>
      </c>
      <c r="L48" s="351"/>
    </row>
    <row r="49" spans="1:12">
      <c r="A49" s="634" t="str">
        <f>'12c'!$B$1</f>
        <v>Table 12C: Median After-Tax Income of All Family Units, (in 2007$), 1981-2007</v>
      </c>
      <c r="L49" s="351"/>
    </row>
    <row r="50" spans="1:12" ht="16.5" customHeight="1">
      <c r="A50" s="634" t="str">
        <f>'12d'!$B$1</f>
        <v>Table 12D: Provincial Median Market Income of All Family Units as a Proportion of the National Average, 1981-2007</v>
      </c>
      <c r="L50" s="351"/>
    </row>
    <row r="51" spans="1:12" ht="17.25" customHeight="1">
      <c r="A51" s="634" t="str">
        <f>'12e'!$B$1</f>
        <v>Table 12E: Provincial Median Total Income of All Family Units as a Proportion of the National Average, 1981-2007</v>
      </c>
      <c r="L51" s="351"/>
    </row>
    <row r="52" spans="1:12" ht="16.5" customHeight="1">
      <c r="A52" s="634" t="str">
        <f>'12f'!$B$1</f>
        <v>Table 12F: Provincial Median After-Tax Income of All Family Units as a Proportion of the National Average, 1981-2007</v>
      </c>
      <c r="L52" s="351"/>
    </row>
    <row r="53" spans="1:12" ht="16.5" customHeight="1">
      <c r="A53" s="634" t="str">
        <f>'12g'!$A$1</f>
        <v>Table 12G: Median Market Income by Economic Family Type, (in 2007$), 1981-2007</v>
      </c>
      <c r="L53" s="351"/>
    </row>
    <row r="54" spans="1:12" ht="16.5" customHeight="1">
      <c r="A54" s="634" t="str">
        <f>'12h'!$A$1</f>
        <v>Table 12H: Median Total Income by Economic Family Type, (in 2007$), 1981-2007</v>
      </c>
      <c r="L54" s="351"/>
    </row>
    <row r="55" spans="1:12" ht="16.5" customHeight="1">
      <c r="A55" s="634" t="str">
        <f>'12i'!$A$1</f>
        <v>Table 12I: Median Ater-Tax Income by Economic Family Type, (in 2007$), 1981-2007</v>
      </c>
      <c r="L55" s="351"/>
    </row>
    <row r="56" spans="1:12">
      <c r="A56" s="634" t="str">
        <f>'13a'!$B$1</f>
        <v>Table 13A: Net Worth by Different Sectors in Canada (billions of current $), 1981-2008</v>
      </c>
      <c r="L56" s="351"/>
    </row>
    <row r="57" spans="1:12">
      <c r="A57" s="634" t="str">
        <f>'13b'!$B$1</f>
        <v>Table 13B: Real Net Worth of Persons and Unincorporated Businesses, per Capita and per Family Unit (thousands of 2002$, CPI adjusted) , 1981-2007</v>
      </c>
      <c r="L57" s="351"/>
    </row>
    <row r="58" spans="1:12">
      <c r="A58" s="634" t="str">
        <f>'13c'!$B$1</f>
        <v>Table 13C: Market Value of Various Tangible Assets in Canada (billions of current $), 1981-2008</v>
      </c>
      <c r="L58" s="351"/>
    </row>
    <row r="59" spans="1:12">
      <c r="A59" s="634" t="str">
        <f>'13d'!$B$1</f>
        <v>Table 13D: Real Value of Various Tangible Assets in Canada (billions of 2002$), 1981-2008</v>
      </c>
      <c r="L59" s="351"/>
    </row>
    <row r="60" spans="1:12">
      <c r="A60" s="634" t="str">
        <f>'13e'!$B$1</f>
        <v>Table 13E: Real value of Various Tangible Assets per Capita in Canada (thousands of  2002$), 1981-2008</v>
      </c>
      <c r="L60" s="351"/>
    </row>
    <row r="61" spans="1:12">
      <c r="A61" s="634" t="str">
        <f>'13f'!$B$1</f>
        <v>Table 13F: Net worth1 by Different Sectors in Canada as a Proportion of the National Balance Sheet, 1981-2008</v>
      </c>
      <c r="L61" s="351"/>
    </row>
    <row r="62" spans="1:12">
      <c r="A62" s="634" t="str">
        <f>'14a'!$B$1</f>
        <v>Table 14A: GINI Coefficient of Market Income for All Family Units, 1981-2007</v>
      </c>
      <c r="L62" s="351"/>
    </row>
    <row r="63" spans="1:12">
      <c r="A63" s="634" t="str">
        <f>'14b'!$B$1</f>
        <v>Table 14B: GINI Coefficient of Total Income for all Family Units, 1981-2007</v>
      </c>
      <c r="L63" s="351"/>
    </row>
    <row r="64" spans="1:12">
      <c r="A64" s="634" t="str">
        <f>'14c'!$B$1</f>
        <v>Table 14C: GINI Coefficient of After-Tax Income for All Family Units, 1981-2007</v>
      </c>
      <c r="L64" s="351"/>
    </row>
    <row r="65" spans="1:16">
      <c r="A65" s="634" t="str">
        <f>'14d'!$B$1</f>
        <v>Table 14D: Provincial GINI Coefficient of Market Income for All Family Units, as a Proportion of the National Average, 1981-2007</v>
      </c>
      <c r="L65" s="351"/>
    </row>
    <row r="66" spans="1:16">
      <c r="A66" s="634" t="str">
        <f>'14e'!$B$1</f>
        <v>Table 14E: Provincial GINI Coefficient of Total Income for All Family Units, as a Proportion of the National Average, 1981-2007</v>
      </c>
      <c r="L66" s="351"/>
    </row>
    <row r="67" spans="1:16">
      <c r="A67" s="634" t="str">
        <f>'14f'!$B$1</f>
        <v>Table 14F: Provincial GINI Coefficient of After-Tax Income for All Family Units, as a Proportion of the National Average, 1981-2007</v>
      </c>
      <c r="L67" s="351"/>
    </row>
    <row r="68" spans="1:16">
      <c r="A68" s="634" t="str">
        <f>'15a'!$B$1</f>
        <v>Table 15A: Ratio of the Top to Bottom Quintile, Market Income of Economic Families, Adjusted for Family Size, 1981-2007</v>
      </c>
      <c r="L68" s="351"/>
    </row>
    <row r="69" spans="1:16">
      <c r="A69" s="634" t="str">
        <f>'15b'!$B$1</f>
        <v>Table 15B: Ratio of the Top to Bottom Quintile, Total Income of Economic Families, Adjusted for Family Size, 1981-2007</v>
      </c>
      <c r="L69" s="351"/>
    </row>
    <row r="70" spans="1:16">
      <c r="A70" s="634" t="str">
        <f>'15c'!$B$1</f>
        <v>Table 15C: Ratio of the Top to Bottom Quintile, After-Tax Income of Economic Families, Adjusted for Family Size, 1981-2007</v>
      </c>
      <c r="L70" s="351"/>
    </row>
    <row r="71" spans="1:16" ht="15.75">
      <c r="A71" s="634" t="str">
        <f>'15d'!$B$1</f>
        <v>Table 15D: Provincial Ratio of the Top to Bottom Quintile, Market Income of Economic Families, Adjusted for Family Size, as a Proportion of the National Average, 1981-2007</v>
      </c>
      <c r="B71" s="408"/>
      <c r="C71" s="42"/>
      <c r="D71" s="42"/>
      <c r="E71" s="42"/>
      <c r="F71" s="42"/>
      <c r="G71" s="42"/>
      <c r="H71" s="42"/>
      <c r="I71" s="42"/>
      <c r="J71" s="42"/>
      <c r="K71" s="42"/>
      <c r="L71" s="408"/>
      <c r="M71" s="42"/>
      <c r="N71" s="408"/>
      <c r="O71" s="42"/>
      <c r="P71" s="42"/>
    </row>
    <row r="72" spans="1:16" ht="15.75">
      <c r="A72" s="634" t="str">
        <f>'15e'!$B$1</f>
        <v>Table 15E: Provincial Ratio of the Top to Bottom Quintile, Total Income of Economic Families, Adjusted for Family Size, as a Proportion of the National Average, 1981-2007</v>
      </c>
      <c r="B72" s="408"/>
      <c r="C72" s="42"/>
      <c r="D72" s="42"/>
      <c r="E72" s="42"/>
      <c r="F72" s="42"/>
      <c r="G72" s="42"/>
      <c r="H72" s="42"/>
      <c r="I72" s="42"/>
      <c r="J72" s="42"/>
      <c r="K72" s="42"/>
      <c r="L72" s="408"/>
      <c r="M72" s="42"/>
      <c r="N72" s="408"/>
      <c r="O72" s="42"/>
      <c r="P72" s="42"/>
    </row>
    <row r="73" spans="1:16" ht="15.75">
      <c r="A73" s="634" t="str">
        <f>'15f'!$B$1</f>
        <v>Table 15F: Provincial Ratio of the Top to Bottom Quintile, After-Tax Income of Economic Families, Adjusted for Family Size, as a Proportion of the National Average, 1981-2007</v>
      </c>
      <c r="B73" s="408"/>
      <c r="C73" s="42"/>
      <c r="D73" s="42"/>
      <c r="E73" s="42"/>
      <c r="F73" s="42"/>
      <c r="G73" s="42"/>
      <c r="H73" s="42"/>
      <c r="I73" s="42"/>
      <c r="J73" s="42"/>
      <c r="K73" s="42"/>
      <c r="L73" s="408"/>
      <c r="M73" s="42"/>
      <c r="N73" s="408"/>
      <c r="O73" s="42"/>
      <c r="P73" s="42"/>
    </row>
    <row r="74" spans="1:16">
      <c r="A74" s="634" t="str">
        <f>'16a'!$B$1</f>
        <v>Table 16A: Number of Persons in Low Income Cut-Offs After Tax (1992 base), ( in thousands ) , 1981-2007</v>
      </c>
      <c r="L74" s="351"/>
    </row>
    <row r="75" spans="1:16">
      <c r="A75" s="634" t="str">
        <f>'16b'!$B$1</f>
        <v>Table 16B: Percentage of Persons in Low Income Cut-Offs After Tax (1992 base), 1981-2007</v>
      </c>
      <c r="L75" s="351"/>
    </row>
    <row r="76" spans="1:16">
      <c r="A76" s="634" t="str">
        <f>'16c'!$B$1</f>
        <v>Table 16C: Number of Persons Under 18 Years Old in Low Income Cut-Offs After Tax (1992 base),  (in thousands), 1981-2007</v>
      </c>
      <c r="L76" s="351"/>
    </row>
    <row r="77" spans="1:16">
      <c r="A77" s="634" t="str">
        <f>'16d'!$B$1</f>
        <v>Table 16D: Percentage of Persons Under 18 Years Old in Low Income Cut-Offs After Tax (1992 base),  (in thousands), 1981-2007</v>
      </c>
      <c r="L77" s="351"/>
    </row>
    <row r="78" spans="1:16">
      <c r="A78" s="634" t="str">
        <f>'16e'!$B$1</f>
        <v>Table 16E: Provincial Percentage of Persons in Low Income Cut-Offs After Tax (1992 base) as a Proportion of the National Average, 1981-2007</v>
      </c>
      <c r="L78" s="351"/>
    </row>
    <row r="79" spans="1:16">
      <c r="A79" s="634" t="str">
        <f>'16f'!$B$1</f>
        <v>Table 16F: Number of Families Under the Low Income Cut-Offs After Tax (1992 base), All Family Units (in thousands), 1981-2007</v>
      </c>
      <c r="L79" s="351"/>
    </row>
    <row r="80" spans="1:16">
      <c r="A80" s="634" t="str">
        <f>'16g'!$B$1</f>
        <v>Table 16G: Percentage of Families Under the Low Income Cut-Offs After Tax (1992 base), All Family Units, 1981-2007</v>
      </c>
      <c r="L80" s="351"/>
    </row>
    <row r="81" spans="1:12">
      <c r="A81" s="634" t="str">
        <f>'16h'!$B$1</f>
        <v>Table 16H: Provincial Percentage of Families Under the Low Income Cut-Offs After Tax (1992 base), All Family Units, as a Proportion of the National Average, 1981-2007</v>
      </c>
      <c r="L81" s="351"/>
    </row>
    <row r="82" spans="1:12">
      <c r="A82" s="634" t="str">
        <f>'16i'!$A$1</f>
        <v>Table 16I: Number of Families Under the Low Income Cut-Offs After Tax (1992 base), by Economic Family Type, Canada, in thousands, 1981-2007</v>
      </c>
      <c r="L82" s="351"/>
    </row>
    <row r="83" spans="1:12">
      <c r="A83" s="634" t="str">
        <f>'16j'!$A$1</f>
        <v>Table 16J: Percentage of Families Under the Low Income Cut-Offs After Tax (1992 base), by Economic Family Type, Canada, 1981-2007</v>
      </c>
      <c r="L83" s="351"/>
    </row>
    <row r="84" spans="1:12">
      <c r="A84" s="634" t="str">
        <f>'16k'!$A$1</f>
        <v>Table 16K: Number of Persons Under the Low Income Cut-Offs After Tax (1992 base), by Economic Family Type, Canada, in thousands, 1981-2007</v>
      </c>
      <c r="L84" s="351"/>
    </row>
    <row r="85" spans="1:12">
      <c r="A85" s="634" t="str">
        <f>'16l'!$A$1</f>
        <v>Table 16L: Percentage of Persons Under the Low Income Cut-Offs After-Tax (1992 base), by Economic Family Type, Canada, 1981-2007</v>
      </c>
      <c r="L85" s="351"/>
    </row>
    <row r="86" spans="1:12">
      <c r="A86" s="634" t="str">
        <f>'17a'!$B$1</f>
        <v>Table 17A: Average Low Income Gap After Tax, All Family Units (in constant 2007$), 1981-2007</v>
      </c>
      <c r="L86" s="351"/>
    </row>
    <row r="87" spans="1:12">
      <c r="A87" s="634" t="str">
        <f>'17b'!$B$1</f>
        <v>Table 17B: Provincial Average Low Income Gap After Tax, All Family Units, as a Proportion of the National Average, 1981-2007</v>
      </c>
      <c r="L87" s="351"/>
    </row>
    <row r="88" spans="1:12">
      <c r="A88" s="634" t="str">
        <f>'17c'!$A$1</f>
        <v>Table 17C: Average Low Income Gap, by Economic Family Type, Canada (2006$), 1981-2006</v>
      </c>
      <c r="L88" s="351"/>
    </row>
    <row r="89" spans="1:12">
      <c r="A89" s="634" t="str">
        <f>'18a'!$B$1</f>
        <v>Table 18A: Persons Under the Pre-Tax LIM by Province, 1997-2006*</v>
      </c>
      <c r="L89" s="351"/>
    </row>
    <row r="90" spans="1:12">
      <c r="A90" s="634" t="str">
        <f>'18b'!$B$1</f>
        <v>Table 18B: Number of Persons and Families Under the Post-Tax LIM, by Type, 1997-2006</v>
      </c>
      <c r="L90" s="351"/>
    </row>
    <row r="91" spans="1:12">
      <c r="A91" s="634" t="str">
        <f>'19a'!$A$1</f>
        <v>Table 19A: Aggregate, Average and Median Net Worth by Type of Family Unit, Ages and Income, 1999</v>
      </c>
      <c r="L91" s="351"/>
    </row>
    <row r="92" spans="1:12">
      <c r="A92" s="634" t="str">
        <f>'19b'!$A$1</f>
        <v>Table 19B:  Change in Median Net Worth From 1999 to 2005, by Quintile</v>
      </c>
      <c r="L92" s="351"/>
    </row>
    <row r="93" spans="1:12">
      <c r="A93" s="634" t="str">
        <f>'19c'!$A$1</f>
        <v>Table 19C: Percentage Distribution of Wealth, All Family Units, 1970-1999 and 1999-2005</v>
      </c>
      <c r="L93" s="351"/>
    </row>
    <row r="94" spans="1:12">
      <c r="A94" s="634" t="str">
        <f>'19d'!$A$1</f>
        <v>Table 19D: Average Wealth by Deciles, all Family Units, in Constant 1999 Dollars, 1970-1999</v>
      </c>
      <c r="L94" s="351"/>
    </row>
    <row r="95" spans="1:12">
      <c r="A95" s="634" t="str">
        <f>'19e'!$A$1</f>
        <v>Table 19E: The Millionaires’ Club by Region or Province, 1999</v>
      </c>
      <c r="L95" s="351"/>
    </row>
    <row r="96" spans="1:12">
      <c r="A96" s="634" t="str">
        <f>'19f'!$A$1</f>
        <v>Table 19F: Distribution of Family Units and Wealth by Province in Constant 1999 dollars, 1984-1999</v>
      </c>
      <c r="L96" s="351"/>
    </row>
    <row r="97" spans="1:16">
      <c r="A97" s="634" t="str">
        <f>'19g'!$A$1</f>
        <v>Table 19G: Wealth by Family Type in Constant 1999 Dollars, 1984-1999</v>
      </c>
      <c r="L97" s="351"/>
    </row>
    <row r="98" spans="1:16">
      <c r="A98" s="634" t="str">
        <f>'19H'!A1</f>
        <v>Table 19H: Median Wealth by Economic Family Type, 1999 and 2005 (2005$)</v>
      </c>
      <c r="L98" s="351"/>
    </row>
    <row r="99" spans="1:16">
      <c r="A99" s="634" t="str">
        <f>'19I'!A1</f>
        <v>Table 19I: Average Net Worth of Families by Quintile, 1999 and 2005 (in 2005$)</v>
      </c>
      <c r="L99" s="351"/>
    </row>
    <row r="100" spans="1:16">
      <c r="A100" s="634" t="str">
        <f>'20a'!$B$1</f>
        <v>Table 20A: Linear Trend for Real Disposable Income per Capita (in 2002 constant dollars), 1981-2008</v>
      </c>
      <c r="L100" s="351"/>
    </row>
    <row r="101" spans="1:16">
      <c r="A101" s="634" t="str">
        <f>'20b'!$B$1</f>
        <v>Table 20B: Absolute Percentage Off-Trend, 1981-2008</v>
      </c>
      <c r="L101" s="351"/>
    </row>
    <row r="102" spans="1:16">
      <c r="A102" s="634" t="str">
        <f>'21'!$B$1</f>
        <v>Table 21: Consumer Bankruptcies per 10,000 Persons, 1976-2008</v>
      </c>
      <c r="L102" s="351"/>
    </row>
    <row r="103" spans="1:16">
      <c r="A103" s="634" t="str">
        <f>'22a'!$B$1</f>
        <v>Table 22A: Unemployment Rate (in percent), 1976-2008</v>
      </c>
      <c r="L103" s="351"/>
    </row>
    <row r="104" spans="1:16">
      <c r="A104" s="634" t="str">
        <f>'22b'!$B$1</f>
        <v>Table 22B: Official Unemployment Rate plus Discouraged Searchers and Involuntary Part-Timers (in full-time equivalents), 1997-2008</v>
      </c>
      <c r="L104" s="351"/>
    </row>
    <row r="105" spans="1:16">
      <c r="A105" s="634" t="str">
        <f>'22c'!$B$1</f>
        <v>Table 22C: Provincial Unemployment Rate as a Proportion of the National Average, 1976-2008</v>
      </c>
      <c r="L105" s="351"/>
    </row>
    <row r="106" spans="1:16">
      <c r="A106" s="634" t="str">
        <f>'22d'!$B$1</f>
        <v>Table 22D: Provincial Official Unemployment Rate Plus Discouraged Searchers and Involuntary Part-Timers as a Proportion of the National Average, 1997-2008</v>
      </c>
      <c r="B106" s="409"/>
      <c r="C106" s="301"/>
      <c r="D106" s="301"/>
      <c r="E106" s="301"/>
      <c r="F106" s="301"/>
      <c r="G106" s="301"/>
      <c r="H106" s="301"/>
      <c r="I106" s="301"/>
      <c r="J106" s="301"/>
      <c r="K106" s="301"/>
      <c r="L106" s="409"/>
      <c r="M106" s="301"/>
      <c r="N106" s="409"/>
      <c r="O106" s="301"/>
      <c r="P106" s="301"/>
    </row>
    <row r="107" spans="1:16">
      <c r="A107" s="634" t="str">
        <f>'23'!$A$1</f>
        <v>Table 23: Real Measures of Wages in Canada, 1981-2008</v>
      </c>
      <c r="L107" s="351"/>
    </row>
    <row r="108" spans="1:16">
      <c r="A108" s="634" t="str">
        <f>'24a'!$B$1</f>
        <v>Table 24A: Quintile Distribution of Market Income of Economic Families for Canada, Unadjusted and Adjusted for Family Size (in $2007), 1981-2007</v>
      </c>
      <c r="L108" s="351"/>
    </row>
    <row r="109" spans="1:16">
      <c r="A109" s="634" t="str">
        <f>'24b'!$B$1</f>
        <v>Table 24B: Quintile Distribution of Total Income of Economic Families for Canada, Unadjusted and Adjusted for Family Size (in $2007), 1981-2007</v>
      </c>
      <c r="L109" s="351"/>
    </row>
    <row r="110" spans="1:16">
      <c r="A110" s="634" t="str">
        <f>'24c'!$B$1</f>
        <v>Table 24C: Quintile Distribution of After-Tax Income of Economic Families for Canada, Unadjusted and Adjusted for Family Size (in $2007), 1981-2007</v>
      </c>
      <c r="L110" s="351"/>
    </row>
    <row r="111" spans="1:16">
      <c r="A111" s="634" t="str">
        <f>'24d'!$B$1</f>
        <v>Table 24D: Quintile Share of Market Income of Economic Families for Canada, Unadjusted and Adjusted for Family Size, 1981-2007</v>
      </c>
      <c r="L111" s="351"/>
    </row>
    <row r="112" spans="1:16">
      <c r="A112" s="634" t="str">
        <f>'24e'!$B$1</f>
        <v>Table 24E: Quintile Share of Total Income of Economic Families for Canada, Unadjusted and Adjusted for Family Size, 1981-2007</v>
      </c>
      <c r="L112" s="351"/>
    </row>
    <row r="113" spans="1:14">
      <c r="A113" s="634" t="str">
        <f>'24f'!$B$1</f>
        <v>Table 24F: Quintile Share of After-Tax Income of Economic Families for Canada, Unadjusted and Adjusted for Family Size, 1981-2007</v>
      </c>
      <c r="L113" s="351"/>
    </row>
    <row r="114" spans="1:14">
      <c r="A114" s="634" t="str">
        <f>'25a'!$B$1</f>
        <v>Table 25A: Incidence of Medium and Long Term Unemployment in Canada as a Share of Total Unemployment, 1976-2008</v>
      </c>
      <c r="L114" s="351"/>
    </row>
    <row r="115" spans="1:14" s="739" customFormat="1">
      <c r="A115" s="634" t="str">
        <f>'25b'!$B$1</f>
        <v>Table 25b: Incidence of Medium and Long Term Unemployment in Canada as a Share of Total Labour Force, 1976-2008</v>
      </c>
      <c r="B115" s="351"/>
      <c r="L115" s="351"/>
      <c r="N115" s="351"/>
    </row>
    <row r="116" spans="1:14">
      <c r="A116" s="634" t="str">
        <f>'26a'!$A$1</f>
        <v>Table 26A: The Adequacy, Suitability, Affordability and Acceptability of Canadian Households, in Per Cent, 1991-2006</v>
      </c>
      <c r="L116" s="351"/>
    </row>
    <row r="117" spans="1:14">
      <c r="A117" s="634" t="str">
        <f>'26b'!$A$1</f>
        <v>Table 26B: Access to Adequate, Suitable and Affordable Housing,</v>
      </c>
      <c r="L117" s="351"/>
    </row>
    <row r="118" spans="1:14">
      <c r="A118" s="634" t="str">
        <f>'26c'!$A$1</f>
        <v xml:space="preserve">Table 26C: The Suitability of Canadian Housing: </v>
      </c>
      <c r="L118" s="351"/>
    </row>
    <row r="119" spans="1:14">
      <c r="A119" s="634" t="str">
        <f>'26d'!$A$1</f>
        <v xml:space="preserve">Table 26D: The Adequacy of Canadian Housing: </v>
      </c>
      <c r="L119" s="351"/>
    </row>
    <row r="120" spans="1:14">
      <c r="A120" s="634" t="str">
        <f>'26e'!$A$1</f>
        <v xml:space="preserve">Table 26E: The Affordability of Canadian Housing: </v>
      </c>
      <c r="L120" s="351"/>
    </row>
    <row r="121" spans="1:14">
      <c r="A121" s="634" t="str">
        <f>'27'!$A$1</f>
        <v>Table 27 :  RBC Housing Affordability Index for Canada, 1985-2009</v>
      </c>
      <c r="L121" s="351"/>
    </row>
    <row r="122" spans="1:14">
      <c r="A122" s="634" t="str">
        <f>'28a'!$A$1</f>
        <v>Table 28A: One-Year Forecast for  Personal Financial Prospects,  March 1991-September 2004</v>
      </c>
      <c r="L122" s="351"/>
    </row>
    <row r="123" spans="1:14">
      <c r="A123" s="634" t="str">
        <f>'28b'!$A$1</f>
        <v>Table 28B: One-Year Forecast for  the Canadian Economy,  March 1991-September 2004</v>
      </c>
      <c r="L123" s="351"/>
    </row>
    <row r="124" spans="1:14">
      <c r="A124" s="634" t="str">
        <f>'28c'!$A$1</f>
        <v>Table 28C : Canadian's Job Anxiety: 1990-2004</v>
      </c>
      <c r="L124" s="351"/>
    </row>
    <row r="125" spans="1:14">
      <c r="A125" s="634" t="str">
        <f>'29a'!$A$1</f>
        <v>Table 29A : Percentage Distribution of Hourly Wages (2001 dollars), 1981-2004, in Per Cent</v>
      </c>
      <c r="L125" s="351"/>
    </row>
    <row r="126" spans="1:14">
      <c r="A126" s="634" t="str">
        <f>'29b'!$A$1</f>
        <v>Table 29B : Proportion of Wage Earners Who are Low-Paid Workers, Canada, 1980 to 2000</v>
      </c>
      <c r="L126" s="351"/>
    </row>
    <row r="127" spans="1:14">
      <c r="A127" s="634" t="str">
        <f>'30'!$A$1</f>
        <v>Table 30: Low-Income Population Accounted for by Five Groups, in Per Cent</v>
      </c>
      <c r="L127" s="351"/>
    </row>
    <row r="128" spans="1:14">
      <c r="A128" s="634" t="str">
        <f>'31'!$A$1</f>
        <v>Table 31: Productivity in the Total Economy, Canada</v>
      </c>
      <c r="L128" s="351"/>
    </row>
    <row r="129" spans="1:16">
      <c r="A129" s="634" t="str">
        <f>'32'!$B$1</f>
        <v>Table 32: Gross Domestic Product Decomposition, Billions of Current Dollars, 1981-2008</v>
      </c>
      <c r="L129" s="351"/>
    </row>
    <row r="130" spans="1:16">
      <c r="A130" s="634" t="str">
        <f>'33'!$B$1</f>
        <v>Table 33: Personal Income Decomposition, Billions of Current Dollars, 1981-2008</v>
      </c>
      <c r="L130" s="351"/>
    </row>
    <row r="131" spans="1:16" ht="15.75">
      <c r="A131" s="634" t="str">
        <f>'34a'!$A$1</f>
        <v xml:space="preserve">Table 34A: Welfare Income, Canada and the Provinces, 1986-2007 ($2007) </v>
      </c>
      <c r="I131" s="104"/>
      <c r="L131" s="351"/>
    </row>
    <row r="132" spans="1:16" ht="15.75">
      <c r="A132" s="634" t="str">
        <f>'34b'!$A$1</f>
        <v>Table 34B: Welfare Income as Percentage of the Poverty Line, Canada and the Provinces, 1986-2007, Per Cent</v>
      </c>
      <c r="I132" s="104"/>
      <c r="L132" s="351"/>
    </row>
    <row r="133" spans="1:16">
      <c r="A133" s="634" t="str">
        <f>'35a'!$B$1</f>
        <v>Table 35A : Hourly Minimum Wages in Canada for Adult Workers by Province and Territories, 1965-2008</v>
      </c>
      <c r="L133" s="351"/>
    </row>
    <row r="134" spans="1:16" ht="15.75" customHeight="1">
      <c r="A134" s="634" t="str">
        <f>'35b'!$B$1</f>
        <v>Table 35B : Real Hourly Minimum Wages in Canada for Adult Workers by Province, Adjusted by CPI (2002=100), 1981-2008</v>
      </c>
      <c r="B134" s="410"/>
      <c r="C134" s="302"/>
      <c r="D134" s="302"/>
      <c r="E134" s="302"/>
      <c r="F134" s="302"/>
      <c r="G134" s="302"/>
      <c r="H134" s="302"/>
      <c r="I134" s="302"/>
      <c r="J134" s="302"/>
      <c r="K134" s="302"/>
      <c r="L134" s="410"/>
      <c r="M134" s="302"/>
      <c r="N134" s="410"/>
      <c r="O134" s="302"/>
      <c r="P134" s="302"/>
    </row>
    <row r="135" spans="1:16" ht="15.75" customHeight="1">
      <c r="A135" s="634" t="str">
        <f>'35c'!$B$1</f>
        <v>Table 35C: Nominal Hourly Minimum Wages as Percentage of the SEPH-Based Nominal Average Hourly Wages</v>
      </c>
      <c r="B135" s="410"/>
      <c r="C135" s="302"/>
      <c r="D135" s="302"/>
      <c r="E135" s="302"/>
      <c r="F135" s="302"/>
      <c r="G135" s="302"/>
      <c r="H135" s="302"/>
      <c r="I135" s="302"/>
      <c r="J135" s="302"/>
      <c r="K135" s="302"/>
      <c r="L135" s="410"/>
      <c r="M135" s="302"/>
      <c r="N135" s="410"/>
      <c r="O135" s="302"/>
      <c r="P135" s="302"/>
    </row>
    <row r="136" spans="1:16" ht="15.75" customHeight="1">
      <c r="A136" s="634" t="str">
        <f>'35d'!$A$1</f>
        <v>Table 35D: Nominal Hourly Minimum Wages as Percentage of the LFS- Based Nominal Average Hourly Wages</v>
      </c>
      <c r="B136" s="410"/>
      <c r="C136" s="302"/>
      <c r="D136" s="302"/>
      <c r="E136" s="302"/>
      <c r="F136" s="302"/>
      <c r="G136" s="302"/>
      <c r="H136" s="302"/>
      <c r="I136" s="302"/>
      <c r="J136" s="302"/>
      <c r="K136" s="302"/>
      <c r="L136" s="410"/>
      <c r="M136" s="302"/>
      <c r="N136" s="410"/>
      <c r="O136" s="302"/>
      <c r="P136" s="302"/>
    </row>
    <row r="137" spans="1:16">
      <c r="A137" s="634" t="str">
        <f>'36'!$A$1</f>
        <v>Table 36: Prevalence of Food Insecurity and Not Having Enough to Eat, by Household Income, 2001</v>
      </c>
      <c r="L137" s="351"/>
    </row>
    <row r="138" spans="1:16">
      <c r="A138" s="634" t="str">
        <f>'36a'!A1</f>
        <v>Table 36a: Prevalence of Household Food Insecurity in Canada and Provinces, 2004</v>
      </c>
      <c r="L138" s="351"/>
    </row>
    <row r="139" spans="1:16">
      <c r="A139" s="634" t="str">
        <f>'36b'!A1</f>
        <v>Table 36b: Food Security by Income Adequacy Grouping, 2004</v>
      </c>
      <c r="L139" s="351"/>
    </row>
    <row r="140" spans="1:16">
      <c r="A140" s="634" t="str">
        <f>'37'!$A$1</f>
        <v>Table 37: Labour Force Statistics in Canada, 1976-2008</v>
      </c>
      <c r="L140" s="351"/>
    </row>
    <row r="141" spans="1:16">
      <c r="A141" s="634" t="str">
        <f>'37a'!$A$1</f>
        <v>Table 37A: Labour Force Statistics in Newfoundland and Labrador, 1976-2008</v>
      </c>
      <c r="L141" s="351"/>
    </row>
    <row r="142" spans="1:16">
      <c r="A142" s="634" t="str">
        <f>'37b'!$A$1</f>
        <v>Table 37B: Labour Force Statistics in Prince Edward Island, 1976-2008</v>
      </c>
      <c r="L142" s="351"/>
    </row>
    <row r="143" spans="1:16">
      <c r="A143" s="634" t="str">
        <f>'37c'!$A$1</f>
        <v>Table 37C: Labour Force Statistics in Nova Scotia, 1976-2008</v>
      </c>
      <c r="L143" s="351"/>
    </row>
    <row r="144" spans="1:16">
      <c r="A144" s="634" t="str">
        <f>'37d'!$A$1</f>
        <v>Table 37D: Labour Force Statistics in New Brunswick, 1976-2008</v>
      </c>
      <c r="L144" s="351"/>
    </row>
    <row r="145" spans="1:16">
      <c r="A145" s="634" t="str">
        <f>'37e'!$A$1</f>
        <v>Table 37E: Labour Force Statistics in Quebec, 1976-2008</v>
      </c>
      <c r="L145" s="351"/>
    </row>
    <row r="146" spans="1:16">
      <c r="A146" s="634" t="str">
        <f>'37f'!$A$1</f>
        <v>Table 37F: Labour Force Statistics in Ontario, 1976-2008</v>
      </c>
      <c r="L146" s="351"/>
    </row>
    <row r="147" spans="1:16">
      <c r="A147" s="634" t="str">
        <f>'37g'!$A$1</f>
        <v>Table 37G: Labour Force Statistics in Manitoba, 1976-2008</v>
      </c>
      <c r="L147" s="351"/>
    </row>
    <row r="148" spans="1:16">
      <c r="A148" s="634" t="str">
        <f>'37h'!$A$1</f>
        <v>Table 37H: Labour Force Statistics in Saskatchewan, 1976-2008</v>
      </c>
      <c r="L148" s="351"/>
    </row>
    <row r="149" spans="1:16">
      <c r="A149" s="634" t="str">
        <f>'37i'!$A$1</f>
        <v>Table 37I: Labour Force Statistics in Alberta, 1976-2008</v>
      </c>
      <c r="L149" s="351"/>
    </row>
    <row r="150" spans="1:16">
      <c r="A150" s="634" t="str">
        <f>'37j'!$A$1</f>
        <v>Table 37J: Labour Force Statistics in British Columbia, 1976-2008</v>
      </c>
      <c r="L150" s="351"/>
    </row>
    <row r="151" spans="1:16">
      <c r="A151" s="634" t="str">
        <f>'38a'!A$1</f>
        <v>Table 38A: Incidence of Low Income in Canada by Various Groups, using the Market Basket Measure</v>
      </c>
      <c r="L151" s="351"/>
    </row>
    <row r="152" spans="1:16" s="1049" customFormat="1">
      <c r="A152" s="634" t="str">
        <f>'38b'!A$1</f>
        <v>Table 38B: Depth of Low Income in Canada by Various Groups, Using the Market Basket Measure</v>
      </c>
      <c r="B152" s="351"/>
      <c r="L152" s="351"/>
      <c r="N152" s="351"/>
    </row>
    <row r="153" spans="1:16">
      <c r="A153" s="634" t="str">
        <f>'39'!A$1</f>
        <v>Table 39: Trends in Number of Job Losers in Canada, 1976-2006</v>
      </c>
      <c r="L153" s="351"/>
    </row>
    <row r="154" spans="1:16">
      <c r="A154" s="634" t="str">
        <f>'40'!A$1</f>
        <v>Table 40: CIBC Employment Quality Quarterly Index for Canada, 1988-2006 (January 1994=100)</v>
      </c>
      <c r="L154" s="351"/>
    </row>
    <row r="155" spans="1:16">
      <c r="A155" s="634" t="str">
        <f>'41'!A$1</f>
        <v>Table 41: CCSD  Personal Security Index, 2003</v>
      </c>
      <c r="L155" s="351"/>
    </row>
    <row r="156" spans="1:16" ht="15.75">
      <c r="A156" s="634" t="str">
        <f>'42'!A$1</f>
        <v>Table 42: Average Household Spending, by Category, 1997-2007, Current Dollars</v>
      </c>
      <c r="B156" s="408"/>
      <c r="C156" s="42"/>
      <c r="D156" s="42"/>
      <c r="E156" s="42"/>
      <c r="F156" s="42"/>
      <c r="G156" s="42"/>
      <c r="H156" s="42"/>
      <c r="I156" s="42"/>
      <c r="J156" s="42"/>
      <c r="K156" s="42"/>
      <c r="L156" s="408"/>
      <c r="M156" s="42"/>
      <c r="N156" s="408"/>
      <c r="O156" s="42"/>
      <c r="P156" s="42"/>
    </row>
    <row r="157" spans="1:16">
      <c r="A157" s="634" t="str">
        <f>'43'!A$1</f>
        <v>Table 43: Percentage of Employees* in Temporary Jobs, by Selected Characteristics, 1989-2004</v>
      </c>
      <c r="L157" s="351"/>
    </row>
    <row r="158" spans="1:16">
      <c r="A158" s="634" t="str">
        <f>'44a'!$A$1</f>
        <v>Table 44A: Number and Percentage of Workers Working 50 Hours or More by Age, All Jobs, 1976-2008</v>
      </c>
      <c r="L158" s="351"/>
    </row>
    <row r="159" spans="1:16">
      <c r="A159" s="634" t="str">
        <f>'44b'!$A$1</f>
        <v>Table 44B: Number of Workers Working 50 Hours or More by Occupation, Main Job, 1987-2008</v>
      </c>
      <c r="L159" s="351"/>
    </row>
    <row r="160" spans="1:16">
      <c r="A160" s="634" t="str">
        <f>'44c'!$A$1</f>
        <v>Table 44C: Percentage of Workers Working 50 Hours or More by Occupation, Main Job, 1987-2008</v>
      </c>
      <c r="L160" s="351"/>
    </row>
    <row r="161" spans="1:16" s="1145" customFormat="1">
      <c r="A161" s="634" t="str">
        <f>'44d'!$A$1</f>
        <v>Table 44D: Proportion of workers working over 50 hours, Canada, 1976-2008</v>
      </c>
      <c r="B161" s="351"/>
      <c r="L161" s="351"/>
      <c r="N161" s="351"/>
    </row>
    <row r="162" spans="1:16">
      <c r="A162" s="634" t="str">
        <f>'45a'!$A$1</f>
        <v>Table 45A : MBM Poverty Line, 1986-2007,  $2007</v>
      </c>
      <c r="B162" s="830"/>
      <c r="L162" s="351"/>
    </row>
    <row r="163" spans="1:16">
      <c r="A163" s="634" t="str">
        <f>'45b'!$A$1</f>
        <v>Table 45B : Hours of Work at Minimum Wage per Week Needed to Reach Welfare Income, 1986-2007</v>
      </c>
      <c r="B163" s="1334"/>
      <c r="L163" s="351"/>
    </row>
    <row r="164" spans="1:16">
      <c r="A164" s="634" t="str">
        <f>'45c'!$A$1</f>
        <v>Table 45C : Hours of Work at Minimum Wage per Week Needed to Reach Poverty Line, 1986-2007</v>
      </c>
      <c r="B164" s="1335"/>
      <c r="L164" s="351"/>
    </row>
    <row r="165" spans="1:16" ht="15.75" customHeight="1">
      <c r="A165" s="634" t="str">
        <f>'46'!A$1</f>
        <v>Table 46: Personal Saving Rate in Canada and the Provinces, Per Cent, 1981-2008</v>
      </c>
      <c r="B165" s="1335"/>
      <c r="L165" s="351"/>
    </row>
    <row r="166" spans="1:16">
      <c r="A166" s="634" t="str">
        <f>'47'!A$1</f>
        <v>Table 47:  Assets, Liabilities and Net Worth for Persons and Unincorporated Businesses, Millions of Dollars, 1981-2008</v>
      </c>
      <c r="L166" s="351"/>
    </row>
    <row r="167" spans="1:16">
      <c r="A167" s="634" t="str">
        <f>'47a'!$A$1</f>
        <v>Table 47A:  Assets, Liabilities and Net Worth for Persons and Unincorporated Businesses, Millions of $2001 (CPI adjusted), 1981-2008</v>
      </c>
      <c r="L167" s="351"/>
    </row>
    <row r="168" spans="1:16">
      <c r="A168" s="634" t="str">
        <f>'47b'!$A$1</f>
        <v>Table 47B:  Assets, Liabilities, Income and Savings for Persons and Unincorporated Businesses per Household, $2001 (CPI adjusted), 1981-2008</v>
      </c>
      <c r="L168" s="351"/>
    </row>
    <row r="169" spans="1:16" ht="15.75" customHeight="1">
      <c r="A169" s="634" t="str">
        <f>'47c'!$A$1</f>
        <v>Table 47C:  Types of Assets and Liabilities as a Proportion of Total Assets and Total Liabilities, Persons and Unincorporated Businesses, 1981-2008</v>
      </c>
      <c r="B169" s="411"/>
      <c r="C169" s="244"/>
      <c r="D169" s="244"/>
      <c r="E169" s="244"/>
      <c r="F169" s="244"/>
      <c r="G169" s="244"/>
      <c r="H169" s="244"/>
      <c r="I169" s="244"/>
      <c r="J169" s="244"/>
      <c r="K169" s="244"/>
      <c r="L169" s="411"/>
      <c r="M169" s="244"/>
      <c r="N169" s="411"/>
      <c r="O169" s="244"/>
      <c r="P169" s="244"/>
    </row>
    <row r="170" spans="1:16">
      <c r="A170" s="634" t="str">
        <f>'47d'!$A$1</f>
        <v>Table 47D:  Income and Savings for Persons and Unincorporated Businesses, Millions of Dollars Unless Otherwise Indicated, 1981-2008</v>
      </c>
      <c r="L170" s="351"/>
    </row>
    <row r="171" spans="1:16">
      <c r="A171" s="634" t="str">
        <f>'48'!A$1</f>
        <v>Table 48: Composition of Assets and Debts, Including Employer-Sponsored Registered Pension Plans, Canada, 1999 and 2005</v>
      </c>
      <c r="L171" s="351"/>
    </row>
    <row r="172" spans="1:16">
      <c r="A172" s="634" t="str">
        <f>'49'!A1</f>
        <v>Table 49 : Assets and Debts Held by Family Units, Including Employer-Sponsored Registered Pension Plans, Canada, 1999 and 2005</v>
      </c>
      <c r="L172" s="351"/>
    </row>
    <row r="173" spans="1:16">
      <c r="A173" s="634" t="str">
        <f>'50'!B$1</f>
        <v>Table 50: Sargent EI Disicentives Index, 1970-2008 (1970=100)</v>
      </c>
      <c r="L173" s="351"/>
    </row>
    <row r="174" spans="1:16" ht="15">
      <c r="A174" s="635" t="str">
        <f>'51a-j'!B1</f>
        <v>Table 51: Security from the Risk Imposed by Unemployment, 1981-2008</v>
      </c>
      <c r="B174" s="1336"/>
      <c r="C174" s="327"/>
      <c r="D174" s="328"/>
      <c r="E174" s="328"/>
      <c r="F174" s="328"/>
      <c r="L174" s="351"/>
    </row>
    <row r="175" spans="1:16" ht="15">
      <c r="A175" s="635" t="s">
        <v>702</v>
      </c>
      <c r="B175" s="1336"/>
      <c r="C175" s="327"/>
      <c r="D175" s="328"/>
      <c r="E175" s="328"/>
      <c r="F175" s="328"/>
      <c r="L175" s="351"/>
    </row>
    <row r="176" spans="1:16" ht="15">
      <c r="A176" s="635" t="s">
        <v>703</v>
      </c>
      <c r="B176" s="1336"/>
      <c r="C176" s="327"/>
      <c r="D176" s="328"/>
      <c r="E176" s="328"/>
      <c r="F176" s="328"/>
      <c r="L176" s="351"/>
    </row>
    <row r="177" spans="1:12" ht="15">
      <c r="A177" s="635" t="s">
        <v>704</v>
      </c>
      <c r="B177" s="1336"/>
      <c r="C177" s="327"/>
      <c r="D177" s="328"/>
      <c r="E177" s="328"/>
      <c r="F177" s="328"/>
      <c r="L177" s="351"/>
    </row>
    <row r="178" spans="1:12" ht="15">
      <c r="A178" s="635" t="s">
        <v>705</v>
      </c>
      <c r="B178" s="1336"/>
      <c r="C178" s="327"/>
      <c r="D178" s="328"/>
      <c r="E178" s="328"/>
      <c r="F178" s="328"/>
      <c r="L178" s="351"/>
    </row>
    <row r="179" spans="1:12" ht="15">
      <c r="A179" s="635" t="s">
        <v>690</v>
      </c>
      <c r="B179" s="1336"/>
      <c r="C179" s="327"/>
      <c r="D179" s="328"/>
      <c r="E179" s="328"/>
      <c r="F179" s="328"/>
      <c r="L179" s="351"/>
    </row>
    <row r="180" spans="1:12" ht="15">
      <c r="A180" s="635" t="s">
        <v>691</v>
      </c>
      <c r="B180" s="1336"/>
      <c r="C180" s="327"/>
      <c r="D180" s="328"/>
      <c r="E180" s="328"/>
      <c r="F180" s="328"/>
      <c r="L180" s="351"/>
    </row>
    <row r="181" spans="1:12" ht="15">
      <c r="A181" s="635" t="s">
        <v>784</v>
      </c>
      <c r="B181" s="1336"/>
      <c r="C181" s="327"/>
      <c r="D181" s="328"/>
      <c r="E181" s="328"/>
      <c r="F181" s="328"/>
      <c r="L181" s="351"/>
    </row>
    <row r="182" spans="1:12" ht="15">
      <c r="A182" s="635" t="s">
        <v>785</v>
      </c>
      <c r="B182" s="1336"/>
      <c r="C182" s="327"/>
      <c r="D182" s="328"/>
      <c r="E182" s="328"/>
      <c r="F182" s="328"/>
      <c r="L182" s="351"/>
    </row>
    <row r="183" spans="1:12" ht="15">
      <c r="A183" s="635" t="s">
        <v>786</v>
      </c>
      <c r="B183" s="1336"/>
      <c r="C183" s="327"/>
      <c r="D183" s="328"/>
      <c r="E183" s="328"/>
      <c r="F183" s="328"/>
      <c r="L183" s="351"/>
    </row>
    <row r="184" spans="1:12" ht="15">
      <c r="A184" s="635" t="s">
        <v>787</v>
      </c>
      <c r="B184" s="1336"/>
      <c r="C184" s="327"/>
      <c r="D184" s="328"/>
      <c r="E184" s="328"/>
      <c r="F184" s="328"/>
      <c r="L184" s="351"/>
    </row>
    <row r="185" spans="1:12" ht="15">
      <c r="A185" s="635" t="str">
        <f>'52'!B1</f>
        <v>Table 52: Security from the Risk Imposed by Illness, 1981-2008</v>
      </c>
      <c r="B185" s="1336"/>
      <c r="C185" s="327"/>
      <c r="D185" s="328"/>
      <c r="E185" s="328"/>
      <c r="F185" s="328"/>
      <c r="L185" s="351"/>
    </row>
    <row r="186" spans="1:12" ht="15">
      <c r="A186" s="635" t="str">
        <f>'53'!B1</f>
        <v>Table 53: Security from the Risk Imposed by Single-Parent Poverty, 1981-2008</v>
      </c>
      <c r="B186" s="1336"/>
      <c r="C186" s="327"/>
      <c r="D186" s="328"/>
      <c r="E186" s="328"/>
      <c r="F186" s="328"/>
      <c r="L186" s="351"/>
    </row>
    <row r="187" spans="1:12" ht="15">
      <c r="A187" s="635" t="str">
        <f>'54'!B1</f>
        <v>Table 54: Security from the Risk Imposed by Poverty in Old Age, 1981-2008</v>
      </c>
      <c r="B187" s="1336"/>
      <c r="C187" s="327"/>
      <c r="D187" s="328"/>
      <c r="E187" s="328"/>
      <c r="F187" s="328"/>
      <c r="L187" s="351"/>
    </row>
    <row r="188" spans="1:12" ht="15">
      <c r="A188" s="635" t="str">
        <f>'55'!B1</f>
        <v>Table 55: Overall Index of Economic Security, 1981-2008</v>
      </c>
      <c r="B188" s="1336"/>
      <c r="C188" s="327"/>
      <c r="D188" s="328"/>
      <c r="E188" s="328"/>
      <c r="F188" s="328"/>
      <c r="L188" s="351"/>
    </row>
    <row r="189" spans="1:12" ht="15">
      <c r="A189" s="636" t="str">
        <f>'56'!B1</f>
        <v>Table 56: Government Transfer Payments to Persons by Resource in Canada, 1981-2006</v>
      </c>
      <c r="B189" s="1336"/>
      <c r="C189" s="327"/>
      <c r="D189" s="328"/>
      <c r="E189" s="328"/>
      <c r="F189" s="328"/>
      <c r="L189" s="351"/>
    </row>
    <row r="190" spans="1:12" ht="15">
      <c r="A190" s="636" t="str">
        <f>'57'!A1</f>
        <v>Table 57:  Hours Worked per Week and Other Labour Force Statistics in Canada 15 Years and Over, 1976-2008</v>
      </c>
      <c r="B190" s="1336"/>
      <c r="C190" s="327"/>
      <c r="D190" s="328"/>
      <c r="E190" s="328"/>
      <c r="F190" s="328"/>
      <c r="L190" s="351"/>
    </row>
    <row r="191" spans="1:12" ht="15">
      <c r="A191" s="636" t="str">
        <f>'58'!A1</f>
        <v>Table 58:  Hours Worked and Other Labour Force Statistics in Canada, 15-64 years old, 1976-2008</v>
      </c>
      <c r="B191" s="1336"/>
      <c r="C191" s="327"/>
      <c r="D191" s="328"/>
      <c r="E191" s="328"/>
      <c r="F191" s="328"/>
      <c r="L191" s="351"/>
    </row>
    <row r="192" spans="1:12" ht="15">
      <c r="A192" s="636" t="str">
        <f>'58a'!A1</f>
        <v>Table 58a:  Hours Worked and Other Labour Force Statistics in Newfoundland and Labrador, 15-64 years old, 1976-2008</v>
      </c>
      <c r="B192" s="1336"/>
      <c r="C192" s="327"/>
      <c r="D192" s="328"/>
      <c r="E192" s="328"/>
      <c r="F192" s="328"/>
      <c r="L192" s="351"/>
    </row>
    <row r="193" spans="1:12" ht="15">
      <c r="A193" s="636" t="str">
        <f>'58b'!A1</f>
        <v>Table 58b:  Hours Worked and Other Labour Force Statistics in Prince Edward Island, 15-64 years old, 1976-2008</v>
      </c>
      <c r="B193" s="1336"/>
      <c r="C193" s="327"/>
      <c r="D193" s="328"/>
      <c r="E193" s="328"/>
      <c r="F193" s="328"/>
      <c r="L193" s="351"/>
    </row>
    <row r="194" spans="1:12" ht="15">
      <c r="A194" s="636" t="str">
        <f>'58c'!A1</f>
        <v>Table 58c:  Hours Worked and Other Labour Force Statistics in Nova Scotia, 15-64 years old, 1976-2008</v>
      </c>
      <c r="B194" s="1336"/>
      <c r="C194" s="327"/>
      <c r="D194" s="328"/>
      <c r="E194" s="328"/>
      <c r="F194" s="328"/>
      <c r="L194" s="351"/>
    </row>
    <row r="195" spans="1:12" ht="15">
      <c r="A195" s="636" t="str">
        <f>'58d'!A1</f>
        <v>Table 58d:  Hours Worked and Other Labour Force Statistics in New Brunswick, 15-64 years old, 1976-2008</v>
      </c>
      <c r="B195" s="1336"/>
      <c r="C195" s="327"/>
      <c r="D195" s="328"/>
      <c r="E195" s="328"/>
      <c r="F195" s="328"/>
      <c r="L195" s="351"/>
    </row>
    <row r="196" spans="1:12" ht="15">
      <c r="A196" s="636" t="str">
        <f>'58e'!A1</f>
        <v>Table 58e:  Hours Worked and Other Labour Force Statistics in Quebec, 15-64 years old, 1976-2008</v>
      </c>
      <c r="B196" s="1336"/>
      <c r="C196" s="327"/>
      <c r="D196" s="328"/>
      <c r="E196" s="328"/>
      <c r="F196" s="328"/>
      <c r="L196" s="351"/>
    </row>
    <row r="197" spans="1:12" ht="15">
      <c r="A197" s="636" t="str">
        <f>'58f'!A1</f>
        <v>Table 58f:  Hours Worked and Other Labour Force Statistics in Ontario, 15-64 years old, 1976-2008</v>
      </c>
      <c r="B197" s="1336"/>
      <c r="C197" s="327"/>
      <c r="D197" s="328"/>
      <c r="E197" s="328"/>
      <c r="F197" s="328"/>
      <c r="L197" s="351"/>
    </row>
    <row r="198" spans="1:12" ht="15">
      <c r="A198" s="636" t="str">
        <f>'58g'!A1</f>
        <v>Table 58g:  Hours Worked and Other Labour Force Statistics in Manitoba, 15-64 years old, 1976-2008</v>
      </c>
      <c r="B198" s="1336"/>
      <c r="C198" s="327"/>
      <c r="D198" s="328"/>
      <c r="E198" s="328"/>
      <c r="F198" s="328"/>
      <c r="L198" s="351"/>
    </row>
    <row r="199" spans="1:12" ht="15">
      <c r="A199" s="636" t="str">
        <f>'58h'!A1</f>
        <v>Table 58h:  Hours Worked and Other Labour Force Statistics in Saskatchewan, 15-64 years old, 1976-2008</v>
      </c>
      <c r="B199" s="1336"/>
      <c r="C199" s="327"/>
      <c r="D199" s="328"/>
      <c r="E199" s="328"/>
      <c r="F199" s="328"/>
      <c r="L199" s="351"/>
    </row>
    <row r="200" spans="1:12" ht="15">
      <c r="A200" s="636" t="str">
        <f>'58i'!A1</f>
        <v>Table 58i:  Hours Worked and Other Labour Force Statistics in Alberta, 15-64 years old, 1976-2008</v>
      </c>
      <c r="B200" s="1336"/>
      <c r="C200" s="327"/>
      <c r="D200" s="328"/>
      <c r="E200" s="328"/>
      <c r="F200" s="328"/>
      <c r="L200" s="351"/>
    </row>
    <row r="201" spans="1:12" ht="15">
      <c r="A201" s="636" t="str">
        <f>'58j'!A1</f>
        <v>Table 58j:  Hours Worked and Other Labour Force Statistics in British Columbia, 15-64 years old, 1976-2008</v>
      </c>
      <c r="B201" s="1336"/>
      <c r="C201" s="327"/>
      <c r="D201" s="328"/>
      <c r="E201" s="328"/>
      <c r="F201" s="328"/>
      <c r="L201" s="351"/>
    </row>
    <row r="202" spans="1:12" ht="15">
      <c r="A202" s="636" t="str">
        <f>'59a'!A1</f>
        <v>Table 59a:  Employment by Hours Worked in Canada, 15 Years and Over, 1976-2008</v>
      </c>
      <c r="B202" s="1336"/>
      <c r="C202" s="327"/>
      <c r="D202" s="328"/>
      <c r="E202" s="328"/>
      <c r="F202" s="328"/>
      <c r="L202" s="351"/>
    </row>
    <row r="203" spans="1:12" ht="15">
      <c r="A203" s="636" t="str">
        <f>'59b'!A1</f>
        <v>Table 59b:  Employment Share by Hours Worked in Canada, 15 Years and Over, Per Cent, 1976-2008</v>
      </c>
      <c r="B203" s="1336"/>
      <c r="C203" s="327"/>
      <c r="D203" s="328"/>
      <c r="E203" s="328"/>
      <c r="F203" s="328"/>
      <c r="L203" s="351"/>
    </row>
    <row r="204" spans="1:12" ht="15">
      <c r="A204" s="636" t="str">
        <f>'60'!A1</f>
        <v>Table 60:  Wage Difference Between Males and Females, 1997-2008</v>
      </c>
      <c r="B204" s="1336"/>
      <c r="C204" s="327"/>
      <c r="D204" s="328"/>
      <c r="E204" s="328"/>
      <c r="F204" s="328"/>
      <c r="L204" s="351"/>
    </row>
    <row r="205" spans="1:12" ht="15">
      <c r="A205" s="637" t="str">
        <f>'61'!A1</f>
        <v>Table 61: Number of Families, by Family Type, 1981 and 2007</v>
      </c>
      <c r="B205" s="1336"/>
      <c r="C205" s="327"/>
      <c r="D205" s="328"/>
      <c r="E205" s="328"/>
      <c r="F205" s="328"/>
      <c r="L205" s="351"/>
    </row>
    <row r="206" spans="1:12">
      <c r="A206" s="634" t="str">
        <f>'62'!A1:L1</f>
        <v>Table 62: Trends in Headline Indicators for Canada, 1981-2008</v>
      </c>
      <c r="L206" s="351"/>
    </row>
    <row r="207" spans="1:12">
      <c r="A207" s="636" t="str">
        <f>'63'!A1:J1</f>
        <v>Table 63: Index of Headline Indicators of Living Standards for Canada, 1988-2008</v>
      </c>
      <c r="L207" s="351"/>
    </row>
    <row r="208" spans="1:12">
      <c r="A208" s="636" t="str">
        <f>'64'!A1</f>
        <v>Table 64: Selected Government Transfers, 1981-2006 (current dollars x 1,000,000)</v>
      </c>
      <c r="L208" s="351"/>
    </row>
    <row r="209" spans="1:12">
      <c r="A209" s="636" t="str">
        <f>'65'!A1</f>
        <v>Table 65: Selected Government Transfers, 1981-2006 (constant 2002 dollars x 1,000,000)</v>
      </c>
      <c r="L209" s="351"/>
    </row>
    <row r="210" spans="1:12">
      <c r="A210" s="637" t="str">
        <f>'66'!A1</f>
        <v>Table 66: NCB Reinvestments and Investments by Jurisdiction for Fiscal Years ($millions), 2000-2007</v>
      </c>
      <c r="L210" s="351"/>
    </row>
    <row r="211" spans="1:12" ht="15">
      <c r="A211" s="636" t="str">
        <f>'67'!A1</f>
        <v>Table 67: Private Expenditure on Healthcare, Millions of Current Dollars, 1981-2008</v>
      </c>
      <c r="E211" s="304"/>
      <c r="L211" s="351"/>
    </row>
    <row r="212" spans="1:12">
      <c r="A212" s="636" t="str">
        <f>'68A'!A1</f>
        <v>Table 68A: Population by Age, Thousands, 1981-2008</v>
      </c>
      <c r="L212" s="351"/>
    </row>
    <row r="213" spans="1:12">
      <c r="A213" s="636" t="str">
        <f>'68B'!A1</f>
        <v>Table 68B: Labour Force by Age in Canada, Thousands, 1976-2008</v>
      </c>
      <c r="L213" s="351"/>
    </row>
    <row r="214" spans="1:12">
      <c r="A214" s="636" t="str">
        <f>'69'!A1</f>
        <v>Table 69: Weights for Index of Economic Security, 1981-2008</v>
      </c>
      <c r="L214" s="351"/>
    </row>
    <row r="215" spans="1:12">
      <c r="A215" s="638" t="str">
        <f>'70'!A$1</f>
        <v>Table 70: Canada's Net International Investment Position on December 31 and Net Investment Income from Non-Residents, 1981‐2007 (Millions of dollars)</v>
      </c>
    </row>
    <row r="216" spans="1:12">
      <c r="A216" s="638" t="str">
        <f>'71a'!A$1</f>
        <v>Table 71A: Unemployment Rate of Immigrants and Non-Immigrants, 1996, 2001 and 2006</v>
      </c>
    </row>
    <row r="217" spans="1:12">
      <c r="A217" s="638" t="str">
        <f>'71b'!A$1</f>
        <v>Table 71B: Average Total Income for Economic Families by Immigrant Status and Period, by Province, 2000 and 2005 (2005 Dollars)</v>
      </c>
    </row>
    <row r="218" spans="1:12">
      <c r="A218" s="638" t="str">
        <f>'71c'!A$1</f>
        <v>Table 71C: Median Total Income for Economic Families by Immigrant Status and Period, by Province, 2000 and 2005 (2005 Dollars)</v>
      </c>
    </row>
    <row r="219" spans="1:12">
      <c r="A219" s="638" t="str">
        <f>'72a'!A$1</f>
        <v>Table 72A: Unemployment Rate of Aboriginal and Non-Aboriginal Canadians by Province, 2001 and 2006</v>
      </c>
    </row>
    <row r="220" spans="1:12">
      <c r="A220" s="638" t="str">
        <f>'72b'!A$1</f>
        <v>Table 72b: Employment Rate of Aboriginal and Non-Aboriginal Canadians by Province, 2001 and 2006</v>
      </c>
    </row>
    <row r="221" spans="1:12">
      <c r="A221" s="638" t="str">
        <f>'73a'!A$1</f>
        <v>Table 73a: Nominal Wages of Employees (both full-time and part-time), 1997-2008</v>
      </c>
    </row>
    <row r="222" spans="1:12">
      <c r="A222" s="638" t="str">
        <f>'73b'!A$1</f>
        <v>Table 73b: Real Wages of Employees (both full-time and part-time), 1997-2007</v>
      </c>
    </row>
  </sheetData>
  <phoneticPr fontId="35" type="noConversion"/>
  <hyperlinks>
    <hyperlink ref="A28" location="'9c'!A1" display="'9c'!A1"/>
    <hyperlink ref="A29" location="'9d'!A1" display="'9d'!A1"/>
    <hyperlink ref="A30" location="'10a'!A1" display="'10a'!A1"/>
    <hyperlink ref="A31" location="'10b'!A1" display="'10b'!A1"/>
    <hyperlink ref="A32" location="'10c'!A1" display="'10c'!A1"/>
    <hyperlink ref="A33" location="'10d'!A1" display="'10d'!A1"/>
    <hyperlink ref="A34" location="'10e'!A1" display="'10e'!A1"/>
    <hyperlink ref="A35" location="'10f'!A1" display="'10f'!A1"/>
    <hyperlink ref="A36" location="'10g'!A1" display="'10g'!A1"/>
    <hyperlink ref="A37" location="'11a'!A1" display="'11a'!A1"/>
    <hyperlink ref="A38" location="'11b'!A1" display="'11b'!A1"/>
    <hyperlink ref="A39" location="'11c'!A1" display="'11c'!A1"/>
    <hyperlink ref="A40" location="'11d'!A1" display="'11d'!A1"/>
    <hyperlink ref="A41" location="'11e'!A1" display="'11e'!A1"/>
    <hyperlink ref="A42" location="'11f'!A1" display="'11f'!A1"/>
    <hyperlink ref="A43" location="'11g'!A1" display="'11g'!A1"/>
    <hyperlink ref="A44" location="'11h'!A1" display="'11h'!A1"/>
    <hyperlink ref="A45" location="'11i'!A1" display="'11i'!A1"/>
    <hyperlink ref="A46" location="'11j'!A1" display="'11j'!A1"/>
    <hyperlink ref="A47" location="'12a'!A1" display="'12a'!A1"/>
    <hyperlink ref="A48" location="'12b'!A1" display="'12b'!A1"/>
    <hyperlink ref="A49" location="'12c'!A1" display="'12c'!A1"/>
    <hyperlink ref="A50" location="'12d'!A1" display="'12d'!A1"/>
    <hyperlink ref="A51" location="'12e'!A1" display="'12e'!A1"/>
    <hyperlink ref="A52" location="'12f'!A1" display="'12f'!A1"/>
    <hyperlink ref="A53" location="'12g'!A1" display="'12g'!A1"/>
    <hyperlink ref="A54" location="'12h'!A1" display="'12h'!A1"/>
    <hyperlink ref="A55" location="'12i'!A1" display="'12i'!A1"/>
    <hyperlink ref="A56" location="'13a'!A1" display="'13a'!A1"/>
    <hyperlink ref="A57" location="'13b'!A1" display="'13b'!A1"/>
    <hyperlink ref="A58" location="'13c'!A1" display="'13c'!A1"/>
    <hyperlink ref="A59" location="'13d'!A1" display="'13d'!A1"/>
    <hyperlink ref="A60" location="'13e'!A1" display="'13e'!A1"/>
    <hyperlink ref="A61" location="'13f'!A1" display="'13f'!A1"/>
    <hyperlink ref="A62" location="'14a'!A1" display="'14a'!A1"/>
    <hyperlink ref="A63" location="'14b'!A1" display="'14b'!A1"/>
    <hyperlink ref="A64" location="'14c'!A1" display="'14c'!A1"/>
    <hyperlink ref="A65" location="'14d'!A1" display="'14d'!A1"/>
    <hyperlink ref="A66" location="'14e'!A1" display="'14e'!A1"/>
    <hyperlink ref="A67" location="'14f'!A1" display="'14f'!A1"/>
    <hyperlink ref="A68" location="'15a'!A1" display="'15a'!A1"/>
    <hyperlink ref="A69" location="'15b'!A1" display="'15b'!A1"/>
    <hyperlink ref="A70" location="'15c'!A1" display="'15c'!A1"/>
    <hyperlink ref="A71" location="'15d'!A1" display="'15d'!A1"/>
    <hyperlink ref="A72" location="'15e'!A1" display="'15e'!A1"/>
    <hyperlink ref="A73" location="'15f'!A1" display="'15f'!A1"/>
    <hyperlink ref="A74" location="'16a'!A1" display="'16a'!A1"/>
    <hyperlink ref="A75" location="'16b'!A1" display="'16b'!A1"/>
    <hyperlink ref="A76" location="'16c'!A1" display="'16c'!A1"/>
    <hyperlink ref="A77" location="'16d'!A1" display="'16d'!A1"/>
    <hyperlink ref="A78" location="'16e'!A1" display="'16e'!A1"/>
    <hyperlink ref="A79" location="'16f'!A1" display="'16f'!A1"/>
    <hyperlink ref="A80" location="'16g'!A1" display="'16g'!A1"/>
    <hyperlink ref="A81" location="'16h'!A1" display="'16h'!A1"/>
    <hyperlink ref="A82" location="'16i'!A1" display="'16i'!A1"/>
    <hyperlink ref="A83" location="'16j'!A1" display="'16j'!A1"/>
    <hyperlink ref="A84" location="'16k'!A1" display="'16k'!A1"/>
    <hyperlink ref="A85" location="'16l'!A1" display="'16l'!A1"/>
    <hyperlink ref="A86" location="'17a'!A1" display="'17a'!A1"/>
    <hyperlink ref="A87" location="'17b'!A1" display="'17b'!A1"/>
    <hyperlink ref="A88" location="'17c'!A1" display="'17c'!A1"/>
    <hyperlink ref="A89" location="'18a'!A1" display="'18a'!A1"/>
    <hyperlink ref="A90" location="'18b'!A1" display="'18b'!A1"/>
    <hyperlink ref="A91" location="'19a'!A1" display="'19a'!A1"/>
    <hyperlink ref="A92" location="'19b'!A1" display="'19b'!A1"/>
    <hyperlink ref="A93" location="'19c'!A1" display="'19c'!A1"/>
    <hyperlink ref="A94" location="'19d'!A1" display="'19d'!A1"/>
    <hyperlink ref="A95" location="'19e'!A1" display="'19e'!A1"/>
    <hyperlink ref="A96" location="'19f'!A1" display="'19f'!A1"/>
    <hyperlink ref="A97" location="'19g'!A1" display="'19g'!A1"/>
    <hyperlink ref="A100" location="'20a'!A1" display="'20a'!A1"/>
    <hyperlink ref="A101" location="'20b'!A1" display="'20b'!A1"/>
    <hyperlink ref="A102" location="'21'!A1" display="'21'!A1"/>
    <hyperlink ref="A103" location="'22a'!A1" display="'22a'!A1"/>
    <hyperlink ref="A104" location="'22b'!A1" display="'22b'!A1"/>
    <hyperlink ref="A105" location="'22c'!A1" display="'22c'!A1"/>
    <hyperlink ref="A106" location="'22d'!A1" display="'22d'!A1"/>
    <hyperlink ref="A107" location="'23'!A1" display="'23'!A1"/>
    <hyperlink ref="A108" location="'24a'!A1" display="'24a'!A1"/>
    <hyperlink ref="A109" location="'24b'!A1" display="'24b'!A1"/>
    <hyperlink ref="A110" location="'24c'!A1" display="'24c'!A1"/>
    <hyperlink ref="A111" location="'24d'!A1" display="'24d'!A1"/>
    <hyperlink ref="A112" location="'24e'!A1" display="'24e'!A1"/>
    <hyperlink ref="A113" location="'24f'!A1" display="'24f'!A1"/>
    <hyperlink ref="A114" location="'25'!A1" display="'25'!A1"/>
    <hyperlink ref="A116" location="'26a'!A1" display="'26a'!A1"/>
    <hyperlink ref="A117" location="'26b'!A1" display="'26b'!A1"/>
    <hyperlink ref="A118" location="'26c'!A1" display="'26c'!A1"/>
    <hyperlink ref="A119" location="'26d'!A1" display="'26d'!A1"/>
    <hyperlink ref="A120" location="'26e'!A1" display="'26e'!A1"/>
    <hyperlink ref="A121" location="'27'!A1" display="'27'!A1"/>
    <hyperlink ref="A122" location="'28a'!A1" display="'28a'!A1"/>
    <hyperlink ref="A123" location="'28b'!A1" display="'28b'!A1"/>
    <hyperlink ref="A124" location="'28c'!A1" display="'28c'!A1"/>
    <hyperlink ref="A125" location="'29a'!A1" display="'29a'!A1"/>
    <hyperlink ref="A126" location="'29b'!A1" display="'29b'!A1"/>
    <hyperlink ref="A127" location="'30'!A1" display="'30'!A1"/>
    <hyperlink ref="A128" location="'31'!A1" display="'31'!A1"/>
    <hyperlink ref="A129" location="'32'!A1" display="'32'!A1"/>
    <hyperlink ref="A130" location="'33'!A1" display="'33'!A1"/>
    <hyperlink ref="A131" location="'34a'!A1" display="'34a'!A1"/>
    <hyperlink ref="A132" location="'34b'!A1" display="'34b'!A1"/>
    <hyperlink ref="A133" location="'35a'!A1" display="'35a'!A1"/>
    <hyperlink ref="A134" location="'35b'!A1" display="'35b'!A1"/>
    <hyperlink ref="A135" location="'35c'!A1" display="'35c'!A1"/>
    <hyperlink ref="A136" location="'35d'!A1" display="'35d'!A1"/>
    <hyperlink ref="A137" location="'36'!A1" display="'36'!A1"/>
    <hyperlink ref="A140" location="'37'!A1" display="'37'!A1"/>
    <hyperlink ref="A141" location="'37a'!A1" display="'37a'!A1"/>
    <hyperlink ref="A142" location="'37b'!A1" display="'37b'!A1"/>
    <hyperlink ref="A143" location="'37c'!A1" display="'37c'!A1"/>
    <hyperlink ref="A144" location="'37d'!A1" display="'37d'!A1"/>
    <hyperlink ref="A145" location="'37e'!A1" display="'37e'!A1"/>
    <hyperlink ref="A146" location="'37f'!A1" display="'37f'!A1"/>
    <hyperlink ref="A147" location="'37g'!A1" display="'37g'!A1"/>
    <hyperlink ref="A148" location="'37h'!A1" display="'37h'!A1"/>
    <hyperlink ref="A149" location="'37i'!A1" display="'37i'!A1"/>
    <hyperlink ref="A150" location="'37j'!A1" display="'37j'!A1"/>
    <hyperlink ref="A153" location="'39'!A1" display="'39'!A1"/>
    <hyperlink ref="A154" location="'40'!A1" display="'40'!A1"/>
    <hyperlink ref="A155" location="'41'!A1" display="'41'!A1"/>
    <hyperlink ref="A156" location="'42'!A1" display="'42'!A1"/>
    <hyperlink ref="A157" location="'43'!A1" display="'43'!A1"/>
    <hyperlink ref="A158" location="'44a'!A1" display="'44a'!A1"/>
    <hyperlink ref="A159" location="'44b'!A1" display="'44b'!A1"/>
    <hyperlink ref="A160" location="'44c'!A1" display="'44c'!A1"/>
    <hyperlink ref="A162" location="'45b'!A1" display="'45b'!A1"/>
    <hyperlink ref="A163" location="'45d'!A1" display="'45d'!A1"/>
    <hyperlink ref="A164" location="'45e'!A1" display="'45e'!A1"/>
    <hyperlink ref="A165" location="'46'!A1" display="'46'!A1"/>
    <hyperlink ref="A166" location="'47'!A1" display="'47'!A1"/>
    <hyperlink ref="A167" location="'47a'!A1" display="'47a'!A1"/>
    <hyperlink ref="A168" location="'47b'!A1" display="'47b'!A1"/>
    <hyperlink ref="A169" location="'47c'!A1" display="'47c'!A1"/>
    <hyperlink ref="A170" location="'47d'!A1" display="'47d'!A1"/>
    <hyperlink ref="A171" location="'48'!A1" display="'48'!A1"/>
    <hyperlink ref="A172" location="'49'!A1" display="'49'!A1"/>
    <hyperlink ref="A173" location="'50'!A1" display="'50'!A1"/>
    <hyperlink ref="A3" location="'1'!A1" display="'1'!A1"/>
    <hyperlink ref="A4" location="'2a'!A1" display="'2a'!A1"/>
    <hyperlink ref="A5" location="'2b'!A1" display="'2b'!A1"/>
    <hyperlink ref="A27" location="'9b'!A1" display="'9b'!A1"/>
    <hyperlink ref="A26" location="'9a'!A1" display="'9a'!A1"/>
    <hyperlink ref="A25" location="'8d'!A1" display="'8d'!A1"/>
    <hyperlink ref="A24" location="'8c'!A1" display="'8c'!A1"/>
    <hyperlink ref="A23" location="'8b'!A1" display="'8b'!A1"/>
    <hyperlink ref="A22" location="'8a'!A1" display="'8a'!A1"/>
    <hyperlink ref="A19" location="'7b'!A1" display="'7b'!A1"/>
    <hyperlink ref="A18" location="'7a'!A1" display="'7a'!A1"/>
    <hyperlink ref="A14" location="'6b'!A1" display="'6b'!A1"/>
    <hyperlink ref="A12" location="'5'!A1" display="'5'!A1"/>
    <hyperlink ref="A11" location="'4'!A1" display="'4'!A1"/>
    <hyperlink ref="A10" location="'3b'!A1" display="'3b'!A1"/>
    <hyperlink ref="A9" location="'3a'!A1" display="'3a'!A1"/>
    <hyperlink ref="A8" location="'2e'!A1" display="'2e'!A1"/>
    <hyperlink ref="A7" location="'2d'!A1" display="'2d'!A1"/>
    <hyperlink ref="A6" location="'2c'!A1" display="'2c'!A1"/>
    <hyperlink ref="A20" location="'7c'!A1" display="'7c'!A1"/>
    <hyperlink ref="A21" location="'7d'!A1" display="'7d'!A1"/>
    <hyperlink ref="A13" location="'6a'!A1" display="'6a'!A1"/>
    <hyperlink ref="A15" location="'6c'!A1" display="'6c'!A1"/>
    <hyperlink ref="A16" location="'6d'!A1" display="'6d'!A1"/>
    <hyperlink ref="A17" location="'6e'!A1" display="'6e'!A1"/>
    <hyperlink ref="A115" location="'25'!A1" display="'25'!A1"/>
    <hyperlink ref="A152" location="'38'!A1" display="'38'!A1"/>
    <hyperlink ref="A151" location="'39'!A1" display="'39'!A1"/>
    <hyperlink ref="A161" location="'44c'!A1" display="'44c'!A1"/>
  </hyperlinks>
  <pageMargins left="0.75" right="0.75" top="1" bottom="1" header="0.5" footer="0.5"/>
  <pageSetup scale="97" fitToHeight="0" orientation="portrait" horizontalDpi="300" verticalDpi="300" r:id="rId1"/>
  <headerFooter alignWithMargins="0"/>
  <rowBreaks count="2" manualBreakCount="2">
    <brk id="168" man="1"/>
    <brk id="210" man="1"/>
  </rowBreaks>
</worksheet>
</file>

<file path=xl/worksheets/sheet10.xml><?xml version="1.0" encoding="utf-8"?>
<worksheet xmlns="http://schemas.openxmlformats.org/spreadsheetml/2006/main" xmlns:r="http://schemas.openxmlformats.org/officeDocument/2006/relationships">
  <sheetPr codeName="Sheet11">
    <pageSetUpPr fitToPage="1"/>
  </sheetPr>
  <dimension ref="A1:Y71"/>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5703125" style="1" bestFit="1" customWidth="1"/>
    <col min="3" max="12" width="10.140625" style="1" bestFit="1" customWidth="1"/>
    <col min="13" max="16384" width="9.140625" style="1"/>
  </cols>
  <sheetData>
    <row r="1" spans="1:25" ht="15.75">
      <c r="A1" s="3" t="s">
        <v>2095</v>
      </c>
    </row>
    <row r="2" spans="1:25">
      <c r="A2" s="4"/>
      <c r="B2" s="4"/>
    </row>
    <row r="3" spans="1:25">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25" s="4" customFormat="1">
      <c r="A4" s="7"/>
      <c r="B4" s="1165"/>
      <c r="C4" s="1165"/>
      <c r="D4" s="1165"/>
      <c r="E4" s="1165"/>
      <c r="F4" s="1165"/>
      <c r="G4" s="1165"/>
      <c r="H4" s="1165"/>
      <c r="I4" s="1165"/>
      <c r="J4" s="1165"/>
      <c r="K4" s="1165"/>
      <c r="L4" s="1165"/>
    </row>
    <row r="5" spans="1:25" ht="12.75" customHeight="1">
      <c r="A5" s="983">
        <v>1981</v>
      </c>
      <c r="B5" s="818">
        <v>49.5</v>
      </c>
      <c r="C5" s="818">
        <v>53.1</v>
      </c>
      <c r="D5" s="818">
        <v>52.7</v>
      </c>
      <c r="E5" s="818">
        <v>50.8</v>
      </c>
      <c r="F5" s="818">
        <v>50.9</v>
      </c>
      <c r="G5" s="818">
        <v>50.2</v>
      </c>
      <c r="H5" s="818">
        <v>48.2</v>
      </c>
      <c r="I5" s="818">
        <v>49</v>
      </c>
      <c r="J5" s="818">
        <v>49.5</v>
      </c>
      <c r="K5" s="818">
        <v>49.8</v>
      </c>
      <c r="L5" s="818">
        <v>51.8</v>
      </c>
      <c r="N5" s="819"/>
      <c r="O5" s="414">
        <v>9613</v>
      </c>
      <c r="P5" s="818">
        <v>49.5</v>
      </c>
      <c r="Q5" s="816">
        <v>50.6</v>
      </c>
      <c r="R5" s="819">
        <f>$O5/P5*100</f>
        <v>19420.202020202021</v>
      </c>
      <c r="S5" s="819">
        <f>$O5/Q5*100</f>
        <v>18998.02371541502</v>
      </c>
      <c r="T5" s="819"/>
      <c r="U5" s="819"/>
      <c r="V5" s="819"/>
      <c r="W5" s="819"/>
      <c r="X5" s="819"/>
      <c r="Y5" s="350">
        <f t="shared" ref="Y5:Y30" si="0">X5</f>
        <v>0</v>
      </c>
    </row>
    <row r="6" spans="1:25" ht="12.75" customHeight="1">
      <c r="A6" s="2">
        <v>1982</v>
      </c>
      <c r="B6" s="818">
        <v>54.9</v>
      </c>
      <c r="C6" s="818">
        <v>58.5</v>
      </c>
      <c r="D6" s="818">
        <v>57.8</v>
      </c>
      <c r="E6" s="818">
        <v>55.6</v>
      </c>
      <c r="F6" s="818">
        <v>55.6</v>
      </c>
      <c r="G6" s="818">
        <v>56</v>
      </c>
      <c r="H6" s="818">
        <v>53.3</v>
      </c>
      <c r="I6" s="818">
        <v>53.3</v>
      </c>
      <c r="J6" s="818">
        <v>54</v>
      </c>
      <c r="K6" s="818">
        <v>55.4</v>
      </c>
      <c r="L6" s="818">
        <v>57.3</v>
      </c>
      <c r="N6" s="819"/>
      <c r="O6" s="414">
        <v>10489</v>
      </c>
      <c r="P6" s="818">
        <v>54.9</v>
      </c>
      <c r="Q6" s="816">
        <v>55.6</v>
      </c>
      <c r="R6" s="819">
        <f t="shared" ref="R6:R31" si="1">O6/P6*100</f>
        <v>19105.646630236795</v>
      </c>
      <c r="S6" s="819">
        <f t="shared" ref="S6:S31" si="2">$O6/Q6*100</f>
        <v>18865.107913669064</v>
      </c>
      <c r="T6" s="819"/>
      <c r="U6" s="819"/>
      <c r="V6" s="819"/>
      <c r="W6" s="819"/>
      <c r="X6" s="819"/>
      <c r="Y6" s="350">
        <f t="shared" si="0"/>
        <v>0</v>
      </c>
    </row>
    <row r="7" spans="1:25" ht="12.75" customHeight="1">
      <c r="A7" s="2">
        <v>1983</v>
      </c>
      <c r="B7" s="818">
        <v>58.1</v>
      </c>
      <c r="C7" s="818">
        <v>62.4</v>
      </c>
      <c r="D7" s="818">
        <v>60.7</v>
      </c>
      <c r="E7" s="818">
        <v>59.1</v>
      </c>
      <c r="F7" s="818">
        <v>59.3</v>
      </c>
      <c r="G7" s="818">
        <v>59.1</v>
      </c>
      <c r="H7" s="818">
        <v>56.6</v>
      </c>
      <c r="I7" s="818">
        <v>56.8</v>
      </c>
      <c r="J7" s="818">
        <v>57.4</v>
      </c>
      <c r="K7" s="818">
        <v>58.3</v>
      </c>
      <c r="L7" s="818">
        <v>60.4</v>
      </c>
      <c r="N7" s="819"/>
      <c r="O7" s="414">
        <v>10862</v>
      </c>
      <c r="P7" s="818">
        <v>58.1</v>
      </c>
      <c r="Q7" s="816">
        <v>59.5</v>
      </c>
      <c r="R7" s="819">
        <f t="shared" si="1"/>
        <v>18695.352839931151</v>
      </c>
      <c r="S7" s="819">
        <f t="shared" si="2"/>
        <v>18255.462184873948</v>
      </c>
      <c r="T7" s="819"/>
      <c r="U7" s="819"/>
      <c r="V7" s="819"/>
      <c r="W7" s="819"/>
      <c r="X7" s="819"/>
      <c r="Y7" s="350">
        <f t="shared" si="0"/>
        <v>0</v>
      </c>
    </row>
    <row r="8" spans="1:25" ht="12.75" customHeight="1">
      <c r="A8" s="2">
        <v>1984</v>
      </c>
      <c r="B8" s="818">
        <v>60.6</v>
      </c>
      <c r="C8" s="818">
        <v>65.2</v>
      </c>
      <c r="D8" s="818">
        <v>63.3</v>
      </c>
      <c r="E8" s="818">
        <v>61.7</v>
      </c>
      <c r="F8" s="818">
        <v>62.3</v>
      </c>
      <c r="G8" s="818">
        <v>61.5</v>
      </c>
      <c r="H8" s="818">
        <v>59.4</v>
      </c>
      <c r="I8" s="818">
        <v>58.9</v>
      </c>
      <c r="J8" s="818">
        <v>59.8</v>
      </c>
      <c r="K8" s="818">
        <v>59.8</v>
      </c>
      <c r="L8" s="818">
        <v>62.8</v>
      </c>
      <c r="N8" s="819"/>
      <c r="O8" s="414">
        <v>11683</v>
      </c>
      <c r="P8" s="818">
        <v>60.6</v>
      </c>
      <c r="Q8" s="816">
        <v>62.2</v>
      </c>
      <c r="R8" s="819">
        <f t="shared" si="1"/>
        <v>19278.877887788778</v>
      </c>
      <c r="S8" s="819">
        <f t="shared" si="2"/>
        <v>18782.958199356912</v>
      </c>
      <c r="T8" s="819"/>
      <c r="U8" s="819"/>
      <c r="V8" s="819"/>
      <c r="W8" s="819"/>
      <c r="X8" s="819"/>
      <c r="Y8" s="350">
        <f t="shared" si="0"/>
        <v>0</v>
      </c>
    </row>
    <row r="9" spans="1:25" ht="12.75" customHeight="1">
      <c r="A9" s="2">
        <v>1985</v>
      </c>
      <c r="B9" s="818">
        <v>63</v>
      </c>
      <c r="C9" s="818">
        <v>67.900000000000006</v>
      </c>
      <c r="D9" s="818">
        <v>65.599999999999994</v>
      </c>
      <c r="E9" s="818">
        <v>64.5</v>
      </c>
      <c r="F9" s="818">
        <v>65.2</v>
      </c>
      <c r="G9" s="818">
        <v>64.2</v>
      </c>
      <c r="H9" s="818">
        <v>61.8</v>
      </c>
      <c r="I9" s="818">
        <v>61.4</v>
      </c>
      <c r="J9" s="818">
        <v>62</v>
      </c>
      <c r="K9" s="818">
        <v>61.6</v>
      </c>
      <c r="L9" s="818">
        <v>64.8</v>
      </c>
      <c r="N9" s="819"/>
      <c r="O9" s="414">
        <v>12498</v>
      </c>
      <c r="P9" s="818">
        <v>63</v>
      </c>
      <c r="Q9" s="816">
        <v>64.7</v>
      </c>
      <c r="R9" s="819">
        <f t="shared" si="1"/>
        <v>19838.095238095237</v>
      </c>
      <c r="S9" s="819">
        <f t="shared" si="2"/>
        <v>19316.846986089644</v>
      </c>
      <c r="T9" s="819"/>
      <c r="U9" s="819"/>
      <c r="V9" s="819"/>
      <c r="W9" s="819"/>
      <c r="X9" s="819"/>
      <c r="Y9" s="350">
        <f t="shared" si="0"/>
        <v>0</v>
      </c>
    </row>
    <row r="10" spans="1:25" ht="12.75" customHeight="1">
      <c r="A10" s="2">
        <v>1986</v>
      </c>
      <c r="B10" s="818">
        <v>65.599999999999994</v>
      </c>
      <c r="C10" s="818">
        <v>69.900000000000006</v>
      </c>
      <c r="D10" s="818">
        <v>67</v>
      </c>
      <c r="E10" s="818">
        <v>66.5</v>
      </c>
      <c r="F10" s="818">
        <v>67.5</v>
      </c>
      <c r="G10" s="818">
        <v>67.3</v>
      </c>
      <c r="H10" s="818">
        <v>64.599999999999994</v>
      </c>
      <c r="I10" s="818">
        <v>64.099999999999994</v>
      </c>
      <c r="J10" s="818">
        <v>63.7</v>
      </c>
      <c r="K10" s="818">
        <v>63.7</v>
      </c>
      <c r="L10" s="818">
        <v>66.7</v>
      </c>
      <c r="N10" s="819"/>
      <c r="O10" s="414">
        <v>13042</v>
      </c>
      <c r="P10" s="818">
        <v>65.599999999999994</v>
      </c>
      <c r="Q10" s="816">
        <v>67.5</v>
      </c>
      <c r="R10" s="819">
        <f t="shared" si="1"/>
        <v>19881.097560975613</v>
      </c>
      <c r="S10" s="819">
        <f t="shared" si="2"/>
        <v>19321.481481481482</v>
      </c>
      <c r="T10" s="819"/>
      <c r="U10" s="819"/>
      <c r="V10" s="819"/>
      <c r="W10" s="819"/>
      <c r="X10" s="819"/>
      <c r="Y10" s="350">
        <f t="shared" si="0"/>
        <v>0</v>
      </c>
    </row>
    <row r="11" spans="1:25" ht="12.75" customHeight="1">
      <c r="A11" s="2">
        <v>1987</v>
      </c>
      <c r="B11" s="818">
        <v>68.5</v>
      </c>
      <c r="C11" s="818">
        <v>71.900000000000006</v>
      </c>
      <c r="D11" s="818">
        <v>69.400000000000006</v>
      </c>
      <c r="E11" s="818">
        <v>68.8</v>
      </c>
      <c r="F11" s="818">
        <v>69.400000000000006</v>
      </c>
      <c r="G11" s="818">
        <v>70.2</v>
      </c>
      <c r="H11" s="818">
        <v>67.8</v>
      </c>
      <c r="I11" s="818">
        <v>66.8</v>
      </c>
      <c r="J11" s="818">
        <v>66.8</v>
      </c>
      <c r="K11" s="818">
        <v>66.3</v>
      </c>
      <c r="L11" s="818">
        <v>68.7</v>
      </c>
      <c r="N11" s="819"/>
      <c r="O11" s="414">
        <v>13694</v>
      </c>
      <c r="P11" s="818">
        <v>68.5</v>
      </c>
      <c r="Q11" s="816">
        <v>70.2</v>
      </c>
      <c r="R11" s="819">
        <f t="shared" si="1"/>
        <v>19991.240875912408</v>
      </c>
      <c r="S11" s="819">
        <f t="shared" si="2"/>
        <v>19507.122507122505</v>
      </c>
      <c r="T11" s="819"/>
      <c r="U11" s="819"/>
      <c r="V11" s="819"/>
      <c r="W11" s="819"/>
      <c r="X11" s="819"/>
      <c r="Y11" s="350">
        <f t="shared" si="0"/>
        <v>0</v>
      </c>
    </row>
    <row r="12" spans="1:25" ht="12.75" customHeight="1">
      <c r="A12" s="2">
        <v>1988</v>
      </c>
      <c r="B12" s="818">
        <v>71.2</v>
      </c>
      <c r="C12" s="818">
        <v>73.5</v>
      </c>
      <c r="D12" s="818">
        <v>71.900000000000006</v>
      </c>
      <c r="E12" s="818">
        <v>71.2</v>
      </c>
      <c r="F12" s="818">
        <v>71.8</v>
      </c>
      <c r="G12" s="818">
        <v>72.8</v>
      </c>
      <c r="H12" s="818">
        <v>71</v>
      </c>
      <c r="I12" s="818">
        <v>69.599999999999994</v>
      </c>
      <c r="J12" s="818">
        <v>69.8</v>
      </c>
      <c r="K12" s="818">
        <v>68.099999999999994</v>
      </c>
      <c r="L12" s="818">
        <v>71.2</v>
      </c>
      <c r="N12" s="819"/>
      <c r="O12" s="414">
        <v>14749</v>
      </c>
      <c r="P12" s="818">
        <v>71.2</v>
      </c>
      <c r="Q12" s="816">
        <v>72.900000000000006</v>
      </c>
      <c r="R12" s="819">
        <f t="shared" si="1"/>
        <v>20714.88764044944</v>
      </c>
      <c r="S12" s="819">
        <f t="shared" si="2"/>
        <v>20231.8244170096</v>
      </c>
      <c r="T12" s="819"/>
      <c r="U12" s="819"/>
      <c r="V12" s="819"/>
      <c r="W12" s="819"/>
      <c r="X12" s="819"/>
      <c r="Y12" s="350">
        <f t="shared" si="0"/>
        <v>0</v>
      </c>
    </row>
    <row r="13" spans="1:25" ht="12.75" customHeight="1">
      <c r="A13" s="2">
        <v>1989</v>
      </c>
      <c r="B13" s="818">
        <v>74.8</v>
      </c>
      <c r="C13" s="818">
        <v>76.2</v>
      </c>
      <c r="D13" s="818">
        <v>74.599999999999994</v>
      </c>
      <c r="E13" s="818">
        <v>74.400000000000006</v>
      </c>
      <c r="F13" s="818">
        <v>75.2</v>
      </c>
      <c r="G13" s="818">
        <v>75.900000000000006</v>
      </c>
      <c r="H13" s="818">
        <v>75.099999999999994</v>
      </c>
      <c r="I13" s="818">
        <v>72.900000000000006</v>
      </c>
      <c r="J13" s="818">
        <v>72.900000000000006</v>
      </c>
      <c r="K13" s="818">
        <v>70.900000000000006</v>
      </c>
      <c r="L13" s="818">
        <v>74.400000000000006</v>
      </c>
      <c r="N13" s="819"/>
      <c r="O13" s="414">
        <v>15863</v>
      </c>
      <c r="P13" s="818">
        <v>74.8</v>
      </c>
      <c r="Q13" s="816">
        <v>76.099999999999994</v>
      </c>
      <c r="R13" s="819">
        <f t="shared" si="1"/>
        <v>21207.219251336901</v>
      </c>
      <c r="S13" s="819">
        <f t="shared" si="2"/>
        <v>20844.940867279896</v>
      </c>
      <c r="T13" s="819"/>
      <c r="U13" s="819"/>
      <c r="V13" s="819"/>
      <c r="W13" s="819"/>
      <c r="X13" s="819"/>
      <c r="Y13" s="350">
        <f t="shared" si="0"/>
        <v>0</v>
      </c>
    </row>
    <row r="14" spans="1:25" ht="12.75" customHeight="1">
      <c r="A14" s="2">
        <v>1990</v>
      </c>
      <c r="B14" s="818">
        <v>78.400000000000006</v>
      </c>
      <c r="C14" s="818">
        <v>79.5</v>
      </c>
      <c r="D14" s="818">
        <v>78.400000000000006</v>
      </c>
      <c r="E14" s="818">
        <v>78.2</v>
      </c>
      <c r="F14" s="818">
        <v>78.7</v>
      </c>
      <c r="G14" s="818">
        <v>79.2</v>
      </c>
      <c r="H14" s="818">
        <v>78.7</v>
      </c>
      <c r="I14" s="818">
        <v>76.2</v>
      </c>
      <c r="J14" s="818">
        <v>76</v>
      </c>
      <c r="K14" s="818">
        <v>75</v>
      </c>
      <c r="L14" s="818">
        <v>78.400000000000006</v>
      </c>
      <c r="N14" s="819"/>
      <c r="O14" s="414">
        <v>16514</v>
      </c>
      <c r="P14" s="818">
        <v>78.400000000000006</v>
      </c>
      <c r="Q14" s="816">
        <v>79.3</v>
      </c>
      <c r="R14" s="819">
        <f t="shared" si="1"/>
        <v>21063.775510204083</v>
      </c>
      <c r="S14" s="819">
        <f t="shared" si="2"/>
        <v>20824.716267339219</v>
      </c>
      <c r="T14" s="819"/>
      <c r="U14" s="819"/>
      <c r="V14" s="819"/>
      <c r="W14" s="819"/>
      <c r="X14" s="819"/>
      <c r="Y14" s="350">
        <f t="shared" si="0"/>
        <v>0</v>
      </c>
    </row>
    <row r="15" spans="1:25" ht="12.75" customHeight="1">
      <c r="A15" s="2">
        <v>1991</v>
      </c>
      <c r="B15" s="818">
        <v>82.8</v>
      </c>
      <c r="C15" s="818">
        <v>84.4</v>
      </c>
      <c r="D15" s="818">
        <v>84.3</v>
      </c>
      <c r="E15" s="818">
        <v>82.9</v>
      </c>
      <c r="F15" s="818">
        <v>83.8</v>
      </c>
      <c r="G15" s="818">
        <v>85</v>
      </c>
      <c r="H15" s="818">
        <v>82.4</v>
      </c>
      <c r="I15" s="818">
        <v>80.099999999999994</v>
      </c>
      <c r="J15" s="818">
        <v>80</v>
      </c>
      <c r="K15" s="818">
        <v>79.400000000000006</v>
      </c>
      <c r="L15" s="818">
        <v>82.6</v>
      </c>
      <c r="N15" s="819"/>
      <c r="O15" s="414">
        <v>16856</v>
      </c>
      <c r="P15" s="818">
        <v>82.8</v>
      </c>
      <c r="Q15" s="816">
        <v>83.3</v>
      </c>
      <c r="R15" s="819">
        <f t="shared" si="1"/>
        <v>20357.487922705313</v>
      </c>
      <c r="S15" s="819">
        <f t="shared" si="2"/>
        <v>20235.294117647059</v>
      </c>
      <c r="T15" s="819"/>
      <c r="U15" s="819"/>
      <c r="V15" s="819"/>
      <c r="W15" s="819"/>
      <c r="X15" s="819"/>
      <c r="Y15" s="350">
        <f t="shared" si="0"/>
        <v>0</v>
      </c>
    </row>
    <row r="16" spans="1:25" ht="12.75" customHeight="1">
      <c r="A16" s="2">
        <v>1992</v>
      </c>
      <c r="B16" s="818">
        <v>84</v>
      </c>
      <c r="C16" s="818">
        <v>85.3</v>
      </c>
      <c r="D16" s="818">
        <v>85</v>
      </c>
      <c r="E16" s="818">
        <v>83.5</v>
      </c>
      <c r="F16" s="818">
        <v>84.3</v>
      </c>
      <c r="G16" s="818">
        <v>86.6</v>
      </c>
      <c r="H16" s="818">
        <v>83.2</v>
      </c>
      <c r="I16" s="818">
        <v>81.2</v>
      </c>
      <c r="J16" s="818">
        <v>80.8</v>
      </c>
      <c r="K16" s="818">
        <v>80.599999999999994</v>
      </c>
      <c r="L16" s="818">
        <v>84.8</v>
      </c>
      <c r="N16" s="819"/>
      <c r="O16" s="414">
        <v>17040</v>
      </c>
      <c r="P16" s="818">
        <v>84</v>
      </c>
      <c r="Q16" s="816">
        <v>84.7</v>
      </c>
      <c r="R16" s="819">
        <f t="shared" si="1"/>
        <v>20285.714285714286</v>
      </c>
      <c r="S16" s="819">
        <f t="shared" si="2"/>
        <v>20118.063754427392</v>
      </c>
      <c r="T16" s="819"/>
      <c r="U16" s="819"/>
      <c r="V16" s="819"/>
      <c r="W16" s="819"/>
      <c r="X16" s="819"/>
      <c r="Y16" s="350">
        <f t="shared" si="0"/>
        <v>0</v>
      </c>
    </row>
    <row r="17" spans="1:25" ht="12.75" customHeight="1">
      <c r="A17" s="2">
        <v>1993</v>
      </c>
      <c r="B17" s="818">
        <v>85.6</v>
      </c>
      <c r="C17" s="818">
        <v>86.7</v>
      </c>
      <c r="D17" s="818">
        <v>86.6</v>
      </c>
      <c r="E17" s="818">
        <v>84.5</v>
      </c>
      <c r="F17" s="818">
        <v>85.4</v>
      </c>
      <c r="G17" s="818">
        <v>87.7</v>
      </c>
      <c r="H17" s="818">
        <v>84.7</v>
      </c>
      <c r="I17" s="818">
        <v>83.4</v>
      </c>
      <c r="J17" s="818">
        <v>83.3</v>
      </c>
      <c r="K17" s="818">
        <v>81.400000000000006</v>
      </c>
      <c r="L17" s="818">
        <v>87.8</v>
      </c>
      <c r="N17" s="819"/>
      <c r="O17" s="414">
        <v>17256</v>
      </c>
      <c r="P17" s="818">
        <v>85.6</v>
      </c>
      <c r="Q17" s="816">
        <v>86.7</v>
      </c>
      <c r="R17" s="819">
        <f t="shared" si="1"/>
        <v>20158.878504672899</v>
      </c>
      <c r="S17" s="819">
        <f t="shared" si="2"/>
        <v>19903.11418685121</v>
      </c>
      <c r="T17" s="819"/>
      <c r="U17" s="819"/>
      <c r="V17" s="819"/>
      <c r="W17" s="819"/>
      <c r="X17" s="819"/>
      <c r="Y17" s="350">
        <f t="shared" si="0"/>
        <v>0</v>
      </c>
    </row>
    <row r="18" spans="1:25" ht="12.75" customHeight="1">
      <c r="A18" s="2">
        <v>1994</v>
      </c>
      <c r="B18" s="818">
        <v>85.7</v>
      </c>
      <c r="C18" s="818">
        <v>87.8</v>
      </c>
      <c r="D18" s="818">
        <v>86.4</v>
      </c>
      <c r="E18" s="818">
        <v>85.5</v>
      </c>
      <c r="F18" s="818">
        <v>85.9</v>
      </c>
      <c r="G18" s="818">
        <v>86.6</v>
      </c>
      <c r="H18" s="818">
        <v>84.7</v>
      </c>
      <c r="I18" s="818">
        <v>84.6</v>
      </c>
      <c r="J18" s="818">
        <v>84.8</v>
      </c>
      <c r="K18" s="818">
        <v>82.6</v>
      </c>
      <c r="L18" s="818">
        <v>89.5</v>
      </c>
      <c r="N18" s="819"/>
      <c r="O18" s="414">
        <v>17300</v>
      </c>
      <c r="P18" s="818">
        <v>85.7</v>
      </c>
      <c r="Q18" s="816">
        <v>87.6</v>
      </c>
      <c r="R18" s="819">
        <f t="shared" si="1"/>
        <v>20186.697782963827</v>
      </c>
      <c r="S18" s="819">
        <f t="shared" si="2"/>
        <v>19748.858447488587</v>
      </c>
      <c r="T18" s="819"/>
      <c r="U18" s="819"/>
      <c r="V18" s="819"/>
      <c r="W18" s="819"/>
      <c r="X18" s="819"/>
      <c r="Y18" s="350">
        <f t="shared" si="0"/>
        <v>0</v>
      </c>
    </row>
    <row r="19" spans="1:25" ht="12.75" customHeight="1">
      <c r="A19" s="2">
        <v>1995</v>
      </c>
      <c r="B19" s="818">
        <v>87.6</v>
      </c>
      <c r="C19" s="818">
        <v>89</v>
      </c>
      <c r="D19" s="818">
        <v>87.8</v>
      </c>
      <c r="E19" s="818">
        <v>86.6</v>
      </c>
      <c r="F19" s="818">
        <v>87.2</v>
      </c>
      <c r="G19" s="818">
        <v>88.1</v>
      </c>
      <c r="H19" s="818">
        <v>86.8</v>
      </c>
      <c r="I19" s="818">
        <v>86.9</v>
      </c>
      <c r="J19" s="818">
        <v>86.4</v>
      </c>
      <c r="K19" s="818">
        <v>84.5</v>
      </c>
      <c r="L19" s="818">
        <v>91.6</v>
      </c>
      <c r="N19" s="819"/>
      <c r="O19" s="414">
        <v>17732</v>
      </c>
      <c r="P19" s="818">
        <v>87.6</v>
      </c>
      <c r="Q19" s="816">
        <v>88.7</v>
      </c>
      <c r="R19" s="819">
        <f t="shared" si="1"/>
        <v>20242.009132420095</v>
      </c>
      <c r="S19" s="819">
        <f t="shared" si="2"/>
        <v>19990.980834272828</v>
      </c>
      <c r="T19" s="819"/>
      <c r="U19" s="819"/>
      <c r="V19" s="819"/>
      <c r="W19" s="819"/>
      <c r="X19" s="819"/>
      <c r="Y19" s="350">
        <f t="shared" si="0"/>
        <v>0</v>
      </c>
    </row>
    <row r="20" spans="1:25" ht="12.75" customHeight="1">
      <c r="A20" s="2">
        <v>1996</v>
      </c>
      <c r="B20" s="818">
        <v>88.9</v>
      </c>
      <c r="C20" s="818">
        <v>90.4</v>
      </c>
      <c r="D20" s="818">
        <v>89.4</v>
      </c>
      <c r="E20" s="818">
        <v>88.2</v>
      </c>
      <c r="F20" s="818">
        <v>88.5</v>
      </c>
      <c r="G20" s="818">
        <v>89.5</v>
      </c>
      <c r="H20" s="818">
        <v>88.2</v>
      </c>
      <c r="I20" s="818">
        <v>88.8</v>
      </c>
      <c r="J20" s="818">
        <v>88.1</v>
      </c>
      <c r="K20" s="818">
        <v>86.4</v>
      </c>
      <c r="L20" s="818">
        <v>92.4</v>
      </c>
      <c r="N20" s="819"/>
      <c r="O20" s="414">
        <v>17824</v>
      </c>
      <c r="P20" s="818">
        <v>88.9</v>
      </c>
      <c r="Q20" s="816">
        <v>90.1</v>
      </c>
      <c r="R20" s="819">
        <f t="shared" si="1"/>
        <v>20049.49381327334</v>
      </c>
      <c r="S20" s="819">
        <f t="shared" si="2"/>
        <v>19782.463928967816</v>
      </c>
      <c r="T20" s="819"/>
      <c r="U20" s="819"/>
      <c r="V20" s="819"/>
      <c r="W20" s="819"/>
      <c r="X20" s="819"/>
      <c r="Y20" s="350">
        <f t="shared" si="0"/>
        <v>0</v>
      </c>
    </row>
    <row r="21" spans="1:25" ht="12.75" customHeight="1">
      <c r="A21" s="2">
        <v>1997</v>
      </c>
      <c r="B21" s="818">
        <v>90.4</v>
      </c>
      <c r="C21" s="818">
        <v>92.3</v>
      </c>
      <c r="D21" s="818">
        <v>90.5</v>
      </c>
      <c r="E21" s="818">
        <v>90</v>
      </c>
      <c r="F21" s="818">
        <v>90.1</v>
      </c>
      <c r="G21" s="818">
        <v>90.8</v>
      </c>
      <c r="H21" s="818">
        <v>89.8</v>
      </c>
      <c r="I21" s="818">
        <v>90.6</v>
      </c>
      <c r="J21" s="818">
        <v>89.2</v>
      </c>
      <c r="K21" s="818">
        <v>88.1</v>
      </c>
      <c r="L21" s="818">
        <v>93.1</v>
      </c>
      <c r="N21" s="819"/>
      <c r="O21" s="414">
        <v>18262</v>
      </c>
      <c r="P21" s="818">
        <v>90.4</v>
      </c>
      <c r="Q21" s="816">
        <v>91.6</v>
      </c>
      <c r="R21" s="819">
        <f t="shared" si="1"/>
        <v>20201.327433628318</v>
      </c>
      <c r="S21" s="819">
        <f t="shared" si="2"/>
        <v>19936.681222707422</v>
      </c>
      <c r="T21" s="819"/>
      <c r="U21" s="819"/>
      <c r="V21" s="819"/>
      <c r="W21" s="819"/>
      <c r="X21" s="819"/>
      <c r="Y21" s="350">
        <f t="shared" si="0"/>
        <v>0</v>
      </c>
    </row>
    <row r="22" spans="1:25" ht="12.75" customHeight="1">
      <c r="A22" s="2">
        <v>1998</v>
      </c>
      <c r="B22" s="818">
        <v>91.3</v>
      </c>
      <c r="C22" s="818">
        <v>92.5</v>
      </c>
      <c r="D22" s="818">
        <v>90.1</v>
      </c>
      <c r="E22" s="818">
        <v>90.6</v>
      </c>
      <c r="F22" s="818">
        <v>90.6</v>
      </c>
      <c r="G22" s="818">
        <v>92.1</v>
      </c>
      <c r="H22" s="818">
        <v>90.6</v>
      </c>
      <c r="I22" s="818">
        <v>91.8</v>
      </c>
      <c r="J22" s="818">
        <v>90.4</v>
      </c>
      <c r="K22" s="818">
        <v>89.2</v>
      </c>
      <c r="L22" s="818">
        <v>93.4</v>
      </c>
      <c r="N22" s="819"/>
      <c r="O22" s="414">
        <v>18860</v>
      </c>
      <c r="P22" s="818">
        <v>91.3</v>
      </c>
      <c r="Q22" s="816">
        <v>92.7</v>
      </c>
      <c r="R22" s="819">
        <f t="shared" si="1"/>
        <v>20657.174151150055</v>
      </c>
      <c r="S22" s="819">
        <f t="shared" si="2"/>
        <v>20345.199568500539</v>
      </c>
      <c r="T22" s="819"/>
      <c r="U22" s="819"/>
      <c r="V22" s="819"/>
      <c r="W22" s="819"/>
      <c r="X22" s="819"/>
      <c r="Y22" s="350">
        <f t="shared" si="0"/>
        <v>0</v>
      </c>
    </row>
    <row r="23" spans="1:25" ht="12.75" customHeight="1">
      <c r="A23" s="2">
        <v>1999</v>
      </c>
      <c r="B23" s="818">
        <v>92.9</v>
      </c>
      <c r="C23" s="818">
        <v>93.8</v>
      </c>
      <c r="D23" s="818">
        <v>91.2</v>
      </c>
      <c r="E23" s="818">
        <v>92.1</v>
      </c>
      <c r="F23" s="818">
        <v>92.1</v>
      </c>
      <c r="G23" s="818">
        <v>93.5</v>
      </c>
      <c r="H23" s="818">
        <v>92.4</v>
      </c>
      <c r="I23" s="818">
        <v>93.6</v>
      </c>
      <c r="J23" s="818">
        <v>92</v>
      </c>
      <c r="K23" s="818">
        <v>91.4</v>
      </c>
      <c r="L23" s="818">
        <v>94.4</v>
      </c>
      <c r="N23" s="819"/>
      <c r="O23" s="414">
        <v>19610</v>
      </c>
      <c r="P23" s="818">
        <v>92.9</v>
      </c>
      <c r="Q23" s="816">
        <v>94.3</v>
      </c>
      <c r="R23" s="819">
        <f t="shared" si="1"/>
        <v>21108.719052744884</v>
      </c>
      <c r="S23" s="819">
        <f t="shared" si="2"/>
        <v>20795.334040296926</v>
      </c>
      <c r="T23" s="819"/>
      <c r="U23" s="819"/>
      <c r="V23" s="819"/>
      <c r="W23" s="819"/>
      <c r="X23" s="819"/>
      <c r="Y23" s="350">
        <f t="shared" si="0"/>
        <v>0</v>
      </c>
    </row>
    <row r="24" spans="1:25" ht="12.75" customHeight="1">
      <c r="A24" s="2">
        <v>2000</v>
      </c>
      <c r="B24" s="818">
        <v>95.4</v>
      </c>
      <c r="C24" s="818">
        <v>96.6</v>
      </c>
      <c r="D24" s="818">
        <v>94.9</v>
      </c>
      <c r="E24" s="818">
        <v>95.3</v>
      </c>
      <c r="F24" s="818">
        <v>95.1</v>
      </c>
      <c r="G24" s="818">
        <v>95.8</v>
      </c>
      <c r="H24" s="818">
        <v>95.1</v>
      </c>
      <c r="I24" s="818">
        <v>95.9</v>
      </c>
      <c r="J24" s="818">
        <v>94.4</v>
      </c>
      <c r="K24" s="818">
        <v>94.5</v>
      </c>
      <c r="L24" s="818">
        <v>96.1</v>
      </c>
      <c r="N24" s="819"/>
      <c r="O24" s="414">
        <v>20840</v>
      </c>
      <c r="P24" s="818">
        <v>95.4</v>
      </c>
      <c r="Q24" s="816">
        <v>96.3</v>
      </c>
      <c r="R24" s="819">
        <f t="shared" si="1"/>
        <v>21844.863731656184</v>
      </c>
      <c r="S24" s="819">
        <f t="shared" si="2"/>
        <v>21640.706126687437</v>
      </c>
      <c r="T24" s="819"/>
      <c r="U24" s="819"/>
      <c r="V24" s="819"/>
      <c r="W24" s="819"/>
      <c r="X24" s="819"/>
      <c r="Y24" s="350">
        <f t="shared" si="0"/>
        <v>0</v>
      </c>
    </row>
    <row r="25" spans="1:25" ht="12.75" customHeight="1">
      <c r="A25" s="2">
        <v>2001</v>
      </c>
      <c r="B25" s="818">
        <v>97.8</v>
      </c>
      <c r="C25" s="818">
        <v>97.7</v>
      </c>
      <c r="D25" s="818">
        <v>97.4</v>
      </c>
      <c r="E25" s="818">
        <v>97.1</v>
      </c>
      <c r="F25" s="818">
        <v>96.8</v>
      </c>
      <c r="G25" s="818">
        <v>98</v>
      </c>
      <c r="H25" s="818">
        <v>98</v>
      </c>
      <c r="I25" s="818">
        <v>98.5</v>
      </c>
      <c r="J25" s="818">
        <v>97.2</v>
      </c>
      <c r="K25" s="818">
        <v>96.7</v>
      </c>
      <c r="L25" s="818">
        <v>97.7</v>
      </c>
      <c r="N25" s="819"/>
      <c r="O25" s="414">
        <v>21572</v>
      </c>
      <c r="P25" s="818">
        <v>97.8</v>
      </c>
      <c r="Q25" s="816">
        <v>98.1</v>
      </c>
      <c r="R25" s="819">
        <f t="shared" si="1"/>
        <v>22057.259713701431</v>
      </c>
      <c r="S25" s="819">
        <f t="shared" si="2"/>
        <v>21989.806320081549</v>
      </c>
      <c r="T25" s="819"/>
      <c r="U25" s="819"/>
      <c r="V25" s="819"/>
      <c r="W25" s="819"/>
      <c r="X25" s="819"/>
      <c r="Y25" s="350">
        <f t="shared" si="0"/>
        <v>0</v>
      </c>
    </row>
    <row r="26" spans="1:25" ht="12.75" customHeight="1">
      <c r="A26" s="2">
        <v>2002</v>
      </c>
      <c r="B26" s="818">
        <v>100</v>
      </c>
      <c r="C26" s="818">
        <v>100</v>
      </c>
      <c r="D26" s="818">
        <v>100</v>
      </c>
      <c r="E26" s="818">
        <v>100</v>
      </c>
      <c r="F26" s="818">
        <v>100</v>
      </c>
      <c r="G26" s="818">
        <v>100</v>
      </c>
      <c r="H26" s="818">
        <v>100</v>
      </c>
      <c r="I26" s="818">
        <v>100</v>
      </c>
      <c r="J26" s="818">
        <v>100</v>
      </c>
      <c r="K26" s="818">
        <v>100</v>
      </c>
      <c r="L26" s="818">
        <v>100</v>
      </c>
      <c r="N26" s="819"/>
      <c r="O26" s="414">
        <v>22122</v>
      </c>
      <c r="P26" s="818">
        <v>100</v>
      </c>
      <c r="Q26" s="816">
        <v>100</v>
      </c>
      <c r="R26" s="819">
        <f t="shared" si="1"/>
        <v>22122</v>
      </c>
      <c r="S26" s="819">
        <f t="shared" si="2"/>
        <v>22122</v>
      </c>
      <c r="T26" s="819"/>
      <c r="U26" s="819"/>
      <c r="V26" s="819"/>
      <c r="W26" s="819"/>
      <c r="X26" s="819"/>
      <c r="Y26" s="350">
        <f t="shared" si="0"/>
        <v>0</v>
      </c>
    </row>
    <row r="27" spans="1:25" ht="12.75" customHeight="1">
      <c r="A27" s="2">
        <v>2003</v>
      </c>
      <c r="B27" s="818">
        <v>102.8</v>
      </c>
      <c r="C27" s="818">
        <v>102.9</v>
      </c>
      <c r="D27" s="818">
        <v>103.5</v>
      </c>
      <c r="E27" s="818">
        <v>103.4</v>
      </c>
      <c r="F27" s="818">
        <v>103.4</v>
      </c>
      <c r="G27" s="818">
        <v>102.5</v>
      </c>
      <c r="H27" s="818">
        <v>102.7</v>
      </c>
      <c r="I27" s="818">
        <v>101.8</v>
      </c>
      <c r="J27" s="818">
        <v>102.3</v>
      </c>
      <c r="K27" s="818">
        <v>104.4</v>
      </c>
      <c r="L27" s="818">
        <v>102.2</v>
      </c>
      <c r="N27" s="819"/>
      <c r="O27" s="414">
        <v>22757</v>
      </c>
      <c r="P27" s="818">
        <v>102.8</v>
      </c>
      <c r="Q27" s="816">
        <v>101.6</v>
      </c>
      <c r="R27" s="819">
        <f t="shared" si="1"/>
        <v>22137.159533073929</v>
      </c>
      <c r="S27" s="819">
        <f t="shared" si="2"/>
        <v>22398.622047244095</v>
      </c>
      <c r="T27" s="819"/>
      <c r="U27" s="819"/>
      <c r="V27" s="819"/>
      <c r="W27" s="819"/>
      <c r="X27" s="819"/>
      <c r="Y27" s="350">
        <f t="shared" si="0"/>
        <v>0</v>
      </c>
    </row>
    <row r="28" spans="1:25" ht="12.75" customHeight="1">
      <c r="A28" s="2">
        <v>2004</v>
      </c>
      <c r="B28" s="818">
        <v>104.7</v>
      </c>
      <c r="C28" s="818">
        <v>104.8</v>
      </c>
      <c r="D28" s="818">
        <v>105.8</v>
      </c>
      <c r="E28" s="818">
        <v>105.3</v>
      </c>
      <c r="F28" s="818">
        <v>104.9</v>
      </c>
      <c r="G28" s="818">
        <v>104.5</v>
      </c>
      <c r="H28" s="818">
        <v>104.6</v>
      </c>
      <c r="I28" s="818">
        <v>103.8</v>
      </c>
      <c r="J28" s="818">
        <v>104.6</v>
      </c>
      <c r="K28" s="818">
        <v>105.9</v>
      </c>
      <c r="L28" s="818">
        <v>104.2</v>
      </c>
      <c r="N28" s="819"/>
      <c r="O28" s="414">
        <v>23709</v>
      </c>
      <c r="P28" s="818">
        <v>104.7</v>
      </c>
      <c r="Q28" s="816">
        <v>103.2</v>
      </c>
      <c r="R28" s="819">
        <f t="shared" si="1"/>
        <v>22644.699140401142</v>
      </c>
      <c r="S28" s="819">
        <f t="shared" si="2"/>
        <v>22973.837209302324</v>
      </c>
      <c r="T28" s="819"/>
      <c r="U28" s="819"/>
      <c r="V28" s="819"/>
      <c r="W28" s="819"/>
      <c r="X28" s="819"/>
      <c r="Y28" s="350">
        <f t="shared" si="0"/>
        <v>0</v>
      </c>
    </row>
    <row r="29" spans="1:25" ht="12.75" customHeight="1">
      <c r="A29" s="2">
        <v>2005</v>
      </c>
      <c r="B29" s="818">
        <v>107</v>
      </c>
      <c r="C29" s="818">
        <v>107.6</v>
      </c>
      <c r="D29" s="818">
        <v>109.1</v>
      </c>
      <c r="E29" s="818">
        <v>108.2</v>
      </c>
      <c r="F29" s="818">
        <v>107.4</v>
      </c>
      <c r="G29" s="818">
        <v>106.9</v>
      </c>
      <c r="H29" s="818">
        <v>106.9</v>
      </c>
      <c r="I29" s="818">
        <v>106.6</v>
      </c>
      <c r="J29" s="818">
        <v>106.9</v>
      </c>
      <c r="K29" s="818">
        <v>108.1</v>
      </c>
      <c r="L29" s="818">
        <v>106.3</v>
      </c>
      <c r="N29" s="819"/>
      <c r="O29" s="414">
        <v>24495</v>
      </c>
      <c r="P29" s="818">
        <v>107</v>
      </c>
      <c r="Q29" s="816">
        <v>104.9</v>
      </c>
      <c r="R29" s="819">
        <f t="shared" si="1"/>
        <v>22892.52336448598</v>
      </c>
      <c r="S29" s="819">
        <f t="shared" si="2"/>
        <v>23350.810295519539</v>
      </c>
      <c r="T29" s="819"/>
      <c r="U29" s="819"/>
      <c r="V29" s="819"/>
      <c r="W29" s="819"/>
      <c r="X29" s="819"/>
      <c r="Y29" s="350">
        <f t="shared" si="0"/>
        <v>0</v>
      </c>
    </row>
    <row r="30" spans="1:25" ht="12.75" customHeight="1">
      <c r="A30" s="2">
        <v>2006</v>
      </c>
      <c r="B30" s="818">
        <v>109.1</v>
      </c>
      <c r="C30" s="818">
        <v>109.5</v>
      </c>
      <c r="D30" s="818">
        <v>111.6</v>
      </c>
      <c r="E30" s="818">
        <v>110.4</v>
      </c>
      <c r="F30" s="818">
        <v>109.2</v>
      </c>
      <c r="G30" s="818">
        <v>108.7</v>
      </c>
      <c r="H30" s="818">
        <v>108.8</v>
      </c>
      <c r="I30" s="818">
        <v>108.7</v>
      </c>
      <c r="J30" s="818">
        <v>109.1</v>
      </c>
      <c r="K30" s="818">
        <v>112.3</v>
      </c>
      <c r="L30" s="818">
        <v>108.1</v>
      </c>
      <c r="N30" s="819"/>
      <c r="O30" s="414">
        <v>25798</v>
      </c>
      <c r="P30" s="818">
        <v>109.1</v>
      </c>
      <c r="Q30" s="816">
        <v>106.4</v>
      </c>
      <c r="R30" s="819">
        <f t="shared" si="1"/>
        <v>23646.196150320808</v>
      </c>
      <c r="S30" s="819">
        <f t="shared" si="2"/>
        <v>24246.240601503756</v>
      </c>
      <c r="T30" s="819"/>
      <c r="U30" s="819"/>
      <c r="V30" s="819"/>
      <c r="W30" s="819"/>
      <c r="X30" s="819"/>
      <c r="Y30" s="350">
        <f t="shared" si="0"/>
        <v>0</v>
      </c>
    </row>
    <row r="31" spans="1:25" ht="12.75" customHeight="1">
      <c r="A31" s="2">
        <v>2007</v>
      </c>
      <c r="B31" s="818">
        <v>111.5</v>
      </c>
      <c r="C31" s="818">
        <v>111.1</v>
      </c>
      <c r="D31" s="818">
        <v>113.6</v>
      </c>
      <c r="E31" s="818">
        <v>112.5</v>
      </c>
      <c r="F31" s="818">
        <v>111.3</v>
      </c>
      <c r="G31" s="818">
        <v>110.4</v>
      </c>
      <c r="H31" s="818">
        <v>110.8</v>
      </c>
      <c r="I31" s="818">
        <v>110.9</v>
      </c>
      <c r="J31" s="818">
        <v>112.2</v>
      </c>
      <c r="K31" s="818">
        <v>117.9</v>
      </c>
      <c r="L31" s="818">
        <v>110</v>
      </c>
      <c r="N31" s="819"/>
      <c r="O31" s="414">
        <v>26962</v>
      </c>
      <c r="P31" s="818">
        <v>111.5</v>
      </c>
      <c r="Q31" s="816">
        <v>108</v>
      </c>
      <c r="R31" s="819">
        <f t="shared" si="1"/>
        <v>24181.16591928251</v>
      </c>
      <c r="S31" s="819">
        <f t="shared" si="2"/>
        <v>24964.814814814814</v>
      </c>
      <c r="T31" s="819"/>
      <c r="U31" s="819"/>
      <c r="V31" s="819"/>
      <c r="W31" s="819"/>
      <c r="X31" s="819"/>
      <c r="Y31" s="350"/>
    </row>
    <row r="32" spans="1:25" ht="12.75" customHeight="1">
      <c r="A32" s="2">
        <v>2008</v>
      </c>
      <c r="B32" s="818">
        <v>114.1</v>
      </c>
      <c r="C32" s="818">
        <v>114.3</v>
      </c>
      <c r="D32" s="818">
        <v>117.5</v>
      </c>
      <c r="E32" s="818">
        <v>115.9</v>
      </c>
      <c r="F32" s="818">
        <v>113.2</v>
      </c>
      <c r="G32" s="818">
        <v>112.7</v>
      </c>
      <c r="H32" s="818">
        <v>113.3</v>
      </c>
      <c r="I32" s="818">
        <v>113.4</v>
      </c>
      <c r="J32" s="818">
        <v>115.9</v>
      </c>
      <c r="K32" s="818">
        <v>121.6</v>
      </c>
      <c r="L32" s="818">
        <v>112.3</v>
      </c>
      <c r="N32" s="819"/>
      <c r="O32" s="414"/>
      <c r="P32" s="818"/>
      <c r="Q32" s="816"/>
      <c r="R32" s="819"/>
      <c r="S32" s="819"/>
      <c r="T32" s="819"/>
      <c r="U32" s="819"/>
      <c r="V32" s="819"/>
      <c r="W32" s="819"/>
      <c r="X32" s="819"/>
      <c r="Y32" s="350"/>
    </row>
    <row r="33" spans="1:25" ht="12.75" customHeight="1">
      <c r="A33" s="2"/>
      <c r="B33" s="818"/>
      <c r="C33" s="818"/>
      <c r="D33" s="818"/>
      <c r="E33" s="818"/>
      <c r="F33" s="818"/>
      <c r="G33" s="818"/>
      <c r="H33" s="818"/>
      <c r="I33" s="818"/>
      <c r="J33" s="818"/>
      <c r="K33" s="818"/>
      <c r="L33" s="818"/>
      <c r="N33" s="819"/>
      <c r="O33" s="414"/>
      <c r="P33" s="818"/>
      <c r="Q33" s="816"/>
      <c r="R33" s="819"/>
      <c r="S33" s="819"/>
      <c r="T33" s="819"/>
      <c r="U33" s="819"/>
      <c r="V33" s="819"/>
      <c r="W33" s="819"/>
      <c r="X33" s="819"/>
      <c r="Y33" s="350"/>
    </row>
    <row r="34" spans="1:25" ht="12.75" customHeight="1">
      <c r="A34" s="120"/>
      <c r="B34" s="23"/>
      <c r="C34" s="644"/>
      <c r="D34" s="666" t="s">
        <v>802</v>
      </c>
      <c r="E34" s="644"/>
      <c r="F34" s="644"/>
      <c r="G34" s="644"/>
      <c r="H34" s="644"/>
      <c r="I34" s="644"/>
      <c r="J34" s="644"/>
      <c r="K34" s="644"/>
      <c r="L34" s="644"/>
    </row>
    <row r="35" spans="1:25" ht="12.75" customHeight="1">
      <c r="A35" s="448" t="s">
        <v>603</v>
      </c>
      <c r="B35" s="23">
        <f>((((B13/B5))^(1/8))-1)*100</f>
        <v>5.2960427712493097</v>
      </c>
      <c r="C35" s="23">
        <f t="shared" ref="C35:J35" si="3">((((C13/C5))^(1/8))-1)*100</f>
        <v>4.6182753379497843</v>
      </c>
      <c r="D35" s="23">
        <f t="shared" si="3"/>
        <v>4.4397988085405293</v>
      </c>
      <c r="E35" s="23">
        <f t="shared" si="3"/>
        <v>4.8850652955650498</v>
      </c>
      <c r="F35" s="23">
        <f t="shared" si="3"/>
        <v>4.9995667977193126</v>
      </c>
      <c r="G35" s="23">
        <f t="shared" si="3"/>
        <v>5.303366922465802</v>
      </c>
      <c r="H35" s="23">
        <f t="shared" si="3"/>
        <v>5.6997870491823477</v>
      </c>
      <c r="I35" s="23">
        <f t="shared" si="3"/>
        <v>5.0912193372953052</v>
      </c>
      <c r="J35" s="23">
        <f t="shared" si="3"/>
        <v>4.9579382880627021</v>
      </c>
      <c r="K35" s="23">
        <f>((((K13/K5))^(1/8))-1)*100</f>
        <v>4.5146358079560578</v>
      </c>
      <c r="L35" s="23">
        <f>((((L13/L5))^(1/8))-1)*100</f>
        <v>4.6298004359214273</v>
      </c>
      <c r="O35" s="1">
        <f>(O31/O5-1)*100</f>
        <v>180.4743576406949</v>
      </c>
      <c r="P35" s="1">
        <f>(P31/P5-1)*100</f>
        <v>125.25252525252526</v>
      </c>
      <c r="Q35" s="1">
        <f>(Q31/Q5-1)*100</f>
        <v>113.43873517786562</v>
      </c>
      <c r="R35" s="1">
        <f>(R31/R5-1)*100</f>
        <v>24.515522001922839</v>
      </c>
      <c r="S35" s="1">
        <f>(S31/S5-1)*100</f>
        <v>31.407430524251478</v>
      </c>
    </row>
    <row r="36" spans="1:25" ht="12.75" customHeight="1">
      <c r="A36" s="448" t="s">
        <v>604</v>
      </c>
      <c r="B36" s="23">
        <f>((((B24/B13))^(1/11))-1)*100</f>
        <v>2.2360949008674469</v>
      </c>
      <c r="C36" s="23">
        <f t="shared" ref="C36:J36" si="4">((((C24/C13))^(1/11))-1)*100</f>
        <v>2.1799416781408176</v>
      </c>
      <c r="D36" s="23">
        <f t="shared" si="4"/>
        <v>2.2121419772433315</v>
      </c>
      <c r="E36" s="23">
        <f t="shared" si="4"/>
        <v>2.2761902342839591</v>
      </c>
      <c r="F36" s="23">
        <f t="shared" si="4"/>
        <v>2.1572830955479239</v>
      </c>
      <c r="G36" s="23">
        <f t="shared" si="4"/>
        <v>2.1393445699992686</v>
      </c>
      <c r="H36" s="23">
        <f t="shared" si="4"/>
        <v>2.1696418298869036</v>
      </c>
      <c r="I36" s="23">
        <f t="shared" si="4"/>
        <v>2.524217128468198</v>
      </c>
      <c r="J36" s="23">
        <f t="shared" si="4"/>
        <v>2.3773873765422948</v>
      </c>
      <c r="K36" s="23">
        <f>((((K24/K13))^(1/11))-1)*100</f>
        <v>2.6464994027562527</v>
      </c>
      <c r="L36" s="23">
        <f>((((L24/L13))^(1/11))-1)*100</f>
        <v>2.3539450807235296</v>
      </c>
      <c r="S36" s="1">
        <f>S35-R35</f>
        <v>6.891908522328638</v>
      </c>
    </row>
    <row r="37" spans="1:25" ht="12.75" customHeight="1">
      <c r="A37" s="448" t="s">
        <v>1408</v>
      </c>
      <c r="B37" s="23">
        <f>((((B32/B5))^(1/27))-1)*100</f>
        <v>3.1413019259325159</v>
      </c>
      <c r="C37" s="23">
        <f t="shared" ref="C37:L37" si="5">((((C32/C5))^(1/27))-1)*100</f>
        <v>2.8801395778478955</v>
      </c>
      <c r="D37" s="23">
        <f t="shared" si="5"/>
        <v>3.0142501487834927</v>
      </c>
      <c r="E37" s="23">
        <f t="shared" si="5"/>
        <v>3.102072941118772</v>
      </c>
      <c r="F37" s="23">
        <f t="shared" si="5"/>
        <v>3.0045991735734301</v>
      </c>
      <c r="G37" s="23">
        <f t="shared" si="5"/>
        <v>3.0405470004100765</v>
      </c>
      <c r="H37" s="23">
        <f t="shared" si="5"/>
        <v>3.2161162684128053</v>
      </c>
      <c r="I37" s="23">
        <f t="shared" si="5"/>
        <v>3.1565775423133768</v>
      </c>
      <c r="J37" s="23">
        <f t="shared" si="5"/>
        <v>3.2011125408613283</v>
      </c>
      <c r="K37" s="23">
        <f t="shared" si="5"/>
        <v>3.3616458344967182</v>
      </c>
      <c r="L37" s="23">
        <f t="shared" si="5"/>
        <v>2.9073266549863419</v>
      </c>
      <c r="M37" s="114"/>
    </row>
    <row r="38" spans="1:25" ht="12.75" customHeight="1">
      <c r="A38" s="448" t="s">
        <v>449</v>
      </c>
      <c r="B38" s="644">
        <f>((((B31/B24))^(1/7)-1)*100)</f>
        <v>2.2528009565770946</v>
      </c>
      <c r="C38" s="644">
        <f t="shared" ref="C38:L38" si="6">((((C31/C24))^(1/7)-1)*100)</f>
        <v>2.0179763787539162</v>
      </c>
      <c r="D38" s="644">
        <f t="shared" si="6"/>
        <v>2.6027200123447392</v>
      </c>
      <c r="E38" s="644">
        <f t="shared" si="6"/>
        <v>2.3986501525401493</v>
      </c>
      <c r="F38" s="644">
        <f t="shared" si="6"/>
        <v>2.2725855194029476</v>
      </c>
      <c r="G38" s="644">
        <f t="shared" si="6"/>
        <v>2.0470628390499623</v>
      </c>
      <c r="H38" s="644">
        <f t="shared" si="6"/>
        <v>2.2068237172460092</v>
      </c>
      <c r="I38" s="644">
        <f t="shared" si="6"/>
        <v>2.0977412548596641</v>
      </c>
      <c r="J38" s="644">
        <f t="shared" si="6"/>
        <v>2.4984424775430059</v>
      </c>
      <c r="K38" s="644">
        <f t="shared" si="6"/>
        <v>3.2110032343166672</v>
      </c>
      <c r="L38" s="644">
        <f t="shared" si="6"/>
        <v>1.9486145466290017</v>
      </c>
    </row>
    <row r="39" spans="1:25" ht="12.75" customHeight="1">
      <c r="A39" s="448" t="s">
        <v>1410</v>
      </c>
      <c r="B39" s="644">
        <f>((((B32/B24))^(1/8)-1)*100)</f>
        <v>2.2626773182154336</v>
      </c>
      <c r="C39" s="644">
        <f t="shared" ref="C39:L39" si="7">((((C32/C24))^(1/8)-1)*100)</f>
        <v>2.1253688256867465</v>
      </c>
      <c r="D39" s="644">
        <f t="shared" si="7"/>
        <v>2.7061516625789261</v>
      </c>
      <c r="E39" s="644">
        <f t="shared" si="7"/>
        <v>2.4763897813570024</v>
      </c>
      <c r="F39" s="644">
        <f t="shared" si="7"/>
        <v>2.2017279862191375</v>
      </c>
      <c r="G39" s="644">
        <f t="shared" si="7"/>
        <v>2.0515959459832089</v>
      </c>
      <c r="H39" s="644">
        <f t="shared" si="7"/>
        <v>2.2130091534494856</v>
      </c>
      <c r="I39" s="644">
        <f t="shared" si="7"/>
        <v>2.1172958767926131</v>
      </c>
      <c r="J39" s="644">
        <f t="shared" si="7"/>
        <v>2.5980083379434138</v>
      </c>
      <c r="K39" s="644">
        <f t="shared" si="7"/>
        <v>3.201906619002659</v>
      </c>
      <c r="L39" s="644">
        <f t="shared" si="7"/>
        <v>1.9663905127935477</v>
      </c>
    </row>
    <row r="40" spans="1:25" ht="12.75" customHeight="1">
      <c r="A40" s="2"/>
      <c r="D40" s="27" t="s">
        <v>276</v>
      </c>
    </row>
    <row r="41" spans="1:25" ht="12.75" customHeight="1">
      <c r="A41" s="448" t="s">
        <v>1408</v>
      </c>
      <c r="B41" s="10">
        <f>(B32/B5-1)*100</f>
        <v>130.50505050505049</v>
      </c>
      <c r="C41" s="10">
        <f t="shared" ref="C41:L41" si="8">(C32/C5-1)*100</f>
        <v>115.2542372881356</v>
      </c>
      <c r="D41" s="10">
        <f t="shared" si="8"/>
        <v>122.96015180265654</v>
      </c>
      <c r="E41" s="10">
        <f t="shared" si="8"/>
        <v>128.14960629921265</v>
      </c>
      <c r="F41" s="10">
        <f t="shared" si="8"/>
        <v>122.3968565815324</v>
      </c>
      <c r="G41" s="10">
        <f t="shared" si="8"/>
        <v>124.50199203187249</v>
      </c>
      <c r="H41" s="10">
        <f t="shared" si="8"/>
        <v>135.06224066390038</v>
      </c>
      <c r="I41" s="10">
        <f t="shared" si="8"/>
        <v>131.42857142857144</v>
      </c>
      <c r="J41" s="10">
        <f t="shared" si="8"/>
        <v>134.14141414141417</v>
      </c>
      <c r="K41" s="10">
        <f t="shared" si="8"/>
        <v>144.17670682730926</v>
      </c>
      <c r="L41" s="10">
        <f t="shared" si="8"/>
        <v>116.79536679536682</v>
      </c>
    </row>
    <row r="42" spans="1:25" ht="12.75" customHeight="1">
      <c r="B42" s="652"/>
      <c r="C42" s="652"/>
      <c r="D42" s="652"/>
      <c r="E42" s="652"/>
      <c r="F42" s="652"/>
      <c r="G42" s="652"/>
      <c r="H42" s="652"/>
      <c r="I42" s="652"/>
      <c r="J42" s="652"/>
      <c r="K42" s="652"/>
      <c r="L42" s="652"/>
    </row>
    <row r="43" spans="1:25">
      <c r="A43" s="9" t="s">
        <v>1306</v>
      </c>
      <c r="B43" s="9"/>
      <c r="C43" s="9"/>
      <c r="D43" s="9"/>
      <c r="E43" s="9"/>
      <c r="F43" s="9"/>
      <c r="G43" s="9"/>
      <c r="H43" s="9"/>
      <c r="I43" s="9"/>
      <c r="J43" s="9"/>
      <c r="K43" s="9"/>
      <c r="L43" s="9"/>
    </row>
    <row r="44" spans="1:25">
      <c r="A44" s="9" t="s">
        <v>388</v>
      </c>
      <c r="B44" s="9"/>
      <c r="C44" s="9"/>
      <c r="D44" s="9"/>
      <c r="E44" s="9"/>
      <c r="F44" s="9"/>
      <c r="G44" s="9"/>
      <c r="H44" s="9"/>
      <c r="I44" s="9"/>
      <c r="J44" s="9"/>
      <c r="K44" s="9"/>
      <c r="L44" s="9"/>
    </row>
    <row r="45" spans="1:25">
      <c r="A45" s="4" t="s">
        <v>1718</v>
      </c>
    </row>
    <row r="48" spans="1:25">
      <c r="B48" s="6">
        <f>B32/B5</f>
        <v>2.305050505050505</v>
      </c>
      <c r="C48" s="6"/>
      <c r="D48" s="6"/>
      <c r="E48" s="6"/>
      <c r="F48" s="6"/>
      <c r="G48" s="6"/>
      <c r="H48" s="6"/>
      <c r="I48" s="6"/>
      <c r="J48" s="6"/>
      <c r="K48" s="6"/>
      <c r="L48" s="6"/>
    </row>
    <row r="49" spans="2:12">
      <c r="B49" s="6"/>
      <c r="C49" s="6"/>
      <c r="D49" s="6"/>
      <c r="E49" s="6"/>
      <c r="F49" s="6"/>
      <c r="G49" s="6"/>
      <c r="H49" s="6"/>
      <c r="I49" s="6"/>
      <c r="J49" s="6"/>
      <c r="K49" s="6"/>
      <c r="L49" s="6"/>
    </row>
    <row r="50" spans="2:12">
      <c r="B50" s="6"/>
      <c r="C50" s="6"/>
      <c r="D50" s="6"/>
      <c r="E50" s="6"/>
      <c r="F50" s="6"/>
      <c r="G50" s="6"/>
      <c r="H50" s="6"/>
      <c r="I50" s="6"/>
      <c r="J50" s="6"/>
      <c r="K50" s="6"/>
      <c r="L50" s="6"/>
    </row>
    <row r="51" spans="2:12">
      <c r="B51" s="6"/>
      <c r="C51" s="6"/>
      <c r="D51" s="6"/>
      <c r="E51" s="6"/>
      <c r="F51" s="6"/>
      <c r="G51" s="6"/>
      <c r="H51" s="6"/>
      <c r="I51" s="6"/>
      <c r="J51" s="6"/>
      <c r="K51" s="6"/>
      <c r="L51" s="6"/>
    </row>
    <row r="52" spans="2:12">
      <c r="B52" s="6"/>
      <c r="C52" s="6"/>
      <c r="D52" s="6"/>
      <c r="E52" s="6"/>
      <c r="F52" s="6"/>
      <c r="G52" s="6"/>
      <c r="H52" s="6"/>
      <c r="I52" s="6"/>
      <c r="J52" s="6"/>
      <c r="K52" s="6"/>
      <c r="L52" s="6"/>
    </row>
    <row r="53" spans="2:12">
      <c r="B53" s="6"/>
      <c r="C53" s="6"/>
      <c r="D53" s="6"/>
      <c r="E53" s="6"/>
      <c r="F53" s="6"/>
      <c r="G53" s="6"/>
      <c r="H53" s="6"/>
      <c r="I53" s="6"/>
      <c r="J53" s="6"/>
      <c r="K53" s="6"/>
      <c r="L53" s="6"/>
    </row>
    <row r="54" spans="2:12">
      <c r="B54" s="6"/>
      <c r="C54" s="6"/>
      <c r="D54" s="6"/>
      <c r="E54" s="6"/>
      <c r="F54" s="6"/>
      <c r="G54" s="6"/>
      <c r="H54" s="6"/>
      <c r="I54" s="6"/>
      <c r="J54" s="6"/>
      <c r="K54" s="6"/>
      <c r="L54" s="6"/>
    </row>
    <row r="55" spans="2:12">
      <c r="B55" s="6"/>
      <c r="C55" s="6"/>
      <c r="D55" s="6"/>
      <c r="E55" s="6"/>
      <c r="F55" s="6"/>
      <c r="G55" s="6"/>
      <c r="H55" s="6"/>
      <c r="I55" s="6"/>
      <c r="J55" s="6"/>
      <c r="K55" s="6"/>
      <c r="L55" s="6"/>
    </row>
    <row r="56" spans="2:12">
      <c r="B56" s="6"/>
      <c r="C56" s="6"/>
      <c r="D56" s="6"/>
      <c r="E56" s="6"/>
      <c r="F56" s="6"/>
      <c r="G56" s="6"/>
      <c r="H56" s="6"/>
      <c r="I56" s="6"/>
      <c r="J56" s="6"/>
      <c r="K56" s="6"/>
      <c r="L56" s="6"/>
    </row>
    <row r="57" spans="2:12">
      <c r="B57" s="6"/>
      <c r="C57" s="6"/>
      <c r="D57" s="6"/>
      <c r="E57" s="6"/>
      <c r="F57" s="6"/>
      <c r="G57" s="6"/>
      <c r="H57" s="6"/>
      <c r="I57" s="6"/>
      <c r="J57" s="6"/>
      <c r="K57" s="6"/>
      <c r="L57" s="6"/>
    </row>
    <row r="58" spans="2:12">
      <c r="B58" s="6"/>
      <c r="C58" s="6"/>
      <c r="D58" s="6"/>
      <c r="E58" s="6"/>
      <c r="F58" s="6"/>
      <c r="G58" s="6"/>
      <c r="H58" s="6"/>
      <c r="I58" s="6"/>
      <c r="J58" s="6"/>
      <c r="K58" s="6"/>
      <c r="L58" s="6"/>
    </row>
    <row r="59" spans="2:12">
      <c r="B59" s="6"/>
      <c r="C59" s="6"/>
      <c r="D59" s="6"/>
      <c r="E59" s="6"/>
      <c r="F59" s="6"/>
      <c r="G59" s="6"/>
      <c r="H59" s="6"/>
      <c r="I59" s="6"/>
      <c r="J59" s="6"/>
      <c r="K59" s="6"/>
      <c r="L59" s="6"/>
    </row>
    <row r="60" spans="2:12">
      <c r="B60" s="6"/>
      <c r="C60" s="6"/>
      <c r="D60" s="6"/>
      <c r="E60" s="6"/>
      <c r="F60" s="6"/>
      <c r="G60" s="6"/>
      <c r="H60" s="6"/>
      <c r="I60" s="6"/>
      <c r="J60" s="6"/>
      <c r="K60" s="6"/>
      <c r="L60" s="6"/>
    </row>
    <row r="61" spans="2:12">
      <c r="B61" s="6"/>
      <c r="C61" s="6"/>
      <c r="D61" s="6"/>
      <c r="E61" s="6"/>
      <c r="F61" s="6"/>
      <c r="G61" s="6"/>
      <c r="H61" s="6"/>
      <c r="I61" s="6"/>
      <c r="J61" s="6"/>
      <c r="K61" s="6"/>
      <c r="L61" s="6"/>
    </row>
    <row r="62" spans="2:12">
      <c r="B62" s="6"/>
      <c r="C62" s="6"/>
      <c r="D62" s="6"/>
      <c r="E62" s="6"/>
      <c r="F62" s="6"/>
      <c r="G62" s="6"/>
      <c r="H62" s="6"/>
      <c r="I62" s="6"/>
      <c r="J62" s="6"/>
      <c r="K62" s="6"/>
      <c r="L62" s="6"/>
    </row>
    <row r="63" spans="2:12">
      <c r="B63" s="6"/>
      <c r="C63" s="6"/>
      <c r="D63" s="6"/>
      <c r="E63" s="6"/>
      <c r="F63" s="6"/>
      <c r="G63" s="6"/>
      <c r="H63" s="6"/>
      <c r="I63" s="6"/>
      <c r="J63" s="6"/>
      <c r="K63" s="6"/>
      <c r="L63" s="6"/>
    </row>
    <row r="64" spans="2:12">
      <c r="B64" s="6"/>
      <c r="C64" s="6"/>
      <c r="D64" s="6"/>
      <c r="E64" s="6"/>
      <c r="F64" s="6"/>
      <c r="G64" s="6"/>
      <c r="H64" s="6"/>
      <c r="I64" s="6"/>
      <c r="J64" s="6"/>
      <c r="K64" s="6"/>
      <c r="L64" s="6"/>
    </row>
    <row r="65" spans="2:12">
      <c r="B65" s="6"/>
      <c r="C65" s="6"/>
      <c r="D65" s="6"/>
      <c r="E65" s="6"/>
      <c r="F65" s="6"/>
      <c r="G65" s="6"/>
      <c r="H65" s="6"/>
      <c r="I65" s="6"/>
      <c r="J65" s="6"/>
      <c r="K65" s="6"/>
      <c r="L65" s="6"/>
    </row>
    <row r="66" spans="2:12">
      <c r="B66" s="6"/>
      <c r="C66" s="6"/>
      <c r="D66" s="6"/>
      <c r="E66" s="6"/>
      <c r="F66" s="6"/>
      <c r="G66" s="6"/>
      <c r="H66" s="6"/>
      <c r="I66" s="6"/>
      <c r="J66" s="6"/>
      <c r="K66" s="6"/>
      <c r="L66" s="6"/>
    </row>
    <row r="67" spans="2:12">
      <c r="B67" s="6"/>
      <c r="C67" s="6"/>
      <c r="D67" s="6"/>
      <c r="E67" s="6"/>
      <c r="F67" s="6"/>
      <c r="G67" s="6"/>
      <c r="H67" s="6"/>
      <c r="I67" s="6"/>
      <c r="J67" s="6"/>
      <c r="K67" s="6"/>
      <c r="L67" s="6"/>
    </row>
    <row r="68" spans="2:12">
      <c r="B68" s="6"/>
      <c r="C68" s="6"/>
      <c r="D68" s="6"/>
      <c r="E68" s="6"/>
      <c r="F68" s="6"/>
      <c r="G68" s="6"/>
      <c r="H68" s="6"/>
      <c r="I68" s="6"/>
      <c r="J68" s="6"/>
      <c r="K68" s="6"/>
      <c r="L68" s="6"/>
    </row>
    <row r="69" spans="2:12">
      <c r="B69" s="6"/>
      <c r="C69" s="6"/>
      <c r="D69" s="6"/>
      <c r="E69" s="6"/>
      <c r="F69" s="6"/>
      <c r="G69" s="6"/>
      <c r="H69" s="6"/>
      <c r="I69" s="6"/>
      <c r="J69" s="6"/>
      <c r="K69" s="6"/>
      <c r="L69" s="6"/>
    </row>
    <row r="70" spans="2:12">
      <c r="B70" s="6"/>
      <c r="C70" s="6"/>
      <c r="D70" s="6"/>
      <c r="E70" s="6"/>
      <c r="F70" s="6"/>
      <c r="G70" s="6"/>
      <c r="H70" s="6"/>
      <c r="I70" s="6"/>
      <c r="J70" s="6"/>
      <c r="K70" s="6"/>
      <c r="L70" s="6"/>
    </row>
    <row r="71" spans="2:12">
      <c r="B71" s="6"/>
      <c r="C71" s="6"/>
      <c r="D71" s="6"/>
      <c r="E71" s="6"/>
      <c r="F71" s="6"/>
      <c r="G71" s="6"/>
      <c r="H71" s="6"/>
      <c r="I71" s="6"/>
      <c r="J71" s="6"/>
      <c r="K71" s="6"/>
      <c r="L71" s="6"/>
    </row>
  </sheetData>
  <mergeCells count="11">
    <mergeCell ref="B3:B4"/>
    <mergeCell ref="C3:C4"/>
    <mergeCell ref="D3:D4"/>
    <mergeCell ref="E3:E4"/>
    <mergeCell ref="J3:J4"/>
    <mergeCell ref="L3:L4"/>
    <mergeCell ref="F3:F4"/>
    <mergeCell ref="G3:G4"/>
    <mergeCell ref="H3:H4"/>
    <mergeCell ref="I3:I4"/>
    <mergeCell ref="K3:K4"/>
  </mergeCells>
  <phoneticPr fontId="35" type="noConversion"/>
  <pageMargins left="0.75" right="0.75" top="1" bottom="1" header="0.5" footer="0.5"/>
  <pageSetup scale="82" orientation="landscape" horizontalDpi="300" verticalDpi="300" r:id="rId1"/>
  <headerFooter alignWithMargins="0"/>
</worksheet>
</file>

<file path=xl/worksheets/sheet100.xml><?xml version="1.0" encoding="utf-8"?>
<worksheet xmlns="http://schemas.openxmlformats.org/spreadsheetml/2006/main" xmlns:r="http://schemas.openxmlformats.org/officeDocument/2006/relationships">
  <sheetPr codeName="Sheet62">
    <pageSetUpPr fitToPage="1"/>
  </sheetPr>
  <dimension ref="A1:L42"/>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6384" width="8.85546875" style="1"/>
  </cols>
  <sheetData>
    <row r="1" spans="1:12" ht="15.75">
      <c r="A1" s="4"/>
      <c r="B1" s="3" t="s">
        <v>2182</v>
      </c>
    </row>
    <row r="2" spans="1:12">
      <c r="A2" s="4"/>
      <c r="B2" s="4"/>
    </row>
    <row r="3" spans="1:12">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2">
      <c r="A4" s="7"/>
      <c r="B4" s="1165"/>
      <c r="C4" s="1165"/>
      <c r="D4" s="1165"/>
      <c r="E4" s="1165"/>
      <c r="F4" s="1165"/>
      <c r="G4" s="1165"/>
      <c r="H4" s="1165"/>
      <c r="I4" s="1165"/>
      <c r="J4" s="1165"/>
      <c r="K4" s="1165"/>
      <c r="L4" s="1165"/>
    </row>
    <row r="5" spans="1:12">
      <c r="A5" s="2">
        <v>1981</v>
      </c>
      <c r="B5" s="36">
        <f>ABS(('9b'!B5-'20a'!B5)/'20a'!B5*100)</f>
        <v>1.9486317189110709</v>
      </c>
      <c r="C5" s="36">
        <f>ABS(('9b'!C5-'20a'!C5)/'20a'!C5*100)</f>
        <v>2.3562350413604793</v>
      </c>
      <c r="D5" s="36">
        <f>ABS(('9b'!D5-'20a'!D5)/'20a'!D5*100)</f>
        <v>5.9163589070194273</v>
      </c>
      <c r="E5" s="36">
        <f>ABS(('9b'!E5-'20a'!E5)/'20a'!E5*100)</f>
        <v>2.1655031886901313</v>
      </c>
      <c r="F5" s="36">
        <f>ABS(('9b'!F5-'20a'!F5)/'20a'!F5*100)</f>
        <v>1.2924340493855686</v>
      </c>
      <c r="G5" s="36">
        <f>ABS(('9b'!G5-'20a'!G5)/'20a'!G5*100)</f>
        <v>3.3689595518350575</v>
      </c>
      <c r="H5" s="36">
        <f>ABS(('9b'!H5-'20a'!H5)/'20a'!H5*100)</f>
        <v>1.9661969569701301</v>
      </c>
      <c r="I5" s="36">
        <f>ABS(('9b'!I5-'20a'!I5)/'20a'!I5*100)</f>
        <v>1.5402788662946143</v>
      </c>
      <c r="J5" s="36">
        <f>ABS(('9b'!J5-'20a'!J5)/'20a'!J5*100)</f>
        <v>5.0381005413604596</v>
      </c>
      <c r="K5" s="36">
        <f>ABS(('9b'!K5-'20a'!K5)/'20a'!K5*100)</f>
        <v>9.5309500323505514</v>
      </c>
      <c r="L5" s="36">
        <f>ABS(('9b'!L5-'20a'!L5)/'20a'!L5*100)</f>
        <v>5.6040248252731839</v>
      </c>
    </row>
    <row r="6" spans="1:12">
      <c r="A6" s="2">
        <v>1982</v>
      </c>
      <c r="B6" s="36">
        <f>ABS(('9b'!B6-'20a'!B6)/'20a'!B6*100)</f>
        <v>0.40763949337243677</v>
      </c>
      <c r="C6" s="36">
        <f>ABS(('9b'!C6-'20a'!C6)/'20a'!C6*100)</f>
        <v>0.95750369330250862</v>
      </c>
      <c r="D6" s="36">
        <f>ABS(('9b'!D6-'20a'!D6)/'20a'!D6*100)</f>
        <v>4.1596115523273687</v>
      </c>
      <c r="E6" s="36">
        <f>ABS(('9b'!E6-'20a'!E6)/'20a'!E6*100)</f>
        <v>1.8600441756659467</v>
      </c>
      <c r="F6" s="36">
        <f>ABS(('9b'!F6-'20a'!F6)/'20a'!F6*100)</f>
        <v>0.20116320792695747</v>
      </c>
      <c r="G6" s="36">
        <f>ABS(('9b'!G6-'20a'!G6)/'20a'!G6*100)</f>
        <v>1.1355126987626962</v>
      </c>
      <c r="H6" s="36">
        <f>ABS(('9b'!H6-'20a'!H6)/'20a'!H6*100)</f>
        <v>2.20337728106727</v>
      </c>
      <c r="I6" s="36">
        <f>ABS(('9b'!I6-'20a'!I6)/'20a'!I6*100)</f>
        <v>0.20451231070730225</v>
      </c>
      <c r="J6" s="36">
        <f>ABS(('9b'!J6-'20a'!J6)/'20a'!J6*100)</f>
        <v>7.140177860463953</v>
      </c>
      <c r="K6" s="36">
        <f>ABS(('9b'!K6-'20a'!K6)/'20a'!K6*100)</f>
        <v>3.4146739359619733</v>
      </c>
      <c r="L6" s="36">
        <f>ABS(('9b'!L6-'20a'!L6)/'20a'!L6*100)</f>
        <v>1.133818364162785</v>
      </c>
    </row>
    <row r="7" spans="1:12">
      <c r="A7" s="2">
        <v>1983</v>
      </c>
      <c r="B7" s="36">
        <f>ABS(('9b'!B7-'20a'!B7)/'20a'!B7*100)</f>
        <v>3.2225067683141142</v>
      </c>
      <c r="C7" s="36">
        <f>ABS(('9b'!C7-'20a'!C7)/'20a'!C7*100)</f>
        <v>4.5436749540709904</v>
      </c>
      <c r="D7" s="36">
        <f>ABS(('9b'!D7-'20a'!D7)/'20a'!D7*100)</f>
        <v>3.6755412331610526</v>
      </c>
      <c r="E7" s="36">
        <f>ABS(('9b'!E7-'20a'!E7)/'20a'!E7*100)</f>
        <v>4.0104439843350832</v>
      </c>
      <c r="F7" s="36">
        <f>ABS(('9b'!F7-'20a'!F7)/'20a'!F7*100)</f>
        <v>2.6559871287944565</v>
      </c>
      <c r="G7" s="36">
        <f>ABS(('9b'!G7-'20a'!G7)/'20a'!G7*100)</f>
        <v>3.6522560820715628</v>
      </c>
      <c r="H7" s="36">
        <f>ABS(('9b'!H7-'20a'!H7)/'20a'!H7*100)</f>
        <v>3.0918203712537418</v>
      </c>
      <c r="I7" s="36">
        <f>ABS(('9b'!I7-'20a'!I7)/'20a'!I7*100)</f>
        <v>6.5230114133323216</v>
      </c>
      <c r="J7" s="36">
        <f>ABS(('9b'!J7-'20a'!J7)/'20a'!J7*100)</f>
        <v>1.8840875858698214</v>
      </c>
      <c r="K7" s="36">
        <f>ABS(('9b'!K7-'20a'!K7)/'20a'!K7*100)</f>
        <v>1.8428829067184609</v>
      </c>
      <c r="L7" s="36">
        <f>ABS(('9b'!L7-'20a'!L7)/'20a'!L7*100)</f>
        <v>3.4984099692460982</v>
      </c>
    </row>
    <row r="8" spans="1:12">
      <c r="A8" s="2">
        <v>1984</v>
      </c>
      <c r="B8" s="36">
        <f>ABS(('9b'!B8-'20a'!B8)/'20a'!B8*100)</f>
        <v>0.88773819316420655</v>
      </c>
      <c r="C8" s="36">
        <f>ABS(('9b'!C8-'20a'!C8)/'20a'!C8*100)</f>
        <v>6.2926598928063076</v>
      </c>
      <c r="D8" s="36">
        <f>ABS(('9b'!D8-'20a'!D8)/'20a'!D8*100)</f>
        <v>4.5994302258966124</v>
      </c>
      <c r="E8" s="36">
        <f>ABS(('9b'!E8-'20a'!E8)/'20a'!E8*100)</f>
        <v>1.9583783988799046</v>
      </c>
      <c r="F8" s="36">
        <f>ABS(('9b'!F8-'20a'!F8)/'20a'!F8*100)</f>
        <v>1.7706231429249968</v>
      </c>
      <c r="G8" s="36">
        <f>ABS(('9b'!G8-'20a'!G8)/'20a'!G8*100)</f>
        <v>0.34978042866068165</v>
      </c>
      <c r="H8" s="36">
        <f>ABS(('9b'!H8-'20a'!H8)/'20a'!H8*100)</f>
        <v>0.71150010796595353</v>
      </c>
      <c r="I8" s="36">
        <f>ABS(('9b'!I8-'20a'!I8)/'20a'!I8*100)</f>
        <v>1.3605484418546587</v>
      </c>
      <c r="J8" s="36">
        <f>ABS(('9b'!J8-'20a'!J8)/'20a'!J8*100)</f>
        <v>0.16881431664069713</v>
      </c>
      <c r="K8" s="36">
        <f>ABS(('9b'!K8-'20a'!K8)/'20a'!K8*100)</f>
        <v>1.7187189471719155</v>
      </c>
      <c r="L8" s="36">
        <f>ABS(('9b'!L8-'20a'!L8)/'20a'!L8*100)</f>
        <v>3.1196600688097273</v>
      </c>
    </row>
    <row r="9" spans="1:12">
      <c r="A9" s="2">
        <v>1985</v>
      </c>
      <c r="B9" s="36">
        <f>ABS(('9b'!B9-'20a'!B9)/'20a'!B9*100)</f>
        <v>1.2937942718328983</v>
      </c>
      <c r="C9" s="36">
        <f>ABS(('9b'!C9-'20a'!C9)/'20a'!C9*100)</f>
        <v>5.8299744630177699</v>
      </c>
      <c r="D9" s="36">
        <f>ABS(('9b'!D9-'20a'!D9)/'20a'!D9*100)</f>
        <v>4.8734601138525502</v>
      </c>
      <c r="E9" s="36">
        <f>ABS(('9b'!E9-'20a'!E9)/'20a'!E9*100)</f>
        <v>0.18231195710996984</v>
      </c>
      <c r="F9" s="36">
        <f>ABS(('9b'!F9-'20a'!F9)/'20a'!F9*100)</f>
        <v>1.9806112124261077</v>
      </c>
      <c r="G9" s="36">
        <f>ABS(('9b'!G9-'20a'!G9)/'20a'!G9*100)</f>
        <v>1.1047240729387726</v>
      </c>
      <c r="H9" s="36">
        <f>ABS(('9b'!H9-'20a'!H9)/'20a'!H9*100)</f>
        <v>1.5852374287117361</v>
      </c>
      <c r="I9" s="36">
        <f>ABS(('9b'!I9-'20a'!I9)/'20a'!I9*100)</f>
        <v>4.5967921393646467</v>
      </c>
      <c r="J9" s="36">
        <f>ABS(('9b'!J9-'20a'!J9)/'20a'!J9*100)</f>
        <v>2.2127834137488267</v>
      </c>
      <c r="K9" s="36">
        <f>ABS(('9b'!K9-'20a'!K9)/'20a'!K9*100)</f>
        <v>4.8915862120888924</v>
      </c>
      <c r="L9" s="36">
        <f>ABS(('9b'!L9-'20a'!L9)/'20a'!L9*100)</f>
        <v>1.5234771181007056</v>
      </c>
    </row>
    <row r="10" spans="1:12">
      <c r="A10" s="2">
        <v>1986</v>
      </c>
      <c r="B10" s="36">
        <f>ABS(('9b'!B10-'20a'!B10)/'20a'!B10*100)</f>
        <v>0.82056815064546107</v>
      </c>
      <c r="C10" s="36">
        <f>ABS(('9b'!C10-'20a'!C10)/'20a'!C10*100)</f>
        <v>4.2001637067503399</v>
      </c>
      <c r="D10" s="36">
        <f>ABS(('9b'!D10-'20a'!D10)/'20a'!D10*100)</f>
        <v>2.4223334473951059</v>
      </c>
      <c r="E10" s="36">
        <f>ABS(('9b'!E10-'20a'!E10)/'20a'!E10*100)</f>
        <v>7.3770272529956396E-2</v>
      </c>
      <c r="F10" s="36">
        <f>ABS(('9b'!F10-'20a'!F10)/'20a'!F10*100)</f>
        <v>2.9769042442550454E-2</v>
      </c>
      <c r="G10" s="36">
        <f>ABS(('9b'!G10-'20a'!G10)/'20a'!G10*100)</f>
        <v>0.1779543810442003</v>
      </c>
      <c r="H10" s="36">
        <f>ABS(('9b'!H10-'20a'!H10)/'20a'!H10*100)</f>
        <v>1.2866331161752413</v>
      </c>
      <c r="I10" s="36">
        <f>ABS(('9b'!I10-'20a'!I10)/'20a'!I10*100)</f>
        <v>2.6617165685304029</v>
      </c>
      <c r="J10" s="36">
        <f>ABS(('9b'!J10-'20a'!J10)/'20a'!J10*100)</f>
        <v>8.9637902607441831</v>
      </c>
      <c r="K10" s="36">
        <f>ABS(('9b'!K10-'20a'!K10)/'20a'!K10*100)</f>
        <v>1.4516201711338743</v>
      </c>
      <c r="L10" s="36">
        <f>ABS(('9b'!L10-'20a'!L10)/'20a'!L10*100)</f>
        <v>2.0260881651220988</v>
      </c>
    </row>
    <row r="11" spans="1:12">
      <c r="A11" s="2">
        <v>1987</v>
      </c>
      <c r="B11" s="36">
        <f>ABS(('9b'!B11-'20a'!B11)/'20a'!B11*100)</f>
        <v>0.70146514047431496</v>
      </c>
      <c r="C11" s="36">
        <f>ABS(('9b'!C11-'20a'!C11)/'20a'!C11*100)</f>
        <v>1.1178615877129472</v>
      </c>
      <c r="D11" s="36">
        <f>ABS(('9b'!D11-'20a'!D11)/'20a'!D11*100)</f>
        <v>2.4387271732741311</v>
      </c>
      <c r="E11" s="36">
        <f>ABS(('9b'!E11-'20a'!E11)/'20a'!E11*100)</f>
        <v>1.70321841521253</v>
      </c>
      <c r="F11" s="36">
        <f>ABS(('9b'!F11-'20a'!F11)/'20a'!F11*100)</f>
        <v>1.919642467776677</v>
      </c>
      <c r="G11" s="36">
        <f>ABS(('9b'!G11-'20a'!G11)/'20a'!G11*100)</f>
        <v>1.0802980503973085</v>
      </c>
      <c r="H11" s="36">
        <f>ABS(('9b'!H11-'20a'!H11)/'20a'!H11*100)</f>
        <v>2.0373419513890783</v>
      </c>
      <c r="I11" s="36">
        <f>ABS(('9b'!I11-'20a'!I11)/'20a'!I11*100)</f>
        <v>0.92629315364408971</v>
      </c>
      <c r="J11" s="36">
        <f>ABS(('9b'!J11-'20a'!J11)/'20a'!J11*100)</f>
        <v>4.4127239003290253</v>
      </c>
      <c r="K11" s="36">
        <f>ABS(('9b'!K11-'20a'!K11)/'20a'!K11*100)</f>
        <v>2.8477360927956599</v>
      </c>
      <c r="L11" s="36">
        <f>ABS(('9b'!L11-'20a'!L11)/'20a'!L11*100)</f>
        <v>1.3456404822743606E-2</v>
      </c>
    </row>
    <row r="12" spans="1:12">
      <c r="A12" s="2">
        <v>1988</v>
      </c>
      <c r="B12" s="36">
        <f>ABS(('9b'!B12-'20a'!B12)/'20a'!B12*100)</f>
        <v>3.6575975438104722</v>
      </c>
      <c r="C12" s="36">
        <f>ABS(('9b'!C12-'20a'!C12)/'20a'!C12*100)</f>
        <v>5.1205189307798191</v>
      </c>
      <c r="D12" s="36">
        <f>ABS(('9b'!D12-'20a'!D12)/'20a'!D12*100)</f>
        <v>7.0475403377938974</v>
      </c>
      <c r="E12" s="36">
        <f>ABS(('9b'!E12-'20a'!E12)/'20a'!E12*100)</f>
        <v>4.464753935365124</v>
      </c>
      <c r="F12" s="36">
        <f>ABS(('9b'!F12-'20a'!F12)/'20a'!F12*100)</f>
        <v>4.5630360995861716</v>
      </c>
      <c r="G12" s="36">
        <f>ABS(('9b'!G12-'20a'!G12)/'20a'!G12*100)</f>
        <v>2.893986477049812</v>
      </c>
      <c r="H12" s="36">
        <f>ABS(('9b'!H12-'20a'!H12)/'20a'!H12*100)</f>
        <v>4.9428005608904479</v>
      </c>
      <c r="I12" s="36">
        <f>ABS(('9b'!I12-'20a'!I12)/'20a'!I12*100)</f>
        <v>2.564319535181617</v>
      </c>
      <c r="J12" s="36">
        <f>ABS(('9b'!J12-'20a'!J12)/'20a'!J12*100)</f>
        <v>2.2083832390118991</v>
      </c>
      <c r="K12" s="36">
        <f>ABS(('9b'!K12-'20a'!K12)/'20a'!K12*100)</f>
        <v>2.6539846883057638</v>
      </c>
      <c r="L12" s="36">
        <f>ABS(('9b'!L12-'20a'!L12)/'20a'!L12*100)</f>
        <v>2.944293458598179</v>
      </c>
    </row>
    <row r="13" spans="1:12">
      <c r="A13" s="2">
        <v>1989</v>
      </c>
      <c r="B13" s="36">
        <f>ABS(('9b'!B13-'20a'!B13)/'20a'!B13*100)</f>
        <v>5.4171485911619204</v>
      </c>
      <c r="C13" s="36">
        <f>ABS(('9b'!C13-'20a'!C13)/'20a'!C13*100)</f>
        <v>7.1271003675072757</v>
      </c>
      <c r="D13" s="36">
        <f>ABS(('9b'!D13-'20a'!D13)/'20a'!D13*100)</f>
        <v>8.3412940059590355</v>
      </c>
      <c r="E13" s="36">
        <f>ABS(('9b'!E13-'20a'!E13)/'20a'!E13*100)</f>
        <v>6.6839049978218128</v>
      </c>
      <c r="F13" s="36">
        <f>ABS(('9b'!F13-'20a'!F13)/'20a'!F13*100)</f>
        <v>5.4756332807349759</v>
      </c>
      <c r="G13" s="36">
        <f>ABS(('9b'!G13-'20a'!G13)/'20a'!G13*100)</f>
        <v>5.3289476322934801</v>
      </c>
      <c r="H13" s="36">
        <f>ABS(('9b'!H13-'20a'!H13)/'20a'!H13*100)</f>
        <v>6.2308965860927241</v>
      </c>
      <c r="I13" s="36">
        <f>ABS(('9b'!I13-'20a'!I13)/'20a'!I13*100)</f>
        <v>3.9747725413807897</v>
      </c>
      <c r="J13" s="36">
        <f>ABS(('9b'!J13-'20a'!J13)/'20a'!J13*100)</f>
        <v>1.2334778600765737</v>
      </c>
      <c r="K13" s="36">
        <f>ABS(('9b'!K13-'20a'!K13)/'20a'!K13*100)</f>
        <v>3.6738131701611123</v>
      </c>
      <c r="L13" s="36">
        <f>ABS(('9b'!L13-'20a'!L13)/'20a'!L13*100)</f>
        <v>6.7990678899895585</v>
      </c>
    </row>
    <row r="14" spans="1:12">
      <c r="A14" s="2">
        <v>1990</v>
      </c>
      <c r="B14" s="36">
        <f>ABS(('9b'!B14-'20a'!B14)/'20a'!B14*100)</f>
        <v>4.017312246989416</v>
      </c>
      <c r="C14" s="36">
        <f>ABS(('9b'!C14-'20a'!C14)/'20a'!C14*100)</f>
        <v>7.3828966991016012</v>
      </c>
      <c r="D14" s="36">
        <f>ABS(('9b'!D14-'20a'!D14)/'20a'!D14*100)</f>
        <v>7.0900578342188973</v>
      </c>
      <c r="E14" s="36">
        <f>ABS(('9b'!E14-'20a'!E14)/'20a'!E14*100)</f>
        <v>4.5814044021364513</v>
      </c>
      <c r="F14" s="36">
        <f>ABS(('9b'!F14-'20a'!F14)/'20a'!F14*100)</f>
        <v>3.2241990812169856</v>
      </c>
      <c r="G14" s="36">
        <f>ABS(('9b'!G14-'20a'!G14)/'20a'!G14*100)</f>
        <v>4.7181915518526925</v>
      </c>
      <c r="H14" s="36">
        <f>ABS(('9b'!H14-'20a'!H14)/'20a'!H14*100)</f>
        <v>3.7344924695146879</v>
      </c>
      <c r="I14" s="36">
        <f>ABS(('9b'!I14-'20a'!I14)/'20a'!I14*100)</f>
        <v>5.0500591356455109</v>
      </c>
      <c r="J14" s="36">
        <f>ABS(('9b'!J14-'20a'!J14)/'20a'!J14*100)</f>
        <v>2.0976294592096836</v>
      </c>
      <c r="K14" s="36">
        <f>ABS(('9b'!K14-'20a'!K14)/'20a'!K14*100)</f>
        <v>1.1100036294754898</v>
      </c>
      <c r="L14" s="36">
        <f>ABS(('9b'!L14-'20a'!L14)/'20a'!L14*100)</f>
        <v>6.2588812110217775</v>
      </c>
    </row>
    <row r="15" spans="1:12">
      <c r="A15" s="2">
        <v>1991</v>
      </c>
      <c r="B15" s="36">
        <f>ABS(('9b'!B15-'20a'!B15)/'20a'!B15*100)</f>
        <v>0.17334406686005566</v>
      </c>
      <c r="C15" s="36">
        <f>ABS(('9b'!C15-'20a'!C15)/'20a'!C15*100)</f>
        <v>3.366496774333374</v>
      </c>
      <c r="D15" s="36">
        <f>ABS(('9b'!D15-'20a'!D15)/'20a'!D15*100)</f>
        <v>2.4657410359618903</v>
      </c>
      <c r="E15" s="36">
        <f>ABS(('9b'!E15-'20a'!E15)/'20a'!E15*100)</f>
        <v>0.67084669948353082</v>
      </c>
      <c r="F15" s="36">
        <f>ABS(('9b'!F15-'20a'!F15)/'20a'!F15*100)</f>
        <v>1.0459914297945545</v>
      </c>
      <c r="G15" s="36">
        <f>ABS(('9b'!G15-'20a'!G15)/'20a'!G15*100)</f>
        <v>1.1265461486711437</v>
      </c>
      <c r="H15" s="36">
        <f>ABS(('9b'!H15-'20a'!H15)/'20a'!H15*100)</f>
        <v>0.33314695365074826</v>
      </c>
      <c r="I15" s="36">
        <f>ABS(('9b'!I15-'20a'!I15)/'20a'!I15*100)</f>
        <v>0.20895922721703244</v>
      </c>
      <c r="J15" s="36">
        <f>ABS(('9b'!J15-'20a'!J15)/'20a'!J15*100)</f>
        <v>1.5956883037409058</v>
      </c>
      <c r="K15" s="36">
        <f>ABS(('9b'!K15-'20a'!K15)/'20a'!K15*100)</f>
        <v>2.8320045698408873</v>
      </c>
      <c r="L15" s="36">
        <f>ABS(('9b'!L15-'20a'!L15)/'20a'!L15*100)</f>
        <v>2.283454236968284</v>
      </c>
    </row>
    <row r="16" spans="1:12">
      <c r="A16" s="2">
        <v>1992</v>
      </c>
      <c r="B16" s="36">
        <f>ABS(('9b'!B16-'20a'!B16)/'20a'!B16*100)</f>
        <v>1.171145208658154</v>
      </c>
      <c r="C16" s="36">
        <f>ABS(('9b'!C16-'20a'!C16)/'20a'!C16*100)</f>
        <v>2.6889354295539989</v>
      </c>
      <c r="D16" s="36">
        <f>ABS(('9b'!D16-'20a'!D16)/'20a'!D16*100)</f>
        <v>1.6797533378312186</v>
      </c>
      <c r="E16" s="36">
        <f>ABS(('9b'!E16-'20a'!E16)/'20a'!E16*100)</f>
        <v>1.022627060767064</v>
      </c>
      <c r="F16" s="36">
        <f>ABS(('9b'!F16-'20a'!F16)/'20a'!F16*100)</f>
        <v>0.23634878869360273</v>
      </c>
      <c r="G16" s="36">
        <f>ABS(('9b'!G16-'20a'!G16)/'20a'!G16*100)</f>
        <v>2.9058438804594635</v>
      </c>
      <c r="H16" s="36">
        <f>ABS(('9b'!H16-'20a'!H16)/'20a'!H16*100)</f>
        <v>0.16682433347625561</v>
      </c>
      <c r="I16" s="36">
        <f>ABS(('9b'!I16-'20a'!I16)/'20a'!I16*100)</f>
        <v>3.5021101740472876E-2</v>
      </c>
      <c r="J16" s="36">
        <f>ABS(('9b'!J16-'20a'!J16)/'20a'!J16*100)</f>
        <v>4.9929790464978421</v>
      </c>
      <c r="K16" s="36">
        <f>ABS(('9b'!K16-'20a'!K16)/'20a'!K16*100)</f>
        <v>3.8861908113534107</v>
      </c>
      <c r="L16" s="36">
        <f>ABS(('9b'!L16-'20a'!L16)/'20a'!L16*100)</f>
        <v>8.4191732842636355E-2</v>
      </c>
    </row>
    <row r="17" spans="1:12">
      <c r="A17" s="2">
        <v>1993</v>
      </c>
      <c r="B17" s="36">
        <f>ABS(('9b'!B17-'20a'!B17)/'20a'!B17*100)</f>
        <v>2.4182133747311338</v>
      </c>
      <c r="C17" s="36">
        <f>ABS(('9b'!C17-'20a'!C17)/'20a'!C17*100)</f>
        <v>1.8191018097739799</v>
      </c>
      <c r="D17" s="36">
        <f>ABS(('9b'!D17-'20a'!D17)/'20a'!D17*100)</f>
        <v>3.1585526308126401</v>
      </c>
      <c r="E17" s="36">
        <f>ABS(('9b'!E17-'20a'!E17)/'20a'!E17*100)</f>
        <v>0.73251592262979048</v>
      </c>
      <c r="F17" s="36">
        <f>ABS(('9b'!F17-'20a'!F17)/'20a'!F17*100)</f>
        <v>0.41097396074929671</v>
      </c>
      <c r="G17" s="36">
        <f>ABS(('9b'!G17-'20a'!G17)/'20a'!G17*100)</f>
        <v>2.9391883204536655</v>
      </c>
      <c r="H17" s="36">
        <f>ABS(('9b'!H17-'20a'!H17)/'20a'!H17*100)</f>
        <v>1.97075775890726</v>
      </c>
      <c r="I17" s="36">
        <f>ABS(('9b'!I17-'20a'!I17)/'20a'!I17*100)</f>
        <v>2.8423137626714543</v>
      </c>
      <c r="J17" s="36">
        <f>ABS(('9b'!J17-'20a'!J17)/'20a'!J17*100)</f>
        <v>5.432940080620301</v>
      </c>
      <c r="K17" s="36">
        <f>ABS(('9b'!K17-'20a'!K17)/'20a'!K17*100)</f>
        <v>3.1833798629121119</v>
      </c>
      <c r="L17" s="36">
        <f>ABS(('9b'!L17-'20a'!L17)/'20a'!L17*100)</f>
        <v>1.780613173502787</v>
      </c>
    </row>
    <row r="18" spans="1:12">
      <c r="A18" s="2">
        <v>1994</v>
      </c>
      <c r="B18" s="36">
        <f>ABS(('9b'!B18-'20a'!B18)/'20a'!B18*100)</f>
        <v>2.9114512227900797</v>
      </c>
      <c r="C18" s="36">
        <f>ABS(('9b'!C18-'20a'!C18)/'20a'!C18*100)</f>
        <v>0.63727785432440209</v>
      </c>
      <c r="D18" s="36">
        <f>ABS(('9b'!D18-'20a'!D18)/'20a'!D18*100)</f>
        <v>0.20336863921479961</v>
      </c>
      <c r="E18" s="36">
        <f>ABS(('9b'!E18-'20a'!E18)/'20a'!E18*100)</f>
        <v>1.3585744077237318</v>
      </c>
      <c r="F18" s="36">
        <f>ABS(('9b'!F18-'20a'!F18)/'20a'!F18*100)</f>
        <v>1.3131703234625665</v>
      </c>
      <c r="G18" s="36">
        <f>ABS(('9b'!G18-'20a'!G18)/'20a'!G18*100)</f>
        <v>1.9667873260965196</v>
      </c>
      <c r="H18" s="36">
        <f>ABS(('9b'!H18-'20a'!H18)/'20a'!H18*100)</f>
        <v>2.5115933194031315</v>
      </c>
      <c r="I18" s="36">
        <f>ABS(('9b'!I18-'20a'!I18)/'20a'!I18*100)</f>
        <v>3.1475771600869007</v>
      </c>
      <c r="J18" s="36">
        <f>ABS(('9b'!J18-'20a'!J18)/'20a'!J18*100)</f>
        <v>7.6336426872247047</v>
      </c>
      <c r="K18" s="36">
        <f>ABS(('9b'!K18-'20a'!K18)/'20a'!K18*100)</f>
        <v>5.9450675375052642</v>
      </c>
      <c r="L18" s="36">
        <f>ABS(('9b'!L18-'20a'!L18)/'20a'!L18*100)</f>
        <v>3.1095158695550289</v>
      </c>
    </row>
    <row r="19" spans="1:12">
      <c r="A19" s="2">
        <v>1995</v>
      </c>
      <c r="B19" s="36">
        <f>ABS(('9b'!B19-'20a'!B19)/'20a'!B19*100)</f>
        <v>3.2620671450735133</v>
      </c>
      <c r="C19" s="36">
        <f>ABS(('9b'!C19-'20a'!C19)/'20a'!C19*100)</f>
        <v>7.1185283862567131E-2</v>
      </c>
      <c r="D19" s="36">
        <f>ABS(('9b'!D19-'20a'!D19)/'20a'!D19*100)</f>
        <v>3.5495231731143558E-2</v>
      </c>
      <c r="E19" s="36">
        <f>ABS(('9b'!E19-'20a'!E19)/'20a'!E19*100)</f>
        <v>1.5984713292636992</v>
      </c>
      <c r="F19" s="36">
        <f>ABS(('9b'!F19-'20a'!F19)/'20a'!F19*100)</f>
        <v>0.41546090665196589</v>
      </c>
      <c r="G19" s="36">
        <f>ABS(('9b'!G19-'20a'!G19)/'20a'!G19*100)</f>
        <v>2.3012050121384564</v>
      </c>
      <c r="H19" s="36">
        <f>ABS(('9b'!H19-'20a'!H19)/'20a'!H19*100)</f>
        <v>3.0154860867008808</v>
      </c>
      <c r="I19" s="36">
        <f>ABS(('9b'!I19-'20a'!I19)/'20a'!I19*100)</f>
        <v>3.2112218919675537</v>
      </c>
      <c r="J19" s="36">
        <f>ABS(('9b'!J19-'20a'!J19)/'20a'!J19*100)</f>
        <v>3.4126402829392366</v>
      </c>
      <c r="K19" s="36">
        <f>ABS(('9b'!K19-'20a'!K19)/'20a'!K19*100)</f>
        <v>6.4478313684051098</v>
      </c>
      <c r="L19" s="36">
        <f>ABS(('9b'!L19-'20a'!L19)/'20a'!L19*100)</f>
        <v>3.9436725691289962</v>
      </c>
    </row>
    <row r="20" spans="1:12">
      <c r="A20" s="2">
        <v>1996</v>
      </c>
      <c r="B20" s="36">
        <f>ABS(('9b'!B20-'20a'!B20)/'20a'!B20*100)</f>
        <v>4.789366613957073</v>
      </c>
      <c r="C20" s="36">
        <f>ABS(('9b'!C20-'20a'!C20)/'20a'!C20*100)</f>
        <v>3.2081439117869515</v>
      </c>
      <c r="D20" s="36">
        <f>ABS(('9b'!D20-'20a'!D20)/'20a'!D20*100)</f>
        <v>3.3277954362023161</v>
      </c>
      <c r="E20" s="36">
        <f>ABS(('9b'!E20-'20a'!E20)/'20a'!E20*100)</f>
        <v>4.5696260017976522</v>
      </c>
      <c r="F20" s="36">
        <f>ABS(('9b'!F20-'20a'!F20)/'20a'!F20*100)</f>
        <v>2.3693295697055916</v>
      </c>
      <c r="G20" s="36">
        <f>ABS(('9b'!G20-'20a'!G20)/'20a'!G20*100)</f>
        <v>3.2266081775010758</v>
      </c>
      <c r="H20" s="36">
        <f>ABS(('9b'!H20-'20a'!H20)/'20a'!H20*100)</f>
        <v>5.391018839969262</v>
      </c>
      <c r="I20" s="36">
        <f>ABS(('9b'!I20-'20a'!I20)/'20a'!I20*100)</f>
        <v>2.743099766036365</v>
      </c>
      <c r="J20" s="36">
        <f>ABS(('9b'!J20-'20a'!J20)/'20a'!J20*100)</f>
        <v>0.27937913847349605</v>
      </c>
      <c r="K20" s="36">
        <f>ABS(('9b'!K20-'20a'!K20)/'20a'!K20*100)</f>
        <v>8.1849855793062378</v>
      </c>
      <c r="L20" s="36">
        <f>ABS(('9b'!L20-'20a'!L20)/'20a'!L20*100)</f>
        <v>5.5372477942556912</v>
      </c>
    </row>
    <row r="21" spans="1:12">
      <c r="A21" s="2">
        <v>1997</v>
      </c>
      <c r="B21" s="36">
        <f>ABS(('9b'!B21-'20a'!B21)/'20a'!B21*100)</f>
        <v>4.6722394716337847</v>
      </c>
      <c r="C21" s="36">
        <f>ABS(('9b'!C21-'20a'!C21)/'20a'!C21*100)</f>
        <v>5.6752431147570217</v>
      </c>
      <c r="D21" s="36">
        <f>ABS(('9b'!D21-'20a'!D21)/'20a'!D21*100)</f>
        <v>3.5268364233208462</v>
      </c>
      <c r="E21" s="36">
        <f>ABS(('9b'!E21-'20a'!E21)/'20a'!E21*100)</f>
        <v>3.9626758026799345</v>
      </c>
      <c r="F21" s="36">
        <f>ABS(('9b'!F21-'20a'!F21)/'20a'!F21*100)</f>
        <v>3.5089053980912914</v>
      </c>
      <c r="G21" s="36">
        <f>ABS(('9b'!G21-'20a'!G21)/'20a'!G21*100)</f>
        <v>4.1066801614717434</v>
      </c>
      <c r="H21" s="36">
        <f>ABS(('9b'!H21-'20a'!H21)/'20a'!H21*100)</f>
        <v>4.4634104362260185</v>
      </c>
      <c r="I21" s="36">
        <f>ABS(('9b'!I21-'20a'!I21)/'20a'!I21*100)</f>
        <v>5.1892055406080324</v>
      </c>
      <c r="J21" s="36">
        <f>ABS(('9b'!J21-'20a'!J21)/'20a'!J21*100)</f>
        <v>6.279438802246248</v>
      </c>
      <c r="K21" s="36">
        <f>ABS(('9b'!K21-'20a'!K21)/'20a'!K21*100)</f>
        <v>5.2988932261026207</v>
      </c>
      <c r="L21" s="36">
        <f>ABS(('9b'!L21-'20a'!L21)/'20a'!L21*100)</f>
        <v>5.2488769058693201</v>
      </c>
    </row>
    <row r="22" spans="1:12">
      <c r="A22" s="2">
        <v>1998</v>
      </c>
      <c r="B22" s="36">
        <f>ABS(('9b'!B22-'20a'!B22)/'20a'!B22*100)</f>
        <v>3.1306450257403098</v>
      </c>
      <c r="C22" s="36">
        <f>ABS(('9b'!C22-'20a'!C22)/'20a'!C22*100)</f>
        <v>3.6967952870274949</v>
      </c>
      <c r="D22" s="36">
        <f>ABS(('9b'!D22-'20a'!D22)/'20a'!D22*100)</f>
        <v>2.1795733576089087</v>
      </c>
      <c r="E22" s="36">
        <f>ABS(('9b'!E22-'20a'!E22)/'20a'!E22*100)</f>
        <v>1.2292333205638932</v>
      </c>
      <c r="F22" s="36">
        <f>ABS(('9b'!F22-'20a'!F22)/'20a'!F22*100)</f>
        <v>0.61980609068162118</v>
      </c>
      <c r="G22" s="36">
        <f>ABS(('9b'!G22-'20a'!G22)/'20a'!G22*100)</f>
        <v>3.8509465288046432</v>
      </c>
      <c r="H22" s="36">
        <f>ABS(('9b'!H22-'20a'!H22)/'20a'!H22*100)</f>
        <v>2.1422042222808058</v>
      </c>
      <c r="I22" s="36">
        <f>ABS(('9b'!I22-'20a'!I22)/'20a'!I22*100)</f>
        <v>2.1525499475546535</v>
      </c>
      <c r="J22" s="36">
        <f>ABS(('9b'!J22-'20a'!J22)/'20a'!J22*100)</f>
        <v>3.5207939120994745</v>
      </c>
      <c r="K22" s="36">
        <f>ABS(('9b'!K22-'20a'!K22)/'20a'!K22*100)</f>
        <v>3.5508630880318623</v>
      </c>
      <c r="L22" s="36">
        <f>ABS(('9b'!L22-'20a'!L22)/'20a'!L22*100)</f>
        <v>4.9244212467467259</v>
      </c>
    </row>
    <row r="23" spans="1:12">
      <c r="A23" s="2">
        <v>1999</v>
      </c>
      <c r="B23" s="36">
        <f>ABS(('9b'!B23-'20a'!B23)/'20a'!B23*100)</f>
        <v>1.6280858380192953</v>
      </c>
      <c r="C23" s="36">
        <f>ABS(('9b'!C23-'20a'!C23)/'20a'!C23*100)</f>
        <v>2.0725170760141283</v>
      </c>
      <c r="D23" s="36">
        <f>ABS(('9b'!D23-'20a'!D23)/'20a'!D23*100)</f>
        <v>0.26304180128059151</v>
      </c>
      <c r="E23" s="36">
        <f>ABS(('9b'!E23-'20a'!E23)/'20a'!E23*100)</f>
        <v>0.77485234607998643</v>
      </c>
      <c r="F23" s="36">
        <f>ABS(('9b'!F23-'20a'!F23)/'20a'!F23*100)</f>
        <v>1.2952046422721879</v>
      </c>
      <c r="G23" s="36">
        <f>ABS(('9b'!G23-'20a'!G23)/'20a'!G23*100)</f>
        <v>2.262921438082222</v>
      </c>
      <c r="H23" s="36">
        <f>ABS(('9b'!H23-'20a'!H23)/'20a'!H23*100)</f>
        <v>0.40231604972137708</v>
      </c>
      <c r="I23" s="36">
        <f>ABS(('9b'!I23-'20a'!I23)/'20a'!I23*100)</f>
        <v>1.8156672572617609</v>
      </c>
      <c r="J23" s="36">
        <f>ABS(('9b'!J23-'20a'!J23)/'20a'!J23*100)</f>
        <v>1.1061637801782886</v>
      </c>
      <c r="K23" s="36">
        <f>ABS(('9b'!K23-'20a'!K23)/'20a'!K23*100)</f>
        <v>3.9653112437951896</v>
      </c>
      <c r="L23" s="36">
        <f>ABS(('9b'!L23-'20a'!L23)/'20a'!L23*100)</f>
        <v>3.1547243660174571</v>
      </c>
    </row>
    <row r="24" spans="1:12">
      <c r="A24" s="2">
        <v>2000</v>
      </c>
      <c r="B24" s="36">
        <f>ABS(('9b'!B24-'20a'!B24)/'20a'!B24*100)</f>
        <v>1.1735623748453372</v>
      </c>
      <c r="C24" s="36">
        <f>ABS(('9b'!C24-'20a'!C24)/'20a'!C24*100)</f>
        <v>1.3196208615389635</v>
      </c>
      <c r="D24" s="36">
        <f>ABS(('9b'!D24-'20a'!D24)/'20a'!D24*100)</f>
        <v>1.7552665332590742</v>
      </c>
      <c r="E24" s="36">
        <f>ABS(('9b'!E24-'20a'!E24)/'20a'!E24*100)</f>
        <v>0.53279337221769651</v>
      </c>
      <c r="F24" s="36">
        <f>ABS(('9b'!F24-'20a'!F24)/'20a'!F24*100)</f>
        <v>0.95559103080453189</v>
      </c>
      <c r="G24" s="36">
        <f>ABS(('9b'!G24-'20a'!G24)/'20a'!G24*100)</f>
        <v>2.5066048590245131E-2</v>
      </c>
      <c r="H24" s="36">
        <f>ABS(('9b'!H24-'20a'!H24)/'20a'!H24*100)</f>
        <v>3.1597489820199622</v>
      </c>
      <c r="I24" s="36">
        <f>ABS(('9b'!I24-'20a'!I24)/'20a'!I24*100)</f>
        <v>0.47639127018647837</v>
      </c>
      <c r="J24" s="36">
        <f>ABS(('9b'!J24-'20a'!J24)/'20a'!J24*100)</f>
        <v>0.38408167583987307</v>
      </c>
      <c r="K24" s="36">
        <f>ABS(('9b'!K24-'20a'!K24)/'20a'!K24*100)</f>
        <v>0.67174187645747252</v>
      </c>
      <c r="L24" s="36">
        <f>ABS(('9b'!L24-'20a'!L24)/'20a'!L24*100)</f>
        <v>0.4116979696302539</v>
      </c>
    </row>
    <row r="25" spans="1:12">
      <c r="A25" s="2">
        <v>2001</v>
      </c>
      <c r="B25" s="36">
        <f>ABS(('9b'!B25-'20a'!B25)/'20a'!B25*100)</f>
        <v>1.5237411325710477</v>
      </c>
      <c r="C25" s="36">
        <f>ABS(('9b'!C25-'20a'!C25)/'20a'!C25*100)</f>
        <v>1.3806394034460834</v>
      </c>
      <c r="D25" s="36">
        <f>ABS(('9b'!D25-'20a'!D25)/'20a'!D25*100)</f>
        <v>5.0761229988430419E-2</v>
      </c>
      <c r="E25" s="36">
        <f>ABS(('9b'!E25-'20a'!E25)/'20a'!E25*100)</f>
        <v>1.2980152531797362</v>
      </c>
      <c r="F25" s="36">
        <f>ABS(('9b'!F25-'20a'!F25)/'20a'!F25*100)</f>
        <v>1.2675828208678011</v>
      </c>
      <c r="G25" s="36">
        <f>ABS(('9b'!G25-'20a'!G25)/'20a'!G25*100)</f>
        <v>0.80915895535052274</v>
      </c>
      <c r="H25" s="36">
        <f>ABS(('9b'!H25-'20a'!H25)/'20a'!H25*100)</f>
        <v>1.3642722008931649</v>
      </c>
      <c r="I25" s="36">
        <f>ABS(('9b'!I25-'20a'!I25)/'20a'!I25*100)</f>
        <v>8.2821936348846215E-2</v>
      </c>
      <c r="J25" s="36">
        <f>ABS(('9b'!J25-'20a'!J25)/'20a'!J25*100)</f>
        <v>0.50239499086295514</v>
      </c>
      <c r="K25" s="36">
        <f>ABS(('9b'!K25-'20a'!K25)/'20a'!K25*100)</f>
        <v>5.4757879888991559</v>
      </c>
      <c r="L25" s="36">
        <f>ABS(('9b'!L25-'20a'!L25)/'20a'!L25*100)</f>
        <v>0.76452639378802278</v>
      </c>
    </row>
    <row r="26" spans="1:12">
      <c r="A26" s="2">
        <v>2002</v>
      </c>
      <c r="B26" s="36">
        <f>ABS(('9b'!B26-'20a'!B26)/'20a'!B26*100)</f>
        <v>1.2489695768493108</v>
      </c>
      <c r="C26" s="36">
        <f>ABS(('9b'!C26-'20a'!C26)/'20a'!C26*100)</f>
        <v>0.90652839633484361</v>
      </c>
      <c r="D26" s="36">
        <f>ABS(('9b'!D26-'20a'!D26)/'20a'!D26*100)</f>
        <v>1.691199343096889</v>
      </c>
      <c r="E26" s="36">
        <f>ABS(('9b'!E26-'20a'!E26)/'20a'!E26*100)</f>
        <v>0.17563273389798359</v>
      </c>
      <c r="F26" s="36">
        <f>ABS(('9b'!F26-'20a'!F26)/'20a'!F26*100)</f>
        <v>0.87608805041959859</v>
      </c>
      <c r="G26" s="36">
        <f>ABS(('9b'!G26-'20a'!G26)/'20a'!G26*100)</f>
        <v>1.6609440794209895</v>
      </c>
      <c r="H26" s="36">
        <f>ABS(('9b'!H26-'20a'!H26)/'20a'!H26*100)</f>
        <v>0.75265885299515878</v>
      </c>
      <c r="I26" s="36">
        <f>ABS(('9b'!I26-'20a'!I26)/'20a'!I26*100)</f>
        <v>0.87077230763170088</v>
      </c>
      <c r="J26" s="36">
        <f>ABS(('9b'!J26-'20a'!J26)/'20a'!J26*100)</f>
        <v>0.41159223725154032</v>
      </c>
      <c r="K26" s="36">
        <f>ABS(('9b'!K26-'20a'!K26)/'20a'!K26*100)</f>
        <v>2.6288999036280103</v>
      </c>
      <c r="L26" s="36">
        <f>ABS(('9b'!L26-'20a'!L26)/'20a'!L26*100)</f>
        <v>1.2939270053105945</v>
      </c>
    </row>
    <row r="27" spans="1:12">
      <c r="A27" s="2">
        <v>2003</v>
      </c>
      <c r="B27" s="36">
        <f>ABS(('9b'!B27-'20a'!B27)/'20a'!B27*100)</f>
        <v>0.75905571402448357</v>
      </c>
      <c r="C27" s="36">
        <f>ABS(('9b'!C27-'20a'!C27)/'20a'!C27*100)</f>
        <v>0.86992632392406311</v>
      </c>
      <c r="D27" s="36">
        <f>ABS(('9b'!D27-'20a'!D27)/'20a'!D27*100)</f>
        <v>1.8451210054804896</v>
      </c>
      <c r="E27" s="36">
        <f>ABS(('9b'!E27-'20a'!E27)/'20a'!E27*100)</f>
        <v>1.5007669274737012</v>
      </c>
      <c r="F27" s="36">
        <f>ABS(('9b'!F27-'20a'!F27)/'20a'!F27*100)</f>
        <v>1.6321910579910301</v>
      </c>
      <c r="G27" s="36">
        <f>ABS(('9b'!G27-'20a'!G27)/'20a'!G27*100)</f>
        <v>2.2688668372666365</v>
      </c>
      <c r="H27" s="36">
        <f>ABS(('9b'!H27-'20a'!H27)/'20a'!H27*100)</f>
        <v>0.15224375274417365</v>
      </c>
      <c r="I27" s="36">
        <f>ABS(('9b'!I27-'20a'!I27)/'20a'!I27*100)</f>
        <v>1.3483922113702667</v>
      </c>
      <c r="J27" s="36">
        <f>ABS(('9b'!J27-'20a'!J27)/'20a'!J27*100)</f>
        <v>3.079918371241217</v>
      </c>
      <c r="K27" s="36">
        <f>ABS(('9b'!K27-'20a'!K27)/'20a'!K27*100)</f>
        <v>0.33738477303743303</v>
      </c>
      <c r="L27" s="36">
        <f>ABS(('9b'!L27-'20a'!L27)/'20a'!L27*100)</f>
        <v>1.3998211537574567</v>
      </c>
    </row>
    <row r="28" spans="1:12">
      <c r="A28" s="2">
        <v>2004</v>
      </c>
      <c r="B28" s="36">
        <f>ABS(('9b'!B28-'20a'!B28)/'20a'!B28*100)</f>
        <v>2.7571902094232694</v>
      </c>
      <c r="C28" s="36">
        <f>ABS(('9b'!C28-'20a'!C28)/'20a'!C28*100)</f>
        <v>0.73566420454962356</v>
      </c>
      <c r="D28" s="36">
        <f>ABS(('9b'!D28-'20a'!D28)/'20a'!D28*100)</f>
        <v>1.9930632222257896</v>
      </c>
      <c r="E28" s="36">
        <f>ABS(('9b'!E28-'20a'!E28)/'20a'!E28*100)</f>
        <v>0.10662067112238996</v>
      </c>
      <c r="F28" s="36">
        <f>ABS(('9b'!F28-'20a'!F28)/'20a'!F28*100)</f>
        <v>0.84537881478335253</v>
      </c>
      <c r="G28" s="36">
        <f>ABS(('9b'!G28-'20a'!G28)/'20a'!G28*100)</f>
        <v>3.1833978514015224</v>
      </c>
      <c r="H28" s="36">
        <f>ABS(('9b'!H28-'20a'!H28)/'20a'!H28*100)</f>
        <v>1.2337119846466187</v>
      </c>
      <c r="I28" s="36">
        <f>ABS(('9b'!I28-'20a'!I28)/'20a'!I28*100)</f>
        <v>3.51906191562419</v>
      </c>
      <c r="J28" s="36">
        <f>ABS(('9b'!J28-'20a'!J28)/'20a'!J28*100)</f>
        <v>8.5497133724208219</v>
      </c>
      <c r="K28" s="36">
        <f>ABS(('9b'!K28-'20a'!K28)/'20a'!K28*100)</f>
        <v>5.4737636014241344</v>
      </c>
      <c r="L28" s="36">
        <f>ABS(('9b'!L28-'20a'!L28)/'20a'!L28*100)</f>
        <v>4.1123936683312285</v>
      </c>
    </row>
    <row r="29" spans="1:12">
      <c r="A29" s="2">
        <v>2005</v>
      </c>
      <c r="B29" s="36">
        <f>ABS(('9b'!B29-'20a'!B29)/'20a'!B29*100)</f>
        <v>3.4008910782437116</v>
      </c>
      <c r="C29" s="36">
        <f>ABS(('9b'!C29-'20a'!C29)/'20a'!C29*100)</f>
        <v>9.1343152103512404E-2</v>
      </c>
      <c r="D29" s="36">
        <f>ABS(('9b'!D29-'20a'!D29)/'20a'!D29*100)</f>
        <v>2.7250596017725575</v>
      </c>
      <c r="E29" s="36">
        <f>ABS(('9b'!E29-'20a'!E29)/'20a'!E29*100)</f>
        <v>1.1459997614810797</v>
      </c>
      <c r="F29" s="36">
        <f>ABS(('9b'!F29-'20a'!F29)/'20a'!F29*100)</f>
        <v>0.74981735370247149</v>
      </c>
      <c r="G29" s="36">
        <f>ABS(('9b'!G29-'20a'!G29)/'20a'!G29*100)</f>
        <v>2.6482085786483038</v>
      </c>
      <c r="H29" s="36">
        <f>ABS(('9b'!H29-'20a'!H29)/'20a'!H29*100)</f>
        <v>1.1939440710084352</v>
      </c>
      <c r="I29" s="36">
        <f>ABS(('9b'!I29-'20a'!I29)/'20a'!I29*100)</f>
        <v>2.7211195293173005</v>
      </c>
      <c r="J29" s="36">
        <f>ABS(('9b'!J29-'20a'!J29)/'20a'!J29*100)</f>
        <v>7.3271900322153733</v>
      </c>
      <c r="K29" s="36">
        <f>ABS(('9b'!K29-'20a'!K29)/'20a'!K29*100)</f>
        <v>9.9823430371108746</v>
      </c>
      <c r="L29" s="36">
        <f>ABS(('9b'!L29-'20a'!L29)/'20a'!L29*100)</f>
        <v>5.6358882169037372</v>
      </c>
    </row>
    <row r="30" spans="1:12">
      <c r="A30" s="2">
        <v>2006</v>
      </c>
      <c r="B30" s="36">
        <f>ABS(('9b'!B30-'20a'!B30)/'20a'!B30*100)</f>
        <v>7.1132524631432021</v>
      </c>
      <c r="C30" s="36">
        <f>ABS(('9b'!C30-'20a'!C30)/'20a'!C30*100)</f>
        <v>22.10597991848655</v>
      </c>
      <c r="D30" s="36">
        <f>ABS(('9b'!D30-'20a'!D30)/'20a'!D30*100)</f>
        <v>0.64365930996710619</v>
      </c>
      <c r="E30" s="36">
        <f>ABS(('9b'!E30-'20a'!E30)/'20a'!E30*100)</f>
        <v>2.3460828104172626</v>
      </c>
      <c r="F30" s="36">
        <f>ABS(('9b'!F30-'20a'!F30)/'20a'!F30*100)</f>
        <v>2.3336379069938111</v>
      </c>
      <c r="G30" s="36">
        <f>ABS(('9b'!G30-'20a'!G30)/'20a'!G30*100)</f>
        <v>3.6392173516655988</v>
      </c>
      <c r="H30" s="36">
        <f>ABS(('9b'!H30-'20a'!H30)/'20a'!H30*100)</f>
        <v>4.0993959424753363</v>
      </c>
      <c r="I30" s="36">
        <f>ABS(('9b'!I30-'20a'!I30)/'20a'!I30*100)</f>
        <v>5.6312071635430403</v>
      </c>
      <c r="J30" s="36">
        <f>ABS(('9b'!J30-'20a'!J30)/'20a'!J30*100)</f>
        <v>10.098292411173086</v>
      </c>
      <c r="K30" s="36">
        <f>ABS(('9b'!K30-'20a'!K30)/'20a'!K30*100)</f>
        <v>15.783263649763121</v>
      </c>
      <c r="L30" s="36">
        <f>ABS(('9b'!L30-'20a'!L30)/'20a'!L30*100)</f>
        <v>10.957117236734328</v>
      </c>
    </row>
    <row r="31" spans="1:12">
      <c r="A31" s="2">
        <v>2007</v>
      </c>
      <c r="B31" s="36">
        <f>ABS(('9b'!B31-'20a'!B31)/'20a'!B31*100)</f>
        <v>8.5039160245422014</v>
      </c>
      <c r="C31" s="36">
        <f>ABS(('9b'!C31-'20a'!C31)/'20a'!C31*100)</f>
        <v>16.941185388783861</v>
      </c>
      <c r="D31" s="36">
        <f>ABS(('9b'!D31-'20a'!D31)/'20a'!D31*100)</f>
        <v>1.1232284790260272</v>
      </c>
      <c r="E31" s="36">
        <f>ABS(('9b'!E31-'20a'!E31)/'20a'!E31*100)</f>
        <v>3.9051152589825855</v>
      </c>
      <c r="F31" s="36">
        <f>ABS(('9b'!F31-'20a'!F31)/'20a'!F31*100)</f>
        <v>3.9240504622648285</v>
      </c>
      <c r="G31" s="36">
        <f>ABS(('9b'!G31-'20a'!G31)/'20a'!G31*100)</f>
        <v>6.2221497095667964</v>
      </c>
      <c r="H31" s="36">
        <f>ABS(('9b'!H31-'20a'!H31)/'20a'!H31*100)</f>
        <v>5.3064391236525408</v>
      </c>
      <c r="I31" s="36">
        <f>ABS(('9b'!I31-'20a'!I31)/'20a'!I31*100)</f>
        <v>9.493620420375553</v>
      </c>
      <c r="J31" s="36">
        <f>ABS(('9b'!J31-'20a'!J31)/'20a'!J31*100)</f>
        <v>15.273627098565386</v>
      </c>
      <c r="K31" s="36">
        <f>ABS(('9b'!K31-'20a'!K31)/'20a'!K31*100)</f>
        <v>16.871280816808738</v>
      </c>
      <c r="L31" s="36">
        <f>ABS(('9b'!L31-'20a'!L31)/'20a'!L31*100)</f>
        <v>13.912749347561086</v>
      </c>
    </row>
    <row r="32" spans="1:12" s="739" customFormat="1">
      <c r="A32" s="2">
        <v>2008</v>
      </c>
      <c r="B32" s="36">
        <f>ABS(('9b'!B32-'20a'!B32)/'20a'!B32*100)</f>
        <v>10.387017499206912</v>
      </c>
      <c r="C32" s="36">
        <f>ABS(('9b'!C32-'20a'!C32)/'20a'!C32*100)</f>
        <v>10.092687722468394</v>
      </c>
      <c r="D32" s="36">
        <f>ABS(('9b'!D32-'20a'!D32)/'20a'!D32*100)</f>
        <v>0.30093949553714511</v>
      </c>
      <c r="E32" s="36">
        <f>ABS(('9b'!E32-'20a'!E32)/'20a'!E32*100)</f>
        <v>4.4780446045821529</v>
      </c>
      <c r="F32" s="36">
        <f>ABS(('9b'!F32-'20a'!F32)/'20a'!F32*100)</f>
        <v>5.5517483087629653</v>
      </c>
      <c r="G32" s="36">
        <f>ABS(('9b'!G32-'20a'!G32)/'20a'!G32*100)</f>
        <v>7.4269895567114137</v>
      </c>
      <c r="H32" s="36">
        <f>ABS(('9b'!H32-'20a'!H32)/'20a'!H32*100)</f>
        <v>6.70799005525204</v>
      </c>
      <c r="I32" s="36">
        <f>ABS(('9b'!I32-'20a'!I32)/'20a'!I32*100)</f>
        <v>12.839435102141483</v>
      </c>
      <c r="J32" s="36">
        <f>ABS(('9b'!J32-'20a'!J32)/'20a'!J32*100)</f>
        <v>24.418049012760466</v>
      </c>
      <c r="K32" s="36">
        <f>ABS(('9b'!K32-'20a'!K32)/'20a'!K32*100)</f>
        <v>20.119826562765208</v>
      </c>
      <c r="L32" s="36">
        <f>ABS(('9b'!L32-'20a'!L32)/'20a'!L32*100)</f>
        <v>16.850145322276529</v>
      </c>
    </row>
    <row r="33" spans="1:12">
      <c r="A33" s="738"/>
      <c r="B33" s="644"/>
      <c r="C33" s="644"/>
      <c r="D33" s="644"/>
      <c r="E33" s="644"/>
      <c r="F33" s="644"/>
      <c r="G33" s="644" t="s">
        <v>255</v>
      </c>
      <c r="H33" s="644"/>
      <c r="I33" s="644"/>
      <c r="J33" s="644"/>
      <c r="K33" s="644"/>
      <c r="L33" s="644"/>
    </row>
    <row r="34" spans="1:12">
      <c r="A34" s="431" t="s">
        <v>603</v>
      </c>
      <c r="B34" s="27">
        <f>B13-B5</f>
        <v>3.4685168722508495</v>
      </c>
      <c r="C34" s="27">
        <f t="shared" ref="C34:J34" si="0">C13-C5</f>
        <v>4.7708653261467964</v>
      </c>
      <c r="D34" s="27">
        <f t="shared" si="0"/>
        <v>2.4249350989396081</v>
      </c>
      <c r="E34" s="27">
        <f t="shared" si="0"/>
        <v>4.5184018091316815</v>
      </c>
      <c r="F34" s="27">
        <f t="shared" si="0"/>
        <v>4.1831992313494073</v>
      </c>
      <c r="G34" s="27">
        <f t="shared" si="0"/>
        <v>1.9599880804584227</v>
      </c>
      <c r="H34" s="27">
        <f t="shared" si="0"/>
        <v>4.2646996291225943</v>
      </c>
      <c r="I34" s="27">
        <f t="shared" si="0"/>
        <v>2.4344936750861752</v>
      </c>
      <c r="J34" s="27">
        <f t="shared" si="0"/>
        <v>-3.8046226812838859</v>
      </c>
      <c r="K34" s="27">
        <f>K13-K5</f>
        <v>-5.8571368621894386</v>
      </c>
      <c r="L34" s="27">
        <f>L13-L5</f>
        <v>1.1950430647163746</v>
      </c>
    </row>
    <row r="35" spans="1:12">
      <c r="A35" s="431" t="s">
        <v>604</v>
      </c>
      <c r="B35" s="27">
        <f>B24-B13</f>
        <v>-4.2435862163165829</v>
      </c>
      <c r="C35" s="27">
        <f t="shared" ref="C35:J35" si="1">C24-C13</f>
        <v>-5.8074795059683124</v>
      </c>
      <c r="D35" s="27">
        <f t="shared" si="1"/>
        <v>-6.5860274726999615</v>
      </c>
      <c r="E35" s="27">
        <f t="shared" si="1"/>
        <v>-6.1511116256041163</v>
      </c>
      <c r="F35" s="27">
        <f t="shared" si="1"/>
        <v>-4.5200422499304445</v>
      </c>
      <c r="G35" s="27">
        <f t="shared" si="1"/>
        <v>-5.3038815837032347</v>
      </c>
      <c r="H35" s="27">
        <f t="shared" si="1"/>
        <v>-3.0711476040727619</v>
      </c>
      <c r="I35" s="27">
        <f t="shared" si="1"/>
        <v>-3.4983812711943112</v>
      </c>
      <c r="J35" s="27">
        <f t="shared" si="1"/>
        <v>-0.8493961842367006</v>
      </c>
      <c r="K35" s="27">
        <f>K24-K13</f>
        <v>-3.00207129370364</v>
      </c>
      <c r="L35" s="27">
        <f>L24-L13</f>
        <v>-6.3873699203593048</v>
      </c>
    </row>
    <row r="36" spans="1:12">
      <c r="A36" s="431" t="s">
        <v>1408</v>
      </c>
      <c r="B36" s="23">
        <f>B32-B5</f>
        <v>8.4383857802958424</v>
      </c>
      <c r="C36" s="23">
        <f t="shared" ref="C36:L36" si="2">C32-C5</f>
        <v>7.7364526811079148</v>
      </c>
      <c r="D36" s="23">
        <f t="shared" si="2"/>
        <v>-5.6154194114822822</v>
      </c>
      <c r="E36" s="23">
        <f t="shared" si="2"/>
        <v>2.3125414158920217</v>
      </c>
      <c r="F36" s="23">
        <f t="shared" si="2"/>
        <v>4.2593142593773967</v>
      </c>
      <c r="G36" s="23">
        <f t="shared" si="2"/>
        <v>4.0580300048763558</v>
      </c>
      <c r="H36" s="23">
        <f t="shared" si="2"/>
        <v>4.7417930982819101</v>
      </c>
      <c r="I36" s="23">
        <f t="shared" si="2"/>
        <v>11.299156235846869</v>
      </c>
      <c r="J36" s="23">
        <f t="shared" si="2"/>
        <v>19.379948471400006</v>
      </c>
      <c r="K36" s="23">
        <f t="shared" si="2"/>
        <v>10.588876530414657</v>
      </c>
      <c r="L36" s="23">
        <f t="shared" si="2"/>
        <v>11.246120497003345</v>
      </c>
    </row>
    <row r="37" spans="1:12">
      <c r="A37" s="431" t="s">
        <v>818</v>
      </c>
      <c r="B37" s="644">
        <f t="shared" ref="B37:L37" si="3">B30-B24</f>
        <v>5.9396900882978647</v>
      </c>
      <c r="C37" s="644">
        <f t="shared" si="3"/>
        <v>20.786359056947585</v>
      </c>
      <c r="D37" s="644">
        <f t="shared" si="3"/>
        <v>-1.111607223291968</v>
      </c>
      <c r="E37" s="644">
        <f t="shared" si="3"/>
        <v>1.8132894381995661</v>
      </c>
      <c r="F37" s="644">
        <f t="shared" si="3"/>
        <v>1.3780468761892792</v>
      </c>
      <c r="G37" s="644">
        <f t="shared" si="3"/>
        <v>3.6141513030753538</v>
      </c>
      <c r="H37" s="644">
        <f t="shared" si="3"/>
        <v>0.9396469604553741</v>
      </c>
      <c r="I37" s="644">
        <f t="shared" si="3"/>
        <v>5.1548158933565622</v>
      </c>
      <c r="J37" s="644">
        <f t="shared" si="3"/>
        <v>9.7142107353332126</v>
      </c>
      <c r="K37" s="644">
        <f t="shared" si="3"/>
        <v>15.111521773305649</v>
      </c>
      <c r="L37" s="644">
        <f t="shared" si="3"/>
        <v>10.545419267104075</v>
      </c>
    </row>
    <row r="38" spans="1:12">
      <c r="A38" s="431" t="s">
        <v>1410</v>
      </c>
      <c r="B38" s="644">
        <f>B32-B24</f>
        <v>9.213455124361575</v>
      </c>
      <c r="C38" s="725">
        <f t="shared" ref="C38:L38" si="4">C32-C24</f>
        <v>8.7730668609294309</v>
      </c>
      <c r="D38" s="725">
        <f t="shared" si="4"/>
        <v>-1.4543270377219291</v>
      </c>
      <c r="E38" s="725">
        <f t="shared" si="4"/>
        <v>3.9452512323644564</v>
      </c>
      <c r="F38" s="725">
        <f t="shared" si="4"/>
        <v>4.596157277958433</v>
      </c>
      <c r="G38" s="725">
        <f t="shared" si="4"/>
        <v>7.4019235081211683</v>
      </c>
      <c r="H38" s="725">
        <f t="shared" si="4"/>
        <v>3.5482410732320777</v>
      </c>
      <c r="I38" s="725">
        <f t="shared" si="4"/>
        <v>12.363043831955004</v>
      </c>
      <c r="J38" s="725">
        <f t="shared" si="4"/>
        <v>24.033967336920593</v>
      </c>
      <c r="K38" s="725">
        <f t="shared" si="4"/>
        <v>19.448084686307737</v>
      </c>
      <c r="L38" s="725">
        <f t="shared" si="4"/>
        <v>16.438447352646275</v>
      </c>
    </row>
    <row r="39" spans="1:12">
      <c r="A39" s="431" t="s">
        <v>1408</v>
      </c>
      <c r="B39" s="644">
        <f>B32-B5</f>
        <v>8.4383857802958424</v>
      </c>
      <c r="C39" s="725">
        <f t="shared" ref="C39:L39" si="5">C32-C5</f>
        <v>7.7364526811079148</v>
      </c>
      <c r="D39" s="725">
        <f t="shared" si="5"/>
        <v>-5.6154194114822822</v>
      </c>
      <c r="E39" s="725">
        <f t="shared" si="5"/>
        <v>2.3125414158920217</v>
      </c>
      <c r="F39" s="725">
        <f t="shared" si="5"/>
        <v>4.2593142593773967</v>
      </c>
      <c r="G39" s="725">
        <f t="shared" si="5"/>
        <v>4.0580300048763558</v>
      </c>
      <c r="H39" s="725">
        <f t="shared" si="5"/>
        <v>4.7417930982819101</v>
      </c>
      <c r="I39" s="725">
        <f t="shared" si="5"/>
        <v>11.299156235846869</v>
      </c>
      <c r="J39" s="725">
        <f t="shared" si="5"/>
        <v>19.379948471400006</v>
      </c>
      <c r="K39" s="725">
        <f t="shared" si="5"/>
        <v>10.588876530414657</v>
      </c>
      <c r="L39" s="725">
        <f t="shared" si="5"/>
        <v>11.246120497003345</v>
      </c>
    </row>
    <row r="41" spans="1:12">
      <c r="A41" s="4"/>
      <c r="B41" s="19"/>
      <c r="C41" s="19"/>
      <c r="D41" s="19"/>
      <c r="E41" s="19"/>
      <c r="F41" s="19"/>
      <c r="G41" s="19"/>
      <c r="H41" s="19"/>
      <c r="I41" s="19"/>
      <c r="J41" s="19"/>
      <c r="K41" s="19"/>
      <c r="L41" s="19"/>
    </row>
    <row r="42" spans="1:12">
      <c r="A42" s="1170" t="s">
        <v>203</v>
      </c>
      <c r="B42" s="1170"/>
      <c r="C42" s="1170"/>
      <c r="D42" s="1170"/>
      <c r="E42" s="1170"/>
      <c r="F42" s="1170"/>
      <c r="G42" s="1170"/>
      <c r="H42" s="1170"/>
      <c r="I42" s="1170"/>
      <c r="J42" s="1170"/>
      <c r="K42" s="1170"/>
      <c r="L42" s="1170"/>
    </row>
  </sheetData>
  <mergeCells count="12">
    <mergeCell ref="J3:J4"/>
    <mergeCell ref="K3:K4"/>
    <mergeCell ref="L3:L4"/>
    <mergeCell ref="A42:L42"/>
    <mergeCell ref="F3:F4"/>
    <mergeCell ref="G3:G4"/>
    <mergeCell ref="H3:H4"/>
    <mergeCell ref="I3:I4"/>
    <mergeCell ref="B3:B4"/>
    <mergeCell ref="C3:C4"/>
    <mergeCell ref="D3:D4"/>
    <mergeCell ref="E3:E4"/>
  </mergeCells>
  <phoneticPr fontId="35" type="noConversion"/>
  <pageMargins left="0.75" right="0.75" top="1" bottom="1" header="0.5" footer="0.5"/>
  <pageSetup scale="89" orientation="landscape" horizontalDpi="300" verticalDpi="300" r:id="rId1"/>
  <headerFooter alignWithMargins="0"/>
</worksheet>
</file>

<file path=xl/worksheets/sheet101.xml><?xml version="1.0" encoding="utf-8"?>
<worksheet xmlns="http://schemas.openxmlformats.org/spreadsheetml/2006/main" xmlns:r="http://schemas.openxmlformats.org/officeDocument/2006/relationships">
  <sheetPr codeName="Sheet55">
    <pageSetUpPr fitToPage="1"/>
  </sheetPr>
  <dimension ref="A1:AK49"/>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3" width="10.42578125" style="1" bestFit="1" customWidth="1"/>
    <col min="4" max="6" width="9.28515625" style="1" bestFit="1" customWidth="1"/>
    <col min="7" max="8" width="9.7109375" style="1" bestFit="1" customWidth="1"/>
    <col min="9" max="12" width="9.28515625" style="1" bestFit="1" customWidth="1"/>
    <col min="13" max="16384" width="9.140625" style="1"/>
  </cols>
  <sheetData>
    <row r="1" spans="1:37" ht="15.75">
      <c r="B1" s="40" t="s">
        <v>2183</v>
      </c>
    </row>
    <row r="2" spans="1:37">
      <c r="AA2" s="1208"/>
      <c r="AB2" s="1208"/>
      <c r="AC2" s="1208"/>
      <c r="AD2" s="1208"/>
      <c r="AE2" s="1208"/>
      <c r="AF2" s="1208"/>
      <c r="AG2" s="1208"/>
      <c r="AH2" s="1208"/>
      <c r="AI2" s="1208"/>
      <c r="AJ2" s="1208"/>
      <c r="AK2" s="1208"/>
    </row>
    <row r="3" spans="1:37">
      <c r="A3" s="2"/>
      <c r="B3" s="1164" t="s">
        <v>375</v>
      </c>
      <c r="C3" s="1164" t="s">
        <v>377</v>
      </c>
      <c r="D3" s="1164" t="s">
        <v>386</v>
      </c>
      <c r="E3" s="1164" t="s">
        <v>378</v>
      </c>
      <c r="F3" s="1164" t="s">
        <v>379</v>
      </c>
      <c r="G3" s="1164" t="s">
        <v>380</v>
      </c>
      <c r="H3" s="1164" t="s">
        <v>381</v>
      </c>
      <c r="I3" s="1164" t="s">
        <v>382</v>
      </c>
      <c r="J3" s="1164" t="s">
        <v>383</v>
      </c>
      <c r="K3" s="1164" t="s">
        <v>384</v>
      </c>
      <c r="L3" s="1164" t="s">
        <v>385</v>
      </c>
      <c r="AA3" s="1208"/>
      <c r="AB3" s="1208"/>
      <c r="AC3" s="1208"/>
      <c r="AD3" s="1208"/>
      <c r="AE3" s="1208"/>
      <c r="AF3" s="1208"/>
      <c r="AG3" s="1208"/>
      <c r="AH3" s="1208"/>
      <c r="AI3" s="1208"/>
      <c r="AJ3" s="1208"/>
      <c r="AK3" s="1208"/>
    </row>
    <row r="4" spans="1:37">
      <c r="A4" s="7"/>
      <c r="B4" s="1165"/>
      <c r="C4" s="1165"/>
      <c r="D4" s="1165"/>
      <c r="E4" s="1165"/>
      <c r="F4" s="1165"/>
      <c r="G4" s="1165"/>
      <c r="H4" s="1165"/>
      <c r="I4" s="1165"/>
      <c r="J4" s="1165"/>
      <c r="K4" s="1165"/>
      <c r="L4" s="1165"/>
      <c r="M4" s="1" t="s">
        <v>1735</v>
      </c>
      <c r="N4" s="1" t="s">
        <v>1736</v>
      </c>
      <c r="O4" s="1" t="s">
        <v>1737</v>
      </c>
      <c r="P4" s="1" t="s">
        <v>1738</v>
      </c>
      <c r="Q4" s="1" t="s">
        <v>1739</v>
      </c>
      <c r="R4" s="1" t="s">
        <v>1740</v>
      </c>
      <c r="S4" s="1" t="s">
        <v>1741</v>
      </c>
      <c r="T4" s="1" t="s">
        <v>1742</v>
      </c>
      <c r="U4" s="1" t="s">
        <v>1743</v>
      </c>
      <c r="V4" s="1" t="s">
        <v>1744</v>
      </c>
      <c r="W4" s="1" t="s">
        <v>1745</v>
      </c>
      <c r="X4" s="1" t="s">
        <v>1746</v>
      </c>
    </row>
    <row r="5" spans="1:37">
      <c r="A5" s="2">
        <v>1976</v>
      </c>
      <c r="B5" s="10">
        <f>N5/'[2]1'!B10*10</f>
        <v>4.2853229331344629</v>
      </c>
      <c r="C5" s="10">
        <f>O5/'[2]1'!C10*10</f>
        <v>2.2572199936371278</v>
      </c>
      <c r="D5" s="10">
        <f>P5/'[2]1'!D10*10</f>
        <v>0.58998044636234914</v>
      </c>
      <c r="E5" s="10">
        <f>Q5/'[2]1'!E10*10</f>
        <v>3.3526269029151088</v>
      </c>
      <c r="F5" s="10">
        <f>R5/'[2]1'!F10*10</f>
        <v>0.94272031373732035</v>
      </c>
      <c r="G5" s="10">
        <f>S5/'[2]1'!G10*10</f>
        <v>4.2943608491860177</v>
      </c>
      <c r="H5" s="10">
        <f>T5/'[2]1'!H10*10</f>
        <v>5.6431242132696848</v>
      </c>
      <c r="I5" s="10">
        <f>U5/'[2]1'!I10*10</f>
        <v>3.7702639572457879</v>
      </c>
      <c r="J5" s="10">
        <f>V5/'[2]1'!J10*10</f>
        <v>1.3417603036457237</v>
      </c>
      <c r="K5" s="10">
        <f>W5/'[2]1'!K10*10</f>
        <v>3.0653398862774948</v>
      </c>
      <c r="L5" s="10">
        <f>X5/'[2]1'!L10*10</f>
        <v>3.8991293654561607</v>
      </c>
      <c r="M5" s="1">
        <v>1976</v>
      </c>
      <c r="N5" s="1">
        <v>10049</v>
      </c>
      <c r="O5" s="1">
        <v>127</v>
      </c>
      <c r="P5" s="1">
        <v>7</v>
      </c>
      <c r="Q5" s="1">
        <v>280</v>
      </c>
      <c r="R5" s="1">
        <v>65</v>
      </c>
      <c r="S5" s="1">
        <v>2747</v>
      </c>
      <c r="T5" s="1">
        <v>4748</v>
      </c>
      <c r="U5" s="1">
        <v>389</v>
      </c>
      <c r="V5" s="1">
        <v>125</v>
      </c>
      <c r="W5" s="1">
        <v>573</v>
      </c>
      <c r="X5" s="1">
        <v>988</v>
      </c>
    </row>
    <row r="6" spans="1:37">
      <c r="A6" s="2">
        <v>1977</v>
      </c>
      <c r="B6" s="10">
        <f>N6/'[2]1'!B11*10</f>
        <v>5.383159620503263</v>
      </c>
      <c r="C6" s="10">
        <f>O6/'[2]1'!C11*10</f>
        <v>2.2287157644495075</v>
      </c>
      <c r="D6" s="10">
        <f>P6/'[2]1'!D11*10</f>
        <v>1.5012260012343415</v>
      </c>
      <c r="E6" s="10">
        <f>Q6/'[2]1'!E11*10</f>
        <v>5.5593384982405345</v>
      </c>
      <c r="F6" s="10">
        <f>R6/'[2]1'!F11*10</f>
        <v>2.1269165602010802</v>
      </c>
      <c r="G6" s="10">
        <f>S6/'[2]1'!G11*10</f>
        <v>5.8027713712743081</v>
      </c>
      <c r="H6" s="10">
        <f>T6/'[2]1'!H11*10</f>
        <v>6.6027130506768517</v>
      </c>
      <c r="I6" s="10">
        <f>U6/'[2]1'!I11*10</f>
        <v>5.350073117665942</v>
      </c>
      <c r="J6" s="10">
        <f>V6/'[2]1'!J11*10</f>
        <v>2.1490100262433294</v>
      </c>
      <c r="K6" s="10">
        <f>W6/'[2]1'!K11*10</f>
        <v>3.6802012869925669</v>
      </c>
      <c r="L6" s="10">
        <f>X6/'[2]1'!L11*10</f>
        <v>4.6297827309104136</v>
      </c>
      <c r="M6" s="1">
        <v>1977</v>
      </c>
      <c r="N6" s="1">
        <v>12772</v>
      </c>
      <c r="O6" s="1">
        <v>126</v>
      </c>
      <c r="P6" s="1">
        <v>18</v>
      </c>
      <c r="Q6" s="1">
        <v>467</v>
      </c>
      <c r="R6" s="1">
        <v>148</v>
      </c>
      <c r="S6" s="1">
        <v>3733</v>
      </c>
      <c r="T6" s="1">
        <v>5615</v>
      </c>
      <c r="U6" s="1">
        <v>555</v>
      </c>
      <c r="V6" s="1">
        <v>203</v>
      </c>
      <c r="W6" s="1">
        <v>717</v>
      </c>
      <c r="X6" s="1">
        <v>1190</v>
      </c>
    </row>
    <row r="7" spans="1:37">
      <c r="A7" s="2">
        <v>1978</v>
      </c>
      <c r="B7" s="10">
        <f>N7/'[2]1'!B12*10</f>
        <v>6.6510307491031142</v>
      </c>
      <c r="C7" s="10">
        <f>O7/'[2]1'!C12*10</f>
        <v>4.175188808379974</v>
      </c>
      <c r="D7" s="10">
        <f>P7/'[2]1'!D12*10</f>
        <v>1.3148811676144769</v>
      </c>
      <c r="E7" s="10">
        <f>Q7/'[2]1'!E12*10</f>
        <v>7.7430537467382088</v>
      </c>
      <c r="F7" s="10">
        <f>R7/'[2]1'!F12*10</f>
        <v>2.0585720943397847</v>
      </c>
      <c r="G7" s="10">
        <f>S7/'[2]1'!G12*10</f>
        <v>7.361276579821407</v>
      </c>
      <c r="H7" s="10">
        <f>T7/'[2]1'!H12*10</f>
        <v>8.3491033444840959</v>
      </c>
      <c r="I7" s="10">
        <f>U7/'[2]1'!I12*10</f>
        <v>5.5433810397153946</v>
      </c>
      <c r="J7" s="10">
        <f>V7/'[2]1'!J12*10</f>
        <v>2.845353464296589</v>
      </c>
      <c r="K7" s="10">
        <f>W7/'[2]1'!K12*10</f>
        <v>4.6532534945142547</v>
      </c>
      <c r="L7" s="10">
        <f>X7/'[2]1'!L12*10</f>
        <v>4.50450105959019</v>
      </c>
      <c r="M7" s="1">
        <v>1978</v>
      </c>
      <c r="N7" s="1">
        <v>15938</v>
      </c>
      <c r="O7" s="1">
        <v>237</v>
      </c>
      <c r="P7" s="1">
        <v>16</v>
      </c>
      <c r="Q7" s="1">
        <v>654</v>
      </c>
      <c r="R7" s="1">
        <v>144</v>
      </c>
      <c r="S7" s="1">
        <v>4741</v>
      </c>
      <c r="T7" s="1">
        <v>7172</v>
      </c>
      <c r="U7" s="1">
        <v>577</v>
      </c>
      <c r="V7" s="1">
        <v>271</v>
      </c>
      <c r="W7" s="1">
        <v>941</v>
      </c>
      <c r="X7" s="1">
        <v>1178</v>
      </c>
    </row>
    <row r="8" spans="1:37">
      <c r="A8" s="2">
        <v>1979</v>
      </c>
      <c r="B8" s="10">
        <f>N8/'[2]1'!B13*10</f>
        <v>7.3863056009980186</v>
      </c>
      <c r="C8" s="10">
        <f>O8/'[2]1'!C13*10</f>
        <v>2.9294391088891807</v>
      </c>
      <c r="D8" s="10">
        <f>P8/'[2]1'!D13*10</f>
        <v>1.3020303535826176</v>
      </c>
      <c r="E8" s="10">
        <f>Q8/'[2]1'!E13*10</f>
        <v>6.3339125684604127</v>
      </c>
      <c r="F8" s="10">
        <f>R8/'[2]1'!F13*10</f>
        <v>2.9438618347512224</v>
      </c>
      <c r="G8" s="10">
        <f>S8/'[2]1'!G13*10</f>
        <v>8.3668471183712452</v>
      </c>
      <c r="H8" s="10">
        <f>T8/'[2]1'!H13*10</f>
        <v>9.602765522585317</v>
      </c>
      <c r="I8" s="10">
        <f>U8/'[2]1'!I13*10</f>
        <v>6.8737997362311916</v>
      </c>
      <c r="J8" s="10">
        <f>V8/'[2]1'!J13*10</f>
        <v>2.7820179528724074</v>
      </c>
      <c r="K8" s="10">
        <f>W8/'[2]1'!K13*10</f>
        <v>4.9452399323594189</v>
      </c>
      <c r="L8" s="10">
        <f>X8/'[2]1'!L13*10</f>
        <v>4.4949081470397765</v>
      </c>
      <c r="M8" s="1">
        <v>1979</v>
      </c>
      <c r="N8" s="1">
        <v>17876</v>
      </c>
      <c r="O8" s="1">
        <v>167</v>
      </c>
      <c r="P8" s="1">
        <v>16</v>
      </c>
      <c r="Q8" s="1">
        <v>538</v>
      </c>
      <c r="R8" s="1">
        <v>207</v>
      </c>
      <c r="S8" s="1">
        <v>5410</v>
      </c>
      <c r="T8" s="1">
        <v>8318</v>
      </c>
      <c r="U8" s="1">
        <v>713</v>
      </c>
      <c r="V8" s="1">
        <v>267</v>
      </c>
      <c r="W8" s="1">
        <v>1037</v>
      </c>
      <c r="X8" s="1">
        <v>1198</v>
      </c>
    </row>
    <row r="9" spans="1:37">
      <c r="A9" s="2">
        <v>1980</v>
      </c>
      <c r="B9" s="10">
        <f>N9/'[2]1'!B14*10</f>
        <v>8.576148468650679</v>
      </c>
      <c r="C9" s="10">
        <f>O9/'[2]1'!C14*10</f>
        <v>3.2474391497994795</v>
      </c>
      <c r="D9" s="10">
        <f>P9/'[2]1'!D14*10</f>
        <v>1.777993292116216</v>
      </c>
      <c r="E9" s="10">
        <f>Q9/'[2]1'!E14*10</f>
        <v>6.731882264774077</v>
      </c>
      <c r="F9" s="10">
        <f>R9/'[2]1'!F14*10</f>
        <v>2.2655861708620129</v>
      </c>
      <c r="G9" s="10">
        <f>S9/'[2]1'!G14*10</f>
        <v>9.4435948863794437</v>
      </c>
      <c r="H9" s="10">
        <f>T9/'[2]1'!H14*10</f>
        <v>11.872838515103968</v>
      </c>
      <c r="I9" s="10">
        <f>U9/'[2]1'!I14*10</f>
        <v>8.0140366480252503</v>
      </c>
      <c r="J9" s="10">
        <f>V9/'[2]1'!J14*10</f>
        <v>3.3693418827799757</v>
      </c>
      <c r="K9" s="10">
        <f>W9/'[2]1'!K14*10</f>
        <v>5.9697977525628367</v>
      </c>
      <c r="L9" s="10">
        <f>X9/'[2]1'!L14*10</f>
        <v>3.9441180744400395</v>
      </c>
      <c r="M9" s="1">
        <v>1980</v>
      </c>
      <c r="N9" s="1">
        <v>21025</v>
      </c>
      <c r="O9" s="1">
        <v>186</v>
      </c>
      <c r="P9" s="1">
        <v>22</v>
      </c>
      <c r="Q9" s="1">
        <v>574</v>
      </c>
      <c r="R9" s="1">
        <v>160</v>
      </c>
      <c r="S9" s="1">
        <v>6144</v>
      </c>
      <c r="T9" s="1">
        <v>10384</v>
      </c>
      <c r="U9" s="1">
        <v>829</v>
      </c>
      <c r="V9" s="1">
        <v>326</v>
      </c>
      <c r="W9" s="1">
        <v>1308</v>
      </c>
      <c r="X9" s="1">
        <v>1083</v>
      </c>
    </row>
    <row r="10" spans="1:37">
      <c r="A10" s="2">
        <v>1981</v>
      </c>
      <c r="B10" s="10">
        <f>N10/'[2]1'!B15*10</f>
        <v>9.2812566038199567</v>
      </c>
      <c r="C10" s="10">
        <f>O10/'[2]1'!C15*10</f>
        <v>4.3629259067411548</v>
      </c>
      <c r="D10" s="10">
        <f>P10/'[2]1'!D15*10</f>
        <v>2.1043941368341819</v>
      </c>
      <c r="E10" s="10">
        <f>Q10/'[2]1'!E15*10</f>
        <v>7.8959281575816709</v>
      </c>
      <c r="F10" s="10">
        <f>R10/'[2]1'!F15*10</f>
        <v>2.8169492581089917</v>
      </c>
      <c r="G10" s="10">
        <f>S10/'[2]1'!G15*10</f>
        <v>10.738930356104518</v>
      </c>
      <c r="H10" s="10">
        <f>T10/'[2]1'!H15*10</f>
        <v>12.77761525216045</v>
      </c>
      <c r="I10" s="10">
        <f>U10/'[2]1'!I15*10</f>
        <v>8.4689704455141968</v>
      </c>
      <c r="J10" s="10">
        <f>V10/'[2]1'!J15*10</f>
        <v>2.9617969191162978</v>
      </c>
      <c r="K10" s="10">
        <f>W10/'[2]1'!K15*10</f>
        <v>6.2895442546475415</v>
      </c>
      <c r="L10" s="10">
        <f>X10/'[2]1'!L15*10</f>
        <v>3.4635765478720053</v>
      </c>
      <c r="M10" s="1">
        <v>1981</v>
      </c>
      <c r="N10" s="1">
        <v>23036</v>
      </c>
      <c r="O10" s="1">
        <v>251</v>
      </c>
      <c r="P10" s="1">
        <v>26</v>
      </c>
      <c r="Q10" s="1">
        <v>675</v>
      </c>
      <c r="R10" s="1">
        <v>199</v>
      </c>
      <c r="S10" s="1">
        <v>7031</v>
      </c>
      <c r="T10" s="1">
        <v>11260</v>
      </c>
      <c r="U10" s="1">
        <v>877</v>
      </c>
      <c r="V10" s="1">
        <v>289</v>
      </c>
      <c r="W10" s="1">
        <v>1441</v>
      </c>
      <c r="X10" s="1">
        <v>979</v>
      </c>
    </row>
    <row r="11" spans="1:37">
      <c r="A11" s="2">
        <v>1982</v>
      </c>
      <c r="B11" s="10">
        <f>N11/'[2]1'!B16*10</f>
        <v>12.200131688005651</v>
      </c>
      <c r="C11" s="10">
        <f>O11/'[2]1'!C16*10</f>
        <v>5.9080333568608996</v>
      </c>
      <c r="D11" s="10">
        <f>P11/'[2]1'!D16*10</f>
        <v>2.8319901608570412</v>
      </c>
      <c r="E11" s="10">
        <f>Q11/'[2]1'!E16*10</f>
        <v>10.604885930540908</v>
      </c>
      <c r="F11" s="10">
        <f>R11/'[2]1'!F16*10</f>
        <v>4.735270129491969</v>
      </c>
      <c r="G11" s="10">
        <f>S11/'[2]1'!G16*10</f>
        <v>13.491107463706747</v>
      </c>
      <c r="H11" s="10">
        <f>T11/'[2]1'!H16*10</f>
        <v>16.031993585857315</v>
      </c>
      <c r="I11" s="10">
        <f>U11/'[2]1'!I16*10</f>
        <v>10.658002495158934</v>
      </c>
      <c r="J11" s="10">
        <f>V11/'[2]1'!J16*10</f>
        <v>5.138954491365137</v>
      </c>
      <c r="K11" s="10">
        <f>W11/'[2]1'!K16*10</f>
        <v>8.9584598369416835</v>
      </c>
      <c r="L11" s="10">
        <f>X11/'[2]1'!L16*10</f>
        <v>7.2483593851305379</v>
      </c>
      <c r="M11" s="1">
        <v>1982</v>
      </c>
      <c r="N11" s="1">
        <v>30643</v>
      </c>
      <c r="O11" s="1">
        <v>339</v>
      </c>
      <c r="P11" s="1">
        <v>35</v>
      </c>
      <c r="Q11" s="1">
        <v>911</v>
      </c>
      <c r="R11" s="1">
        <v>335</v>
      </c>
      <c r="S11" s="1">
        <v>8878</v>
      </c>
      <c r="T11" s="1">
        <v>14301</v>
      </c>
      <c r="U11" s="1">
        <v>1114</v>
      </c>
      <c r="V11" s="1">
        <v>507</v>
      </c>
      <c r="W11" s="1">
        <v>2123</v>
      </c>
      <c r="X11" s="1">
        <v>2085</v>
      </c>
    </row>
    <row r="12" spans="1:37">
      <c r="A12" s="2">
        <v>1983</v>
      </c>
      <c r="B12" s="10">
        <f>N12/'[2]1'!B17*10</f>
        <v>10.573808689280185</v>
      </c>
      <c r="C12" s="10">
        <f>O12/'[2]1'!C17*10</f>
        <v>6.4057848899448171</v>
      </c>
      <c r="D12" s="10">
        <f>P12/'[2]1'!D17*10</f>
        <v>2.3980431967514506</v>
      </c>
      <c r="E12" s="10">
        <f>Q12/'[2]1'!E17*10</f>
        <v>10.687685782038008</v>
      </c>
      <c r="F12" s="10">
        <f>R12/'[2]1'!F17*10</f>
        <v>3.819025742751545</v>
      </c>
      <c r="G12" s="10">
        <f>S12/'[2]1'!G17*10</f>
        <v>11.45089729237241</v>
      </c>
      <c r="H12" s="10">
        <f>T12/'[2]1'!H17*10</f>
        <v>12.138859794565313</v>
      </c>
      <c r="I12" s="10">
        <f>U12/'[2]1'!I17*10</f>
        <v>9.6909465610822156</v>
      </c>
      <c r="J12" s="10">
        <f>V12/'[2]1'!J17*10</f>
        <v>5.8626775157827868</v>
      </c>
      <c r="K12" s="10">
        <f>W12/'[2]1'!K17*10</f>
        <v>10.072748556873011</v>
      </c>
      <c r="L12" s="10">
        <f>X12/'[2]1'!L17*10</f>
        <v>9.1212319028499387</v>
      </c>
      <c r="M12" s="1">
        <v>1983</v>
      </c>
      <c r="N12" s="1">
        <v>26822</v>
      </c>
      <c r="O12" s="1">
        <v>371</v>
      </c>
      <c r="P12" s="1">
        <v>30</v>
      </c>
      <c r="Q12" s="1">
        <v>928</v>
      </c>
      <c r="R12" s="1">
        <v>273</v>
      </c>
      <c r="S12" s="1">
        <v>7561</v>
      </c>
      <c r="T12" s="1">
        <v>10973</v>
      </c>
      <c r="U12" s="1">
        <v>1027</v>
      </c>
      <c r="V12" s="1">
        <v>587</v>
      </c>
      <c r="W12" s="1">
        <v>2411</v>
      </c>
      <c r="X12" s="1">
        <v>2652</v>
      </c>
    </row>
    <row r="13" spans="1:37">
      <c r="A13" s="2">
        <v>1984</v>
      </c>
      <c r="B13" s="10">
        <f>N13/'[2]1'!B18*10</f>
        <v>8.5999743898682919</v>
      </c>
      <c r="C13" s="10">
        <f>O13/'[2]1'!C18*10</f>
        <v>4.7753269030194891</v>
      </c>
      <c r="D13" s="10">
        <f>P13/'[2]1'!D18*10</f>
        <v>2.6073971065793322</v>
      </c>
      <c r="E13" s="10">
        <f>Q13/'[2]1'!E18*10</f>
        <v>8.1712102166339395</v>
      </c>
      <c r="F13" s="10">
        <f>R13/'[2]1'!F18*10</f>
        <v>4.1222060603368824</v>
      </c>
      <c r="G13" s="10">
        <f>S13/'[2]1'!G18*10</f>
        <v>9.4537656720784398</v>
      </c>
      <c r="H13" s="10">
        <f>T13/'[2]1'!H18*10</f>
        <v>8.9544743137811853</v>
      </c>
      <c r="I13" s="10">
        <f>U13/'[2]1'!I18*10</f>
        <v>6.1671378322650474</v>
      </c>
      <c r="J13" s="10">
        <f>V13/'[2]1'!J18*10</f>
        <v>5.2138003084913986</v>
      </c>
      <c r="K13" s="10">
        <f>W13/'[2]1'!K18*10</f>
        <v>9.9126657802496076</v>
      </c>
      <c r="L13" s="10">
        <f>X13/'[2]1'!L18*10</f>
        <v>8.9848570549280815</v>
      </c>
      <c r="M13" s="1">
        <v>1984</v>
      </c>
      <c r="N13" s="1">
        <v>22022</v>
      </c>
      <c r="O13" s="1">
        <v>277</v>
      </c>
      <c r="P13" s="1">
        <v>33</v>
      </c>
      <c r="Q13" s="1">
        <v>717</v>
      </c>
      <c r="R13" s="1">
        <v>297</v>
      </c>
      <c r="S13" s="1">
        <v>6269</v>
      </c>
      <c r="T13" s="1">
        <v>8209</v>
      </c>
      <c r="U13" s="1">
        <v>661</v>
      </c>
      <c r="V13" s="1">
        <v>529</v>
      </c>
      <c r="W13" s="1">
        <v>2373</v>
      </c>
      <c r="X13" s="1">
        <v>2648</v>
      </c>
    </row>
    <row r="14" spans="1:37">
      <c r="A14" s="2">
        <v>1985</v>
      </c>
      <c r="B14" s="10">
        <f>N14/'[2]1'!B19*10</f>
        <v>7.6433369465565431</v>
      </c>
      <c r="C14" s="10">
        <f>O14/'[2]1'!C19*10</f>
        <v>4.1085840058694059</v>
      </c>
      <c r="D14" s="10">
        <f>P14/'[2]1'!D19*10</f>
        <v>2.4291053839945462</v>
      </c>
      <c r="E14" s="10">
        <f>Q14/'[2]1'!E19*10</f>
        <v>7.4504881198580346</v>
      </c>
      <c r="F14" s="10">
        <f>R14/'[2]1'!F19*10</f>
        <v>2.8342829333307522</v>
      </c>
      <c r="G14" s="10">
        <f>S14/'[2]1'!G19*10</f>
        <v>8.5271059656437451</v>
      </c>
      <c r="H14" s="10">
        <f>T14/'[2]1'!H19*10</f>
        <v>7.346155968961523</v>
      </c>
      <c r="I14" s="10">
        <f>U14/'[2]1'!I19*10</f>
        <v>6.0785500163973047</v>
      </c>
      <c r="J14" s="10">
        <f>V14/'[2]1'!J19*10</f>
        <v>4.4295794436292111</v>
      </c>
      <c r="K14" s="10">
        <f>W14/'[2]1'!K19*10</f>
        <v>9.6402979425990551</v>
      </c>
      <c r="L14" s="10">
        <f>X14/'[2]1'!L19*10</f>
        <v>8.9609499548087133</v>
      </c>
      <c r="M14" s="1">
        <v>1985</v>
      </c>
      <c r="N14" s="1">
        <v>19752</v>
      </c>
      <c r="O14" s="1">
        <v>238</v>
      </c>
      <c r="P14" s="1">
        <v>31</v>
      </c>
      <c r="Q14" s="1">
        <v>660</v>
      </c>
      <c r="R14" s="1">
        <v>205</v>
      </c>
      <c r="S14" s="1">
        <v>5684</v>
      </c>
      <c r="T14" s="1">
        <v>6828</v>
      </c>
      <c r="U14" s="1">
        <v>658</v>
      </c>
      <c r="V14" s="1">
        <v>454</v>
      </c>
      <c r="W14" s="1">
        <v>2318</v>
      </c>
      <c r="X14" s="1">
        <v>2666</v>
      </c>
    </row>
    <row r="15" spans="1:37">
      <c r="A15" s="2">
        <v>1986</v>
      </c>
      <c r="B15" s="10">
        <f>N15/'[2]1'!B20*10</f>
        <v>8.3389916383266112</v>
      </c>
      <c r="C15" s="10">
        <f>O15/'[2]1'!C20*10</f>
        <v>4.2685656578276117</v>
      </c>
      <c r="D15" s="10">
        <f>P15/'[2]1'!D20*10</f>
        <v>4.2822884549503257</v>
      </c>
      <c r="E15" s="10">
        <f>Q15/'[2]1'!E20*10</f>
        <v>8.626827295866434</v>
      </c>
      <c r="F15" s="10">
        <f>R15/'[2]1'!F20*10</f>
        <v>3.4343927538450716</v>
      </c>
      <c r="G15" s="10">
        <f>S15/'[2]1'!G20*10</f>
        <v>9.6852047577804381</v>
      </c>
      <c r="H15" s="10">
        <f>T15/'[2]1'!H20*10</f>
        <v>8.0319080793683906</v>
      </c>
      <c r="I15" s="10">
        <f>U15/'[2]1'!I20*10</f>
        <v>6.9075957902143017</v>
      </c>
      <c r="J15" s="10">
        <f>V15/'[2]1'!J20*10</f>
        <v>5.4631157062632383</v>
      </c>
      <c r="K15" s="10">
        <f>W15/'[2]1'!K20*10</f>
        <v>9.2974314920692329</v>
      </c>
      <c r="L15" s="10">
        <f>X15/'[2]1'!L20*10</f>
        <v>9.2588245987093583</v>
      </c>
      <c r="M15" s="1">
        <v>1986</v>
      </c>
      <c r="N15" s="1">
        <v>21765</v>
      </c>
      <c r="O15" s="1">
        <v>246</v>
      </c>
      <c r="P15" s="1">
        <v>55</v>
      </c>
      <c r="Q15" s="1">
        <v>767</v>
      </c>
      <c r="R15" s="1">
        <v>249</v>
      </c>
      <c r="S15" s="1">
        <v>6497</v>
      </c>
      <c r="T15" s="1">
        <v>7580</v>
      </c>
      <c r="U15" s="1">
        <v>754</v>
      </c>
      <c r="V15" s="1">
        <v>562</v>
      </c>
      <c r="W15" s="1">
        <v>2262</v>
      </c>
      <c r="X15" s="1">
        <v>2781</v>
      </c>
    </row>
    <row r="16" spans="1:37">
      <c r="A16" s="2">
        <v>1987</v>
      </c>
      <c r="B16" s="10">
        <f>N16/'[2]1'!B21*10</f>
        <v>9.2200884340486713</v>
      </c>
      <c r="C16" s="10">
        <f>O16/'[2]1'!C21*10</f>
        <v>4.3981489529624058</v>
      </c>
      <c r="D16" s="10">
        <f>P16/'[2]1'!D21*10</f>
        <v>2.4875428518124085</v>
      </c>
      <c r="E16" s="10">
        <f>Q16/'[2]1'!E21*10</f>
        <v>10.776561482353522</v>
      </c>
      <c r="F16" s="10">
        <f>R16/'[2]1'!F21*10</f>
        <v>3.0366820195446897</v>
      </c>
      <c r="G16" s="10">
        <f>S16/'[2]1'!G21*10</f>
        <v>11.397844642511689</v>
      </c>
      <c r="H16" s="10">
        <f>T16/'[2]1'!H21*10</f>
        <v>8.2808108990038853</v>
      </c>
      <c r="I16" s="10">
        <f>U16/'[2]1'!I21*10</f>
        <v>9.0497490378951397</v>
      </c>
      <c r="J16" s="10">
        <f>V16/'[2]1'!J21*10</f>
        <v>6.1096108729772203</v>
      </c>
      <c r="K16" s="10">
        <f>W16/'[2]1'!K21*10</f>
        <v>10.959175738884015</v>
      </c>
      <c r="L16" s="10">
        <f>X16/'[2]1'!L21*10</f>
        <v>9.4664820604260704</v>
      </c>
      <c r="M16" s="1">
        <v>1987</v>
      </c>
      <c r="N16" s="1">
        <v>24384</v>
      </c>
      <c r="O16" s="1">
        <v>253</v>
      </c>
      <c r="P16" s="1">
        <v>32</v>
      </c>
      <c r="Q16" s="1">
        <v>963</v>
      </c>
      <c r="R16" s="1">
        <v>221</v>
      </c>
      <c r="S16" s="1">
        <v>7730</v>
      </c>
      <c r="T16" s="1">
        <v>7981</v>
      </c>
      <c r="U16" s="1">
        <v>994</v>
      </c>
      <c r="V16" s="1">
        <v>631</v>
      </c>
      <c r="W16" s="1">
        <v>2675</v>
      </c>
      <c r="X16" s="1">
        <v>2886</v>
      </c>
    </row>
    <row r="17" spans="1:24">
      <c r="A17" s="2">
        <v>1988</v>
      </c>
      <c r="B17" s="10">
        <f>N17/'[2]1'!B22*10</f>
        <v>9.6361763941709366</v>
      </c>
      <c r="C17" s="10">
        <f>O17/'[2]1'!C22*10</f>
        <v>3.7566393382749377</v>
      </c>
      <c r="D17" s="10">
        <f>P17/'[2]1'!D22*10</f>
        <v>3.944651130413261</v>
      </c>
      <c r="E17" s="10">
        <f>Q17/'[2]1'!E22*10</f>
        <v>11.647139596262214</v>
      </c>
      <c r="F17" s="10">
        <f>R17/'[2]1'!F22*10</f>
        <v>3.3682527120595767</v>
      </c>
      <c r="G17" s="10">
        <f>S17/'[2]1'!G22*10</f>
        <v>14.302895813517969</v>
      </c>
      <c r="H17" s="10">
        <f>T17/'[2]1'!H22*10</f>
        <v>7.6392827449378053</v>
      </c>
      <c r="I17" s="10">
        <f>U17/'[2]1'!I22*10</f>
        <v>9.7627187538560918</v>
      </c>
      <c r="J17" s="10">
        <f>V17/'[2]1'!J22*10</f>
        <v>7.5372608135378938</v>
      </c>
      <c r="K17" s="10">
        <f>W17/'[2]1'!K22*10</f>
        <v>10.363858546763961</v>
      </c>
      <c r="L17" s="10">
        <f>X17/'[2]1'!L22*10</f>
        <v>8.1932450033887037</v>
      </c>
      <c r="M17" s="1">
        <v>1988</v>
      </c>
      <c r="N17" s="1">
        <v>25817</v>
      </c>
      <c r="O17" s="1">
        <v>216</v>
      </c>
      <c r="P17" s="1">
        <v>51</v>
      </c>
      <c r="Q17" s="1">
        <v>1045</v>
      </c>
      <c r="R17" s="1">
        <v>246</v>
      </c>
      <c r="S17" s="1">
        <v>9779</v>
      </c>
      <c r="T17" s="1">
        <v>7516</v>
      </c>
      <c r="U17" s="1">
        <v>1076</v>
      </c>
      <c r="V17" s="1">
        <v>775</v>
      </c>
      <c r="W17" s="1">
        <v>2546</v>
      </c>
      <c r="X17" s="1">
        <v>2552</v>
      </c>
    </row>
    <row r="18" spans="1:24">
      <c r="A18" s="2">
        <v>1989</v>
      </c>
      <c r="B18" s="10">
        <f>N18/'[2]1'!B23*10</f>
        <v>10.705808724277253</v>
      </c>
      <c r="C18" s="10">
        <f>O18/'[2]1'!C23*10</f>
        <v>4.4228524449701752</v>
      </c>
      <c r="D18" s="10">
        <f>P18/'[2]1'!D23*10</f>
        <v>2.0744815716887048</v>
      </c>
      <c r="E18" s="10">
        <f>Q18/'[2]1'!E23*10</f>
        <v>12.579646198833645</v>
      </c>
      <c r="F18" s="10">
        <f>R18/'[2]1'!F23*10</f>
        <v>3.659221714828282</v>
      </c>
      <c r="G18" s="10">
        <f>S18/'[2]1'!G23*10</f>
        <v>16.106561496047437</v>
      </c>
      <c r="H18" s="10">
        <f>T18/'[2]1'!H23*10</f>
        <v>8.8109781898101662</v>
      </c>
      <c r="I18" s="10">
        <f>U18/'[2]1'!I23*10</f>
        <v>12.855682954759594</v>
      </c>
      <c r="J18" s="10">
        <f>V18/'[2]1'!J23*10</f>
        <v>9.9368378098150068</v>
      </c>
      <c r="K18" s="10">
        <f>W18/'[2]1'!K23*10</f>
        <v>10.438994126064465</v>
      </c>
      <c r="L18" s="10">
        <f>X18/'[2]1'!L23*10</f>
        <v>7.5233246525741198</v>
      </c>
      <c r="M18" s="1">
        <v>1989</v>
      </c>
      <c r="N18" s="1">
        <v>29202</v>
      </c>
      <c r="O18" s="1">
        <v>255</v>
      </c>
      <c r="P18" s="1">
        <v>27</v>
      </c>
      <c r="Q18" s="1">
        <v>1137</v>
      </c>
      <c r="R18" s="1">
        <v>269</v>
      </c>
      <c r="S18" s="1">
        <v>11154</v>
      </c>
      <c r="T18" s="1">
        <v>8902</v>
      </c>
      <c r="U18" s="1">
        <v>1419</v>
      </c>
      <c r="V18" s="1">
        <v>1013</v>
      </c>
      <c r="W18" s="1">
        <v>2608</v>
      </c>
      <c r="X18" s="1">
        <v>2405</v>
      </c>
    </row>
    <row r="19" spans="1:24">
      <c r="A19" s="2">
        <v>1990</v>
      </c>
      <c r="B19" s="10">
        <f>N19/'[2]1'!B24*10</f>
        <v>15.449708134060796</v>
      </c>
      <c r="C19" s="10">
        <f>O19/'[2]1'!C24*10</f>
        <v>7.8459492039738947</v>
      </c>
      <c r="D19" s="10">
        <f>P19/'[2]1'!D24*10</f>
        <v>3.5274991564675933</v>
      </c>
      <c r="E19" s="10">
        <f>Q19/'[2]1'!E24*10</f>
        <v>17.27715165341133</v>
      </c>
      <c r="F19" s="10">
        <f>R19/'[2]1'!F24*10</f>
        <v>5.9446927404493106</v>
      </c>
      <c r="G19" s="10">
        <f>S19/'[2]1'!G24*10</f>
        <v>19.897138567949114</v>
      </c>
      <c r="H19" s="10">
        <f>T19/'[2]1'!H24*10</f>
        <v>15.819022688015886</v>
      </c>
      <c r="I19" s="10">
        <f>U19/'[2]1'!I24*10</f>
        <v>17.097558305840039</v>
      </c>
      <c r="J19" s="10">
        <f>V19/'[2]1'!J24*10</f>
        <v>13.307175455257227</v>
      </c>
      <c r="K19" s="10">
        <f>W19/'[2]1'!K24*10</f>
        <v>14.797149527354708</v>
      </c>
      <c r="L19" s="10">
        <f>X19/'[2]1'!L24*10</f>
        <v>9.2706473141397723</v>
      </c>
      <c r="M19" s="1">
        <v>1990</v>
      </c>
      <c r="N19" s="1">
        <v>42782</v>
      </c>
      <c r="O19" s="1">
        <v>453</v>
      </c>
      <c r="P19" s="1">
        <v>46</v>
      </c>
      <c r="Q19" s="1">
        <v>1573</v>
      </c>
      <c r="R19" s="1">
        <v>440</v>
      </c>
      <c r="S19" s="1">
        <v>13922</v>
      </c>
      <c r="T19" s="1">
        <v>16287</v>
      </c>
      <c r="U19" s="1">
        <v>1890</v>
      </c>
      <c r="V19" s="1">
        <v>1341</v>
      </c>
      <c r="W19" s="1">
        <v>3770</v>
      </c>
      <c r="X19" s="1">
        <v>3052</v>
      </c>
    </row>
    <row r="20" spans="1:24">
      <c r="A20" s="2">
        <v>1991</v>
      </c>
      <c r="B20" s="10">
        <f>N20/'[2]1'!B25*10</f>
        <v>22.21210082810758</v>
      </c>
      <c r="C20" s="10">
        <f>O20/'[2]1'!C25*10</f>
        <v>11.731338545728068</v>
      </c>
      <c r="D20" s="10">
        <f>P20/'[2]1'!D25*10</f>
        <v>4.21879434528147</v>
      </c>
      <c r="E20" s="10">
        <f>Q20/'[2]1'!E25*10</f>
        <v>23.869661157919012</v>
      </c>
      <c r="F20" s="10">
        <f>R20/'[2]1'!F25*10</f>
        <v>7.0684458941986437</v>
      </c>
      <c r="G20" s="10">
        <f>S20/'[2]1'!G25*10</f>
        <v>25.920438022717281</v>
      </c>
      <c r="H20" s="10">
        <f>T20/'[2]1'!H25*10</f>
        <v>25.270061802365106</v>
      </c>
      <c r="I20" s="10">
        <f>U20/'[2]1'!I25*10</f>
        <v>23.179440593220644</v>
      </c>
      <c r="J20" s="10">
        <f>V20/'[2]1'!J25*10</f>
        <v>16.026520051101365</v>
      </c>
      <c r="K20" s="10">
        <f>W20/'[2]1'!K25*10</f>
        <v>21.255206754140907</v>
      </c>
      <c r="L20" s="10">
        <f>X20/'[2]1'!L25*10</f>
        <v>13.17806962917339</v>
      </c>
      <c r="M20" s="1">
        <v>1991</v>
      </c>
      <c r="N20" s="1">
        <v>62277</v>
      </c>
      <c r="O20" s="1">
        <v>680</v>
      </c>
      <c r="P20" s="1">
        <v>55</v>
      </c>
      <c r="Q20" s="1">
        <v>2184</v>
      </c>
      <c r="R20" s="1">
        <v>527</v>
      </c>
      <c r="S20" s="1">
        <v>18319</v>
      </c>
      <c r="T20" s="1">
        <v>26360</v>
      </c>
      <c r="U20" s="1">
        <v>2572</v>
      </c>
      <c r="V20" s="1">
        <v>1607</v>
      </c>
      <c r="W20" s="1">
        <v>5510</v>
      </c>
      <c r="X20" s="1">
        <v>4446</v>
      </c>
    </row>
    <row r="21" spans="1:24">
      <c r="A21" s="2">
        <v>1992</v>
      </c>
      <c r="B21" s="10">
        <f>N21/'[2]1'!B26*10</f>
        <v>21.790358018592336</v>
      </c>
      <c r="C21" s="10">
        <f>O21/'[2]1'!C26*10</f>
        <v>11.153076404606718</v>
      </c>
      <c r="D21" s="10">
        <f>P21/'[2]1'!D26*10</f>
        <v>4.0511515207105573</v>
      </c>
      <c r="E21" s="10">
        <f>Q21/'[2]1'!E26*10</f>
        <v>20.109826407279996</v>
      </c>
      <c r="F21" s="10">
        <f>R21/'[2]1'!F26*10</f>
        <v>7.1378827756472552</v>
      </c>
      <c r="G21" s="10">
        <f>S21/'[2]1'!G26*10</f>
        <v>23.392372162627058</v>
      </c>
      <c r="H21" s="10">
        <f>T21/'[2]1'!H26*10</f>
        <v>25.707030841721288</v>
      </c>
      <c r="I21" s="10">
        <f>U21/'[2]1'!I26*10</f>
        <v>22.845557024469549</v>
      </c>
      <c r="J21" s="10">
        <f>V21/'[2]1'!J26*10</f>
        <v>15.537925985687179</v>
      </c>
      <c r="K21" s="10">
        <f>W21/'[2]1'!K26*10</f>
        <v>22.555031542098675</v>
      </c>
      <c r="L21" s="10">
        <f>X21/'[2]1'!L26*10</f>
        <v>14.059609052347179</v>
      </c>
      <c r="M21" s="1">
        <v>1992</v>
      </c>
      <c r="N21" s="1">
        <v>61822</v>
      </c>
      <c r="O21" s="1">
        <v>647</v>
      </c>
      <c r="P21" s="1">
        <v>53</v>
      </c>
      <c r="Q21" s="1">
        <v>1849</v>
      </c>
      <c r="R21" s="1">
        <v>534</v>
      </c>
      <c r="S21" s="1">
        <v>16632</v>
      </c>
      <c r="T21" s="1">
        <v>27178</v>
      </c>
      <c r="U21" s="1">
        <v>2542</v>
      </c>
      <c r="V21" s="1">
        <v>1560</v>
      </c>
      <c r="W21" s="1">
        <v>5938</v>
      </c>
      <c r="X21" s="1">
        <v>4877</v>
      </c>
    </row>
    <row r="22" spans="1:24">
      <c r="A22" s="2">
        <v>1993</v>
      </c>
      <c r="B22" s="10">
        <f>N22/'[2]1'!B27*10</f>
        <v>18.98429424066379</v>
      </c>
      <c r="C22" s="10">
        <f>O22/'[2]1'!C27*10</f>
        <v>9.017598973752408</v>
      </c>
      <c r="D22" s="10">
        <f>P22/'[2]1'!D27*10</f>
        <v>3.8584625161714974</v>
      </c>
      <c r="E22" s="10">
        <f>Q22/'[2]1'!E27*10</f>
        <v>17.230835836242122</v>
      </c>
      <c r="F22" s="10">
        <f>R22/'[2]1'!F27*10</f>
        <v>6.2365453545082072</v>
      </c>
      <c r="G22" s="10">
        <f>S22/'[2]1'!G27*10</f>
        <v>21.947766077363955</v>
      </c>
      <c r="H22" s="10">
        <f>T22/'[2]1'!H27*10</f>
        <v>21.658482411381513</v>
      </c>
      <c r="I22" s="10">
        <f>U22/'[2]1'!I27*10</f>
        <v>21.098443296367812</v>
      </c>
      <c r="J22" s="10">
        <f>V22/'[2]1'!J27*10</f>
        <v>11.977356241930678</v>
      </c>
      <c r="K22" s="10">
        <f>W22/'[2]1'!K27*10</f>
        <v>20.009057875928097</v>
      </c>
      <c r="L22" s="10">
        <f>X22/'[2]1'!L27*10</f>
        <v>11.33760789646872</v>
      </c>
      <c r="M22" s="1">
        <v>1993</v>
      </c>
      <c r="N22" s="1">
        <v>54456</v>
      </c>
      <c r="O22" s="1">
        <v>523</v>
      </c>
      <c r="P22" s="1">
        <v>51</v>
      </c>
      <c r="Q22" s="1">
        <v>1592</v>
      </c>
      <c r="R22" s="1">
        <v>467</v>
      </c>
      <c r="S22" s="1">
        <v>15707</v>
      </c>
      <c r="T22" s="1">
        <v>23153</v>
      </c>
      <c r="U22" s="1">
        <v>2358</v>
      </c>
      <c r="V22" s="1">
        <v>1206</v>
      </c>
      <c r="W22" s="1">
        <v>5337</v>
      </c>
      <c r="X22" s="1">
        <v>4045</v>
      </c>
    </row>
    <row r="23" spans="1:24">
      <c r="A23" s="2">
        <v>1994</v>
      </c>
      <c r="B23" s="10">
        <f>N23/'[2]1'!B28*10</f>
        <v>18.551989656236479</v>
      </c>
      <c r="C23" s="10">
        <f>O23/'[2]1'!C28*10</f>
        <v>11.837080001253337</v>
      </c>
      <c r="D23" s="10">
        <f>P23/'[2]1'!D28*10</f>
        <v>3.5972031745318009</v>
      </c>
      <c r="E23" s="10">
        <f>Q23/'[2]1'!E28*10</f>
        <v>16.35610565008507</v>
      </c>
      <c r="F23" s="10">
        <f>R23/'[2]1'!F28*10</f>
        <v>5.9452001839546256</v>
      </c>
      <c r="G23" s="10">
        <f>S23/'[2]1'!G28*10</f>
        <v>22.263769146417406</v>
      </c>
      <c r="H23" s="10">
        <f>T23/'[2]1'!H28*10</f>
        <v>19.813024059385093</v>
      </c>
      <c r="I23" s="10">
        <f>U23/'[2]1'!I28*10</f>
        <v>20.049322044461064</v>
      </c>
      <c r="J23" s="10">
        <f>V23/'[2]1'!J28*10</f>
        <v>12.272490899635983</v>
      </c>
      <c r="K23" s="10">
        <f>W23/'[2]1'!K28*10</f>
        <v>22.069120782520663</v>
      </c>
      <c r="L23" s="10">
        <f>X23/'[2]1'!L28*10</f>
        <v>11.378984378719149</v>
      </c>
      <c r="M23" s="1">
        <v>1994</v>
      </c>
      <c r="N23" s="1">
        <v>53802</v>
      </c>
      <c r="O23" s="1">
        <v>680</v>
      </c>
      <c r="P23" s="1">
        <v>48</v>
      </c>
      <c r="Q23" s="1">
        <v>1516</v>
      </c>
      <c r="R23" s="1">
        <v>446</v>
      </c>
      <c r="S23" s="1">
        <v>16013</v>
      </c>
      <c r="T23" s="1">
        <v>21436</v>
      </c>
      <c r="U23" s="1">
        <v>2252</v>
      </c>
      <c r="V23" s="1">
        <v>1239</v>
      </c>
      <c r="W23" s="1">
        <v>5960</v>
      </c>
      <c r="X23" s="1">
        <v>4183</v>
      </c>
    </row>
    <row r="24" spans="1:24">
      <c r="A24" s="2">
        <v>1995</v>
      </c>
      <c r="B24" s="10">
        <f>N24/'[2]1'!B29*10</f>
        <v>22.329979365791317</v>
      </c>
      <c r="C24" s="10">
        <f>O24/'[2]1'!C29*10</f>
        <v>13.042014674028941</v>
      </c>
      <c r="D24" s="10">
        <f>P24/'[2]1'!D29*10</f>
        <v>4.9101662760852589</v>
      </c>
      <c r="E24" s="10">
        <f>Q24/'[2]1'!E29*10</f>
        <v>18.5751842434168</v>
      </c>
      <c r="F24" s="10">
        <f>R24/'[2]1'!F29*10</f>
        <v>6.6982447402798879</v>
      </c>
      <c r="G24" s="10">
        <f>S24/'[2]1'!G29*10</f>
        <v>28.856307032658243</v>
      </c>
      <c r="H24" s="10">
        <f>T24/'[2]1'!H29*10</f>
        <v>22.501125330236139</v>
      </c>
      <c r="I24" s="10">
        <f>U24/'[2]1'!I29*10</f>
        <v>22.105123322853473</v>
      </c>
      <c r="J24" s="10">
        <f>V24/'[2]1'!J29*10</f>
        <v>14.898633092319267</v>
      </c>
      <c r="K24" s="10">
        <f>W24/'[2]1'!K29*10</f>
        <v>29.771232161853696</v>
      </c>
      <c r="L24" s="10">
        <f>X24/'[2]1'!L29*10</f>
        <v>12.561583527250297</v>
      </c>
      <c r="M24" s="1">
        <v>1995</v>
      </c>
      <c r="N24" s="1">
        <v>65432</v>
      </c>
      <c r="O24" s="1">
        <v>740</v>
      </c>
      <c r="P24" s="1">
        <v>66</v>
      </c>
      <c r="Q24" s="1">
        <v>1724</v>
      </c>
      <c r="R24" s="1">
        <v>503</v>
      </c>
      <c r="S24" s="1">
        <v>20832</v>
      </c>
      <c r="T24" s="1">
        <v>24639</v>
      </c>
      <c r="U24" s="1">
        <v>2496</v>
      </c>
      <c r="V24" s="1">
        <v>1511</v>
      </c>
      <c r="W24" s="1">
        <v>8141</v>
      </c>
      <c r="X24" s="1">
        <v>4745</v>
      </c>
    </row>
    <row r="25" spans="1:24">
      <c r="A25" s="2">
        <v>1996</v>
      </c>
      <c r="B25" s="10">
        <f>N25/'[2]1'!B30*10</f>
        <v>26.893081300515924</v>
      </c>
      <c r="C25" s="10">
        <f>O25/'[2]1'!C30*10</f>
        <v>14.829425868950757</v>
      </c>
      <c r="D25" s="10">
        <f>P25/'[2]1'!D30*10</f>
        <v>5.672734773864164</v>
      </c>
      <c r="E25" s="10">
        <f>Q25/'[2]1'!E30*10</f>
        <v>21.807592821855266</v>
      </c>
      <c r="F25" s="10">
        <f>R25/'[2]1'!F30*10</f>
        <v>10.621214779839098</v>
      </c>
      <c r="G25" s="10">
        <f>S25/'[2]1'!G30*10</f>
        <v>34.341594754278965</v>
      </c>
      <c r="H25" s="10">
        <f>T25/'[2]1'!H30*10</f>
        <v>27.100300345496123</v>
      </c>
      <c r="I25" s="10">
        <f>U25/'[2]1'!I30*10</f>
        <v>24.219799752423746</v>
      </c>
      <c r="J25" s="10">
        <f>V25/'[2]1'!J30*10</f>
        <v>17.596631810352864</v>
      </c>
      <c r="K25" s="10">
        <f>W25/'[2]1'!K30*10</f>
        <v>35.789275685165364</v>
      </c>
      <c r="L25" s="10">
        <f>X25/'[2]1'!L30*10</f>
        <v>16.614541350127002</v>
      </c>
      <c r="M25" s="1">
        <v>1996</v>
      </c>
      <c r="N25" s="1">
        <v>79631</v>
      </c>
      <c r="O25" s="1">
        <v>830</v>
      </c>
      <c r="P25" s="1">
        <v>77</v>
      </c>
      <c r="Q25" s="1">
        <v>2031</v>
      </c>
      <c r="R25" s="1">
        <v>799</v>
      </c>
      <c r="S25" s="1">
        <v>24887</v>
      </c>
      <c r="T25" s="1">
        <v>30035</v>
      </c>
      <c r="U25" s="1">
        <v>2747</v>
      </c>
      <c r="V25" s="1">
        <v>1793</v>
      </c>
      <c r="W25" s="1">
        <v>9932</v>
      </c>
      <c r="X25" s="1">
        <v>6437</v>
      </c>
    </row>
    <row r="26" spans="1:24">
      <c r="A26" s="2">
        <v>1997</v>
      </c>
      <c r="B26" s="10">
        <f>N26/'[2]1'!B31*10</f>
        <v>28.521750923929915</v>
      </c>
      <c r="C26" s="10">
        <f>O26/'[2]1'!C31*10</f>
        <v>19.386071434405924</v>
      </c>
      <c r="D26" s="10">
        <f>P26/'[2]1'!D31*10</f>
        <v>7.568242771593372</v>
      </c>
      <c r="E26" s="10">
        <f>Q26/'[2]1'!E31*10</f>
        <v>26.029545196170751</v>
      </c>
      <c r="F26" s="10">
        <f>R26/'[2]1'!F31*10</f>
        <v>15.441634740223067</v>
      </c>
      <c r="G26" s="10">
        <f>S26/'[2]1'!G31*10</f>
        <v>37.089268415864439</v>
      </c>
      <c r="H26" s="10">
        <f>T26/'[2]1'!H31*10</f>
        <v>28.148363357571409</v>
      </c>
      <c r="I26" s="10">
        <f>U26/'[2]1'!I31*10</f>
        <v>24.381055655700766</v>
      </c>
      <c r="J26" s="10">
        <f>V26/'[2]1'!J31*10</f>
        <v>17.634310572137593</v>
      </c>
      <c r="K26" s="10">
        <f>W26/'[2]1'!K31*10</f>
        <v>35.04075130537047</v>
      </c>
      <c r="L26" s="10">
        <f>X26/'[2]1'!L31*10</f>
        <v>18.65985848594293</v>
      </c>
      <c r="M26" s="1">
        <v>1997</v>
      </c>
      <c r="N26" s="1">
        <v>85297</v>
      </c>
      <c r="O26" s="1">
        <v>1068</v>
      </c>
      <c r="P26" s="1">
        <v>103</v>
      </c>
      <c r="Q26" s="1">
        <v>2427</v>
      </c>
      <c r="R26" s="1">
        <v>1162</v>
      </c>
      <c r="S26" s="1">
        <v>26981</v>
      </c>
      <c r="T26" s="1">
        <v>31604</v>
      </c>
      <c r="U26" s="1">
        <v>2770</v>
      </c>
      <c r="V26" s="1">
        <v>1795</v>
      </c>
      <c r="W26" s="1">
        <v>9916</v>
      </c>
      <c r="X26" s="1">
        <v>7368</v>
      </c>
    </row>
    <row r="27" spans="1:24">
      <c r="A27" s="2">
        <v>1998</v>
      </c>
      <c r="B27" s="10">
        <f>N27/'[2]1'!B32*10</f>
        <v>25.025556974917702</v>
      </c>
      <c r="C27" s="10">
        <f>O27/'[2]1'!C32*10</f>
        <v>21.76558740226325</v>
      </c>
      <c r="D27" s="10">
        <f>P27/'[2]1'!D32*10</f>
        <v>11.118965568024507</v>
      </c>
      <c r="E27" s="10">
        <f>Q27/'[2]1'!E32*10</f>
        <v>27.805321966526297</v>
      </c>
      <c r="F27" s="10">
        <f>R27/'[2]1'!F32*10</f>
        <v>14.696281294551849</v>
      </c>
      <c r="G27" s="10">
        <f>S27/'[2]1'!G32*10</f>
        <v>33.787307589774301</v>
      </c>
      <c r="H27" s="10">
        <f>T27/'[2]1'!H32*10</f>
        <v>23.1165131563261</v>
      </c>
      <c r="I27" s="10">
        <f>U27/'[2]1'!I32*10</f>
        <v>21.292513597933691</v>
      </c>
      <c r="J27" s="10">
        <f>V27/'[2]1'!J32*10</f>
        <v>15.530819830694405</v>
      </c>
      <c r="K27" s="10">
        <f>W27/'[2]1'!K32*10</f>
        <v>27.97452696834084</v>
      </c>
      <c r="L27" s="10">
        <f>X27/'[2]1'!L32*10</f>
        <v>18.38762796837549</v>
      </c>
      <c r="M27" s="1">
        <v>1998</v>
      </c>
      <c r="N27" s="1">
        <v>75465</v>
      </c>
      <c r="O27" s="1">
        <v>1175</v>
      </c>
      <c r="P27" s="1">
        <v>151</v>
      </c>
      <c r="Q27" s="1">
        <v>2591</v>
      </c>
      <c r="R27" s="1">
        <v>1103</v>
      </c>
      <c r="S27" s="1">
        <v>24651</v>
      </c>
      <c r="T27" s="1">
        <v>26274</v>
      </c>
      <c r="U27" s="1">
        <v>2422</v>
      </c>
      <c r="V27" s="1">
        <v>1580</v>
      </c>
      <c r="W27" s="1">
        <v>8110</v>
      </c>
      <c r="X27" s="1">
        <v>7324</v>
      </c>
    </row>
    <row r="28" spans="1:24">
      <c r="A28" s="2">
        <v>1999</v>
      </c>
      <c r="B28" s="10">
        <f>N28/'[2]1'!B33*10</f>
        <v>24.011155317574392</v>
      </c>
      <c r="C28" s="10">
        <f>O28/'[2]1'!C33*10</f>
        <v>24.937702618833782</v>
      </c>
      <c r="D28" s="10">
        <f>P28/'[2]1'!D33*10</f>
        <v>11.520314644007602</v>
      </c>
      <c r="E28" s="10">
        <f>Q28/'[2]1'!E33*10</f>
        <v>28.347026721383102</v>
      </c>
      <c r="F28" s="10">
        <f>R28/'[2]1'!F33*10</f>
        <v>16.147060821928029</v>
      </c>
      <c r="G28" s="10">
        <f>S28/'[2]1'!G33*10</f>
        <v>31.782337077117401</v>
      </c>
      <c r="H28" s="10">
        <f>T28/'[2]1'!H33*10</f>
        <v>20.192513376421012</v>
      </c>
      <c r="I28" s="10">
        <f>U28/'[2]1'!I33*10</f>
        <v>21.585227511449098</v>
      </c>
      <c r="J28" s="10">
        <f>V28/'[2]1'!J33*10</f>
        <v>15.928652254653414</v>
      </c>
      <c r="K28" s="10">
        <f>W28/'[2]1'!K33*10</f>
        <v>29.74573711040637</v>
      </c>
      <c r="L28" s="10">
        <f>X28/'[2]1'!L33*10</f>
        <v>20.394503131719173</v>
      </c>
      <c r="M28" s="1">
        <v>1999</v>
      </c>
      <c r="N28" s="1">
        <v>72997</v>
      </c>
      <c r="O28" s="1">
        <v>1330</v>
      </c>
      <c r="P28" s="1">
        <v>157</v>
      </c>
      <c r="Q28" s="1">
        <v>2647</v>
      </c>
      <c r="R28" s="1">
        <v>1212</v>
      </c>
      <c r="S28" s="1">
        <v>23275</v>
      </c>
      <c r="T28" s="1">
        <v>23231</v>
      </c>
      <c r="U28" s="1">
        <v>2466</v>
      </c>
      <c r="V28" s="1">
        <v>1616</v>
      </c>
      <c r="W28" s="1">
        <v>8783</v>
      </c>
      <c r="X28" s="1">
        <v>8181</v>
      </c>
    </row>
    <row r="29" spans="1:24">
      <c r="A29" s="2">
        <v>2000</v>
      </c>
      <c r="B29" s="10">
        <f>N29/'[2]1'!B34*10</f>
        <v>24.485974425245871</v>
      </c>
      <c r="C29" s="10">
        <f>O29/'[2]1'!C34*10</f>
        <v>29.471594761783901</v>
      </c>
      <c r="D29" s="10">
        <f>P29/'[2]1'!D34*10</f>
        <v>13.336264380449915</v>
      </c>
      <c r="E29" s="10">
        <f>Q29/'[2]1'!E34*10</f>
        <v>30.144963542263454</v>
      </c>
      <c r="F29" s="10">
        <f>R29/'[2]1'!F34*10</f>
        <v>18.560538935160697</v>
      </c>
      <c r="G29" s="10">
        <f>S29/'[2]1'!G34*10</f>
        <v>31.479073328067564</v>
      </c>
      <c r="H29" s="10">
        <f>T29/'[2]1'!H34*10</f>
        <v>20.189518534590857</v>
      </c>
      <c r="I29" s="10">
        <f>U29/'[2]1'!I34*10</f>
        <v>21.572142911306678</v>
      </c>
      <c r="J29" s="10">
        <f>V29/'[2]1'!J34*10</f>
        <v>18.192374685504159</v>
      </c>
      <c r="K29" s="10">
        <f>W29/'[2]1'!K34*10</f>
        <v>29.44879132467301</v>
      </c>
      <c r="L29" s="10">
        <f>X29/'[2]1'!L34*10</f>
        <v>22.737006805752582</v>
      </c>
      <c r="M29" s="1">
        <v>2000</v>
      </c>
      <c r="N29" s="1">
        <v>75137</v>
      </c>
      <c r="O29" s="1">
        <v>1556</v>
      </c>
      <c r="P29" s="1">
        <v>182</v>
      </c>
      <c r="Q29" s="1">
        <v>2815</v>
      </c>
      <c r="R29" s="1">
        <v>1393</v>
      </c>
      <c r="S29" s="1">
        <v>23159</v>
      </c>
      <c r="T29" s="1">
        <v>23588</v>
      </c>
      <c r="U29" s="1">
        <v>2475</v>
      </c>
      <c r="V29" s="1">
        <v>1833</v>
      </c>
      <c r="W29" s="1">
        <v>8847</v>
      </c>
      <c r="X29" s="1">
        <v>9184</v>
      </c>
    </row>
    <row r="30" spans="1:24">
      <c r="A30" s="2">
        <v>2001</v>
      </c>
      <c r="B30" s="10">
        <f>N30/'[2]1'!B35*10</f>
        <v>25.614284397121509</v>
      </c>
      <c r="C30" s="10">
        <f>O30/'[2]1'!C35*10</f>
        <v>36.434478280108728</v>
      </c>
      <c r="D30" s="10">
        <f>P30/'[2]1'!D35*10</f>
        <v>12.732048908629254</v>
      </c>
      <c r="E30" s="10">
        <f>Q30/'[2]1'!E35*10</f>
        <v>36.891900297494573</v>
      </c>
      <c r="F30" s="10">
        <f>R30/'[2]1'!F35*10</f>
        <v>23.312852343488473</v>
      </c>
      <c r="G30" s="10">
        <f>S30/'[2]1'!G35*10</f>
        <v>32.602651233429114</v>
      </c>
      <c r="H30" s="10">
        <f>T30/'[2]1'!H35*10</f>
        <v>21.775013716031125</v>
      </c>
      <c r="I30" s="10">
        <f>U30/'[2]1'!I35*10</f>
        <v>21.651168668075336</v>
      </c>
      <c r="J30" s="10">
        <f>V30/'[2]1'!J35*10</f>
        <v>20.245525738811722</v>
      </c>
      <c r="K30" s="10">
        <f>W30/'[2]1'!K35*10</f>
        <v>26.526994454249273</v>
      </c>
      <c r="L30" s="10">
        <f>X30/'[2]1'!L35*10</f>
        <v>23.246776950658742</v>
      </c>
      <c r="M30" s="1">
        <v>2001</v>
      </c>
      <c r="N30" s="1">
        <v>79453</v>
      </c>
      <c r="O30" s="1">
        <v>1902</v>
      </c>
      <c r="P30" s="1">
        <v>174</v>
      </c>
      <c r="Q30" s="1">
        <v>3440</v>
      </c>
      <c r="R30" s="1">
        <v>1748</v>
      </c>
      <c r="S30" s="1">
        <v>24114</v>
      </c>
      <c r="T30" s="1">
        <v>25905</v>
      </c>
      <c r="U30" s="1">
        <v>2493</v>
      </c>
      <c r="V30" s="1">
        <v>2025</v>
      </c>
      <c r="W30" s="1">
        <v>8112</v>
      </c>
      <c r="X30" s="1">
        <v>9476</v>
      </c>
    </row>
    <row r="31" spans="1:24">
      <c r="A31" s="2">
        <v>2002</v>
      </c>
      <c r="B31" s="10">
        <f>N31/'[2]1'!B36*10</f>
        <v>24.951476153211608</v>
      </c>
      <c r="C31" s="10">
        <f>O31/'[2]1'!C36*10</f>
        <v>37.148890056608749</v>
      </c>
      <c r="D31" s="10">
        <f>P31/'[2]1'!D36*10</f>
        <v>12.054706449633244</v>
      </c>
      <c r="E31" s="10">
        <f>Q31/'[2]1'!E36*10</f>
        <v>34.812275738891891</v>
      </c>
      <c r="F31" s="10">
        <f>R31/'[2]1'!F36*10</f>
        <v>24.328367570539587</v>
      </c>
      <c r="G31" s="10">
        <f>S31/'[2]1'!G36*10</f>
        <v>29.208141403205666</v>
      </c>
      <c r="H31" s="10">
        <f>T31/'[2]1'!H36*10</f>
        <v>22.375266819722292</v>
      </c>
      <c r="I31" s="10">
        <f>U31/'[2]1'!I36*10</f>
        <v>21.070141871135807</v>
      </c>
      <c r="J31" s="10">
        <f>V31/'[2]1'!J36*10</f>
        <v>20.14444207018251</v>
      </c>
      <c r="K31" s="10">
        <f>W31/'[2]1'!K36*10</f>
        <v>26.310876867269922</v>
      </c>
      <c r="L31" s="10">
        <f>X31/'[2]1'!L36*10</f>
        <v>23.256676503558413</v>
      </c>
      <c r="M31" s="1">
        <v>2002</v>
      </c>
      <c r="N31" s="1">
        <v>78232</v>
      </c>
      <c r="O31" s="1">
        <v>1930</v>
      </c>
      <c r="P31" s="1">
        <v>165</v>
      </c>
      <c r="Q31" s="1">
        <v>3255</v>
      </c>
      <c r="R31" s="1">
        <v>1823</v>
      </c>
      <c r="S31" s="1">
        <v>21734</v>
      </c>
      <c r="T31" s="1">
        <v>27054</v>
      </c>
      <c r="U31" s="1">
        <v>2437</v>
      </c>
      <c r="V31" s="1">
        <v>2008</v>
      </c>
      <c r="W31" s="1">
        <v>8231</v>
      </c>
      <c r="X31" s="1">
        <v>9531</v>
      </c>
    </row>
    <row r="32" spans="1:24">
      <c r="A32" s="2">
        <v>2003</v>
      </c>
      <c r="B32" s="10">
        <f>N32/'[2]1'!B37*10</f>
        <v>26.628280257031758</v>
      </c>
      <c r="C32" s="10">
        <f>O32/'[2]1'!C37*10</f>
        <v>41.522024222787934</v>
      </c>
      <c r="D32" s="10">
        <f>P32/'[2]1'!D37*10</f>
        <v>14.793654032546037</v>
      </c>
      <c r="E32" s="10">
        <f>Q32/'[2]1'!E37*10</f>
        <v>37.365692043976956</v>
      </c>
      <c r="F32" s="10">
        <f>R32/'[2]1'!F37*10</f>
        <v>30.077836744334384</v>
      </c>
      <c r="G32" s="10">
        <f>S32/'[2]1'!G37*10</f>
        <v>30.098166698237392</v>
      </c>
      <c r="H32" s="10">
        <f>T32/'[2]1'!H37*10</f>
        <v>24.687408947668462</v>
      </c>
      <c r="I32" s="10">
        <f>U32/'[2]1'!I37*10</f>
        <v>22.417575241510921</v>
      </c>
      <c r="J32" s="10">
        <f>V32/'[2]1'!J37*10</f>
        <v>21.987329437632152</v>
      </c>
      <c r="K32" s="10">
        <f>W32/'[2]1'!K37*10</f>
        <v>28.758596165855582</v>
      </c>
      <c r="L32" s="10">
        <f>X32/'[2]1'!L37*10</f>
        <v>22.765886634859921</v>
      </c>
      <c r="M32" s="1">
        <v>2003</v>
      </c>
      <c r="N32" s="1">
        <v>84251</v>
      </c>
      <c r="O32" s="1">
        <v>2153</v>
      </c>
      <c r="P32" s="1">
        <v>203</v>
      </c>
      <c r="Q32" s="1">
        <v>3503</v>
      </c>
      <c r="R32" s="1">
        <v>2254</v>
      </c>
      <c r="S32" s="1">
        <v>22531</v>
      </c>
      <c r="T32" s="1">
        <v>30223</v>
      </c>
      <c r="U32" s="1">
        <v>2609</v>
      </c>
      <c r="V32" s="1">
        <v>2191</v>
      </c>
      <c r="W32" s="1">
        <v>9155</v>
      </c>
      <c r="X32" s="1">
        <v>9385</v>
      </c>
    </row>
    <row r="33" spans="1:24">
      <c r="A33" s="2">
        <v>2004</v>
      </c>
      <c r="B33" s="10">
        <f>N33/'[2]1'!B38*10</f>
        <v>26.432126859181064</v>
      </c>
      <c r="C33" s="10">
        <f>O33/'[2]1'!C38*10</f>
        <v>44.835509723701172</v>
      </c>
      <c r="D33" s="10">
        <f>P33/'[2]1'!D38*10</f>
        <v>18.37674506442756</v>
      </c>
      <c r="E33" s="10">
        <f>Q33/'[2]1'!E38*10</f>
        <v>39.909471819590877</v>
      </c>
      <c r="F33" s="10">
        <f>R33/'[2]1'!F38*10</f>
        <v>33.948562056877179</v>
      </c>
      <c r="G33" s="10">
        <f>S33/'[2]1'!G38*10</f>
        <v>30.71286897740146</v>
      </c>
      <c r="H33" s="10">
        <f>T33/'[2]1'!H38*10</f>
        <v>24.810745630618825</v>
      </c>
      <c r="I33" s="10">
        <f>U33/'[2]1'!I38*10</f>
        <v>19.930706922320518</v>
      </c>
      <c r="J33" s="10">
        <f>V33/'[2]1'!J38*10</f>
        <v>21.92597701933035</v>
      </c>
      <c r="K33" s="10">
        <f>W33/'[2]1'!K38*10</f>
        <v>26.899453645363703</v>
      </c>
      <c r="L33" s="10">
        <f>X33/'[2]1'!L38*10</f>
        <v>20.162833289612699</v>
      </c>
      <c r="M33" s="1">
        <v>2004</v>
      </c>
      <c r="N33" s="1">
        <v>84426</v>
      </c>
      <c r="O33" s="1">
        <v>2320</v>
      </c>
      <c r="P33" s="1">
        <v>253</v>
      </c>
      <c r="Q33" s="1">
        <v>3749</v>
      </c>
      <c r="R33" s="1">
        <v>2544</v>
      </c>
      <c r="S33" s="1">
        <v>23145</v>
      </c>
      <c r="T33" s="1">
        <v>30742</v>
      </c>
      <c r="U33" s="1">
        <v>2339</v>
      </c>
      <c r="V33" s="1">
        <v>2187</v>
      </c>
      <c r="W33" s="1">
        <v>8714</v>
      </c>
      <c r="X33" s="1">
        <v>8378</v>
      </c>
    </row>
    <row r="34" spans="1:24">
      <c r="A34" s="2">
        <v>2005</v>
      </c>
      <c r="B34" s="10">
        <f>N34/'[2]1'!B39*10</f>
        <v>26.248240475042355</v>
      </c>
      <c r="C34" s="10">
        <f>O34/'[2]1'!C39*10</f>
        <v>51.889424394833988</v>
      </c>
      <c r="D34" s="10">
        <f>P34/'[2]1'!D39*10</f>
        <v>24.26569121002499</v>
      </c>
      <c r="E34" s="10">
        <f>Q34/'[2]1'!E39*10</f>
        <v>42.390726069123744</v>
      </c>
      <c r="F34" s="10">
        <f>R34/'[2]1'!F39*10</f>
        <v>34.493823199101556</v>
      </c>
      <c r="G34" s="10">
        <f>S34/'[2]1'!G39*10</f>
        <v>30.906456169163686</v>
      </c>
      <c r="H34" s="10">
        <f>T34/'[2]1'!H39*10</f>
        <v>24.983876735246415</v>
      </c>
      <c r="I34" s="10">
        <f>U34/'[2]1'!I39*10</f>
        <v>21.276397117544668</v>
      </c>
      <c r="J34" s="10">
        <f>V34/'[2]1'!J39*10</f>
        <v>20.62241653658139</v>
      </c>
      <c r="K34" s="10">
        <f>W34/'[2]1'!K39*10</f>
        <v>22.701824092468847</v>
      </c>
      <c r="L34" s="10">
        <f>X34/'[2]1'!L39*10</f>
        <v>19.474417101840743</v>
      </c>
      <c r="M34" s="1">
        <v>2005</v>
      </c>
      <c r="N34" s="1">
        <v>84638</v>
      </c>
      <c r="O34" s="1">
        <v>2669</v>
      </c>
      <c r="P34" s="1">
        <v>335</v>
      </c>
      <c r="Q34" s="1">
        <v>3976</v>
      </c>
      <c r="R34" s="1">
        <v>2580</v>
      </c>
      <c r="S34" s="1">
        <v>23433</v>
      </c>
      <c r="T34" s="1">
        <v>31301</v>
      </c>
      <c r="U34" s="1">
        <v>2507</v>
      </c>
      <c r="V34" s="1">
        <v>2049</v>
      </c>
      <c r="W34" s="1">
        <v>7542</v>
      </c>
      <c r="X34" s="1">
        <v>8173</v>
      </c>
    </row>
    <row r="35" spans="1:24">
      <c r="A35" s="2">
        <v>2006</v>
      </c>
      <c r="B35" s="10">
        <f>N35/'[2]1'!B40*10</f>
        <v>24.317847509801211</v>
      </c>
      <c r="C35" s="10">
        <f>O35/'[2]1'!C40*10</f>
        <v>47.637430361366455</v>
      </c>
      <c r="D35" s="10">
        <f>P35/'[2]1'!D40*10</f>
        <v>23.70939675174014</v>
      </c>
      <c r="E35" s="10">
        <f>Q35/'[2]1'!E40*10</f>
        <v>37.003869894777239</v>
      </c>
      <c r="F35" s="10">
        <f>R35/'[2]1'!F40*10</f>
        <v>32.520913965083935</v>
      </c>
      <c r="G35" s="10">
        <f>S35/'[2]1'!G40*10</f>
        <v>31.896526420838121</v>
      </c>
      <c r="H35" s="10">
        <f>T35/'[2]1'!H40*10</f>
        <v>23.569036329524671</v>
      </c>
      <c r="I35" s="10">
        <f>U35/'[2]1'!I40*10</f>
        <v>19.036663736000158</v>
      </c>
      <c r="J35" s="10">
        <f>V35/'[2]1'!J40*10</f>
        <v>17.971580108091544</v>
      </c>
      <c r="K35" s="10">
        <f>W35/'[2]1'!K40*10</f>
        <v>15.339409274906007</v>
      </c>
      <c r="L35" s="10">
        <f>X35/'[2]1'!L40*10</f>
        <v>16.544992671282266</v>
      </c>
      <c r="M35" s="1">
        <v>2006</v>
      </c>
      <c r="N35" s="1">
        <v>79218</v>
      </c>
      <c r="O35" s="1">
        <v>2431</v>
      </c>
      <c r="P35" s="1">
        <v>327</v>
      </c>
      <c r="Q35" s="1">
        <v>3471</v>
      </c>
      <c r="R35" s="1">
        <v>2425</v>
      </c>
      <c r="S35" s="1">
        <v>24342</v>
      </c>
      <c r="T35" s="1">
        <v>29851</v>
      </c>
      <c r="U35" s="1">
        <v>2254</v>
      </c>
      <c r="V35" s="1">
        <v>1783</v>
      </c>
      <c r="W35" s="1">
        <v>5248</v>
      </c>
      <c r="X35" s="1">
        <v>7021</v>
      </c>
    </row>
    <row r="36" spans="1:24">
      <c r="A36" s="2">
        <v>2007</v>
      </c>
      <c r="B36" s="10">
        <f>N36/'[2]1'!B41*10</f>
        <v>24.233941293583953</v>
      </c>
      <c r="C36" s="10">
        <f>O36/'[2]1'!C41*10</f>
        <v>41.859262052801903</v>
      </c>
      <c r="D36" s="10">
        <f>P36/'[2]1'!D41*10</f>
        <v>21.503352206084653</v>
      </c>
      <c r="E36" s="10">
        <f>Q36/'[2]1'!E41*10</f>
        <v>37.199304729824291</v>
      </c>
      <c r="F36" s="10">
        <f>R36/'[2]1'!F41*10</f>
        <v>32.882997705837369</v>
      </c>
      <c r="G36" s="10">
        <f>S36/'[2]1'!G41*10</f>
        <v>32.607176805527118</v>
      </c>
      <c r="H36" s="10">
        <f>T36/'[2]1'!H41*10</f>
        <v>24.550610259589739</v>
      </c>
      <c r="I36" s="10">
        <f>U36/'[2]1'!I41*10</f>
        <v>17.092384337343344</v>
      </c>
      <c r="J36" s="10">
        <f>V36/'[2]1'!J41*10</f>
        <v>14.634434233572772</v>
      </c>
      <c r="K36" s="10">
        <f>W36/'[2]1'!K41*10</f>
        <v>13.580594333291939</v>
      </c>
      <c r="L36" s="10">
        <f>X36/'[2]1'!L41*10</f>
        <v>15.428142556037216</v>
      </c>
      <c r="M36" s="1">
        <v>2007</v>
      </c>
      <c r="N36" s="1">
        <v>79796</v>
      </c>
      <c r="O36" s="1">
        <v>2120</v>
      </c>
      <c r="P36" s="1">
        <v>297</v>
      </c>
      <c r="Q36" s="1">
        <v>3482</v>
      </c>
      <c r="R36" s="1">
        <v>2451</v>
      </c>
      <c r="S36" s="1">
        <v>25062</v>
      </c>
      <c r="T36" s="1">
        <v>31409</v>
      </c>
      <c r="U36" s="1">
        <v>2040</v>
      </c>
      <c r="V36" s="1">
        <v>1463</v>
      </c>
      <c r="W36" s="1">
        <v>4768</v>
      </c>
      <c r="X36" s="1">
        <v>6650</v>
      </c>
    </row>
    <row r="37" spans="1:24">
      <c r="A37" s="2">
        <v>2008</v>
      </c>
      <c r="B37" s="10">
        <f>N37/'[2]1'!B42*10</f>
        <v>27.200907173219342</v>
      </c>
      <c r="C37" s="10">
        <f>O37/'[2]1'!C42*10</f>
        <v>41.996869431673872</v>
      </c>
      <c r="D37" s="10">
        <f>P37/'[2]1'!D42*10</f>
        <v>31.755567952624123</v>
      </c>
      <c r="E37" s="10">
        <f>Q37/'[2]1'!E42*10</f>
        <v>42.310110730995092</v>
      </c>
      <c r="F37" s="10">
        <f>R37/'[2]1'!F42*10</f>
        <v>35.527805358476229</v>
      </c>
      <c r="G37" s="10">
        <f>S37/'[2]1'!G42*10</f>
        <v>36.535688517804779</v>
      </c>
      <c r="H37" s="10">
        <f>T37/'[2]1'!H42*10</f>
        <v>27.999080516383486</v>
      </c>
      <c r="I37" s="10">
        <f>U37/'[2]1'!I42*10</f>
        <v>16.763814003620983</v>
      </c>
      <c r="J37" s="10">
        <f>V37/'[2]1'!J42*10</f>
        <v>14.281706914964296</v>
      </c>
      <c r="K37" s="10">
        <f>W37/'[2]1'!K42*10</f>
        <v>16.919831906239697</v>
      </c>
      <c r="L37" s="10">
        <f>X37/'[2]1'!L42*10</f>
        <v>16.644593314364627</v>
      </c>
      <c r="M37" s="1">
        <v>2008</v>
      </c>
      <c r="N37" s="1">
        <v>90610</v>
      </c>
      <c r="O37" s="1">
        <v>2133</v>
      </c>
      <c r="P37" s="1">
        <v>444</v>
      </c>
      <c r="Q37" s="1">
        <v>3970</v>
      </c>
      <c r="R37" s="1">
        <v>2655</v>
      </c>
      <c r="S37" s="1">
        <v>28317</v>
      </c>
      <c r="T37" s="1">
        <v>36200</v>
      </c>
      <c r="U37" s="1">
        <v>2025</v>
      </c>
      <c r="V37" s="1">
        <v>1451</v>
      </c>
      <c r="W37" s="1">
        <v>6066</v>
      </c>
      <c r="X37" s="1">
        <v>7293</v>
      </c>
    </row>
    <row r="38" spans="1:24">
      <c r="A38" s="2"/>
      <c r="D38" s="1" t="s">
        <v>802</v>
      </c>
    </row>
    <row r="39" spans="1:24">
      <c r="A39" s="431" t="s">
        <v>603</v>
      </c>
      <c r="B39" s="644">
        <f>((((B18/B10))^(1/8))-1)*100</f>
        <v>1.8008929558783082</v>
      </c>
      <c r="C39" s="644">
        <f t="shared" ref="C39:L39" si="0">((((C18/C10))^(1/8))-1)*100</f>
        <v>0.17066954580122751</v>
      </c>
      <c r="D39" s="644">
        <f t="shared" si="0"/>
        <v>-0.17879406298599854</v>
      </c>
      <c r="E39" s="644">
        <f t="shared" si="0"/>
        <v>5.9944571171376859</v>
      </c>
      <c r="F39" s="644">
        <f t="shared" si="0"/>
        <v>3.3240004298770831</v>
      </c>
      <c r="G39" s="644">
        <f t="shared" si="0"/>
        <v>5.1974532843045429</v>
      </c>
      <c r="H39" s="644">
        <f t="shared" si="0"/>
        <v>-4.5399208961103055</v>
      </c>
      <c r="I39" s="644">
        <f t="shared" si="0"/>
        <v>5.3557072875149103</v>
      </c>
      <c r="J39" s="644">
        <f t="shared" si="0"/>
        <v>16.335327165401559</v>
      </c>
      <c r="K39" s="644">
        <f t="shared" si="0"/>
        <v>6.5380968554512142</v>
      </c>
      <c r="L39" s="644">
        <f t="shared" si="0"/>
        <v>10.181993729574423</v>
      </c>
    </row>
    <row r="40" spans="1:24">
      <c r="A40" s="431" t="s">
        <v>604</v>
      </c>
      <c r="B40" s="644">
        <f>((((B29/B18))^(1/11))-1)*100</f>
        <v>7.8110923893819795</v>
      </c>
      <c r="C40" s="644">
        <f t="shared" ref="C40:L40" si="1">((((C29/C18))^(1/11))-1)*100</f>
        <v>18.817914686494586</v>
      </c>
      <c r="D40" s="644">
        <f t="shared" si="1"/>
        <v>18.431130281131768</v>
      </c>
      <c r="E40" s="644">
        <f t="shared" si="1"/>
        <v>8.2690216478477971</v>
      </c>
      <c r="F40" s="644">
        <f t="shared" si="1"/>
        <v>15.906891807270473</v>
      </c>
      <c r="G40" s="644">
        <f t="shared" si="1"/>
        <v>6.2811591059159122</v>
      </c>
      <c r="H40" s="644">
        <f t="shared" si="1"/>
        <v>7.8292366035921823</v>
      </c>
      <c r="I40" s="644">
        <f t="shared" si="1"/>
        <v>4.8180785164049</v>
      </c>
      <c r="J40" s="644">
        <f t="shared" si="1"/>
        <v>5.6516957141776736</v>
      </c>
      <c r="K40" s="644">
        <f t="shared" si="1"/>
        <v>9.886984697088085</v>
      </c>
      <c r="L40" s="644">
        <f t="shared" si="1"/>
        <v>10.577246595984025</v>
      </c>
    </row>
    <row r="41" spans="1:24">
      <c r="A41" s="431" t="s">
        <v>1408</v>
      </c>
      <c r="B41" s="644">
        <f>((((B37/B10))^(1/27))-1)*100</f>
        <v>4.0627814861164291</v>
      </c>
      <c r="C41" s="644">
        <f>((((C37/C10))^(1/27))-1)*100</f>
        <v>8.7485987405863561</v>
      </c>
      <c r="D41" s="644">
        <f t="shared" ref="D41:L41" si="2">((((D37/D10))^(1/27))-1)*100</f>
        <v>10.574577580289102</v>
      </c>
      <c r="E41" s="644">
        <f t="shared" si="2"/>
        <v>6.4146736644687286</v>
      </c>
      <c r="F41" s="644">
        <f t="shared" si="2"/>
        <v>9.8423905744623461</v>
      </c>
      <c r="G41" s="644">
        <f t="shared" si="2"/>
        <v>4.6392640900757565</v>
      </c>
      <c r="H41" s="644">
        <f t="shared" si="2"/>
        <v>2.9480903229373245</v>
      </c>
      <c r="I41" s="644">
        <f t="shared" si="2"/>
        <v>2.5611885360965703</v>
      </c>
      <c r="J41" s="644">
        <f t="shared" si="2"/>
        <v>5.9996969616138651</v>
      </c>
      <c r="K41" s="644">
        <f t="shared" si="2"/>
        <v>3.7331728559391042</v>
      </c>
      <c r="L41" s="644">
        <f t="shared" si="2"/>
        <v>5.9863511368630329</v>
      </c>
    </row>
    <row r="42" spans="1:24">
      <c r="A42" s="431" t="s">
        <v>1410</v>
      </c>
      <c r="B42" s="644">
        <f>((((B37/B29))^(1/8))-1)*100</f>
        <v>1.3230488957866715</v>
      </c>
      <c r="C42" s="644">
        <f>((((C37/C29))^(1/8))-1)*100</f>
        <v>4.5265605449312574</v>
      </c>
      <c r="D42" s="644">
        <f t="shared" ref="D42:L42" si="3">((((D37/D29))^(1/8))-1)*100</f>
        <v>11.454654778295748</v>
      </c>
      <c r="E42" s="644">
        <f t="shared" si="3"/>
        <v>4.3286709407880375</v>
      </c>
      <c r="F42" s="644">
        <f t="shared" si="3"/>
        <v>8.4544121714903895</v>
      </c>
      <c r="G42" s="644">
        <f t="shared" si="3"/>
        <v>1.8795269116595126</v>
      </c>
      <c r="H42" s="644">
        <f t="shared" si="3"/>
        <v>4.1722935043062348</v>
      </c>
      <c r="I42" s="644">
        <f t="shared" si="3"/>
        <v>-3.103086586007342</v>
      </c>
      <c r="J42" s="644">
        <f t="shared" si="3"/>
        <v>-2.9799843066313447</v>
      </c>
      <c r="K42" s="644">
        <f t="shared" si="3"/>
        <v>-6.6926036182854753</v>
      </c>
      <c r="L42" s="644">
        <f t="shared" si="3"/>
        <v>-3.8238280547713943</v>
      </c>
    </row>
    <row r="43" spans="1:24">
      <c r="A43" s="431"/>
      <c r="D43" s="1" t="s">
        <v>276</v>
      </c>
    </row>
    <row r="44" spans="1:24">
      <c r="A44" s="431" t="s">
        <v>1408</v>
      </c>
      <c r="B44" s="644">
        <f t="shared" ref="B44:L44" si="4">(B37/B10-1)*100</f>
        <v>193.07353879240941</v>
      </c>
      <c r="C44" s="644">
        <f t="shared" si="4"/>
        <v>862.58497919445585</v>
      </c>
      <c r="D44" s="644">
        <f t="shared" si="4"/>
        <v>1409.0123754287165</v>
      </c>
      <c r="E44" s="644">
        <f t="shared" si="4"/>
        <v>435.84720993654071</v>
      </c>
      <c r="F44" s="644">
        <f t="shared" si="4"/>
        <v>1161.21566642368</v>
      </c>
      <c r="G44" s="644">
        <f t="shared" si="4"/>
        <v>240.21720326211221</v>
      </c>
      <c r="H44" s="644">
        <f t="shared" si="4"/>
        <v>119.12602597459943</v>
      </c>
      <c r="I44" s="644">
        <f t="shared" si="4"/>
        <v>97.943942672516442</v>
      </c>
      <c r="J44" s="644">
        <f t="shared" si="4"/>
        <v>382.1973722366314</v>
      </c>
      <c r="K44" s="644">
        <f t="shared" si="4"/>
        <v>169.01522942202214</v>
      </c>
      <c r="L44" s="644">
        <f t="shared" si="4"/>
        <v>380.56086199656642</v>
      </c>
    </row>
    <row r="46" spans="1:24" ht="12.75" customHeight="1">
      <c r="A46" s="1" t="s">
        <v>782</v>
      </c>
    </row>
    <row r="47" spans="1:24">
      <c r="A47" s="1" t="s">
        <v>1122</v>
      </c>
    </row>
    <row r="48" spans="1:24">
      <c r="A48" s="1" t="s">
        <v>388</v>
      </c>
    </row>
    <row r="49" spans="1:1">
      <c r="A49" s="1" t="s">
        <v>1664</v>
      </c>
    </row>
  </sheetData>
  <mergeCells count="22">
    <mergeCell ref="B3:B4"/>
    <mergeCell ref="C3:C4"/>
    <mergeCell ref="D3:D4"/>
    <mergeCell ref="E3:E4"/>
    <mergeCell ref="AA2:AA3"/>
    <mergeCell ref="L3:L4"/>
    <mergeCell ref="F3:F4"/>
    <mergeCell ref="G3:G4"/>
    <mergeCell ref="H3:H4"/>
    <mergeCell ref="I3:I4"/>
    <mergeCell ref="J3:J4"/>
    <mergeCell ref="K3:K4"/>
    <mergeCell ref="AB2:AB3"/>
    <mergeCell ref="AC2:AC3"/>
    <mergeCell ref="AD2:AD3"/>
    <mergeCell ref="AE2:AE3"/>
    <mergeCell ref="AK2:AK3"/>
    <mergeCell ref="AF2:AF3"/>
    <mergeCell ref="AG2:AG3"/>
    <mergeCell ref="AH2:AH3"/>
    <mergeCell ref="AI2:AI3"/>
    <mergeCell ref="AJ2:AJ3"/>
  </mergeCells>
  <phoneticPr fontId="35" type="noConversion"/>
  <pageMargins left="0.75" right="0.75" top="1" bottom="1" header="0.5" footer="0.5"/>
  <pageSetup scale="76" orientation="landscape" horizontalDpi="300" verticalDpi="300" r:id="rId1"/>
  <headerFooter alignWithMargins="0"/>
</worksheet>
</file>

<file path=xl/worksheets/sheet102.xml><?xml version="1.0" encoding="utf-8"?>
<worksheet xmlns="http://schemas.openxmlformats.org/spreadsheetml/2006/main" xmlns:r="http://schemas.openxmlformats.org/officeDocument/2006/relationships">
  <sheetPr codeName="Sheet24">
    <pageSetUpPr fitToPage="1"/>
  </sheetPr>
  <dimension ref="A1:M48"/>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2" ht="15.75">
      <c r="B1" s="40" t="s">
        <v>2184</v>
      </c>
    </row>
    <row r="3" spans="1:12">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2">
      <c r="A4" s="7"/>
      <c r="B4" s="1165"/>
      <c r="C4" s="1165"/>
      <c r="D4" s="1165"/>
      <c r="E4" s="1165"/>
      <c r="F4" s="1165"/>
      <c r="G4" s="1165"/>
      <c r="H4" s="1165"/>
      <c r="I4" s="1165"/>
      <c r="J4" s="1165"/>
      <c r="K4" s="1165"/>
      <c r="L4" s="1165"/>
    </row>
    <row r="5" spans="1:12">
      <c r="A5" s="2">
        <v>1976</v>
      </c>
      <c r="B5" s="10">
        <v>7.1</v>
      </c>
      <c r="C5" s="10">
        <v>13.4</v>
      </c>
      <c r="D5" s="10">
        <v>9.3000000000000007</v>
      </c>
      <c r="E5" s="10">
        <v>9.1999999999999993</v>
      </c>
      <c r="F5" s="10">
        <v>11</v>
      </c>
      <c r="G5" s="10">
        <v>8.6999999999999993</v>
      </c>
      <c r="H5" s="10">
        <v>6.1</v>
      </c>
      <c r="I5" s="10">
        <v>4.7</v>
      </c>
      <c r="J5" s="10">
        <v>3.8</v>
      </c>
      <c r="K5" s="10">
        <v>3.9</v>
      </c>
      <c r="L5" s="10">
        <v>8.4</v>
      </c>
    </row>
    <row r="6" spans="1:12">
      <c r="A6" s="2">
        <v>1977</v>
      </c>
      <c r="B6" s="10">
        <v>8</v>
      </c>
      <c r="C6" s="10">
        <v>15.4</v>
      </c>
      <c r="D6" s="10">
        <v>9.5</v>
      </c>
      <c r="E6" s="10">
        <v>10.3</v>
      </c>
      <c r="F6" s="10">
        <v>13.3</v>
      </c>
      <c r="G6" s="10">
        <v>10.4</v>
      </c>
      <c r="H6" s="10">
        <v>6.9</v>
      </c>
      <c r="I6" s="10">
        <v>5.7</v>
      </c>
      <c r="J6" s="10">
        <v>4.4000000000000004</v>
      </c>
      <c r="K6" s="10">
        <v>4.5</v>
      </c>
      <c r="L6" s="10">
        <v>8.3000000000000007</v>
      </c>
    </row>
    <row r="7" spans="1:12">
      <c r="A7" s="2">
        <v>1978</v>
      </c>
      <c r="B7" s="10">
        <v>8.4</v>
      </c>
      <c r="C7" s="10">
        <v>15.9</v>
      </c>
      <c r="D7" s="10">
        <v>9.6999999999999993</v>
      </c>
      <c r="E7" s="10">
        <v>10.5</v>
      </c>
      <c r="F7" s="10">
        <v>12.4</v>
      </c>
      <c r="G7" s="10">
        <v>11</v>
      </c>
      <c r="H7" s="10">
        <v>7.2</v>
      </c>
      <c r="I7" s="10">
        <v>6.5</v>
      </c>
      <c r="J7" s="10">
        <v>4.8</v>
      </c>
      <c r="K7" s="10">
        <v>4.8</v>
      </c>
      <c r="L7" s="10">
        <v>8.3000000000000007</v>
      </c>
    </row>
    <row r="8" spans="1:12">
      <c r="A8" s="2">
        <v>1979</v>
      </c>
      <c r="B8" s="10">
        <v>7.5</v>
      </c>
      <c r="C8" s="10">
        <v>14.8</v>
      </c>
      <c r="D8" s="10">
        <v>11.6</v>
      </c>
      <c r="E8" s="10">
        <v>10</v>
      </c>
      <c r="F8" s="10">
        <v>10.9</v>
      </c>
      <c r="G8" s="10">
        <v>9.6999999999999993</v>
      </c>
      <c r="H8" s="10">
        <v>6.6</v>
      </c>
      <c r="I8" s="10">
        <v>5.5</v>
      </c>
      <c r="J8" s="10">
        <v>4.2</v>
      </c>
      <c r="K8" s="10">
        <v>3.9</v>
      </c>
      <c r="L8" s="10">
        <v>7.7</v>
      </c>
    </row>
    <row r="9" spans="1:12">
      <c r="A9" s="2">
        <v>1980</v>
      </c>
      <c r="B9" s="10">
        <v>7.5</v>
      </c>
      <c r="C9" s="10">
        <v>13.3</v>
      </c>
      <c r="D9" s="10">
        <v>10.5</v>
      </c>
      <c r="E9" s="10">
        <v>9.6999999999999993</v>
      </c>
      <c r="F9" s="10">
        <v>11.1</v>
      </c>
      <c r="G9" s="10">
        <v>10</v>
      </c>
      <c r="H9" s="10">
        <v>6.9</v>
      </c>
      <c r="I9" s="10">
        <v>5.5</v>
      </c>
      <c r="J9" s="10">
        <v>4.3</v>
      </c>
      <c r="K9" s="10">
        <v>3.9</v>
      </c>
      <c r="L9" s="10">
        <v>6.7</v>
      </c>
    </row>
    <row r="10" spans="1:12">
      <c r="A10" s="2">
        <v>1981</v>
      </c>
      <c r="B10" s="10">
        <v>7.6</v>
      </c>
      <c r="C10" s="10">
        <v>13.5</v>
      </c>
      <c r="D10" s="10">
        <v>11.3</v>
      </c>
      <c r="E10" s="10">
        <v>10</v>
      </c>
      <c r="F10" s="10">
        <v>11.6</v>
      </c>
      <c r="G10" s="10">
        <v>10.5</v>
      </c>
      <c r="H10" s="10">
        <v>6.6</v>
      </c>
      <c r="I10" s="10">
        <v>6</v>
      </c>
      <c r="J10" s="10">
        <v>4.5</v>
      </c>
      <c r="K10" s="10">
        <v>3.9</v>
      </c>
      <c r="L10" s="10">
        <v>6.8</v>
      </c>
    </row>
    <row r="11" spans="1:12">
      <c r="A11" s="2">
        <v>1982</v>
      </c>
      <c r="B11" s="10">
        <v>11</v>
      </c>
      <c r="C11" s="10">
        <v>16.2</v>
      </c>
      <c r="D11" s="10">
        <v>12.6</v>
      </c>
      <c r="E11" s="10">
        <v>12.8</v>
      </c>
      <c r="F11" s="10">
        <v>14</v>
      </c>
      <c r="G11" s="10">
        <v>14</v>
      </c>
      <c r="H11" s="10">
        <v>9.8000000000000007</v>
      </c>
      <c r="I11" s="10">
        <v>8.5</v>
      </c>
      <c r="J11" s="10">
        <v>6.3</v>
      </c>
      <c r="K11" s="10">
        <v>7.7</v>
      </c>
      <c r="L11" s="10">
        <v>12.1</v>
      </c>
    </row>
    <row r="12" spans="1:12">
      <c r="A12" s="2">
        <v>1983</v>
      </c>
      <c r="B12" s="10">
        <v>12</v>
      </c>
      <c r="C12" s="10">
        <v>18.100000000000001</v>
      </c>
      <c r="D12" s="10">
        <v>12.2</v>
      </c>
      <c r="E12" s="10">
        <v>13.4</v>
      </c>
      <c r="F12" s="10">
        <v>14.9</v>
      </c>
      <c r="G12" s="10">
        <v>14.2</v>
      </c>
      <c r="H12" s="10">
        <v>10.4</v>
      </c>
      <c r="I12" s="10">
        <v>9.5</v>
      </c>
      <c r="J12" s="10">
        <v>7.7</v>
      </c>
      <c r="K12" s="10">
        <v>11</v>
      </c>
      <c r="L12" s="10">
        <v>13.9</v>
      </c>
    </row>
    <row r="13" spans="1:12">
      <c r="A13" s="2">
        <v>1984</v>
      </c>
      <c r="B13" s="10">
        <v>11.3</v>
      </c>
      <c r="C13" s="10">
        <v>20.100000000000001</v>
      </c>
      <c r="D13" s="10">
        <v>12.5</v>
      </c>
      <c r="E13" s="10">
        <v>13</v>
      </c>
      <c r="F13" s="10">
        <v>14.6</v>
      </c>
      <c r="G13" s="10">
        <v>13.1</v>
      </c>
      <c r="H13" s="10">
        <v>9</v>
      </c>
      <c r="I13" s="10">
        <v>8.6</v>
      </c>
      <c r="J13" s="10">
        <v>8.1</v>
      </c>
      <c r="K13" s="10">
        <v>11.3</v>
      </c>
      <c r="L13" s="10">
        <v>15</v>
      </c>
    </row>
    <row r="14" spans="1:12">
      <c r="A14" s="2">
        <v>1985</v>
      </c>
      <c r="B14" s="10">
        <v>10.6</v>
      </c>
      <c r="C14" s="10">
        <v>20.2</v>
      </c>
      <c r="D14" s="10">
        <v>13.7</v>
      </c>
      <c r="E14" s="10">
        <v>13.5</v>
      </c>
      <c r="F14" s="10">
        <v>15.2</v>
      </c>
      <c r="G14" s="10">
        <v>12.3</v>
      </c>
      <c r="H14" s="10">
        <v>8</v>
      </c>
      <c r="I14" s="10">
        <v>8.4</v>
      </c>
      <c r="J14" s="10">
        <v>8.4</v>
      </c>
      <c r="K14" s="10">
        <v>9.9</v>
      </c>
      <c r="L14" s="10">
        <v>14.6</v>
      </c>
    </row>
    <row r="15" spans="1:12">
      <c r="A15" s="2">
        <v>1986</v>
      </c>
      <c r="B15" s="10">
        <v>9.6999999999999993</v>
      </c>
      <c r="C15" s="10">
        <v>18.899999999999999</v>
      </c>
      <c r="D15" s="10">
        <v>13.2</v>
      </c>
      <c r="E15" s="10">
        <v>13.3</v>
      </c>
      <c r="F15" s="10">
        <v>14.4</v>
      </c>
      <c r="G15" s="10">
        <v>11.1</v>
      </c>
      <c r="H15" s="10">
        <v>7</v>
      </c>
      <c r="I15" s="10">
        <v>7.8</v>
      </c>
      <c r="J15" s="10">
        <v>7.9</v>
      </c>
      <c r="K15" s="10">
        <v>10.1</v>
      </c>
      <c r="L15" s="10">
        <v>12.9</v>
      </c>
    </row>
    <row r="16" spans="1:12">
      <c r="A16" s="2">
        <v>1987</v>
      </c>
      <c r="B16" s="10">
        <v>8.8000000000000007</v>
      </c>
      <c r="C16" s="10">
        <v>17.8</v>
      </c>
      <c r="D16" s="10">
        <v>12.3</v>
      </c>
      <c r="E16" s="10">
        <v>12</v>
      </c>
      <c r="F16" s="10">
        <v>13.2</v>
      </c>
      <c r="G16" s="10">
        <v>10.199999999999999</v>
      </c>
      <c r="H16" s="10">
        <v>6.1</v>
      </c>
      <c r="I16" s="10">
        <v>7.5</v>
      </c>
      <c r="J16" s="10">
        <v>7.3</v>
      </c>
      <c r="K16" s="10">
        <v>9.6</v>
      </c>
      <c r="L16" s="10">
        <v>12.1</v>
      </c>
    </row>
    <row r="17" spans="1:12">
      <c r="A17" s="2">
        <v>1988</v>
      </c>
      <c r="B17" s="10">
        <v>7.8</v>
      </c>
      <c r="C17" s="10">
        <v>16.2</v>
      </c>
      <c r="D17" s="10">
        <v>12.2</v>
      </c>
      <c r="E17" s="10">
        <v>10.199999999999999</v>
      </c>
      <c r="F17" s="10">
        <v>11.8</v>
      </c>
      <c r="G17" s="10">
        <v>9.5</v>
      </c>
      <c r="H17" s="10">
        <v>5</v>
      </c>
      <c r="I17" s="10">
        <v>7.7</v>
      </c>
      <c r="J17" s="10">
        <v>7.3</v>
      </c>
      <c r="K17" s="10">
        <v>8</v>
      </c>
      <c r="L17" s="10">
        <v>10.3</v>
      </c>
    </row>
    <row r="18" spans="1:12">
      <c r="A18" s="2">
        <v>1989</v>
      </c>
      <c r="B18" s="10">
        <v>7.5</v>
      </c>
      <c r="C18" s="10">
        <v>15.5</v>
      </c>
      <c r="D18" s="10">
        <v>13.7</v>
      </c>
      <c r="E18" s="10">
        <v>9.9</v>
      </c>
      <c r="F18" s="10">
        <v>12.1</v>
      </c>
      <c r="G18" s="10">
        <v>9.6</v>
      </c>
      <c r="H18" s="10">
        <v>5</v>
      </c>
      <c r="I18" s="10">
        <v>7.5</v>
      </c>
      <c r="J18" s="10">
        <v>7.3</v>
      </c>
      <c r="K18" s="10">
        <v>7.2</v>
      </c>
      <c r="L18" s="10">
        <v>9.1</v>
      </c>
    </row>
    <row r="19" spans="1:12">
      <c r="A19" s="2">
        <v>1990</v>
      </c>
      <c r="B19" s="10">
        <v>8.1</v>
      </c>
      <c r="C19" s="10">
        <v>17</v>
      </c>
      <c r="D19" s="10">
        <v>14.4</v>
      </c>
      <c r="E19" s="10">
        <v>10.7</v>
      </c>
      <c r="F19" s="10">
        <v>12.1</v>
      </c>
      <c r="G19" s="10">
        <v>10.4</v>
      </c>
      <c r="H19" s="10">
        <v>6.2</v>
      </c>
      <c r="I19" s="10">
        <v>7.4</v>
      </c>
      <c r="J19" s="10">
        <v>7</v>
      </c>
      <c r="K19" s="10">
        <v>6.9</v>
      </c>
      <c r="L19" s="10">
        <v>8.4</v>
      </c>
    </row>
    <row r="20" spans="1:12">
      <c r="A20" s="2">
        <v>1991</v>
      </c>
      <c r="B20" s="10">
        <v>10.3</v>
      </c>
      <c r="C20" s="10">
        <v>18</v>
      </c>
      <c r="D20" s="10">
        <v>16.5</v>
      </c>
      <c r="E20" s="10">
        <v>12.1</v>
      </c>
      <c r="F20" s="10">
        <v>12.7</v>
      </c>
      <c r="G20" s="10">
        <v>12.1</v>
      </c>
      <c r="H20" s="10">
        <v>9.5</v>
      </c>
      <c r="I20" s="10">
        <v>8.6</v>
      </c>
      <c r="J20" s="10">
        <v>7.4</v>
      </c>
      <c r="K20" s="10">
        <v>8.1999999999999993</v>
      </c>
      <c r="L20" s="10">
        <v>9.9</v>
      </c>
    </row>
    <row r="21" spans="1:12">
      <c r="A21" s="2">
        <v>1992</v>
      </c>
      <c r="B21" s="10">
        <v>11.2</v>
      </c>
      <c r="C21" s="10">
        <v>20</v>
      </c>
      <c r="D21" s="10">
        <v>17.600000000000001</v>
      </c>
      <c r="E21" s="10">
        <v>13.1</v>
      </c>
      <c r="F21" s="10">
        <v>13</v>
      </c>
      <c r="G21" s="10">
        <v>12.7</v>
      </c>
      <c r="H21" s="10">
        <v>10.8</v>
      </c>
      <c r="I21" s="10">
        <v>9.3000000000000007</v>
      </c>
      <c r="J21" s="10">
        <v>8</v>
      </c>
      <c r="K21" s="10">
        <v>9.5</v>
      </c>
      <c r="L21" s="10">
        <v>10.1</v>
      </c>
    </row>
    <row r="22" spans="1:12">
      <c r="A22" s="2">
        <v>1993</v>
      </c>
      <c r="B22" s="10">
        <v>11.4</v>
      </c>
      <c r="C22" s="10">
        <v>20.100000000000001</v>
      </c>
      <c r="D22" s="10">
        <v>16.899999999999999</v>
      </c>
      <c r="E22" s="10">
        <v>14.3</v>
      </c>
      <c r="F22" s="10">
        <v>12.6</v>
      </c>
      <c r="G22" s="10">
        <v>13.2</v>
      </c>
      <c r="H22" s="10">
        <v>10.9</v>
      </c>
      <c r="I22" s="10">
        <v>9.3000000000000007</v>
      </c>
      <c r="J22" s="10">
        <v>8.3000000000000007</v>
      </c>
      <c r="K22" s="10">
        <v>9.6</v>
      </c>
      <c r="L22" s="10">
        <v>9.6999999999999993</v>
      </c>
    </row>
    <row r="23" spans="1:12">
      <c r="A23" s="2">
        <v>1994</v>
      </c>
      <c r="B23" s="10">
        <v>10.4</v>
      </c>
      <c r="C23" s="10">
        <v>20</v>
      </c>
      <c r="D23" s="10">
        <v>16.5</v>
      </c>
      <c r="E23" s="10">
        <v>13.5</v>
      </c>
      <c r="F23" s="10">
        <v>12.5</v>
      </c>
      <c r="G23" s="10">
        <v>12.3</v>
      </c>
      <c r="H23" s="10">
        <v>9.6</v>
      </c>
      <c r="I23" s="10">
        <v>8.8000000000000007</v>
      </c>
      <c r="J23" s="10">
        <v>6.9</v>
      </c>
      <c r="K23" s="10">
        <v>8.8000000000000007</v>
      </c>
      <c r="L23" s="10">
        <v>9.1</v>
      </c>
    </row>
    <row r="24" spans="1:12">
      <c r="A24" s="2">
        <v>1995</v>
      </c>
      <c r="B24" s="10">
        <v>9.5</v>
      </c>
      <c r="C24" s="10">
        <v>18</v>
      </c>
      <c r="D24" s="10">
        <v>14.8</v>
      </c>
      <c r="E24" s="10">
        <v>12.2</v>
      </c>
      <c r="F24" s="10">
        <v>11.4</v>
      </c>
      <c r="G24" s="10">
        <v>11.5</v>
      </c>
      <c r="H24" s="10">
        <v>8.6999999999999993</v>
      </c>
      <c r="I24" s="10">
        <v>7.3</v>
      </c>
      <c r="J24" s="10">
        <v>6.7</v>
      </c>
      <c r="K24" s="10">
        <v>7.8</v>
      </c>
      <c r="L24" s="10">
        <v>8.5</v>
      </c>
    </row>
    <row r="25" spans="1:12">
      <c r="A25" s="2">
        <v>1996</v>
      </c>
      <c r="B25" s="10">
        <v>9.6</v>
      </c>
      <c r="C25" s="10">
        <v>19.100000000000001</v>
      </c>
      <c r="D25" s="10">
        <v>14.7</v>
      </c>
      <c r="E25" s="10">
        <v>12.4</v>
      </c>
      <c r="F25" s="10">
        <v>11.6</v>
      </c>
      <c r="G25" s="10">
        <v>11.9</v>
      </c>
      <c r="H25" s="10">
        <v>9</v>
      </c>
      <c r="I25" s="10">
        <v>7.3</v>
      </c>
      <c r="J25" s="10">
        <v>6.7</v>
      </c>
      <c r="K25" s="10">
        <v>6.9</v>
      </c>
      <c r="L25" s="10">
        <v>8.6999999999999993</v>
      </c>
    </row>
    <row r="26" spans="1:12">
      <c r="A26" s="2">
        <v>1997</v>
      </c>
      <c r="B26" s="10">
        <v>9.1</v>
      </c>
      <c r="C26" s="10">
        <v>18.399999999999999</v>
      </c>
      <c r="D26" s="10">
        <v>15.4</v>
      </c>
      <c r="E26" s="10">
        <v>12.2</v>
      </c>
      <c r="F26" s="10">
        <v>12.7</v>
      </c>
      <c r="G26" s="10">
        <v>11.4</v>
      </c>
      <c r="H26" s="10">
        <v>8.4</v>
      </c>
      <c r="I26" s="10">
        <v>6.5</v>
      </c>
      <c r="J26" s="10">
        <v>6</v>
      </c>
      <c r="K26" s="10">
        <v>5.9</v>
      </c>
      <c r="L26" s="10">
        <v>8.4</v>
      </c>
    </row>
    <row r="27" spans="1:12">
      <c r="A27" s="2">
        <v>1998</v>
      </c>
      <c r="B27" s="10">
        <v>8.3000000000000007</v>
      </c>
      <c r="C27" s="10">
        <v>17.899999999999999</v>
      </c>
      <c r="D27" s="10">
        <v>13.9</v>
      </c>
      <c r="E27" s="10">
        <v>10.5</v>
      </c>
      <c r="F27" s="10">
        <v>12.2</v>
      </c>
      <c r="G27" s="10">
        <v>10.3</v>
      </c>
      <c r="H27" s="10">
        <v>7.2</v>
      </c>
      <c r="I27" s="10">
        <v>5.6</v>
      </c>
      <c r="J27" s="10">
        <v>5.8</v>
      </c>
      <c r="K27" s="10">
        <v>5.6</v>
      </c>
      <c r="L27" s="10">
        <v>8.8000000000000007</v>
      </c>
    </row>
    <row r="28" spans="1:12">
      <c r="A28" s="2">
        <v>1999</v>
      </c>
      <c r="B28" s="10">
        <v>7.6</v>
      </c>
      <c r="C28" s="10">
        <v>16.899999999999999</v>
      </c>
      <c r="D28" s="10">
        <v>14.3</v>
      </c>
      <c r="E28" s="10">
        <v>9.6</v>
      </c>
      <c r="F28" s="10">
        <v>10.199999999999999</v>
      </c>
      <c r="G28" s="10">
        <v>9.3000000000000007</v>
      </c>
      <c r="H28" s="10">
        <v>6.3</v>
      </c>
      <c r="I28" s="10">
        <v>5.6</v>
      </c>
      <c r="J28" s="10">
        <v>6.1</v>
      </c>
      <c r="K28" s="10">
        <v>5.7</v>
      </c>
      <c r="L28" s="10">
        <v>8.3000000000000007</v>
      </c>
    </row>
    <row r="29" spans="1:12">
      <c r="A29" s="2">
        <v>2000</v>
      </c>
      <c r="B29" s="10">
        <v>6.8</v>
      </c>
      <c r="C29" s="10">
        <v>16.7</v>
      </c>
      <c r="D29" s="10">
        <v>12.1</v>
      </c>
      <c r="E29" s="10">
        <v>9.1</v>
      </c>
      <c r="F29" s="10">
        <v>10</v>
      </c>
      <c r="G29" s="10">
        <v>8.5</v>
      </c>
      <c r="H29" s="10">
        <v>5.8</v>
      </c>
      <c r="I29" s="10">
        <v>5</v>
      </c>
      <c r="J29" s="10">
        <v>5.0999999999999996</v>
      </c>
      <c r="K29" s="10">
        <v>5</v>
      </c>
      <c r="L29" s="10">
        <v>7.1</v>
      </c>
    </row>
    <row r="30" spans="1:12">
      <c r="A30" s="2">
        <v>2001</v>
      </c>
      <c r="B30" s="10">
        <v>7.2</v>
      </c>
      <c r="C30" s="10">
        <v>16.100000000000001</v>
      </c>
      <c r="D30" s="10">
        <v>11.9</v>
      </c>
      <c r="E30" s="10">
        <v>9.6999999999999993</v>
      </c>
      <c r="F30" s="10">
        <v>11.1</v>
      </c>
      <c r="G30" s="10">
        <v>8.8000000000000007</v>
      </c>
      <c r="H30" s="10">
        <v>6.3</v>
      </c>
      <c r="I30" s="10">
        <v>5.0999999999999996</v>
      </c>
      <c r="J30" s="10">
        <v>5.8</v>
      </c>
      <c r="K30" s="10">
        <v>4.5999999999999996</v>
      </c>
      <c r="L30" s="10">
        <v>7.7</v>
      </c>
    </row>
    <row r="31" spans="1:12">
      <c r="A31" s="2">
        <v>2002</v>
      </c>
      <c r="B31" s="10">
        <v>7.7</v>
      </c>
      <c r="C31" s="10">
        <v>16.7</v>
      </c>
      <c r="D31" s="10">
        <v>12</v>
      </c>
      <c r="E31" s="10">
        <v>9.6</v>
      </c>
      <c r="F31" s="10">
        <v>10.199999999999999</v>
      </c>
      <c r="G31" s="10">
        <v>8.6</v>
      </c>
      <c r="H31" s="10">
        <v>7.1</v>
      </c>
      <c r="I31" s="10">
        <v>5.0999999999999996</v>
      </c>
      <c r="J31" s="10">
        <v>5.7</v>
      </c>
      <c r="K31" s="10">
        <v>5.3</v>
      </c>
      <c r="L31" s="10">
        <v>8.5</v>
      </c>
    </row>
    <row r="32" spans="1:12">
      <c r="A32" s="2">
        <v>2003</v>
      </c>
      <c r="B32" s="10">
        <v>7.6</v>
      </c>
      <c r="C32" s="10">
        <v>16.5</v>
      </c>
      <c r="D32" s="10">
        <v>11</v>
      </c>
      <c r="E32" s="10">
        <v>9.1</v>
      </c>
      <c r="F32" s="10">
        <v>10.3</v>
      </c>
      <c r="G32" s="10">
        <v>9.1</v>
      </c>
      <c r="H32" s="10">
        <v>6.9</v>
      </c>
      <c r="I32" s="10">
        <v>5</v>
      </c>
      <c r="J32" s="10">
        <v>5.6</v>
      </c>
      <c r="K32" s="10">
        <v>5.0999999999999996</v>
      </c>
      <c r="L32" s="10">
        <v>8</v>
      </c>
    </row>
    <row r="33" spans="1:13">
      <c r="A33" s="2">
        <v>2004</v>
      </c>
      <c r="B33" s="10">
        <v>7.2</v>
      </c>
      <c r="C33" s="10">
        <v>15.7</v>
      </c>
      <c r="D33" s="10">
        <v>11.3</v>
      </c>
      <c r="E33" s="10">
        <v>8.8000000000000007</v>
      </c>
      <c r="F33" s="10">
        <v>9.8000000000000007</v>
      </c>
      <c r="G33" s="10">
        <v>8.5</v>
      </c>
      <c r="H33" s="10">
        <v>6.8</v>
      </c>
      <c r="I33" s="10">
        <v>5.3</v>
      </c>
      <c r="J33" s="10">
        <v>5.3</v>
      </c>
      <c r="K33" s="10">
        <v>4.5999999999999996</v>
      </c>
      <c r="L33" s="10">
        <v>7.2</v>
      </c>
    </row>
    <row r="34" spans="1:13">
      <c r="A34" s="2">
        <v>2005</v>
      </c>
      <c r="B34" s="10">
        <v>6.8</v>
      </c>
      <c r="C34" s="10">
        <v>15.2</v>
      </c>
      <c r="D34" s="10">
        <v>10.8</v>
      </c>
      <c r="E34" s="10">
        <v>8.4</v>
      </c>
      <c r="F34" s="10">
        <v>9.6999999999999993</v>
      </c>
      <c r="G34" s="10">
        <v>8.3000000000000007</v>
      </c>
      <c r="H34" s="10">
        <v>6.6</v>
      </c>
      <c r="I34" s="10">
        <v>4.8</v>
      </c>
      <c r="J34" s="10">
        <v>5.0999999999999996</v>
      </c>
      <c r="K34" s="10">
        <v>3.9</v>
      </c>
      <c r="L34" s="10">
        <v>5.9</v>
      </c>
    </row>
    <row r="35" spans="1:13">
      <c r="A35" s="2">
        <v>2006</v>
      </c>
      <c r="B35" s="10">
        <v>6.3</v>
      </c>
      <c r="C35" s="10">
        <v>14.8</v>
      </c>
      <c r="D35" s="10">
        <v>11</v>
      </c>
      <c r="E35" s="10">
        <v>7.9</v>
      </c>
      <c r="F35" s="10">
        <v>8.8000000000000007</v>
      </c>
      <c r="G35" s="10">
        <v>8</v>
      </c>
      <c r="H35" s="10">
        <v>6.3</v>
      </c>
      <c r="I35" s="10">
        <v>4.3</v>
      </c>
      <c r="J35" s="10">
        <v>4.7</v>
      </c>
      <c r="K35" s="10">
        <v>3.4</v>
      </c>
      <c r="L35" s="10">
        <v>4.8</v>
      </c>
    </row>
    <row r="36" spans="1:13">
      <c r="A36" s="2">
        <v>2007</v>
      </c>
      <c r="B36" s="10">
        <v>6</v>
      </c>
      <c r="C36" s="10">
        <v>13.6</v>
      </c>
      <c r="D36" s="10">
        <v>10.3</v>
      </c>
      <c r="E36" s="10">
        <v>8</v>
      </c>
      <c r="F36" s="10">
        <v>7.5</v>
      </c>
      <c r="G36" s="10">
        <v>7.2</v>
      </c>
      <c r="H36" s="10">
        <v>6.4</v>
      </c>
      <c r="I36" s="10">
        <v>4.4000000000000004</v>
      </c>
      <c r="J36" s="10">
        <v>4.2</v>
      </c>
      <c r="K36" s="10">
        <v>3.5</v>
      </c>
      <c r="L36" s="10">
        <v>4.2</v>
      </c>
    </row>
    <row r="37" spans="1:13">
      <c r="A37" s="2">
        <v>2008</v>
      </c>
      <c r="B37" s="10">
        <v>6.1</v>
      </c>
      <c r="C37" s="10">
        <v>13.2</v>
      </c>
      <c r="D37" s="10">
        <v>10.8</v>
      </c>
      <c r="E37" s="10">
        <v>7.7</v>
      </c>
      <c r="F37" s="10">
        <v>8.6</v>
      </c>
      <c r="G37" s="10">
        <v>7.2</v>
      </c>
      <c r="H37" s="10">
        <v>6.5</v>
      </c>
      <c r="I37" s="10">
        <v>4.2</v>
      </c>
      <c r="J37" s="10">
        <v>4.0999999999999996</v>
      </c>
      <c r="K37" s="10">
        <v>3.6</v>
      </c>
      <c r="L37" s="10">
        <v>4.5999999999999996</v>
      </c>
    </row>
    <row r="38" spans="1:13">
      <c r="A38" s="2"/>
      <c r="D38" s="1022" t="s">
        <v>387</v>
      </c>
    </row>
    <row r="39" spans="1:13">
      <c r="A39" s="119" t="s">
        <v>603</v>
      </c>
      <c r="B39" s="644">
        <f>B18-B10</f>
        <v>-9.9999999999999645E-2</v>
      </c>
      <c r="C39" s="1019">
        <f t="shared" ref="C39:L39" si="0">C18-C10</f>
        <v>2</v>
      </c>
      <c r="D39" s="1019">
        <f t="shared" si="0"/>
        <v>2.3999999999999986</v>
      </c>
      <c r="E39" s="1019">
        <f t="shared" si="0"/>
        <v>-9.9999999999999645E-2</v>
      </c>
      <c r="F39" s="1019">
        <f t="shared" si="0"/>
        <v>0.5</v>
      </c>
      <c r="G39" s="1019">
        <f t="shared" si="0"/>
        <v>-0.90000000000000036</v>
      </c>
      <c r="H39" s="1019">
        <f t="shared" si="0"/>
        <v>-1.5999999999999996</v>
      </c>
      <c r="I39" s="1019">
        <f t="shared" si="0"/>
        <v>1.5</v>
      </c>
      <c r="J39" s="1019">
        <f t="shared" si="0"/>
        <v>2.8</v>
      </c>
      <c r="K39" s="1019">
        <f t="shared" si="0"/>
        <v>3.3000000000000003</v>
      </c>
      <c r="L39" s="1019">
        <f t="shared" si="0"/>
        <v>2.2999999999999998</v>
      </c>
    </row>
    <row r="40" spans="1:13">
      <c r="A40" s="119" t="s">
        <v>604</v>
      </c>
      <c r="B40" s="644">
        <f>B29-B18</f>
        <v>-0.70000000000000018</v>
      </c>
      <c r="C40" s="1019">
        <f t="shared" ref="C40:L40" si="1">C29-C18</f>
        <v>1.1999999999999993</v>
      </c>
      <c r="D40" s="1019">
        <f t="shared" si="1"/>
        <v>-1.5999999999999996</v>
      </c>
      <c r="E40" s="1019">
        <f t="shared" si="1"/>
        <v>-0.80000000000000071</v>
      </c>
      <c r="F40" s="1019">
        <f t="shared" si="1"/>
        <v>-2.0999999999999996</v>
      </c>
      <c r="G40" s="1019">
        <f t="shared" si="1"/>
        <v>-1.0999999999999996</v>
      </c>
      <c r="H40" s="1019">
        <f t="shared" si="1"/>
        <v>0.79999999999999982</v>
      </c>
      <c r="I40" s="1019">
        <f t="shared" si="1"/>
        <v>-2.5</v>
      </c>
      <c r="J40" s="1019">
        <f t="shared" si="1"/>
        <v>-2.2000000000000002</v>
      </c>
      <c r="K40" s="1019">
        <f t="shared" si="1"/>
        <v>-2.2000000000000002</v>
      </c>
      <c r="L40" s="1019">
        <f t="shared" si="1"/>
        <v>-2</v>
      </c>
    </row>
    <row r="41" spans="1:13">
      <c r="A41" s="119" t="s">
        <v>1408</v>
      </c>
      <c r="B41" s="644">
        <f>B37-B10</f>
        <v>-1.5</v>
      </c>
      <c r="C41" s="1019">
        <f t="shared" ref="C41:L41" si="2">C37-C10</f>
        <v>-0.30000000000000071</v>
      </c>
      <c r="D41" s="1019">
        <f t="shared" si="2"/>
        <v>-0.5</v>
      </c>
      <c r="E41" s="1019">
        <f t="shared" si="2"/>
        <v>-2.2999999999999998</v>
      </c>
      <c r="F41" s="1019">
        <f t="shared" si="2"/>
        <v>-3</v>
      </c>
      <c r="G41" s="1019">
        <f t="shared" si="2"/>
        <v>-3.3</v>
      </c>
      <c r="H41" s="1019">
        <f t="shared" si="2"/>
        <v>-9.9999999999999645E-2</v>
      </c>
      <c r="I41" s="1019">
        <f t="shared" si="2"/>
        <v>-1.7999999999999998</v>
      </c>
      <c r="J41" s="1019">
        <f t="shared" si="2"/>
        <v>-0.40000000000000036</v>
      </c>
      <c r="K41" s="1019">
        <f t="shared" si="2"/>
        <v>-0.29999999999999982</v>
      </c>
      <c r="L41" s="1019">
        <f t="shared" si="2"/>
        <v>-2.2000000000000002</v>
      </c>
    </row>
    <row r="42" spans="1:13">
      <c r="A42" s="119" t="s">
        <v>1410</v>
      </c>
      <c r="B42" s="644">
        <f>B37-B29</f>
        <v>-0.70000000000000018</v>
      </c>
      <c r="C42" s="1019">
        <f t="shared" ref="C42:L42" si="3">C37-C29</f>
        <v>-3.5</v>
      </c>
      <c r="D42" s="1019">
        <f t="shared" si="3"/>
        <v>-1.2999999999999989</v>
      </c>
      <c r="E42" s="1019">
        <f t="shared" si="3"/>
        <v>-1.3999999999999995</v>
      </c>
      <c r="F42" s="1019">
        <f t="shared" si="3"/>
        <v>-1.4000000000000004</v>
      </c>
      <c r="G42" s="1019">
        <f t="shared" si="3"/>
        <v>-1.2999999999999998</v>
      </c>
      <c r="H42" s="1019">
        <f t="shared" si="3"/>
        <v>0.70000000000000018</v>
      </c>
      <c r="I42" s="1019">
        <f t="shared" si="3"/>
        <v>-0.79999999999999982</v>
      </c>
      <c r="J42" s="1019">
        <f t="shared" si="3"/>
        <v>-1</v>
      </c>
      <c r="K42" s="1019">
        <f t="shared" si="3"/>
        <v>-1.4</v>
      </c>
      <c r="L42" s="1019">
        <f t="shared" si="3"/>
        <v>-2.5</v>
      </c>
    </row>
    <row r="43" spans="1:13" hidden="1">
      <c r="A43" s="17"/>
      <c r="D43" s="1" t="s">
        <v>276</v>
      </c>
    </row>
    <row r="44" spans="1:13" hidden="1">
      <c r="A44" s="119" t="s">
        <v>1408</v>
      </c>
      <c r="B44" s="644">
        <f t="shared" ref="B44:L44" si="4">(B37/B10-1)*100</f>
        <v>-19.736842105263165</v>
      </c>
      <c r="C44" s="644">
        <f t="shared" si="4"/>
        <v>-2.2222222222222254</v>
      </c>
      <c r="D44" s="644">
        <f t="shared" si="4"/>
        <v>-4.4247787610619422</v>
      </c>
      <c r="E44" s="644">
        <f t="shared" si="4"/>
        <v>-23</v>
      </c>
      <c r="F44" s="644">
        <f t="shared" si="4"/>
        <v>-25.862068965517238</v>
      </c>
      <c r="G44" s="644">
        <f t="shared" si="4"/>
        <v>-31.428571428571427</v>
      </c>
      <c r="H44" s="644">
        <f t="shared" si="4"/>
        <v>-1.5151515151515138</v>
      </c>
      <c r="I44" s="644">
        <f t="shared" si="4"/>
        <v>-29.999999999999993</v>
      </c>
      <c r="J44" s="644">
        <f t="shared" si="4"/>
        <v>-8.8888888888889017</v>
      </c>
      <c r="K44" s="644">
        <f t="shared" si="4"/>
        <v>-7.6923076923076872</v>
      </c>
      <c r="L44" s="644">
        <f t="shared" si="4"/>
        <v>-32.352941176470594</v>
      </c>
    </row>
    <row r="46" spans="1:13" ht="25.5" customHeight="1">
      <c r="A46" s="1188" t="s">
        <v>810</v>
      </c>
      <c r="B46" s="1188"/>
      <c r="C46" s="1188"/>
      <c r="D46" s="1188"/>
      <c r="E46" s="1188"/>
      <c r="F46" s="1188"/>
      <c r="G46" s="1188"/>
      <c r="H46" s="1188"/>
      <c r="I46" s="1188"/>
      <c r="J46" s="1188"/>
      <c r="K46" s="1188"/>
      <c r="L46" s="1188"/>
      <c r="M46" s="1188"/>
    </row>
    <row r="47" spans="1:13" ht="14.25" customHeight="1">
      <c r="A47" s="1" t="s">
        <v>388</v>
      </c>
    </row>
    <row r="48" spans="1:13">
      <c r="A48" s="1" t="s">
        <v>1664</v>
      </c>
    </row>
  </sheetData>
  <mergeCells count="12">
    <mergeCell ref="K3:K4"/>
    <mergeCell ref="A46:M46"/>
    <mergeCell ref="B3:B4"/>
    <mergeCell ref="C3:C4"/>
    <mergeCell ref="D3:D4"/>
    <mergeCell ref="E3:E4"/>
    <mergeCell ref="L3:L4"/>
    <mergeCell ref="F3:F4"/>
    <mergeCell ref="G3:G4"/>
    <mergeCell ref="H3:H4"/>
    <mergeCell ref="I3:I4"/>
    <mergeCell ref="J3:J4"/>
  </mergeCells>
  <phoneticPr fontId="35" type="noConversion"/>
  <pageMargins left="0.75" right="0.75" top="1" bottom="1" header="0.5" footer="0.5"/>
  <pageSetup scale="79" orientation="landscape" horizontalDpi="300" verticalDpi="300" r:id="rId1"/>
  <headerFooter alignWithMargins="0"/>
</worksheet>
</file>

<file path=xl/worksheets/sheet103.xml><?xml version="1.0" encoding="utf-8"?>
<worksheet xmlns="http://schemas.openxmlformats.org/spreadsheetml/2006/main" xmlns:r="http://schemas.openxmlformats.org/officeDocument/2006/relationships">
  <sheetPr codeName="Sheet25">
    <pageSetUpPr fitToPage="1"/>
  </sheetPr>
  <dimension ref="A1:M50"/>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2" ht="33" customHeight="1">
      <c r="B1" s="1209" t="s">
        <v>2185</v>
      </c>
      <c r="C1" s="1209"/>
      <c r="D1" s="1209"/>
      <c r="E1" s="1209"/>
      <c r="F1" s="1209"/>
      <c r="G1" s="1209"/>
      <c r="H1" s="1209"/>
      <c r="I1" s="1209"/>
      <c r="J1" s="1209"/>
      <c r="K1" s="1209"/>
      <c r="L1" s="1209"/>
    </row>
    <row r="3" spans="1:12">
      <c r="B3" s="1208" t="s">
        <v>375</v>
      </c>
      <c r="C3" s="1208" t="s">
        <v>377</v>
      </c>
      <c r="D3" s="1208" t="s">
        <v>386</v>
      </c>
      <c r="E3" s="1208" t="s">
        <v>378</v>
      </c>
      <c r="F3" s="1208" t="s">
        <v>379</v>
      </c>
      <c r="G3" s="1208" t="s">
        <v>380</v>
      </c>
      <c r="H3" s="1208" t="s">
        <v>381</v>
      </c>
      <c r="I3" s="1208" t="s">
        <v>382</v>
      </c>
      <c r="J3" s="1208" t="s">
        <v>383</v>
      </c>
      <c r="K3" s="1208" t="s">
        <v>384</v>
      </c>
      <c r="L3" s="1208" t="s">
        <v>385</v>
      </c>
    </row>
    <row r="4" spans="1:12">
      <c r="B4" s="1208"/>
      <c r="C4" s="1208"/>
      <c r="D4" s="1208"/>
      <c r="E4" s="1208"/>
      <c r="F4" s="1208"/>
      <c r="G4" s="1208"/>
      <c r="H4" s="1208"/>
      <c r="I4" s="1208"/>
      <c r="J4" s="1208"/>
      <c r="K4" s="1208"/>
      <c r="L4" s="1208"/>
    </row>
    <row r="6" spans="1:12">
      <c r="A6" s="4"/>
      <c r="B6" s="667" t="s">
        <v>309</v>
      </c>
      <c r="C6" s="667"/>
      <c r="D6" s="667"/>
      <c r="E6" s="667"/>
      <c r="F6" s="667"/>
      <c r="G6" s="667"/>
      <c r="H6" s="667"/>
      <c r="I6" s="667"/>
      <c r="J6" s="667"/>
      <c r="K6" s="667"/>
      <c r="L6" s="667"/>
    </row>
    <row r="7" spans="1:12">
      <c r="A7" s="2">
        <v>1997</v>
      </c>
      <c r="B7" s="10">
        <v>9.6999999999999993</v>
      </c>
      <c r="C7" s="10">
        <v>24.9</v>
      </c>
      <c r="D7" s="10">
        <v>16.100000000000001</v>
      </c>
      <c r="E7" s="10">
        <v>13.4</v>
      </c>
      <c r="F7" s="10">
        <v>14.1</v>
      </c>
      <c r="G7" s="10">
        <v>12.2</v>
      </c>
      <c r="H7" s="10">
        <v>8.8000000000000007</v>
      </c>
      <c r="I7" s="10">
        <v>6.9</v>
      </c>
      <c r="J7" s="10">
        <v>6.4</v>
      </c>
      <c r="K7" s="10">
        <v>6.1</v>
      </c>
      <c r="L7" s="10">
        <v>8.8000000000000007</v>
      </c>
    </row>
    <row r="8" spans="1:12">
      <c r="A8" s="2">
        <v>1998</v>
      </c>
      <c r="B8" s="10">
        <v>8.8000000000000007</v>
      </c>
      <c r="C8" s="10">
        <v>23</v>
      </c>
      <c r="D8" s="10">
        <v>14.6</v>
      </c>
      <c r="E8" s="10">
        <v>11.6</v>
      </c>
      <c r="F8" s="10">
        <v>13.2</v>
      </c>
      <c r="G8" s="10">
        <v>10.9</v>
      </c>
      <c r="H8" s="10">
        <v>7.5</v>
      </c>
      <c r="I8" s="10">
        <v>5.9</v>
      </c>
      <c r="J8" s="10">
        <v>6.1</v>
      </c>
      <c r="K8" s="10">
        <v>5.7</v>
      </c>
      <c r="L8" s="10">
        <v>9.1999999999999993</v>
      </c>
    </row>
    <row r="9" spans="1:12">
      <c r="A9" s="2">
        <v>1999</v>
      </c>
      <c r="B9" s="10">
        <v>8</v>
      </c>
      <c r="C9" s="10">
        <v>21.3</v>
      </c>
      <c r="D9" s="10">
        <v>15</v>
      </c>
      <c r="E9" s="10">
        <v>10.3</v>
      </c>
      <c r="F9" s="10">
        <v>11</v>
      </c>
      <c r="G9" s="10">
        <v>9.9</v>
      </c>
      <c r="H9" s="10">
        <v>6.5</v>
      </c>
      <c r="I9" s="10">
        <v>5.8</v>
      </c>
      <c r="J9" s="10">
        <v>6.3</v>
      </c>
      <c r="K9" s="10">
        <v>5.9</v>
      </c>
      <c r="L9" s="10">
        <v>8.6</v>
      </c>
    </row>
    <row r="10" spans="1:12">
      <c r="A10" s="2">
        <v>2000</v>
      </c>
      <c r="B10" s="10">
        <v>7.1</v>
      </c>
      <c r="C10" s="10">
        <v>20.7</v>
      </c>
      <c r="D10" s="10">
        <v>12.4</v>
      </c>
      <c r="E10" s="10">
        <v>9.9</v>
      </c>
      <c r="F10" s="10">
        <v>10.5</v>
      </c>
      <c r="G10" s="10">
        <v>8.8000000000000007</v>
      </c>
      <c r="H10" s="10">
        <v>5.9</v>
      </c>
      <c r="I10" s="10">
        <v>5.0999999999999996</v>
      </c>
      <c r="J10" s="10">
        <v>5.4</v>
      </c>
      <c r="K10" s="10">
        <v>5.0999999999999996</v>
      </c>
      <c r="L10" s="10">
        <v>7.3</v>
      </c>
    </row>
    <row r="11" spans="1:12">
      <c r="A11" s="2">
        <v>2001</v>
      </c>
      <c r="B11" s="10">
        <v>7.5</v>
      </c>
      <c r="C11" s="10">
        <v>18.899999999999999</v>
      </c>
      <c r="D11" s="10">
        <v>12.3</v>
      </c>
      <c r="E11" s="10">
        <v>10.199999999999999</v>
      </c>
      <c r="F11" s="10">
        <v>11.7</v>
      </c>
      <c r="G11" s="10">
        <v>9</v>
      </c>
      <c r="H11" s="10">
        <v>6.4</v>
      </c>
      <c r="I11" s="10">
        <v>5.2</v>
      </c>
      <c r="J11" s="10">
        <v>6</v>
      </c>
      <c r="K11" s="10">
        <v>4.7</v>
      </c>
      <c r="L11" s="10">
        <v>8</v>
      </c>
    </row>
    <row r="12" spans="1:12">
      <c r="A12" s="2">
        <v>2002</v>
      </c>
      <c r="B12" s="10">
        <v>7.9</v>
      </c>
      <c r="C12" s="10">
        <v>19.600000000000001</v>
      </c>
      <c r="D12" s="10">
        <v>12.3</v>
      </c>
      <c r="E12" s="10">
        <v>10.1</v>
      </c>
      <c r="F12" s="10">
        <v>10.7</v>
      </c>
      <c r="G12" s="10">
        <v>8.9</v>
      </c>
      <c r="H12" s="10">
        <v>7.2</v>
      </c>
      <c r="I12" s="10">
        <v>5.3</v>
      </c>
      <c r="J12" s="10">
        <v>5.8</v>
      </c>
      <c r="K12" s="10">
        <v>5.4</v>
      </c>
      <c r="L12" s="10">
        <v>8.8000000000000007</v>
      </c>
    </row>
    <row r="13" spans="1:12">
      <c r="A13" s="2">
        <v>2003</v>
      </c>
      <c r="B13" s="10">
        <v>7.8</v>
      </c>
      <c r="C13" s="10">
        <v>19.100000000000001</v>
      </c>
      <c r="D13" s="10">
        <v>11.3</v>
      </c>
      <c r="E13" s="10">
        <v>9.5</v>
      </c>
      <c r="F13" s="10">
        <v>10.7</v>
      </c>
      <c r="G13" s="10">
        <v>9.3000000000000007</v>
      </c>
      <c r="H13" s="10">
        <v>7</v>
      </c>
      <c r="I13" s="10">
        <v>5.2</v>
      </c>
      <c r="J13" s="10">
        <v>5.7</v>
      </c>
      <c r="K13" s="10">
        <v>5.0999999999999996</v>
      </c>
      <c r="L13" s="10">
        <v>8.3000000000000007</v>
      </c>
    </row>
    <row r="14" spans="1:12">
      <c r="A14" s="2">
        <v>2004</v>
      </c>
      <c r="B14" s="10">
        <v>7.4</v>
      </c>
      <c r="C14" s="10">
        <v>18.100000000000001</v>
      </c>
      <c r="D14" s="10">
        <v>11.5</v>
      </c>
      <c r="E14" s="10">
        <v>9.1999999999999993</v>
      </c>
      <c r="F14" s="10">
        <v>10.199999999999999</v>
      </c>
      <c r="G14" s="10">
        <v>8.6999999999999993</v>
      </c>
      <c r="H14" s="10">
        <v>6.9</v>
      </c>
      <c r="I14" s="10">
        <v>5.4</v>
      </c>
      <c r="J14" s="10">
        <v>5.5</v>
      </c>
      <c r="K14" s="10">
        <v>4.7</v>
      </c>
      <c r="L14" s="10">
        <v>7.3</v>
      </c>
    </row>
    <row r="15" spans="1:12">
      <c r="A15" s="2">
        <v>2005</v>
      </c>
      <c r="B15" s="10">
        <v>6.9</v>
      </c>
      <c r="C15" s="10">
        <v>17.5</v>
      </c>
      <c r="D15" s="10">
        <v>11</v>
      </c>
      <c r="E15" s="10">
        <v>8.8000000000000007</v>
      </c>
      <c r="F15" s="10">
        <v>10.1</v>
      </c>
      <c r="G15" s="10">
        <v>8.4</v>
      </c>
      <c r="H15" s="10">
        <v>6.7</v>
      </c>
      <c r="I15" s="10">
        <v>4.9000000000000004</v>
      </c>
      <c r="J15" s="10">
        <v>5.3</v>
      </c>
      <c r="K15" s="10">
        <v>4</v>
      </c>
      <c r="L15" s="10">
        <v>6</v>
      </c>
    </row>
    <row r="16" spans="1:12">
      <c r="A16" s="2">
        <v>2006</v>
      </c>
      <c r="B16" s="10">
        <v>6.4</v>
      </c>
      <c r="C16" s="10">
        <v>16.8</v>
      </c>
      <c r="D16" s="10">
        <v>11.3</v>
      </c>
      <c r="E16" s="10">
        <v>8.1999999999999993</v>
      </c>
      <c r="F16" s="10">
        <v>9.1</v>
      </c>
      <c r="G16" s="10">
        <v>8.1999999999999993</v>
      </c>
      <c r="H16" s="10">
        <v>6.4</v>
      </c>
      <c r="I16" s="10">
        <v>4.4000000000000004</v>
      </c>
      <c r="J16" s="10">
        <v>4.8</v>
      </c>
      <c r="K16" s="10">
        <v>3.5</v>
      </c>
      <c r="L16" s="10">
        <v>4.8</v>
      </c>
    </row>
    <row r="17" spans="1:12">
      <c r="A17" s="2">
        <v>2007</v>
      </c>
      <c r="B17" s="10">
        <v>6.1</v>
      </c>
      <c r="C17" s="10">
        <v>15.3</v>
      </c>
      <c r="D17" s="10">
        <v>10.5</v>
      </c>
      <c r="E17" s="10">
        <v>8.3000000000000007</v>
      </c>
      <c r="F17" s="10">
        <v>7.8</v>
      </c>
      <c r="G17" s="10">
        <v>7.3</v>
      </c>
      <c r="H17" s="10">
        <v>6.4</v>
      </c>
      <c r="I17" s="10">
        <v>4.4000000000000004</v>
      </c>
      <c r="J17" s="10">
        <v>4.3</v>
      </c>
      <c r="K17" s="10">
        <v>3.5</v>
      </c>
      <c r="L17" s="10">
        <v>4.3</v>
      </c>
    </row>
    <row r="18" spans="1:12">
      <c r="A18" s="2">
        <v>2008</v>
      </c>
      <c r="B18" s="10">
        <v>6.3</v>
      </c>
      <c r="C18" s="10">
        <v>15.1</v>
      </c>
      <c r="D18" s="10">
        <v>10.9</v>
      </c>
      <c r="E18" s="10">
        <v>7.9</v>
      </c>
      <c r="F18" s="10">
        <v>8.8000000000000007</v>
      </c>
      <c r="G18" s="10">
        <v>7.4</v>
      </c>
      <c r="H18" s="10">
        <v>6.6</v>
      </c>
      <c r="I18" s="10">
        <v>4.2</v>
      </c>
      <c r="J18" s="10">
        <v>4.2</v>
      </c>
      <c r="K18" s="10">
        <v>3.6</v>
      </c>
      <c r="L18" s="10">
        <v>4.7</v>
      </c>
    </row>
    <row r="19" spans="1:12">
      <c r="A19" s="2"/>
      <c r="G19" s="1" t="s">
        <v>655</v>
      </c>
    </row>
    <row r="20" spans="1:12">
      <c r="A20" s="119" t="s">
        <v>531</v>
      </c>
      <c r="B20" s="10">
        <f>B10-B7</f>
        <v>-2.5999999999999996</v>
      </c>
      <c r="C20" s="10">
        <f t="shared" ref="C20:L20" si="0">C10-C7</f>
        <v>-4.1999999999999993</v>
      </c>
      <c r="D20" s="10">
        <f t="shared" si="0"/>
        <v>-3.7000000000000011</v>
      </c>
      <c r="E20" s="10">
        <f t="shared" si="0"/>
        <v>-3.5</v>
      </c>
      <c r="F20" s="10">
        <f t="shared" si="0"/>
        <v>-3.5999999999999996</v>
      </c>
      <c r="G20" s="10">
        <f t="shared" si="0"/>
        <v>-3.3999999999999986</v>
      </c>
      <c r="H20" s="10">
        <f t="shared" si="0"/>
        <v>-2.9000000000000004</v>
      </c>
      <c r="I20" s="10">
        <f t="shared" si="0"/>
        <v>-1.8000000000000007</v>
      </c>
      <c r="J20" s="10">
        <f t="shared" si="0"/>
        <v>-1</v>
      </c>
      <c r="K20" s="10">
        <f t="shared" si="0"/>
        <v>-1</v>
      </c>
      <c r="L20" s="10">
        <f t="shared" si="0"/>
        <v>-1.5000000000000009</v>
      </c>
    </row>
    <row r="21" spans="1:12">
      <c r="A21" s="119" t="s">
        <v>1410</v>
      </c>
      <c r="B21" s="10">
        <f>B18-B10</f>
        <v>-0.79999999999999982</v>
      </c>
      <c r="C21" s="10">
        <f t="shared" ref="C21:L21" si="1">C18-C10</f>
        <v>-5.6</v>
      </c>
      <c r="D21" s="10">
        <f t="shared" si="1"/>
        <v>-1.5</v>
      </c>
      <c r="E21" s="10">
        <f t="shared" si="1"/>
        <v>-2</v>
      </c>
      <c r="F21" s="10">
        <f t="shared" si="1"/>
        <v>-1.6999999999999993</v>
      </c>
      <c r="G21" s="10">
        <f t="shared" si="1"/>
        <v>-1.4000000000000004</v>
      </c>
      <c r="H21" s="10">
        <f t="shared" si="1"/>
        <v>0.69999999999999929</v>
      </c>
      <c r="I21" s="10">
        <f t="shared" si="1"/>
        <v>-0.89999999999999947</v>
      </c>
      <c r="J21" s="10">
        <f t="shared" si="1"/>
        <v>-1.2000000000000002</v>
      </c>
      <c r="K21" s="10">
        <f t="shared" si="1"/>
        <v>-1.4999999999999996</v>
      </c>
      <c r="L21" s="10">
        <f t="shared" si="1"/>
        <v>-2.5999999999999996</v>
      </c>
    </row>
    <row r="22" spans="1:12">
      <c r="A22" s="119" t="s">
        <v>1747</v>
      </c>
      <c r="B22" s="10">
        <f>B18-B7</f>
        <v>-3.3999999999999995</v>
      </c>
      <c r="C22" s="10">
        <f>C18-C7</f>
        <v>-9.7999999999999989</v>
      </c>
      <c r="D22" s="10">
        <f t="shared" ref="D22:L22" si="2">D18-D7</f>
        <v>-5.2000000000000011</v>
      </c>
      <c r="E22" s="10">
        <f t="shared" si="2"/>
        <v>-5.5</v>
      </c>
      <c r="F22" s="10">
        <f t="shared" si="2"/>
        <v>-5.2999999999999989</v>
      </c>
      <c r="G22" s="10">
        <f t="shared" si="2"/>
        <v>-4.7999999999999989</v>
      </c>
      <c r="H22" s="10">
        <f t="shared" si="2"/>
        <v>-2.2000000000000011</v>
      </c>
      <c r="I22" s="10">
        <f t="shared" si="2"/>
        <v>-2.7</v>
      </c>
      <c r="J22" s="10">
        <f t="shared" si="2"/>
        <v>-2.2000000000000002</v>
      </c>
      <c r="K22" s="10">
        <f t="shared" si="2"/>
        <v>-2.4999999999999996</v>
      </c>
      <c r="L22" s="10">
        <f t="shared" si="2"/>
        <v>-4.1000000000000005</v>
      </c>
    </row>
    <row r="23" spans="1:12">
      <c r="A23" s="119"/>
      <c r="G23" s="1" t="s">
        <v>276</v>
      </c>
    </row>
    <row r="24" spans="1:12">
      <c r="A24" s="119" t="s">
        <v>1747</v>
      </c>
      <c r="B24" s="10">
        <f>(B18/B7-1)*100</f>
        <v>-35.051546391752574</v>
      </c>
      <c r="C24" s="10">
        <f>(C18/C7-1)*100</f>
        <v>-39.357429718875501</v>
      </c>
      <c r="D24" s="10">
        <f>(D18/D7-1)*100</f>
        <v>-32.298136645962735</v>
      </c>
      <c r="E24" s="10">
        <f t="shared" ref="E24:L24" si="3">(E18/E7-1)*100</f>
        <v>-41.044776119402982</v>
      </c>
      <c r="F24" s="10">
        <f t="shared" si="3"/>
        <v>-37.588652482269502</v>
      </c>
      <c r="G24" s="10">
        <f t="shared" si="3"/>
        <v>-39.344262295081954</v>
      </c>
      <c r="H24" s="10">
        <f t="shared" si="3"/>
        <v>-25.000000000000011</v>
      </c>
      <c r="I24" s="10">
        <f t="shared" si="3"/>
        <v>-39.130434782608688</v>
      </c>
      <c r="J24" s="10">
        <f t="shared" si="3"/>
        <v>-34.375</v>
      </c>
      <c r="K24" s="10">
        <f t="shared" si="3"/>
        <v>-40.983606557377037</v>
      </c>
      <c r="L24" s="10">
        <f t="shared" si="3"/>
        <v>-46.590909090909093</v>
      </c>
    </row>
    <row r="25" spans="1:12" ht="22.15" customHeight="1"/>
    <row r="26" spans="1:12" ht="22.15" customHeight="1">
      <c r="A26" s="17"/>
      <c r="B26" s="667" t="s">
        <v>310</v>
      </c>
      <c r="C26" s="667"/>
      <c r="D26" s="667"/>
      <c r="E26" s="667"/>
      <c r="F26" s="667"/>
      <c r="G26" s="667"/>
      <c r="H26" s="667"/>
      <c r="I26" s="667"/>
      <c r="J26" s="667"/>
      <c r="K26" s="667"/>
      <c r="L26" s="667"/>
    </row>
    <row r="27" spans="1:12">
      <c r="A27" s="119">
        <v>1997</v>
      </c>
      <c r="B27" s="10">
        <v>12.3</v>
      </c>
      <c r="C27" s="10">
        <v>24.3</v>
      </c>
      <c r="D27" s="10">
        <v>19.7</v>
      </c>
      <c r="E27" s="10">
        <v>17.2</v>
      </c>
      <c r="F27" s="10">
        <v>16.899999999999999</v>
      </c>
      <c r="G27" s="10">
        <v>15</v>
      </c>
      <c r="H27" s="10">
        <v>11.3</v>
      </c>
      <c r="I27" s="10">
        <v>9.4</v>
      </c>
      <c r="J27" s="10">
        <v>9</v>
      </c>
      <c r="K27" s="10">
        <v>8</v>
      </c>
      <c r="L27" s="10">
        <v>11.5</v>
      </c>
    </row>
    <row r="28" spans="1:12">
      <c r="A28" s="119">
        <v>1998</v>
      </c>
      <c r="B28" s="10">
        <v>11.2</v>
      </c>
      <c r="C28" s="10">
        <v>23.4</v>
      </c>
      <c r="D28" s="10">
        <v>18.2</v>
      </c>
      <c r="E28" s="10">
        <v>14.8</v>
      </c>
      <c r="F28" s="10">
        <v>15.9</v>
      </c>
      <c r="G28" s="10">
        <v>13.4</v>
      </c>
      <c r="H28" s="10">
        <v>9.6999999999999993</v>
      </c>
      <c r="I28" s="10">
        <v>8.1</v>
      </c>
      <c r="J28" s="10">
        <v>8.6999999999999993</v>
      </c>
      <c r="K28" s="10">
        <v>7.6</v>
      </c>
      <c r="L28" s="10">
        <v>12.2</v>
      </c>
    </row>
    <row r="29" spans="1:12">
      <c r="A29" s="119">
        <v>1999</v>
      </c>
      <c r="B29" s="10">
        <v>10</v>
      </c>
      <c r="C29" s="10">
        <v>21.6</v>
      </c>
      <c r="D29" s="10">
        <v>17.8</v>
      </c>
      <c r="E29" s="10">
        <v>13.2</v>
      </c>
      <c r="F29" s="10">
        <v>13.5</v>
      </c>
      <c r="G29" s="10">
        <v>12</v>
      </c>
      <c r="H29" s="10">
        <v>8.3000000000000007</v>
      </c>
      <c r="I29" s="10">
        <v>7.8</v>
      </c>
      <c r="J29" s="10">
        <v>8.8000000000000007</v>
      </c>
      <c r="K29" s="10">
        <v>7.6</v>
      </c>
      <c r="L29" s="10">
        <v>11.6</v>
      </c>
    </row>
    <row r="30" spans="1:12">
      <c r="A30" s="119">
        <v>2000</v>
      </c>
      <c r="B30" s="10">
        <v>9.1</v>
      </c>
      <c r="C30" s="10">
        <v>20.7</v>
      </c>
      <c r="D30" s="10">
        <v>15.2</v>
      </c>
      <c r="E30" s="10">
        <v>12.4</v>
      </c>
      <c r="F30" s="10">
        <v>12.6</v>
      </c>
      <c r="G30" s="10">
        <v>11.1</v>
      </c>
      <c r="H30" s="10">
        <v>7.6</v>
      </c>
      <c r="I30" s="10">
        <v>6.9</v>
      </c>
      <c r="J30" s="10">
        <v>7.4</v>
      </c>
      <c r="K30" s="10">
        <v>6.6</v>
      </c>
      <c r="L30" s="10">
        <v>10.1</v>
      </c>
    </row>
    <row r="31" spans="1:12">
      <c r="A31" s="119">
        <v>2001</v>
      </c>
      <c r="B31" s="10">
        <v>9.4</v>
      </c>
      <c r="C31" s="10">
        <v>20</v>
      </c>
      <c r="D31" s="10">
        <v>14.8</v>
      </c>
      <c r="E31" s="10">
        <v>12.4</v>
      </c>
      <c r="F31" s="10">
        <v>13.5</v>
      </c>
      <c r="G31" s="10">
        <v>11</v>
      </c>
      <c r="H31" s="10">
        <v>8.3000000000000007</v>
      </c>
      <c r="I31" s="10">
        <v>7.1</v>
      </c>
      <c r="J31" s="10">
        <v>8.1999999999999993</v>
      </c>
      <c r="K31" s="10">
        <v>6.1</v>
      </c>
      <c r="L31" s="10">
        <v>10.9</v>
      </c>
    </row>
    <row r="32" spans="1:12">
      <c r="A32" s="119">
        <v>2002</v>
      </c>
      <c r="B32" s="10">
        <v>10.1</v>
      </c>
      <c r="C32" s="10">
        <v>21.1</v>
      </c>
      <c r="D32" s="10">
        <v>14.9</v>
      </c>
      <c r="E32" s="10">
        <v>12.8</v>
      </c>
      <c r="F32" s="10">
        <v>12.6</v>
      </c>
      <c r="G32" s="10">
        <v>11</v>
      </c>
      <c r="H32" s="10">
        <v>9.1999999999999993</v>
      </c>
      <c r="I32" s="10">
        <v>7.2</v>
      </c>
      <c r="J32" s="10">
        <v>8.4</v>
      </c>
      <c r="K32" s="10">
        <v>6.9</v>
      </c>
      <c r="L32" s="10">
        <v>12.3</v>
      </c>
    </row>
    <row r="33" spans="1:13">
      <c r="A33" s="119">
        <v>2003</v>
      </c>
      <c r="B33" s="10">
        <v>10.1</v>
      </c>
      <c r="C33" s="10">
        <v>20.7</v>
      </c>
      <c r="D33" s="10">
        <v>13.9</v>
      </c>
      <c r="E33" s="10">
        <v>12</v>
      </c>
      <c r="F33" s="10">
        <v>12.8</v>
      </c>
      <c r="G33" s="10">
        <v>11.4</v>
      </c>
      <c r="H33" s="10">
        <v>9.3000000000000007</v>
      </c>
      <c r="I33" s="10">
        <v>7.2</v>
      </c>
      <c r="J33" s="10">
        <v>8.1999999999999993</v>
      </c>
      <c r="K33" s="10">
        <v>6.7</v>
      </c>
      <c r="L33" s="10">
        <v>11.9</v>
      </c>
    </row>
    <row r="34" spans="1:13">
      <c r="A34" s="119">
        <v>2004</v>
      </c>
      <c r="B34" s="10">
        <v>9.5</v>
      </c>
      <c r="C34" s="10">
        <v>19.8</v>
      </c>
      <c r="D34" s="10">
        <v>14.4</v>
      </c>
      <c r="E34" s="10">
        <v>11.6</v>
      </c>
      <c r="F34" s="10">
        <v>12.3</v>
      </c>
      <c r="G34" s="10">
        <v>10.7</v>
      </c>
      <c r="H34" s="10">
        <v>8.8000000000000007</v>
      </c>
      <c r="I34" s="10">
        <v>7.3</v>
      </c>
      <c r="J34" s="10">
        <v>8</v>
      </c>
      <c r="K34" s="10">
        <v>6.2</v>
      </c>
      <c r="L34" s="10">
        <v>10.3</v>
      </c>
    </row>
    <row r="35" spans="1:13">
      <c r="A35" s="119">
        <v>2005</v>
      </c>
      <c r="B35" s="10">
        <v>8.9</v>
      </c>
      <c r="C35" s="10">
        <v>19</v>
      </c>
      <c r="D35" s="10">
        <v>13.7</v>
      </c>
      <c r="E35" s="10">
        <v>11.3</v>
      </c>
      <c r="F35" s="10">
        <v>12.3</v>
      </c>
      <c r="G35" s="10">
        <v>10.3</v>
      </c>
      <c r="H35" s="10">
        <v>8.6999999999999993</v>
      </c>
      <c r="I35" s="10">
        <v>6.8</v>
      </c>
      <c r="J35" s="10">
        <v>7.4</v>
      </c>
      <c r="K35" s="10">
        <v>5.3</v>
      </c>
      <c r="L35" s="10">
        <v>8.4</v>
      </c>
    </row>
    <row r="36" spans="1:13">
      <c r="A36" s="119">
        <v>2006</v>
      </c>
      <c r="B36" s="10">
        <v>8.1999999999999993</v>
      </c>
      <c r="C36" s="10">
        <v>18.399999999999999</v>
      </c>
      <c r="D36" s="10">
        <v>13.6</v>
      </c>
      <c r="E36" s="10">
        <v>10.6</v>
      </c>
      <c r="F36" s="10">
        <v>11.2</v>
      </c>
      <c r="G36" s="10">
        <v>10</v>
      </c>
      <c r="H36" s="10">
        <v>8.1999999999999993</v>
      </c>
      <c r="I36" s="10">
        <v>6.1</v>
      </c>
      <c r="J36" s="10">
        <v>6.6</v>
      </c>
      <c r="K36" s="10">
        <v>4.4000000000000004</v>
      </c>
      <c r="L36" s="10">
        <v>6.8</v>
      </c>
    </row>
    <row r="37" spans="1:13">
      <c r="A37" s="119">
        <v>2007</v>
      </c>
      <c r="B37" s="10">
        <v>7.8</v>
      </c>
      <c r="C37" s="10">
        <v>16.7</v>
      </c>
      <c r="D37" s="10">
        <v>12.8</v>
      </c>
      <c r="E37" s="10">
        <v>10.6</v>
      </c>
      <c r="F37" s="10">
        <v>9.6</v>
      </c>
      <c r="G37" s="10">
        <v>9</v>
      </c>
      <c r="H37" s="10">
        <v>8.3000000000000007</v>
      </c>
      <c r="I37" s="10">
        <v>5.9</v>
      </c>
      <c r="J37" s="10">
        <v>5.8</v>
      </c>
      <c r="K37" s="10">
        <v>4.2</v>
      </c>
      <c r="L37" s="10">
        <v>6</v>
      </c>
    </row>
    <row r="38" spans="1:13">
      <c r="A38" s="119">
        <v>2008</v>
      </c>
      <c r="B38" s="10">
        <v>8</v>
      </c>
      <c r="C38" s="10">
        <v>16.2</v>
      </c>
      <c r="D38" s="10">
        <v>13.2</v>
      </c>
      <c r="E38" s="10">
        <v>10.1</v>
      </c>
      <c r="F38" s="10">
        <v>10.6</v>
      </c>
      <c r="G38" s="10">
        <v>9.1</v>
      </c>
      <c r="H38" s="10">
        <v>8.6</v>
      </c>
      <c r="I38" s="10">
        <v>5.7</v>
      </c>
      <c r="J38" s="10">
        <v>5.7</v>
      </c>
      <c r="K38" s="10">
        <v>4.3</v>
      </c>
      <c r="L38" s="10">
        <v>6.5</v>
      </c>
    </row>
    <row r="39" spans="1:13">
      <c r="A39" s="119"/>
      <c r="G39" s="1" t="s">
        <v>655</v>
      </c>
    </row>
    <row r="40" spans="1:13">
      <c r="A40" s="119" t="s">
        <v>531</v>
      </c>
      <c r="B40" s="10">
        <f>B30-B27</f>
        <v>-3.2000000000000011</v>
      </c>
      <c r="C40" s="10">
        <f t="shared" ref="C40:L40" si="4">C30-C27</f>
        <v>-3.6000000000000014</v>
      </c>
      <c r="D40" s="10">
        <f t="shared" si="4"/>
        <v>-4.5</v>
      </c>
      <c r="E40" s="10">
        <f t="shared" si="4"/>
        <v>-4.7999999999999989</v>
      </c>
      <c r="F40" s="10">
        <f t="shared" si="4"/>
        <v>-4.2999999999999989</v>
      </c>
      <c r="G40" s="10">
        <f t="shared" si="4"/>
        <v>-3.9000000000000004</v>
      </c>
      <c r="H40" s="10">
        <f t="shared" si="4"/>
        <v>-3.7000000000000011</v>
      </c>
      <c r="I40" s="10">
        <f t="shared" si="4"/>
        <v>-2.5</v>
      </c>
      <c r="J40" s="10">
        <f t="shared" si="4"/>
        <v>-1.5999999999999996</v>
      </c>
      <c r="K40" s="10">
        <f t="shared" si="4"/>
        <v>-1.4000000000000004</v>
      </c>
      <c r="L40" s="10">
        <f t="shared" si="4"/>
        <v>-1.4000000000000004</v>
      </c>
    </row>
    <row r="41" spans="1:13">
      <c r="A41" s="119" t="s">
        <v>1410</v>
      </c>
      <c r="B41" s="10">
        <f>B38-B30</f>
        <v>-1.0999999999999996</v>
      </c>
      <c r="C41" s="10">
        <f t="shared" ref="C41:K41" si="5">C38-C30</f>
        <v>-4.5</v>
      </c>
      <c r="D41" s="10">
        <f t="shared" si="5"/>
        <v>-2</v>
      </c>
      <c r="E41" s="10">
        <f t="shared" si="5"/>
        <v>-2.3000000000000007</v>
      </c>
      <c r="F41" s="10">
        <f t="shared" si="5"/>
        <v>-2</v>
      </c>
      <c r="G41" s="10">
        <f t="shared" si="5"/>
        <v>-2</v>
      </c>
      <c r="H41" s="10">
        <f t="shared" si="5"/>
        <v>1</v>
      </c>
      <c r="I41" s="10">
        <f t="shared" si="5"/>
        <v>-1.2000000000000002</v>
      </c>
      <c r="J41" s="10">
        <f t="shared" si="5"/>
        <v>-1.7000000000000002</v>
      </c>
      <c r="K41" s="10">
        <f t="shared" si="5"/>
        <v>-2.2999999999999998</v>
      </c>
      <c r="L41" s="10">
        <f>L38-L30</f>
        <v>-3.5999999999999996</v>
      </c>
    </row>
    <row r="42" spans="1:13">
      <c r="A42" s="119" t="s">
        <v>1747</v>
      </c>
      <c r="B42" s="10">
        <f>B38-B27</f>
        <v>-4.3000000000000007</v>
      </c>
      <c r="C42" s="10">
        <f t="shared" ref="C42:L42" si="6">C38-C27</f>
        <v>-8.1000000000000014</v>
      </c>
      <c r="D42" s="10">
        <f t="shared" si="6"/>
        <v>-6.5</v>
      </c>
      <c r="E42" s="10">
        <f t="shared" si="6"/>
        <v>-7.1</v>
      </c>
      <c r="F42" s="10">
        <f t="shared" si="6"/>
        <v>-6.2999999999999989</v>
      </c>
      <c r="G42" s="10">
        <f t="shared" si="6"/>
        <v>-5.9</v>
      </c>
      <c r="H42" s="10">
        <f t="shared" si="6"/>
        <v>-2.7000000000000011</v>
      </c>
      <c r="I42" s="10">
        <f t="shared" si="6"/>
        <v>-3.7</v>
      </c>
      <c r="J42" s="10">
        <f t="shared" si="6"/>
        <v>-3.3</v>
      </c>
      <c r="K42" s="10">
        <f t="shared" si="6"/>
        <v>-3.7</v>
      </c>
      <c r="L42" s="10">
        <f t="shared" si="6"/>
        <v>-5</v>
      </c>
    </row>
    <row r="43" spans="1:13">
      <c r="A43" s="119"/>
      <c r="G43" s="1" t="s">
        <v>276</v>
      </c>
    </row>
    <row r="44" spans="1:13">
      <c r="A44" s="119" t="s">
        <v>1747</v>
      </c>
      <c r="B44" s="10">
        <f>(B38/B27-1)*100</f>
        <v>-34.959349593495936</v>
      </c>
      <c r="C44" s="10">
        <f t="shared" ref="C44:L44" si="7">(C38/C27-1)*100</f>
        <v>-33.333333333333336</v>
      </c>
      <c r="D44" s="10">
        <f t="shared" si="7"/>
        <v>-32.994923857868017</v>
      </c>
      <c r="E44" s="10">
        <f t="shared" si="7"/>
        <v>-41.279069767441854</v>
      </c>
      <c r="F44" s="10">
        <f t="shared" si="7"/>
        <v>-37.278106508875744</v>
      </c>
      <c r="G44" s="10">
        <f t="shared" si="7"/>
        <v>-39.333333333333329</v>
      </c>
      <c r="H44" s="10">
        <f t="shared" si="7"/>
        <v>-23.893805309734518</v>
      </c>
      <c r="I44" s="10">
        <f t="shared" si="7"/>
        <v>-39.361702127659569</v>
      </c>
      <c r="J44" s="10">
        <f t="shared" si="7"/>
        <v>-36.666666666666671</v>
      </c>
      <c r="K44" s="10">
        <f t="shared" si="7"/>
        <v>-46.25</v>
      </c>
      <c r="L44" s="10">
        <f t="shared" si="7"/>
        <v>-43.478260869565219</v>
      </c>
    </row>
    <row r="46" spans="1:13" ht="26.25" customHeight="1">
      <c r="A46" s="1208" t="s">
        <v>302</v>
      </c>
      <c r="B46" s="1208"/>
      <c r="C46" s="1208"/>
      <c r="D46" s="1208"/>
      <c r="E46" s="1208"/>
      <c r="F46" s="1208"/>
      <c r="G46" s="1208"/>
      <c r="H46" s="1208"/>
      <c r="I46" s="1208"/>
      <c r="J46" s="1208"/>
      <c r="K46" s="1208"/>
      <c r="L46" s="1208"/>
      <c r="M46" s="1208"/>
    </row>
    <row r="47" spans="1:13" ht="14.25" customHeight="1">
      <c r="A47" s="1" t="s">
        <v>1123</v>
      </c>
    </row>
    <row r="48" spans="1:13" ht="24.75" customHeight="1">
      <c r="A48" s="1188" t="s">
        <v>0</v>
      </c>
      <c r="B48" s="1188"/>
      <c r="C48" s="1188"/>
      <c r="D48" s="1188"/>
      <c r="E48" s="1188"/>
      <c r="F48" s="1188"/>
      <c r="G48" s="1188"/>
      <c r="H48" s="1188"/>
      <c r="I48" s="1188"/>
      <c r="J48" s="1188"/>
      <c r="K48" s="1188"/>
      <c r="L48" s="1188"/>
      <c r="M48" s="1188"/>
    </row>
    <row r="49" spans="1:13" ht="29.25" customHeight="1">
      <c r="A49" s="1188" t="s">
        <v>83</v>
      </c>
      <c r="B49" s="1188"/>
      <c r="C49" s="1188"/>
      <c r="D49" s="1188"/>
      <c r="E49" s="1188"/>
      <c r="F49" s="1188"/>
      <c r="G49" s="1188"/>
      <c r="H49" s="1188"/>
      <c r="I49" s="1188"/>
      <c r="J49" s="1188"/>
      <c r="K49" s="1188"/>
      <c r="L49" s="1188"/>
      <c r="M49" s="1188"/>
    </row>
    <row r="50" spans="1:13">
      <c r="A50" s="1" t="s">
        <v>1664</v>
      </c>
    </row>
  </sheetData>
  <mergeCells count="15">
    <mergeCell ref="B1:L1"/>
    <mergeCell ref="A46:M46"/>
    <mergeCell ref="A49:M49"/>
    <mergeCell ref="L3:L4"/>
    <mergeCell ref="F3:F4"/>
    <mergeCell ref="G3:G4"/>
    <mergeCell ref="H3:H4"/>
    <mergeCell ref="I3:I4"/>
    <mergeCell ref="J3:J4"/>
    <mergeCell ref="K3:K4"/>
    <mergeCell ref="B3:B4"/>
    <mergeCell ref="C3:C4"/>
    <mergeCell ref="D3:D4"/>
    <mergeCell ref="E3:E4"/>
    <mergeCell ref="A48:M48"/>
  </mergeCells>
  <phoneticPr fontId="35" type="noConversion"/>
  <pageMargins left="0.75" right="0.75" top="1" bottom="1" header="0.5" footer="0.5"/>
  <pageSetup scale="64" orientation="landscape" horizontalDpi="300" verticalDpi="300" r:id="rId1"/>
  <headerFooter alignWithMargins="0"/>
</worksheet>
</file>

<file path=xl/worksheets/sheet104.xml><?xml version="1.0" encoding="utf-8"?>
<worksheet xmlns="http://schemas.openxmlformats.org/spreadsheetml/2006/main" xmlns:r="http://schemas.openxmlformats.org/officeDocument/2006/relationships">
  <sheetPr codeName="Sheet49">
    <pageSetUpPr fitToPage="1"/>
  </sheetPr>
  <dimension ref="A1:M4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5703125" style="1" bestFit="1" customWidth="1"/>
    <col min="7" max="8" width="9.85546875" style="1" bestFit="1" customWidth="1"/>
    <col min="9" max="9" width="9.5703125" style="1" bestFit="1" customWidth="1"/>
    <col min="10" max="10" width="9.42578125" style="1" bestFit="1" customWidth="1"/>
    <col min="11" max="12" width="9.5703125" style="1" bestFit="1" customWidth="1"/>
    <col min="13" max="16384" width="8.85546875" style="1"/>
  </cols>
  <sheetData>
    <row r="1" spans="1:12" ht="15.75">
      <c r="B1" s="40" t="s">
        <v>2186</v>
      </c>
      <c r="C1" s="40"/>
      <c r="D1" s="40"/>
      <c r="E1" s="40"/>
      <c r="F1" s="40"/>
      <c r="G1" s="40"/>
      <c r="H1" s="40"/>
    </row>
    <row r="3" spans="1:12">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2">
      <c r="A4" s="7"/>
      <c r="B4" s="1165"/>
      <c r="C4" s="1165"/>
      <c r="D4" s="1165"/>
      <c r="E4" s="1165"/>
      <c r="F4" s="1165"/>
      <c r="G4" s="1165"/>
      <c r="H4" s="1165"/>
      <c r="I4" s="1165"/>
      <c r="J4" s="1165"/>
      <c r="K4" s="1165"/>
      <c r="L4" s="1165"/>
    </row>
    <row r="5" spans="1:12">
      <c r="A5" s="2">
        <v>1976</v>
      </c>
      <c r="B5" s="10">
        <f>'[3]22a'!B5/'[3]22a'!$B5*100</f>
        <v>100</v>
      </c>
      <c r="C5" s="10">
        <f>'[3]22a'!C5/'[3]22a'!$B5*100</f>
        <v>188.73239436619718</v>
      </c>
      <c r="D5" s="10">
        <f>'[3]22a'!D5/'[3]22a'!$B5*100</f>
        <v>130.98591549295776</v>
      </c>
      <c r="E5" s="10">
        <f>'[3]22a'!E5/'[3]22a'!$B5*100</f>
        <v>129.57746478873241</v>
      </c>
      <c r="F5" s="10">
        <f>'[3]22a'!F5/'[3]22a'!$B5*100</f>
        <v>154.92957746478874</v>
      </c>
      <c r="G5" s="10">
        <f>'[3]22a'!G5/'[3]22a'!$B5*100</f>
        <v>122.53521126760563</v>
      </c>
      <c r="H5" s="10">
        <f>'[3]22a'!H5/'[3]22a'!$B5*100</f>
        <v>85.91549295774648</v>
      </c>
      <c r="I5" s="10">
        <f>'[3]22a'!I5/'[3]22a'!$B5*100</f>
        <v>66.197183098591552</v>
      </c>
      <c r="J5" s="10">
        <f>'[3]22a'!J5/'[3]22a'!$B5*100</f>
        <v>53.521126760563376</v>
      </c>
      <c r="K5" s="10">
        <f>'[3]22a'!K5/'[3]22a'!$B5*100</f>
        <v>54.929577464788736</v>
      </c>
      <c r="L5" s="10">
        <f>'[3]22a'!L5/'[3]22a'!$B5*100</f>
        <v>118.3098591549296</v>
      </c>
    </row>
    <row r="6" spans="1:12">
      <c r="A6" s="2">
        <v>1977</v>
      </c>
      <c r="B6" s="10">
        <f>'[3]22a'!B6/'[3]22a'!$B6*100</f>
        <v>100</v>
      </c>
      <c r="C6" s="10">
        <f>'[3]22a'!C6/'[3]22a'!$B6*100</f>
        <v>192.5</v>
      </c>
      <c r="D6" s="10">
        <f>'[3]22a'!D6/'[3]22a'!$B6*100</f>
        <v>118.75</v>
      </c>
      <c r="E6" s="10">
        <f>'[3]22a'!E6/'[3]22a'!$B6*100</f>
        <v>128.75</v>
      </c>
      <c r="F6" s="10">
        <f>'[3]22a'!F6/'[3]22a'!$B6*100</f>
        <v>166.25</v>
      </c>
      <c r="G6" s="10">
        <f>'[3]22a'!G6/'[3]22a'!$B6*100</f>
        <v>130</v>
      </c>
      <c r="H6" s="10">
        <f>'[3]22a'!H6/'[3]22a'!$B6*100</f>
        <v>86.25</v>
      </c>
      <c r="I6" s="10">
        <f>'[3]22a'!I6/'[3]22a'!$B6*100</f>
        <v>71.25</v>
      </c>
      <c r="J6" s="10">
        <f>'[3]22a'!J6/'[3]22a'!$B6*100</f>
        <v>55.000000000000007</v>
      </c>
      <c r="K6" s="10">
        <f>'[3]22a'!K6/'[3]22a'!$B6*100</f>
        <v>56.25</v>
      </c>
      <c r="L6" s="10">
        <f>'[3]22a'!L6/'[3]22a'!$B6*100</f>
        <v>103.75000000000001</v>
      </c>
    </row>
    <row r="7" spans="1:12">
      <c r="A7" s="2">
        <v>1978</v>
      </c>
      <c r="B7" s="10">
        <f>'[3]22a'!B7/'[3]22a'!$B7*100</f>
        <v>100</v>
      </c>
      <c r="C7" s="10">
        <f>'[3]22a'!C7/'[3]22a'!$B7*100</f>
        <v>189.28571428571428</v>
      </c>
      <c r="D7" s="10">
        <f>'[3]22a'!D7/'[3]22a'!$B7*100</f>
        <v>115.47619047619047</v>
      </c>
      <c r="E7" s="10">
        <f>'[3]22a'!E7/'[3]22a'!$B7*100</f>
        <v>125</v>
      </c>
      <c r="F7" s="10">
        <f>'[3]22a'!F7/'[3]22a'!$B7*100</f>
        <v>147.61904761904762</v>
      </c>
      <c r="G7" s="10">
        <f>'[3]22a'!G7/'[3]22a'!$B7*100</f>
        <v>130.95238095238096</v>
      </c>
      <c r="H7" s="10">
        <f>'[3]22a'!H7/'[3]22a'!$B7*100</f>
        <v>85.714285714285708</v>
      </c>
      <c r="I7" s="10">
        <f>'[3]22a'!I7/'[3]22a'!$B7*100</f>
        <v>77.38095238095238</v>
      </c>
      <c r="J7" s="10">
        <f>'[3]22a'!J7/'[3]22a'!$B7*100</f>
        <v>57.142857142857139</v>
      </c>
      <c r="K7" s="10">
        <f>'[3]22a'!K7/'[3]22a'!$B7*100</f>
        <v>57.142857142857139</v>
      </c>
      <c r="L7" s="10">
        <f>'[3]22a'!L7/'[3]22a'!$B7*100</f>
        <v>98.80952380952381</v>
      </c>
    </row>
    <row r="8" spans="1:12">
      <c r="A8" s="2">
        <v>1979</v>
      </c>
      <c r="B8" s="10">
        <f>'[3]22a'!B8/'[3]22a'!$B8*100</f>
        <v>100</v>
      </c>
      <c r="C8" s="10">
        <f>'[3]22a'!C8/'[3]22a'!$B8*100</f>
        <v>197.33333333333334</v>
      </c>
      <c r="D8" s="10">
        <f>'[3]22a'!D8/'[3]22a'!$B8*100</f>
        <v>154.66666666666666</v>
      </c>
      <c r="E8" s="10">
        <f>'[3]22a'!E8/'[3]22a'!$B8*100</f>
        <v>133.33333333333331</v>
      </c>
      <c r="F8" s="10">
        <f>'[3]22a'!F8/'[3]22a'!$B8*100</f>
        <v>145.33333333333334</v>
      </c>
      <c r="G8" s="10">
        <f>'[3]22a'!G8/'[3]22a'!$B8*100</f>
        <v>129.33333333333331</v>
      </c>
      <c r="H8" s="10">
        <f>'[3]22a'!H8/'[3]22a'!$B8*100</f>
        <v>88</v>
      </c>
      <c r="I8" s="10">
        <f>'[3]22a'!I8/'[3]22a'!$B8*100</f>
        <v>73.333333333333329</v>
      </c>
      <c r="J8" s="10">
        <f>'[3]22a'!J8/'[3]22a'!$B8*100</f>
        <v>56.000000000000007</v>
      </c>
      <c r="K8" s="10">
        <f>'[3]22a'!K8/'[3]22a'!$B8*100</f>
        <v>52</v>
      </c>
      <c r="L8" s="10">
        <f>'[3]22a'!L8/'[3]22a'!$B8*100</f>
        <v>102.66666666666666</v>
      </c>
    </row>
    <row r="9" spans="1:12">
      <c r="A9" s="2">
        <v>1980</v>
      </c>
      <c r="B9" s="10">
        <f>'[3]22a'!B9/'[3]22a'!$B9*100</f>
        <v>100</v>
      </c>
      <c r="C9" s="10">
        <f>'[3]22a'!C9/'[3]22a'!$B9*100</f>
        <v>177.33333333333334</v>
      </c>
      <c r="D9" s="10">
        <f>'[3]22a'!D9/'[3]22a'!$B9*100</f>
        <v>140</v>
      </c>
      <c r="E9" s="10">
        <f>'[3]22a'!E9/'[3]22a'!$B9*100</f>
        <v>129.33333333333331</v>
      </c>
      <c r="F9" s="10">
        <f>'[3]22a'!F9/'[3]22a'!$B9*100</f>
        <v>148</v>
      </c>
      <c r="G9" s="10">
        <f>'[3]22a'!G9/'[3]22a'!$B9*100</f>
        <v>133.33333333333331</v>
      </c>
      <c r="H9" s="10">
        <f>'[3]22a'!H9/'[3]22a'!$B9*100</f>
        <v>92</v>
      </c>
      <c r="I9" s="10">
        <f>'[3]22a'!I9/'[3]22a'!$B9*100</f>
        <v>73.333333333333329</v>
      </c>
      <c r="J9" s="10">
        <f>'[3]22a'!J9/'[3]22a'!$B9*100</f>
        <v>57.333333333333336</v>
      </c>
      <c r="K9" s="10">
        <f>'[3]22a'!K9/'[3]22a'!$B9*100</f>
        <v>52</v>
      </c>
      <c r="L9" s="10">
        <f>'[3]22a'!L9/'[3]22a'!$B9*100</f>
        <v>89.333333333333329</v>
      </c>
    </row>
    <row r="10" spans="1:12">
      <c r="A10" s="2">
        <v>1981</v>
      </c>
      <c r="B10" s="10">
        <f>'[3]22a'!B10/'[3]22a'!$B10*100</f>
        <v>100</v>
      </c>
      <c r="C10" s="10">
        <f>'[3]22a'!C10/'[3]22a'!$B10*100</f>
        <v>177.63157894736844</v>
      </c>
      <c r="D10" s="10">
        <f>'[3]22a'!D10/'[3]22a'!$B10*100</f>
        <v>148.68421052631581</v>
      </c>
      <c r="E10" s="10">
        <f>'[3]22a'!E10/'[3]22a'!$B10*100</f>
        <v>131.57894736842107</v>
      </c>
      <c r="F10" s="10">
        <f>'[3]22a'!F10/'[3]22a'!$B10*100</f>
        <v>152.63157894736844</v>
      </c>
      <c r="G10" s="10">
        <f>'[3]22a'!G10/'[3]22a'!$B10*100</f>
        <v>138.15789473684211</v>
      </c>
      <c r="H10" s="10">
        <f>'[3]22a'!H10/'[3]22a'!$B10*100</f>
        <v>86.842105263157904</v>
      </c>
      <c r="I10" s="10">
        <f>'[3]22a'!I10/'[3]22a'!$B10*100</f>
        <v>78.94736842105263</v>
      </c>
      <c r="J10" s="10">
        <f>'[3]22a'!J10/'[3]22a'!$B10*100</f>
        <v>59.21052631578948</v>
      </c>
      <c r="K10" s="10">
        <f>'[3]22a'!K10/'[3]22a'!$B10*100</f>
        <v>51.315789473684212</v>
      </c>
      <c r="L10" s="10">
        <f>'[3]22a'!L10/'[3]22a'!$B10*100</f>
        <v>89.473684210526315</v>
      </c>
    </row>
    <row r="11" spans="1:12">
      <c r="A11" s="2">
        <v>1982</v>
      </c>
      <c r="B11" s="10">
        <f>'[3]22a'!B11/'[3]22a'!$B11*100</f>
        <v>100</v>
      </c>
      <c r="C11" s="10">
        <f>'[3]22a'!C11/'[3]22a'!$B11*100</f>
        <v>147.27272727272725</v>
      </c>
      <c r="D11" s="10">
        <f>'[3]22a'!D11/'[3]22a'!$B11*100</f>
        <v>114.54545454545455</v>
      </c>
      <c r="E11" s="10">
        <f>'[3]22a'!E11/'[3]22a'!$B11*100</f>
        <v>116.36363636363637</v>
      </c>
      <c r="F11" s="10">
        <f>'[3]22a'!F11/'[3]22a'!$B11*100</f>
        <v>127.27272727272727</v>
      </c>
      <c r="G11" s="10">
        <f>'[3]22a'!G11/'[3]22a'!$B11*100</f>
        <v>127.27272727272727</v>
      </c>
      <c r="H11" s="10">
        <f>'[3]22a'!H11/'[3]22a'!$B11*100</f>
        <v>89.090909090909093</v>
      </c>
      <c r="I11" s="10">
        <f>'[3]22a'!I11/'[3]22a'!$B11*100</f>
        <v>77.272727272727266</v>
      </c>
      <c r="J11" s="10">
        <f>'[3]22a'!J11/'[3]22a'!$B11*100</f>
        <v>57.272727272727273</v>
      </c>
      <c r="K11" s="10">
        <f>'[3]22a'!K11/'[3]22a'!$B11*100</f>
        <v>70</v>
      </c>
      <c r="L11" s="10">
        <f>'[3]22a'!L11/'[3]22a'!$B11*100</f>
        <v>109.99999999999999</v>
      </c>
    </row>
    <row r="12" spans="1:12">
      <c r="A12" s="2">
        <v>1983</v>
      </c>
      <c r="B12" s="10">
        <f>'[3]22a'!B12/'[3]22a'!$B12*100</f>
        <v>100</v>
      </c>
      <c r="C12" s="10">
        <f>'[3]22a'!C12/'[3]22a'!$B12*100</f>
        <v>150.83333333333334</v>
      </c>
      <c r="D12" s="10">
        <f>'[3]22a'!D12/'[3]22a'!$B12*100</f>
        <v>101.66666666666666</v>
      </c>
      <c r="E12" s="10">
        <f>'[3]22a'!E12/'[3]22a'!$B12*100</f>
        <v>111.66666666666667</v>
      </c>
      <c r="F12" s="10">
        <f>'[3]22a'!F12/'[3]22a'!$B12*100</f>
        <v>124.16666666666667</v>
      </c>
      <c r="G12" s="10">
        <f>'[3]22a'!G12/'[3]22a'!$B12*100</f>
        <v>118.33333333333333</v>
      </c>
      <c r="H12" s="10">
        <f>'[3]22a'!H12/'[3]22a'!$B12*100</f>
        <v>86.666666666666671</v>
      </c>
      <c r="I12" s="10">
        <f>'[3]22a'!I12/'[3]22a'!$B12*100</f>
        <v>79.166666666666657</v>
      </c>
      <c r="J12" s="10">
        <f>'[3]22a'!J12/'[3]22a'!$B12*100</f>
        <v>64.166666666666671</v>
      </c>
      <c r="K12" s="10">
        <f>'[3]22a'!K12/'[3]22a'!$B12*100</f>
        <v>91.666666666666657</v>
      </c>
      <c r="L12" s="10">
        <f>'[3]22a'!L12/'[3]22a'!$B12*100</f>
        <v>115.83333333333334</v>
      </c>
    </row>
    <row r="13" spans="1:12">
      <c r="A13" s="2">
        <v>1984</v>
      </c>
      <c r="B13" s="10">
        <f>'[3]22a'!B13/'[3]22a'!$B13*100</f>
        <v>100</v>
      </c>
      <c r="C13" s="10">
        <f>'[3]22a'!C13/'[3]22a'!$B13*100</f>
        <v>177.87610619469027</v>
      </c>
      <c r="D13" s="10">
        <f>'[3]22a'!D13/'[3]22a'!$B13*100</f>
        <v>110.61946902654867</v>
      </c>
      <c r="E13" s="10">
        <f>'[3]22a'!E13/'[3]22a'!$B13*100</f>
        <v>115.04424778761062</v>
      </c>
      <c r="F13" s="10">
        <f>'[3]22a'!F13/'[3]22a'!$B13*100</f>
        <v>129.20353982300884</v>
      </c>
      <c r="G13" s="10">
        <f>'[3]22a'!G13/'[3]22a'!$B13*100</f>
        <v>115.92920353982299</v>
      </c>
      <c r="H13" s="10">
        <f>'[3]22a'!H13/'[3]22a'!$B13*100</f>
        <v>79.646017699115035</v>
      </c>
      <c r="I13" s="10">
        <f>'[3]22a'!I13/'[3]22a'!$B13*100</f>
        <v>76.106194690265482</v>
      </c>
      <c r="J13" s="10">
        <f>'[3]22a'!J13/'[3]22a'!$B13*100</f>
        <v>71.681415929203524</v>
      </c>
      <c r="K13" s="10">
        <f>'[3]22a'!K13/'[3]22a'!$B13*100</f>
        <v>100</v>
      </c>
      <c r="L13" s="10">
        <f>'[3]22a'!L13/'[3]22a'!$B13*100</f>
        <v>132.74336283185841</v>
      </c>
    </row>
    <row r="14" spans="1:12">
      <c r="A14" s="2">
        <v>1985</v>
      </c>
      <c r="B14" s="10">
        <f>'[3]22a'!B14/'[3]22a'!$B14*100</f>
        <v>100</v>
      </c>
      <c r="C14" s="10">
        <f>'[3]22a'!C14/'[3]22a'!$B14*100</f>
        <v>190.56603773584905</v>
      </c>
      <c r="D14" s="10">
        <f>'[3]22a'!D14/'[3]22a'!$B14*100</f>
        <v>129.24528301886792</v>
      </c>
      <c r="E14" s="10">
        <f>'[3]22a'!E14/'[3]22a'!$B14*100</f>
        <v>127.35849056603774</v>
      </c>
      <c r="F14" s="10">
        <f>'[3]22a'!F14/'[3]22a'!$B14*100</f>
        <v>143.39622641509433</v>
      </c>
      <c r="G14" s="10">
        <f>'[3]22a'!G14/'[3]22a'!$B14*100</f>
        <v>116.03773584905662</v>
      </c>
      <c r="H14" s="10">
        <f>'[3]22a'!H14/'[3]22a'!$B14*100</f>
        <v>75.471698113207552</v>
      </c>
      <c r="I14" s="10">
        <f>'[3]22a'!I14/'[3]22a'!$B14*100</f>
        <v>79.245283018867923</v>
      </c>
      <c r="J14" s="10">
        <f>'[3]22a'!J14/'[3]22a'!$B14*100</f>
        <v>79.245283018867923</v>
      </c>
      <c r="K14" s="10">
        <f>'[3]22a'!K14/'[3]22a'!$B14*100</f>
        <v>93.396226415094347</v>
      </c>
      <c r="L14" s="10">
        <f>'[3]22a'!L14/'[3]22a'!$B14*100</f>
        <v>137.73584905660377</v>
      </c>
    </row>
    <row r="15" spans="1:12">
      <c r="A15" s="2">
        <v>1986</v>
      </c>
      <c r="B15" s="10">
        <f>'[3]22a'!B15/'[3]22a'!$B15*100</f>
        <v>100</v>
      </c>
      <c r="C15" s="10">
        <f>'[3]22a'!C15/'[3]22a'!$B15*100</f>
        <v>194.84536082474227</v>
      </c>
      <c r="D15" s="10">
        <f>'[3]22a'!D15/'[3]22a'!$B15*100</f>
        <v>136.08247422680412</v>
      </c>
      <c r="E15" s="10">
        <f>'[3]22a'!E15/'[3]22a'!$B15*100</f>
        <v>137.11340206185568</v>
      </c>
      <c r="F15" s="10">
        <f>'[3]22a'!F15/'[3]22a'!$B15*100</f>
        <v>148.45360824742269</v>
      </c>
      <c r="G15" s="10">
        <f>'[3]22a'!G15/'[3]22a'!$B15*100</f>
        <v>114.43298969072167</v>
      </c>
      <c r="H15" s="10">
        <f>'[3]22a'!H15/'[3]22a'!$B15*100</f>
        <v>72.164948453608261</v>
      </c>
      <c r="I15" s="10">
        <f>'[3]22a'!I15/'[3]22a'!$B15*100</f>
        <v>80.412371134020617</v>
      </c>
      <c r="J15" s="10">
        <f>'[3]22a'!J15/'[3]22a'!$B15*100</f>
        <v>81.443298969072174</v>
      </c>
      <c r="K15" s="10">
        <f>'[3]22a'!K15/'[3]22a'!$B15*100</f>
        <v>104.1237113402062</v>
      </c>
      <c r="L15" s="10">
        <f>'[3]22a'!L15/'[3]22a'!$B15*100</f>
        <v>132.98969072164951</v>
      </c>
    </row>
    <row r="16" spans="1:12">
      <c r="A16" s="2">
        <v>1987</v>
      </c>
      <c r="B16" s="10">
        <f>'[3]22a'!B16/'[3]22a'!$B16*100</f>
        <v>100</v>
      </c>
      <c r="C16" s="10">
        <f>'[3]22a'!C16/'[3]22a'!$B16*100</f>
        <v>202.27272727272725</v>
      </c>
      <c r="D16" s="10">
        <f>'[3]22a'!D16/'[3]22a'!$B16*100</f>
        <v>139.77272727272728</v>
      </c>
      <c r="E16" s="10">
        <f>'[3]22a'!E16/'[3]22a'!$B16*100</f>
        <v>136.36363636363635</v>
      </c>
      <c r="F16" s="10">
        <f>'[3]22a'!F16/'[3]22a'!$B16*100</f>
        <v>149.99999999999997</v>
      </c>
      <c r="G16" s="10">
        <f>'[3]22a'!G16/'[3]22a'!$B16*100</f>
        <v>115.90909090909089</v>
      </c>
      <c r="H16" s="10">
        <f>'[3]22a'!H16/'[3]22a'!$B16*100</f>
        <v>69.318181818181813</v>
      </c>
      <c r="I16" s="10">
        <f>'[3]22a'!I16/'[3]22a'!$B16*100</f>
        <v>85.22727272727272</v>
      </c>
      <c r="J16" s="10">
        <f>'[3]22a'!J16/'[3]22a'!$B16*100</f>
        <v>82.954545454545453</v>
      </c>
      <c r="K16" s="10">
        <f>'[3]22a'!K16/'[3]22a'!$B16*100</f>
        <v>109.09090909090908</v>
      </c>
      <c r="L16" s="10">
        <f>'[3]22a'!L16/'[3]22a'!$B16*100</f>
        <v>137.49999999999997</v>
      </c>
    </row>
    <row r="17" spans="1:12">
      <c r="A17" s="2">
        <v>1988</v>
      </c>
      <c r="B17" s="10">
        <f>'[3]22a'!B17/'[3]22a'!$B17*100</f>
        <v>100</v>
      </c>
      <c r="C17" s="10">
        <f>'[3]22a'!C17/'[3]22a'!$B17*100</f>
        <v>207.69230769230771</v>
      </c>
      <c r="D17" s="10">
        <f>'[3]22a'!D17/'[3]22a'!$B17*100</f>
        <v>156.41025641025641</v>
      </c>
      <c r="E17" s="10">
        <f>'[3]22a'!E17/'[3]22a'!$B17*100</f>
        <v>130.76923076923077</v>
      </c>
      <c r="F17" s="10">
        <f>'[3]22a'!F17/'[3]22a'!$B17*100</f>
        <v>151.2820512820513</v>
      </c>
      <c r="G17" s="10">
        <f>'[3]22a'!G17/'[3]22a'!$B17*100</f>
        <v>121.79487179487181</v>
      </c>
      <c r="H17" s="10">
        <f>'[3]22a'!H17/'[3]22a'!$B17*100</f>
        <v>64.102564102564102</v>
      </c>
      <c r="I17" s="10">
        <f>'[3]22a'!I17/'[3]22a'!$B17*100</f>
        <v>98.71794871794873</v>
      </c>
      <c r="J17" s="10">
        <f>'[3]22a'!J17/'[3]22a'!$B17*100</f>
        <v>93.589743589743591</v>
      </c>
      <c r="K17" s="10">
        <f>'[3]22a'!K17/'[3]22a'!$B17*100</f>
        <v>102.56410256410258</v>
      </c>
      <c r="L17" s="10">
        <f>'[3]22a'!L17/'[3]22a'!$B17*100</f>
        <v>132.05128205128207</v>
      </c>
    </row>
    <row r="18" spans="1:12">
      <c r="A18" s="2">
        <v>1989</v>
      </c>
      <c r="B18" s="10">
        <f>'[3]22a'!B18/'[3]22a'!$B18*100</f>
        <v>100</v>
      </c>
      <c r="C18" s="10">
        <f>'[3]22a'!C18/'[3]22a'!$B18*100</f>
        <v>206.66666666666669</v>
      </c>
      <c r="D18" s="10">
        <f>'[3]22a'!D18/'[3]22a'!$B18*100</f>
        <v>182.66666666666666</v>
      </c>
      <c r="E18" s="10">
        <f>'[3]22a'!E18/'[3]22a'!$B18*100</f>
        <v>132</v>
      </c>
      <c r="F18" s="10">
        <f>'[3]22a'!F18/'[3]22a'!$B18*100</f>
        <v>161.33333333333331</v>
      </c>
      <c r="G18" s="10">
        <f>'[3]22a'!G18/'[3]22a'!$B18*100</f>
        <v>128</v>
      </c>
      <c r="H18" s="10">
        <f>'[3]22a'!H18/'[3]22a'!$B18*100</f>
        <v>66.666666666666657</v>
      </c>
      <c r="I18" s="10">
        <f>'[3]22a'!I18/'[3]22a'!$B18*100</f>
        <v>100</v>
      </c>
      <c r="J18" s="10">
        <f>'[3]22a'!J18/'[3]22a'!$B18*100</f>
        <v>97.333333333333329</v>
      </c>
      <c r="K18" s="10">
        <f>'[3]22a'!K18/'[3]22a'!$B18*100</f>
        <v>96.000000000000014</v>
      </c>
      <c r="L18" s="10">
        <f>'[3]22a'!L18/'[3]22a'!$B18*100</f>
        <v>121.33333333333334</v>
      </c>
    </row>
    <row r="19" spans="1:12">
      <c r="A19" s="2">
        <v>1990</v>
      </c>
      <c r="B19" s="10">
        <f>'[3]22a'!B19/'[3]22a'!$B19*100</f>
        <v>100</v>
      </c>
      <c r="C19" s="10">
        <f>'[3]22a'!C19/'[3]22a'!$B19*100</f>
        <v>209.87654320987653</v>
      </c>
      <c r="D19" s="10">
        <f>'[3]22a'!D19/'[3]22a'!$B19*100</f>
        <v>177.7777777777778</v>
      </c>
      <c r="E19" s="10">
        <f>'[3]22a'!E19/'[3]22a'!$B19*100</f>
        <v>132.09876543209876</v>
      </c>
      <c r="F19" s="10">
        <f>'[3]22a'!F19/'[3]22a'!$B19*100</f>
        <v>149.38271604938271</v>
      </c>
      <c r="G19" s="10">
        <f>'[3]22a'!G19/'[3]22a'!$B19*100</f>
        <v>128.39506172839506</v>
      </c>
      <c r="H19" s="10">
        <f>'[3]22a'!H19/'[3]22a'!$B19*100</f>
        <v>76.543209876543216</v>
      </c>
      <c r="I19" s="10">
        <f>'[3]22a'!I19/'[3]22a'!$B19*100</f>
        <v>91.358024691358025</v>
      </c>
      <c r="J19" s="10">
        <f>'[3]22a'!J19/'[3]22a'!$B19*100</f>
        <v>86.41975308641976</v>
      </c>
      <c r="K19" s="10">
        <f>'[3]22a'!K19/'[3]22a'!$B19*100</f>
        <v>85.18518518518519</v>
      </c>
      <c r="L19" s="10">
        <f>'[3]22a'!L19/'[3]22a'!$B19*100</f>
        <v>103.70370370370372</v>
      </c>
    </row>
    <row r="20" spans="1:12">
      <c r="A20" s="2">
        <v>1991</v>
      </c>
      <c r="B20" s="10">
        <f>'[3]22a'!B20/'[3]22a'!$B20*100</f>
        <v>100</v>
      </c>
      <c r="C20" s="10">
        <f>'[3]22a'!C20/'[3]22a'!$B20*100</f>
        <v>174.75728155339806</v>
      </c>
      <c r="D20" s="10">
        <f>'[3]22a'!D20/'[3]22a'!$B20*100</f>
        <v>160.19417475728156</v>
      </c>
      <c r="E20" s="10">
        <f>'[3]22a'!E20/'[3]22a'!$B20*100</f>
        <v>117.47572815533979</v>
      </c>
      <c r="F20" s="10">
        <f>'[3]22a'!F20/'[3]22a'!$B20*100</f>
        <v>123.3009708737864</v>
      </c>
      <c r="G20" s="10">
        <f>'[3]22a'!G20/'[3]22a'!$B20*100</f>
        <v>117.47572815533979</v>
      </c>
      <c r="H20" s="10">
        <f>'[3]22a'!H20/'[3]22a'!$B20*100</f>
        <v>92.233009708737853</v>
      </c>
      <c r="I20" s="10">
        <f>'[3]22a'!I20/'[3]22a'!$B20*100</f>
        <v>83.495145631067956</v>
      </c>
      <c r="J20" s="10">
        <f>'[3]22a'!J20/'[3]22a'!$B20*100</f>
        <v>71.844660194174764</v>
      </c>
      <c r="K20" s="10">
        <f>'[3]22a'!K20/'[3]22a'!$B20*100</f>
        <v>79.611650485436883</v>
      </c>
      <c r="L20" s="10">
        <f>'[3]22a'!L20/'[3]22a'!$B20*100</f>
        <v>96.116504854368941</v>
      </c>
    </row>
    <row r="21" spans="1:12">
      <c r="A21" s="2">
        <v>1992</v>
      </c>
      <c r="B21" s="10">
        <f>'[3]22a'!B21/'[3]22a'!$B21*100</f>
        <v>100</v>
      </c>
      <c r="C21" s="10">
        <f>'[3]22a'!C21/'[3]22a'!$B21*100</f>
        <v>178.57142857142858</v>
      </c>
      <c r="D21" s="10">
        <f>'[3]22a'!D21/'[3]22a'!$B21*100</f>
        <v>157.14285714285717</v>
      </c>
      <c r="E21" s="10">
        <f>'[3]22a'!E21/'[3]22a'!$B21*100</f>
        <v>116.96428571428572</v>
      </c>
      <c r="F21" s="10">
        <f>'[3]22a'!F21/'[3]22a'!$B21*100</f>
        <v>116.07142857142858</v>
      </c>
      <c r="G21" s="10">
        <f>'[3]22a'!G21/'[3]22a'!$B21*100</f>
        <v>113.39285714285714</v>
      </c>
      <c r="H21" s="10">
        <f>'[3]22a'!H21/'[3]22a'!$B21*100</f>
        <v>96.428571428571445</v>
      </c>
      <c r="I21" s="10">
        <f>'[3]22a'!I21/'[3]22a'!$B21*100</f>
        <v>83.035714285714306</v>
      </c>
      <c r="J21" s="10">
        <f>'[3]22a'!J21/'[3]22a'!$B21*100</f>
        <v>71.428571428571431</v>
      </c>
      <c r="K21" s="10">
        <f>'[3]22a'!K21/'[3]22a'!$B21*100</f>
        <v>84.821428571428584</v>
      </c>
      <c r="L21" s="10">
        <f>'[3]22a'!L21/'[3]22a'!$B21*100</f>
        <v>90.178571428571431</v>
      </c>
    </row>
    <row r="22" spans="1:12">
      <c r="A22" s="2">
        <v>1993</v>
      </c>
      <c r="B22" s="10">
        <f>'[3]22a'!B22/'[3]22a'!$B22*100</f>
        <v>100</v>
      </c>
      <c r="C22" s="10">
        <f>'[3]22a'!C22/'[3]22a'!$B22*100</f>
        <v>176.31578947368422</v>
      </c>
      <c r="D22" s="10">
        <f>'[3]22a'!D22/'[3]22a'!$B22*100</f>
        <v>148.2456140350877</v>
      </c>
      <c r="E22" s="10">
        <f>'[3]22a'!E22/'[3]22a'!$B22*100</f>
        <v>125.43859649122808</v>
      </c>
      <c r="F22" s="10">
        <f>'[3]22a'!F22/'[3]22a'!$B22*100</f>
        <v>110.52631578947367</v>
      </c>
      <c r="G22" s="10">
        <f>'[3]22a'!G22/'[3]22a'!$B22*100</f>
        <v>115.78947368421051</v>
      </c>
      <c r="H22" s="10">
        <f>'[3]22a'!H22/'[3]22a'!$B22*100</f>
        <v>95.614035087719301</v>
      </c>
      <c r="I22" s="10">
        <f>'[3]22a'!I22/'[3]22a'!$B22*100</f>
        <v>81.578947368421055</v>
      </c>
      <c r="J22" s="10">
        <f>'[3]22a'!J22/'[3]22a'!$B22*100</f>
        <v>72.807017543859658</v>
      </c>
      <c r="K22" s="10">
        <f>'[3]22a'!K22/'[3]22a'!$B22*100</f>
        <v>84.210526315789465</v>
      </c>
      <c r="L22" s="10">
        <f>'[3]22a'!L22/'[3]22a'!$B22*100</f>
        <v>85.087719298245602</v>
      </c>
    </row>
    <row r="23" spans="1:12">
      <c r="A23" s="2">
        <v>1994</v>
      </c>
      <c r="B23" s="10">
        <f>'[3]22a'!B23/'[3]22a'!$B23*100</f>
        <v>100</v>
      </c>
      <c r="C23" s="10">
        <f>'[3]22a'!C23/'[3]22a'!$B23*100</f>
        <v>192.30769230769229</v>
      </c>
      <c r="D23" s="10">
        <f>'[3]22a'!D23/'[3]22a'!$B23*100</f>
        <v>158.65384615384613</v>
      </c>
      <c r="E23" s="10">
        <f>'[3]22a'!E23/'[3]22a'!$B23*100</f>
        <v>129.80769230769232</v>
      </c>
      <c r="F23" s="10">
        <f>'[3]22a'!F23/'[3]22a'!$B23*100</f>
        <v>120.19230769230769</v>
      </c>
      <c r="G23" s="10">
        <f>'[3]22a'!G23/'[3]22a'!$B23*100</f>
        <v>118.26923076923077</v>
      </c>
      <c r="H23" s="10">
        <f>'[3]22a'!H23/'[3]22a'!$B23*100</f>
        <v>92.307692307692307</v>
      </c>
      <c r="I23" s="10">
        <f>'[3]22a'!I23/'[3]22a'!$B23*100</f>
        <v>84.615384615384613</v>
      </c>
      <c r="J23" s="10">
        <f>'[3]22a'!J23/'[3]22a'!$B23*100</f>
        <v>66.34615384615384</v>
      </c>
      <c r="K23" s="10">
        <f>'[3]22a'!K23/'[3]22a'!$B23*100</f>
        <v>84.615384615384613</v>
      </c>
      <c r="L23" s="10">
        <f>'[3]22a'!L23/'[3]22a'!$B23*100</f>
        <v>87.499999999999986</v>
      </c>
    </row>
    <row r="24" spans="1:12">
      <c r="A24" s="2">
        <v>1995</v>
      </c>
      <c r="B24" s="10">
        <f>'[3]22a'!B24/'[3]22a'!$B24*100</f>
        <v>100</v>
      </c>
      <c r="C24" s="10">
        <f>'[3]22a'!C24/'[3]22a'!$B24*100</f>
        <v>189.4736842105263</v>
      </c>
      <c r="D24" s="10">
        <f>'[3]22a'!D24/'[3]22a'!$B24*100</f>
        <v>155.78947368421055</v>
      </c>
      <c r="E24" s="10">
        <f>'[3]22a'!E24/'[3]22a'!$B24*100</f>
        <v>128.42105263157896</v>
      </c>
      <c r="F24" s="10">
        <f>'[3]22a'!F24/'[3]22a'!$B24*100</f>
        <v>120</v>
      </c>
      <c r="G24" s="10">
        <f>'[3]22a'!G24/'[3]22a'!$B24*100</f>
        <v>121.05263157894737</v>
      </c>
      <c r="H24" s="10">
        <f>'[3]22a'!H24/'[3]22a'!$B24*100</f>
        <v>91.578947368421055</v>
      </c>
      <c r="I24" s="10">
        <f>'[3]22a'!I24/'[3]22a'!$B24*100</f>
        <v>76.84210526315789</v>
      </c>
      <c r="J24" s="10">
        <f>'[3]22a'!J24/'[3]22a'!$B24*100</f>
        <v>70.526315789473685</v>
      </c>
      <c r="K24" s="10">
        <f>'[3]22a'!K24/'[3]22a'!$B24*100</f>
        <v>82.10526315789474</v>
      </c>
      <c r="L24" s="10">
        <f>'[3]22a'!L24/'[3]22a'!$B24*100</f>
        <v>89.473684210526315</v>
      </c>
    </row>
    <row r="25" spans="1:12">
      <c r="A25" s="2">
        <v>1996</v>
      </c>
      <c r="B25" s="10">
        <f>'[3]22a'!B25/'[3]22a'!$B25*100</f>
        <v>100</v>
      </c>
      <c r="C25" s="10">
        <f>'[3]22a'!C25/'[3]22a'!$B25*100</f>
        <v>198.95833333333334</v>
      </c>
      <c r="D25" s="10">
        <f>'[3]22a'!D25/'[3]22a'!$B25*100</f>
        <v>153.125</v>
      </c>
      <c r="E25" s="10">
        <f>'[3]22a'!E25/'[3]22a'!$B25*100</f>
        <v>129.16666666666669</v>
      </c>
      <c r="F25" s="10">
        <f>'[3]22a'!F25/'[3]22a'!$B25*100</f>
        <v>120.83333333333333</v>
      </c>
      <c r="G25" s="10">
        <f>'[3]22a'!G25/'[3]22a'!$B25*100</f>
        <v>123.95833333333334</v>
      </c>
      <c r="H25" s="10">
        <f>'[3]22a'!H25/'[3]22a'!$B25*100</f>
        <v>93.75</v>
      </c>
      <c r="I25" s="10">
        <f>'[3]22a'!I25/'[3]22a'!$B25*100</f>
        <v>76.041666666666657</v>
      </c>
      <c r="J25" s="10">
        <f>'[3]22a'!J25/'[3]22a'!$B25*100</f>
        <v>69.791666666666671</v>
      </c>
      <c r="K25" s="10">
        <f>'[3]22a'!K25/'[3]22a'!$B25*100</f>
        <v>71.875000000000014</v>
      </c>
      <c r="L25" s="10">
        <f>'[3]22a'!L25/'[3]22a'!$B25*100</f>
        <v>90.625</v>
      </c>
    </row>
    <row r="26" spans="1:12">
      <c r="A26" s="2">
        <v>1997</v>
      </c>
      <c r="B26" s="10">
        <f>'[3]22a'!B26/'[3]22a'!$B26*100</f>
        <v>100</v>
      </c>
      <c r="C26" s="10">
        <f>'[3]22a'!C26/'[3]22a'!$B26*100</f>
        <v>202.19780219780219</v>
      </c>
      <c r="D26" s="10">
        <f>'[3]22a'!D26/'[3]22a'!$B26*100</f>
        <v>169.23076923076925</v>
      </c>
      <c r="E26" s="10">
        <f>'[3]22a'!E26/'[3]22a'!$B26*100</f>
        <v>134.06593406593404</v>
      </c>
      <c r="F26" s="10">
        <f>'[3]22a'!F26/'[3]22a'!$B26*100</f>
        <v>139.56043956043956</v>
      </c>
      <c r="G26" s="10">
        <f>'[3]22a'!G26/'[3]22a'!$B26*100</f>
        <v>125.27472527472527</v>
      </c>
      <c r="H26" s="10">
        <f>'[3]22a'!H26/'[3]22a'!$B26*100</f>
        <v>92.307692307692307</v>
      </c>
      <c r="I26" s="10">
        <f>'[3]22a'!I26/'[3]22a'!$B26*100</f>
        <v>71.428571428571431</v>
      </c>
      <c r="J26" s="10">
        <f>'[3]22a'!J26/'[3]22a'!$B26*100</f>
        <v>65.934065934065927</v>
      </c>
      <c r="K26" s="10">
        <f>'[3]22a'!K26/'[3]22a'!$B26*100</f>
        <v>64.835164835164832</v>
      </c>
      <c r="L26" s="10">
        <f>'[3]22a'!L26/'[3]22a'!$B26*100</f>
        <v>92.307692307692307</v>
      </c>
    </row>
    <row r="27" spans="1:12">
      <c r="A27" s="2">
        <v>1998</v>
      </c>
      <c r="B27" s="10">
        <f>'[3]22a'!B27/'[3]22a'!$B27*100</f>
        <v>100</v>
      </c>
      <c r="C27" s="10">
        <f>'[3]22a'!C27/'[3]22a'!$B27*100</f>
        <v>215.6626506024096</v>
      </c>
      <c r="D27" s="10">
        <f>'[3]22a'!D27/'[3]22a'!$B27*100</f>
        <v>167.46987951807228</v>
      </c>
      <c r="E27" s="10">
        <f>'[3]22a'!E27/'[3]22a'!$B27*100</f>
        <v>126.50602409638554</v>
      </c>
      <c r="F27" s="10">
        <f>'[3]22a'!F27/'[3]22a'!$B27*100</f>
        <v>146.98795180722891</v>
      </c>
      <c r="G27" s="10">
        <f>'[3]22a'!G27/'[3]22a'!$B27*100</f>
        <v>124.09638554216866</v>
      </c>
      <c r="H27" s="10">
        <f>'[3]22a'!H27/'[3]22a'!$B27*100</f>
        <v>86.746987951807213</v>
      </c>
      <c r="I27" s="10">
        <f>'[3]22a'!I27/'[3]22a'!$B27*100</f>
        <v>67.46987951807229</v>
      </c>
      <c r="J27" s="10">
        <f>'[3]22a'!J27/'[3]22a'!$B27*100</f>
        <v>69.879518072289144</v>
      </c>
      <c r="K27" s="10">
        <f>'[3]22a'!K27/'[3]22a'!$B27*100</f>
        <v>67.46987951807229</v>
      </c>
      <c r="L27" s="10">
        <f>'[3]22a'!L27/'[3]22a'!$B27*100</f>
        <v>106.02409638554218</v>
      </c>
    </row>
    <row r="28" spans="1:12">
      <c r="A28" s="2">
        <v>1999</v>
      </c>
      <c r="B28" s="10">
        <f>'[3]22a'!B28/'[3]22a'!$B28*100</f>
        <v>100</v>
      </c>
      <c r="C28" s="10">
        <f>'[3]22a'!C28/'[3]22a'!$B28*100</f>
        <v>222.36842105263156</v>
      </c>
      <c r="D28" s="10">
        <f>'[3]22a'!D28/'[3]22a'!$B28*100</f>
        <v>188.15789473684214</v>
      </c>
      <c r="E28" s="10">
        <f>'[3]22a'!E28/'[3]22a'!$B28*100</f>
        <v>126.31578947368421</v>
      </c>
      <c r="F28" s="10">
        <f>'[3]22a'!F28/'[3]22a'!$B28*100</f>
        <v>134.21052631578948</v>
      </c>
      <c r="G28" s="10">
        <f>'[3]22a'!G28/'[3]22a'!$B28*100</f>
        <v>122.36842105263159</v>
      </c>
      <c r="H28" s="10">
        <f>'[3]22a'!H28/'[3]22a'!$B28*100</f>
        <v>82.89473684210526</v>
      </c>
      <c r="I28" s="10">
        <f>'[3]22a'!I28/'[3]22a'!$B28*100</f>
        <v>73.68421052631578</v>
      </c>
      <c r="J28" s="10">
        <f>'[3]22a'!J28/'[3]22a'!$B28*100</f>
        <v>80.263157894736835</v>
      </c>
      <c r="K28" s="10">
        <f>'[3]22a'!K28/'[3]22a'!$B28*100</f>
        <v>75.000000000000014</v>
      </c>
      <c r="L28" s="10">
        <f>'[3]22a'!L28/'[3]22a'!$B28*100</f>
        <v>109.21052631578949</v>
      </c>
    </row>
    <row r="29" spans="1:12">
      <c r="A29" s="2">
        <v>2000</v>
      </c>
      <c r="B29" s="10">
        <f>'[3]22a'!B29/'[3]22a'!$B29*100</f>
        <v>100</v>
      </c>
      <c r="C29" s="10">
        <f>'[3]22a'!C29/'[3]22a'!$B29*100</f>
        <v>245.58823529411765</v>
      </c>
      <c r="D29" s="10">
        <f>'[3]22a'!D29/'[3]22a'!$B29*100</f>
        <v>177.94117647058823</v>
      </c>
      <c r="E29" s="10">
        <f>'[3]22a'!E29/'[3]22a'!$B29*100</f>
        <v>133.8235294117647</v>
      </c>
      <c r="F29" s="10">
        <f>'[3]22a'!F29/'[3]22a'!$B29*100</f>
        <v>147.05882352941177</v>
      </c>
      <c r="G29" s="10">
        <f>'[3]22a'!G29/'[3]22a'!$B29*100</f>
        <v>125</v>
      </c>
      <c r="H29" s="10">
        <f>'[3]22a'!H29/'[3]22a'!$B29*100</f>
        <v>85.294117647058826</v>
      </c>
      <c r="I29" s="10">
        <f>'[3]22a'!I29/'[3]22a'!$B29*100</f>
        <v>73.529411764705884</v>
      </c>
      <c r="J29" s="10">
        <f>'[3]22a'!J29/'[3]22a'!$B29*100</f>
        <v>75</v>
      </c>
      <c r="K29" s="10">
        <f>'[3]22a'!K29/'[3]22a'!$B29*100</f>
        <v>73.529411764705884</v>
      </c>
      <c r="L29" s="10">
        <f>'[3]22a'!L29/'[3]22a'!$B29*100</f>
        <v>104.41176470588236</v>
      </c>
    </row>
    <row r="30" spans="1:12">
      <c r="A30" s="2">
        <v>2001</v>
      </c>
      <c r="B30" s="10">
        <f>'[3]22a'!B30/'[3]22a'!$B30*100</f>
        <v>100</v>
      </c>
      <c r="C30" s="10">
        <f>'[3]22a'!C30/'[3]22a'!$B30*100</f>
        <v>223.61111111111111</v>
      </c>
      <c r="D30" s="10">
        <f>'[3]22a'!D30/'[3]22a'!$B30*100</f>
        <v>165.27777777777777</v>
      </c>
      <c r="E30" s="10">
        <f>'[3]22a'!E30/'[3]22a'!$B30*100</f>
        <v>134.7222222222222</v>
      </c>
      <c r="F30" s="10">
        <f>'[3]22a'!F30/'[3]22a'!$B30*100</f>
        <v>154.16666666666666</v>
      </c>
      <c r="G30" s="10">
        <f>'[3]22a'!G30/'[3]22a'!$B30*100</f>
        <v>122.22222222222223</v>
      </c>
      <c r="H30" s="10">
        <f>'[3]22a'!H30/'[3]22a'!$B30*100</f>
        <v>87.5</v>
      </c>
      <c r="I30" s="10">
        <f>'[3]22a'!I30/'[3]22a'!$B30*100</f>
        <v>70.833333333333329</v>
      </c>
      <c r="J30" s="10">
        <f>'[3]22a'!J30/'[3]22a'!$B30*100</f>
        <v>80.555555555555543</v>
      </c>
      <c r="K30" s="10">
        <f>'[3]22a'!K30/'[3]22a'!$B30*100</f>
        <v>63.888888888888886</v>
      </c>
      <c r="L30" s="10">
        <f>'[3]22a'!L30/'[3]22a'!$B30*100</f>
        <v>106.94444444444444</v>
      </c>
    </row>
    <row r="31" spans="1:12">
      <c r="A31" s="2">
        <v>2002</v>
      </c>
      <c r="B31" s="10">
        <f>'[3]22a'!B31/'[3]22a'!$B31*100</f>
        <v>100</v>
      </c>
      <c r="C31" s="10">
        <f>'[3]22a'!C31/'[3]22a'!$B31*100</f>
        <v>216.88311688311686</v>
      </c>
      <c r="D31" s="10">
        <f>'[3]22a'!D31/'[3]22a'!$B31*100</f>
        <v>155.84415584415586</v>
      </c>
      <c r="E31" s="10">
        <f>'[3]22a'!E31/'[3]22a'!$B31*100</f>
        <v>124.67532467532467</v>
      </c>
      <c r="F31" s="10">
        <f>'[3]22a'!F31/'[3]22a'!$B31*100</f>
        <v>132.46753246753244</v>
      </c>
      <c r="G31" s="10">
        <f>'[3]22a'!G31/'[3]22a'!$B31*100</f>
        <v>111.68831168831169</v>
      </c>
      <c r="H31" s="10">
        <f>'[3]22a'!H31/'[3]22a'!$B31*100</f>
        <v>92.20779220779221</v>
      </c>
      <c r="I31" s="10">
        <f>'[3]22a'!I31/'[3]22a'!$B31*100</f>
        <v>66.233766233766218</v>
      </c>
      <c r="J31" s="10">
        <f>'[3]22a'!J31/'[3]22a'!$B31*100</f>
        <v>74.025974025974023</v>
      </c>
      <c r="K31" s="10">
        <f>'[3]22a'!K31/'[3]22a'!$B31*100</f>
        <v>68.831168831168839</v>
      </c>
      <c r="L31" s="10">
        <f>'[3]22a'!L31/'[3]22a'!$B31*100</f>
        <v>110.3896103896104</v>
      </c>
    </row>
    <row r="32" spans="1:12">
      <c r="A32" s="2">
        <v>2003</v>
      </c>
      <c r="B32" s="10">
        <f>'[3]22a'!B32/'[3]22a'!$B32*100</f>
        <v>100</v>
      </c>
      <c r="C32" s="10">
        <f>'[3]22a'!C32/'[3]22a'!$B32*100</f>
        <v>217.10526315789474</v>
      </c>
      <c r="D32" s="10">
        <f>'[3]22a'!D32/'[3]22a'!$B32*100</f>
        <v>144.73684210526315</v>
      </c>
      <c r="E32" s="10">
        <f>'[3]22a'!E32/'[3]22a'!$B32*100</f>
        <v>119.73684210526316</v>
      </c>
      <c r="F32" s="10">
        <f>'[3]22a'!F32/'[3]22a'!$B32*100</f>
        <v>135.5263157894737</v>
      </c>
      <c r="G32" s="10">
        <f>'[3]22a'!G32/'[3]22a'!$B32*100</f>
        <v>119.73684210526316</v>
      </c>
      <c r="H32" s="10">
        <f>'[3]22a'!H32/'[3]22a'!$B32*100</f>
        <v>90.789473684210535</v>
      </c>
      <c r="I32" s="10">
        <f>'[3]22a'!I32/'[3]22a'!$B32*100</f>
        <v>65.789473684210535</v>
      </c>
      <c r="J32" s="10">
        <f>'[3]22a'!J32/'[3]22a'!$B32*100</f>
        <v>73.68421052631578</v>
      </c>
      <c r="K32" s="10">
        <f>'[3]22a'!K32/'[3]22a'!$B32*100</f>
        <v>67.10526315789474</v>
      </c>
      <c r="L32" s="10">
        <f>'[3]22a'!L32/'[3]22a'!$B32*100</f>
        <v>105.26315789473684</v>
      </c>
    </row>
    <row r="33" spans="1:13">
      <c r="A33" s="2">
        <v>2004</v>
      </c>
      <c r="B33" s="10">
        <f>'[3]22a'!B33/'[3]22a'!$B33*100</f>
        <v>100</v>
      </c>
      <c r="C33" s="10">
        <f>'[3]22a'!C33/'[3]22a'!$B33*100</f>
        <v>218.05555555555554</v>
      </c>
      <c r="D33" s="10">
        <f>'[3]22a'!D33/'[3]22a'!$B33*100</f>
        <v>156.94444444444443</v>
      </c>
      <c r="E33" s="10">
        <f>'[3]22a'!E33/'[3]22a'!$B33*100</f>
        <v>122.22222222222223</v>
      </c>
      <c r="F33" s="10">
        <f>'[3]22a'!F33/'[3]22a'!$B33*100</f>
        <v>136.11111111111111</v>
      </c>
      <c r="G33" s="10">
        <f>'[3]22a'!G33/'[3]22a'!$B33*100</f>
        <v>118.05555555555556</v>
      </c>
      <c r="H33" s="10">
        <f>'[3]22a'!H33/'[3]22a'!$B33*100</f>
        <v>94.444444444444443</v>
      </c>
      <c r="I33" s="10">
        <f>'[3]22a'!I33/'[3]22a'!$B33*100</f>
        <v>73.6111111111111</v>
      </c>
      <c r="J33" s="10">
        <f>'[3]22a'!J33/'[3]22a'!$B33*100</f>
        <v>73.6111111111111</v>
      </c>
      <c r="K33" s="10">
        <f>'[3]22a'!K33/'[3]22a'!$B33*100</f>
        <v>63.888888888888886</v>
      </c>
      <c r="L33" s="10">
        <f>'[3]22a'!L33/'[3]22a'!$B33*100</f>
        <v>100</v>
      </c>
    </row>
    <row r="34" spans="1:13">
      <c r="A34" s="2">
        <v>2005</v>
      </c>
      <c r="B34" s="10">
        <f>'[3]22a'!B34/'[3]22a'!$B34*100</f>
        <v>100</v>
      </c>
      <c r="C34" s="10">
        <f>'[3]22a'!C34/'[3]22a'!$B34*100</f>
        <v>223.52941176470588</v>
      </c>
      <c r="D34" s="10">
        <f>'[3]22a'!D34/'[3]22a'!$B34*100</f>
        <v>158.82352941176472</v>
      </c>
      <c r="E34" s="10">
        <f>'[3]22a'!E34/'[3]22a'!$B34*100</f>
        <v>123.52941176470588</v>
      </c>
      <c r="F34" s="10">
        <f>'[3]22a'!F34/'[3]22a'!$B34*100</f>
        <v>142.64705882352942</v>
      </c>
      <c r="G34" s="10">
        <f>'[3]22a'!G34/'[3]22a'!$B34*100</f>
        <v>122.05882352941177</v>
      </c>
      <c r="H34" s="10">
        <f>'[3]22a'!H34/'[3]22a'!$B34*100</f>
        <v>97.058823529411768</v>
      </c>
      <c r="I34" s="10">
        <f>'[3]22a'!I34/'[3]22a'!$B34*100</f>
        <v>70.588235294117652</v>
      </c>
      <c r="J34" s="10">
        <f>'[3]22a'!J34/'[3]22a'!$B34*100</f>
        <v>75</v>
      </c>
      <c r="K34" s="10">
        <f>'[3]22a'!K34/'[3]22a'!$B34*100</f>
        <v>57.352941176470587</v>
      </c>
      <c r="L34" s="10">
        <f>'[3]22a'!L34/'[3]22a'!$B34*100</f>
        <v>86.764705882352942</v>
      </c>
    </row>
    <row r="35" spans="1:13">
      <c r="A35" s="2">
        <v>2006</v>
      </c>
      <c r="B35" s="10">
        <f>'[3]22a'!B35/'[3]22a'!$B35*100</f>
        <v>100</v>
      </c>
      <c r="C35" s="10">
        <f>'[3]22a'!C35/'[3]22a'!$B35*100</f>
        <v>234.92063492063494</v>
      </c>
      <c r="D35" s="10">
        <f>'[3]22a'!D35/'[3]22a'!$B35*100</f>
        <v>174.60317460317461</v>
      </c>
      <c r="E35" s="10">
        <f>'[3]22a'!E35/'[3]22a'!$B35*100</f>
        <v>125.39682539682539</v>
      </c>
      <c r="F35" s="10">
        <f>'[3]22a'!F35/'[3]22a'!$B35*100</f>
        <v>139.6825396825397</v>
      </c>
      <c r="G35" s="10">
        <f>'[3]22a'!G35/'[3]22a'!$B35*100</f>
        <v>126.98412698412697</v>
      </c>
      <c r="H35" s="10">
        <f>'[3]22a'!H35/'[3]22a'!$B35*100</f>
        <v>100</v>
      </c>
      <c r="I35" s="10">
        <f>'[3]22a'!I35/'[3]22a'!$B35*100</f>
        <v>68.253968253968253</v>
      </c>
      <c r="J35" s="10">
        <f>'[3]22a'!J35/'[3]22a'!$B35*100</f>
        <v>74.603174603174608</v>
      </c>
      <c r="K35" s="10">
        <f>'[3]22a'!K35/'[3]22a'!$B35*100</f>
        <v>53.968253968253968</v>
      </c>
      <c r="L35" s="10">
        <f>'[3]22a'!L35/'[3]22a'!$B35*100</f>
        <v>76.19047619047619</v>
      </c>
    </row>
    <row r="36" spans="1:13">
      <c r="A36" s="2">
        <v>2007</v>
      </c>
      <c r="B36" s="10">
        <f>'[3]22a'!B36/'[3]22a'!$B36*100</f>
        <v>100</v>
      </c>
      <c r="C36" s="10">
        <f>'[3]22a'!C36/'[3]22a'!$B36*100</f>
        <v>226.66666666666666</v>
      </c>
      <c r="D36" s="10">
        <f>'[3]22a'!D36/'[3]22a'!$B36*100</f>
        <v>171.66666666666669</v>
      </c>
      <c r="E36" s="10">
        <f>'[3]22a'!E36/'[3]22a'!$B36*100</f>
        <v>133.33333333333331</v>
      </c>
      <c r="F36" s="10">
        <f>'[3]22a'!F36/'[3]22a'!$B36*100</f>
        <v>125</v>
      </c>
      <c r="G36" s="10">
        <f>'[3]22a'!G36/'[3]22a'!$B36*100</f>
        <v>120</v>
      </c>
      <c r="H36" s="10">
        <f>'[3]22a'!H36/'[3]22a'!$B36*100</f>
        <v>106.66666666666667</v>
      </c>
      <c r="I36" s="10">
        <f>'[3]22a'!I36/'[3]22a'!$B36*100</f>
        <v>73.333333333333343</v>
      </c>
      <c r="J36" s="10">
        <f>'[3]22a'!J36/'[3]22a'!$B36*100</f>
        <v>70</v>
      </c>
      <c r="K36" s="10">
        <f>'[3]22a'!K36/'[3]22a'!$B36*100</f>
        <v>58.333333333333336</v>
      </c>
      <c r="L36" s="10">
        <f>'[3]22a'!L36/'[3]22a'!$B36*100</f>
        <v>70</v>
      </c>
    </row>
    <row r="37" spans="1:13">
      <c r="A37" s="2">
        <v>2008</v>
      </c>
      <c r="B37" s="10">
        <f>'[3]22a'!B37/'[3]22a'!$B37*100</f>
        <v>100</v>
      </c>
      <c r="C37" s="10">
        <f>'[3]22a'!C37/'[3]22a'!$B37*100</f>
        <v>216.39344262295083</v>
      </c>
      <c r="D37" s="10">
        <f>'[3]22a'!D37/'[3]22a'!$B37*100</f>
        <v>177.04918032786887</v>
      </c>
      <c r="E37" s="10">
        <f>'[3]22a'!E37/'[3]22a'!$B37*100</f>
        <v>126.22950819672131</v>
      </c>
      <c r="F37" s="10">
        <f>'[3]22a'!F37/'[3]22a'!$B37*100</f>
        <v>140.98360655737704</v>
      </c>
      <c r="G37" s="10">
        <f>'[3]22a'!G37/'[3]22a'!$B37*100</f>
        <v>118.03278688524593</v>
      </c>
      <c r="H37" s="10">
        <f>'[3]22a'!H37/'[3]22a'!$B37*100</f>
        <v>106.55737704918033</v>
      </c>
      <c r="I37" s="10">
        <f>'[3]22a'!I37/'[3]22a'!$B37*100</f>
        <v>68.852459016393453</v>
      </c>
      <c r="J37" s="10">
        <f>'[3]22a'!J37/'[3]22a'!$B37*100</f>
        <v>67.213114754098356</v>
      </c>
      <c r="K37" s="10">
        <f>'[3]22a'!K37/'[3]22a'!$B37*100</f>
        <v>59.016393442622963</v>
      </c>
      <c r="L37" s="10">
        <f>'[3]22a'!L37/'[3]22a'!$B37*100</f>
        <v>75.409836065573771</v>
      </c>
    </row>
    <row r="38" spans="1:13">
      <c r="A38" s="2"/>
      <c r="D38" s="1" t="s">
        <v>802</v>
      </c>
    </row>
    <row r="39" spans="1:13">
      <c r="A39" s="119" t="s">
        <v>603</v>
      </c>
      <c r="B39" s="644">
        <f>((((B18/B10))^(1/8))-1)*100</f>
        <v>0</v>
      </c>
      <c r="C39" s="644">
        <f t="shared" ref="C39:L39" si="0">((((C18/C10))^(1/8))-1)*100</f>
        <v>1.9104647923248619</v>
      </c>
      <c r="D39" s="644">
        <f t="shared" si="0"/>
        <v>2.60636601291242</v>
      </c>
      <c r="E39" s="644">
        <f t="shared" si="0"/>
        <v>3.9944111743039912E-2</v>
      </c>
      <c r="F39" s="644">
        <f t="shared" si="0"/>
        <v>0.69547705218278022</v>
      </c>
      <c r="G39" s="644">
        <f t="shared" si="0"/>
        <v>-0.95004493391601663</v>
      </c>
      <c r="H39" s="644">
        <f t="shared" si="0"/>
        <v>-3.2508184679495344</v>
      </c>
      <c r="I39" s="644">
        <f t="shared" si="0"/>
        <v>2.9989488920611818</v>
      </c>
      <c r="J39" s="644">
        <f t="shared" si="0"/>
        <v>6.4100958542204101</v>
      </c>
      <c r="K39" s="644">
        <f t="shared" si="0"/>
        <v>8.1440244497007939</v>
      </c>
      <c r="L39" s="644">
        <f t="shared" si="0"/>
        <v>3.8808754736729956</v>
      </c>
    </row>
    <row r="40" spans="1:13">
      <c r="A40" s="119" t="s">
        <v>604</v>
      </c>
      <c r="B40" s="644">
        <f>((((B29/B18))^(1/11))-1)*100</f>
        <v>0</v>
      </c>
      <c r="C40" s="644">
        <f t="shared" ref="C40:L40" si="1">((((C29/C18))^(1/11))-1)*100</f>
        <v>1.5809957716667267</v>
      </c>
      <c r="D40" s="644">
        <f t="shared" si="1"/>
        <v>-0.23798882802887888</v>
      </c>
      <c r="E40" s="644">
        <f t="shared" si="1"/>
        <v>0.12480567884205485</v>
      </c>
      <c r="F40" s="644">
        <f t="shared" si="1"/>
        <v>-0.83864496227723517</v>
      </c>
      <c r="G40" s="644">
        <f t="shared" si="1"/>
        <v>-0.21537252725967182</v>
      </c>
      <c r="H40" s="644">
        <f t="shared" si="1"/>
        <v>2.2652802215081147</v>
      </c>
      <c r="I40" s="644">
        <f t="shared" si="1"/>
        <v>-2.7566080134466375</v>
      </c>
      <c r="J40" s="644">
        <f t="shared" si="1"/>
        <v>-2.3417223446583146</v>
      </c>
      <c r="K40" s="644">
        <f t="shared" si="1"/>
        <v>-2.3950585374660882</v>
      </c>
      <c r="L40" s="644">
        <f t="shared" si="1"/>
        <v>-1.3561675164141085</v>
      </c>
    </row>
    <row r="41" spans="1:13">
      <c r="A41" s="119" t="s">
        <v>1408</v>
      </c>
      <c r="B41" s="644">
        <f>((((B37/B10))^(1/27))-1)*100</f>
        <v>0</v>
      </c>
      <c r="C41" s="644">
        <f>((((C37/C10))^(1/27))-1)*100</f>
        <v>0.73374033538118333</v>
      </c>
      <c r="D41" s="644">
        <f t="shared" ref="D41:L41" si="2">((((D37/D10))^(1/27))-1)*100</f>
        <v>0.64877282261464053</v>
      </c>
      <c r="E41" s="644">
        <f t="shared" si="2"/>
        <v>-0.15360519524051375</v>
      </c>
      <c r="F41" s="644">
        <f t="shared" si="2"/>
        <v>-0.2935808680522678</v>
      </c>
      <c r="G41" s="644">
        <f t="shared" si="2"/>
        <v>-0.5813950050588379</v>
      </c>
      <c r="H41" s="644">
        <f t="shared" si="2"/>
        <v>0.76062633947286962</v>
      </c>
      <c r="I41" s="644">
        <f t="shared" si="2"/>
        <v>-0.5054422748514531</v>
      </c>
      <c r="J41" s="644">
        <f t="shared" si="2"/>
        <v>0.47061896007321025</v>
      </c>
      <c r="K41" s="644">
        <f t="shared" si="2"/>
        <v>0.51918299121422873</v>
      </c>
      <c r="L41" s="644">
        <f t="shared" si="2"/>
        <v>-0.63135715109573498</v>
      </c>
    </row>
    <row r="42" spans="1:13">
      <c r="A42" s="119" t="s">
        <v>1410</v>
      </c>
      <c r="B42" s="644">
        <f>((((B37/B29))^(1/8))-1)*100</f>
        <v>0</v>
      </c>
      <c r="C42" s="644">
        <f t="shared" ref="C42:L42" si="3">((((C37/C29))^(1/8))-1)*100</f>
        <v>-1.5695281014788565</v>
      </c>
      <c r="D42" s="644">
        <f t="shared" si="3"/>
        <v>-6.2798741702607686E-2</v>
      </c>
      <c r="E42" s="644">
        <f t="shared" si="3"/>
        <v>-0.72759317673014579</v>
      </c>
      <c r="F42" s="644">
        <f t="shared" si="3"/>
        <v>-0.52597499111569634</v>
      </c>
      <c r="G42" s="644">
        <f t="shared" si="3"/>
        <v>-0.71432767046583079</v>
      </c>
      <c r="H42" s="644">
        <f t="shared" si="3"/>
        <v>2.821291623157407</v>
      </c>
      <c r="I42" s="644">
        <f t="shared" si="3"/>
        <v>-0.81812928298273802</v>
      </c>
      <c r="J42" s="644">
        <f t="shared" si="3"/>
        <v>-1.3609014170428257</v>
      </c>
      <c r="K42" s="644">
        <f t="shared" si="3"/>
        <v>-2.7109535584919242</v>
      </c>
      <c r="L42" s="644">
        <f t="shared" si="3"/>
        <v>-3.985943171611428</v>
      </c>
    </row>
    <row r="43" spans="1:13">
      <c r="A43" s="119"/>
      <c r="D43" s="1" t="s">
        <v>276</v>
      </c>
    </row>
    <row r="44" spans="1:13">
      <c r="A44" s="119" t="s">
        <v>1408</v>
      </c>
      <c r="B44" s="644">
        <f>(B37/B10-1)*100</f>
        <v>0</v>
      </c>
      <c r="C44" s="644">
        <f t="shared" ref="C44:L44" si="4">(C37/C10-1)*100</f>
        <v>21.821493624772302</v>
      </c>
      <c r="D44" s="644">
        <f t="shared" si="4"/>
        <v>19.077324822283479</v>
      </c>
      <c r="E44" s="644">
        <f t="shared" si="4"/>
        <v>-4.0655737704918149</v>
      </c>
      <c r="F44" s="644">
        <f t="shared" si="4"/>
        <v>-7.6314301865460843</v>
      </c>
      <c r="G44" s="644">
        <f t="shared" si="4"/>
        <v>-14.566744730679137</v>
      </c>
      <c r="H44" s="644">
        <f t="shared" si="4"/>
        <v>22.702434177844012</v>
      </c>
      <c r="I44" s="644">
        <f t="shared" si="4"/>
        <v>-12.786885245901624</v>
      </c>
      <c r="J44" s="644">
        <f t="shared" si="4"/>
        <v>13.515482695810555</v>
      </c>
      <c r="K44" s="644">
        <f t="shared" si="4"/>
        <v>15.006305170239621</v>
      </c>
      <c r="L44" s="644">
        <f t="shared" si="4"/>
        <v>-15.718418514946963</v>
      </c>
    </row>
    <row r="46" spans="1:13">
      <c r="A46" s="1208" t="s">
        <v>202</v>
      </c>
      <c r="B46" s="1208"/>
      <c r="C46" s="1208"/>
      <c r="D46" s="1208"/>
      <c r="E46" s="1208"/>
      <c r="F46" s="1208"/>
      <c r="G46" s="1208"/>
      <c r="H46" s="1208"/>
      <c r="I46" s="1208"/>
      <c r="J46" s="1208"/>
      <c r="K46" s="1208"/>
      <c r="L46" s="1208"/>
      <c r="M46" s="1208"/>
    </row>
    <row r="47" spans="1:13">
      <c r="A47" s="1" t="s">
        <v>1664</v>
      </c>
    </row>
  </sheetData>
  <mergeCells count="12">
    <mergeCell ref="J3:J4"/>
    <mergeCell ref="K3:K4"/>
    <mergeCell ref="A46:M46"/>
    <mergeCell ref="B3:B4"/>
    <mergeCell ref="C3:C4"/>
    <mergeCell ref="D3:D4"/>
    <mergeCell ref="E3:E4"/>
    <mergeCell ref="L3:L4"/>
    <mergeCell ref="F3:F4"/>
    <mergeCell ref="G3:G4"/>
    <mergeCell ref="H3:H4"/>
    <mergeCell ref="I3:I4"/>
  </mergeCells>
  <phoneticPr fontId="35" type="noConversion"/>
  <pageMargins left="0.75" right="0.75" top="1" bottom="1" header="0.5" footer="0.5"/>
  <pageSetup scale="79" orientation="landscape" horizontalDpi="300" verticalDpi="300" r:id="rId1"/>
  <headerFooter alignWithMargins="0"/>
</worksheet>
</file>

<file path=xl/worksheets/sheet105.xml><?xml version="1.0" encoding="utf-8"?>
<worksheet xmlns="http://schemas.openxmlformats.org/spreadsheetml/2006/main" xmlns:r="http://schemas.openxmlformats.org/officeDocument/2006/relationships">
  <sheetPr codeName="Sheet251">
    <pageSetUpPr fitToPage="1"/>
  </sheetPr>
  <dimension ref="A1:M49"/>
  <sheetViews>
    <sheetView view="pageBreakPreview" zoomScale="70" zoomScaleSheetLayoutView="70" workbookViewId="0">
      <pane xSplit="1" ySplit="2" topLeftCell="B3"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8.85546875" style="1"/>
  </cols>
  <sheetData>
    <row r="1" spans="1:12" ht="35.450000000000003" customHeight="1">
      <c r="B1" s="1210" t="s">
        <v>2187</v>
      </c>
      <c r="C1" s="1210"/>
      <c r="D1" s="1210"/>
      <c r="E1" s="1210"/>
      <c r="F1" s="1210"/>
      <c r="G1" s="1210"/>
      <c r="H1" s="1210"/>
      <c r="I1" s="1210"/>
      <c r="J1" s="1210"/>
      <c r="K1" s="1210"/>
      <c r="L1" s="1210"/>
    </row>
    <row r="3" spans="1:12">
      <c r="B3" s="1208" t="s">
        <v>375</v>
      </c>
      <c r="C3" s="1208" t="s">
        <v>377</v>
      </c>
      <c r="D3" s="1208" t="s">
        <v>386</v>
      </c>
      <c r="E3" s="1208" t="s">
        <v>378</v>
      </c>
      <c r="F3" s="1208" t="s">
        <v>379</v>
      </c>
      <c r="G3" s="1208" t="s">
        <v>380</v>
      </c>
      <c r="H3" s="1208" t="s">
        <v>381</v>
      </c>
      <c r="I3" s="1208" t="s">
        <v>382</v>
      </c>
      <c r="J3" s="1208" t="s">
        <v>383</v>
      </c>
      <c r="K3" s="1208" t="s">
        <v>384</v>
      </c>
      <c r="L3" s="1208" t="s">
        <v>385</v>
      </c>
    </row>
    <row r="4" spans="1:12">
      <c r="B4" s="1208"/>
      <c r="C4" s="1208"/>
      <c r="D4" s="1208"/>
      <c r="E4" s="1208"/>
      <c r="F4" s="1208"/>
      <c r="G4" s="1208"/>
      <c r="H4" s="1208"/>
      <c r="I4" s="1208"/>
      <c r="J4" s="1208"/>
      <c r="K4" s="1208"/>
      <c r="L4" s="1208"/>
    </row>
    <row r="6" spans="1:12">
      <c r="B6" s="667" t="s">
        <v>541</v>
      </c>
      <c r="C6" s="667"/>
      <c r="D6" s="667"/>
      <c r="E6" s="667"/>
      <c r="F6" s="667"/>
      <c r="G6" s="667"/>
      <c r="H6" s="667"/>
      <c r="I6" s="667"/>
      <c r="J6" s="667"/>
      <c r="K6" s="667"/>
      <c r="L6" s="667"/>
    </row>
    <row r="7" spans="1:12">
      <c r="A7" s="2">
        <v>1997</v>
      </c>
      <c r="B7" s="10">
        <f>'[3]22b'!B7/'[3]22b'!$B7*100</f>
        <v>100</v>
      </c>
      <c r="C7" s="10">
        <f>'[3]22b'!C7/'[3]22b'!$B7*100</f>
        <v>256.70103092783506</v>
      </c>
      <c r="D7" s="10">
        <f>'[3]22b'!D7/'[3]22b'!$B7*100</f>
        <v>165.97938144329899</v>
      </c>
      <c r="E7" s="10">
        <f>'[3]22b'!E7/'[3]22b'!$B7*100</f>
        <v>138.14432989690724</v>
      </c>
      <c r="F7" s="10">
        <f>'[3]22b'!F7/'[3]22b'!$B7*100</f>
        <v>145.36082474226805</v>
      </c>
      <c r="G7" s="10">
        <f>'[3]22b'!G7/'[3]22b'!$B7*100</f>
        <v>125.77319587628865</v>
      </c>
      <c r="H7" s="10">
        <f>'[3]22b'!H7/'[3]22b'!$B7*100</f>
        <v>90.721649484536087</v>
      </c>
      <c r="I7" s="10">
        <f>'[3]22b'!I7/'[3]22b'!$B7*100</f>
        <v>71.134020618556718</v>
      </c>
      <c r="J7" s="10">
        <f>'[3]22b'!J7/'[3]22b'!$B7*100</f>
        <v>65.979381443298976</v>
      </c>
      <c r="K7" s="10">
        <f>'[3]22b'!K7/'[3]22b'!$B7*100</f>
        <v>62.886597938144327</v>
      </c>
      <c r="L7" s="10">
        <f>'[3]22b'!L7/'[3]22b'!$B7*100</f>
        <v>90.721649484536087</v>
      </c>
    </row>
    <row r="8" spans="1:12">
      <c r="A8" s="2">
        <v>1998</v>
      </c>
      <c r="B8" s="10">
        <f>'[3]22b'!B8/'[3]22b'!$B8*100</f>
        <v>100</v>
      </c>
      <c r="C8" s="10">
        <f>'[3]22b'!C8/'[3]22b'!$B8*100</f>
        <v>261.36363636363632</v>
      </c>
      <c r="D8" s="10">
        <f>'[3]22b'!D8/'[3]22b'!$B8*100</f>
        <v>165.90909090909091</v>
      </c>
      <c r="E8" s="10">
        <f>'[3]22b'!E8/'[3]22b'!$B8*100</f>
        <v>131.81818181818181</v>
      </c>
      <c r="F8" s="10">
        <f>'[3]22b'!F8/'[3]22b'!$B8*100</f>
        <v>149.99999999999997</v>
      </c>
      <c r="G8" s="10">
        <f>'[3]22b'!G8/'[3]22b'!$B8*100</f>
        <v>123.86363636363636</v>
      </c>
      <c r="H8" s="10">
        <f>'[3]22b'!H8/'[3]22b'!$B8*100</f>
        <v>85.22727272727272</v>
      </c>
      <c r="I8" s="10">
        <f>'[3]22b'!I8/'[3]22b'!$B8*100</f>
        <v>67.045454545454547</v>
      </c>
      <c r="J8" s="10">
        <f>'[3]22b'!J8/'[3]22b'!$B8*100</f>
        <v>69.318181818181813</v>
      </c>
      <c r="K8" s="10">
        <f>'[3]22b'!K8/'[3]22b'!$B8*100</f>
        <v>64.772727272727266</v>
      </c>
      <c r="L8" s="10">
        <f>'[3]22b'!L8/'[3]22b'!$B8*100</f>
        <v>104.54545454545452</v>
      </c>
    </row>
    <row r="9" spans="1:12">
      <c r="A9" s="2">
        <v>1999</v>
      </c>
      <c r="B9" s="10">
        <f>'[3]22b'!B9/'[3]22b'!$B9*100</f>
        <v>100</v>
      </c>
      <c r="C9" s="10">
        <f>'[3]22b'!C9/'[3]22b'!$B9*100</f>
        <v>266.25</v>
      </c>
      <c r="D9" s="10">
        <f>'[3]22b'!D9/'[3]22b'!$B9*100</f>
        <v>187.5</v>
      </c>
      <c r="E9" s="10">
        <f>'[3]22b'!E9/'[3]22b'!$B9*100</f>
        <v>128.75</v>
      </c>
      <c r="F9" s="10">
        <f>'[3]22b'!F9/'[3]22b'!$B9*100</f>
        <v>137.5</v>
      </c>
      <c r="G9" s="10">
        <f>'[3]22b'!G9/'[3]22b'!$B9*100</f>
        <v>123.75</v>
      </c>
      <c r="H9" s="10">
        <f>'[3]22b'!H9/'[3]22b'!$B9*100</f>
        <v>81.25</v>
      </c>
      <c r="I9" s="10">
        <f>'[3]22b'!I9/'[3]22b'!$B9*100</f>
        <v>72.5</v>
      </c>
      <c r="J9" s="10">
        <f>'[3]22b'!J9/'[3]22b'!$B9*100</f>
        <v>78.75</v>
      </c>
      <c r="K9" s="10">
        <f>'[3]22b'!K9/'[3]22b'!$B9*100</f>
        <v>73.75</v>
      </c>
      <c r="L9" s="10">
        <f>'[3]22b'!L9/'[3]22b'!$B9*100</f>
        <v>107.5</v>
      </c>
    </row>
    <row r="10" spans="1:12">
      <c r="A10" s="2">
        <v>2000</v>
      </c>
      <c r="B10" s="10">
        <f>'[3]22b'!B10/'[3]22b'!$B10*100</f>
        <v>100</v>
      </c>
      <c r="C10" s="10">
        <f>'[3]22b'!C10/'[3]22b'!$B10*100</f>
        <v>291.54929577464787</v>
      </c>
      <c r="D10" s="10">
        <f>'[3]22b'!D10/'[3]22b'!$B10*100</f>
        <v>174.64788732394368</v>
      </c>
      <c r="E10" s="10">
        <f>'[3]22b'!E10/'[3]22b'!$B10*100</f>
        <v>139.43661971830988</v>
      </c>
      <c r="F10" s="10">
        <f>'[3]22b'!F10/'[3]22b'!$B10*100</f>
        <v>147.88732394366198</v>
      </c>
      <c r="G10" s="10">
        <f>'[3]22b'!G10/'[3]22b'!$B10*100</f>
        <v>123.94366197183101</v>
      </c>
      <c r="H10" s="10">
        <f>'[3]22b'!H10/'[3]22b'!$B10*100</f>
        <v>83.09859154929579</v>
      </c>
      <c r="I10" s="10">
        <f>'[3]22b'!I10/'[3]22b'!$B10*100</f>
        <v>71.830985915492946</v>
      </c>
      <c r="J10" s="10">
        <f>'[3]22b'!J10/'[3]22b'!$B10*100</f>
        <v>76.056338028169023</v>
      </c>
      <c r="K10" s="10">
        <f>'[3]22b'!K10/'[3]22b'!$B10*100</f>
        <v>71.830985915492946</v>
      </c>
      <c r="L10" s="10">
        <f>'[3]22b'!L10/'[3]22b'!$B10*100</f>
        <v>102.8169014084507</v>
      </c>
    </row>
    <row r="11" spans="1:12">
      <c r="A11" s="2">
        <v>2001</v>
      </c>
      <c r="B11" s="10">
        <f>'[3]22b'!B11/'[3]22b'!$B11*100</f>
        <v>100</v>
      </c>
      <c r="C11" s="10">
        <f>'[3]22b'!C11/'[3]22b'!$B11*100</f>
        <v>252</v>
      </c>
      <c r="D11" s="10">
        <f>'[3]22b'!D11/'[3]22b'!$B11*100</f>
        <v>164</v>
      </c>
      <c r="E11" s="10">
        <f>'[3]22b'!E11/'[3]22b'!$B11*100</f>
        <v>136</v>
      </c>
      <c r="F11" s="10">
        <f>'[3]22b'!F11/'[3]22b'!$B11*100</f>
        <v>155.99999999999997</v>
      </c>
      <c r="G11" s="10">
        <f>'[3]22b'!G11/'[3]22b'!$B11*100</f>
        <v>120</v>
      </c>
      <c r="H11" s="10">
        <f>'[3]22b'!H11/'[3]22b'!$B11*100</f>
        <v>85.333333333333343</v>
      </c>
      <c r="I11" s="10">
        <f>'[3]22b'!I11/'[3]22b'!$B11*100</f>
        <v>69.333333333333343</v>
      </c>
      <c r="J11" s="10">
        <f>'[3]22b'!J11/'[3]22b'!$B11*100</f>
        <v>80</v>
      </c>
      <c r="K11" s="10">
        <f>'[3]22b'!K11/'[3]22b'!$B11*100</f>
        <v>62.666666666666671</v>
      </c>
      <c r="L11" s="10">
        <f>'[3]22b'!L11/'[3]22b'!$B11*100</f>
        <v>106.66666666666667</v>
      </c>
    </row>
    <row r="12" spans="1:12">
      <c r="A12" s="2">
        <v>2002</v>
      </c>
      <c r="B12" s="10">
        <f>'[3]22b'!B12/'[3]22b'!$B12*100</f>
        <v>100</v>
      </c>
      <c r="C12" s="10">
        <f>'[3]22b'!C12/'[3]22b'!$B12*100</f>
        <v>248.1012658227848</v>
      </c>
      <c r="D12" s="10">
        <f>'[3]22b'!D12/'[3]22b'!$B12*100</f>
        <v>155.69620253164558</v>
      </c>
      <c r="E12" s="10">
        <f>'[3]22b'!E12/'[3]22b'!$B12*100</f>
        <v>127.84810126582278</v>
      </c>
      <c r="F12" s="10">
        <f>'[3]22b'!F12/'[3]22b'!$B12*100</f>
        <v>135.44303797468353</v>
      </c>
      <c r="G12" s="10">
        <f>'[3]22b'!G12/'[3]22b'!$B12*100</f>
        <v>112.65822784810126</v>
      </c>
      <c r="H12" s="10">
        <f>'[3]22b'!H12/'[3]22b'!$B12*100</f>
        <v>91.139240506329116</v>
      </c>
      <c r="I12" s="10">
        <f>'[3]22b'!I12/'[3]22b'!$B12*100</f>
        <v>67.088607594936704</v>
      </c>
      <c r="J12" s="10">
        <f>'[3]22b'!J12/'[3]22b'!$B12*100</f>
        <v>73.417721518987335</v>
      </c>
      <c r="K12" s="10">
        <f>'[3]22b'!K12/'[3]22b'!$B12*100</f>
        <v>68.35443037974683</v>
      </c>
      <c r="L12" s="10">
        <f>'[3]22b'!L12/'[3]22b'!$B12*100</f>
        <v>111.39240506329114</v>
      </c>
    </row>
    <row r="13" spans="1:12">
      <c r="A13" s="2">
        <v>2003</v>
      </c>
      <c r="B13" s="10">
        <f>'[3]22b'!B13/'[3]22b'!$B13*100</f>
        <v>100</v>
      </c>
      <c r="C13" s="10">
        <f>'[3]22b'!C13/'[3]22b'!$B13*100</f>
        <v>244.87179487179489</v>
      </c>
      <c r="D13" s="10">
        <f>'[3]22b'!D13/'[3]22b'!$B13*100</f>
        <v>144.87179487179489</v>
      </c>
      <c r="E13" s="10">
        <f>'[3]22b'!E13/'[3]22b'!$B13*100</f>
        <v>121.79487179487181</v>
      </c>
      <c r="F13" s="10">
        <f>'[3]22b'!F13/'[3]22b'!$B13*100</f>
        <v>137.17948717948718</v>
      </c>
      <c r="G13" s="10">
        <f>'[3]22b'!G13/'[3]22b'!$B13*100</f>
        <v>119.23076923076925</v>
      </c>
      <c r="H13" s="10">
        <f>'[3]22b'!H13/'[3]22b'!$B13*100</f>
        <v>89.743589743589752</v>
      </c>
      <c r="I13" s="10">
        <f>'[3]22b'!I13/'[3]22b'!$B13*100</f>
        <v>66.666666666666671</v>
      </c>
      <c r="J13" s="10">
        <f>'[3]22b'!J13/'[3]22b'!$B13*100</f>
        <v>73.07692307692308</v>
      </c>
      <c r="K13" s="10">
        <f>'[3]22b'!K13/'[3]22b'!$B13*100</f>
        <v>65.384615384615387</v>
      </c>
      <c r="L13" s="10">
        <f>'[3]22b'!L13/'[3]22b'!$B13*100</f>
        <v>106.41025641025644</v>
      </c>
    </row>
    <row r="14" spans="1:12">
      <c r="A14" s="2">
        <v>2004</v>
      </c>
      <c r="B14" s="10">
        <f>'[3]22b'!B14/'[3]22b'!$B14*100</f>
        <v>100</v>
      </c>
      <c r="C14" s="10">
        <f>'[3]22b'!C14/'[3]22b'!$B14*100</f>
        <v>244.59459459459461</v>
      </c>
      <c r="D14" s="10">
        <f>'[3]22b'!D14/'[3]22b'!$B14*100</f>
        <v>155.40540540540539</v>
      </c>
      <c r="E14" s="10">
        <f>'[3]22b'!E14/'[3]22b'!$B14*100</f>
        <v>124.32432432432429</v>
      </c>
      <c r="F14" s="10">
        <f>'[3]22b'!F14/'[3]22b'!$B14*100</f>
        <v>137.83783783783784</v>
      </c>
      <c r="G14" s="10">
        <f>'[3]22b'!G14/'[3]22b'!$B14*100</f>
        <v>117.56756756756755</v>
      </c>
      <c r="H14" s="10">
        <f>'[3]22b'!H14/'[3]22b'!$B14*100</f>
        <v>93.243243243243242</v>
      </c>
      <c r="I14" s="10">
        <f>'[3]22b'!I14/'[3]22b'!$B14*100</f>
        <v>72.972972972972968</v>
      </c>
      <c r="J14" s="10">
        <f>'[3]22b'!J14/'[3]22b'!$B14*100</f>
        <v>74.324324324324323</v>
      </c>
      <c r="K14" s="10">
        <f>'[3]22b'!K14/'[3]22b'!$B14*100</f>
        <v>63.513513513513509</v>
      </c>
      <c r="L14" s="10">
        <f>'[3]22b'!L14/'[3]22b'!$B14*100</f>
        <v>98.648648648648646</v>
      </c>
    </row>
    <row r="15" spans="1:12">
      <c r="A15" s="2">
        <v>2005</v>
      </c>
      <c r="B15" s="10">
        <f>'[3]22b'!B15/'[3]22b'!$B15*100</f>
        <v>100</v>
      </c>
      <c r="C15" s="10">
        <f>'[3]22b'!C15/'[3]22b'!$B15*100</f>
        <v>253.62318840579707</v>
      </c>
      <c r="D15" s="10">
        <f>'[3]22b'!D15/'[3]22b'!$B15*100</f>
        <v>159.42028985507247</v>
      </c>
      <c r="E15" s="10">
        <f>'[3]22b'!E15/'[3]22b'!$B15*100</f>
        <v>127.53623188405798</v>
      </c>
      <c r="F15" s="10">
        <f>'[3]22b'!F15/'[3]22b'!$B15*100</f>
        <v>146.37681159420288</v>
      </c>
      <c r="G15" s="10">
        <f>'[3]22b'!G15/'[3]22b'!$B15*100</f>
        <v>121.73913043478262</v>
      </c>
      <c r="H15" s="10">
        <f>'[3]22b'!H15/'[3]22b'!$B15*100</f>
        <v>97.101449275362313</v>
      </c>
      <c r="I15" s="10">
        <f>'[3]22b'!I15/'[3]22b'!$B15*100</f>
        <v>71.014492753623188</v>
      </c>
      <c r="J15" s="10">
        <f>'[3]22b'!J15/'[3]22b'!$B15*100</f>
        <v>76.811594202898547</v>
      </c>
      <c r="K15" s="10">
        <f>'[3]22b'!K15/'[3]22b'!$B15*100</f>
        <v>57.971014492753625</v>
      </c>
      <c r="L15" s="10">
        <f>'[3]22b'!L15/'[3]22b'!$B15*100</f>
        <v>86.956521739130437</v>
      </c>
    </row>
    <row r="16" spans="1:12">
      <c r="A16" s="2">
        <v>2006</v>
      </c>
      <c r="B16" s="10">
        <f>'[3]22b'!B16/'[3]22b'!$B16*100</f>
        <v>100</v>
      </c>
      <c r="C16" s="10">
        <f>'[3]22b'!C16/'[3]22b'!$B16*100</f>
        <v>262.5</v>
      </c>
      <c r="D16" s="10">
        <f>'[3]22b'!D16/'[3]22b'!$B16*100</f>
        <v>176.5625</v>
      </c>
      <c r="E16" s="10">
        <f>'[3]22b'!E16/'[3]22b'!$B16*100</f>
        <v>128.12499999999997</v>
      </c>
      <c r="F16" s="10">
        <f>'[3]22b'!F16/'[3]22b'!$B16*100</f>
        <v>142.18749999999997</v>
      </c>
      <c r="G16" s="10">
        <f>'[3]22b'!G16/'[3]22b'!$B16*100</f>
        <v>128.12499999999997</v>
      </c>
      <c r="H16" s="10">
        <f>'[3]22b'!H16/'[3]22b'!$B16*100</f>
        <v>100</v>
      </c>
      <c r="I16" s="10">
        <f>'[3]22b'!I16/'[3]22b'!$B16*100</f>
        <v>68.75</v>
      </c>
      <c r="J16" s="10">
        <f>'[3]22b'!J16/'[3]22b'!$B16*100</f>
        <v>74.999999999999986</v>
      </c>
      <c r="K16" s="10">
        <f>'[3]22b'!K16/'[3]22b'!$B16*100</f>
        <v>54.6875</v>
      </c>
      <c r="L16" s="10">
        <f>'[3]22b'!L16/'[3]22b'!$B16*100</f>
        <v>74.999999999999986</v>
      </c>
    </row>
    <row r="17" spans="1:12">
      <c r="A17" s="2">
        <v>2007</v>
      </c>
      <c r="B17" s="10">
        <f>'[3]22b'!B17/'[3]22b'!$B17*100</f>
        <v>100</v>
      </c>
      <c r="C17" s="10">
        <f>'[3]22b'!C17/'[3]22b'!$B17*100</f>
        <v>250.81967213114757</v>
      </c>
      <c r="D17" s="10">
        <f>'[3]22b'!D17/'[3]22b'!$B17*100</f>
        <v>172.13114754098362</v>
      </c>
      <c r="E17" s="10">
        <f>'[3]22b'!E17/'[3]22b'!$B17*100</f>
        <v>136.06557377049182</v>
      </c>
      <c r="F17" s="10">
        <f>'[3]22b'!F17/'[3]22b'!$B17*100</f>
        <v>127.86885245901641</v>
      </c>
      <c r="G17" s="10">
        <f>'[3]22b'!G17/'[3]22b'!$B17*100</f>
        <v>119.67213114754098</v>
      </c>
      <c r="H17" s="10">
        <f>'[3]22b'!H17/'[3]22b'!$B17*100</f>
        <v>104.91803278688525</v>
      </c>
      <c r="I17" s="10">
        <f>'[3]22b'!I17/'[3]22b'!$B17*100</f>
        <v>72.131147540983619</v>
      </c>
      <c r="J17" s="10">
        <f>'[3]22b'!J17/'[3]22b'!$B17*100</f>
        <v>70.491803278688522</v>
      </c>
      <c r="K17" s="10">
        <f>'[3]22b'!K17/'[3]22b'!$B17*100</f>
        <v>57.37704918032788</v>
      </c>
      <c r="L17" s="10">
        <f>'[3]22b'!L17/'[3]22b'!$B17*100</f>
        <v>70.491803278688522</v>
      </c>
    </row>
    <row r="18" spans="1:12">
      <c r="A18" s="2">
        <v>2008</v>
      </c>
      <c r="B18" s="10">
        <f>'[3]22b'!B18/'[3]22b'!$B18*100</f>
        <v>100</v>
      </c>
      <c r="C18" s="10">
        <f>'[3]22b'!C18/'[3]22b'!$B18*100</f>
        <v>239.68253968253967</v>
      </c>
      <c r="D18" s="10">
        <f>'[3]22b'!D18/'[3]22b'!$B18*100</f>
        <v>173.01587301587301</v>
      </c>
      <c r="E18" s="10">
        <f>'[3]22b'!E18/'[3]22b'!$B18*100</f>
        <v>125.39682539682539</v>
      </c>
      <c r="F18" s="10">
        <f>'[3]22b'!F18/'[3]22b'!$B18*100</f>
        <v>139.6825396825397</v>
      </c>
      <c r="G18" s="10">
        <f>'[3]22b'!G18/'[3]22b'!$B18*100</f>
        <v>117.46031746031747</v>
      </c>
      <c r="H18" s="10">
        <f>'[3]22b'!H18/'[3]22b'!$B18*100</f>
        <v>104.76190476190477</v>
      </c>
      <c r="I18" s="10">
        <f>'[3]22b'!I18/'[3]22b'!$B18*100</f>
        <v>66.666666666666671</v>
      </c>
      <c r="J18" s="10">
        <f>'[3]22b'!J18/'[3]22b'!$B18*100</f>
        <v>66.666666666666671</v>
      </c>
      <c r="K18" s="10">
        <f>'[3]22b'!K18/'[3]22b'!$B18*100</f>
        <v>57.142857142857153</v>
      </c>
      <c r="L18" s="10">
        <f>'[3]22b'!L18/'[3]22b'!$B18*100</f>
        <v>74.603174603174608</v>
      </c>
    </row>
    <row r="19" spans="1:12">
      <c r="A19" s="2"/>
      <c r="G19" s="1" t="s">
        <v>802</v>
      </c>
    </row>
    <row r="20" spans="1:12">
      <c r="A20" s="119" t="s">
        <v>531</v>
      </c>
      <c r="B20" s="644" t="s">
        <v>744</v>
      </c>
      <c r="C20" s="644">
        <f>((((C10/C7))^(1/3))-1)*100</f>
        <v>4.3345453671736811</v>
      </c>
      <c r="D20" s="644">
        <f t="shared" ref="D20:L20" si="0">((((D10/D7))^(1/3))-1)*100</f>
        <v>1.7114232764481763</v>
      </c>
      <c r="E20" s="644">
        <f t="shared" si="0"/>
        <v>0.31085387324429892</v>
      </c>
      <c r="F20" s="644">
        <f t="shared" si="0"/>
        <v>0.57603813038789031</v>
      </c>
      <c r="G20" s="644">
        <f t="shared" si="0"/>
        <v>-0.48724670960909044</v>
      </c>
      <c r="H20" s="644">
        <f t="shared" si="0"/>
        <v>-2.8832273436761979</v>
      </c>
      <c r="I20" s="644">
        <f t="shared" si="0"/>
        <v>0.32553637548460301</v>
      </c>
      <c r="J20" s="644">
        <f t="shared" si="0"/>
        <v>4.8517597677886659</v>
      </c>
      <c r="K20" s="644">
        <f t="shared" si="0"/>
        <v>4.5324771584171142</v>
      </c>
      <c r="L20" s="644">
        <f t="shared" si="0"/>
        <v>4.260032948828929</v>
      </c>
    </row>
    <row r="21" spans="1:12">
      <c r="A21" s="119" t="s">
        <v>1410</v>
      </c>
      <c r="B21" s="644" t="s">
        <v>744</v>
      </c>
      <c r="C21" s="644">
        <f>((((C18/C10))^(1/8))-1)*100</f>
        <v>-2.4189357988835036</v>
      </c>
      <c r="D21" s="644">
        <f>((((D18/D10))^(1/8))-1)*100</f>
        <v>-0.11728782307973695</v>
      </c>
      <c r="E21" s="644">
        <f t="shared" ref="E21:L21" si="1">((((E18/E10))^(1/8))-1)*100</f>
        <v>-1.3178252218181252</v>
      </c>
      <c r="F21" s="644">
        <f t="shared" si="1"/>
        <v>-0.71094058819298755</v>
      </c>
      <c r="G21" s="644">
        <f t="shared" si="1"/>
        <v>-0.66933205984471833</v>
      </c>
      <c r="H21" s="644">
        <f t="shared" si="1"/>
        <v>2.9381159949279034</v>
      </c>
      <c r="I21" s="644">
        <f t="shared" si="1"/>
        <v>-0.92830023853025523</v>
      </c>
      <c r="J21" s="644">
        <f t="shared" si="1"/>
        <v>-1.6336251864642604</v>
      </c>
      <c r="K21" s="644">
        <f t="shared" si="1"/>
        <v>-2.8190219699191443</v>
      </c>
      <c r="L21" s="644">
        <f t="shared" si="1"/>
        <v>-3.9302634746999021</v>
      </c>
    </row>
    <row r="22" spans="1:12">
      <c r="A22" s="119" t="s">
        <v>1747</v>
      </c>
      <c r="B22" s="644" t="s">
        <v>744</v>
      </c>
      <c r="C22" s="644">
        <f>((((C18/C7))^(1/11))-1)*100</f>
        <v>-0.62166694625072072</v>
      </c>
      <c r="D22" s="644">
        <f t="shared" ref="D22:L22" si="2">((((D18/D7))^(1/11))-1)*100</f>
        <v>0.37816569756028429</v>
      </c>
      <c r="E22" s="644">
        <f t="shared" si="2"/>
        <v>-0.87628076790157161</v>
      </c>
      <c r="F22" s="644">
        <f t="shared" si="2"/>
        <v>-0.3615885410894415</v>
      </c>
      <c r="G22" s="644">
        <f t="shared" si="2"/>
        <v>-0.61970548660972291</v>
      </c>
      <c r="H22" s="644">
        <f t="shared" si="2"/>
        <v>1.31672234236615</v>
      </c>
      <c r="I22" s="644">
        <f t="shared" si="2"/>
        <v>-0.58790715163500318</v>
      </c>
      <c r="J22" s="644">
        <f t="shared" si="2"/>
        <v>9.4251543746826094E-2</v>
      </c>
      <c r="K22" s="644">
        <f t="shared" si="2"/>
        <v>-0.86693546790134191</v>
      </c>
      <c r="L22" s="644">
        <f t="shared" si="2"/>
        <v>-1.7625812057856405</v>
      </c>
    </row>
    <row r="23" spans="1:12">
      <c r="A23" s="119"/>
      <c r="G23" s="1" t="s">
        <v>276</v>
      </c>
    </row>
    <row r="24" spans="1:12" ht="22.15" customHeight="1">
      <c r="A24" s="119" t="s">
        <v>1393</v>
      </c>
      <c r="B24" s="644" t="s">
        <v>744</v>
      </c>
      <c r="C24" s="644">
        <f>(C18/C7-1)*100</f>
        <v>-6.6296933766813337</v>
      </c>
      <c r="D24" s="644">
        <f t="shared" ref="D24:L24" si="3">(D18/D7-1)*100</f>
        <v>4.2393769101843448</v>
      </c>
      <c r="E24" s="644">
        <f t="shared" si="3"/>
        <v>-9.2276711679696977</v>
      </c>
      <c r="F24" s="644">
        <f t="shared" si="3"/>
        <v>-3.9063379488911365</v>
      </c>
      <c r="G24" s="644">
        <f t="shared" si="3"/>
        <v>-6.6094197241738151</v>
      </c>
      <c r="H24" s="644">
        <f t="shared" si="3"/>
        <v>15.476190476190489</v>
      </c>
      <c r="I24" s="644">
        <f t="shared" si="3"/>
        <v>-6.2801932367149931</v>
      </c>
      <c r="J24" s="644">
        <f t="shared" si="3"/>
        <v>1.0416666666666519</v>
      </c>
      <c r="K24" s="644">
        <f t="shared" si="3"/>
        <v>-9.1334894613582911</v>
      </c>
      <c r="L24" s="644">
        <f t="shared" si="3"/>
        <v>-17.766955266955264</v>
      </c>
    </row>
    <row r="25" spans="1:12" ht="22.15" customHeight="1"/>
    <row r="26" spans="1:12">
      <c r="B26" s="667" t="s">
        <v>504</v>
      </c>
      <c r="C26" s="667"/>
      <c r="D26" s="667"/>
      <c r="E26" s="667"/>
      <c r="F26" s="667"/>
      <c r="G26" s="667"/>
      <c r="H26" s="667"/>
      <c r="I26" s="667"/>
      <c r="J26" s="667"/>
      <c r="K26" s="667"/>
      <c r="L26" s="667"/>
    </row>
    <row r="27" spans="1:12">
      <c r="A27" s="2">
        <v>1997</v>
      </c>
      <c r="B27" s="10">
        <f>'[3]22b'!B27/'[3]22b'!$B27*100</f>
        <v>100</v>
      </c>
      <c r="C27" s="10">
        <f>'[3]22b'!C27/'[3]22b'!$B27*100</f>
        <v>197.5609756097561</v>
      </c>
      <c r="D27" s="10">
        <f>'[3]22b'!D27/'[3]22b'!$B27*100</f>
        <v>160.16260162601625</v>
      </c>
      <c r="E27" s="10">
        <f>'[3]22b'!E27/'[3]22b'!$B27*100</f>
        <v>139.83739837398372</v>
      </c>
      <c r="F27" s="10">
        <f>'[3]22b'!F27/'[3]22b'!$B27*100</f>
        <v>137.39837398373982</v>
      </c>
      <c r="G27" s="10">
        <f>'[3]22b'!G27/'[3]22b'!$B27*100</f>
        <v>121.95121951219512</v>
      </c>
      <c r="H27" s="10">
        <f>'[3]22b'!H27/'[3]22b'!$B27*100</f>
        <v>91.869918699186996</v>
      </c>
      <c r="I27" s="10">
        <f>'[3]22b'!I27/'[3]22b'!$B27*100</f>
        <v>76.422764227642276</v>
      </c>
      <c r="J27" s="10">
        <f>'[3]22b'!J27/'[3]22b'!$B27*100</f>
        <v>73.170731707317074</v>
      </c>
      <c r="K27" s="10">
        <f>'[3]22b'!K27/'[3]22b'!$B27*100</f>
        <v>65.040650406504056</v>
      </c>
      <c r="L27" s="10">
        <f>'[3]22b'!L27/'[3]22b'!$B27*100</f>
        <v>93.495934959349597</v>
      </c>
    </row>
    <row r="28" spans="1:12">
      <c r="A28" s="2">
        <v>1998</v>
      </c>
      <c r="B28" s="10">
        <f>'[3]22b'!B28/'[3]22b'!$B28*100</f>
        <v>100</v>
      </c>
      <c r="C28" s="10">
        <f>'[3]22b'!C28/'[3]22b'!$B28*100</f>
        <v>208.92857142857144</v>
      </c>
      <c r="D28" s="10">
        <f>'[3]22b'!D28/'[3]22b'!$B28*100</f>
        <v>162.5</v>
      </c>
      <c r="E28" s="10">
        <f>'[3]22b'!E28/'[3]22b'!$B28*100</f>
        <v>132.14285714285717</v>
      </c>
      <c r="F28" s="10">
        <f>'[3]22b'!F28/'[3]22b'!$B28*100</f>
        <v>141.96428571428572</v>
      </c>
      <c r="G28" s="10">
        <f>'[3]22b'!G28/'[3]22b'!$B28*100</f>
        <v>119.64285714285717</v>
      </c>
      <c r="H28" s="10">
        <f>'[3]22b'!H28/'[3]22b'!$B28*100</f>
        <v>86.607142857142861</v>
      </c>
      <c r="I28" s="10">
        <f>'[3]22b'!I28/'[3]22b'!$B28*100</f>
        <v>72.321428571428569</v>
      </c>
      <c r="J28" s="10">
        <f>'[3]22b'!J28/'[3]22b'!$B28*100</f>
        <v>77.678571428571431</v>
      </c>
      <c r="K28" s="10">
        <f>'[3]22b'!K28/'[3]22b'!$B28*100</f>
        <v>67.857142857142861</v>
      </c>
      <c r="L28" s="10">
        <f>'[3]22b'!L28/'[3]22b'!$B28*100</f>
        <v>108.92857142857142</v>
      </c>
    </row>
    <row r="29" spans="1:12">
      <c r="A29" s="2">
        <v>1999</v>
      </c>
      <c r="B29" s="10">
        <f>'[3]22b'!B29/'[3]22b'!$B29*100</f>
        <v>100</v>
      </c>
      <c r="C29" s="10">
        <f>'[3]22b'!C29/'[3]22b'!$B29*100</f>
        <v>216</v>
      </c>
      <c r="D29" s="10">
        <f>'[3]22b'!D29/'[3]22b'!$B29*100</f>
        <v>178</v>
      </c>
      <c r="E29" s="10">
        <f>'[3]22b'!E29/'[3]22b'!$B29*100</f>
        <v>131.99999999999997</v>
      </c>
      <c r="F29" s="10">
        <f>'[3]22b'!F29/'[3]22b'!$B29*100</f>
        <v>135</v>
      </c>
      <c r="G29" s="10">
        <f>'[3]22b'!G29/'[3]22b'!$B29*100</f>
        <v>120</v>
      </c>
      <c r="H29" s="10">
        <f>'[3]22b'!H29/'[3]22b'!$B29*100</f>
        <v>83</v>
      </c>
      <c r="I29" s="10">
        <f>'[3]22b'!I29/'[3]22b'!$B29*100</f>
        <v>78</v>
      </c>
      <c r="J29" s="10">
        <f>'[3]22b'!J29/'[3]22b'!$B29*100</f>
        <v>88.000000000000014</v>
      </c>
      <c r="K29" s="10">
        <f>'[3]22b'!K29/'[3]22b'!$B29*100</f>
        <v>76</v>
      </c>
      <c r="L29" s="10">
        <f>'[3]22b'!L29/'[3]22b'!$B29*100</f>
        <v>115.99999999999999</v>
      </c>
    </row>
    <row r="30" spans="1:12">
      <c r="A30" s="2">
        <v>2000</v>
      </c>
      <c r="B30" s="10">
        <f>'[3]22b'!B30/'[3]22b'!$B30*100</f>
        <v>100</v>
      </c>
      <c r="C30" s="10">
        <f>'[3]22b'!C30/'[3]22b'!$B30*100</f>
        <v>227.47252747252747</v>
      </c>
      <c r="D30" s="10">
        <f>'[3]22b'!D30/'[3]22b'!$B30*100</f>
        <v>167.03296703296704</v>
      </c>
      <c r="E30" s="10">
        <f>'[3]22b'!E30/'[3]22b'!$B30*100</f>
        <v>136.26373626373626</v>
      </c>
      <c r="F30" s="10">
        <f>'[3]22b'!F30/'[3]22b'!$B30*100</f>
        <v>138.46153846153845</v>
      </c>
      <c r="G30" s="10">
        <f>'[3]22b'!G30/'[3]22b'!$B30*100</f>
        <v>121.97802197802199</v>
      </c>
      <c r="H30" s="10">
        <f>'[3]22b'!H30/'[3]22b'!$B30*100</f>
        <v>83.516483516483518</v>
      </c>
      <c r="I30" s="10">
        <f>'[3]22b'!I30/'[3]22b'!$B30*100</f>
        <v>75.824175824175839</v>
      </c>
      <c r="J30" s="10">
        <f>'[3]22b'!J30/'[3]22b'!$B30*100</f>
        <v>81.318681318681328</v>
      </c>
      <c r="K30" s="10">
        <f>'[3]22b'!K30/'[3]22b'!$B30*100</f>
        <v>72.527472527472526</v>
      </c>
      <c r="L30" s="10">
        <f>'[3]22b'!L30/'[3]22b'!$B30*100</f>
        <v>110.98901098901099</v>
      </c>
    </row>
    <row r="31" spans="1:12">
      <c r="A31" s="2">
        <v>2001</v>
      </c>
      <c r="B31" s="10">
        <f>'[3]22b'!B31/'[3]22b'!$B31*100</f>
        <v>100</v>
      </c>
      <c r="C31" s="10">
        <f>'[3]22b'!C31/'[3]22b'!$B31*100</f>
        <v>212.7659574468085</v>
      </c>
      <c r="D31" s="10">
        <f>'[3]22b'!D31/'[3]22b'!$B31*100</f>
        <v>157.44680851063831</v>
      </c>
      <c r="E31" s="10">
        <f>'[3]22b'!E31/'[3]22b'!$B31*100</f>
        <v>131.91489361702128</v>
      </c>
      <c r="F31" s="10">
        <f>'[3]22b'!F31/'[3]22b'!$B31*100</f>
        <v>143.61702127659575</v>
      </c>
      <c r="G31" s="10">
        <f>'[3]22b'!G31/'[3]22b'!$B31*100</f>
        <v>117.02127659574468</v>
      </c>
      <c r="H31" s="10">
        <f>'[3]22b'!H31/'[3]22b'!$B31*100</f>
        <v>88.297872340425528</v>
      </c>
      <c r="I31" s="10">
        <f>'[3]22b'!I31/'[3]22b'!$B31*100</f>
        <v>75.531914893617014</v>
      </c>
      <c r="J31" s="10">
        <f>'[3]22b'!J31/'[3]22b'!$B31*100</f>
        <v>87.234042553191486</v>
      </c>
      <c r="K31" s="10">
        <f>'[3]22b'!K31/'[3]22b'!$B31*100</f>
        <v>64.893617021276597</v>
      </c>
      <c r="L31" s="10">
        <f>'[3]22b'!L31/'[3]22b'!$B31*100</f>
        <v>115.95744680851064</v>
      </c>
    </row>
    <row r="32" spans="1:12">
      <c r="A32" s="2">
        <v>2002</v>
      </c>
      <c r="B32" s="10">
        <f>'[3]22b'!B32/'[3]22b'!$B32*100</f>
        <v>100</v>
      </c>
      <c r="C32" s="10">
        <f>'[3]22b'!C32/'[3]22b'!$B32*100</f>
        <v>208.91089108910893</v>
      </c>
      <c r="D32" s="10">
        <f>'[3]22b'!D32/'[3]22b'!$B32*100</f>
        <v>147.52475247524751</v>
      </c>
      <c r="E32" s="10">
        <f>'[3]22b'!E32/'[3]22b'!$B32*100</f>
        <v>126.73267326732673</v>
      </c>
      <c r="F32" s="10">
        <f>'[3]22b'!F32/'[3]22b'!$B32*100</f>
        <v>124.75247524752476</v>
      </c>
      <c r="G32" s="10">
        <f>'[3]22b'!G32/'[3]22b'!$B32*100</f>
        <v>108.91089108910892</v>
      </c>
      <c r="H32" s="10">
        <f>'[3]22b'!H32/'[3]22b'!$B32*100</f>
        <v>91.089108910891085</v>
      </c>
      <c r="I32" s="10">
        <f>'[3]22b'!I32/'[3]22b'!$B32*100</f>
        <v>71.287128712871294</v>
      </c>
      <c r="J32" s="10">
        <f>'[3]22b'!J32/'[3]22b'!$B32*100</f>
        <v>83.168316831683171</v>
      </c>
      <c r="K32" s="10">
        <f>'[3]22b'!K32/'[3]22b'!$B32*100</f>
        <v>68.316831683168317</v>
      </c>
      <c r="L32" s="10">
        <f>'[3]22b'!L32/'[3]22b'!$B32*100</f>
        <v>121.78217821782181</v>
      </c>
    </row>
    <row r="33" spans="1:13">
      <c r="A33" s="2">
        <v>2003</v>
      </c>
      <c r="B33" s="10">
        <f>'[3]22b'!B33/'[3]22b'!$B33*100</f>
        <v>100</v>
      </c>
      <c r="C33" s="10">
        <f>'[3]22b'!C33/'[3]22b'!$B33*100</f>
        <v>204.95049504950495</v>
      </c>
      <c r="D33" s="10">
        <f>'[3]22b'!D33/'[3]22b'!$B33*100</f>
        <v>137.62376237623764</v>
      </c>
      <c r="E33" s="10">
        <f>'[3]22b'!E33/'[3]22b'!$B33*100</f>
        <v>118.8118811881188</v>
      </c>
      <c r="F33" s="10">
        <f>'[3]22b'!F33/'[3]22b'!$B33*100</f>
        <v>126.73267326732673</v>
      </c>
      <c r="G33" s="10">
        <f>'[3]22b'!G33/'[3]22b'!$B33*100</f>
        <v>112.87128712871288</v>
      </c>
      <c r="H33" s="10">
        <f>'[3]22b'!H33/'[3]22b'!$B33*100</f>
        <v>92.079207920792101</v>
      </c>
      <c r="I33" s="10">
        <f>'[3]22b'!I33/'[3]22b'!$B33*100</f>
        <v>71.287128712871294</v>
      </c>
      <c r="J33" s="10">
        <f>'[3]22b'!J33/'[3]22b'!$B33*100</f>
        <v>81.188118811881182</v>
      </c>
      <c r="K33" s="10">
        <f>'[3]22b'!K33/'[3]22b'!$B33*100</f>
        <v>66.336633663366342</v>
      </c>
      <c r="L33" s="10">
        <f>'[3]22b'!L33/'[3]22b'!$B33*100</f>
        <v>117.82178217821783</v>
      </c>
    </row>
    <row r="34" spans="1:13">
      <c r="A34" s="2">
        <v>2004</v>
      </c>
      <c r="B34" s="10">
        <f>'[3]22b'!B34/'[3]22b'!$B34*100</f>
        <v>100</v>
      </c>
      <c r="C34" s="10">
        <f>'[3]22b'!C34/'[3]22b'!$B34*100</f>
        <v>208.42105263157896</v>
      </c>
      <c r="D34" s="10">
        <f>'[3]22b'!D34/'[3]22b'!$B34*100</f>
        <v>151.57894736842107</v>
      </c>
      <c r="E34" s="10">
        <f>'[3]22b'!E34/'[3]22b'!$B34*100</f>
        <v>122.10526315789474</v>
      </c>
      <c r="F34" s="10">
        <f>'[3]22b'!F34/'[3]22b'!$B34*100</f>
        <v>129.47368421052633</v>
      </c>
      <c r="G34" s="10">
        <f>'[3]22b'!G34/'[3]22b'!$B34*100</f>
        <v>112.63157894736841</v>
      </c>
      <c r="H34" s="10">
        <f>'[3]22b'!H34/'[3]22b'!$B34*100</f>
        <v>92.631578947368425</v>
      </c>
      <c r="I34" s="10">
        <f>'[3]22b'!I34/'[3]22b'!$B34*100</f>
        <v>76.84210526315789</v>
      </c>
      <c r="J34" s="10">
        <f>'[3]22b'!J34/'[3]22b'!$B34*100</f>
        <v>84.210526315789465</v>
      </c>
      <c r="K34" s="10">
        <f>'[3]22b'!K34/'[3]22b'!$B34*100</f>
        <v>65.26315789473685</v>
      </c>
      <c r="L34" s="10">
        <f>'[3]22b'!L34/'[3]22b'!$B34*100</f>
        <v>108.42105263157895</v>
      </c>
    </row>
    <row r="35" spans="1:13">
      <c r="A35" s="2">
        <v>2005</v>
      </c>
      <c r="B35" s="10">
        <f>'[3]22b'!B35/'[3]22b'!$B35*100</f>
        <v>100</v>
      </c>
      <c r="C35" s="10">
        <f>'[3]22b'!C35/'[3]22b'!$B35*100</f>
        <v>213.48314606741573</v>
      </c>
      <c r="D35" s="10">
        <f>'[3]22b'!D35/'[3]22b'!$B35*100</f>
        <v>153.9325842696629</v>
      </c>
      <c r="E35" s="10">
        <f>'[3]22b'!E35/'[3]22b'!$B35*100</f>
        <v>126.96629213483146</v>
      </c>
      <c r="F35" s="10">
        <f>'[3]22b'!F35/'[3]22b'!$B35*100</f>
        <v>138.20224719101125</v>
      </c>
      <c r="G35" s="10">
        <f>'[3]22b'!G35/'[3]22b'!$B35*100</f>
        <v>115.73033707865167</v>
      </c>
      <c r="H35" s="10">
        <f>'[3]22b'!H35/'[3]22b'!$B35*100</f>
        <v>97.752808988764031</v>
      </c>
      <c r="I35" s="10">
        <f>'[3]22b'!I35/'[3]22b'!$B35*100</f>
        <v>76.404494382022463</v>
      </c>
      <c r="J35" s="10">
        <f>'[3]22b'!J35/'[3]22b'!$B35*100</f>
        <v>83.146067415730343</v>
      </c>
      <c r="K35" s="10">
        <f>'[3]22b'!K35/'[3]22b'!$B35*100</f>
        <v>59.550561797752813</v>
      </c>
      <c r="L35" s="10">
        <f>'[3]22b'!L35/'[3]22b'!$B35*100</f>
        <v>94.382022471910105</v>
      </c>
    </row>
    <row r="36" spans="1:13">
      <c r="A36" s="2">
        <v>2006</v>
      </c>
      <c r="B36" s="10">
        <f>'[3]22b'!B36/'[3]22b'!$B36*100</f>
        <v>100</v>
      </c>
      <c r="C36" s="10">
        <f>'[3]22b'!C36/'[3]22b'!$B36*100</f>
        <v>224.39024390243904</v>
      </c>
      <c r="D36" s="10">
        <f>'[3]22b'!D36/'[3]22b'!$B36*100</f>
        <v>165.85365853658539</v>
      </c>
      <c r="E36" s="10">
        <f>'[3]22b'!E36/'[3]22b'!$B36*100</f>
        <v>129.26829268292684</v>
      </c>
      <c r="F36" s="10">
        <f>'[3]22b'!F36/'[3]22b'!$B36*100</f>
        <v>136.58536585365854</v>
      </c>
      <c r="G36" s="10">
        <f>'[3]22b'!G36/'[3]22b'!$B36*100</f>
        <v>121.95121951219514</v>
      </c>
      <c r="H36" s="10">
        <f>'[3]22b'!H36/'[3]22b'!$B36*100</f>
        <v>100</v>
      </c>
      <c r="I36" s="10">
        <f>'[3]22b'!I36/'[3]22b'!$B36*100</f>
        <v>74.390243902439025</v>
      </c>
      <c r="J36" s="10">
        <f>'[3]22b'!J36/'[3]22b'!$B36*100</f>
        <v>80.487804878048792</v>
      </c>
      <c r="K36" s="10">
        <f>'[3]22b'!K36/'[3]22b'!$B36*100</f>
        <v>53.658536585365866</v>
      </c>
      <c r="L36" s="10">
        <f>'[3]22b'!L36/'[3]22b'!$B36*100</f>
        <v>82.926829268292693</v>
      </c>
    </row>
    <row r="37" spans="1:13">
      <c r="A37" s="2">
        <v>2007</v>
      </c>
      <c r="B37" s="10">
        <f>'[3]22b'!B37/'[3]22b'!$B37*100</f>
        <v>100</v>
      </c>
      <c r="C37" s="10">
        <f>'[3]22b'!C37/'[3]22b'!$B37*100</f>
        <v>214.10256410256409</v>
      </c>
      <c r="D37" s="10">
        <f>'[3]22b'!D37/'[3]22b'!$B37*100</f>
        <v>164.10256410256412</v>
      </c>
      <c r="E37" s="10">
        <f>'[3]22b'!E37/'[3]22b'!$B37*100</f>
        <v>135.89743589743591</v>
      </c>
      <c r="F37" s="10">
        <f>'[3]22b'!F37/'[3]22b'!$B37*100</f>
        <v>123.07692307692308</v>
      </c>
      <c r="G37" s="10">
        <f>'[3]22b'!G37/'[3]22b'!$B37*100</f>
        <v>115.3846153846154</v>
      </c>
      <c r="H37" s="10">
        <f>'[3]22b'!H37/'[3]22b'!$B37*100</f>
        <v>106.41025641025644</v>
      </c>
      <c r="I37" s="10">
        <f>'[3]22b'!I37/'[3]22b'!$B37*100</f>
        <v>75.641025641025649</v>
      </c>
      <c r="J37" s="10">
        <f>'[3]22b'!J37/'[3]22b'!$B37*100</f>
        <v>74.358974358974365</v>
      </c>
      <c r="K37" s="10">
        <f>'[3]22b'!K37/'[3]22b'!$B37*100</f>
        <v>53.846153846153854</v>
      </c>
      <c r="L37" s="10">
        <f>'[3]22b'!L37/'[3]22b'!$B37*100</f>
        <v>76.923076923076934</v>
      </c>
    </row>
    <row r="38" spans="1:13">
      <c r="A38" s="2">
        <v>2008</v>
      </c>
      <c r="B38" s="10">
        <f>'[3]22b'!B38/'[3]22b'!$B38*100</f>
        <v>100</v>
      </c>
      <c r="C38" s="10">
        <f>'[3]22b'!C38/'[3]22b'!$B38*100</f>
        <v>202.5</v>
      </c>
      <c r="D38" s="10">
        <f>'[3]22b'!D38/'[3]22b'!$B38*100</f>
        <v>165</v>
      </c>
      <c r="E38" s="10">
        <f>'[3]22b'!E38/'[3]22b'!$B38*100</f>
        <v>126.25</v>
      </c>
      <c r="F38" s="10">
        <f>'[3]22b'!F38/'[3]22b'!$B38*100</f>
        <v>132.5</v>
      </c>
      <c r="G38" s="10">
        <f>'[3]22b'!G38/'[3]22b'!$B38*100</f>
        <v>113.75</v>
      </c>
      <c r="H38" s="10">
        <f>'[3]22b'!H38/'[3]22b'!$B38*100</f>
        <v>107.5</v>
      </c>
      <c r="I38" s="10">
        <f>'[3]22b'!I38/'[3]22b'!$B38*100</f>
        <v>71.25</v>
      </c>
      <c r="J38" s="10">
        <f>'[3]22b'!J38/'[3]22b'!$B38*100</f>
        <v>71.25</v>
      </c>
      <c r="K38" s="10">
        <f>'[3]22b'!K38/'[3]22b'!$B38*100</f>
        <v>53.75</v>
      </c>
      <c r="L38" s="10">
        <f>'[3]22b'!L38/'[3]22b'!$B38*100</f>
        <v>81.25</v>
      </c>
    </row>
    <row r="39" spans="1:13">
      <c r="A39" s="2"/>
      <c r="G39" s="1" t="s">
        <v>802</v>
      </c>
    </row>
    <row r="40" spans="1:13">
      <c r="A40" s="119" t="s">
        <v>531</v>
      </c>
      <c r="B40" s="644" t="s">
        <v>744</v>
      </c>
      <c r="C40" s="644">
        <f>((((C30/C27))^(1/3))-1)*100</f>
        <v>4.8115789814752841</v>
      </c>
      <c r="D40" s="644">
        <f t="shared" ref="D40:L40" si="4">((((D30/D27))^(1/3))-1)*100</f>
        <v>1.4099013638283031</v>
      </c>
      <c r="E40" s="644">
        <f t="shared" si="4"/>
        <v>-0.85922281092808417</v>
      </c>
      <c r="F40" s="644">
        <f t="shared" si="4"/>
        <v>0.25726505619874107</v>
      </c>
      <c r="G40" s="644">
        <f t="shared" si="4"/>
        <v>7.3254706876912934E-3</v>
      </c>
      <c r="H40" s="644">
        <f t="shared" si="4"/>
        <v>-3.1276974347655195</v>
      </c>
      <c r="I40" s="644">
        <f t="shared" si="4"/>
        <v>-0.26177107433189573</v>
      </c>
      <c r="J40" s="644">
        <f t="shared" si="4"/>
        <v>3.5820041786760459</v>
      </c>
      <c r="K40" s="644">
        <f t="shared" si="4"/>
        <v>3.6985194672082944</v>
      </c>
      <c r="L40" s="644">
        <f t="shared" si="4"/>
        <v>5.8836939783886821</v>
      </c>
    </row>
    <row r="41" spans="1:13">
      <c r="A41" s="119" t="s">
        <v>1410</v>
      </c>
      <c r="B41" s="644" t="s">
        <v>744</v>
      </c>
      <c r="C41" s="644">
        <f>((((C38/C30))^(1/8))-1)*100</f>
        <v>-1.4431057807699377</v>
      </c>
      <c r="D41" s="644">
        <f t="shared" ref="D41:L41" si="5">((((D37/D30))^(1/7))-1)*100</f>
        <v>-0.25253170228068944</v>
      </c>
      <c r="E41" s="644">
        <f t="shared" si="5"/>
        <v>-3.84467739859784E-2</v>
      </c>
      <c r="F41" s="644">
        <f t="shared" si="5"/>
        <v>-1.6685378962577158</v>
      </c>
      <c r="G41" s="644">
        <f t="shared" si="5"/>
        <v>-0.79071230923956071</v>
      </c>
      <c r="H41" s="644">
        <f t="shared" si="5"/>
        <v>3.5214113419398396</v>
      </c>
      <c r="I41" s="644">
        <f t="shared" si="5"/>
        <v>-3.4542330823883471E-2</v>
      </c>
      <c r="J41" s="644">
        <f t="shared" si="5"/>
        <v>-1.2700290869448239</v>
      </c>
      <c r="K41" s="644">
        <f t="shared" si="5"/>
        <v>-4.1655323079514917</v>
      </c>
      <c r="L41" s="644">
        <f t="shared" si="5"/>
        <v>-5.1027101993700752</v>
      </c>
    </row>
    <row r="42" spans="1:13">
      <c r="A42" s="119" t="s">
        <v>1747</v>
      </c>
      <c r="B42" s="644" t="s">
        <v>744</v>
      </c>
      <c r="C42" s="644">
        <f>((((C38/C27))^(1/11))-1)*100</f>
        <v>0.22473043743569399</v>
      </c>
      <c r="D42" s="644">
        <f>((((D38/D27))^(1/11))-1)*100</f>
        <v>0.27087451793230688</v>
      </c>
      <c r="E42" s="644">
        <f t="shared" ref="E42:L42" si="6">((((E38/E27))^(1/11))-1)*100</f>
        <v>-0.92493445957932963</v>
      </c>
      <c r="F42" s="644">
        <f t="shared" si="6"/>
        <v>-0.32947331529501467</v>
      </c>
      <c r="G42" s="644">
        <f t="shared" si="6"/>
        <v>-0.63089297715605008</v>
      </c>
      <c r="H42" s="644">
        <f t="shared" si="6"/>
        <v>1.4385876563836719</v>
      </c>
      <c r="I42" s="644">
        <f t="shared" si="6"/>
        <v>-0.63511812369257958</v>
      </c>
      <c r="J42" s="644">
        <f t="shared" si="6"/>
        <v>-0.24153222037244237</v>
      </c>
      <c r="K42" s="644">
        <f t="shared" si="6"/>
        <v>-1.718416576681836</v>
      </c>
      <c r="L42" s="644">
        <f t="shared" si="6"/>
        <v>-1.2681372144099146</v>
      </c>
    </row>
    <row r="43" spans="1:13">
      <c r="A43" s="119"/>
      <c r="G43" s="1" t="s">
        <v>276</v>
      </c>
    </row>
    <row r="44" spans="1:13">
      <c r="A44" s="119" t="s">
        <v>1393</v>
      </c>
      <c r="B44" s="644" t="s">
        <v>744</v>
      </c>
      <c r="C44" s="644">
        <f>(C38/C27-1)*100</f>
        <v>2.4999999999999911</v>
      </c>
      <c r="D44" s="644">
        <f t="shared" ref="D44:L44" si="7">(D38/D27-1)*100</f>
        <v>3.0203045685279317</v>
      </c>
      <c r="E44" s="644">
        <f t="shared" si="7"/>
        <v>-9.7165697674418396</v>
      </c>
      <c r="F44" s="644">
        <f t="shared" si="7"/>
        <v>-3.5650887573964396</v>
      </c>
      <c r="G44" s="644">
        <f t="shared" si="7"/>
        <v>-6.7250000000000032</v>
      </c>
      <c r="H44" s="644">
        <f t="shared" si="7"/>
        <v>17.013274336283189</v>
      </c>
      <c r="I44" s="644">
        <f t="shared" si="7"/>
        <v>-6.7686170212765902</v>
      </c>
      <c r="J44" s="644">
        <f t="shared" si="7"/>
        <v>-2.6249999999999996</v>
      </c>
      <c r="K44" s="644">
        <f t="shared" si="7"/>
        <v>-17.359374999999989</v>
      </c>
      <c r="L44" s="644">
        <f t="shared" si="7"/>
        <v>-13.097826086956522</v>
      </c>
    </row>
    <row r="46" spans="1:13" ht="13.9" customHeight="1">
      <c r="A46" s="1208" t="s">
        <v>201</v>
      </c>
      <c r="B46" s="1208"/>
      <c r="C46" s="1208"/>
      <c r="D46" s="1208"/>
      <c r="E46" s="1208"/>
      <c r="F46" s="1208"/>
      <c r="G46" s="1208"/>
      <c r="H46" s="1208"/>
      <c r="I46" s="1208"/>
      <c r="J46" s="1208"/>
      <c r="K46" s="1208"/>
      <c r="L46" s="1208"/>
      <c r="M46" s="1208"/>
    </row>
    <row r="47" spans="1:13" ht="25.5" customHeight="1">
      <c r="A47" s="1188" t="s">
        <v>0</v>
      </c>
      <c r="B47" s="1188"/>
      <c r="C47" s="1188"/>
      <c r="D47" s="1188"/>
      <c r="E47" s="1188"/>
      <c r="F47" s="1188"/>
      <c r="G47" s="1188"/>
      <c r="H47" s="1188"/>
      <c r="I47" s="1188"/>
      <c r="J47" s="1188"/>
      <c r="K47" s="1188"/>
      <c r="L47" s="1188"/>
      <c r="M47" s="1188"/>
    </row>
    <row r="48" spans="1:13" ht="29.25" customHeight="1">
      <c r="A48" s="1188" t="s">
        <v>83</v>
      </c>
      <c r="B48" s="1188"/>
      <c r="C48" s="1188"/>
      <c r="D48" s="1188"/>
      <c r="E48" s="1188"/>
      <c r="F48" s="1188"/>
      <c r="G48" s="1188"/>
      <c r="H48" s="1188"/>
      <c r="I48" s="1188"/>
      <c r="J48" s="1188"/>
      <c r="K48" s="1188"/>
      <c r="L48" s="1188"/>
      <c r="M48" s="1188"/>
    </row>
    <row r="49" spans="1:1">
      <c r="A49" s="1" t="s">
        <v>1664</v>
      </c>
    </row>
  </sheetData>
  <mergeCells count="15">
    <mergeCell ref="A48:M48"/>
    <mergeCell ref="A47:M47"/>
    <mergeCell ref="A46:M46"/>
    <mergeCell ref="B1:L1"/>
    <mergeCell ref="L3:L4"/>
    <mergeCell ref="F3:F4"/>
    <mergeCell ref="G3:G4"/>
    <mergeCell ref="H3:H4"/>
    <mergeCell ref="I3:I4"/>
    <mergeCell ref="J3:J4"/>
    <mergeCell ref="K3:K4"/>
    <mergeCell ref="B3:B4"/>
    <mergeCell ref="C3:C4"/>
    <mergeCell ref="D3:D4"/>
    <mergeCell ref="E3:E4"/>
  </mergeCells>
  <phoneticPr fontId="35" type="noConversion"/>
  <pageMargins left="0.75" right="0.75" top="1" bottom="1" header="0.5" footer="0.5"/>
  <pageSetup scale="66" orientation="landscape" horizontalDpi="300" verticalDpi="300" r:id="rId1"/>
  <headerFooter alignWithMargins="0"/>
</worksheet>
</file>

<file path=xl/worksheets/sheet106.xml><?xml version="1.0" encoding="utf-8"?>
<worksheet xmlns="http://schemas.openxmlformats.org/spreadsheetml/2006/main" xmlns:r="http://schemas.openxmlformats.org/officeDocument/2006/relationships">
  <sheetPr codeName="Sheet68">
    <pageSetUpPr fitToPage="1"/>
  </sheetPr>
  <dimension ref="A1:AA49"/>
  <sheetViews>
    <sheetView view="pageBreakPreview" zoomScale="55" zoomScaleSheetLayoutView="5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4" width="22.7109375" style="1" customWidth="1"/>
    <col min="5" max="16384" width="9.140625" style="1"/>
  </cols>
  <sheetData>
    <row r="1" spans="1:27" ht="15.75">
      <c r="A1" s="40" t="s">
        <v>2010</v>
      </c>
      <c r="B1" s="112"/>
      <c r="C1" s="112"/>
    </row>
    <row r="3" spans="1:27" ht="15.75" customHeight="1">
      <c r="A3" s="4"/>
      <c r="B3" s="1172" t="s">
        <v>1955</v>
      </c>
      <c r="C3" s="1172" t="s">
        <v>1956</v>
      </c>
      <c r="D3" s="1172" t="s">
        <v>1554</v>
      </c>
      <c r="J3" s="1" t="s">
        <v>1271</v>
      </c>
      <c r="N3" s="128"/>
    </row>
    <row r="4" spans="1:27" ht="45" customHeight="1">
      <c r="A4" s="7"/>
      <c r="B4" s="1173"/>
      <c r="C4" s="1173"/>
      <c r="D4" s="1173"/>
      <c r="J4" s="1" t="s">
        <v>752</v>
      </c>
      <c r="K4" s="1" t="s">
        <v>1266</v>
      </c>
      <c r="L4" s="1" t="s">
        <v>1267</v>
      </c>
      <c r="M4" s="1" t="s">
        <v>1268</v>
      </c>
      <c r="N4" s="1" t="s">
        <v>1269</v>
      </c>
      <c r="O4" s="1" t="s">
        <v>1394</v>
      </c>
      <c r="P4" s="1" t="s">
        <v>1270</v>
      </c>
    </row>
    <row r="5" spans="1:27" ht="15">
      <c r="A5" s="2">
        <v>1981</v>
      </c>
      <c r="B5" s="644">
        <f>P5/'4'!B5*'4'!B$16</f>
        <v>94.550829805818694</v>
      </c>
      <c r="C5" s="644">
        <f>P5/'6b'!B5*'6b'!B$16</f>
        <v>85.926916276787082</v>
      </c>
      <c r="D5" s="644">
        <f>'31'!H25</f>
        <v>31.524251572266316</v>
      </c>
      <c r="J5" s="1">
        <v>1981</v>
      </c>
      <c r="K5" s="1">
        <v>41.5</v>
      </c>
      <c r="L5" s="1">
        <v>43.3</v>
      </c>
      <c r="M5" s="1">
        <v>44.8</v>
      </c>
      <c r="N5" s="1">
        <v>46.3</v>
      </c>
      <c r="O5" s="1">
        <f t="shared" ref="O5:O28" si="0">AVERAGE(K5:N5)</f>
        <v>43.974999999999994</v>
      </c>
      <c r="P5" s="1">
        <f t="shared" ref="P5:P29" si="1">100*O5/78.925</f>
        <v>55.717453278428877</v>
      </c>
      <c r="S5" s="300">
        <f>'6d'!B5</f>
        <v>647165.17055655294</v>
      </c>
      <c r="T5" s="1">
        <f>52*'57'!B10</f>
        <v>20325021.599999998</v>
      </c>
      <c r="U5" s="1">
        <f>S5/T5*1000</f>
        <v>31.840810961625401</v>
      </c>
      <c r="V5" s="1">
        <f>100*(U5/D5-1)</f>
        <v>1.0041773351332495</v>
      </c>
      <c r="X5" s="936" t="s">
        <v>1952</v>
      </c>
    </row>
    <row r="6" spans="1:27" ht="15">
      <c r="A6" s="2">
        <v>1982</v>
      </c>
      <c r="B6" s="644">
        <f>P6/'4'!B6*'4'!B$16</f>
        <v>95.525426193159106</v>
      </c>
      <c r="C6" s="644">
        <f>P6/'6b'!B6*'6b'!B$16</f>
        <v>88.790861053015803</v>
      </c>
      <c r="D6" s="644">
        <f>'31'!H26</f>
        <v>32.022151915738014</v>
      </c>
      <c r="E6" s="972"/>
      <c r="J6" s="1">
        <v>1982</v>
      </c>
      <c r="K6" s="1">
        <v>47.7</v>
      </c>
      <c r="L6" s="1">
        <v>49.1</v>
      </c>
      <c r="M6" s="1">
        <v>49.7</v>
      </c>
      <c r="N6" s="1">
        <v>50.6</v>
      </c>
      <c r="O6" s="1">
        <f t="shared" si="0"/>
        <v>49.274999999999999</v>
      </c>
      <c r="P6" s="1">
        <f t="shared" si="1"/>
        <v>62.432689261957556</v>
      </c>
      <c r="S6" s="300">
        <f>'6d'!B6</f>
        <v>628905.62913907284</v>
      </c>
      <c r="T6" s="972">
        <f>52*'57'!B11</f>
        <v>19593631.199999999</v>
      </c>
      <c r="U6" s="972">
        <f t="shared" ref="U6:U32" si="2">S6/T6*1000</f>
        <v>32.097451601471036</v>
      </c>
      <c r="V6" s="972">
        <f t="shared" ref="V6:V31" si="3">100*(U6/D6-1)</f>
        <v>0.23514873682182191</v>
      </c>
      <c r="X6" s="936" t="s">
        <v>1953</v>
      </c>
    </row>
    <row r="7" spans="1:27" ht="15">
      <c r="A7" s="2">
        <v>1983</v>
      </c>
      <c r="B7" s="644">
        <f>P7/'4'!B7*'4'!B$16</f>
        <v>94.385778781899859</v>
      </c>
      <c r="C7" s="644">
        <f>P7/'6b'!B7*'6b'!B$16</f>
        <v>88.035359364378792</v>
      </c>
      <c r="D7" s="644">
        <f>'31'!H27</f>
        <v>32.801620171600383</v>
      </c>
      <c r="E7" s="972"/>
      <c r="J7" s="1">
        <v>1983</v>
      </c>
      <c r="K7" s="1">
        <v>50.6</v>
      </c>
      <c r="L7" s="1">
        <v>51.3</v>
      </c>
      <c r="M7" s="1">
        <v>51.8</v>
      </c>
      <c r="N7" s="1">
        <v>52.4</v>
      </c>
      <c r="O7" s="1">
        <f t="shared" si="0"/>
        <v>51.524999999999999</v>
      </c>
      <c r="P7" s="1">
        <f t="shared" si="1"/>
        <v>65.283496990814072</v>
      </c>
      <c r="S7" s="300">
        <f>'6d'!B7</f>
        <v>645817.89638932492</v>
      </c>
      <c r="T7" s="972">
        <f>52*'57'!B12</f>
        <v>19764976.400000002</v>
      </c>
      <c r="U7" s="972">
        <f t="shared" si="2"/>
        <v>32.674863016245482</v>
      </c>
      <c r="V7" s="972">
        <f t="shared" si="3"/>
        <v>-0.38643565376276223</v>
      </c>
      <c r="X7" s="936" t="s">
        <v>1954</v>
      </c>
    </row>
    <row r="8" spans="1:27">
      <c r="A8" s="2">
        <v>1984</v>
      </c>
      <c r="B8" s="644">
        <f>P8/'4'!B8*'4'!B$16</f>
        <v>95.102193146143875</v>
      </c>
      <c r="C8" s="644">
        <f>P8/'6b'!B8*'6b'!B$16</f>
        <v>89.567641936238573</v>
      </c>
      <c r="D8" s="644">
        <f>'31'!H28</f>
        <v>33.776139540998258</v>
      </c>
      <c r="E8" s="972"/>
      <c r="J8" s="1">
        <v>1984</v>
      </c>
      <c r="K8" s="1">
        <v>53.1</v>
      </c>
      <c r="L8" s="1">
        <v>53.9</v>
      </c>
      <c r="M8" s="1">
        <v>54.5</v>
      </c>
      <c r="N8" s="1">
        <v>55.1</v>
      </c>
      <c r="O8" s="1">
        <f t="shared" si="0"/>
        <v>54.15</v>
      </c>
      <c r="P8" s="1">
        <f t="shared" si="1"/>
        <v>68.609439341146654</v>
      </c>
      <c r="S8" s="300">
        <f>'6d'!B8</f>
        <v>683255.31914893619</v>
      </c>
      <c r="T8" s="972">
        <f>52*'57'!B13</f>
        <v>20296146</v>
      </c>
      <c r="U8" s="972">
        <f t="shared" si="2"/>
        <v>33.664288734863071</v>
      </c>
      <c r="V8" s="972">
        <f t="shared" si="3"/>
        <v>-0.33115331608403187</v>
      </c>
      <c r="X8"/>
    </row>
    <row r="9" spans="1:27" ht="15">
      <c r="A9" s="2">
        <v>1985</v>
      </c>
      <c r="B9" s="644">
        <f>P9/'4'!B9*'4'!B$16</f>
        <v>95.533734558124806</v>
      </c>
      <c r="C9" s="644">
        <f>P9/'6b'!B9*'6b'!B$16</f>
        <v>90.778183612200465</v>
      </c>
      <c r="D9" s="644">
        <f>'31'!H29</f>
        <v>34.173859328306726</v>
      </c>
      <c r="E9" s="972"/>
      <c r="J9" s="1">
        <v>1985</v>
      </c>
      <c r="K9" s="1">
        <v>55.9</v>
      </c>
      <c r="L9" s="1">
        <v>56.5</v>
      </c>
      <c r="M9" s="1">
        <v>56.9</v>
      </c>
      <c r="N9" s="1">
        <v>56.9</v>
      </c>
      <c r="O9" s="1">
        <f t="shared" si="0"/>
        <v>56.550000000000004</v>
      </c>
      <c r="P9" s="1">
        <f t="shared" si="1"/>
        <v>71.650300918593601</v>
      </c>
      <c r="S9" s="300">
        <f>'6d'!B9</f>
        <v>716392.33038348088</v>
      </c>
      <c r="T9" s="972">
        <f>52*'57'!B14</f>
        <v>21053978.400000002</v>
      </c>
      <c r="U9" s="972">
        <f t="shared" si="2"/>
        <v>34.026458884534655</v>
      </c>
      <c r="V9" s="972">
        <f t="shared" si="3"/>
        <v>-0.43132513175055953</v>
      </c>
      <c r="X9" s="936" t="s">
        <v>1685</v>
      </c>
      <c r="Y9" s="1" t="s">
        <v>1686</v>
      </c>
      <c r="Z9" s="1" t="s">
        <v>1687</v>
      </c>
      <c r="AA9" s="1" t="s">
        <v>1688</v>
      </c>
    </row>
    <row r="10" spans="1:27">
      <c r="A10" s="2">
        <v>1986</v>
      </c>
      <c r="B10" s="644">
        <f>P10/'4'!B10*'4'!B$16</f>
        <v>94.586555621653787</v>
      </c>
      <c r="C10" s="644">
        <f>P10/'6b'!B10*'6b'!B$16</f>
        <v>90.775772258029136</v>
      </c>
      <c r="D10" s="644">
        <f>'31'!H30</f>
        <v>33.986928129560965</v>
      </c>
      <c r="E10" s="972"/>
      <c r="J10" s="1">
        <v>1986</v>
      </c>
      <c r="K10" s="1">
        <v>57.2</v>
      </c>
      <c r="L10" s="1">
        <v>58</v>
      </c>
      <c r="M10" s="1">
        <v>58.6</v>
      </c>
      <c r="N10" s="1">
        <v>59.4</v>
      </c>
      <c r="O10" s="1">
        <f t="shared" si="0"/>
        <v>58.300000000000004</v>
      </c>
      <c r="P10" s="1">
        <f t="shared" si="1"/>
        <v>73.867595818815332</v>
      </c>
      <c r="S10" s="300">
        <f>'6d'!B10</f>
        <v>733248.92703862651</v>
      </c>
      <c r="T10" s="972">
        <f>52*'57'!B15</f>
        <v>21675253.599999998</v>
      </c>
      <c r="U10" s="972">
        <f t="shared" si="2"/>
        <v>33.828851120737362</v>
      </c>
      <c r="V10" s="972">
        <f t="shared" si="3"/>
        <v>-0.46511119869674378</v>
      </c>
      <c r="X10"/>
    </row>
    <row r="11" spans="1:27" ht="15">
      <c r="A11" s="2">
        <v>1987</v>
      </c>
      <c r="B11" s="644">
        <f>P11/'4'!B11*'4'!B$16</f>
        <v>94.971434120446034</v>
      </c>
      <c r="C11" s="644">
        <f>P11/'6b'!B11*'6b'!B$16</f>
        <v>91.008104371021872</v>
      </c>
      <c r="D11" s="644">
        <f>'31'!H31</f>
        <v>34.193945729810729</v>
      </c>
      <c r="E11" s="972"/>
      <c r="J11" s="1">
        <v>1987</v>
      </c>
      <c r="K11" s="1">
        <v>60.2</v>
      </c>
      <c r="L11" s="1">
        <v>60.9</v>
      </c>
      <c r="M11" s="1">
        <v>61.3</v>
      </c>
      <c r="N11" s="1">
        <v>62.1</v>
      </c>
      <c r="O11" s="1">
        <f t="shared" si="0"/>
        <v>61.124999999999993</v>
      </c>
      <c r="P11" s="1">
        <f t="shared" si="1"/>
        <v>77.446943300601831</v>
      </c>
      <c r="S11" s="300">
        <f>'6d'!B11</f>
        <v>764636.1149110808</v>
      </c>
      <c r="T11" s="972">
        <f>52*'57'!B16</f>
        <v>22221732</v>
      </c>
      <c r="U11" s="972">
        <f t="shared" si="2"/>
        <v>34.409384242015015</v>
      </c>
      <c r="V11" s="972">
        <f t="shared" si="3"/>
        <v>0.6300487048397807</v>
      </c>
      <c r="X11" s="936">
        <v>1997</v>
      </c>
      <c r="Y11" s="1">
        <v>951962000000</v>
      </c>
      <c r="Z11" s="1">
        <v>24780402000</v>
      </c>
      <c r="AA11" s="1">
        <v>24780402000</v>
      </c>
    </row>
    <row r="12" spans="1:27" ht="15">
      <c r="A12" s="2">
        <v>1988</v>
      </c>
      <c r="B12" s="644">
        <f>P12/'4'!B12*'4'!B$16</f>
        <v>96.751289269787463</v>
      </c>
      <c r="C12" s="644">
        <f>P12/'6b'!B12*'6b'!B$16</f>
        <v>92.205594813818536</v>
      </c>
      <c r="D12" s="644">
        <f>'31'!H32</f>
        <v>34.591173848102777</v>
      </c>
      <c r="E12" s="972"/>
      <c r="J12" s="1">
        <v>1988</v>
      </c>
      <c r="K12" s="1">
        <v>63.3</v>
      </c>
      <c r="L12" s="1">
        <v>64.099999999999994</v>
      </c>
      <c r="M12" s="1">
        <v>65.099999999999994</v>
      </c>
      <c r="N12" s="1">
        <v>66.400000000000006</v>
      </c>
      <c r="O12" s="1">
        <f t="shared" si="0"/>
        <v>64.724999999999994</v>
      </c>
      <c r="P12" s="1">
        <f t="shared" si="1"/>
        <v>82.008235666772237</v>
      </c>
      <c r="S12" s="300">
        <f>'6d'!B12</f>
        <v>802479.05759162293</v>
      </c>
      <c r="T12" s="972">
        <f>52*'57'!B17</f>
        <v>23286603.599999998</v>
      </c>
      <c r="U12" s="972">
        <f t="shared" si="2"/>
        <v>34.460974703568318</v>
      </c>
      <c r="V12" s="972">
        <f t="shared" si="3"/>
        <v>-0.37639412037935305</v>
      </c>
      <c r="X12" s="936">
        <v>1998</v>
      </c>
      <c r="Y12" s="1">
        <v>990968000000</v>
      </c>
      <c r="Z12" s="1">
        <v>25327286000</v>
      </c>
      <c r="AA12" s="1">
        <v>25327286000</v>
      </c>
    </row>
    <row r="13" spans="1:27" ht="15">
      <c r="A13" s="2">
        <v>1989</v>
      </c>
      <c r="B13" s="644">
        <f>P13/'4'!B13*'4'!B$16</f>
        <v>97.537261225796513</v>
      </c>
      <c r="C13" s="644">
        <f>P13/'6b'!B13*'6b'!B$16</f>
        <v>93.493870882464321</v>
      </c>
      <c r="D13" s="644">
        <f>'31'!H33</f>
        <v>34.824032259775272</v>
      </c>
      <c r="E13" s="972"/>
      <c r="J13" s="1">
        <v>1989</v>
      </c>
      <c r="K13" s="1">
        <v>67.3</v>
      </c>
      <c r="L13" s="1">
        <v>68.099999999999994</v>
      </c>
      <c r="M13" s="1">
        <v>68.8</v>
      </c>
      <c r="N13" s="1">
        <v>70</v>
      </c>
      <c r="O13" s="1">
        <f t="shared" si="0"/>
        <v>68.55</v>
      </c>
      <c r="P13" s="1">
        <f t="shared" si="1"/>
        <v>86.85460880582832</v>
      </c>
      <c r="S13" s="300">
        <f>'6d'!B13</f>
        <v>824220.55137844617</v>
      </c>
      <c r="T13" s="972">
        <f>52*'57'!B18</f>
        <v>24126013.599999998</v>
      </c>
      <c r="U13" s="972">
        <f t="shared" si="2"/>
        <v>34.163147092748311</v>
      </c>
      <c r="V13" s="972">
        <f t="shared" si="3"/>
        <v>-1.8977847312367069</v>
      </c>
      <c r="X13" s="936">
        <v>1999</v>
      </c>
      <c r="Y13" s="1">
        <v>1045786000000</v>
      </c>
      <c r="Z13" s="1">
        <v>26035212000</v>
      </c>
      <c r="AA13" s="1">
        <v>26035212000</v>
      </c>
    </row>
    <row r="14" spans="1:27" ht="15">
      <c r="A14" s="2">
        <v>1990</v>
      </c>
      <c r="B14" s="644">
        <f>P14/'4'!B14*'4'!B$16</f>
        <v>98.047422960314961</v>
      </c>
      <c r="C14" s="644">
        <f>P14/'6b'!B14*'6b'!B$16</f>
        <v>95.397921401354992</v>
      </c>
      <c r="D14" s="644">
        <f>'31'!H34</f>
        <v>34.861198549581971</v>
      </c>
      <c r="E14" s="972"/>
      <c r="F14" s="982"/>
      <c r="J14" s="1">
        <v>1990</v>
      </c>
      <c r="K14" s="1">
        <v>70.7</v>
      </c>
      <c r="L14" s="1">
        <v>71.900000000000006</v>
      </c>
      <c r="M14" s="1">
        <v>72.5</v>
      </c>
      <c r="N14" s="1">
        <v>73.8</v>
      </c>
      <c r="O14" s="1">
        <f t="shared" si="0"/>
        <v>72.225000000000009</v>
      </c>
      <c r="P14" s="1">
        <f t="shared" si="1"/>
        <v>91.510928096293966</v>
      </c>
      <c r="S14" s="300">
        <f>'6d'!B14</f>
        <v>825146.84466019413</v>
      </c>
      <c r="T14" s="972">
        <f>52*'57'!B19</f>
        <v>23934736.800000001</v>
      </c>
      <c r="U14" s="972">
        <f t="shared" si="2"/>
        <v>34.474866030705385</v>
      </c>
      <c r="V14" s="972">
        <f t="shared" si="3"/>
        <v>-1.1082020554374128</v>
      </c>
      <c r="X14" s="936">
        <v>2000</v>
      </c>
      <c r="Y14" s="1">
        <v>1100515000000</v>
      </c>
      <c r="Z14" s="1">
        <v>26606054000</v>
      </c>
      <c r="AA14" s="1">
        <v>26606054000</v>
      </c>
    </row>
    <row r="15" spans="1:27" ht="15">
      <c r="A15" s="2">
        <v>1991</v>
      </c>
      <c r="B15" s="644">
        <f>P15/'4'!B15*'4'!B$16</f>
        <v>98.364343327227729</v>
      </c>
      <c r="C15" s="644">
        <f>P15/'6b'!B15*'6b'!B$16</f>
        <v>98.216863095487113</v>
      </c>
      <c r="D15" s="644">
        <f>'31'!H35</f>
        <v>35.171957807815161</v>
      </c>
      <c r="E15" s="972"/>
      <c r="F15" s="982"/>
      <c r="J15" s="1">
        <v>1991</v>
      </c>
      <c r="K15" s="1">
        <v>75.099999999999994</v>
      </c>
      <c r="L15" s="1">
        <v>76.099999999999994</v>
      </c>
      <c r="M15" s="1">
        <v>77.2</v>
      </c>
      <c r="N15" s="1">
        <v>77.7</v>
      </c>
      <c r="O15" s="1">
        <f t="shared" si="0"/>
        <v>76.524999999999991</v>
      </c>
      <c r="P15" s="1">
        <f t="shared" si="1"/>
        <v>96.959138422553053</v>
      </c>
      <c r="S15" s="300">
        <f>'6d'!B15</f>
        <v>808215.80188679241</v>
      </c>
      <c r="T15" s="972">
        <f>52*'57'!B20</f>
        <v>23068094.400000002</v>
      </c>
      <c r="U15" s="972">
        <f t="shared" si="2"/>
        <v>35.036088715103936</v>
      </c>
      <c r="V15" s="972">
        <f t="shared" si="3"/>
        <v>-0.38629948737466391</v>
      </c>
      <c r="X15" s="936">
        <v>2001</v>
      </c>
      <c r="Y15" s="1">
        <v>1120146000000</v>
      </c>
      <c r="Z15" s="1">
        <v>26791645000</v>
      </c>
      <c r="AA15" s="1">
        <v>26791645000</v>
      </c>
    </row>
    <row r="16" spans="1:27" ht="15">
      <c r="A16" s="2">
        <v>1992</v>
      </c>
      <c r="B16" s="644">
        <f>P16/'4'!B16*'4'!B$16</f>
        <v>100.00000000000001</v>
      </c>
      <c r="C16" s="644">
        <f>P16/'6b'!B16*'6b'!B$16</f>
        <v>100.00000000000001</v>
      </c>
      <c r="D16" s="644">
        <f>'31'!H36</f>
        <v>35.74415994984551</v>
      </c>
      <c r="E16" s="972"/>
      <c r="F16" s="982"/>
      <c r="J16" s="1">
        <v>1992</v>
      </c>
      <c r="K16" s="1">
        <v>78</v>
      </c>
      <c r="L16" s="1">
        <v>78.8</v>
      </c>
      <c r="M16" s="1">
        <v>79.400000000000006</v>
      </c>
      <c r="N16" s="1">
        <v>79.5</v>
      </c>
      <c r="O16" s="1">
        <f t="shared" si="0"/>
        <v>78.925000000000011</v>
      </c>
      <c r="P16" s="1">
        <f t="shared" si="1"/>
        <v>100.00000000000001</v>
      </c>
      <c r="S16" s="300">
        <f>'6d'!B16</f>
        <v>815459.83701979043</v>
      </c>
      <c r="T16" s="972">
        <f>52*'57'!B21</f>
        <v>22478190.800000001</v>
      </c>
      <c r="U16" s="972">
        <f t="shared" si="2"/>
        <v>36.277823436741642</v>
      </c>
      <c r="V16" s="972">
        <f t="shared" si="3"/>
        <v>1.4930088933267527</v>
      </c>
      <c r="X16" s="936">
        <v>2002</v>
      </c>
      <c r="Y16" s="1">
        <v>1152905000000</v>
      </c>
      <c r="Z16" s="1">
        <v>27188517000</v>
      </c>
      <c r="AA16" s="1">
        <v>27188517000</v>
      </c>
    </row>
    <row r="17" spans="1:27" ht="15">
      <c r="A17" s="2">
        <v>1993</v>
      </c>
      <c r="B17" s="644">
        <f>P17/'4'!B17*'4'!B$16</f>
        <v>99.187682615993566</v>
      </c>
      <c r="C17" s="644">
        <f>P17/'6b'!B17*'6b'!B$16</f>
        <v>99.570090348228661</v>
      </c>
      <c r="D17" s="644">
        <f>'31'!H37</f>
        <v>36.159715929594164</v>
      </c>
      <c r="E17" s="972"/>
      <c r="F17" s="982"/>
      <c r="J17" s="1">
        <v>1993</v>
      </c>
      <c r="K17" s="1">
        <v>79.7</v>
      </c>
      <c r="L17" s="1">
        <v>79.7</v>
      </c>
      <c r="M17" s="1">
        <v>79.8</v>
      </c>
      <c r="N17" s="1">
        <v>79.900000000000006</v>
      </c>
      <c r="O17" s="1">
        <f t="shared" si="0"/>
        <v>79.775000000000006</v>
      </c>
      <c r="P17" s="1">
        <f t="shared" si="1"/>
        <v>101.07697180867915</v>
      </c>
      <c r="S17" s="300">
        <f>'6d'!B17</f>
        <v>833926.60550458718</v>
      </c>
      <c r="T17" s="972">
        <f>52*'57'!B22</f>
        <v>22880317.199999999</v>
      </c>
      <c r="U17" s="972">
        <f t="shared" si="2"/>
        <v>36.447335857065269</v>
      </c>
      <c r="V17" s="972">
        <f t="shared" si="3"/>
        <v>0.79541534018443549</v>
      </c>
      <c r="X17" s="936">
        <v>2003</v>
      </c>
      <c r="Y17" s="1">
        <v>1174592000000</v>
      </c>
      <c r="Z17" s="1">
        <v>27599807000</v>
      </c>
      <c r="AA17" s="1">
        <v>27599807000</v>
      </c>
    </row>
    <row r="18" spans="1:27" ht="15">
      <c r="A18" s="2">
        <v>1994</v>
      </c>
      <c r="B18" s="644">
        <f>P18/'4'!B18*'4'!B$16</f>
        <v>99.568701213690829</v>
      </c>
      <c r="C18" s="644">
        <f>P18/'6b'!B18*'6b'!B$16</f>
        <v>98.934771881511551</v>
      </c>
      <c r="D18" s="644">
        <f>'31'!H38</f>
        <v>37.045534099581559</v>
      </c>
      <c r="F18" s="982"/>
      <c r="J18" s="1">
        <v>1994</v>
      </c>
      <c r="K18" s="1">
        <v>79.900000000000006</v>
      </c>
      <c r="L18" s="1">
        <v>80.3</v>
      </c>
      <c r="M18" s="1">
        <v>80.2</v>
      </c>
      <c r="N18" s="1">
        <v>80.3</v>
      </c>
      <c r="O18" s="1">
        <f t="shared" si="0"/>
        <v>80.174999999999997</v>
      </c>
      <c r="P18" s="1">
        <f t="shared" si="1"/>
        <v>101.58378207158695</v>
      </c>
      <c r="S18" s="300">
        <f>'6d'!B18</f>
        <v>874005.66893424036</v>
      </c>
      <c r="T18" s="972">
        <f>52*'57'!B23</f>
        <v>23659630.800000001</v>
      </c>
      <c r="U18" s="972">
        <f t="shared" si="2"/>
        <v>36.940799132598485</v>
      </c>
      <c r="V18" s="972">
        <f t="shared" si="3"/>
        <v>-0.28271954914063091</v>
      </c>
      <c r="X18" s="936">
        <v>2004</v>
      </c>
      <c r="Y18" s="1">
        <v>1211239000000</v>
      </c>
      <c r="Z18" s="1">
        <v>28370773000</v>
      </c>
      <c r="AA18" s="1">
        <v>28370773000</v>
      </c>
    </row>
    <row r="19" spans="1:27" ht="15">
      <c r="A19" s="2">
        <v>1995</v>
      </c>
      <c r="B19" s="644">
        <f>P19/'4'!B19*'4'!B$16</f>
        <v>98.958175135923213</v>
      </c>
      <c r="C19" s="644">
        <f>P19/'6b'!B19*'6b'!B$16</f>
        <v>98.279542100860596</v>
      </c>
      <c r="D19" s="644">
        <f>'31'!H39</f>
        <v>37.513292105701971</v>
      </c>
      <c r="F19" s="982"/>
      <c r="J19" s="1">
        <v>1994</v>
      </c>
      <c r="K19" s="1">
        <v>80.900000000000006</v>
      </c>
      <c r="L19" s="1">
        <v>81.3</v>
      </c>
      <c r="M19" s="1">
        <v>81.8</v>
      </c>
      <c r="N19" s="1">
        <v>81.8</v>
      </c>
      <c r="O19" s="1">
        <f t="shared" si="0"/>
        <v>81.45</v>
      </c>
      <c r="P19" s="1">
        <f t="shared" si="1"/>
        <v>103.19923978460564</v>
      </c>
      <c r="S19" s="300">
        <f>'6d'!B19</f>
        <v>898476.71840354765</v>
      </c>
      <c r="T19" s="972">
        <f>52*'57'!B24</f>
        <v>23922771.599999998</v>
      </c>
      <c r="U19" s="972">
        <f t="shared" si="2"/>
        <v>37.557383961461539</v>
      </c>
      <c r="V19" s="972">
        <f t="shared" si="3"/>
        <v>0.11753662044731161</v>
      </c>
      <c r="X19" s="936">
        <v>2005</v>
      </c>
      <c r="Y19" s="1">
        <v>1247807000000</v>
      </c>
      <c r="Z19" s="1">
        <v>28603528000</v>
      </c>
      <c r="AA19" s="1">
        <v>28603528000</v>
      </c>
    </row>
    <row r="20" spans="1:27" ht="15">
      <c r="A20" s="2">
        <v>1996</v>
      </c>
      <c r="B20" s="644">
        <f>P20/'4'!B20*'4'!B$16</f>
        <v>97.151935830637584</v>
      </c>
      <c r="C20" s="644">
        <f>P20/'6b'!B20*'6b'!B$16</f>
        <v>96.420998322159292</v>
      </c>
      <c r="D20" s="644">
        <f>'31'!H40</f>
        <v>37.6084422765773</v>
      </c>
      <c r="F20" s="982"/>
      <c r="J20" s="1">
        <v>1996</v>
      </c>
      <c r="K20" s="1">
        <v>81.400000000000006</v>
      </c>
      <c r="L20" s="1">
        <v>81.2</v>
      </c>
      <c r="M20" s="1">
        <v>81.099999999999994</v>
      </c>
      <c r="N20" s="1">
        <v>80.900000000000006</v>
      </c>
      <c r="O20" s="1">
        <f t="shared" si="0"/>
        <v>81.150000000000006</v>
      </c>
      <c r="P20" s="1">
        <f t="shared" si="1"/>
        <v>102.81913208742479</v>
      </c>
      <c r="S20" s="300">
        <f>'6d'!B20</f>
        <v>913606.98689956334</v>
      </c>
      <c r="T20" s="972">
        <f>52*'57'!B25</f>
        <v>24318829.599999998</v>
      </c>
      <c r="U20" s="972">
        <f t="shared" si="2"/>
        <v>37.567884718414383</v>
      </c>
      <c r="V20" s="972">
        <f t="shared" si="3"/>
        <v>-0.1078416326436793</v>
      </c>
      <c r="X20" s="936">
        <v>2006</v>
      </c>
      <c r="Y20" s="1">
        <v>1283419000000</v>
      </c>
      <c r="Z20" s="1">
        <v>29119166000</v>
      </c>
      <c r="AA20" s="1">
        <v>29119166000</v>
      </c>
    </row>
    <row r="21" spans="1:27" ht="15">
      <c r="A21" s="2">
        <v>1997</v>
      </c>
      <c r="B21" s="644">
        <f>P21/'4'!B21*'4'!B$16</f>
        <v>96.982124286246886</v>
      </c>
      <c r="C21" s="644">
        <f>P21/'6b'!B21*'6b'!B$16</f>
        <v>96.715095886301199</v>
      </c>
      <c r="D21" s="644">
        <f>'31'!H41</f>
        <v>38.415922388991106</v>
      </c>
      <c r="F21" s="981"/>
      <c r="G21" s="114"/>
      <c r="J21" s="1">
        <v>1997</v>
      </c>
      <c r="K21" s="1">
        <v>80.400000000000006</v>
      </c>
      <c r="L21" s="1">
        <v>82.3</v>
      </c>
      <c r="M21" s="1">
        <v>83.3</v>
      </c>
      <c r="N21" s="1">
        <v>83.5</v>
      </c>
      <c r="O21" s="1">
        <f t="shared" si="0"/>
        <v>82.375</v>
      </c>
      <c r="P21" s="1">
        <f t="shared" si="1"/>
        <v>104.37123851757998</v>
      </c>
      <c r="S21" s="300">
        <f>'6d'!B21</f>
        <v>952247.0334412083</v>
      </c>
      <c r="T21" s="972">
        <f>52*'57'!B26</f>
        <v>24849531.199999999</v>
      </c>
      <c r="U21" s="972">
        <f t="shared" si="2"/>
        <v>38.320523062471629</v>
      </c>
      <c r="V21" s="972">
        <f t="shared" si="3"/>
        <v>-0.24833277606478577</v>
      </c>
      <c r="X21" s="936">
        <v>2007</v>
      </c>
      <c r="Y21" s="1">
        <v>1315907000000</v>
      </c>
      <c r="Z21" s="1">
        <v>29691697000</v>
      </c>
      <c r="AA21" s="1">
        <v>29691697000</v>
      </c>
    </row>
    <row r="22" spans="1:27" ht="15">
      <c r="A22" s="2">
        <v>1998</v>
      </c>
      <c r="B22" s="644">
        <f>P22/'4'!B22*'4'!B$16</f>
        <v>99.785556254447343</v>
      </c>
      <c r="C22" s="644">
        <f>P22/'6b'!B22*'6b'!B$16</f>
        <v>100.9370567597981</v>
      </c>
      <c r="D22" s="644">
        <f>'31'!H42</f>
        <v>39.126497801619962</v>
      </c>
      <c r="F22" s="981"/>
      <c r="G22" s="114"/>
      <c r="J22" s="1">
        <v>1998</v>
      </c>
      <c r="K22" s="1">
        <v>84.5</v>
      </c>
      <c r="L22" s="1">
        <v>85.3</v>
      </c>
      <c r="M22" s="1">
        <v>85.7</v>
      </c>
      <c r="N22" s="1">
        <v>86.9</v>
      </c>
      <c r="O22" s="1">
        <f t="shared" si="0"/>
        <v>85.6</v>
      </c>
      <c r="P22" s="1">
        <f t="shared" si="1"/>
        <v>108.45739626227432</v>
      </c>
      <c r="S22" s="300">
        <f>'6d'!B22</f>
        <v>991303.35861321783</v>
      </c>
      <c r="T22" s="972">
        <f>52*'57'!B27</f>
        <v>25236400.800000001</v>
      </c>
      <c r="U22" s="972">
        <f t="shared" si="2"/>
        <v>39.28069483716623</v>
      </c>
      <c r="V22" s="972">
        <f t="shared" si="3"/>
        <v>0.39409874179918702</v>
      </c>
      <c r="X22" s="936">
        <v>2008</v>
      </c>
      <c r="Y22" s="1">
        <v>1321360000000</v>
      </c>
      <c r="Z22" s="1">
        <v>29995340000</v>
      </c>
      <c r="AA22" s="1" t="s">
        <v>744</v>
      </c>
    </row>
    <row r="23" spans="1:27" ht="15">
      <c r="A23" s="2">
        <v>1999</v>
      </c>
      <c r="B23" s="644">
        <f>P23/'4'!B23*'4'!B$16</f>
        <v>101.27476556104243</v>
      </c>
      <c r="C23" s="644">
        <f>P23/'6b'!B23*'6b'!B$16</f>
        <v>102.4625702877086</v>
      </c>
      <c r="D23" s="644">
        <f>'31'!H43</f>
        <v>40.168138442659888</v>
      </c>
      <c r="F23" s="981"/>
      <c r="G23" s="114"/>
      <c r="J23" s="1">
        <v>1999</v>
      </c>
      <c r="K23" s="1">
        <v>86.9</v>
      </c>
      <c r="L23" s="1">
        <v>87.7</v>
      </c>
      <c r="M23" s="1">
        <v>88.7</v>
      </c>
      <c r="N23" s="1">
        <v>90.3</v>
      </c>
      <c r="O23" s="1">
        <f t="shared" si="0"/>
        <v>88.4</v>
      </c>
      <c r="P23" s="1">
        <f t="shared" si="1"/>
        <v>112.00506810262908</v>
      </c>
      <c r="S23" s="300">
        <f>'6d'!B23</f>
        <v>1046263.0457933972</v>
      </c>
      <c r="T23" s="972">
        <f>52*'57'!B28</f>
        <v>26097172.400000002</v>
      </c>
      <c r="U23" s="972">
        <f t="shared" si="2"/>
        <v>40.091050086077409</v>
      </c>
      <c r="V23" s="972">
        <f t="shared" si="3"/>
        <v>-0.19191418764034074</v>
      </c>
      <c r="X23" s="936"/>
    </row>
    <row r="24" spans="1:27" ht="15">
      <c r="A24" s="2">
        <v>2000</v>
      </c>
      <c r="B24" s="644">
        <f>P24/'4'!B24*'4'!B$16</f>
        <v>104.81250610104729</v>
      </c>
      <c r="C24" s="644">
        <f>P24/'6b'!B24*'6b'!B$16</f>
        <v>104.55300099172614</v>
      </c>
      <c r="D24" s="644">
        <f>'31'!H44</f>
        <v>41.363330315724383</v>
      </c>
      <c r="F24" s="981"/>
      <c r="G24" s="114"/>
      <c r="J24" s="1">
        <v>2000</v>
      </c>
      <c r="K24" s="1">
        <v>92</v>
      </c>
      <c r="L24" s="1">
        <v>93.3</v>
      </c>
      <c r="M24" s="1">
        <v>94.8</v>
      </c>
      <c r="N24" s="1">
        <v>95.7</v>
      </c>
      <c r="O24" s="1">
        <f t="shared" si="0"/>
        <v>93.95</v>
      </c>
      <c r="P24" s="1">
        <f t="shared" si="1"/>
        <v>119.03706050047514</v>
      </c>
      <c r="S24" s="300">
        <f>'6d'!B24</f>
        <v>1100794.4785276074</v>
      </c>
      <c r="T24" s="972">
        <f>52*'57'!B29</f>
        <v>26927274.400000002</v>
      </c>
      <c r="U24" s="972">
        <f t="shared" si="2"/>
        <v>40.88027856720646</v>
      </c>
      <c r="V24" s="972">
        <f t="shared" si="3"/>
        <v>-1.16782605469824</v>
      </c>
      <c r="X24" s="936"/>
    </row>
    <row r="25" spans="1:27" ht="15">
      <c r="A25" s="2">
        <v>2001</v>
      </c>
      <c r="B25" s="644">
        <f>P25/'4'!B25*'4'!B$16</f>
        <v>106.40294913824766</v>
      </c>
      <c r="C25" s="644">
        <f>P25/'6b'!B25*'6b'!B$16</f>
        <v>107.59946359591234</v>
      </c>
      <c r="D25" s="644">
        <f>'31'!H45</f>
        <v>41.809526813303179</v>
      </c>
      <c r="F25" s="981"/>
      <c r="G25" s="114"/>
      <c r="J25" s="1">
        <v>2001</v>
      </c>
      <c r="K25" s="1">
        <v>96.8</v>
      </c>
      <c r="L25" s="1">
        <v>97.6</v>
      </c>
      <c r="M25" s="1">
        <v>98.5</v>
      </c>
      <c r="N25" s="1">
        <v>98.2</v>
      </c>
      <c r="O25" s="1">
        <f t="shared" si="0"/>
        <v>97.774999999999991</v>
      </c>
      <c r="P25" s="1">
        <f t="shared" si="1"/>
        <v>123.88343363953121</v>
      </c>
      <c r="S25" s="300">
        <f>'6d'!B25</f>
        <v>1120372.0930232557</v>
      </c>
      <c r="T25" s="972">
        <f>52*'57'!B30</f>
        <v>26733023.199999999</v>
      </c>
      <c r="U25" s="972">
        <f t="shared" si="2"/>
        <v>41.909666730968752</v>
      </c>
      <c r="V25" s="972">
        <f t="shared" si="3"/>
        <v>0.2395145922429176</v>
      </c>
      <c r="X25" s="936"/>
    </row>
    <row r="26" spans="1:27" ht="15">
      <c r="A26" s="2">
        <v>2002</v>
      </c>
      <c r="B26" s="644">
        <f>P26/'4'!B26*'4'!B$16</f>
        <v>106.43015521064302</v>
      </c>
      <c r="C26" s="644">
        <f>P26/'6b'!B26*'6b'!B$16</f>
        <v>108.83750395945519</v>
      </c>
      <c r="D26" s="644">
        <f>'31'!H46</f>
        <v>42.404114943084245</v>
      </c>
      <c r="F26" s="981"/>
      <c r="G26" s="114"/>
      <c r="J26" s="1">
        <v>2002</v>
      </c>
      <c r="K26" s="1">
        <v>99.3</v>
      </c>
      <c r="L26" s="1">
        <v>99.5</v>
      </c>
      <c r="M26" s="1">
        <v>100.3</v>
      </c>
      <c r="N26" s="1">
        <v>100.9</v>
      </c>
      <c r="O26" s="1">
        <f t="shared" si="0"/>
        <v>100</v>
      </c>
      <c r="P26" s="1">
        <f t="shared" si="1"/>
        <v>126.70256572695598</v>
      </c>
      <c r="S26" s="300">
        <f>'6d'!B26</f>
        <v>1152905</v>
      </c>
      <c r="T26" s="972">
        <f>52*'57'!B31</f>
        <v>27189546.800000001</v>
      </c>
      <c r="U26" s="972">
        <f t="shared" si="2"/>
        <v>42.402508893601713</v>
      </c>
      <c r="V26" s="972">
        <f t="shared" si="3"/>
        <v>-3.7874849756591722E-3</v>
      </c>
      <c r="X26" s="936"/>
    </row>
    <row r="27" spans="1:27" ht="15">
      <c r="A27" s="2">
        <v>2003</v>
      </c>
      <c r="B27" s="644">
        <f>P27/'4'!B27*'4'!B$16</f>
        <v>106.55956930987777</v>
      </c>
      <c r="C27" s="644">
        <f>P27/'6b'!B27*'6b'!B$16</f>
        <v>108.44240169435554</v>
      </c>
      <c r="D27" s="644">
        <f>'31'!H47</f>
        <v>42.557978756880438</v>
      </c>
      <c r="F27" s="981"/>
      <c r="G27" s="114"/>
      <c r="J27" s="1">
        <v>2003</v>
      </c>
      <c r="K27" s="1">
        <v>101.7</v>
      </c>
      <c r="L27" s="1">
        <v>102.4</v>
      </c>
      <c r="M27" s="1">
        <v>104</v>
      </c>
      <c r="N27" s="1">
        <v>103.6</v>
      </c>
      <c r="O27" s="1">
        <f t="shared" si="0"/>
        <v>102.92500000000001</v>
      </c>
      <c r="P27" s="1">
        <f t="shared" si="1"/>
        <v>130.40861577446947</v>
      </c>
      <c r="S27" s="300">
        <f>'6d'!B27</f>
        <v>1174419.1674733786</v>
      </c>
      <c r="T27" s="972">
        <f>52*'57'!B32</f>
        <v>27349010</v>
      </c>
      <c r="U27" s="972">
        <f t="shared" si="2"/>
        <v>42.941926141874191</v>
      </c>
      <c r="V27" s="972">
        <f t="shared" si="3"/>
        <v>0.90217485935391029</v>
      </c>
      <c r="X27" s="936"/>
    </row>
    <row r="28" spans="1:27" ht="15">
      <c r="A28" s="2">
        <v>2004</v>
      </c>
      <c r="B28" s="644">
        <f>P28/'4'!B28*'4'!B$16</f>
        <v>107.77705068011866</v>
      </c>
      <c r="C28" s="644">
        <f>P28/'6b'!B28*'6b'!B$16</f>
        <v>108.25043487149378</v>
      </c>
      <c r="D28" s="644">
        <f>'31'!H48</f>
        <v>42.680684969109301</v>
      </c>
      <c r="F28" s="981"/>
      <c r="G28" s="114"/>
      <c r="J28" s="1">
        <v>2004</v>
      </c>
      <c r="K28" s="1">
        <v>104.9</v>
      </c>
      <c r="L28" s="1">
        <v>105.7</v>
      </c>
      <c r="M28" s="1">
        <v>106.3</v>
      </c>
      <c r="N28" s="1">
        <v>107.2</v>
      </c>
      <c r="O28" s="1">
        <f t="shared" si="0"/>
        <v>106.02500000000001</v>
      </c>
      <c r="P28" s="1">
        <f t="shared" si="1"/>
        <v>134.33639531200507</v>
      </c>
      <c r="S28" s="300">
        <f>'6d'!B28</f>
        <v>1210981.2382739212</v>
      </c>
      <c r="T28" s="972">
        <f>52*'57'!B33</f>
        <v>28108688.399999999</v>
      </c>
      <c r="U28" s="972">
        <f t="shared" si="2"/>
        <v>43.082096931777194</v>
      </c>
      <c r="V28" s="972">
        <f t="shared" si="3"/>
        <v>0.94050028240741934</v>
      </c>
      <c r="X28" s="936"/>
    </row>
    <row r="29" spans="1:27" ht="15">
      <c r="A29" s="2">
        <v>2005</v>
      </c>
      <c r="B29" s="644">
        <f>P29/'4'!B29*'4'!B$16</f>
        <v>110.48345317777731</v>
      </c>
      <c r="C29" s="644">
        <f>P29/'6b'!B29*'6b'!B$16</f>
        <v>109.70168559252707</v>
      </c>
      <c r="D29" s="644">
        <f>'31'!H49</f>
        <v>43.550670892286092</v>
      </c>
      <c r="F29" s="981"/>
      <c r="G29" s="114"/>
      <c r="J29" s="1">
        <v>2005</v>
      </c>
      <c r="K29" s="1">
        <v>109.2</v>
      </c>
      <c r="L29" s="1">
        <v>110.4</v>
      </c>
      <c r="M29" s="1">
        <v>111.7</v>
      </c>
      <c r="N29" s="1">
        <v>113</v>
      </c>
      <c r="O29" s="1">
        <f>AVERAGE(K29:N29)</f>
        <v>111.075</v>
      </c>
      <c r="P29" s="1">
        <f t="shared" si="1"/>
        <v>140.73487488121634</v>
      </c>
      <c r="S29" s="300">
        <f>'6d'!B29</f>
        <v>1245577.1324863883</v>
      </c>
      <c r="T29" s="972">
        <f>52*'57'!B34</f>
        <v>28738034</v>
      </c>
      <c r="U29" s="972">
        <f t="shared" si="2"/>
        <v>43.342461508897522</v>
      </c>
      <c r="V29" s="972">
        <f t="shared" si="3"/>
        <v>-0.47808536383637801</v>
      </c>
      <c r="X29" s="936"/>
    </row>
    <row r="30" spans="1:27" ht="15">
      <c r="A30" s="2">
        <v>2006</v>
      </c>
      <c r="B30" s="644">
        <f>P30/'4'!B30*'4'!B$16</f>
        <v>113.57590119522561</v>
      </c>
      <c r="C30" s="929">
        <f>P30/'6b'!B30*'6b'!B$16</f>
        <v>112.23566340548778</v>
      </c>
      <c r="D30" s="644">
        <f>'31'!H50</f>
        <v>44.112999848380973</v>
      </c>
      <c r="F30" s="981"/>
      <c r="G30" s="114"/>
      <c r="J30" s="1">
        <v>2006</v>
      </c>
      <c r="K30" s="1">
        <v>115.3</v>
      </c>
      <c r="L30" s="1">
        <v>115.5</v>
      </c>
      <c r="M30" s="1">
        <v>116.6</v>
      </c>
      <c r="N30" s="1">
        <v>118.3</v>
      </c>
      <c r="O30" s="1">
        <f>AVERAGE(K30:N30)</f>
        <v>116.425</v>
      </c>
      <c r="P30" s="1">
        <f>100*O30/78.925</f>
        <v>147.51346214760849</v>
      </c>
      <c r="S30" s="300">
        <f>'6d'!B30</f>
        <v>1284756.421612046</v>
      </c>
      <c r="T30" s="972">
        <f>52*'57'!B35</f>
        <v>29078550.800000001</v>
      </c>
      <c r="U30" s="972">
        <f t="shared" si="2"/>
        <v>44.182271339741114</v>
      </c>
      <c r="V30" s="972">
        <f t="shared" si="3"/>
        <v>0.15703192165172908</v>
      </c>
      <c r="X30" s="936"/>
    </row>
    <row r="31" spans="1:27" ht="15">
      <c r="A31" s="2">
        <v>2007</v>
      </c>
      <c r="B31" s="644">
        <f>P31/'4'!B31*'4'!B$16</f>
        <v>115.56978513119822</v>
      </c>
      <c r="C31" s="929">
        <f>P31/'6b'!B31*'6b'!B$16</f>
        <v>113.20876968978553</v>
      </c>
      <c r="D31" s="644">
        <f>'31'!H51</f>
        <v>44.306869139298357</v>
      </c>
      <c r="F31" s="981"/>
      <c r="G31" s="114"/>
      <c r="J31" s="1">
        <v>2007</v>
      </c>
      <c r="K31" s="1">
        <v>120.3</v>
      </c>
      <c r="L31" s="1">
        <v>121</v>
      </c>
      <c r="M31" s="1">
        <v>120.7</v>
      </c>
      <c r="N31" s="1">
        <v>122.3</v>
      </c>
      <c r="O31" s="1">
        <f>AVERAGE(K31:N31)</f>
        <v>121.075</v>
      </c>
      <c r="P31" s="930">
        <f>100*O31/78.925</f>
        <v>153.40513145391193</v>
      </c>
      <c r="S31" s="300">
        <f>'6d'!B31</f>
        <v>1319283.5051546392</v>
      </c>
      <c r="T31" s="972">
        <f>52*'57'!B36</f>
        <v>29828151.600000001</v>
      </c>
      <c r="U31" s="972">
        <f t="shared" si="2"/>
        <v>44.229475659317728</v>
      </c>
      <c r="V31" s="972">
        <f t="shared" si="3"/>
        <v>-0.17467602988897601</v>
      </c>
      <c r="X31" s="936"/>
    </row>
    <row r="32" spans="1:27" ht="15">
      <c r="A32" s="2">
        <v>2008</v>
      </c>
      <c r="B32" s="644">
        <f>P32/'4'!B32*'4'!B$16</f>
        <v>116.85396751983616</v>
      </c>
      <c r="C32" s="929">
        <f>P32/'6b'!B32*'6b'!B$16</f>
        <v>112.7759992433478</v>
      </c>
      <c r="D32" s="981">
        <f>(Y22/Z22)</f>
        <v>44.052176104688265</v>
      </c>
      <c r="F32" s="981"/>
      <c r="G32" s="114"/>
      <c r="J32" s="1">
        <v>2008</v>
      </c>
      <c r="K32" s="1">
        <v>123.7</v>
      </c>
      <c r="L32" s="1">
        <v>124.7</v>
      </c>
      <c r="M32" s="1">
        <v>125.6</v>
      </c>
      <c r="N32" s="1">
        <v>127.1</v>
      </c>
      <c r="O32" s="1">
        <f>AVERAGE(K32:N32)</f>
        <v>125.27500000000001</v>
      </c>
      <c r="P32" s="930">
        <f>100*O32/78.925</f>
        <v>158.72663921444411</v>
      </c>
      <c r="S32" s="300">
        <f>'6d'!B32</f>
        <v>1325454.0942928039</v>
      </c>
      <c r="T32" s="972">
        <f>52*'57'!B37</f>
        <v>30020078.399999999</v>
      </c>
      <c r="U32" s="972">
        <f t="shared" si="2"/>
        <v>44.152252923256988</v>
      </c>
      <c r="V32" s="972"/>
      <c r="X32" s="936"/>
    </row>
    <row r="33" spans="1:24" ht="15">
      <c r="A33" s="2"/>
      <c r="C33" s="1" t="s">
        <v>802</v>
      </c>
      <c r="X33" s="936"/>
    </row>
    <row r="34" spans="1:24" ht="15">
      <c r="A34" s="119" t="s">
        <v>603</v>
      </c>
      <c r="B34" s="644">
        <f>((((B13/B5))^(1/8))-1)*100</f>
        <v>0.38946771174819261</v>
      </c>
      <c r="C34" s="644">
        <f>((((C13/C5))^(1/8))-1)*100</f>
        <v>1.0605690560207659</v>
      </c>
      <c r="D34" s="644">
        <f>((((D13/D5))^(1/8))-1)*100</f>
        <v>1.252157025471945</v>
      </c>
      <c r="X34" s="936"/>
    </row>
    <row r="35" spans="1:24" ht="15">
      <c r="A35" s="119" t="s">
        <v>819</v>
      </c>
      <c r="B35" s="644">
        <f>((((B30/B5))^(1/25))-1)*100</f>
        <v>0.73603058672067068</v>
      </c>
      <c r="C35" s="644">
        <f>((((C30/C5))^(1/25))-1)*100</f>
        <v>1.074142627080632</v>
      </c>
      <c r="D35" s="644">
        <f>((((D30/D5))^(1/25))-1)*100</f>
        <v>1.3530616538298235</v>
      </c>
      <c r="X35" s="936"/>
    </row>
    <row r="36" spans="1:24" ht="15">
      <c r="A36" s="119" t="s">
        <v>447</v>
      </c>
      <c r="B36" s="644">
        <f>((((B31/B5))^(1/26))-1)*100</f>
        <v>0.7750534028050593</v>
      </c>
      <c r="C36" s="644">
        <f>((((C31/C5))^(1/26))-1)*100</f>
        <v>1.0661685351300854</v>
      </c>
      <c r="D36" s="644">
        <f>((((D31/D5))^(1/26))-1)*100</f>
        <v>1.3177708521360021</v>
      </c>
      <c r="X36" s="936"/>
    </row>
    <row r="37" spans="1:24" ht="15">
      <c r="A37" s="119" t="s">
        <v>1408</v>
      </c>
      <c r="B37" s="644">
        <f>((((B32/B5))^(1/26))-1)*100</f>
        <v>0.81789371228710994</v>
      </c>
      <c r="C37" s="644">
        <f>((((C32/C5))^(1/26))-1)*100</f>
        <v>1.0512814586774777</v>
      </c>
      <c r="D37" s="644">
        <f>((((D32/D5))^(1/26))-1)*100</f>
        <v>1.295308181824617</v>
      </c>
      <c r="X37" s="936"/>
    </row>
    <row r="38" spans="1:24" ht="15">
      <c r="A38" s="119" t="s">
        <v>604</v>
      </c>
      <c r="B38" s="644">
        <f>((((B24/B13))^(1/11))-1)*100</f>
        <v>0.6561306803232414</v>
      </c>
      <c r="C38" s="644">
        <f>((((C24/C13))^(1/11))-1)*100</f>
        <v>1.0215300577168573</v>
      </c>
      <c r="D38" s="644">
        <f>((((D24/D13))^(1/11))-1)*100</f>
        <v>1.5767286532068825</v>
      </c>
      <c r="X38" s="936"/>
    </row>
    <row r="39" spans="1:24" ht="15">
      <c r="A39" s="119" t="s">
        <v>449</v>
      </c>
      <c r="B39" s="644">
        <f>((((B31/B24))^(1/7))-1)*100</f>
        <v>1.4055208559204946</v>
      </c>
      <c r="C39" s="644">
        <f>((((C31/C24))^(1/7))-1)*100</f>
        <v>1.1427587976743592</v>
      </c>
      <c r="D39" s="644">
        <f>((((D31/D24))^(1/7))-1)*100</f>
        <v>0.98690924966102767</v>
      </c>
      <c r="X39" s="936"/>
    </row>
    <row r="40" spans="1:24" ht="15">
      <c r="A40" s="119" t="s">
        <v>1410</v>
      </c>
      <c r="B40" s="644">
        <f>((((B32/B24))^(1/8))-1)*100</f>
        <v>1.3686807961653669</v>
      </c>
      <c r="C40" s="644">
        <f>((((C32/C24))^(1/8))-1)*100</f>
        <v>0.950859898794576</v>
      </c>
      <c r="D40" s="644">
        <f>((((D32/D24))^(1/8))-1)*100</f>
        <v>0.79035702092595805</v>
      </c>
      <c r="X40" s="936"/>
    </row>
    <row r="41" spans="1:24" ht="15">
      <c r="A41" s="119" t="s">
        <v>1393</v>
      </c>
      <c r="B41" s="644">
        <f>((((B31/B21))^(1/10))-1)*100</f>
        <v>1.7689424096920092</v>
      </c>
      <c r="C41" s="644">
        <f>((((C31/C21))^(1/10))-1)*100</f>
        <v>1.5871041328618718</v>
      </c>
      <c r="D41" s="644">
        <f>((((D31/D21))^(1/10))-1)*100</f>
        <v>1.4369026621131376</v>
      </c>
      <c r="X41" s="936"/>
    </row>
    <row r="42" spans="1:24" ht="15">
      <c r="A42" s="119" t="s">
        <v>1747</v>
      </c>
      <c r="B42" s="644">
        <f>((((B32/B21))^(1/11))-1)*100</f>
        <v>1.7089689562511667</v>
      </c>
      <c r="C42" s="644">
        <f>((((C32/C21))^(1/11))-1)*100</f>
        <v>1.4064721640066224</v>
      </c>
      <c r="D42" s="644">
        <f>((((D32/D21))^(1/11))-1)*100</f>
        <v>1.2523473038115851</v>
      </c>
      <c r="X42" s="936"/>
    </row>
    <row r="43" spans="1:24" ht="15">
      <c r="A43" s="119"/>
      <c r="C43" s="1" t="s">
        <v>276</v>
      </c>
      <c r="X43" s="936"/>
    </row>
    <row r="44" spans="1:24" ht="15">
      <c r="A44" s="119" t="s">
        <v>819</v>
      </c>
      <c r="B44" s="644">
        <f>(B30/B5-1)*100</f>
        <v>20.121527678264872</v>
      </c>
      <c r="C44" s="644">
        <f>(C30/C5-1)*100</f>
        <v>30.617585581629836</v>
      </c>
      <c r="D44" s="644">
        <f>(D30/D5-1)*100</f>
        <v>39.933535764540395</v>
      </c>
      <c r="X44" s="936"/>
    </row>
    <row r="45" spans="1:24" ht="15">
      <c r="A45" s="119" t="s">
        <v>447</v>
      </c>
      <c r="B45" s="644">
        <f>(B31/B5-1)*100</f>
        <v>22.230323486897639</v>
      </c>
      <c r="C45" s="644">
        <f>(C31/C5-1)*100</f>
        <v>31.750066911651253</v>
      </c>
      <c r="D45" s="644">
        <f>(D31/D5-1)*100</f>
        <v>40.548520359727249</v>
      </c>
      <c r="X45" s="936"/>
    </row>
    <row r="46" spans="1:24" ht="15">
      <c r="A46" s="119" t="s">
        <v>1408</v>
      </c>
      <c r="B46" s="644">
        <f>(B32/B5-1)*100</f>
        <v>23.58851610273749</v>
      </c>
      <c r="C46" s="644">
        <f>(C32/C5-1)*100</f>
        <v>31.246417455590603</v>
      </c>
      <c r="D46" s="644">
        <f>(D32/D5-1)*100</f>
        <v>39.740593059609644</v>
      </c>
      <c r="X46" s="936"/>
    </row>
    <row r="47" spans="1:24" ht="95.45" customHeight="1">
      <c r="A47" s="1188" t="s">
        <v>1957</v>
      </c>
      <c r="B47" s="1188"/>
      <c r="C47" s="1188"/>
      <c r="D47" s="1188"/>
      <c r="E47" s="1188"/>
      <c r="F47" s="1188"/>
      <c r="G47" s="1188"/>
      <c r="H47" s="1188"/>
    </row>
    <row r="48" spans="1:24">
      <c r="A48" s="1208" t="s">
        <v>1272</v>
      </c>
      <c r="B48" s="1208"/>
      <c r="C48" s="1208"/>
      <c r="D48" s="1208"/>
      <c r="E48" s="1208"/>
      <c r="F48" s="1208"/>
      <c r="G48" s="1208"/>
      <c r="H48" s="1208"/>
    </row>
    <row r="49" spans="1:1">
      <c r="A49" s="1" t="s">
        <v>1664</v>
      </c>
    </row>
  </sheetData>
  <mergeCells count="5">
    <mergeCell ref="B3:B4"/>
    <mergeCell ref="D3:D4"/>
    <mergeCell ref="A47:H47"/>
    <mergeCell ref="A48:H48"/>
    <mergeCell ref="C3:C4"/>
  </mergeCells>
  <phoneticPr fontId="35" type="noConversion"/>
  <pageMargins left="0.75" right="0.75" top="1" bottom="1" header="0.5" footer="0.5"/>
  <pageSetup scale="78"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sheetPr codeName="Sheet69">
    <pageSetUpPr fitToPage="1"/>
  </sheetPr>
  <dimension ref="A1:W103"/>
  <sheetViews>
    <sheetView view="pageBreakPreview" zoomScale="70" zoomScaleSheetLayoutView="7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1" width="9.28515625" style="1" bestFit="1" customWidth="1"/>
    <col min="12" max="16384" width="9.140625" style="1"/>
  </cols>
  <sheetData>
    <row r="1" spans="1:23" ht="36" customHeight="1">
      <c r="A1" s="4"/>
      <c r="B1" s="1178" t="s">
        <v>2188</v>
      </c>
      <c r="C1" s="1178"/>
      <c r="D1" s="1178"/>
      <c r="E1" s="1178"/>
      <c r="F1" s="1178"/>
      <c r="G1" s="1178"/>
      <c r="H1" s="1178"/>
      <c r="I1" s="1178"/>
      <c r="J1" s="1178"/>
      <c r="K1" s="1178"/>
    </row>
    <row r="2" spans="1:23">
      <c r="A2" s="4"/>
      <c r="B2" s="647"/>
      <c r="C2" s="647"/>
      <c r="D2" s="647"/>
      <c r="E2" s="647"/>
      <c r="F2" s="647"/>
    </row>
    <row r="3" spans="1:23">
      <c r="A3" s="4"/>
      <c r="B3" s="1213" t="s">
        <v>173</v>
      </c>
      <c r="C3" s="1213"/>
      <c r="D3" s="1213"/>
      <c r="E3" s="1213"/>
      <c r="F3" s="1213"/>
      <c r="G3" s="1175" t="s">
        <v>172</v>
      </c>
      <c r="H3" s="1175"/>
      <c r="I3" s="1175"/>
      <c r="J3" s="1175"/>
      <c r="K3" s="1175"/>
      <c r="L3" s="1175" t="s">
        <v>1191</v>
      </c>
      <c r="M3" s="1175"/>
      <c r="N3" s="1175"/>
      <c r="O3" s="1175"/>
      <c r="P3" s="1175"/>
    </row>
    <row r="4" spans="1:23" ht="12.75" customHeight="1">
      <c r="B4" s="1211" t="s">
        <v>167</v>
      </c>
      <c r="C4" s="1211" t="s">
        <v>168</v>
      </c>
      <c r="D4" s="1211" t="s">
        <v>169</v>
      </c>
      <c r="E4" s="1211" t="s">
        <v>170</v>
      </c>
      <c r="F4" s="1211" t="s">
        <v>171</v>
      </c>
      <c r="G4" s="1211" t="s">
        <v>167</v>
      </c>
      <c r="H4" s="1211" t="s">
        <v>168</v>
      </c>
      <c r="I4" s="1211" t="s">
        <v>169</v>
      </c>
      <c r="J4" s="1211" t="s">
        <v>170</v>
      </c>
      <c r="K4" s="1211" t="s">
        <v>171</v>
      </c>
      <c r="L4" s="1211" t="s">
        <v>167</v>
      </c>
      <c r="M4" s="1211" t="s">
        <v>168</v>
      </c>
      <c r="N4" s="1211" t="s">
        <v>169</v>
      </c>
      <c r="O4" s="1211" t="s">
        <v>170</v>
      </c>
      <c r="P4" s="1211" t="s">
        <v>171</v>
      </c>
    </row>
    <row r="5" spans="1:23" s="4" customFormat="1">
      <c r="A5" s="7"/>
      <c r="B5" s="1212"/>
      <c r="C5" s="1212"/>
      <c r="D5" s="1212"/>
      <c r="E5" s="1212"/>
      <c r="F5" s="1212"/>
      <c r="G5" s="1212"/>
      <c r="H5" s="1212"/>
      <c r="I5" s="1212"/>
      <c r="J5" s="1212"/>
      <c r="K5" s="1212"/>
      <c r="L5" s="1212"/>
      <c r="M5" s="1212"/>
      <c r="N5" s="1212"/>
      <c r="O5" s="1212"/>
      <c r="P5" s="1212"/>
    </row>
    <row r="6" spans="1:23">
      <c r="A6" s="120">
        <v>1981</v>
      </c>
      <c r="B6" s="433">
        <v>8600</v>
      </c>
      <c r="C6" s="433">
        <v>21500</v>
      </c>
      <c r="D6" s="433">
        <v>31000</v>
      </c>
      <c r="E6" s="433">
        <v>42200</v>
      </c>
      <c r="F6" s="433">
        <v>67900</v>
      </c>
      <c r="G6" s="433">
        <v>18700</v>
      </c>
      <c r="H6" s="433">
        <v>45900</v>
      </c>
      <c r="I6" s="433">
        <v>63800</v>
      </c>
      <c r="J6" s="433">
        <v>84200</v>
      </c>
      <c r="K6" s="433">
        <v>125600</v>
      </c>
      <c r="L6" s="978">
        <v>4</v>
      </c>
      <c r="M6" s="978">
        <v>4.0999999999999996</v>
      </c>
      <c r="N6" s="978">
        <v>3.9</v>
      </c>
      <c r="O6" s="978">
        <v>3.7</v>
      </c>
      <c r="P6" s="978">
        <v>3.3</v>
      </c>
      <c r="Q6" s="6"/>
      <c r="R6" s="6"/>
      <c r="S6" s="6"/>
      <c r="T6" s="6"/>
      <c r="U6" s="6"/>
      <c r="V6" s="6"/>
      <c r="W6" s="6"/>
    </row>
    <row r="7" spans="1:23">
      <c r="A7" s="120">
        <v>1982</v>
      </c>
      <c r="B7" s="433">
        <v>7600</v>
      </c>
      <c r="C7" s="433">
        <v>19500</v>
      </c>
      <c r="D7" s="433">
        <v>29300</v>
      </c>
      <c r="E7" s="433">
        <v>40400</v>
      </c>
      <c r="F7" s="433">
        <v>67100</v>
      </c>
      <c r="G7" s="433">
        <v>16600</v>
      </c>
      <c r="H7" s="433">
        <v>41100</v>
      </c>
      <c r="I7" s="433">
        <v>60500</v>
      </c>
      <c r="J7" s="433">
        <v>80300</v>
      </c>
      <c r="K7" s="433">
        <v>123900</v>
      </c>
      <c r="L7" s="978">
        <v>4.0999999999999996</v>
      </c>
      <c r="M7" s="978">
        <v>4</v>
      </c>
      <c r="N7" s="978">
        <v>3.9</v>
      </c>
      <c r="O7" s="978">
        <v>3.7</v>
      </c>
      <c r="P7" s="978">
        <v>3.3</v>
      </c>
      <c r="Q7" s="6"/>
      <c r="R7" s="6"/>
      <c r="S7" s="6"/>
      <c r="T7" s="6"/>
      <c r="U7" s="6"/>
      <c r="V7" s="6"/>
      <c r="W7" s="6"/>
    </row>
    <row r="8" spans="1:23">
      <c r="A8" s="120">
        <v>1983</v>
      </c>
      <c r="B8" s="433">
        <v>7400</v>
      </c>
      <c r="C8" s="433">
        <v>18400</v>
      </c>
      <c r="D8" s="433">
        <v>28400</v>
      </c>
      <c r="E8" s="433">
        <v>40000</v>
      </c>
      <c r="F8" s="433">
        <v>67900</v>
      </c>
      <c r="G8" s="433">
        <v>15800</v>
      </c>
      <c r="H8" s="433">
        <v>39000</v>
      </c>
      <c r="I8" s="433">
        <v>58200</v>
      </c>
      <c r="J8" s="433">
        <v>78800</v>
      </c>
      <c r="K8" s="433">
        <v>124800</v>
      </c>
      <c r="L8" s="978">
        <v>4</v>
      </c>
      <c r="M8" s="978">
        <v>4</v>
      </c>
      <c r="N8" s="978">
        <v>3.9</v>
      </c>
      <c r="O8" s="978">
        <v>3.6</v>
      </c>
      <c r="P8" s="978">
        <v>3.3</v>
      </c>
      <c r="Q8" s="6"/>
      <c r="R8" s="6"/>
      <c r="S8" s="6"/>
      <c r="T8" s="6"/>
      <c r="U8" s="6"/>
      <c r="V8" s="6"/>
      <c r="W8" s="6"/>
    </row>
    <row r="9" spans="1:23">
      <c r="A9" s="120">
        <v>1984</v>
      </c>
      <c r="B9" s="433">
        <v>7100</v>
      </c>
      <c r="C9" s="433">
        <v>18700</v>
      </c>
      <c r="D9" s="433">
        <v>29100</v>
      </c>
      <c r="E9" s="433">
        <v>40200</v>
      </c>
      <c r="F9" s="433">
        <v>67800</v>
      </c>
      <c r="G9" s="433">
        <v>15200</v>
      </c>
      <c r="H9" s="433">
        <v>39000</v>
      </c>
      <c r="I9" s="433">
        <v>59400</v>
      </c>
      <c r="J9" s="433">
        <v>78900</v>
      </c>
      <c r="K9" s="433">
        <v>125200</v>
      </c>
      <c r="L9" s="978">
        <v>4</v>
      </c>
      <c r="M9" s="978">
        <v>3.9</v>
      </c>
      <c r="N9" s="978">
        <v>3.9</v>
      </c>
      <c r="O9" s="978">
        <v>3.6</v>
      </c>
      <c r="P9" s="978">
        <v>3.3</v>
      </c>
      <c r="Q9" s="6"/>
      <c r="R9" s="6"/>
      <c r="S9" s="6"/>
      <c r="T9" s="6"/>
      <c r="U9" s="6"/>
      <c r="V9" s="6"/>
      <c r="W9" s="6"/>
    </row>
    <row r="10" spans="1:23">
      <c r="A10" s="120">
        <v>1985</v>
      </c>
      <c r="B10" s="433">
        <v>7900</v>
      </c>
      <c r="C10" s="433">
        <v>19700</v>
      </c>
      <c r="D10" s="433">
        <v>30300</v>
      </c>
      <c r="E10" s="433">
        <v>41400</v>
      </c>
      <c r="F10" s="433">
        <v>69300</v>
      </c>
      <c r="G10" s="433">
        <v>16500</v>
      </c>
      <c r="H10" s="433">
        <v>40900</v>
      </c>
      <c r="I10" s="433">
        <v>61000</v>
      </c>
      <c r="J10" s="433">
        <v>80600</v>
      </c>
      <c r="K10" s="433">
        <v>127100</v>
      </c>
      <c r="L10" s="978">
        <v>3.9</v>
      </c>
      <c r="M10" s="978">
        <v>3.9</v>
      </c>
      <c r="N10" s="978">
        <v>3.8</v>
      </c>
      <c r="O10" s="978">
        <v>3.6</v>
      </c>
      <c r="P10" s="978">
        <v>3.3</v>
      </c>
      <c r="Q10" s="6"/>
      <c r="R10" s="6"/>
      <c r="S10" s="6"/>
      <c r="T10" s="6"/>
      <c r="U10" s="6"/>
      <c r="V10" s="6"/>
      <c r="W10" s="6"/>
    </row>
    <row r="11" spans="1:23">
      <c r="A11" s="120">
        <v>1986</v>
      </c>
      <c r="B11" s="433">
        <v>8200</v>
      </c>
      <c r="C11" s="433">
        <v>20200</v>
      </c>
      <c r="D11" s="433">
        <v>31200</v>
      </c>
      <c r="E11" s="433">
        <v>42100</v>
      </c>
      <c r="F11" s="433">
        <v>71100</v>
      </c>
      <c r="G11" s="433">
        <v>17100</v>
      </c>
      <c r="H11" s="433">
        <v>41500</v>
      </c>
      <c r="I11" s="433">
        <v>62800</v>
      </c>
      <c r="J11" s="433">
        <v>82300</v>
      </c>
      <c r="K11" s="433">
        <v>131000</v>
      </c>
      <c r="L11" s="978">
        <v>3.9</v>
      </c>
      <c r="M11" s="978">
        <v>3.8</v>
      </c>
      <c r="N11" s="978">
        <v>3.8</v>
      </c>
      <c r="O11" s="978">
        <v>3.6</v>
      </c>
      <c r="P11" s="978">
        <v>3.3</v>
      </c>
      <c r="Q11" s="6"/>
      <c r="R11" s="6"/>
      <c r="S11" s="6"/>
      <c r="T11" s="6"/>
      <c r="U11" s="6"/>
      <c r="V11" s="6"/>
      <c r="W11" s="6"/>
    </row>
    <row r="12" spans="1:23">
      <c r="A12" s="120">
        <v>1987</v>
      </c>
      <c r="B12" s="433">
        <v>8700</v>
      </c>
      <c r="C12" s="433">
        <v>20800</v>
      </c>
      <c r="D12" s="433">
        <v>31200</v>
      </c>
      <c r="E12" s="433">
        <v>42900</v>
      </c>
      <c r="F12" s="433">
        <v>72200</v>
      </c>
      <c r="G12" s="433">
        <v>18100</v>
      </c>
      <c r="H12" s="433">
        <v>42200</v>
      </c>
      <c r="I12" s="433">
        <v>63100</v>
      </c>
      <c r="J12" s="433">
        <v>84000</v>
      </c>
      <c r="K12" s="433">
        <v>133100</v>
      </c>
      <c r="L12" s="978">
        <v>3.8</v>
      </c>
      <c r="M12" s="978">
        <v>3.7</v>
      </c>
      <c r="N12" s="978">
        <v>3.8</v>
      </c>
      <c r="O12" s="978">
        <v>3.6</v>
      </c>
      <c r="P12" s="978">
        <v>3.3</v>
      </c>
      <c r="Q12" s="6"/>
      <c r="R12" s="6"/>
      <c r="S12" s="6"/>
      <c r="T12" s="6"/>
      <c r="U12" s="6"/>
      <c r="V12" s="6"/>
      <c r="W12" s="6"/>
    </row>
    <row r="13" spans="1:23">
      <c r="A13" s="120">
        <v>1988</v>
      </c>
      <c r="B13" s="433">
        <v>8800</v>
      </c>
      <c r="C13" s="433">
        <v>21700</v>
      </c>
      <c r="D13" s="433">
        <v>32700</v>
      </c>
      <c r="E13" s="433">
        <v>44100</v>
      </c>
      <c r="F13" s="433">
        <v>74000</v>
      </c>
      <c r="G13" s="433">
        <v>18100</v>
      </c>
      <c r="H13" s="433">
        <v>44000</v>
      </c>
      <c r="I13" s="433">
        <v>65400</v>
      </c>
      <c r="J13" s="433">
        <v>85400</v>
      </c>
      <c r="K13" s="433">
        <v>135100</v>
      </c>
      <c r="L13" s="978">
        <v>3.7</v>
      </c>
      <c r="M13" s="978">
        <v>3.8</v>
      </c>
      <c r="N13" s="978">
        <v>3.7</v>
      </c>
      <c r="O13" s="978">
        <v>3.5</v>
      </c>
      <c r="P13" s="978">
        <v>3.2</v>
      </c>
      <c r="Q13" s="6"/>
      <c r="R13" s="6"/>
      <c r="S13" s="6"/>
      <c r="T13" s="6"/>
      <c r="U13" s="6"/>
      <c r="V13" s="6"/>
      <c r="W13" s="6"/>
    </row>
    <row r="14" spans="1:23">
      <c r="A14" s="120">
        <v>1989</v>
      </c>
      <c r="B14" s="433">
        <v>9300</v>
      </c>
      <c r="C14" s="433">
        <v>22600</v>
      </c>
      <c r="D14" s="433">
        <v>33300</v>
      </c>
      <c r="E14" s="433">
        <v>45100</v>
      </c>
      <c r="F14" s="433">
        <v>76100</v>
      </c>
      <c r="G14" s="433">
        <v>18800</v>
      </c>
      <c r="H14" s="433">
        <v>45900</v>
      </c>
      <c r="I14" s="433">
        <v>66600</v>
      </c>
      <c r="J14" s="433">
        <v>87500</v>
      </c>
      <c r="K14" s="433">
        <v>139300</v>
      </c>
      <c r="L14" s="978">
        <v>3.7</v>
      </c>
      <c r="M14" s="978">
        <v>3.8</v>
      </c>
      <c r="N14" s="978">
        <v>3.8</v>
      </c>
      <c r="O14" s="978">
        <v>3.6</v>
      </c>
      <c r="P14" s="978">
        <v>3.2</v>
      </c>
      <c r="Q14" s="6"/>
      <c r="R14" s="6"/>
      <c r="S14" s="6"/>
      <c r="T14" s="6"/>
      <c r="U14" s="6"/>
      <c r="V14" s="6"/>
      <c r="W14" s="6"/>
    </row>
    <row r="15" spans="1:23">
      <c r="A15" s="120">
        <v>1990</v>
      </c>
      <c r="B15" s="433">
        <v>8200</v>
      </c>
      <c r="C15" s="433">
        <v>21000</v>
      </c>
      <c r="D15" s="433">
        <v>32100</v>
      </c>
      <c r="E15" s="433">
        <v>44000</v>
      </c>
      <c r="F15" s="433">
        <v>74300</v>
      </c>
      <c r="G15" s="433">
        <v>16700</v>
      </c>
      <c r="H15" s="433">
        <v>42500</v>
      </c>
      <c r="I15" s="433">
        <v>64000</v>
      </c>
      <c r="J15" s="433">
        <v>85200</v>
      </c>
      <c r="K15" s="433">
        <v>136700</v>
      </c>
      <c r="L15" s="978">
        <v>3.7</v>
      </c>
      <c r="M15" s="978">
        <v>3.7</v>
      </c>
      <c r="N15" s="978">
        <v>3.7</v>
      </c>
      <c r="O15" s="978">
        <v>3.5</v>
      </c>
      <c r="P15" s="978">
        <v>3.3</v>
      </c>
      <c r="Q15" s="6"/>
      <c r="R15" s="6"/>
      <c r="S15" s="6"/>
      <c r="T15" s="6"/>
      <c r="U15" s="6"/>
      <c r="V15" s="6"/>
      <c r="W15" s="6"/>
    </row>
    <row r="16" spans="1:23">
      <c r="A16" s="120">
        <v>1991</v>
      </c>
      <c r="B16" s="433">
        <v>7400</v>
      </c>
      <c r="C16" s="433">
        <v>18900</v>
      </c>
      <c r="D16" s="433">
        <v>29800</v>
      </c>
      <c r="E16" s="433">
        <v>41900</v>
      </c>
      <c r="F16" s="433">
        <v>73800</v>
      </c>
      <c r="G16" s="433">
        <v>15400</v>
      </c>
      <c r="H16" s="433">
        <v>38600</v>
      </c>
      <c r="I16" s="433">
        <v>59300</v>
      </c>
      <c r="J16" s="433">
        <v>80900</v>
      </c>
      <c r="K16" s="433">
        <v>135200</v>
      </c>
      <c r="L16" s="978">
        <v>3.8</v>
      </c>
      <c r="M16" s="978">
        <v>3.8</v>
      </c>
      <c r="N16" s="978">
        <v>3.7</v>
      </c>
      <c r="O16" s="978">
        <v>3.5</v>
      </c>
      <c r="P16" s="978">
        <v>3.2</v>
      </c>
      <c r="Q16" s="6"/>
      <c r="R16" s="6"/>
      <c r="S16" s="6"/>
      <c r="T16" s="6"/>
      <c r="U16" s="6"/>
      <c r="V16" s="6"/>
      <c r="W16" s="6"/>
    </row>
    <row r="17" spans="1:23">
      <c r="A17" s="120">
        <v>1992</v>
      </c>
      <c r="B17" s="433">
        <v>6800</v>
      </c>
      <c r="C17" s="433">
        <v>18400</v>
      </c>
      <c r="D17" s="433">
        <v>29400</v>
      </c>
      <c r="E17" s="433">
        <v>41600</v>
      </c>
      <c r="F17" s="433">
        <v>73500</v>
      </c>
      <c r="G17" s="433">
        <v>13700</v>
      </c>
      <c r="H17" s="433">
        <v>37600</v>
      </c>
      <c r="I17" s="433">
        <v>58400</v>
      </c>
      <c r="J17" s="433">
        <v>79900</v>
      </c>
      <c r="K17" s="433">
        <v>133800</v>
      </c>
      <c r="L17" s="978">
        <v>3.7</v>
      </c>
      <c r="M17" s="978">
        <v>3.7</v>
      </c>
      <c r="N17" s="978">
        <v>3.7</v>
      </c>
      <c r="O17" s="978">
        <v>3.5</v>
      </c>
      <c r="P17" s="978">
        <v>3.2</v>
      </c>
      <c r="Q17" s="6"/>
      <c r="R17" s="6"/>
      <c r="S17" s="6"/>
      <c r="T17" s="6"/>
      <c r="U17" s="6"/>
      <c r="V17" s="6"/>
      <c r="W17" s="6"/>
    </row>
    <row r="18" spans="1:23">
      <c r="A18" s="120">
        <v>1993</v>
      </c>
      <c r="B18" s="433">
        <v>6500</v>
      </c>
      <c r="C18" s="433">
        <v>17700</v>
      </c>
      <c r="D18" s="433">
        <v>28700</v>
      </c>
      <c r="E18" s="433">
        <v>40600</v>
      </c>
      <c r="F18" s="433">
        <v>70000</v>
      </c>
      <c r="G18" s="433">
        <v>13300</v>
      </c>
      <c r="H18" s="433">
        <v>35900</v>
      </c>
      <c r="I18" s="433">
        <v>57300</v>
      </c>
      <c r="J18" s="433">
        <v>79000</v>
      </c>
      <c r="K18" s="433">
        <v>127100</v>
      </c>
      <c r="L18" s="978">
        <v>3.7</v>
      </c>
      <c r="M18" s="978">
        <v>3.7</v>
      </c>
      <c r="N18" s="978">
        <v>3.7</v>
      </c>
      <c r="O18" s="978">
        <v>3.6</v>
      </c>
      <c r="P18" s="978">
        <v>3.2</v>
      </c>
      <c r="Q18" s="6"/>
      <c r="R18" s="6"/>
      <c r="S18" s="6"/>
      <c r="T18" s="6"/>
      <c r="U18" s="6"/>
      <c r="V18" s="6"/>
      <c r="W18" s="6"/>
    </row>
    <row r="19" spans="1:23">
      <c r="A19" s="120">
        <v>1994</v>
      </c>
      <c r="B19" s="433">
        <v>6700</v>
      </c>
      <c r="C19" s="433">
        <v>18200</v>
      </c>
      <c r="D19" s="433">
        <v>29200</v>
      </c>
      <c r="E19" s="433">
        <v>41300</v>
      </c>
      <c r="F19" s="433">
        <v>71700</v>
      </c>
      <c r="G19" s="433">
        <v>13700</v>
      </c>
      <c r="H19" s="433">
        <v>37100</v>
      </c>
      <c r="I19" s="433">
        <v>58300</v>
      </c>
      <c r="J19" s="433">
        <v>80600</v>
      </c>
      <c r="K19" s="433">
        <v>131000</v>
      </c>
      <c r="L19" s="978">
        <v>3.7</v>
      </c>
      <c r="M19" s="978">
        <v>3.7</v>
      </c>
      <c r="N19" s="978">
        <v>3.7</v>
      </c>
      <c r="O19" s="978">
        <v>3.6</v>
      </c>
      <c r="P19" s="978">
        <v>3.2</v>
      </c>
      <c r="Q19" s="6"/>
      <c r="R19" s="6"/>
      <c r="S19" s="6"/>
      <c r="T19" s="6"/>
      <c r="U19" s="6"/>
      <c r="V19" s="6"/>
      <c r="W19" s="6"/>
    </row>
    <row r="20" spans="1:23">
      <c r="A20" s="120">
        <v>1995</v>
      </c>
      <c r="B20" s="433">
        <v>6900</v>
      </c>
      <c r="C20" s="433">
        <v>18300</v>
      </c>
      <c r="D20" s="433">
        <v>29200</v>
      </c>
      <c r="E20" s="433">
        <v>41600</v>
      </c>
      <c r="F20" s="433">
        <v>72600</v>
      </c>
      <c r="G20" s="433">
        <v>14100</v>
      </c>
      <c r="H20" s="433">
        <v>37000</v>
      </c>
      <c r="I20" s="433">
        <v>57600</v>
      </c>
      <c r="J20" s="433">
        <v>80700</v>
      </c>
      <c r="K20" s="433">
        <v>132300</v>
      </c>
      <c r="L20" s="978">
        <v>3.8</v>
      </c>
      <c r="M20" s="978">
        <v>3.7</v>
      </c>
      <c r="N20" s="978">
        <v>3.6</v>
      </c>
      <c r="O20" s="978">
        <v>3.5</v>
      </c>
      <c r="P20" s="978">
        <v>3.2</v>
      </c>
      <c r="Q20" s="6"/>
      <c r="R20" s="6"/>
      <c r="S20" s="6"/>
      <c r="T20" s="6"/>
      <c r="U20" s="6"/>
      <c r="V20" s="6"/>
      <c r="W20" s="6"/>
    </row>
    <row r="21" spans="1:23">
      <c r="A21" s="120">
        <v>1996</v>
      </c>
      <c r="B21" s="433">
        <v>6600</v>
      </c>
      <c r="C21" s="433">
        <v>18100</v>
      </c>
      <c r="D21" s="433">
        <v>29400</v>
      </c>
      <c r="E21" s="433">
        <v>41800</v>
      </c>
      <c r="F21" s="433">
        <v>74700</v>
      </c>
      <c r="G21" s="433">
        <v>13600</v>
      </c>
      <c r="H21" s="433">
        <v>36800</v>
      </c>
      <c r="I21" s="433">
        <v>58600</v>
      </c>
      <c r="J21" s="433">
        <v>81300</v>
      </c>
      <c r="K21" s="433">
        <v>137000</v>
      </c>
      <c r="L21" s="978">
        <v>3.7</v>
      </c>
      <c r="M21" s="978">
        <v>3.7</v>
      </c>
      <c r="N21" s="978">
        <v>3.7</v>
      </c>
      <c r="O21" s="978">
        <v>3.5</v>
      </c>
      <c r="P21" s="978">
        <v>3.2</v>
      </c>
      <c r="Q21" s="6"/>
      <c r="R21" s="6"/>
      <c r="S21" s="6"/>
      <c r="T21" s="6"/>
      <c r="U21" s="6"/>
      <c r="V21" s="6"/>
      <c r="W21" s="6"/>
    </row>
    <row r="22" spans="1:23">
      <c r="A22" s="120">
        <v>1997</v>
      </c>
      <c r="B22" s="433">
        <v>7000</v>
      </c>
      <c r="C22" s="433">
        <v>18400</v>
      </c>
      <c r="D22" s="433">
        <v>30000</v>
      </c>
      <c r="E22" s="433">
        <v>42500</v>
      </c>
      <c r="F22" s="433">
        <v>76000</v>
      </c>
      <c r="G22" s="433">
        <v>14300</v>
      </c>
      <c r="H22" s="433">
        <v>37200</v>
      </c>
      <c r="I22" s="433">
        <v>59200</v>
      </c>
      <c r="J22" s="433">
        <v>83100</v>
      </c>
      <c r="K22" s="433">
        <v>139000</v>
      </c>
      <c r="L22" s="978">
        <v>3.7</v>
      </c>
      <c r="M22" s="978">
        <v>3.7</v>
      </c>
      <c r="N22" s="978">
        <v>3.6</v>
      </c>
      <c r="O22" s="978">
        <v>3.6</v>
      </c>
      <c r="P22" s="978">
        <v>3.2</v>
      </c>
      <c r="Q22" s="6"/>
      <c r="R22" s="6"/>
      <c r="S22" s="6"/>
      <c r="T22" s="6"/>
      <c r="U22" s="6"/>
      <c r="V22" s="6"/>
      <c r="W22" s="6"/>
    </row>
    <row r="23" spans="1:23">
      <c r="A23" s="120">
        <v>1998</v>
      </c>
      <c r="B23" s="433">
        <v>7000</v>
      </c>
      <c r="C23" s="433">
        <v>19000</v>
      </c>
      <c r="D23" s="433">
        <v>31200</v>
      </c>
      <c r="E23" s="433">
        <v>44300</v>
      </c>
      <c r="F23" s="433">
        <v>82000</v>
      </c>
      <c r="G23" s="433">
        <v>14300</v>
      </c>
      <c r="H23" s="433">
        <v>37900</v>
      </c>
      <c r="I23" s="433">
        <v>62200</v>
      </c>
      <c r="J23" s="433">
        <v>86200</v>
      </c>
      <c r="K23" s="433">
        <v>150400</v>
      </c>
      <c r="L23" s="978">
        <v>3.7</v>
      </c>
      <c r="M23" s="978">
        <v>3.6</v>
      </c>
      <c r="N23" s="978">
        <v>3.7</v>
      </c>
      <c r="O23" s="978">
        <v>3.6</v>
      </c>
      <c r="P23" s="978">
        <v>3.3</v>
      </c>
      <c r="Q23" s="6"/>
      <c r="R23" s="6"/>
      <c r="S23" s="6"/>
      <c r="T23" s="6"/>
      <c r="U23" s="6"/>
      <c r="V23" s="6"/>
      <c r="W23" s="6"/>
    </row>
    <row r="24" spans="1:23">
      <c r="A24" s="120">
        <v>1999</v>
      </c>
      <c r="B24" s="433">
        <v>7900</v>
      </c>
      <c r="C24" s="433">
        <v>20500</v>
      </c>
      <c r="D24" s="433">
        <v>32500</v>
      </c>
      <c r="E24" s="433">
        <v>45400</v>
      </c>
      <c r="F24" s="433">
        <v>83500</v>
      </c>
      <c r="G24" s="433">
        <v>16000</v>
      </c>
      <c r="H24" s="433">
        <v>41100</v>
      </c>
      <c r="I24" s="433">
        <v>64300</v>
      </c>
      <c r="J24" s="433">
        <v>88100</v>
      </c>
      <c r="K24" s="433">
        <v>153400</v>
      </c>
      <c r="L24" s="978">
        <v>3.7</v>
      </c>
      <c r="M24" s="978">
        <v>3.7</v>
      </c>
      <c r="N24" s="978">
        <v>3.7</v>
      </c>
      <c r="O24" s="978">
        <v>3.5</v>
      </c>
      <c r="P24" s="978">
        <v>3.3</v>
      </c>
      <c r="Q24" s="6"/>
      <c r="R24" s="6"/>
      <c r="S24" s="6"/>
      <c r="T24" s="6"/>
      <c r="U24" s="6"/>
      <c r="V24" s="6"/>
      <c r="W24" s="6"/>
    </row>
    <row r="25" spans="1:23">
      <c r="A25" s="120">
        <v>2000</v>
      </c>
      <c r="B25" s="433">
        <v>8600</v>
      </c>
      <c r="C25" s="433">
        <v>21100</v>
      </c>
      <c r="D25" s="433">
        <v>33400</v>
      </c>
      <c r="E25" s="433">
        <v>46900</v>
      </c>
      <c r="F25" s="433">
        <v>89100</v>
      </c>
      <c r="G25" s="433">
        <v>17400</v>
      </c>
      <c r="H25" s="433">
        <v>42400</v>
      </c>
      <c r="I25" s="433">
        <v>65600</v>
      </c>
      <c r="J25" s="433">
        <v>90800</v>
      </c>
      <c r="K25" s="433">
        <v>166200</v>
      </c>
      <c r="L25" s="978">
        <v>3.7</v>
      </c>
      <c r="M25" s="978">
        <v>3.6</v>
      </c>
      <c r="N25" s="978">
        <v>3.6</v>
      </c>
      <c r="O25" s="978">
        <v>3.5</v>
      </c>
      <c r="P25" s="978">
        <v>3.3</v>
      </c>
      <c r="Q25" s="6"/>
      <c r="R25" s="6"/>
      <c r="S25" s="6"/>
      <c r="T25" s="6"/>
      <c r="U25" s="6"/>
      <c r="V25" s="6"/>
      <c r="W25" s="6"/>
    </row>
    <row r="26" spans="1:23">
      <c r="A26" s="120">
        <v>2001</v>
      </c>
      <c r="B26" s="433">
        <v>8400</v>
      </c>
      <c r="C26" s="433">
        <v>21100</v>
      </c>
      <c r="D26" s="433">
        <v>33400</v>
      </c>
      <c r="E26" s="433">
        <v>47300</v>
      </c>
      <c r="F26" s="433">
        <v>90600</v>
      </c>
      <c r="G26" s="433">
        <v>17200</v>
      </c>
      <c r="H26" s="433">
        <v>41800</v>
      </c>
      <c r="I26" s="433">
        <v>66100</v>
      </c>
      <c r="J26" s="433">
        <v>91400</v>
      </c>
      <c r="K26" s="433">
        <v>167800</v>
      </c>
      <c r="L26" s="978">
        <v>3.7</v>
      </c>
      <c r="M26" s="978">
        <v>3.6</v>
      </c>
      <c r="N26" s="978">
        <v>3.6</v>
      </c>
      <c r="O26" s="978">
        <v>3.5</v>
      </c>
      <c r="P26" s="978">
        <v>3.3</v>
      </c>
      <c r="Q26" s="6"/>
      <c r="R26" s="114"/>
      <c r="S26" s="114"/>
      <c r="T26" s="114"/>
      <c r="U26" s="114"/>
      <c r="V26" s="114"/>
      <c r="W26" s="6"/>
    </row>
    <row r="27" spans="1:23">
      <c r="A27" s="120">
        <v>2002</v>
      </c>
      <c r="B27" s="433">
        <v>8500</v>
      </c>
      <c r="C27" s="433">
        <v>21100</v>
      </c>
      <c r="D27" s="433">
        <v>33300</v>
      </c>
      <c r="E27" s="433">
        <v>47300</v>
      </c>
      <c r="F27" s="433">
        <v>90800</v>
      </c>
      <c r="G27" s="433">
        <v>17000</v>
      </c>
      <c r="H27" s="433">
        <v>42000</v>
      </c>
      <c r="I27" s="433">
        <v>65900</v>
      </c>
      <c r="J27" s="433">
        <v>91100</v>
      </c>
      <c r="K27" s="433">
        <v>166200</v>
      </c>
      <c r="L27" s="978">
        <v>3.6</v>
      </c>
      <c r="M27" s="978">
        <v>3.6</v>
      </c>
      <c r="N27" s="978">
        <v>3.6</v>
      </c>
      <c r="O27" s="978">
        <v>3.5</v>
      </c>
      <c r="P27" s="978">
        <v>3.3</v>
      </c>
      <c r="Q27" s="6"/>
      <c r="R27" s="300"/>
      <c r="S27" s="300"/>
      <c r="T27" s="300"/>
      <c r="U27" s="300"/>
      <c r="V27" s="300"/>
      <c r="W27" s="6"/>
    </row>
    <row r="28" spans="1:23">
      <c r="A28" s="120">
        <v>2003</v>
      </c>
      <c r="B28" s="433">
        <v>8600</v>
      </c>
      <c r="C28" s="433">
        <v>21000</v>
      </c>
      <c r="D28" s="433">
        <v>33400</v>
      </c>
      <c r="E28" s="433">
        <v>47400</v>
      </c>
      <c r="F28" s="433">
        <v>89300</v>
      </c>
      <c r="G28" s="433">
        <v>17500</v>
      </c>
      <c r="H28" s="433">
        <v>41700</v>
      </c>
      <c r="I28" s="433">
        <v>66300</v>
      </c>
      <c r="J28" s="433">
        <v>90600</v>
      </c>
      <c r="K28" s="433">
        <v>164500</v>
      </c>
      <c r="L28" s="978">
        <v>3.7</v>
      </c>
      <c r="M28" s="978">
        <v>3.6</v>
      </c>
      <c r="N28" s="978">
        <v>3.6</v>
      </c>
      <c r="O28" s="978">
        <v>3.4</v>
      </c>
      <c r="P28" s="978">
        <v>3.3</v>
      </c>
      <c r="Q28" s="6"/>
      <c r="R28" s="6"/>
      <c r="S28" s="6"/>
      <c r="T28" s="6"/>
      <c r="U28" s="6"/>
      <c r="V28" s="6"/>
      <c r="W28" s="6"/>
    </row>
    <row r="29" spans="1:23">
      <c r="A29" s="120">
        <v>2004</v>
      </c>
      <c r="B29" s="433">
        <v>8800</v>
      </c>
      <c r="C29" s="433">
        <v>21300</v>
      </c>
      <c r="D29" s="433">
        <v>34200</v>
      </c>
      <c r="E29" s="433">
        <v>48400</v>
      </c>
      <c r="F29" s="433">
        <v>93100</v>
      </c>
      <c r="G29" s="433">
        <v>17800</v>
      </c>
      <c r="H29" s="433">
        <v>41900</v>
      </c>
      <c r="I29" s="433">
        <v>67400</v>
      </c>
      <c r="J29" s="433">
        <v>92000</v>
      </c>
      <c r="K29" s="433">
        <v>172400</v>
      </c>
      <c r="L29" s="978">
        <v>3.7</v>
      </c>
      <c r="M29" s="978">
        <v>3.5</v>
      </c>
      <c r="N29" s="978">
        <v>3.6</v>
      </c>
      <c r="O29" s="978">
        <v>3.4</v>
      </c>
      <c r="P29" s="978">
        <v>3.3</v>
      </c>
      <c r="Q29" s="6"/>
      <c r="R29" s="6"/>
      <c r="S29" s="6"/>
      <c r="T29" s="6"/>
      <c r="U29" s="6"/>
      <c r="V29" s="6"/>
      <c r="W29" s="6"/>
    </row>
    <row r="30" spans="1:23">
      <c r="A30" s="120">
        <v>2005</v>
      </c>
      <c r="B30" s="433">
        <v>9200</v>
      </c>
      <c r="C30" s="433">
        <v>22000</v>
      </c>
      <c r="D30" s="433">
        <v>34600</v>
      </c>
      <c r="E30" s="433">
        <v>49600</v>
      </c>
      <c r="F30" s="433">
        <v>92900</v>
      </c>
      <c r="G30" s="433">
        <v>18400</v>
      </c>
      <c r="H30" s="433">
        <v>43000</v>
      </c>
      <c r="I30" s="433">
        <v>68400</v>
      </c>
      <c r="J30" s="433">
        <v>95300</v>
      </c>
      <c r="K30" s="433">
        <v>170700</v>
      </c>
      <c r="L30" s="978">
        <v>3.6</v>
      </c>
      <c r="M30" s="978">
        <v>3.5</v>
      </c>
      <c r="N30" s="978">
        <v>3.6</v>
      </c>
      <c r="O30" s="978">
        <v>3.5</v>
      </c>
      <c r="P30" s="978">
        <v>3.2</v>
      </c>
      <c r="Q30" s="6"/>
      <c r="R30" s="300"/>
      <c r="S30" s="300"/>
      <c r="T30" s="300"/>
      <c r="U30" s="300"/>
      <c r="V30" s="300"/>
      <c r="W30" s="6"/>
    </row>
    <row r="31" spans="1:23">
      <c r="A31" s="120">
        <v>2006</v>
      </c>
      <c r="B31" s="433">
        <v>9600</v>
      </c>
      <c r="C31" s="433">
        <v>22100</v>
      </c>
      <c r="D31" s="433">
        <v>35100</v>
      </c>
      <c r="E31" s="433">
        <v>50000</v>
      </c>
      <c r="F31" s="433">
        <v>95000</v>
      </c>
      <c r="G31" s="433">
        <v>19200</v>
      </c>
      <c r="H31" s="433">
        <v>44400</v>
      </c>
      <c r="I31" s="433">
        <v>68500</v>
      </c>
      <c r="J31" s="433">
        <v>95300</v>
      </c>
      <c r="K31" s="433">
        <v>173700</v>
      </c>
      <c r="L31" s="978">
        <v>3.6</v>
      </c>
      <c r="M31" s="978">
        <v>3.7</v>
      </c>
      <c r="N31" s="978">
        <v>3.6</v>
      </c>
      <c r="O31" s="978">
        <v>3.4</v>
      </c>
      <c r="P31" s="978">
        <v>3.2</v>
      </c>
      <c r="Q31" s="6"/>
      <c r="R31" s="300"/>
      <c r="S31" s="300"/>
      <c r="T31" s="300"/>
      <c r="U31" s="300"/>
      <c r="V31" s="300"/>
      <c r="W31" s="6"/>
    </row>
    <row r="32" spans="1:23" s="961" customFormat="1">
      <c r="A32" s="120">
        <v>2007</v>
      </c>
      <c r="B32" s="433">
        <v>10000</v>
      </c>
      <c r="C32" s="433">
        <v>23300</v>
      </c>
      <c r="D32" s="433">
        <v>35900</v>
      </c>
      <c r="E32" s="433">
        <v>51500</v>
      </c>
      <c r="F32" s="433">
        <v>98500</v>
      </c>
      <c r="G32" s="433">
        <v>20400</v>
      </c>
      <c r="H32" s="433">
        <v>46400</v>
      </c>
      <c r="I32" s="433">
        <v>69700</v>
      </c>
      <c r="J32" s="433">
        <v>99000</v>
      </c>
      <c r="K32" s="433">
        <v>178000</v>
      </c>
      <c r="L32" s="978">
        <v>3.7</v>
      </c>
      <c r="M32" s="978">
        <v>3.6</v>
      </c>
      <c r="N32" s="978">
        <v>3.5</v>
      </c>
      <c r="O32" s="978">
        <v>3.5</v>
      </c>
      <c r="P32" s="978">
        <v>3.2</v>
      </c>
      <c r="Q32" s="6"/>
      <c r="R32" s="300"/>
      <c r="S32" s="300"/>
      <c r="T32" s="300"/>
      <c r="U32" s="300"/>
      <c r="V32" s="300"/>
      <c r="W32" s="6"/>
    </row>
    <row r="33" spans="1:23">
      <c r="A33" s="120"/>
      <c r="B33" s="433"/>
      <c r="C33" s="433"/>
      <c r="D33" s="433"/>
      <c r="E33" s="433"/>
      <c r="F33" s="433"/>
      <c r="G33" s="433"/>
      <c r="H33" s="433"/>
      <c r="I33" s="433"/>
      <c r="J33" s="433"/>
      <c r="K33" s="433"/>
      <c r="L33" s="434"/>
      <c r="M33" s="434"/>
      <c r="N33" s="434"/>
      <c r="O33" s="434"/>
      <c r="P33" s="434"/>
      <c r="Q33" s="6"/>
      <c r="R33" s="300"/>
      <c r="S33" s="300"/>
      <c r="T33" s="300"/>
      <c r="U33" s="300"/>
      <c r="V33" s="300"/>
      <c r="W33" s="6"/>
    </row>
    <row r="34" spans="1:23">
      <c r="A34" s="738"/>
      <c r="B34" s="959"/>
      <c r="C34" s="959"/>
      <c r="D34" s="959" t="s">
        <v>802</v>
      </c>
      <c r="E34" s="959"/>
      <c r="F34" s="959"/>
      <c r="G34" s="114"/>
      <c r="H34" s="114"/>
      <c r="I34" s="114"/>
      <c r="J34" s="114"/>
      <c r="K34" s="114"/>
      <c r="L34" s="959"/>
      <c r="M34" s="959"/>
      <c r="N34" s="959"/>
      <c r="O34" s="959"/>
      <c r="P34" s="959"/>
      <c r="R34" s="300"/>
      <c r="S34" s="300"/>
      <c r="T34" s="300"/>
      <c r="U34" s="300"/>
      <c r="V34" s="300"/>
    </row>
    <row r="35" spans="1:23">
      <c r="A35" s="431" t="s">
        <v>603</v>
      </c>
      <c r="B35" s="959">
        <f>((((B14/B6))^(1/8))-1)*100</f>
        <v>0.98295200863349752</v>
      </c>
      <c r="C35" s="959">
        <f t="shared" ref="C35:P35" si="0">((((C14/C6))^(1/8))-1)*100</f>
        <v>0.62566127369352298</v>
      </c>
      <c r="D35" s="959">
        <f t="shared" si="0"/>
        <v>0.89864115769051622</v>
      </c>
      <c r="E35" s="959">
        <f t="shared" si="0"/>
        <v>0.8342358328765398</v>
      </c>
      <c r="F35" s="959">
        <f t="shared" si="0"/>
        <v>1.4353565976690907</v>
      </c>
      <c r="G35" s="959">
        <f t="shared" si="0"/>
        <v>6.6689051958745971E-2</v>
      </c>
      <c r="H35" s="959">
        <f t="shared" si="0"/>
        <v>0</v>
      </c>
      <c r="I35" s="959">
        <f t="shared" si="0"/>
        <v>0.53833618968481822</v>
      </c>
      <c r="J35" s="959">
        <f t="shared" si="0"/>
        <v>0.48170488702063974</v>
      </c>
      <c r="K35" s="959">
        <f t="shared" si="0"/>
        <v>1.3025049852133819</v>
      </c>
      <c r="L35" s="959">
        <f t="shared" si="0"/>
        <v>-0.969786216660673</v>
      </c>
      <c r="M35" s="959">
        <f t="shared" si="0"/>
        <v>-0.94532725840241749</v>
      </c>
      <c r="N35" s="959">
        <f t="shared" si="0"/>
        <v>-0.32416702049201662</v>
      </c>
      <c r="O35" s="959">
        <f t="shared" si="0"/>
        <v>-0.34190135899326846</v>
      </c>
      <c r="P35" s="959">
        <f t="shared" si="0"/>
        <v>-0.38390691920945352</v>
      </c>
      <c r="R35" s="114"/>
      <c r="S35" s="114"/>
      <c r="T35" s="114"/>
      <c r="U35" s="114"/>
      <c r="V35" s="114"/>
    </row>
    <row r="36" spans="1:23">
      <c r="A36" s="431" t="s">
        <v>604</v>
      </c>
      <c r="B36" s="959">
        <f>((((B25/B14))^(1/11))-1)*100</f>
        <v>-0.70885926445897196</v>
      </c>
      <c r="C36" s="959">
        <f t="shared" ref="C36:P36" si="1">((((C25/C14))^(1/11))-1)*100</f>
        <v>-0.62239022146013401</v>
      </c>
      <c r="D36" s="959">
        <f t="shared" si="1"/>
        <v>2.726283378300387E-2</v>
      </c>
      <c r="E36" s="959">
        <f t="shared" si="1"/>
        <v>0.3564102630211563</v>
      </c>
      <c r="F36" s="959">
        <f t="shared" si="1"/>
        <v>1.4440643017618937</v>
      </c>
      <c r="G36" s="959">
        <f t="shared" si="1"/>
        <v>-0.70104624915773295</v>
      </c>
      <c r="H36" s="959">
        <f t="shared" si="1"/>
        <v>-0.71846799687032004</v>
      </c>
      <c r="I36" s="959">
        <f t="shared" si="1"/>
        <v>-0.13744075080819318</v>
      </c>
      <c r="J36" s="959">
        <f t="shared" si="1"/>
        <v>0.33711689462501138</v>
      </c>
      <c r="K36" s="959">
        <f t="shared" si="1"/>
        <v>1.6180601821694562</v>
      </c>
      <c r="L36" s="959">
        <f t="shared" si="1"/>
        <v>0</v>
      </c>
      <c r="M36" s="959">
        <f t="shared" si="1"/>
        <v>-0.49031420955741867</v>
      </c>
      <c r="N36" s="959">
        <f t="shared" si="1"/>
        <v>-0.49031420955741867</v>
      </c>
      <c r="O36" s="959">
        <f t="shared" si="1"/>
        <v>-0.2557712280951141</v>
      </c>
      <c r="P36" s="959">
        <f t="shared" si="1"/>
        <v>0.28013399554502882</v>
      </c>
    </row>
    <row r="37" spans="1:23">
      <c r="A37" s="431" t="s">
        <v>447</v>
      </c>
      <c r="B37" s="23">
        <f>((((B32/B6))^(1/26))-1)*100</f>
        <v>0.58177380616784014</v>
      </c>
      <c r="C37" s="23">
        <f t="shared" ref="C37:P37" si="2">((((C32/C6))^(1/26))-1)*100</f>
        <v>0.30971102215280322</v>
      </c>
      <c r="D37" s="23">
        <f t="shared" si="2"/>
        <v>0.56601929705799581</v>
      </c>
      <c r="E37" s="23">
        <f t="shared" si="2"/>
        <v>0.76894743462387893</v>
      </c>
      <c r="F37" s="23">
        <f t="shared" si="2"/>
        <v>1.4411337598280838</v>
      </c>
      <c r="G37" s="23">
        <f t="shared" si="2"/>
        <v>0.33521975117720704</v>
      </c>
      <c r="H37" s="23">
        <f t="shared" si="2"/>
        <v>4.1679230169644477E-2</v>
      </c>
      <c r="I37" s="23">
        <f t="shared" si="2"/>
        <v>0.34076053241043347</v>
      </c>
      <c r="J37" s="23">
        <f t="shared" si="2"/>
        <v>0.62473154589977042</v>
      </c>
      <c r="K37" s="23">
        <f t="shared" si="2"/>
        <v>1.3501147461966179</v>
      </c>
      <c r="L37" s="23">
        <f t="shared" si="2"/>
        <v>-0.29940297521675596</v>
      </c>
      <c r="M37" s="23">
        <f t="shared" si="2"/>
        <v>-0.49895540079308853</v>
      </c>
      <c r="N37" s="23">
        <f t="shared" si="2"/>
        <v>-0.41534115759334078</v>
      </c>
      <c r="O37" s="23">
        <f t="shared" si="2"/>
        <v>-0.21350195639939784</v>
      </c>
      <c r="P37" s="23">
        <f t="shared" si="2"/>
        <v>-0.11828252434479269</v>
      </c>
    </row>
    <row r="38" spans="1:23">
      <c r="A38" s="431" t="s">
        <v>449</v>
      </c>
      <c r="B38" s="959">
        <f>((((B32/B25))^(1/7))-1)*100</f>
        <v>2.1779921000015134</v>
      </c>
      <c r="C38" s="959">
        <f t="shared" ref="C38:P38" si="3">((((C32/C25))^(1/7))-1)*100</f>
        <v>1.4269467753304621</v>
      </c>
      <c r="D38" s="959">
        <f t="shared" si="3"/>
        <v>1.0364975976234536</v>
      </c>
      <c r="E38" s="959">
        <f t="shared" si="3"/>
        <v>1.3456032985128097</v>
      </c>
      <c r="F38" s="959">
        <f t="shared" si="3"/>
        <v>1.4431313677441215</v>
      </c>
      <c r="G38" s="959">
        <f t="shared" si="3"/>
        <v>2.298367390422662</v>
      </c>
      <c r="H38" s="959">
        <f t="shared" si="3"/>
        <v>1.2962016125025011</v>
      </c>
      <c r="I38" s="959">
        <f t="shared" si="3"/>
        <v>0.86982722807908974</v>
      </c>
      <c r="J38" s="959">
        <f t="shared" si="3"/>
        <v>1.2428104137600871</v>
      </c>
      <c r="K38" s="959">
        <f t="shared" si="3"/>
        <v>0.98469752246164166</v>
      </c>
      <c r="L38" s="959">
        <f t="shared" si="3"/>
        <v>0</v>
      </c>
      <c r="M38" s="959">
        <f t="shared" si="3"/>
        <v>0</v>
      </c>
      <c r="N38" s="959">
        <f t="shared" si="3"/>
        <v>-0.40163239055411859</v>
      </c>
      <c r="O38" s="959">
        <f t="shared" si="3"/>
        <v>0</v>
      </c>
      <c r="P38" s="959">
        <f t="shared" si="3"/>
        <v>-0.43863031870950975</v>
      </c>
    </row>
    <row r="39" spans="1:23">
      <c r="A39" s="431"/>
      <c r="B39" s="114"/>
      <c r="C39" s="114"/>
      <c r="D39" s="959" t="s">
        <v>276</v>
      </c>
      <c r="E39" s="114"/>
      <c r="F39" s="114"/>
      <c r="G39" s="114"/>
      <c r="H39" s="114"/>
      <c r="I39" s="114"/>
      <c r="J39" s="114"/>
      <c r="K39" s="114"/>
      <c r="L39" s="114"/>
      <c r="M39" s="114"/>
      <c r="N39" s="114"/>
      <c r="O39" s="114"/>
      <c r="P39" s="114"/>
      <c r="R39" s="114"/>
      <c r="S39" s="114"/>
      <c r="T39" s="114"/>
      <c r="U39" s="114"/>
      <c r="V39" s="114"/>
    </row>
    <row r="40" spans="1:23">
      <c r="A40" s="431" t="s">
        <v>447</v>
      </c>
      <c r="B40" s="10">
        <f>(B32/B6-1)*100</f>
        <v>16.279069767441868</v>
      </c>
      <c r="C40" s="10">
        <f t="shared" ref="C40:P40" si="4">(C32/C6-1)*100</f>
        <v>8.3720930232558111</v>
      </c>
      <c r="D40" s="10">
        <f t="shared" si="4"/>
        <v>15.806451612903217</v>
      </c>
      <c r="E40" s="10">
        <f t="shared" si="4"/>
        <v>22.03791469194314</v>
      </c>
      <c r="F40" s="10">
        <f t="shared" si="4"/>
        <v>45.06627393225331</v>
      </c>
      <c r="G40" s="10">
        <f t="shared" si="4"/>
        <v>9.0909090909090828</v>
      </c>
      <c r="H40" s="10">
        <f t="shared" si="4"/>
        <v>1.089324618736387</v>
      </c>
      <c r="I40" s="10">
        <f t="shared" si="4"/>
        <v>9.2476489028213251</v>
      </c>
      <c r="J40" s="10">
        <f t="shared" si="4"/>
        <v>17.577197149643698</v>
      </c>
      <c r="K40" s="10">
        <f t="shared" si="4"/>
        <v>41.719745222929937</v>
      </c>
      <c r="L40" s="10">
        <f t="shared" si="4"/>
        <v>-7.4999999999999956</v>
      </c>
      <c r="M40" s="10">
        <f t="shared" si="4"/>
        <v>-12.195121951219502</v>
      </c>
      <c r="N40" s="10">
        <f t="shared" si="4"/>
        <v>-10.256410256410254</v>
      </c>
      <c r="O40" s="10">
        <f t="shared" si="4"/>
        <v>-5.4054054054054053</v>
      </c>
      <c r="P40" s="10">
        <f t="shared" si="4"/>
        <v>-3.0303030303030165</v>
      </c>
    </row>
    <row r="41" spans="1:23">
      <c r="A41" s="4"/>
      <c r="B41" s="121"/>
      <c r="C41" s="121"/>
      <c r="D41" s="121"/>
      <c r="E41" s="121"/>
      <c r="F41" s="121"/>
      <c r="H41" s="121"/>
    </row>
    <row r="42" spans="1:23" ht="31.9" customHeight="1">
      <c r="A42" s="1170" t="s">
        <v>608</v>
      </c>
      <c r="B42" s="1170"/>
      <c r="C42" s="1170"/>
      <c r="D42" s="1170"/>
      <c r="E42" s="1170"/>
      <c r="F42" s="1170"/>
      <c r="G42" s="1170"/>
      <c r="H42" s="1170"/>
      <c r="I42" s="1170"/>
      <c r="J42" s="1170"/>
      <c r="K42" s="1170"/>
      <c r="L42" s="1170"/>
      <c r="M42" s="1170"/>
      <c r="N42" s="1170"/>
      <c r="O42" s="1170"/>
      <c r="P42" s="1170"/>
    </row>
    <row r="43" spans="1:23">
      <c r="A43" s="4" t="s">
        <v>1917</v>
      </c>
    </row>
    <row r="44" spans="1:23">
      <c r="A44" s="4" t="s">
        <v>388</v>
      </c>
    </row>
    <row r="45" spans="1:23" ht="30" customHeight="1">
      <c r="A45" s="1168" t="s">
        <v>330</v>
      </c>
      <c r="B45" s="1168"/>
      <c r="C45" s="1168"/>
      <c r="D45" s="1168"/>
      <c r="E45" s="1168"/>
      <c r="F45" s="1168"/>
      <c r="G45" s="1168"/>
      <c r="H45" s="1168"/>
      <c r="I45" s="1168"/>
      <c r="J45" s="1168"/>
      <c r="K45" s="1168"/>
      <c r="L45" s="1168"/>
      <c r="M45" s="1168"/>
      <c r="N45" s="1168"/>
      <c r="O45" s="1168"/>
      <c r="P45" s="1168"/>
    </row>
    <row r="46" spans="1:23" ht="19.149999999999999" customHeight="1">
      <c r="A46" s="1188" t="s">
        <v>539</v>
      </c>
      <c r="B46" s="1188"/>
      <c r="C46" s="1188"/>
      <c r="D46" s="1188"/>
      <c r="E46" s="1188"/>
      <c r="F46" s="1188"/>
      <c r="G46" s="1188"/>
      <c r="H46" s="1188"/>
      <c r="I46" s="1188"/>
      <c r="J46" s="1188"/>
      <c r="K46" s="1188"/>
      <c r="L46" s="1188"/>
      <c r="M46" s="1188"/>
      <c r="N46" s="1188"/>
      <c r="O46" s="1188"/>
      <c r="P46" s="1188"/>
    </row>
    <row r="47" spans="1:23" ht="44.45" customHeight="1">
      <c r="A47" s="1168" t="s">
        <v>788</v>
      </c>
      <c r="B47" s="1168"/>
      <c r="C47" s="1168"/>
      <c r="D47" s="1168"/>
      <c r="E47" s="1168"/>
      <c r="F47" s="1168"/>
      <c r="G47" s="1168"/>
      <c r="H47" s="1168"/>
      <c r="I47" s="1168"/>
      <c r="J47" s="1168"/>
      <c r="K47" s="1168"/>
      <c r="L47" s="1168"/>
      <c r="M47" s="1168"/>
      <c r="N47" s="1168"/>
      <c r="O47" s="1168"/>
      <c r="P47" s="1168"/>
    </row>
    <row r="48" spans="1:23" ht="15.75" customHeight="1">
      <c r="A48" s="1"/>
      <c r="B48" s="4"/>
      <c r="L48" s="4"/>
      <c r="M48" s="4"/>
    </row>
    <row r="49" spans="1:13">
      <c r="A49" s="4"/>
      <c r="B49" s="4"/>
      <c r="L49" s="4"/>
      <c r="M49" s="4"/>
    </row>
    <row r="50" spans="1:13">
      <c r="A50" s="4"/>
      <c r="B50" s="4"/>
      <c r="C50" s="4"/>
      <c r="D50" s="4"/>
      <c r="E50" s="4"/>
      <c r="F50" s="4"/>
      <c r="G50" s="4"/>
      <c r="H50" s="4"/>
      <c r="I50" s="4"/>
      <c r="J50" s="4"/>
      <c r="K50" s="4"/>
      <c r="L50" s="4"/>
      <c r="M50" s="4"/>
    </row>
    <row r="51" spans="1:13">
      <c r="A51" s="4"/>
      <c r="B51" s="4"/>
      <c r="C51" s="4"/>
      <c r="D51" s="4"/>
      <c r="E51" s="4"/>
      <c r="F51" s="4"/>
      <c r="G51" s="4"/>
      <c r="H51" s="4"/>
      <c r="I51" s="4"/>
      <c r="J51" s="4"/>
      <c r="K51" s="4"/>
      <c r="L51" s="4"/>
      <c r="M51" s="4"/>
    </row>
    <row r="52" spans="1:13" ht="15.75">
      <c r="A52" s="4"/>
      <c r="B52" s="28"/>
      <c r="C52" s="4"/>
      <c r="D52" s="4"/>
      <c r="E52" s="4"/>
      <c r="F52" s="4"/>
      <c r="G52" s="4"/>
      <c r="H52" s="4"/>
      <c r="I52" s="4"/>
      <c r="J52" s="4"/>
      <c r="K52" s="4"/>
      <c r="L52" s="4"/>
      <c r="M52" s="4"/>
    </row>
    <row r="53" spans="1:13">
      <c r="A53" s="37"/>
      <c r="B53" s="4"/>
      <c r="C53" s="37"/>
      <c r="D53" s="37"/>
      <c r="E53" s="37"/>
      <c r="F53" s="37"/>
      <c r="G53" s="37"/>
      <c r="H53" s="37"/>
      <c r="I53" s="29"/>
      <c r="J53" s="37"/>
      <c r="K53" s="37"/>
      <c r="L53" s="4"/>
      <c r="M53" s="4"/>
    </row>
    <row r="54" spans="1:13">
      <c r="A54" s="30"/>
      <c r="B54" s="1164"/>
      <c r="C54" s="1164"/>
      <c r="D54" s="1164"/>
      <c r="E54" s="1164"/>
      <c r="F54" s="1164"/>
      <c r="G54" s="1164"/>
      <c r="H54" s="1164"/>
      <c r="I54" s="1164"/>
      <c r="J54" s="1164"/>
      <c r="K54" s="1164"/>
      <c r="L54" s="4"/>
      <c r="M54" s="4"/>
    </row>
    <row r="55" spans="1:13">
      <c r="A55" s="38"/>
      <c r="B55" s="1164"/>
      <c r="C55" s="1164"/>
      <c r="D55" s="1164"/>
      <c r="E55" s="1164"/>
      <c r="F55" s="1164"/>
      <c r="G55" s="1164"/>
      <c r="H55" s="1164"/>
      <c r="I55" s="1164"/>
      <c r="J55" s="1164"/>
      <c r="K55" s="1164"/>
      <c r="L55" s="4"/>
      <c r="M55" s="4"/>
    </row>
    <row r="56" spans="1:13">
      <c r="A56" s="30"/>
      <c r="B56" s="31"/>
      <c r="C56" s="31"/>
      <c r="D56" s="31"/>
      <c r="E56" s="31"/>
      <c r="F56" s="31"/>
      <c r="G56" s="31"/>
      <c r="H56" s="31"/>
      <c r="I56" s="31"/>
      <c r="J56" s="31"/>
      <c r="K56" s="31"/>
      <c r="L56" s="4"/>
      <c r="M56" s="4"/>
    </row>
    <row r="57" spans="1:13">
      <c r="A57" s="30"/>
      <c r="B57" s="31"/>
      <c r="C57" s="31"/>
      <c r="D57" s="31"/>
      <c r="E57" s="31"/>
      <c r="F57" s="31"/>
      <c r="G57" s="31"/>
      <c r="H57" s="31"/>
      <c r="I57" s="31"/>
      <c r="J57" s="31"/>
      <c r="K57" s="31"/>
      <c r="L57" s="4"/>
      <c r="M57" s="4"/>
    </row>
    <row r="58" spans="1:13">
      <c r="A58" s="30"/>
      <c r="B58" s="31"/>
      <c r="C58" s="31"/>
      <c r="D58" s="31"/>
      <c r="E58" s="31"/>
      <c r="F58" s="31"/>
      <c r="G58" s="31"/>
      <c r="H58" s="31"/>
      <c r="I58" s="31"/>
      <c r="J58" s="31"/>
      <c r="K58" s="31"/>
      <c r="L58" s="4"/>
      <c r="M58" s="4"/>
    </row>
    <row r="59" spans="1:13">
      <c r="A59" s="30"/>
      <c r="B59" s="31"/>
      <c r="C59" s="31"/>
      <c r="D59" s="31"/>
      <c r="E59" s="31"/>
      <c r="F59" s="31"/>
      <c r="G59" s="31"/>
      <c r="H59" s="31"/>
      <c r="I59" s="31"/>
      <c r="J59" s="31"/>
      <c r="K59" s="31"/>
      <c r="L59" s="4"/>
      <c r="M59" s="4"/>
    </row>
    <row r="60" spans="1:13">
      <c r="A60" s="30"/>
      <c r="B60" s="31"/>
      <c r="C60" s="31"/>
      <c r="D60" s="31"/>
      <c r="E60" s="31"/>
      <c r="F60" s="31"/>
      <c r="G60" s="31"/>
      <c r="H60" s="31"/>
      <c r="I60" s="31"/>
      <c r="J60" s="31"/>
      <c r="K60" s="31"/>
      <c r="L60" s="4"/>
      <c r="M60" s="4"/>
    </row>
    <row r="61" spans="1:13">
      <c r="A61" s="30"/>
      <c r="B61" s="31"/>
      <c r="C61" s="31"/>
      <c r="D61" s="31"/>
      <c r="E61" s="31"/>
      <c r="F61" s="31"/>
      <c r="G61" s="31"/>
      <c r="H61" s="31"/>
      <c r="I61" s="31"/>
      <c r="J61" s="31"/>
      <c r="K61" s="31"/>
      <c r="L61" s="4"/>
      <c r="M61" s="4"/>
    </row>
    <row r="62" spans="1:13">
      <c r="A62" s="30"/>
      <c r="B62" s="31"/>
      <c r="C62" s="31"/>
      <c r="D62" s="31"/>
      <c r="E62" s="31"/>
      <c r="F62" s="31"/>
      <c r="G62" s="31"/>
      <c r="H62" s="31"/>
      <c r="I62" s="31"/>
      <c r="J62" s="31"/>
      <c r="K62" s="31"/>
      <c r="L62" s="4"/>
      <c r="M62" s="4"/>
    </row>
    <row r="63" spans="1:13">
      <c r="A63" s="30"/>
      <c r="B63" s="31"/>
      <c r="C63" s="31"/>
      <c r="D63" s="31"/>
      <c r="E63" s="31"/>
      <c r="F63" s="31"/>
      <c r="G63" s="31"/>
      <c r="H63" s="31"/>
      <c r="I63" s="31"/>
      <c r="J63" s="31"/>
      <c r="K63" s="31"/>
      <c r="L63" s="4"/>
      <c r="M63" s="4"/>
    </row>
    <row r="64" spans="1:13">
      <c r="A64" s="30"/>
      <c r="B64" s="31"/>
      <c r="C64" s="31"/>
      <c r="D64" s="31"/>
      <c r="E64" s="31"/>
      <c r="F64" s="31"/>
      <c r="G64" s="31"/>
      <c r="H64" s="31"/>
      <c r="I64" s="31"/>
      <c r="J64" s="31"/>
      <c r="K64" s="31"/>
      <c r="L64" s="4"/>
      <c r="M64" s="4"/>
    </row>
    <row r="65" spans="1:13">
      <c r="A65" s="30"/>
      <c r="B65" s="31"/>
      <c r="C65" s="31"/>
      <c r="D65" s="31"/>
      <c r="E65" s="31"/>
      <c r="F65" s="31"/>
      <c r="G65" s="31"/>
      <c r="H65" s="31"/>
      <c r="I65" s="31"/>
      <c r="J65" s="31"/>
      <c r="K65" s="31"/>
      <c r="L65" s="4"/>
      <c r="M65" s="4"/>
    </row>
    <row r="66" spans="1:13">
      <c r="A66" s="30"/>
      <c r="B66" s="31"/>
      <c r="C66" s="31"/>
      <c r="D66" s="31"/>
      <c r="E66" s="31"/>
      <c r="F66" s="31"/>
      <c r="G66" s="31"/>
      <c r="H66" s="31"/>
      <c r="I66" s="31"/>
      <c r="J66" s="31"/>
      <c r="K66" s="31"/>
      <c r="L66" s="4"/>
      <c r="M66" s="4"/>
    </row>
    <row r="67" spans="1:13">
      <c r="A67" s="30"/>
      <c r="B67" s="31"/>
      <c r="C67" s="31"/>
      <c r="D67" s="31"/>
      <c r="E67" s="31"/>
      <c r="F67" s="31"/>
      <c r="G67" s="31"/>
      <c r="H67" s="31"/>
      <c r="I67" s="31"/>
      <c r="J67" s="31"/>
      <c r="K67" s="31"/>
      <c r="L67" s="4"/>
      <c r="M67" s="4"/>
    </row>
    <row r="68" spans="1:13">
      <c r="A68" s="30"/>
      <c r="B68" s="31"/>
      <c r="C68" s="31"/>
      <c r="D68" s="31"/>
      <c r="E68" s="31"/>
      <c r="F68" s="31"/>
      <c r="G68" s="31"/>
      <c r="H68" s="31"/>
      <c r="I68" s="31"/>
      <c r="J68" s="31"/>
      <c r="K68" s="31"/>
      <c r="L68" s="4"/>
      <c r="M68" s="4"/>
    </row>
    <row r="69" spans="1:13">
      <c r="A69" s="30"/>
      <c r="B69" s="31"/>
      <c r="C69" s="31"/>
      <c r="D69" s="31"/>
      <c r="E69" s="31"/>
      <c r="F69" s="31"/>
      <c r="G69" s="31"/>
      <c r="H69" s="31"/>
      <c r="I69" s="31"/>
      <c r="J69" s="31"/>
      <c r="K69" s="31"/>
      <c r="L69" s="4"/>
      <c r="M69" s="4"/>
    </row>
    <row r="70" spans="1:13">
      <c r="A70" s="30"/>
      <c r="B70" s="31"/>
      <c r="C70" s="31"/>
      <c r="D70" s="31"/>
      <c r="E70" s="31"/>
      <c r="F70" s="31"/>
      <c r="G70" s="31"/>
      <c r="H70" s="31"/>
      <c r="I70" s="31"/>
      <c r="J70" s="31"/>
      <c r="K70" s="31"/>
      <c r="L70" s="4"/>
      <c r="M70" s="4"/>
    </row>
    <row r="71" spans="1:13">
      <c r="A71" s="30"/>
      <c r="B71" s="31"/>
      <c r="C71" s="31"/>
      <c r="D71" s="31"/>
      <c r="E71" s="31"/>
      <c r="F71" s="31"/>
      <c r="G71" s="31"/>
      <c r="H71" s="31"/>
      <c r="I71" s="31"/>
      <c r="J71" s="31"/>
      <c r="K71" s="31"/>
      <c r="L71" s="4"/>
      <c r="M71" s="4"/>
    </row>
    <row r="72" spans="1:13">
      <c r="A72" s="30"/>
      <c r="B72" s="31"/>
      <c r="C72" s="31"/>
      <c r="D72" s="31"/>
      <c r="E72" s="31"/>
      <c r="F72" s="31"/>
      <c r="G72" s="31"/>
      <c r="H72" s="31"/>
      <c r="I72" s="31"/>
      <c r="J72" s="31"/>
      <c r="K72" s="31"/>
      <c r="L72" s="4"/>
      <c r="M72" s="4"/>
    </row>
    <row r="73" spans="1:13">
      <c r="A73" s="30"/>
      <c r="B73" s="31"/>
      <c r="C73" s="31"/>
      <c r="D73" s="31"/>
      <c r="E73" s="31"/>
      <c r="F73" s="31"/>
      <c r="G73" s="31"/>
      <c r="H73" s="31"/>
      <c r="I73" s="31"/>
      <c r="J73" s="31"/>
      <c r="K73" s="31"/>
      <c r="L73" s="4"/>
      <c r="M73" s="4"/>
    </row>
    <row r="74" spans="1:13">
      <c r="A74" s="30"/>
      <c r="B74" s="31"/>
      <c r="C74" s="31"/>
      <c r="D74" s="31"/>
      <c r="E74" s="31"/>
      <c r="F74" s="31"/>
      <c r="G74" s="31"/>
      <c r="H74" s="31"/>
      <c r="I74" s="31"/>
      <c r="J74" s="31"/>
      <c r="K74" s="31"/>
      <c r="L74" s="4"/>
      <c r="M74" s="4"/>
    </row>
    <row r="75" spans="1:13">
      <c r="A75" s="30"/>
      <c r="B75" s="31"/>
      <c r="C75" s="31"/>
      <c r="D75" s="31"/>
      <c r="E75" s="31"/>
      <c r="F75" s="31"/>
      <c r="G75" s="31"/>
      <c r="H75" s="31"/>
      <c r="I75" s="31"/>
      <c r="J75" s="31"/>
      <c r="K75" s="31"/>
      <c r="L75" s="4"/>
      <c r="M75" s="4"/>
    </row>
    <row r="76" spans="1:13">
      <c r="A76" s="30"/>
      <c r="B76" s="31"/>
      <c r="C76" s="31"/>
      <c r="D76" s="31"/>
      <c r="E76" s="31"/>
      <c r="F76" s="31"/>
      <c r="G76" s="31"/>
      <c r="H76" s="31"/>
      <c r="I76" s="31"/>
      <c r="J76" s="31"/>
      <c r="K76" s="31"/>
      <c r="L76" s="4"/>
      <c r="M76" s="4"/>
    </row>
    <row r="77" spans="1:13">
      <c r="A77" s="30"/>
      <c r="B77" s="31"/>
      <c r="C77" s="31"/>
      <c r="D77" s="31"/>
      <c r="E77" s="31"/>
      <c r="F77" s="31"/>
      <c r="G77" s="31"/>
      <c r="H77" s="31"/>
      <c r="I77" s="31"/>
      <c r="J77" s="31"/>
      <c r="K77" s="31"/>
      <c r="L77" s="4"/>
      <c r="M77" s="4"/>
    </row>
    <row r="78" spans="1:13">
      <c r="A78" s="30"/>
      <c r="B78" s="32"/>
      <c r="C78" s="32"/>
      <c r="D78" s="32"/>
      <c r="E78" s="32"/>
      <c r="F78" s="32"/>
      <c r="G78" s="32"/>
      <c r="H78" s="32"/>
      <c r="I78" s="32"/>
      <c r="J78" s="32"/>
      <c r="K78" s="32"/>
      <c r="L78" s="4"/>
      <c r="M78" s="4"/>
    </row>
    <row r="79" spans="1:13">
      <c r="A79" s="30"/>
      <c r="B79" s="31"/>
      <c r="C79" s="31"/>
      <c r="D79" s="31"/>
      <c r="E79" s="31"/>
      <c r="F79" s="31"/>
      <c r="G79" s="31"/>
      <c r="H79" s="31"/>
      <c r="I79" s="31"/>
      <c r="J79" s="31"/>
      <c r="K79" s="31"/>
      <c r="L79" s="4"/>
      <c r="M79" s="4"/>
    </row>
    <row r="80" spans="1:13">
      <c r="A80" s="5"/>
      <c r="B80" s="33"/>
      <c r="C80" s="33"/>
      <c r="D80" s="33"/>
      <c r="E80" s="33"/>
      <c r="F80" s="33"/>
      <c r="G80" s="33"/>
      <c r="H80" s="33"/>
      <c r="I80" s="33"/>
      <c r="J80" s="33"/>
      <c r="K80" s="33"/>
      <c r="L80" s="4"/>
      <c r="M80" s="4"/>
    </row>
    <row r="81" spans="1:13">
      <c r="A81" s="5"/>
      <c r="B81" s="33"/>
      <c r="C81" s="33"/>
      <c r="D81" s="33"/>
      <c r="E81" s="33"/>
      <c r="F81" s="33"/>
      <c r="G81" s="33"/>
      <c r="H81" s="33"/>
      <c r="I81" s="33"/>
      <c r="J81" s="33"/>
      <c r="K81" s="33"/>
      <c r="L81" s="4"/>
      <c r="M81" s="4"/>
    </row>
    <row r="82" spans="1:13">
      <c r="A82" s="4"/>
      <c r="B82" s="4"/>
      <c r="C82" s="30"/>
      <c r="D82" s="30"/>
      <c r="E82" s="30"/>
      <c r="F82" s="30"/>
      <c r="G82" s="30"/>
      <c r="H82" s="30"/>
      <c r="I82" s="30"/>
      <c r="J82" s="30"/>
      <c r="K82" s="30"/>
      <c r="L82" s="4"/>
      <c r="M82" s="4"/>
    </row>
    <row r="83" spans="1:13">
      <c r="A83" s="4"/>
      <c r="B83" s="4"/>
      <c r="C83" s="30"/>
      <c r="D83" s="30"/>
      <c r="E83" s="30"/>
      <c r="F83" s="30"/>
      <c r="G83" s="30"/>
      <c r="H83" s="30"/>
      <c r="I83" s="30"/>
      <c r="J83" s="30"/>
      <c r="K83" s="30"/>
      <c r="L83" s="4"/>
      <c r="M83" s="4"/>
    </row>
    <row r="84" spans="1:13">
      <c r="A84" s="34"/>
      <c r="B84" s="4"/>
      <c r="C84" s="30"/>
      <c r="D84" s="30"/>
      <c r="E84" s="30"/>
      <c r="F84" s="30"/>
      <c r="G84" s="30"/>
      <c r="H84" s="30"/>
      <c r="I84" s="30"/>
      <c r="J84" s="30"/>
      <c r="K84" s="30"/>
      <c r="L84" s="4"/>
      <c r="M84" s="4"/>
    </row>
    <row r="85" spans="1:13">
      <c r="A85" s="34"/>
      <c r="B85" s="4"/>
      <c r="C85" s="30"/>
      <c r="D85" s="30"/>
      <c r="E85" s="30"/>
      <c r="F85" s="30"/>
      <c r="G85" s="30"/>
      <c r="H85" s="30"/>
      <c r="I85" s="30"/>
      <c r="J85" s="30"/>
      <c r="K85" s="30"/>
      <c r="L85" s="4"/>
      <c r="M85" s="4"/>
    </row>
    <row r="86" spans="1:13">
      <c r="A86" s="30"/>
      <c r="B86" s="4"/>
      <c r="C86" s="30"/>
      <c r="D86" s="30"/>
      <c r="E86" s="30"/>
      <c r="F86" s="30"/>
      <c r="G86" s="30"/>
      <c r="H86" s="30"/>
      <c r="I86" s="30"/>
      <c r="J86" s="30"/>
      <c r="K86" s="30"/>
      <c r="L86" s="4"/>
      <c r="M86" s="4"/>
    </row>
    <row r="87" spans="1:13">
      <c r="A87" s="30"/>
      <c r="B87" s="4"/>
      <c r="C87" s="31"/>
      <c r="D87" s="30"/>
      <c r="E87" s="30"/>
      <c r="F87" s="30"/>
      <c r="G87" s="30"/>
      <c r="H87" s="30"/>
      <c r="I87" s="30"/>
      <c r="J87" s="30"/>
      <c r="K87" s="30"/>
      <c r="L87" s="4"/>
      <c r="M87" s="4"/>
    </row>
    <row r="88" spans="1:13">
      <c r="A88" s="30"/>
      <c r="B88" s="4"/>
      <c r="C88" s="4"/>
      <c r="D88" s="4"/>
      <c r="E88" s="4"/>
      <c r="F88" s="4"/>
      <c r="G88" s="4"/>
      <c r="H88" s="4"/>
      <c r="I88" s="4"/>
      <c r="J88" s="4"/>
      <c r="K88" s="4"/>
      <c r="L88" s="4"/>
      <c r="M88" s="4"/>
    </row>
    <row r="89" spans="1:13">
      <c r="A89" s="30"/>
      <c r="B89" s="4"/>
      <c r="C89" s="4"/>
      <c r="D89" s="4"/>
      <c r="E89" s="4"/>
      <c r="F89" s="4"/>
      <c r="G89" s="4"/>
      <c r="H89" s="4"/>
      <c r="I89" s="4"/>
      <c r="J89" s="4"/>
      <c r="K89" s="4"/>
      <c r="L89" s="4"/>
      <c r="M89" s="4"/>
    </row>
    <row r="90" spans="1:13">
      <c r="A90" s="35"/>
      <c r="B90" s="4"/>
      <c r="C90" s="4"/>
      <c r="D90" s="4"/>
      <c r="E90" s="4"/>
      <c r="F90" s="4"/>
      <c r="G90" s="4"/>
      <c r="H90" s="4"/>
      <c r="I90" s="4"/>
      <c r="J90" s="4"/>
      <c r="K90" s="4"/>
      <c r="L90" s="4"/>
      <c r="M90" s="4"/>
    </row>
    <row r="91" spans="1:13">
      <c r="A91" s="35"/>
      <c r="B91" s="4"/>
      <c r="C91" s="4"/>
      <c r="D91" s="4"/>
      <c r="E91" s="4"/>
      <c r="F91" s="4"/>
      <c r="G91" s="4"/>
      <c r="H91" s="4"/>
      <c r="I91" s="4"/>
      <c r="J91" s="4"/>
      <c r="K91" s="4"/>
      <c r="L91" s="4"/>
      <c r="M91" s="4"/>
    </row>
    <row r="92" spans="1:13">
      <c r="A92" s="4"/>
      <c r="B92" s="4"/>
      <c r="C92" s="4"/>
      <c r="D92" s="4"/>
      <c r="E92" s="4"/>
      <c r="F92" s="4"/>
      <c r="G92" s="4"/>
      <c r="H92" s="4"/>
      <c r="I92" s="4"/>
      <c r="J92" s="4"/>
      <c r="K92" s="4"/>
      <c r="L92" s="4"/>
      <c r="M92" s="4"/>
    </row>
    <row r="93" spans="1:13">
      <c r="A93" s="4"/>
      <c r="B93" s="4"/>
      <c r="C93" s="4"/>
      <c r="D93" s="4"/>
      <c r="E93" s="4"/>
      <c r="F93" s="4"/>
      <c r="G93" s="4"/>
      <c r="H93" s="4"/>
      <c r="I93" s="4"/>
      <c r="J93" s="4"/>
      <c r="K93" s="4"/>
      <c r="L93" s="4"/>
      <c r="M93" s="4"/>
    </row>
    <row r="94" spans="1:13">
      <c r="A94" s="4"/>
      <c r="B94" s="4"/>
      <c r="C94" s="4"/>
      <c r="D94" s="4"/>
      <c r="E94" s="4"/>
      <c r="F94" s="4"/>
      <c r="G94" s="4"/>
      <c r="H94" s="4"/>
      <c r="I94" s="4"/>
      <c r="J94" s="4"/>
      <c r="K94" s="4"/>
      <c r="L94" s="4"/>
      <c r="M94" s="4"/>
    </row>
    <row r="95" spans="1:13">
      <c r="A95" s="4"/>
      <c r="B95" s="4"/>
      <c r="C95" s="4"/>
      <c r="D95" s="4"/>
      <c r="E95" s="4"/>
      <c r="F95" s="4"/>
      <c r="G95" s="4"/>
      <c r="H95" s="4"/>
      <c r="I95" s="4"/>
      <c r="J95" s="4"/>
      <c r="K95" s="4"/>
      <c r="L95" s="4"/>
      <c r="M95" s="4"/>
    </row>
    <row r="96" spans="1:13">
      <c r="A96" s="4"/>
      <c r="B96" s="4"/>
      <c r="C96" s="4"/>
      <c r="D96" s="4"/>
      <c r="E96" s="4"/>
      <c r="F96" s="4"/>
      <c r="G96" s="4"/>
      <c r="H96" s="4"/>
      <c r="I96" s="4"/>
      <c r="J96" s="4"/>
      <c r="K96" s="4"/>
      <c r="L96" s="4"/>
      <c r="M96" s="4"/>
    </row>
    <row r="97" spans="1:13">
      <c r="A97" s="4"/>
      <c r="B97" s="4"/>
      <c r="C97" s="4"/>
      <c r="D97" s="4"/>
      <c r="E97" s="4"/>
      <c r="F97" s="4"/>
      <c r="G97" s="4"/>
      <c r="H97" s="4"/>
      <c r="I97" s="4"/>
      <c r="J97" s="4"/>
      <c r="K97" s="4"/>
      <c r="L97" s="4"/>
      <c r="M97" s="4"/>
    </row>
    <row r="98" spans="1:13">
      <c r="A98" s="4"/>
      <c r="B98" s="4"/>
      <c r="C98" s="4"/>
      <c r="D98" s="4"/>
      <c r="E98" s="4"/>
      <c r="F98" s="4"/>
      <c r="G98" s="4"/>
      <c r="H98" s="4"/>
      <c r="I98" s="4"/>
      <c r="J98" s="4"/>
      <c r="K98" s="4"/>
      <c r="L98" s="4"/>
      <c r="M98" s="4"/>
    </row>
    <row r="99" spans="1:13">
      <c r="A99" s="4"/>
      <c r="B99" s="4"/>
      <c r="C99" s="4"/>
      <c r="D99" s="4"/>
      <c r="E99" s="4"/>
      <c r="F99" s="4"/>
      <c r="G99" s="4"/>
      <c r="H99" s="4"/>
      <c r="I99" s="4"/>
      <c r="J99" s="4"/>
      <c r="K99" s="4"/>
      <c r="L99" s="4"/>
      <c r="M99" s="4"/>
    </row>
    <row r="100" spans="1:13">
      <c r="A100" s="4"/>
      <c r="B100" s="4"/>
      <c r="C100" s="4"/>
      <c r="D100" s="4"/>
      <c r="E100" s="4"/>
      <c r="F100" s="4"/>
      <c r="G100" s="4"/>
      <c r="H100" s="4"/>
      <c r="I100" s="4"/>
      <c r="J100" s="4"/>
      <c r="K100" s="4"/>
      <c r="L100" s="4"/>
      <c r="M100" s="4"/>
    </row>
    <row r="101" spans="1:13">
      <c r="A101" s="4"/>
      <c r="B101" s="4"/>
      <c r="C101" s="4"/>
      <c r="D101" s="4"/>
      <c r="E101" s="4"/>
      <c r="F101" s="4"/>
      <c r="G101" s="4"/>
      <c r="H101" s="4"/>
      <c r="I101" s="4"/>
      <c r="J101" s="4"/>
      <c r="K101" s="4"/>
      <c r="L101" s="4"/>
      <c r="M101" s="4"/>
    </row>
    <row r="102" spans="1:13">
      <c r="A102" s="4"/>
      <c r="B102" s="4"/>
      <c r="C102" s="4"/>
      <c r="D102" s="4"/>
      <c r="E102" s="4"/>
      <c r="F102" s="4"/>
      <c r="G102" s="4"/>
      <c r="H102" s="4"/>
      <c r="I102" s="4"/>
      <c r="J102" s="4"/>
      <c r="K102" s="4"/>
    </row>
    <row r="103" spans="1:13">
      <c r="A103" s="4"/>
      <c r="B103" s="4"/>
      <c r="C103" s="4"/>
      <c r="D103" s="4"/>
      <c r="E103" s="4"/>
      <c r="F103" s="4"/>
      <c r="G103" s="4"/>
      <c r="H103" s="4"/>
      <c r="I103" s="4"/>
      <c r="J103" s="4"/>
      <c r="K103" s="4"/>
    </row>
  </sheetData>
  <mergeCells count="33">
    <mergeCell ref="A47:P47"/>
    <mergeCell ref="L3:P3"/>
    <mergeCell ref="L4:L5"/>
    <mergeCell ref="M4:M5"/>
    <mergeCell ref="N4:N5"/>
    <mergeCell ref="O4:O5"/>
    <mergeCell ref="P4:P5"/>
    <mergeCell ref="A45:P45"/>
    <mergeCell ref="A46:P46"/>
    <mergeCell ref="A42:P42"/>
    <mergeCell ref="D54:D55"/>
    <mergeCell ref="E54:E55"/>
    <mergeCell ref="J54:J55"/>
    <mergeCell ref="K54:K55"/>
    <mergeCell ref="B54:B55"/>
    <mergeCell ref="G54:G55"/>
    <mergeCell ref="H54:H55"/>
    <mergeCell ref="C54:C55"/>
    <mergeCell ref="F54:F55"/>
    <mergeCell ref="I54:I55"/>
    <mergeCell ref="B1:K1"/>
    <mergeCell ref="D4:D5"/>
    <mergeCell ref="E4:E5"/>
    <mergeCell ref="I4:I5"/>
    <mergeCell ref="B4:B5"/>
    <mergeCell ref="C4:C5"/>
    <mergeCell ref="B3:F3"/>
    <mergeCell ref="G3:K3"/>
    <mergeCell ref="J4:J5"/>
    <mergeCell ref="K4:K5"/>
    <mergeCell ref="F4:F5"/>
    <mergeCell ref="G4:G5"/>
    <mergeCell ref="H4:H5"/>
  </mergeCells>
  <phoneticPr fontId="35" type="noConversion"/>
  <pageMargins left="0.75" right="0.75" top="1" bottom="1" header="0.5" footer="0.5"/>
  <pageSetup scale="66" orientation="landscape" horizontalDpi="300" verticalDpi="300" r:id="rId1"/>
  <headerFooter alignWithMargins="0"/>
</worksheet>
</file>

<file path=xl/worksheets/sheet108.xml><?xml version="1.0" encoding="utf-8"?>
<worksheet xmlns="http://schemas.openxmlformats.org/spreadsheetml/2006/main" xmlns:r="http://schemas.openxmlformats.org/officeDocument/2006/relationships">
  <sheetPr codeName="Sheet73">
    <pageSetUpPr fitToPage="1"/>
  </sheetPr>
  <dimension ref="A1:W104"/>
  <sheetViews>
    <sheetView view="pageBreakPreview" zoomScale="70" zoomScaleSheetLayoutView="7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1" width="9.28515625" style="1" bestFit="1" customWidth="1"/>
    <col min="12" max="16384" width="9.140625" style="1"/>
  </cols>
  <sheetData>
    <row r="1" spans="1:23" ht="39" customHeight="1">
      <c r="A1" s="4"/>
      <c r="B1" s="1178" t="s">
        <v>2189</v>
      </c>
      <c r="C1" s="1178"/>
      <c r="D1" s="1178"/>
      <c r="E1" s="1178"/>
      <c r="F1" s="1178"/>
      <c r="G1" s="1178"/>
      <c r="H1" s="1178"/>
      <c r="I1" s="1178"/>
      <c r="J1" s="1178"/>
      <c r="K1" s="1178"/>
    </row>
    <row r="2" spans="1:23">
      <c r="A2" s="4"/>
      <c r="B2" s="4"/>
    </row>
    <row r="3" spans="1:23">
      <c r="A3" s="4"/>
      <c r="B3" s="1213" t="s">
        <v>173</v>
      </c>
      <c r="C3" s="1213"/>
      <c r="D3" s="1213"/>
      <c r="E3" s="1213"/>
      <c r="F3" s="1213"/>
      <c r="G3" s="1175" t="s">
        <v>172</v>
      </c>
      <c r="H3" s="1175"/>
      <c r="I3" s="1175"/>
      <c r="J3" s="1175"/>
      <c r="K3" s="1175"/>
      <c r="L3" s="1175" t="s">
        <v>1191</v>
      </c>
      <c r="M3" s="1175"/>
      <c r="N3" s="1175"/>
      <c r="O3" s="1175"/>
      <c r="P3" s="1175"/>
    </row>
    <row r="4" spans="1:23" ht="12.75" customHeight="1">
      <c r="B4" s="1211" t="s">
        <v>167</v>
      </c>
      <c r="C4" s="1211" t="s">
        <v>168</v>
      </c>
      <c r="D4" s="1211" t="s">
        <v>169</v>
      </c>
      <c r="E4" s="1211" t="s">
        <v>170</v>
      </c>
      <c r="F4" s="1211" t="s">
        <v>171</v>
      </c>
      <c r="G4" s="1211" t="s">
        <v>167</v>
      </c>
      <c r="H4" s="1211" t="s">
        <v>168</v>
      </c>
      <c r="I4" s="1211" t="s">
        <v>169</v>
      </c>
      <c r="J4" s="1211" t="s">
        <v>170</v>
      </c>
      <c r="K4" s="1211" t="s">
        <v>171</v>
      </c>
      <c r="L4" s="1211" t="s">
        <v>167</v>
      </c>
      <c r="M4" s="1211" t="s">
        <v>168</v>
      </c>
      <c r="N4" s="1211" t="s">
        <v>169</v>
      </c>
      <c r="O4" s="1211" t="s">
        <v>170</v>
      </c>
      <c r="P4" s="1211" t="s">
        <v>171</v>
      </c>
    </row>
    <row r="5" spans="1:23" s="4" customFormat="1">
      <c r="A5" s="7"/>
      <c r="B5" s="1212"/>
      <c r="C5" s="1212"/>
      <c r="D5" s="1212"/>
      <c r="E5" s="1212"/>
      <c r="F5" s="1212"/>
      <c r="G5" s="1212"/>
      <c r="H5" s="1212"/>
      <c r="I5" s="1212"/>
      <c r="J5" s="1212"/>
      <c r="K5" s="1212"/>
      <c r="L5" s="1212"/>
      <c r="M5" s="1212"/>
      <c r="N5" s="1212"/>
      <c r="O5" s="1212"/>
      <c r="P5" s="1212"/>
    </row>
    <row r="6" spans="1:23">
      <c r="A6" s="120">
        <v>1981</v>
      </c>
      <c r="B6" s="433">
        <v>13400</v>
      </c>
      <c r="C6" s="433">
        <v>24800</v>
      </c>
      <c r="D6" s="433">
        <v>33500</v>
      </c>
      <c r="E6" s="433">
        <v>44200</v>
      </c>
      <c r="F6" s="433">
        <v>69600</v>
      </c>
      <c r="G6" s="433">
        <v>27900</v>
      </c>
      <c r="H6" s="433">
        <v>52300</v>
      </c>
      <c r="I6" s="433">
        <v>68700</v>
      </c>
      <c r="J6" s="433">
        <v>88100</v>
      </c>
      <c r="K6" s="433">
        <v>128700</v>
      </c>
      <c r="L6" s="979">
        <v>4</v>
      </c>
      <c r="M6" s="979">
        <v>4.0999999999999996</v>
      </c>
      <c r="N6" s="979">
        <v>3.9</v>
      </c>
      <c r="O6" s="979">
        <v>3.7</v>
      </c>
      <c r="P6" s="979">
        <v>3.3</v>
      </c>
      <c r="Q6" s="6"/>
      <c r="R6" s="6"/>
      <c r="S6" s="6"/>
      <c r="T6" s="6"/>
      <c r="U6" s="6"/>
      <c r="V6" s="6"/>
      <c r="W6" s="6"/>
    </row>
    <row r="7" spans="1:23">
      <c r="A7" s="120">
        <v>1982</v>
      </c>
      <c r="B7" s="433">
        <v>12800</v>
      </c>
      <c r="C7" s="433">
        <v>23800</v>
      </c>
      <c r="D7" s="433">
        <v>32500</v>
      </c>
      <c r="E7" s="433">
        <v>42900</v>
      </c>
      <c r="F7" s="433">
        <v>69300</v>
      </c>
      <c r="G7" s="433">
        <v>26900</v>
      </c>
      <c r="H7" s="433">
        <v>49400</v>
      </c>
      <c r="I7" s="433">
        <v>66900</v>
      </c>
      <c r="J7" s="433">
        <v>85200</v>
      </c>
      <c r="K7" s="433">
        <v>127800</v>
      </c>
      <c r="L7" s="979">
        <v>4.0999999999999996</v>
      </c>
      <c r="M7" s="979">
        <v>4</v>
      </c>
      <c r="N7" s="979">
        <v>3.9</v>
      </c>
      <c r="O7" s="979">
        <v>3.7</v>
      </c>
      <c r="P7" s="979">
        <v>3.3</v>
      </c>
      <c r="Q7" s="6"/>
      <c r="R7" s="6"/>
      <c r="S7" s="6"/>
      <c r="T7" s="6"/>
      <c r="U7" s="6"/>
      <c r="V7" s="6"/>
      <c r="W7" s="6"/>
    </row>
    <row r="8" spans="1:23">
      <c r="A8" s="120">
        <v>1983</v>
      </c>
      <c r="B8" s="433">
        <v>12500</v>
      </c>
      <c r="C8" s="433">
        <v>23000</v>
      </c>
      <c r="D8" s="433">
        <v>31900</v>
      </c>
      <c r="E8" s="433">
        <v>42700</v>
      </c>
      <c r="F8" s="433">
        <v>69900</v>
      </c>
      <c r="G8" s="433">
        <v>25700</v>
      </c>
      <c r="H8" s="433">
        <v>47600</v>
      </c>
      <c r="I8" s="433">
        <v>64800</v>
      </c>
      <c r="J8" s="433">
        <v>83900</v>
      </c>
      <c r="K8" s="433">
        <v>128400</v>
      </c>
      <c r="L8" s="979">
        <v>4</v>
      </c>
      <c r="M8" s="979">
        <v>4</v>
      </c>
      <c r="N8" s="979">
        <v>3.9</v>
      </c>
      <c r="O8" s="979">
        <v>3.6</v>
      </c>
      <c r="P8" s="979">
        <v>3.3</v>
      </c>
      <c r="Q8" s="6"/>
      <c r="R8" s="6"/>
      <c r="S8" s="6"/>
      <c r="T8" s="6"/>
      <c r="U8" s="6"/>
      <c r="V8" s="6"/>
      <c r="W8" s="6"/>
    </row>
    <row r="9" spans="1:23">
      <c r="A9" s="120">
        <v>1984</v>
      </c>
      <c r="B9" s="433">
        <v>12400</v>
      </c>
      <c r="C9" s="433">
        <v>23500</v>
      </c>
      <c r="D9" s="433">
        <v>32400</v>
      </c>
      <c r="E9" s="433">
        <v>42900</v>
      </c>
      <c r="F9" s="433">
        <v>70100</v>
      </c>
      <c r="G9" s="433">
        <v>25600</v>
      </c>
      <c r="H9" s="433">
        <v>48000</v>
      </c>
      <c r="I9" s="433">
        <v>66000</v>
      </c>
      <c r="J9" s="433">
        <v>84000</v>
      </c>
      <c r="K9" s="433">
        <v>129200</v>
      </c>
      <c r="L9" s="979">
        <v>4</v>
      </c>
      <c r="M9" s="979">
        <v>3.9</v>
      </c>
      <c r="N9" s="979">
        <v>3.9</v>
      </c>
      <c r="O9" s="979">
        <v>3.6</v>
      </c>
      <c r="P9" s="979">
        <v>3.3</v>
      </c>
      <c r="Q9" s="6"/>
      <c r="R9" s="6"/>
      <c r="S9" s="6"/>
      <c r="T9" s="6"/>
      <c r="U9" s="6"/>
      <c r="V9" s="6"/>
      <c r="W9" s="6"/>
    </row>
    <row r="10" spans="1:23">
      <c r="A10" s="120">
        <v>1985</v>
      </c>
      <c r="B10" s="433">
        <v>13200</v>
      </c>
      <c r="C10" s="433">
        <v>24300</v>
      </c>
      <c r="D10" s="433">
        <v>33500</v>
      </c>
      <c r="E10" s="433">
        <v>44200</v>
      </c>
      <c r="F10" s="433">
        <v>71500</v>
      </c>
      <c r="G10" s="433">
        <v>26700</v>
      </c>
      <c r="H10" s="433">
        <v>49500</v>
      </c>
      <c r="I10" s="433">
        <v>67200</v>
      </c>
      <c r="J10" s="433">
        <v>86000</v>
      </c>
      <c r="K10" s="433">
        <v>131200</v>
      </c>
      <c r="L10" s="979">
        <v>3.9</v>
      </c>
      <c r="M10" s="979">
        <v>3.9</v>
      </c>
      <c r="N10" s="979">
        <v>3.8</v>
      </c>
      <c r="O10" s="979">
        <v>3.6</v>
      </c>
      <c r="P10" s="979">
        <v>3.3</v>
      </c>
      <c r="Q10" s="6"/>
      <c r="R10" s="6"/>
      <c r="S10" s="6"/>
      <c r="T10" s="6"/>
      <c r="U10" s="6"/>
      <c r="V10" s="6"/>
      <c r="W10" s="6"/>
    </row>
    <row r="11" spans="1:23">
      <c r="A11" s="120">
        <v>1986</v>
      </c>
      <c r="B11" s="433">
        <v>13700</v>
      </c>
      <c r="C11" s="433">
        <v>25000</v>
      </c>
      <c r="D11" s="433">
        <v>34400</v>
      </c>
      <c r="E11" s="433">
        <v>45000</v>
      </c>
      <c r="F11" s="433">
        <v>73300</v>
      </c>
      <c r="G11" s="433">
        <v>27700</v>
      </c>
      <c r="H11" s="433">
        <v>50300</v>
      </c>
      <c r="I11" s="433">
        <v>68900</v>
      </c>
      <c r="J11" s="433">
        <v>87500</v>
      </c>
      <c r="K11" s="433">
        <v>135100</v>
      </c>
      <c r="L11" s="979">
        <v>3.9</v>
      </c>
      <c r="M11" s="979">
        <v>3.8</v>
      </c>
      <c r="N11" s="979">
        <v>3.8</v>
      </c>
      <c r="O11" s="979">
        <v>3.6</v>
      </c>
      <c r="P11" s="979">
        <v>3.3</v>
      </c>
      <c r="Q11" s="6"/>
      <c r="R11" s="6"/>
      <c r="S11" s="6"/>
      <c r="T11" s="6"/>
      <c r="U11" s="6"/>
      <c r="V11" s="6"/>
      <c r="W11" s="6"/>
    </row>
    <row r="12" spans="1:23">
      <c r="A12" s="120">
        <v>1987</v>
      </c>
      <c r="B12" s="433">
        <v>14100</v>
      </c>
      <c r="C12" s="433">
        <v>25400</v>
      </c>
      <c r="D12" s="433">
        <v>34600</v>
      </c>
      <c r="E12" s="433">
        <v>45800</v>
      </c>
      <c r="F12" s="433">
        <v>74400</v>
      </c>
      <c r="G12" s="433">
        <v>28400</v>
      </c>
      <c r="H12" s="433">
        <v>50400</v>
      </c>
      <c r="I12" s="433">
        <v>69400</v>
      </c>
      <c r="J12" s="433">
        <v>89200</v>
      </c>
      <c r="K12" s="433">
        <v>137100</v>
      </c>
      <c r="L12" s="979">
        <v>3.8</v>
      </c>
      <c r="M12" s="979">
        <v>3.7</v>
      </c>
      <c r="N12" s="979">
        <v>3.8</v>
      </c>
      <c r="O12" s="979">
        <v>3.6</v>
      </c>
      <c r="P12" s="979">
        <v>3.3</v>
      </c>
      <c r="Q12" s="6"/>
      <c r="R12" s="6"/>
      <c r="S12" s="6"/>
      <c r="T12" s="6"/>
      <c r="U12" s="6"/>
      <c r="V12" s="6"/>
      <c r="W12" s="6"/>
    </row>
    <row r="13" spans="1:23">
      <c r="A13" s="120">
        <v>1988</v>
      </c>
      <c r="B13" s="433">
        <v>14800</v>
      </c>
      <c r="C13" s="433">
        <v>26200</v>
      </c>
      <c r="D13" s="433">
        <v>35900</v>
      </c>
      <c r="E13" s="433">
        <v>47000</v>
      </c>
      <c r="F13" s="433">
        <v>76200</v>
      </c>
      <c r="G13" s="433">
        <v>29000</v>
      </c>
      <c r="H13" s="433">
        <v>52300</v>
      </c>
      <c r="I13" s="433">
        <v>71400</v>
      </c>
      <c r="J13" s="433">
        <v>90600</v>
      </c>
      <c r="K13" s="433">
        <v>138900</v>
      </c>
      <c r="L13" s="979">
        <v>3.7</v>
      </c>
      <c r="M13" s="979">
        <v>3.8</v>
      </c>
      <c r="N13" s="979">
        <v>3.7</v>
      </c>
      <c r="O13" s="979">
        <v>3.5</v>
      </c>
      <c r="P13" s="979">
        <v>3.2</v>
      </c>
      <c r="Q13" s="6"/>
      <c r="R13" s="6"/>
      <c r="S13" s="6"/>
      <c r="T13" s="6"/>
      <c r="U13" s="6"/>
      <c r="V13" s="6"/>
      <c r="W13" s="6"/>
    </row>
    <row r="14" spans="1:23">
      <c r="A14" s="120">
        <v>1989</v>
      </c>
      <c r="B14" s="433">
        <v>15300</v>
      </c>
      <c r="C14" s="433">
        <v>27200</v>
      </c>
      <c r="D14" s="433">
        <v>36600</v>
      </c>
      <c r="E14" s="433">
        <v>48000</v>
      </c>
      <c r="F14" s="433">
        <v>78700</v>
      </c>
      <c r="G14" s="433">
        <v>30000</v>
      </c>
      <c r="H14" s="433">
        <v>54300</v>
      </c>
      <c r="I14" s="433">
        <v>73000</v>
      </c>
      <c r="J14" s="433">
        <v>92900</v>
      </c>
      <c r="K14" s="433">
        <v>143900</v>
      </c>
      <c r="L14" s="979">
        <v>3.7</v>
      </c>
      <c r="M14" s="979">
        <v>3.8</v>
      </c>
      <c r="N14" s="979">
        <v>3.8</v>
      </c>
      <c r="O14" s="979">
        <v>3.6</v>
      </c>
      <c r="P14" s="979">
        <v>3.2</v>
      </c>
      <c r="Q14" s="6"/>
      <c r="R14" s="6"/>
      <c r="S14" s="6"/>
      <c r="T14" s="6"/>
      <c r="U14" s="6"/>
      <c r="V14" s="6"/>
      <c r="W14" s="6"/>
    </row>
    <row r="15" spans="1:23">
      <c r="A15" s="120">
        <v>1990</v>
      </c>
      <c r="B15" s="433">
        <v>14100</v>
      </c>
      <c r="C15" s="433">
        <v>26100</v>
      </c>
      <c r="D15" s="433">
        <v>36100</v>
      </c>
      <c r="E15" s="433">
        <v>47400</v>
      </c>
      <c r="F15" s="433">
        <v>77100</v>
      </c>
      <c r="G15" s="433">
        <v>27600</v>
      </c>
      <c r="H15" s="433">
        <v>51600</v>
      </c>
      <c r="I15" s="433">
        <v>71200</v>
      </c>
      <c r="J15" s="433">
        <v>91500</v>
      </c>
      <c r="K15" s="433">
        <v>141500</v>
      </c>
      <c r="L15" s="979">
        <v>3.7</v>
      </c>
      <c r="M15" s="979">
        <v>3.7</v>
      </c>
      <c r="N15" s="979">
        <v>3.7</v>
      </c>
      <c r="O15" s="979">
        <v>3.5</v>
      </c>
      <c r="P15" s="979">
        <v>3.3</v>
      </c>
      <c r="Q15" s="6"/>
      <c r="R15" s="6"/>
      <c r="S15" s="6"/>
      <c r="T15" s="6"/>
      <c r="U15" s="6"/>
      <c r="V15" s="6"/>
      <c r="W15" s="6"/>
    </row>
    <row r="16" spans="1:23">
      <c r="A16" s="120">
        <v>1991</v>
      </c>
      <c r="B16" s="433">
        <v>13500</v>
      </c>
      <c r="C16" s="433">
        <v>24700</v>
      </c>
      <c r="D16" s="433">
        <v>34100</v>
      </c>
      <c r="E16" s="433">
        <v>45700</v>
      </c>
      <c r="F16" s="433">
        <v>76800</v>
      </c>
      <c r="G16" s="433">
        <v>26900</v>
      </c>
      <c r="H16" s="433">
        <v>49100</v>
      </c>
      <c r="I16" s="433">
        <v>67300</v>
      </c>
      <c r="J16" s="433">
        <v>87900</v>
      </c>
      <c r="K16" s="433">
        <v>140600</v>
      </c>
      <c r="L16" s="979">
        <v>3.8</v>
      </c>
      <c r="M16" s="979">
        <v>3.8</v>
      </c>
      <c r="N16" s="979">
        <v>3.7</v>
      </c>
      <c r="O16" s="979">
        <v>3.5</v>
      </c>
      <c r="P16" s="979">
        <v>3.2</v>
      </c>
      <c r="Q16" s="6"/>
      <c r="R16" s="6"/>
      <c r="S16" s="6"/>
      <c r="T16" s="6"/>
      <c r="U16" s="6"/>
      <c r="V16" s="6"/>
      <c r="W16" s="6"/>
    </row>
    <row r="17" spans="1:23">
      <c r="A17" s="120">
        <v>1992</v>
      </c>
      <c r="B17" s="433">
        <v>13200</v>
      </c>
      <c r="C17" s="433">
        <v>24700</v>
      </c>
      <c r="D17" s="433">
        <v>34100</v>
      </c>
      <c r="E17" s="433">
        <v>45600</v>
      </c>
      <c r="F17" s="433">
        <v>76400</v>
      </c>
      <c r="G17" s="433">
        <v>25600</v>
      </c>
      <c r="H17" s="433">
        <v>49100</v>
      </c>
      <c r="I17" s="433">
        <v>67200</v>
      </c>
      <c r="J17" s="433">
        <v>87100</v>
      </c>
      <c r="K17" s="433">
        <v>139100</v>
      </c>
      <c r="L17" s="979">
        <v>3.7</v>
      </c>
      <c r="M17" s="979">
        <v>3.7</v>
      </c>
      <c r="N17" s="979">
        <v>3.7</v>
      </c>
      <c r="O17" s="979">
        <v>3.5</v>
      </c>
      <c r="P17" s="979">
        <v>3.2</v>
      </c>
      <c r="Q17" s="6"/>
      <c r="R17" s="6"/>
      <c r="S17" s="6"/>
      <c r="T17" s="6"/>
      <c r="U17" s="6"/>
      <c r="V17" s="6"/>
      <c r="W17" s="6"/>
    </row>
    <row r="18" spans="1:23">
      <c r="A18" s="120">
        <v>1993</v>
      </c>
      <c r="B18" s="433">
        <v>13200</v>
      </c>
      <c r="C18" s="433">
        <v>24000</v>
      </c>
      <c r="D18" s="433">
        <v>33400</v>
      </c>
      <c r="E18" s="433">
        <v>44600</v>
      </c>
      <c r="F18" s="433">
        <v>73100</v>
      </c>
      <c r="G18" s="433">
        <v>26100</v>
      </c>
      <c r="H18" s="433">
        <v>47100</v>
      </c>
      <c r="I18" s="433">
        <v>66100</v>
      </c>
      <c r="J18" s="433">
        <v>86400</v>
      </c>
      <c r="K18" s="433">
        <v>132500</v>
      </c>
      <c r="L18" s="979">
        <v>3.7</v>
      </c>
      <c r="M18" s="979">
        <v>3.7</v>
      </c>
      <c r="N18" s="979">
        <v>3.7</v>
      </c>
      <c r="O18" s="979">
        <v>3.6</v>
      </c>
      <c r="P18" s="979">
        <v>3.2</v>
      </c>
      <c r="Q18" s="6"/>
      <c r="R18" s="6"/>
      <c r="S18" s="6"/>
      <c r="T18" s="6"/>
      <c r="U18" s="6"/>
      <c r="V18" s="6"/>
      <c r="W18" s="6"/>
    </row>
    <row r="19" spans="1:23">
      <c r="A19" s="120">
        <v>1994</v>
      </c>
      <c r="B19" s="433">
        <v>13200</v>
      </c>
      <c r="C19" s="433">
        <v>24400</v>
      </c>
      <c r="D19" s="433">
        <v>33900</v>
      </c>
      <c r="E19" s="433">
        <v>45200</v>
      </c>
      <c r="F19" s="433">
        <v>74700</v>
      </c>
      <c r="G19" s="433">
        <v>26100</v>
      </c>
      <c r="H19" s="433">
        <v>48300</v>
      </c>
      <c r="I19" s="433">
        <v>66900</v>
      </c>
      <c r="J19" s="433">
        <v>87800</v>
      </c>
      <c r="K19" s="433">
        <v>136400</v>
      </c>
      <c r="L19" s="979">
        <v>3.7</v>
      </c>
      <c r="M19" s="979">
        <v>3.7</v>
      </c>
      <c r="N19" s="979">
        <v>3.7</v>
      </c>
      <c r="O19" s="979">
        <v>3.6</v>
      </c>
      <c r="P19" s="979">
        <v>3.2</v>
      </c>
      <c r="Q19" s="6"/>
      <c r="R19" s="6"/>
      <c r="S19" s="6"/>
      <c r="T19" s="6"/>
      <c r="U19" s="6"/>
      <c r="V19" s="6"/>
      <c r="W19" s="6"/>
    </row>
    <row r="20" spans="1:23">
      <c r="A20" s="120">
        <v>1995</v>
      </c>
      <c r="B20" s="433">
        <v>13200</v>
      </c>
      <c r="C20" s="433">
        <v>24300</v>
      </c>
      <c r="D20" s="433">
        <v>33900</v>
      </c>
      <c r="E20" s="433">
        <v>45400</v>
      </c>
      <c r="F20" s="433">
        <v>75600</v>
      </c>
      <c r="G20" s="433">
        <v>26100</v>
      </c>
      <c r="H20" s="433">
        <v>47600</v>
      </c>
      <c r="I20" s="433">
        <v>66000</v>
      </c>
      <c r="J20" s="433">
        <v>87400</v>
      </c>
      <c r="K20" s="433">
        <v>137500</v>
      </c>
      <c r="L20" s="979">
        <v>3.8</v>
      </c>
      <c r="M20" s="979">
        <v>3.7</v>
      </c>
      <c r="N20" s="979">
        <v>3.6</v>
      </c>
      <c r="O20" s="979">
        <v>3.5</v>
      </c>
      <c r="P20" s="979">
        <v>3.2</v>
      </c>
      <c r="Q20" s="6"/>
      <c r="R20" s="6"/>
      <c r="S20" s="6"/>
      <c r="T20" s="6"/>
      <c r="U20" s="6"/>
      <c r="V20" s="6"/>
      <c r="W20" s="6"/>
    </row>
    <row r="21" spans="1:23">
      <c r="A21" s="120">
        <v>1996</v>
      </c>
      <c r="B21" s="433">
        <v>12800</v>
      </c>
      <c r="C21" s="433">
        <v>24000</v>
      </c>
      <c r="D21" s="433">
        <v>33900</v>
      </c>
      <c r="E21" s="433">
        <v>45600</v>
      </c>
      <c r="F21" s="433">
        <v>77900</v>
      </c>
      <c r="G21" s="433">
        <v>25400</v>
      </c>
      <c r="H21" s="433">
        <v>47600</v>
      </c>
      <c r="I21" s="433">
        <v>66600</v>
      </c>
      <c r="J21" s="433">
        <v>88000</v>
      </c>
      <c r="K21" s="433">
        <v>142500</v>
      </c>
      <c r="L21" s="979">
        <v>3.7</v>
      </c>
      <c r="M21" s="979">
        <v>3.7</v>
      </c>
      <c r="N21" s="979">
        <v>3.7</v>
      </c>
      <c r="O21" s="979">
        <v>3.5</v>
      </c>
      <c r="P21" s="979">
        <v>3.2</v>
      </c>
      <c r="Q21" s="6"/>
      <c r="R21" s="6"/>
      <c r="S21" s="6"/>
      <c r="T21" s="6"/>
      <c r="U21" s="6"/>
      <c r="V21" s="6"/>
      <c r="W21" s="6"/>
    </row>
    <row r="22" spans="1:23">
      <c r="A22" s="120">
        <v>1997</v>
      </c>
      <c r="B22" s="433">
        <v>13100</v>
      </c>
      <c r="C22" s="433">
        <v>24200</v>
      </c>
      <c r="D22" s="433">
        <v>34300</v>
      </c>
      <c r="E22" s="433">
        <v>46100</v>
      </c>
      <c r="F22" s="433">
        <v>78900</v>
      </c>
      <c r="G22" s="433">
        <v>25700</v>
      </c>
      <c r="H22" s="433">
        <v>47400</v>
      </c>
      <c r="I22" s="433">
        <v>66900</v>
      </c>
      <c r="J22" s="433">
        <v>89700</v>
      </c>
      <c r="K22" s="433">
        <v>144000</v>
      </c>
      <c r="L22" s="979">
        <v>3.7</v>
      </c>
      <c r="M22" s="979">
        <v>3.7</v>
      </c>
      <c r="N22" s="979">
        <v>3.6</v>
      </c>
      <c r="O22" s="979">
        <v>3.6</v>
      </c>
      <c r="P22" s="979">
        <v>3.2</v>
      </c>
      <c r="Q22" s="6"/>
      <c r="R22" s="6"/>
      <c r="S22" s="6"/>
      <c r="T22" s="6"/>
      <c r="U22" s="6"/>
      <c r="V22" s="6"/>
      <c r="W22" s="6"/>
    </row>
    <row r="23" spans="1:23">
      <c r="A23" s="120">
        <v>1998</v>
      </c>
      <c r="B23" s="433">
        <v>13500</v>
      </c>
      <c r="C23" s="433">
        <v>25000</v>
      </c>
      <c r="D23" s="433">
        <v>35500</v>
      </c>
      <c r="E23" s="433">
        <v>48000</v>
      </c>
      <c r="F23" s="433">
        <v>84900</v>
      </c>
      <c r="G23" s="433">
        <v>26700</v>
      </c>
      <c r="H23" s="433">
        <v>48500</v>
      </c>
      <c r="I23" s="433">
        <v>70000</v>
      </c>
      <c r="J23" s="433">
        <v>92800</v>
      </c>
      <c r="K23" s="433">
        <v>155300</v>
      </c>
      <c r="L23" s="979">
        <v>3.7</v>
      </c>
      <c r="M23" s="979">
        <v>3.6</v>
      </c>
      <c r="N23" s="979">
        <v>3.7</v>
      </c>
      <c r="O23" s="979">
        <v>3.6</v>
      </c>
      <c r="P23" s="979">
        <v>3.3</v>
      </c>
      <c r="Q23" s="6"/>
      <c r="R23" s="6"/>
      <c r="S23" s="6"/>
      <c r="T23" s="6"/>
      <c r="U23" s="6"/>
      <c r="V23" s="6"/>
      <c r="W23" s="6"/>
    </row>
    <row r="24" spans="1:23">
      <c r="A24" s="120">
        <v>1999</v>
      </c>
      <c r="B24" s="433">
        <v>14000</v>
      </c>
      <c r="C24" s="433">
        <v>26000</v>
      </c>
      <c r="D24" s="433">
        <v>36500</v>
      </c>
      <c r="E24" s="433">
        <v>48900</v>
      </c>
      <c r="F24" s="433">
        <v>86100</v>
      </c>
      <c r="G24" s="433">
        <v>27700</v>
      </c>
      <c r="H24" s="433">
        <v>50800</v>
      </c>
      <c r="I24" s="433">
        <v>71600</v>
      </c>
      <c r="J24" s="433">
        <v>94300</v>
      </c>
      <c r="K24" s="433">
        <v>158100</v>
      </c>
      <c r="L24" s="979">
        <v>3.7</v>
      </c>
      <c r="M24" s="979">
        <v>3.7</v>
      </c>
      <c r="N24" s="979">
        <v>3.7</v>
      </c>
      <c r="O24" s="979">
        <v>3.5</v>
      </c>
      <c r="P24" s="979">
        <v>3.3</v>
      </c>
      <c r="Q24" s="6"/>
      <c r="R24" s="6"/>
      <c r="S24" s="6"/>
      <c r="T24" s="6"/>
      <c r="U24" s="6"/>
      <c r="V24" s="6"/>
      <c r="W24" s="6"/>
    </row>
    <row r="25" spans="1:23">
      <c r="A25" s="120">
        <v>2000</v>
      </c>
      <c r="B25" s="433">
        <v>14700</v>
      </c>
      <c r="C25" s="433">
        <v>26500</v>
      </c>
      <c r="D25" s="433">
        <v>37400</v>
      </c>
      <c r="E25" s="433">
        <v>50300</v>
      </c>
      <c r="F25" s="433">
        <v>91500</v>
      </c>
      <c r="G25" s="433">
        <v>29000</v>
      </c>
      <c r="H25" s="433">
        <v>52000</v>
      </c>
      <c r="I25" s="433">
        <v>72700</v>
      </c>
      <c r="J25" s="433">
        <v>96900</v>
      </c>
      <c r="K25" s="433">
        <v>170400</v>
      </c>
      <c r="L25" s="979">
        <v>3.7</v>
      </c>
      <c r="M25" s="979">
        <v>3.6</v>
      </c>
      <c r="N25" s="979">
        <v>3.6</v>
      </c>
      <c r="O25" s="979">
        <v>3.5</v>
      </c>
      <c r="P25" s="979">
        <v>3.3</v>
      </c>
      <c r="Q25" s="6"/>
      <c r="R25" s="6"/>
      <c r="S25" s="6"/>
      <c r="T25" s="6"/>
      <c r="U25" s="6"/>
      <c r="V25" s="6"/>
      <c r="W25" s="6"/>
    </row>
    <row r="26" spans="1:23">
      <c r="A26" s="120">
        <v>2001</v>
      </c>
      <c r="B26" s="433">
        <v>14800</v>
      </c>
      <c r="C26" s="433">
        <v>26900</v>
      </c>
      <c r="D26" s="433">
        <v>37800</v>
      </c>
      <c r="E26" s="433">
        <v>50900</v>
      </c>
      <c r="F26" s="433">
        <v>93100</v>
      </c>
      <c r="G26" s="433">
        <v>29300</v>
      </c>
      <c r="H26" s="433">
        <v>52200</v>
      </c>
      <c r="I26" s="433">
        <v>74000</v>
      </c>
      <c r="J26" s="433">
        <v>98000</v>
      </c>
      <c r="K26" s="433">
        <v>172200</v>
      </c>
      <c r="L26" s="979">
        <v>3.7</v>
      </c>
      <c r="M26" s="979">
        <v>3.6</v>
      </c>
      <c r="N26" s="979">
        <v>3.6</v>
      </c>
      <c r="O26" s="979">
        <v>3.5</v>
      </c>
      <c r="P26" s="979">
        <v>3.3</v>
      </c>
      <c r="Q26" s="6"/>
      <c r="R26" s="6"/>
      <c r="S26" s="6"/>
      <c r="T26" s="6"/>
      <c r="U26" s="6"/>
      <c r="V26" s="6"/>
      <c r="W26" s="6"/>
    </row>
    <row r="27" spans="1:23">
      <c r="A27" s="120">
        <v>2002</v>
      </c>
      <c r="B27" s="433">
        <v>14700</v>
      </c>
      <c r="C27" s="433">
        <v>26800</v>
      </c>
      <c r="D27" s="433">
        <v>37700</v>
      </c>
      <c r="E27" s="433">
        <v>51000</v>
      </c>
      <c r="F27" s="433">
        <v>93400</v>
      </c>
      <c r="G27" s="433">
        <v>28600</v>
      </c>
      <c r="H27" s="433">
        <v>52200</v>
      </c>
      <c r="I27" s="433">
        <v>73800</v>
      </c>
      <c r="J27" s="433">
        <v>97600</v>
      </c>
      <c r="K27" s="433">
        <v>170800</v>
      </c>
      <c r="L27" s="979">
        <v>3.6</v>
      </c>
      <c r="M27" s="979">
        <v>3.6</v>
      </c>
      <c r="N27" s="979">
        <v>3.6</v>
      </c>
      <c r="O27" s="979">
        <v>3.5</v>
      </c>
      <c r="P27" s="979">
        <v>3.3</v>
      </c>
      <c r="Q27" s="6"/>
      <c r="R27" s="6"/>
      <c r="S27" s="6"/>
      <c r="T27" s="6"/>
      <c r="U27" s="6"/>
      <c r="V27" s="6"/>
      <c r="W27" s="6"/>
    </row>
    <row r="28" spans="1:23">
      <c r="A28" s="120">
        <v>2003</v>
      </c>
      <c r="B28" s="433">
        <v>14800</v>
      </c>
      <c r="C28" s="433">
        <v>26800</v>
      </c>
      <c r="D28" s="433">
        <v>37700</v>
      </c>
      <c r="E28" s="433">
        <v>51100</v>
      </c>
      <c r="F28" s="433">
        <v>92000</v>
      </c>
      <c r="G28" s="433">
        <v>29200</v>
      </c>
      <c r="H28" s="433">
        <v>51900</v>
      </c>
      <c r="I28" s="433">
        <v>74000</v>
      </c>
      <c r="J28" s="433">
        <v>97200</v>
      </c>
      <c r="K28" s="433">
        <v>169100</v>
      </c>
      <c r="L28" s="979">
        <v>3.7</v>
      </c>
      <c r="M28" s="979">
        <v>3.6</v>
      </c>
      <c r="N28" s="979">
        <v>3.6</v>
      </c>
      <c r="O28" s="979">
        <v>3.4</v>
      </c>
      <c r="P28" s="979">
        <v>3.3</v>
      </c>
      <c r="Q28" s="6"/>
      <c r="R28" s="6"/>
      <c r="S28" s="6"/>
      <c r="T28" s="6"/>
      <c r="U28" s="6"/>
      <c r="V28" s="6"/>
      <c r="W28" s="6"/>
    </row>
    <row r="29" spans="1:23">
      <c r="A29" s="120">
        <v>2004</v>
      </c>
      <c r="B29" s="433">
        <v>15000</v>
      </c>
      <c r="C29" s="433">
        <v>27200</v>
      </c>
      <c r="D29" s="433">
        <v>38600</v>
      </c>
      <c r="E29" s="433">
        <v>52200</v>
      </c>
      <c r="F29" s="433">
        <v>95800</v>
      </c>
      <c r="G29" s="433">
        <v>29600</v>
      </c>
      <c r="H29" s="433">
        <v>52300</v>
      </c>
      <c r="I29" s="433">
        <v>75300</v>
      </c>
      <c r="J29" s="433">
        <v>98700</v>
      </c>
      <c r="K29" s="433">
        <v>177200</v>
      </c>
      <c r="L29" s="979">
        <v>3.7</v>
      </c>
      <c r="M29" s="979">
        <v>3.5</v>
      </c>
      <c r="N29" s="979">
        <v>3.6</v>
      </c>
      <c r="O29" s="979">
        <v>3.4</v>
      </c>
      <c r="P29" s="979">
        <v>3.3</v>
      </c>
    </row>
    <row r="30" spans="1:23">
      <c r="A30" s="120">
        <v>2005</v>
      </c>
      <c r="B30" s="433">
        <v>15500</v>
      </c>
      <c r="C30" s="433">
        <v>27900</v>
      </c>
      <c r="D30" s="433">
        <v>39300</v>
      </c>
      <c r="E30" s="433">
        <v>53300</v>
      </c>
      <c r="F30" s="433">
        <v>95400</v>
      </c>
      <c r="G30" s="433">
        <v>30200</v>
      </c>
      <c r="H30" s="433">
        <v>53500</v>
      </c>
      <c r="I30" s="433">
        <v>76900</v>
      </c>
      <c r="J30" s="433">
        <v>101800</v>
      </c>
      <c r="K30" s="433">
        <v>175000</v>
      </c>
      <c r="L30" s="979">
        <v>3.6</v>
      </c>
      <c r="M30" s="979">
        <v>3.5</v>
      </c>
      <c r="N30" s="979">
        <v>3.6</v>
      </c>
      <c r="O30" s="979">
        <v>3.5</v>
      </c>
      <c r="P30" s="979">
        <v>3.2</v>
      </c>
      <c r="R30" s="300"/>
      <c r="S30" s="300"/>
    </row>
    <row r="31" spans="1:23">
      <c r="A31" s="120">
        <v>2006</v>
      </c>
      <c r="B31" s="433">
        <v>16200</v>
      </c>
      <c r="C31" s="433">
        <v>28300</v>
      </c>
      <c r="D31" s="433">
        <v>39800</v>
      </c>
      <c r="E31" s="433">
        <v>54100</v>
      </c>
      <c r="F31" s="433">
        <v>97700</v>
      </c>
      <c r="G31" s="433">
        <v>31500</v>
      </c>
      <c r="H31" s="433">
        <v>55800</v>
      </c>
      <c r="I31" s="433">
        <v>77000</v>
      </c>
      <c r="J31" s="433">
        <v>102500</v>
      </c>
      <c r="K31" s="433">
        <v>178300</v>
      </c>
      <c r="L31" s="979">
        <v>3.6</v>
      </c>
      <c r="M31" s="979">
        <v>3.7</v>
      </c>
      <c r="N31" s="979">
        <v>3.6</v>
      </c>
      <c r="O31" s="979">
        <v>3.4</v>
      </c>
      <c r="P31" s="979">
        <v>3.2</v>
      </c>
      <c r="R31" s="300"/>
      <c r="S31" s="300"/>
    </row>
    <row r="32" spans="1:23">
      <c r="A32" s="120">
        <v>2007</v>
      </c>
      <c r="B32" s="433">
        <v>17000</v>
      </c>
      <c r="C32" s="433">
        <v>29300</v>
      </c>
      <c r="D32" s="433">
        <v>40900</v>
      </c>
      <c r="E32" s="433">
        <v>55500</v>
      </c>
      <c r="F32" s="433">
        <v>101200</v>
      </c>
      <c r="G32" s="433">
        <v>33600</v>
      </c>
      <c r="H32" s="433">
        <v>57400</v>
      </c>
      <c r="I32" s="433">
        <v>78700</v>
      </c>
      <c r="J32" s="433">
        <v>106100</v>
      </c>
      <c r="K32" s="433">
        <v>182500</v>
      </c>
      <c r="L32" s="979">
        <v>3.7</v>
      </c>
      <c r="M32" s="979">
        <v>3.6</v>
      </c>
      <c r="N32" s="979">
        <v>3.5</v>
      </c>
      <c r="O32" s="979">
        <v>3.5</v>
      </c>
      <c r="P32" s="979">
        <v>3.2</v>
      </c>
      <c r="R32" s="300"/>
      <c r="S32" s="300"/>
    </row>
    <row r="33" spans="1:19">
      <c r="A33" s="120"/>
      <c r="B33" s="740">
        <f>100*B32/B31</f>
        <v>104.93827160493827</v>
      </c>
      <c r="C33" s="740">
        <f t="shared" ref="C33:K33" si="0">100*C32/C31</f>
        <v>103.53356890459364</v>
      </c>
      <c r="D33" s="740">
        <f t="shared" si="0"/>
        <v>102.76381909547739</v>
      </c>
      <c r="E33" s="740">
        <f t="shared" si="0"/>
        <v>102.58780036968577</v>
      </c>
      <c r="F33" s="740">
        <f t="shared" si="0"/>
        <v>103.58239508700102</v>
      </c>
      <c r="G33" s="740">
        <f t="shared" si="0"/>
        <v>106.66666666666667</v>
      </c>
      <c r="H33" s="740">
        <f t="shared" si="0"/>
        <v>102.86738351254481</v>
      </c>
      <c r="I33" s="740">
        <f t="shared" si="0"/>
        <v>102.20779220779221</v>
      </c>
      <c r="J33" s="740">
        <f t="shared" si="0"/>
        <v>103.51219512195122</v>
      </c>
      <c r="K33" s="740">
        <f t="shared" si="0"/>
        <v>102.35558048233315</v>
      </c>
      <c r="L33" s="746"/>
      <c r="M33" s="746"/>
      <c r="N33" s="746"/>
      <c r="O33" s="746"/>
      <c r="P33" s="746"/>
      <c r="R33" s="300"/>
      <c r="S33" s="300"/>
    </row>
    <row r="34" spans="1:19" ht="13.9" customHeight="1">
      <c r="A34" s="738"/>
      <c r="B34" s="959"/>
      <c r="C34" s="959"/>
      <c r="D34" s="959" t="s">
        <v>802</v>
      </c>
      <c r="E34" s="959"/>
      <c r="F34" s="959"/>
      <c r="G34" s="114"/>
      <c r="H34" s="114"/>
      <c r="I34" s="114"/>
      <c r="J34" s="114"/>
      <c r="K34" s="114"/>
      <c r="L34" s="959"/>
      <c r="M34" s="959"/>
      <c r="N34" s="959"/>
      <c r="O34" s="959"/>
      <c r="P34" s="959"/>
      <c r="R34" s="300"/>
    </row>
    <row r="35" spans="1:19">
      <c r="A35" s="431" t="s">
        <v>603</v>
      </c>
      <c r="B35" s="959">
        <f>((((B14/B6))^(1/8))-1)*100</f>
        <v>1.6712888666822412</v>
      </c>
      <c r="C35" s="959">
        <f t="shared" ref="C35:P35" si="1">((((C14/C6))^(1/8))-1)*100</f>
        <v>1.1613585072673294</v>
      </c>
      <c r="D35" s="959">
        <f t="shared" si="1"/>
        <v>1.11242698073033</v>
      </c>
      <c r="E35" s="959">
        <f t="shared" si="1"/>
        <v>1.0362854007721856</v>
      </c>
      <c r="F35" s="959">
        <f t="shared" si="1"/>
        <v>1.5478391884782949</v>
      </c>
      <c r="G35" s="959">
        <f t="shared" si="1"/>
        <v>0.91126058730008896</v>
      </c>
      <c r="H35" s="959">
        <f t="shared" si="1"/>
        <v>0.47020018642276451</v>
      </c>
      <c r="I35" s="959">
        <f t="shared" si="1"/>
        <v>0.76176480102947419</v>
      </c>
      <c r="J35" s="959">
        <f t="shared" si="1"/>
        <v>0.66534254540642213</v>
      </c>
      <c r="K35" s="959">
        <f t="shared" si="1"/>
        <v>1.4052128283681631</v>
      </c>
      <c r="L35" s="959">
        <f t="shared" si="1"/>
        <v>-0.969786216660673</v>
      </c>
      <c r="M35" s="959">
        <f t="shared" si="1"/>
        <v>-0.94532725840241749</v>
      </c>
      <c r="N35" s="959">
        <f t="shared" si="1"/>
        <v>-0.32416702049201662</v>
      </c>
      <c r="O35" s="959">
        <f t="shared" si="1"/>
        <v>-0.34190135899326846</v>
      </c>
      <c r="P35" s="959">
        <f t="shared" si="1"/>
        <v>-0.38390691920945352</v>
      </c>
      <c r="R35" s="300"/>
      <c r="S35" s="121"/>
    </row>
    <row r="36" spans="1:19">
      <c r="A36" s="431" t="s">
        <v>604</v>
      </c>
      <c r="B36" s="959">
        <f>((((B25/B14))^(1/11))-1)*100</f>
        <v>-0.36302432773184234</v>
      </c>
      <c r="C36" s="959">
        <f t="shared" ref="C36:P36" si="2">((((C25/C14))^(1/11))-1)*100</f>
        <v>-0.23673969497525205</v>
      </c>
      <c r="D36" s="959">
        <f t="shared" si="2"/>
        <v>0.19676117592097864</v>
      </c>
      <c r="E36" s="959">
        <f t="shared" si="2"/>
        <v>0.42639801125634591</v>
      </c>
      <c r="F36" s="959">
        <f t="shared" si="2"/>
        <v>1.3793889499361445</v>
      </c>
      <c r="G36" s="959">
        <f t="shared" si="2"/>
        <v>-0.30772148820826795</v>
      </c>
      <c r="H36" s="959">
        <f t="shared" si="2"/>
        <v>-0.3926861305082241</v>
      </c>
      <c r="I36" s="959">
        <f t="shared" si="2"/>
        <v>-3.7429871538008364E-2</v>
      </c>
      <c r="J36" s="959">
        <f t="shared" si="2"/>
        <v>0.38397049491081248</v>
      </c>
      <c r="K36" s="959">
        <f t="shared" si="2"/>
        <v>1.5485033309457608</v>
      </c>
      <c r="L36" s="959">
        <f t="shared" si="2"/>
        <v>0</v>
      </c>
      <c r="M36" s="959">
        <f t="shared" si="2"/>
        <v>-0.49031420955741867</v>
      </c>
      <c r="N36" s="959">
        <f t="shared" si="2"/>
        <v>-0.49031420955741867</v>
      </c>
      <c r="O36" s="959">
        <f t="shared" si="2"/>
        <v>-0.2557712280951141</v>
      </c>
      <c r="P36" s="959">
        <f t="shared" si="2"/>
        <v>0.28013399554502882</v>
      </c>
    </row>
    <row r="37" spans="1:19">
      <c r="A37" s="431" t="s">
        <v>447</v>
      </c>
      <c r="B37" s="23">
        <f>((((B32/B6))^(1/26))-1)*100</f>
        <v>0.91942652254726198</v>
      </c>
      <c r="C37" s="23">
        <f t="shared" ref="C37:P37" si="3">((((C32/C6))^(1/26))-1)*100</f>
        <v>0.64338342575915863</v>
      </c>
      <c r="D37" s="23">
        <f t="shared" si="3"/>
        <v>0.77058702691135128</v>
      </c>
      <c r="E37" s="23">
        <f t="shared" si="3"/>
        <v>0.87945324851073092</v>
      </c>
      <c r="F37" s="23">
        <f t="shared" si="3"/>
        <v>1.4501611578853879</v>
      </c>
      <c r="G37" s="23">
        <f t="shared" si="3"/>
        <v>0.71755981907861699</v>
      </c>
      <c r="H37" s="23">
        <f t="shared" si="3"/>
        <v>0.3585178056514593</v>
      </c>
      <c r="I37" s="23">
        <f t="shared" si="3"/>
        <v>0.52403735988275635</v>
      </c>
      <c r="J37" s="23">
        <f t="shared" si="3"/>
        <v>0.7175990777682939</v>
      </c>
      <c r="K37" s="23">
        <f t="shared" si="3"/>
        <v>1.352394222301978</v>
      </c>
      <c r="L37" s="23">
        <f t="shared" si="3"/>
        <v>-0.29940297521675596</v>
      </c>
      <c r="M37" s="23">
        <f t="shared" si="3"/>
        <v>-0.49895540079308853</v>
      </c>
      <c r="N37" s="23">
        <f t="shared" si="3"/>
        <v>-0.41534115759334078</v>
      </c>
      <c r="O37" s="23">
        <f t="shared" si="3"/>
        <v>-0.21350195639939784</v>
      </c>
      <c r="P37" s="23">
        <f t="shared" si="3"/>
        <v>-0.11828252434479269</v>
      </c>
    </row>
    <row r="38" spans="1:19">
      <c r="A38" s="431" t="s">
        <v>449</v>
      </c>
      <c r="B38" s="959">
        <f>((((B32/B25))^(1/7))-1)*100</f>
        <v>2.0983675214752306</v>
      </c>
      <c r="C38" s="959">
        <f t="shared" ref="C38:P38" si="4">((((C32/C25))^(1/7))-1)*100</f>
        <v>1.4452409623395335</v>
      </c>
      <c r="D38" s="959">
        <f t="shared" si="4"/>
        <v>1.2861920400841331</v>
      </c>
      <c r="E38" s="959">
        <f t="shared" si="4"/>
        <v>1.41532135694451</v>
      </c>
      <c r="F38" s="959">
        <f t="shared" si="4"/>
        <v>1.4498351088948036</v>
      </c>
      <c r="G38" s="959">
        <f t="shared" si="4"/>
        <v>2.1255641201897157</v>
      </c>
      <c r="H38" s="959">
        <f t="shared" si="4"/>
        <v>1.4214447250433304</v>
      </c>
      <c r="I38" s="959">
        <f t="shared" si="4"/>
        <v>1.1393238558968788</v>
      </c>
      <c r="J38" s="959">
        <f t="shared" si="4"/>
        <v>1.3041816035266551</v>
      </c>
      <c r="K38" s="959">
        <f t="shared" si="4"/>
        <v>0.9848402104285725</v>
      </c>
      <c r="L38" s="959">
        <f t="shared" si="4"/>
        <v>0</v>
      </c>
      <c r="M38" s="959">
        <f t="shared" si="4"/>
        <v>0</v>
      </c>
      <c r="N38" s="959">
        <f t="shared" si="4"/>
        <v>-0.40163239055411859</v>
      </c>
      <c r="O38" s="959">
        <f t="shared" si="4"/>
        <v>0</v>
      </c>
      <c r="P38" s="959">
        <f t="shared" si="4"/>
        <v>-0.43863031870950975</v>
      </c>
    </row>
    <row r="39" spans="1:19">
      <c r="A39" s="431"/>
      <c r="B39" s="114"/>
      <c r="C39" s="114"/>
      <c r="D39" s="959" t="s">
        <v>276</v>
      </c>
      <c r="E39" s="114"/>
      <c r="F39" s="114"/>
      <c r="G39" s="114"/>
      <c r="H39" s="114"/>
      <c r="I39" s="114"/>
      <c r="J39" s="114"/>
      <c r="K39" s="114"/>
      <c r="L39" s="114"/>
      <c r="M39" s="114"/>
      <c r="N39" s="114"/>
      <c r="O39" s="114"/>
      <c r="P39" s="114"/>
    </row>
    <row r="40" spans="1:19">
      <c r="A40" s="431" t="s">
        <v>447</v>
      </c>
      <c r="B40" s="10">
        <f>(B32/B6-1)*100</f>
        <v>26.865671641791057</v>
      </c>
      <c r="C40" s="10">
        <f t="shared" ref="C40:P40" si="5">(C32/C6-1)*100</f>
        <v>18.145161290322577</v>
      </c>
      <c r="D40" s="10">
        <f t="shared" si="5"/>
        <v>22.089552238805975</v>
      </c>
      <c r="E40" s="10">
        <f t="shared" si="5"/>
        <v>25.565610859728505</v>
      </c>
      <c r="F40" s="10">
        <f t="shared" si="5"/>
        <v>45.402298850574716</v>
      </c>
      <c r="G40" s="10">
        <f t="shared" si="5"/>
        <v>20.430107526881724</v>
      </c>
      <c r="H40" s="10">
        <f t="shared" si="5"/>
        <v>9.7514340344168282</v>
      </c>
      <c r="I40" s="10">
        <f t="shared" si="5"/>
        <v>14.556040756914124</v>
      </c>
      <c r="J40" s="10">
        <f t="shared" si="5"/>
        <v>20.43132803632237</v>
      </c>
      <c r="K40" s="10">
        <f t="shared" si="5"/>
        <v>41.802641802641794</v>
      </c>
      <c r="L40" s="10">
        <f t="shared" si="5"/>
        <v>-7.4999999999999956</v>
      </c>
      <c r="M40" s="10">
        <f t="shared" si="5"/>
        <v>-12.195121951219502</v>
      </c>
      <c r="N40" s="10">
        <f t="shared" si="5"/>
        <v>-10.256410256410254</v>
      </c>
      <c r="O40" s="10">
        <f t="shared" si="5"/>
        <v>-5.4054054054054053</v>
      </c>
      <c r="P40" s="10">
        <f t="shared" si="5"/>
        <v>-3.0303030303030165</v>
      </c>
    </row>
    <row r="41" spans="1:19">
      <c r="A41" s="4"/>
      <c r="B41" s="121"/>
      <c r="C41" s="121"/>
      <c r="D41" s="121"/>
      <c r="E41" s="121"/>
      <c r="F41" s="121"/>
      <c r="G41" s="121"/>
      <c r="H41" s="6"/>
    </row>
    <row r="42" spans="1:19">
      <c r="A42" s="4"/>
      <c r="B42" s="27"/>
      <c r="C42" s="27"/>
      <c r="D42" s="27"/>
      <c r="E42" s="27"/>
      <c r="F42" s="27"/>
      <c r="G42" s="114"/>
      <c r="H42" s="27"/>
    </row>
    <row r="43" spans="1:19" ht="27.75" customHeight="1">
      <c r="A43" s="1170" t="s">
        <v>804</v>
      </c>
      <c r="B43" s="1170"/>
      <c r="C43" s="1170"/>
      <c r="D43" s="1170"/>
      <c r="E43" s="1170"/>
      <c r="F43" s="1170"/>
      <c r="G43" s="1170"/>
      <c r="H43" s="1170"/>
      <c r="I43" s="1170"/>
      <c r="J43" s="1170"/>
      <c r="K43" s="1170"/>
      <c r="L43" s="1176"/>
      <c r="M43" s="1176"/>
      <c r="N43" s="1176"/>
      <c r="O43" s="1176"/>
      <c r="P43" s="1176"/>
    </row>
    <row r="44" spans="1:19" ht="13.5" customHeight="1">
      <c r="A44" s="13" t="s">
        <v>388</v>
      </c>
      <c r="B44" s="643"/>
      <c r="C44" s="643"/>
      <c r="D44" s="643"/>
      <c r="E44" s="643"/>
      <c r="F44" s="643"/>
      <c r="G44" s="643"/>
      <c r="H44" s="643"/>
      <c r="I44" s="643"/>
      <c r="J44" s="643"/>
      <c r="K44" s="643"/>
      <c r="L44" s="647"/>
      <c r="M44" s="647"/>
      <c r="N44" s="647"/>
      <c r="O44" s="647"/>
      <c r="P44" s="647"/>
    </row>
    <row r="45" spans="1:19">
      <c r="A45" s="4" t="s">
        <v>1917</v>
      </c>
    </row>
    <row r="46" spans="1:19" ht="36.75" customHeight="1">
      <c r="A46" s="1168" t="s">
        <v>233</v>
      </c>
      <c r="B46" s="1169"/>
      <c r="C46" s="1169"/>
      <c r="D46" s="1169"/>
      <c r="E46" s="1169"/>
      <c r="F46" s="1169"/>
      <c r="G46" s="1169"/>
      <c r="H46" s="1169"/>
      <c r="I46" s="1169"/>
      <c r="J46" s="1169"/>
      <c r="K46" s="1169"/>
      <c r="L46" s="1169"/>
    </row>
    <row r="47" spans="1:19" ht="15.75" customHeight="1">
      <c r="A47" s="1" t="s">
        <v>539</v>
      </c>
      <c r="B47" s="4"/>
    </row>
    <row r="48" spans="1:19" ht="44.45" customHeight="1">
      <c r="A48" s="1168" t="s">
        <v>789</v>
      </c>
      <c r="B48" s="1169"/>
      <c r="C48" s="1169"/>
      <c r="D48" s="1169"/>
      <c r="E48" s="1169"/>
      <c r="F48" s="1169"/>
      <c r="G48" s="1169"/>
      <c r="H48" s="1169"/>
      <c r="I48" s="1169"/>
      <c r="J48" s="1169"/>
      <c r="K48" s="1169"/>
      <c r="L48" s="1176"/>
      <c r="M48" s="1176"/>
      <c r="N48" s="1176"/>
      <c r="O48" s="1176"/>
      <c r="P48" s="1176"/>
    </row>
    <row r="49" spans="1:13" ht="15.75" customHeight="1">
      <c r="A49" s="1"/>
      <c r="B49" s="4"/>
      <c r="L49" s="4"/>
      <c r="M49" s="4"/>
    </row>
    <row r="50" spans="1:13">
      <c r="A50" s="4"/>
      <c r="B50" s="4"/>
      <c r="L50" s="4"/>
      <c r="M50" s="4"/>
    </row>
    <row r="51" spans="1:13">
      <c r="A51" s="4"/>
      <c r="B51" s="4"/>
      <c r="C51" s="4"/>
      <c r="D51" s="4"/>
      <c r="E51" s="4"/>
      <c r="F51" s="4"/>
      <c r="G51" s="4"/>
      <c r="H51" s="4"/>
      <c r="I51" s="4"/>
      <c r="J51" s="4"/>
      <c r="K51" s="4"/>
      <c r="L51" s="4"/>
      <c r="M51" s="4"/>
    </row>
    <row r="52" spans="1:13">
      <c r="A52" s="4"/>
      <c r="B52" s="4"/>
      <c r="C52" s="4"/>
      <c r="D52" s="4"/>
      <c r="E52" s="4"/>
      <c r="F52" s="4"/>
      <c r="G52" s="4"/>
      <c r="H52" s="4"/>
      <c r="I52" s="4"/>
      <c r="J52" s="4"/>
      <c r="K52" s="4"/>
      <c r="L52" s="4"/>
      <c r="M52" s="4"/>
    </row>
    <row r="53" spans="1:13" ht="15.75">
      <c r="A53" s="4"/>
      <c r="B53" s="28"/>
      <c r="C53" s="4"/>
      <c r="D53" s="4"/>
      <c r="E53" s="4"/>
      <c r="F53" s="4"/>
      <c r="G53" s="4"/>
      <c r="H53" s="4"/>
      <c r="I53" s="4"/>
      <c r="J53" s="4"/>
      <c r="K53" s="4"/>
      <c r="L53" s="4"/>
      <c r="M53" s="4"/>
    </row>
    <row r="54" spans="1:13">
      <c r="A54" s="37"/>
      <c r="B54" s="4"/>
      <c r="C54" s="37"/>
      <c r="D54" s="37"/>
      <c r="E54" s="37"/>
      <c r="F54" s="37"/>
      <c r="G54" s="37"/>
      <c r="H54" s="37"/>
      <c r="I54" s="29"/>
      <c r="J54" s="37"/>
      <c r="K54" s="37"/>
      <c r="L54" s="4"/>
      <c r="M54" s="4"/>
    </row>
    <row r="55" spans="1:13">
      <c r="A55" s="30"/>
      <c r="B55" s="1164"/>
      <c r="C55" s="1164"/>
      <c r="D55" s="1164"/>
      <c r="E55" s="1164"/>
      <c r="F55" s="1164"/>
      <c r="G55" s="1164"/>
      <c r="H55" s="1164"/>
      <c r="I55" s="1164"/>
      <c r="J55" s="1164"/>
      <c r="K55" s="1164"/>
      <c r="L55" s="4"/>
      <c r="M55" s="4"/>
    </row>
    <row r="56" spans="1:13">
      <c r="A56" s="38"/>
      <c r="B56" s="1164"/>
      <c r="C56" s="1164"/>
      <c r="D56" s="1164"/>
      <c r="E56" s="1164"/>
      <c r="F56" s="1164"/>
      <c r="G56" s="1164"/>
      <c r="H56" s="1164"/>
      <c r="I56" s="1164"/>
      <c r="J56" s="1164"/>
      <c r="K56" s="1164"/>
      <c r="L56" s="4"/>
      <c r="M56" s="4"/>
    </row>
    <row r="57" spans="1:13">
      <c r="A57" s="30"/>
      <c r="B57" s="31"/>
      <c r="C57" s="31"/>
      <c r="D57" s="31"/>
      <c r="E57" s="31"/>
      <c r="F57" s="31"/>
      <c r="G57" s="31"/>
      <c r="H57" s="31"/>
      <c r="I57" s="31"/>
      <c r="J57" s="31"/>
      <c r="K57" s="31"/>
      <c r="L57" s="4"/>
      <c r="M57" s="4"/>
    </row>
    <row r="58" spans="1:13">
      <c r="A58" s="30"/>
      <c r="B58" s="31"/>
      <c r="C58" s="31"/>
      <c r="D58" s="31"/>
      <c r="E58" s="31"/>
      <c r="F58" s="31"/>
      <c r="G58" s="31"/>
      <c r="H58" s="31"/>
      <c r="I58" s="31"/>
      <c r="J58" s="31"/>
      <c r="K58" s="31"/>
      <c r="L58" s="4"/>
      <c r="M58" s="4"/>
    </row>
    <row r="59" spans="1:13">
      <c r="A59" s="30"/>
      <c r="B59" s="31"/>
      <c r="C59" s="31"/>
      <c r="D59" s="31"/>
      <c r="E59" s="31"/>
      <c r="F59" s="31"/>
      <c r="G59" s="31"/>
      <c r="H59" s="31"/>
      <c r="I59" s="31"/>
      <c r="J59" s="31"/>
      <c r="K59" s="31"/>
      <c r="L59" s="4"/>
      <c r="M59" s="4"/>
    </row>
    <row r="60" spans="1:13">
      <c r="A60" s="30"/>
      <c r="B60" s="31"/>
      <c r="C60" s="31"/>
      <c r="D60" s="31"/>
      <c r="E60" s="31"/>
      <c r="F60" s="31"/>
      <c r="G60" s="31"/>
      <c r="H60" s="31"/>
      <c r="I60" s="31"/>
      <c r="J60" s="31"/>
      <c r="K60" s="31"/>
      <c r="L60" s="4"/>
      <c r="M60" s="4"/>
    </row>
    <row r="61" spans="1:13">
      <c r="A61" s="30"/>
      <c r="B61" s="31"/>
      <c r="C61" s="31"/>
      <c r="D61" s="31"/>
      <c r="E61" s="31"/>
      <c r="F61" s="31"/>
      <c r="G61" s="31"/>
      <c r="H61" s="31"/>
      <c r="I61" s="31"/>
      <c r="J61" s="31"/>
      <c r="K61" s="31"/>
      <c r="L61" s="4"/>
      <c r="M61" s="4"/>
    </row>
    <row r="62" spans="1:13">
      <c r="A62" s="30"/>
      <c r="B62" s="31"/>
      <c r="C62" s="31"/>
      <c r="D62" s="31"/>
      <c r="E62" s="31"/>
      <c r="F62" s="31"/>
      <c r="G62" s="31"/>
      <c r="H62" s="31"/>
      <c r="I62" s="31"/>
      <c r="J62" s="31"/>
      <c r="K62" s="31"/>
      <c r="L62" s="4"/>
      <c r="M62" s="4"/>
    </row>
    <row r="63" spans="1:13">
      <c r="A63" s="30"/>
      <c r="B63" s="31"/>
      <c r="C63" s="31"/>
      <c r="D63" s="31"/>
      <c r="E63" s="31"/>
      <c r="F63" s="31"/>
      <c r="G63" s="31"/>
      <c r="H63" s="31"/>
      <c r="I63" s="31"/>
      <c r="J63" s="31"/>
      <c r="K63" s="31"/>
      <c r="L63" s="4"/>
      <c r="M63" s="4"/>
    </row>
    <row r="64" spans="1:13">
      <c r="A64" s="30"/>
      <c r="B64" s="31"/>
      <c r="C64" s="31"/>
      <c r="D64" s="31"/>
      <c r="E64" s="31"/>
      <c r="F64" s="31"/>
      <c r="G64" s="31"/>
      <c r="H64" s="31"/>
      <c r="I64" s="31"/>
      <c r="J64" s="31"/>
      <c r="K64" s="31"/>
      <c r="L64" s="4"/>
      <c r="M64" s="4"/>
    </row>
    <row r="65" spans="1:13">
      <c r="A65" s="30"/>
      <c r="B65" s="31"/>
      <c r="C65" s="31"/>
      <c r="D65" s="31"/>
      <c r="E65" s="31"/>
      <c r="F65" s="31"/>
      <c r="G65" s="31"/>
      <c r="H65" s="31"/>
      <c r="I65" s="31"/>
      <c r="J65" s="31"/>
      <c r="K65" s="31"/>
      <c r="L65" s="4"/>
      <c r="M65" s="4"/>
    </row>
    <row r="66" spans="1:13">
      <c r="A66" s="30"/>
      <c r="B66" s="31"/>
      <c r="C66" s="31"/>
      <c r="D66" s="31"/>
      <c r="E66" s="31"/>
      <c r="F66" s="31"/>
      <c r="G66" s="31"/>
      <c r="H66" s="31"/>
      <c r="I66" s="31"/>
      <c r="J66" s="31"/>
      <c r="K66" s="31"/>
      <c r="L66" s="4"/>
      <c r="M66" s="4"/>
    </row>
    <row r="67" spans="1:13">
      <c r="A67" s="30"/>
      <c r="B67" s="31"/>
      <c r="C67" s="31"/>
      <c r="D67" s="31"/>
      <c r="E67" s="31"/>
      <c r="F67" s="31"/>
      <c r="G67" s="31"/>
      <c r="H67" s="31"/>
      <c r="I67" s="31"/>
      <c r="J67" s="31"/>
      <c r="K67" s="31"/>
      <c r="L67" s="4"/>
      <c r="M67" s="4"/>
    </row>
    <row r="68" spans="1:13">
      <c r="A68" s="30"/>
      <c r="B68" s="31"/>
      <c r="C68" s="31"/>
      <c r="D68" s="31"/>
      <c r="E68" s="31"/>
      <c r="F68" s="31"/>
      <c r="G68" s="31"/>
      <c r="H68" s="31"/>
      <c r="I68" s="31"/>
      <c r="J68" s="31"/>
      <c r="K68" s="31"/>
      <c r="L68" s="4"/>
      <c r="M68" s="4"/>
    </row>
    <row r="69" spans="1:13">
      <c r="A69" s="30"/>
      <c r="B69" s="31"/>
      <c r="C69" s="31"/>
      <c r="D69" s="31"/>
      <c r="E69" s="31"/>
      <c r="F69" s="31"/>
      <c r="G69" s="31"/>
      <c r="H69" s="31"/>
      <c r="I69" s="31"/>
      <c r="J69" s="31"/>
      <c r="K69" s="31"/>
      <c r="L69" s="4"/>
      <c r="M69" s="4"/>
    </row>
    <row r="70" spans="1:13">
      <c r="A70" s="30"/>
      <c r="B70" s="31"/>
      <c r="C70" s="31"/>
      <c r="D70" s="31"/>
      <c r="E70" s="31"/>
      <c r="F70" s="31"/>
      <c r="G70" s="31"/>
      <c r="H70" s="31"/>
      <c r="I70" s="31"/>
      <c r="J70" s="31"/>
      <c r="K70" s="31"/>
      <c r="L70" s="4"/>
      <c r="M70" s="4"/>
    </row>
    <row r="71" spans="1:13">
      <c r="A71" s="30"/>
      <c r="B71" s="31"/>
      <c r="C71" s="31"/>
      <c r="D71" s="31"/>
      <c r="E71" s="31"/>
      <c r="F71" s="31"/>
      <c r="G71" s="31"/>
      <c r="H71" s="31"/>
      <c r="I71" s="31"/>
      <c r="J71" s="31"/>
      <c r="K71" s="31"/>
      <c r="L71" s="4"/>
      <c r="M71" s="4"/>
    </row>
    <row r="72" spans="1:13">
      <c r="A72" s="30"/>
      <c r="B72" s="31"/>
      <c r="C72" s="31"/>
      <c r="D72" s="31"/>
      <c r="E72" s="31"/>
      <c r="F72" s="31"/>
      <c r="G72" s="31"/>
      <c r="H72" s="31"/>
      <c r="I72" s="31"/>
      <c r="J72" s="31"/>
      <c r="K72" s="31"/>
      <c r="L72" s="4"/>
      <c r="M72" s="4"/>
    </row>
    <row r="73" spans="1:13">
      <c r="A73" s="30"/>
      <c r="B73" s="31"/>
      <c r="C73" s="31"/>
      <c r="D73" s="31"/>
      <c r="E73" s="31"/>
      <c r="F73" s="31"/>
      <c r="G73" s="31"/>
      <c r="H73" s="31"/>
      <c r="I73" s="31"/>
      <c r="J73" s="31"/>
      <c r="K73" s="31"/>
      <c r="L73" s="4"/>
      <c r="M73" s="4"/>
    </row>
    <row r="74" spans="1:13">
      <c r="A74" s="30"/>
      <c r="B74" s="31"/>
      <c r="C74" s="31"/>
      <c r="D74" s="31"/>
      <c r="E74" s="31"/>
      <c r="F74" s="31"/>
      <c r="G74" s="31"/>
      <c r="H74" s="31"/>
      <c r="I74" s="31"/>
      <c r="J74" s="31"/>
      <c r="K74" s="31"/>
      <c r="L74" s="4"/>
      <c r="M74" s="4"/>
    </row>
    <row r="75" spans="1:13">
      <c r="A75" s="30"/>
      <c r="B75" s="31"/>
      <c r="C75" s="31"/>
      <c r="D75" s="31"/>
      <c r="E75" s="31"/>
      <c r="F75" s="31"/>
      <c r="G75" s="31"/>
      <c r="H75" s="31"/>
      <c r="I75" s="31"/>
      <c r="J75" s="31"/>
      <c r="K75" s="31"/>
      <c r="L75" s="4"/>
      <c r="M75" s="4"/>
    </row>
    <row r="76" spans="1:13">
      <c r="A76" s="30"/>
      <c r="B76" s="31"/>
      <c r="C76" s="31"/>
      <c r="D76" s="31"/>
      <c r="E76" s="31"/>
      <c r="F76" s="31"/>
      <c r="G76" s="31"/>
      <c r="H76" s="31"/>
      <c r="I76" s="31"/>
      <c r="J76" s="31"/>
      <c r="K76" s="31"/>
      <c r="L76" s="4"/>
      <c r="M76" s="4"/>
    </row>
    <row r="77" spans="1:13">
      <c r="A77" s="30"/>
      <c r="B77" s="31"/>
      <c r="C77" s="31"/>
      <c r="D77" s="31"/>
      <c r="E77" s="31"/>
      <c r="F77" s="31"/>
      <c r="G77" s="31"/>
      <c r="H77" s="31"/>
      <c r="I77" s="31"/>
      <c r="J77" s="31"/>
      <c r="K77" s="31"/>
      <c r="L77" s="4"/>
      <c r="M77" s="4"/>
    </row>
    <row r="78" spans="1:13">
      <c r="A78" s="30"/>
      <c r="B78" s="31"/>
      <c r="C78" s="31"/>
      <c r="D78" s="31"/>
      <c r="E78" s="31"/>
      <c r="F78" s="31"/>
      <c r="G78" s="31"/>
      <c r="H78" s="31"/>
      <c r="I78" s="31"/>
      <c r="J78" s="31"/>
      <c r="K78" s="31"/>
      <c r="L78" s="4"/>
      <c r="M78" s="4"/>
    </row>
    <row r="79" spans="1:13">
      <c r="A79" s="30"/>
      <c r="B79" s="32"/>
      <c r="C79" s="32"/>
      <c r="D79" s="32"/>
      <c r="E79" s="32"/>
      <c r="F79" s="32"/>
      <c r="G79" s="32"/>
      <c r="H79" s="32"/>
      <c r="I79" s="32"/>
      <c r="J79" s="32"/>
      <c r="K79" s="32"/>
      <c r="L79" s="4"/>
      <c r="M79" s="4"/>
    </row>
    <row r="80" spans="1:13">
      <c r="A80" s="30"/>
      <c r="B80" s="31"/>
      <c r="C80" s="31"/>
      <c r="D80" s="31"/>
      <c r="E80" s="31"/>
      <c r="F80" s="31"/>
      <c r="G80" s="31"/>
      <c r="H80" s="31"/>
      <c r="I80" s="31"/>
      <c r="J80" s="31"/>
      <c r="K80" s="31"/>
      <c r="L80" s="4"/>
      <c r="M80" s="4"/>
    </row>
    <row r="81" spans="1:13">
      <c r="A81" s="5"/>
      <c r="B81" s="33"/>
      <c r="C81" s="33"/>
      <c r="D81" s="33"/>
      <c r="E81" s="33"/>
      <c r="F81" s="33"/>
      <c r="G81" s="33"/>
      <c r="H81" s="33"/>
      <c r="I81" s="33"/>
      <c r="J81" s="33"/>
      <c r="K81" s="33"/>
      <c r="L81" s="4"/>
      <c r="M81" s="4"/>
    </row>
    <row r="82" spans="1:13">
      <c r="A82" s="5"/>
      <c r="B82" s="33"/>
      <c r="C82" s="33"/>
      <c r="D82" s="33"/>
      <c r="E82" s="33"/>
      <c r="F82" s="33"/>
      <c r="G82" s="33"/>
      <c r="H82" s="33"/>
      <c r="I82" s="33"/>
      <c r="J82" s="33"/>
      <c r="K82" s="33"/>
      <c r="L82" s="4"/>
      <c r="M82" s="4"/>
    </row>
    <row r="83" spans="1:13">
      <c r="A83" s="4"/>
      <c r="B83" s="4"/>
      <c r="C83" s="30"/>
      <c r="D83" s="30"/>
      <c r="E83" s="30"/>
      <c r="F83" s="30"/>
      <c r="G83" s="30"/>
      <c r="H83" s="30"/>
      <c r="I83" s="30"/>
      <c r="J83" s="30"/>
      <c r="K83" s="30"/>
      <c r="L83" s="4"/>
      <c r="M83" s="4"/>
    </row>
    <row r="84" spans="1:13">
      <c r="A84" s="4"/>
      <c r="B84" s="4"/>
      <c r="C84" s="30"/>
      <c r="D84" s="30"/>
      <c r="E84" s="30"/>
      <c r="F84" s="30"/>
      <c r="G84" s="30"/>
      <c r="H84" s="30"/>
      <c r="I84" s="30"/>
      <c r="J84" s="30"/>
      <c r="K84" s="30"/>
      <c r="L84" s="4"/>
      <c r="M84" s="4"/>
    </row>
    <row r="85" spans="1:13">
      <c r="A85" s="34"/>
      <c r="B85" s="4"/>
      <c r="C85" s="30"/>
      <c r="D85" s="30"/>
      <c r="E85" s="30"/>
      <c r="F85" s="30"/>
      <c r="G85" s="30"/>
      <c r="H85" s="30"/>
      <c r="I85" s="30"/>
      <c r="J85" s="30"/>
      <c r="K85" s="30"/>
      <c r="L85" s="4"/>
      <c r="M85" s="4"/>
    </row>
    <row r="86" spans="1:13">
      <c r="A86" s="34"/>
      <c r="B86" s="4"/>
      <c r="C86" s="30"/>
      <c r="D86" s="30"/>
      <c r="E86" s="30"/>
      <c r="F86" s="30"/>
      <c r="G86" s="30"/>
      <c r="H86" s="30"/>
      <c r="I86" s="30"/>
      <c r="J86" s="30"/>
      <c r="K86" s="30"/>
      <c r="L86" s="4"/>
      <c r="M86" s="4"/>
    </row>
    <row r="87" spans="1:13">
      <c r="A87" s="30"/>
      <c r="B87" s="4"/>
      <c r="C87" s="30"/>
      <c r="D87" s="30"/>
      <c r="E87" s="30"/>
      <c r="F87" s="30"/>
      <c r="G87" s="30"/>
      <c r="H87" s="30"/>
      <c r="I87" s="30"/>
      <c r="J87" s="30"/>
      <c r="K87" s="30"/>
      <c r="L87" s="4"/>
      <c r="M87" s="4"/>
    </row>
    <row r="88" spans="1:13">
      <c r="A88" s="30"/>
      <c r="B88" s="4"/>
      <c r="C88" s="31"/>
      <c r="D88" s="30"/>
      <c r="E88" s="30"/>
      <c r="F88" s="30"/>
      <c r="G88" s="30"/>
      <c r="H88" s="30"/>
      <c r="I88" s="30"/>
      <c r="J88" s="30"/>
      <c r="K88" s="30"/>
      <c r="L88" s="4"/>
      <c r="M88" s="4"/>
    </row>
    <row r="89" spans="1:13">
      <c r="A89" s="30"/>
      <c r="B89" s="4"/>
      <c r="C89" s="4"/>
      <c r="D89" s="4"/>
      <c r="E89" s="4"/>
      <c r="F89" s="4"/>
      <c r="G89" s="4"/>
      <c r="H89" s="4"/>
      <c r="I89" s="4"/>
      <c r="J89" s="4"/>
      <c r="K89" s="4"/>
      <c r="L89" s="4"/>
      <c r="M89" s="4"/>
    </row>
    <row r="90" spans="1:13">
      <c r="A90" s="30"/>
      <c r="B90" s="4"/>
      <c r="C90" s="4"/>
      <c r="D90" s="4"/>
      <c r="E90" s="4"/>
      <c r="F90" s="4"/>
      <c r="G90" s="4"/>
      <c r="H90" s="4"/>
      <c r="I90" s="4"/>
      <c r="J90" s="4"/>
      <c r="K90" s="4"/>
      <c r="L90" s="4"/>
      <c r="M90" s="4"/>
    </row>
    <row r="91" spans="1:13">
      <c r="A91" s="35"/>
      <c r="B91" s="4"/>
      <c r="C91" s="4"/>
      <c r="D91" s="4"/>
      <c r="E91" s="4"/>
      <c r="F91" s="4"/>
      <c r="G91" s="4"/>
      <c r="H91" s="4"/>
      <c r="I91" s="4"/>
      <c r="J91" s="4"/>
      <c r="K91" s="4"/>
      <c r="L91" s="4"/>
      <c r="M91" s="4"/>
    </row>
    <row r="92" spans="1:13">
      <c r="A92" s="35"/>
      <c r="B92" s="4"/>
      <c r="C92" s="4"/>
      <c r="D92" s="4"/>
      <c r="E92" s="4"/>
      <c r="F92" s="4"/>
      <c r="G92" s="4"/>
      <c r="H92" s="4"/>
      <c r="I92" s="4"/>
      <c r="J92" s="4"/>
      <c r="K92" s="4"/>
      <c r="L92" s="4"/>
      <c r="M92" s="4"/>
    </row>
    <row r="93" spans="1:13">
      <c r="A93" s="4"/>
      <c r="B93" s="4"/>
      <c r="C93" s="4"/>
      <c r="D93" s="4"/>
      <c r="E93" s="4"/>
      <c r="F93" s="4"/>
      <c r="G93" s="4"/>
      <c r="H93" s="4"/>
      <c r="I93" s="4"/>
      <c r="J93" s="4"/>
      <c r="K93" s="4"/>
      <c r="L93" s="4"/>
      <c r="M93" s="4"/>
    </row>
    <row r="94" spans="1:13">
      <c r="A94" s="4"/>
      <c r="B94" s="4"/>
      <c r="C94" s="4"/>
      <c r="D94" s="4"/>
      <c r="E94" s="4"/>
      <c r="F94" s="4"/>
      <c r="G94" s="4"/>
      <c r="H94" s="4"/>
      <c r="I94" s="4"/>
      <c r="J94" s="4"/>
      <c r="K94" s="4"/>
      <c r="L94" s="4"/>
      <c r="M94" s="4"/>
    </row>
    <row r="95" spans="1:13">
      <c r="A95" s="4"/>
      <c r="B95" s="4"/>
      <c r="C95" s="4"/>
      <c r="D95" s="4"/>
      <c r="E95" s="4"/>
      <c r="F95" s="4"/>
      <c r="G95" s="4"/>
      <c r="H95" s="4"/>
      <c r="I95" s="4"/>
      <c r="J95" s="4"/>
      <c r="K95" s="4"/>
      <c r="L95" s="4"/>
      <c r="M95" s="4"/>
    </row>
    <row r="96" spans="1:13">
      <c r="A96" s="4"/>
      <c r="B96" s="4"/>
      <c r="C96" s="4"/>
      <c r="D96" s="4"/>
      <c r="E96" s="4"/>
      <c r="F96" s="4"/>
      <c r="G96" s="4"/>
      <c r="H96" s="4"/>
      <c r="I96" s="4"/>
      <c r="J96" s="4"/>
      <c r="K96" s="4"/>
      <c r="L96" s="4"/>
      <c r="M96" s="4"/>
    </row>
    <row r="97" spans="1:13">
      <c r="A97" s="4"/>
      <c r="B97" s="4"/>
      <c r="C97" s="4"/>
      <c r="D97" s="4"/>
      <c r="E97" s="4"/>
      <c r="F97" s="4"/>
      <c r="G97" s="4"/>
      <c r="H97" s="4"/>
      <c r="I97" s="4"/>
      <c r="J97" s="4"/>
      <c r="K97" s="4"/>
      <c r="L97" s="4"/>
      <c r="M97" s="4"/>
    </row>
    <row r="98" spans="1:13">
      <c r="A98" s="4"/>
      <c r="B98" s="4"/>
      <c r="C98" s="4"/>
      <c r="D98" s="4"/>
      <c r="E98" s="4"/>
      <c r="F98" s="4"/>
      <c r="G98" s="4"/>
      <c r="H98" s="4"/>
      <c r="I98" s="4"/>
      <c r="J98" s="4"/>
      <c r="K98" s="4"/>
      <c r="L98" s="4"/>
      <c r="M98" s="4"/>
    </row>
    <row r="99" spans="1:13">
      <c r="A99" s="4"/>
      <c r="B99" s="4"/>
      <c r="C99" s="4"/>
      <c r="D99" s="4"/>
      <c r="E99" s="4"/>
      <c r="F99" s="4"/>
      <c r="G99" s="4"/>
      <c r="H99" s="4"/>
      <c r="I99" s="4"/>
      <c r="J99" s="4"/>
      <c r="K99" s="4"/>
      <c r="L99" s="4"/>
      <c r="M99" s="4"/>
    </row>
    <row r="100" spans="1:13">
      <c r="A100" s="4"/>
      <c r="B100" s="4"/>
      <c r="C100" s="4"/>
      <c r="D100" s="4"/>
      <c r="E100" s="4"/>
      <c r="F100" s="4"/>
      <c r="G100" s="4"/>
      <c r="H100" s="4"/>
      <c r="I100" s="4"/>
      <c r="J100" s="4"/>
      <c r="K100" s="4"/>
      <c r="L100" s="4"/>
      <c r="M100" s="4"/>
    </row>
    <row r="101" spans="1:13">
      <c r="A101" s="4"/>
      <c r="B101" s="4"/>
      <c r="C101" s="4"/>
      <c r="D101" s="4"/>
      <c r="E101" s="4"/>
      <c r="F101" s="4"/>
      <c r="G101" s="4"/>
      <c r="H101" s="4"/>
      <c r="I101" s="4"/>
      <c r="J101" s="4"/>
      <c r="K101" s="4"/>
      <c r="L101" s="4"/>
      <c r="M101" s="4"/>
    </row>
    <row r="102" spans="1:13">
      <c r="A102" s="4"/>
      <c r="B102" s="4"/>
      <c r="C102" s="4"/>
      <c r="D102" s="4"/>
      <c r="E102" s="4"/>
      <c r="F102" s="4"/>
      <c r="G102" s="4"/>
      <c r="H102" s="4"/>
      <c r="I102" s="4"/>
      <c r="J102" s="4"/>
      <c r="K102" s="4"/>
      <c r="L102" s="4"/>
      <c r="M102" s="4"/>
    </row>
    <row r="103" spans="1:13">
      <c r="A103" s="4"/>
      <c r="B103" s="4"/>
      <c r="C103" s="4"/>
      <c r="D103" s="4"/>
      <c r="E103" s="4"/>
      <c r="F103" s="4"/>
      <c r="G103" s="4"/>
      <c r="H103" s="4"/>
      <c r="I103" s="4"/>
      <c r="J103" s="4"/>
      <c r="K103" s="4"/>
    </row>
    <row r="104" spans="1:13">
      <c r="A104" s="4"/>
      <c r="B104" s="4"/>
      <c r="C104" s="4"/>
      <c r="D104" s="4"/>
      <c r="E104" s="4"/>
      <c r="F104" s="4"/>
      <c r="G104" s="4"/>
      <c r="H104" s="4"/>
      <c r="I104" s="4"/>
      <c r="J104" s="4"/>
      <c r="K104" s="4"/>
    </row>
  </sheetData>
  <mergeCells count="32">
    <mergeCell ref="L3:P3"/>
    <mergeCell ref="L4:L5"/>
    <mergeCell ref="M4:M5"/>
    <mergeCell ref="N4:N5"/>
    <mergeCell ref="O4:O5"/>
    <mergeCell ref="P4:P5"/>
    <mergeCell ref="A43:P43"/>
    <mergeCell ref="A48:P48"/>
    <mergeCell ref="J55:J56"/>
    <mergeCell ref="K55:K56"/>
    <mergeCell ref="D55:D56"/>
    <mergeCell ref="E55:E56"/>
    <mergeCell ref="G55:G56"/>
    <mergeCell ref="H55:H56"/>
    <mergeCell ref="C55:C56"/>
    <mergeCell ref="F55:F56"/>
    <mergeCell ref="I55:I56"/>
    <mergeCell ref="A46:L46"/>
    <mergeCell ref="B55:B56"/>
    <mergeCell ref="B1:K1"/>
    <mergeCell ref="B3:F3"/>
    <mergeCell ref="G3:K3"/>
    <mergeCell ref="J4:J5"/>
    <mergeCell ref="K4:K5"/>
    <mergeCell ref="F4:F5"/>
    <mergeCell ref="G4:G5"/>
    <mergeCell ref="H4:H5"/>
    <mergeCell ref="D4:D5"/>
    <mergeCell ref="E4:E5"/>
    <mergeCell ref="I4:I5"/>
    <mergeCell ref="B4:B5"/>
    <mergeCell ref="C4:C5"/>
  </mergeCells>
  <phoneticPr fontId="35" type="noConversion"/>
  <pageMargins left="0.75" right="0.75" top="1" bottom="1" header="0.5" footer="0.5"/>
  <pageSetup scale="65" orientation="landscape" horizontalDpi="300" verticalDpi="300" r:id="rId1"/>
  <headerFooter alignWithMargins="0"/>
</worksheet>
</file>

<file path=xl/worksheets/sheet109.xml><?xml version="1.0" encoding="utf-8"?>
<worksheet xmlns="http://schemas.openxmlformats.org/spreadsheetml/2006/main" xmlns:r="http://schemas.openxmlformats.org/officeDocument/2006/relationships">
  <sheetPr codeName="Sheet74">
    <pageSetUpPr fitToPage="1"/>
  </sheetPr>
  <dimension ref="A1:W104"/>
  <sheetViews>
    <sheetView view="pageBreakPreview" zoomScale="85" zoomScaleSheetLayoutView="85"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1" width="9.28515625" style="1" bestFit="1" customWidth="1"/>
    <col min="12" max="16384" width="9.140625" style="1"/>
  </cols>
  <sheetData>
    <row r="1" spans="1:23" ht="34.5" customHeight="1">
      <c r="A1" s="4"/>
      <c r="B1" s="1178" t="s">
        <v>2190</v>
      </c>
      <c r="C1" s="1178"/>
      <c r="D1" s="1178"/>
      <c r="E1" s="1178"/>
      <c r="F1" s="1178"/>
      <c r="G1" s="1178"/>
      <c r="H1" s="1178"/>
      <c r="I1" s="1178"/>
      <c r="J1" s="1178"/>
      <c r="K1" s="1178"/>
    </row>
    <row r="2" spans="1:23">
      <c r="A2" s="4"/>
      <c r="B2" s="4"/>
    </row>
    <row r="3" spans="1:23">
      <c r="A3" s="4"/>
      <c r="B3" s="1213" t="s">
        <v>173</v>
      </c>
      <c r="C3" s="1213"/>
      <c r="D3" s="1213"/>
      <c r="E3" s="1213"/>
      <c r="F3" s="1213"/>
      <c r="G3" s="1175" t="s">
        <v>172</v>
      </c>
      <c r="H3" s="1175"/>
      <c r="I3" s="1175"/>
      <c r="J3" s="1175"/>
      <c r="K3" s="1175"/>
      <c r="L3" s="1175" t="s">
        <v>1191</v>
      </c>
      <c r="M3" s="1175"/>
      <c r="N3" s="1175"/>
      <c r="O3" s="1175"/>
      <c r="P3" s="1175"/>
    </row>
    <row r="4" spans="1:23" ht="12.75" customHeight="1">
      <c r="B4" s="1211" t="s">
        <v>167</v>
      </c>
      <c r="C4" s="1211" t="s">
        <v>168</v>
      </c>
      <c r="D4" s="1211" t="s">
        <v>169</v>
      </c>
      <c r="E4" s="1211" t="s">
        <v>170</v>
      </c>
      <c r="F4" s="1211" t="s">
        <v>171</v>
      </c>
      <c r="G4" s="1211" t="s">
        <v>167</v>
      </c>
      <c r="H4" s="1211" t="s">
        <v>168</v>
      </c>
      <c r="I4" s="1211" t="s">
        <v>169</v>
      </c>
      <c r="J4" s="1211" t="s">
        <v>170</v>
      </c>
      <c r="K4" s="1211" t="s">
        <v>171</v>
      </c>
      <c r="L4" s="1211" t="s">
        <v>167</v>
      </c>
      <c r="M4" s="1211" t="s">
        <v>168</v>
      </c>
      <c r="N4" s="1211" t="s">
        <v>169</v>
      </c>
      <c r="O4" s="1211" t="s">
        <v>170</v>
      </c>
      <c r="P4" s="1211" t="s">
        <v>171</v>
      </c>
    </row>
    <row r="5" spans="1:23" s="4" customFormat="1">
      <c r="A5" s="7"/>
      <c r="B5" s="1212"/>
      <c r="C5" s="1212"/>
      <c r="D5" s="1212"/>
      <c r="E5" s="1212"/>
      <c r="F5" s="1212"/>
      <c r="G5" s="1212"/>
      <c r="H5" s="1212"/>
      <c r="I5" s="1212"/>
      <c r="J5" s="1212"/>
      <c r="K5" s="1212"/>
      <c r="L5" s="1212"/>
      <c r="M5" s="1212"/>
      <c r="N5" s="1212"/>
      <c r="O5" s="1212"/>
      <c r="P5" s="1212"/>
    </row>
    <row r="6" spans="1:23">
      <c r="A6" s="120">
        <v>1981</v>
      </c>
      <c r="B6" s="435">
        <v>12800</v>
      </c>
      <c r="C6" s="435">
        <v>22000</v>
      </c>
      <c r="D6" s="435">
        <v>28600</v>
      </c>
      <c r="E6" s="435">
        <v>37000</v>
      </c>
      <c r="F6" s="435">
        <v>56400</v>
      </c>
      <c r="G6" s="435">
        <v>26400</v>
      </c>
      <c r="H6" s="435">
        <v>46200</v>
      </c>
      <c r="I6" s="435">
        <v>58600</v>
      </c>
      <c r="J6" s="435">
        <v>73700</v>
      </c>
      <c r="K6" s="435">
        <v>104300</v>
      </c>
      <c r="L6" s="980">
        <v>4</v>
      </c>
      <c r="M6" s="980">
        <v>4.0999999999999996</v>
      </c>
      <c r="N6" s="980">
        <v>3.9</v>
      </c>
      <c r="O6" s="980">
        <v>3.7</v>
      </c>
      <c r="P6" s="980">
        <v>3.3</v>
      </c>
      <c r="Q6" s="6"/>
      <c r="R6" s="6"/>
      <c r="S6" s="6"/>
      <c r="T6" s="6"/>
      <c r="U6" s="6"/>
      <c r="V6" s="6"/>
      <c r="W6" s="6"/>
    </row>
    <row r="7" spans="1:23">
      <c r="A7" s="120">
        <v>1982</v>
      </c>
      <c r="B7" s="435">
        <v>12300</v>
      </c>
      <c r="C7" s="435">
        <v>21400</v>
      </c>
      <c r="D7" s="435">
        <v>27900</v>
      </c>
      <c r="E7" s="435">
        <v>35800</v>
      </c>
      <c r="F7" s="435">
        <v>55700</v>
      </c>
      <c r="G7" s="435">
        <v>25600</v>
      </c>
      <c r="H7" s="435">
        <v>44100</v>
      </c>
      <c r="I7" s="435">
        <v>57300</v>
      </c>
      <c r="J7" s="435">
        <v>71000</v>
      </c>
      <c r="K7" s="435">
        <v>102900</v>
      </c>
      <c r="L7" s="980">
        <v>4.0999999999999996</v>
      </c>
      <c r="M7" s="980">
        <v>4</v>
      </c>
      <c r="N7" s="980">
        <v>3.9</v>
      </c>
      <c r="O7" s="980">
        <v>3.7</v>
      </c>
      <c r="P7" s="980">
        <v>3.3</v>
      </c>
      <c r="Q7" s="6"/>
      <c r="R7" s="6"/>
      <c r="S7" s="6"/>
      <c r="T7" s="6"/>
      <c r="U7" s="6"/>
      <c r="V7" s="6"/>
      <c r="W7" s="6"/>
    </row>
    <row r="8" spans="1:23">
      <c r="A8" s="120">
        <v>1983</v>
      </c>
      <c r="B8" s="435">
        <v>11900</v>
      </c>
      <c r="C8" s="435">
        <v>20600</v>
      </c>
      <c r="D8" s="435">
        <v>27300</v>
      </c>
      <c r="E8" s="435">
        <v>35600</v>
      </c>
      <c r="F8" s="435">
        <v>55700</v>
      </c>
      <c r="G8" s="435">
        <v>24500</v>
      </c>
      <c r="H8" s="435">
        <v>42500</v>
      </c>
      <c r="I8" s="435">
        <v>55500</v>
      </c>
      <c r="J8" s="435">
        <v>69900</v>
      </c>
      <c r="K8" s="435">
        <v>102200</v>
      </c>
      <c r="L8" s="980">
        <v>4</v>
      </c>
      <c r="M8" s="980">
        <v>4</v>
      </c>
      <c r="N8" s="980">
        <v>3.9</v>
      </c>
      <c r="O8" s="980">
        <v>3.6</v>
      </c>
      <c r="P8" s="980">
        <v>3.3</v>
      </c>
      <c r="Q8" s="6"/>
      <c r="R8" s="6"/>
      <c r="S8" s="6"/>
      <c r="T8" s="6"/>
      <c r="U8" s="6"/>
      <c r="V8" s="6"/>
      <c r="W8" s="6"/>
    </row>
    <row r="9" spans="1:23">
      <c r="A9" s="120">
        <v>1984</v>
      </c>
      <c r="B9" s="435">
        <v>11900</v>
      </c>
      <c r="C9" s="435">
        <v>21100</v>
      </c>
      <c r="D9" s="435">
        <v>27800</v>
      </c>
      <c r="E9" s="435">
        <v>35700</v>
      </c>
      <c r="F9" s="435">
        <v>55900</v>
      </c>
      <c r="G9" s="435">
        <v>24400</v>
      </c>
      <c r="H9" s="435">
        <v>42900</v>
      </c>
      <c r="I9" s="435">
        <v>56500</v>
      </c>
      <c r="J9" s="435">
        <v>69800</v>
      </c>
      <c r="K9" s="435">
        <v>102900</v>
      </c>
      <c r="L9" s="980">
        <v>4</v>
      </c>
      <c r="M9" s="980">
        <v>3.9</v>
      </c>
      <c r="N9" s="980">
        <v>3.9</v>
      </c>
      <c r="O9" s="980">
        <v>3.6</v>
      </c>
      <c r="P9" s="980">
        <v>3.3</v>
      </c>
      <c r="Q9" s="6"/>
      <c r="R9" s="6"/>
      <c r="S9" s="6"/>
      <c r="T9" s="6"/>
      <c r="U9" s="6"/>
      <c r="V9" s="6"/>
      <c r="W9" s="6"/>
    </row>
    <row r="10" spans="1:23">
      <c r="A10" s="120">
        <v>1985</v>
      </c>
      <c r="B10" s="435">
        <v>12500</v>
      </c>
      <c r="C10" s="435">
        <v>21600</v>
      </c>
      <c r="D10" s="435">
        <v>28500</v>
      </c>
      <c r="E10" s="435">
        <v>36500</v>
      </c>
      <c r="F10" s="435">
        <v>56800</v>
      </c>
      <c r="G10" s="435">
        <v>25300</v>
      </c>
      <c r="H10" s="435">
        <v>43900</v>
      </c>
      <c r="I10" s="435">
        <v>57000</v>
      </c>
      <c r="J10" s="435">
        <v>71000</v>
      </c>
      <c r="K10" s="435">
        <v>104300</v>
      </c>
      <c r="L10" s="980">
        <v>3.9</v>
      </c>
      <c r="M10" s="980">
        <v>3.9</v>
      </c>
      <c r="N10" s="980">
        <v>3.8</v>
      </c>
      <c r="O10" s="980">
        <v>3.6</v>
      </c>
      <c r="P10" s="980">
        <v>3.3</v>
      </c>
      <c r="Q10" s="6"/>
      <c r="R10" s="6"/>
      <c r="S10" s="6"/>
      <c r="T10" s="6"/>
      <c r="U10" s="6"/>
      <c r="V10" s="6"/>
      <c r="W10" s="6"/>
    </row>
    <row r="11" spans="1:23">
      <c r="A11" s="120">
        <v>1986</v>
      </c>
      <c r="B11" s="435">
        <v>13000</v>
      </c>
      <c r="C11" s="435">
        <v>21900</v>
      </c>
      <c r="D11" s="435">
        <v>28700</v>
      </c>
      <c r="E11" s="435">
        <v>36700</v>
      </c>
      <c r="F11" s="435">
        <v>57600</v>
      </c>
      <c r="G11" s="435">
        <v>26000</v>
      </c>
      <c r="H11" s="435">
        <v>43800</v>
      </c>
      <c r="I11" s="435">
        <v>57400</v>
      </c>
      <c r="J11" s="435">
        <v>71400</v>
      </c>
      <c r="K11" s="435">
        <v>106000</v>
      </c>
      <c r="L11" s="980">
        <v>3.9</v>
      </c>
      <c r="M11" s="980">
        <v>3.8</v>
      </c>
      <c r="N11" s="980">
        <v>3.8</v>
      </c>
      <c r="O11" s="980">
        <v>3.6</v>
      </c>
      <c r="P11" s="980">
        <v>3.3</v>
      </c>
      <c r="Q11" s="6"/>
      <c r="R11" s="6"/>
      <c r="S11" s="6"/>
      <c r="T11" s="6"/>
      <c r="U11" s="6"/>
      <c r="V11" s="6"/>
      <c r="W11" s="6"/>
    </row>
    <row r="12" spans="1:23">
      <c r="A12" s="120">
        <v>1987</v>
      </c>
      <c r="B12" s="435">
        <v>13200</v>
      </c>
      <c r="C12" s="435">
        <v>22000</v>
      </c>
      <c r="D12" s="435">
        <v>28700</v>
      </c>
      <c r="E12" s="435">
        <v>36900</v>
      </c>
      <c r="F12" s="435">
        <v>57300</v>
      </c>
      <c r="G12" s="435">
        <v>26300</v>
      </c>
      <c r="H12" s="435">
        <v>43400</v>
      </c>
      <c r="I12" s="435">
        <v>57500</v>
      </c>
      <c r="J12" s="435">
        <v>71800</v>
      </c>
      <c r="K12" s="435">
        <v>105700</v>
      </c>
      <c r="L12" s="980">
        <v>3.8</v>
      </c>
      <c r="M12" s="980">
        <v>3.7</v>
      </c>
      <c r="N12" s="980">
        <v>3.8</v>
      </c>
      <c r="O12" s="980">
        <v>3.6</v>
      </c>
      <c r="P12" s="980">
        <v>3.3</v>
      </c>
      <c r="Q12" s="6"/>
      <c r="R12" s="6"/>
      <c r="S12" s="6"/>
      <c r="T12" s="6"/>
      <c r="U12" s="6"/>
      <c r="V12" s="6"/>
      <c r="W12" s="6"/>
    </row>
    <row r="13" spans="1:23">
      <c r="A13" s="120">
        <v>1988</v>
      </c>
      <c r="B13" s="435">
        <v>14000</v>
      </c>
      <c r="C13" s="435">
        <v>22800</v>
      </c>
      <c r="D13" s="435">
        <v>29700</v>
      </c>
      <c r="E13" s="435">
        <v>37900</v>
      </c>
      <c r="F13" s="435">
        <v>58300</v>
      </c>
      <c r="G13" s="435">
        <v>27300</v>
      </c>
      <c r="H13" s="435">
        <v>45200</v>
      </c>
      <c r="I13" s="435">
        <v>59000</v>
      </c>
      <c r="J13" s="435">
        <v>73100</v>
      </c>
      <c r="K13" s="435">
        <v>106400</v>
      </c>
      <c r="L13" s="980">
        <v>3.7</v>
      </c>
      <c r="M13" s="980">
        <v>3.8</v>
      </c>
      <c r="N13" s="980">
        <v>3.7</v>
      </c>
      <c r="O13" s="980">
        <v>3.5</v>
      </c>
      <c r="P13" s="980">
        <v>3.2</v>
      </c>
      <c r="Q13" s="6"/>
      <c r="R13" s="6"/>
      <c r="S13" s="6"/>
      <c r="T13" s="6"/>
      <c r="U13" s="6"/>
      <c r="V13" s="6"/>
      <c r="W13" s="6"/>
    </row>
    <row r="14" spans="1:23">
      <c r="A14" s="120">
        <v>1989</v>
      </c>
      <c r="B14" s="435">
        <v>14100</v>
      </c>
      <c r="C14" s="435">
        <v>23400</v>
      </c>
      <c r="D14" s="435">
        <v>30200</v>
      </c>
      <c r="E14" s="435">
        <v>38600</v>
      </c>
      <c r="F14" s="435">
        <v>59700</v>
      </c>
      <c r="G14" s="435">
        <v>27600</v>
      </c>
      <c r="H14" s="435">
        <v>46500</v>
      </c>
      <c r="I14" s="435">
        <v>60200</v>
      </c>
      <c r="J14" s="435">
        <v>74600</v>
      </c>
      <c r="K14" s="435">
        <v>109200</v>
      </c>
      <c r="L14" s="980">
        <v>3.7</v>
      </c>
      <c r="M14" s="980">
        <v>3.8</v>
      </c>
      <c r="N14" s="980">
        <v>3.8</v>
      </c>
      <c r="O14" s="980">
        <v>3.6</v>
      </c>
      <c r="P14" s="980">
        <v>3.2</v>
      </c>
      <c r="Q14" s="6"/>
      <c r="R14" s="6"/>
      <c r="S14" s="6"/>
      <c r="T14" s="6"/>
      <c r="U14" s="6"/>
      <c r="V14" s="6"/>
      <c r="W14" s="6"/>
    </row>
    <row r="15" spans="1:23">
      <c r="A15" s="120">
        <v>1990</v>
      </c>
      <c r="B15" s="435">
        <v>13200</v>
      </c>
      <c r="C15" s="435">
        <v>22600</v>
      </c>
      <c r="D15" s="435">
        <v>29500</v>
      </c>
      <c r="E15" s="435">
        <v>37800</v>
      </c>
      <c r="F15" s="435">
        <v>57800</v>
      </c>
      <c r="G15" s="435">
        <v>25800</v>
      </c>
      <c r="H15" s="435">
        <v>44300</v>
      </c>
      <c r="I15" s="435">
        <v>58000</v>
      </c>
      <c r="J15" s="435">
        <v>72900</v>
      </c>
      <c r="K15" s="435">
        <v>106200</v>
      </c>
      <c r="L15" s="980">
        <v>3.7</v>
      </c>
      <c r="M15" s="980">
        <v>3.7</v>
      </c>
      <c r="N15" s="980">
        <v>3.7</v>
      </c>
      <c r="O15" s="980">
        <v>3.5</v>
      </c>
      <c r="P15" s="980">
        <v>3.3</v>
      </c>
      <c r="Q15" s="6"/>
      <c r="R15" s="6"/>
      <c r="S15" s="6"/>
      <c r="T15" s="6"/>
      <c r="U15" s="6"/>
      <c r="V15" s="6"/>
      <c r="W15" s="6"/>
    </row>
    <row r="16" spans="1:23">
      <c r="A16" s="120">
        <v>1991</v>
      </c>
      <c r="B16" s="435">
        <v>12800</v>
      </c>
      <c r="C16" s="435">
        <v>21500</v>
      </c>
      <c r="D16" s="435">
        <v>28100</v>
      </c>
      <c r="E16" s="435">
        <v>36400</v>
      </c>
      <c r="F16" s="435">
        <v>57400</v>
      </c>
      <c r="G16" s="435">
        <v>25300</v>
      </c>
      <c r="H16" s="435">
        <v>42400</v>
      </c>
      <c r="I16" s="435">
        <v>55300</v>
      </c>
      <c r="J16" s="435">
        <v>69900</v>
      </c>
      <c r="K16" s="435">
        <v>104900</v>
      </c>
      <c r="L16" s="980">
        <v>3.8</v>
      </c>
      <c r="M16" s="980">
        <v>3.8</v>
      </c>
      <c r="N16" s="980">
        <v>3.7</v>
      </c>
      <c r="O16" s="980">
        <v>3.5</v>
      </c>
      <c r="P16" s="980">
        <v>3.2</v>
      </c>
      <c r="Q16" s="6"/>
      <c r="R16" s="6"/>
      <c r="S16" s="6"/>
      <c r="T16" s="6"/>
      <c r="U16" s="6"/>
      <c r="V16" s="6"/>
      <c r="W16" s="6"/>
    </row>
    <row r="17" spans="1:23">
      <c r="A17" s="120">
        <v>1992</v>
      </c>
      <c r="B17" s="435">
        <v>12500</v>
      </c>
      <c r="C17" s="435">
        <v>21700</v>
      </c>
      <c r="D17" s="435">
        <v>28400</v>
      </c>
      <c r="E17" s="435">
        <v>36600</v>
      </c>
      <c r="F17" s="435">
        <v>57400</v>
      </c>
      <c r="G17" s="435">
        <v>24200</v>
      </c>
      <c r="H17" s="435">
        <v>42900</v>
      </c>
      <c r="I17" s="435">
        <v>55700</v>
      </c>
      <c r="J17" s="435">
        <v>69800</v>
      </c>
      <c r="K17" s="435">
        <v>104400</v>
      </c>
      <c r="L17" s="980">
        <v>3.7</v>
      </c>
      <c r="M17" s="980">
        <v>3.7</v>
      </c>
      <c r="N17" s="980">
        <v>3.7</v>
      </c>
      <c r="O17" s="980">
        <v>3.5</v>
      </c>
      <c r="P17" s="980">
        <v>3.2</v>
      </c>
      <c r="Q17" s="6"/>
      <c r="R17" s="6"/>
      <c r="S17" s="6"/>
      <c r="T17" s="6"/>
      <c r="U17" s="6"/>
      <c r="V17" s="6"/>
      <c r="W17" s="6"/>
    </row>
    <row r="18" spans="1:23">
      <c r="A18" s="120">
        <v>1993</v>
      </c>
      <c r="B18" s="435">
        <v>12500</v>
      </c>
      <c r="C18" s="435">
        <v>21100</v>
      </c>
      <c r="D18" s="435">
        <v>27700</v>
      </c>
      <c r="E18" s="435">
        <v>35800</v>
      </c>
      <c r="F18" s="435">
        <v>55500</v>
      </c>
      <c r="G18" s="435">
        <v>24700</v>
      </c>
      <c r="H18" s="435">
        <v>41100</v>
      </c>
      <c r="I18" s="435">
        <v>54700</v>
      </c>
      <c r="J18" s="435">
        <v>69300</v>
      </c>
      <c r="K18" s="435">
        <v>100600</v>
      </c>
      <c r="L18" s="980">
        <v>3.7</v>
      </c>
      <c r="M18" s="980">
        <v>3.7</v>
      </c>
      <c r="N18" s="980">
        <v>3.7</v>
      </c>
      <c r="O18" s="980">
        <v>3.6</v>
      </c>
      <c r="P18" s="980">
        <v>3.2</v>
      </c>
      <c r="Q18" s="6"/>
      <c r="R18" s="6"/>
      <c r="S18" s="6"/>
      <c r="T18" s="6"/>
      <c r="U18" s="6"/>
      <c r="V18" s="6"/>
      <c r="W18" s="6"/>
    </row>
    <row r="19" spans="1:23">
      <c r="A19" s="120">
        <v>1994</v>
      </c>
      <c r="B19" s="435">
        <v>12600</v>
      </c>
      <c r="C19" s="435">
        <v>21400</v>
      </c>
      <c r="D19" s="435">
        <v>28000</v>
      </c>
      <c r="E19" s="435">
        <v>36100</v>
      </c>
      <c r="F19" s="435">
        <v>56200</v>
      </c>
      <c r="G19" s="435">
        <v>24600</v>
      </c>
      <c r="H19" s="435">
        <v>42100</v>
      </c>
      <c r="I19" s="435">
        <v>55100</v>
      </c>
      <c r="J19" s="435">
        <v>70000</v>
      </c>
      <c r="K19" s="435">
        <v>102200</v>
      </c>
      <c r="L19" s="980">
        <v>3.7</v>
      </c>
      <c r="M19" s="980">
        <v>3.7</v>
      </c>
      <c r="N19" s="980">
        <v>3.7</v>
      </c>
      <c r="O19" s="980">
        <v>3.6</v>
      </c>
      <c r="P19" s="980">
        <v>3.2</v>
      </c>
      <c r="Q19" s="6"/>
      <c r="R19" s="6"/>
      <c r="S19" s="6"/>
      <c r="T19" s="6"/>
      <c r="U19" s="6"/>
      <c r="V19" s="6"/>
      <c r="W19" s="6"/>
    </row>
    <row r="20" spans="1:23">
      <c r="A20" s="120">
        <v>1995</v>
      </c>
      <c r="B20" s="435">
        <v>12500</v>
      </c>
      <c r="C20" s="435">
        <v>21300</v>
      </c>
      <c r="D20" s="435">
        <v>28000</v>
      </c>
      <c r="E20" s="435">
        <v>36100</v>
      </c>
      <c r="F20" s="435">
        <v>56600</v>
      </c>
      <c r="G20" s="435">
        <v>24600</v>
      </c>
      <c r="H20" s="435">
        <v>41400</v>
      </c>
      <c r="I20" s="435">
        <v>54400</v>
      </c>
      <c r="J20" s="435">
        <v>69400</v>
      </c>
      <c r="K20" s="435">
        <v>102900</v>
      </c>
      <c r="L20" s="980">
        <v>3.8</v>
      </c>
      <c r="M20" s="980">
        <v>3.7</v>
      </c>
      <c r="N20" s="980">
        <v>3.6</v>
      </c>
      <c r="O20" s="980">
        <v>3.5</v>
      </c>
      <c r="P20" s="980">
        <v>3.2</v>
      </c>
      <c r="Q20" s="6"/>
      <c r="R20" s="6"/>
      <c r="S20" s="6"/>
      <c r="T20" s="6"/>
      <c r="U20" s="6"/>
      <c r="V20" s="6"/>
      <c r="W20" s="6"/>
    </row>
    <row r="21" spans="1:23">
      <c r="A21" s="120">
        <v>1996</v>
      </c>
      <c r="B21" s="435">
        <v>12200</v>
      </c>
      <c r="C21" s="435">
        <v>21000</v>
      </c>
      <c r="D21" s="435">
        <v>28000</v>
      </c>
      <c r="E21" s="435">
        <v>36300</v>
      </c>
      <c r="F21" s="435">
        <v>57800</v>
      </c>
      <c r="G21" s="435">
        <v>24000</v>
      </c>
      <c r="H21" s="435">
        <v>41400</v>
      </c>
      <c r="I21" s="435">
        <v>54800</v>
      </c>
      <c r="J21" s="435">
        <v>70000</v>
      </c>
      <c r="K21" s="435">
        <v>105600</v>
      </c>
      <c r="L21" s="980">
        <v>3.7</v>
      </c>
      <c r="M21" s="980">
        <v>3.7</v>
      </c>
      <c r="N21" s="980">
        <v>3.7</v>
      </c>
      <c r="O21" s="980">
        <v>3.5</v>
      </c>
      <c r="P21" s="980">
        <v>3.2</v>
      </c>
      <c r="Q21" s="6"/>
      <c r="R21" s="6"/>
      <c r="S21" s="6"/>
      <c r="T21" s="6"/>
      <c r="U21" s="6"/>
      <c r="V21" s="6"/>
      <c r="W21" s="6"/>
    </row>
    <row r="22" spans="1:23">
      <c r="A22" s="120">
        <v>1997</v>
      </c>
      <c r="B22" s="435">
        <v>12100</v>
      </c>
      <c r="C22" s="435">
        <v>21200</v>
      </c>
      <c r="D22" s="435">
        <v>28300</v>
      </c>
      <c r="E22" s="435">
        <v>36800</v>
      </c>
      <c r="F22" s="435">
        <v>58800</v>
      </c>
      <c r="G22" s="435">
        <v>23800</v>
      </c>
      <c r="H22" s="435">
        <v>41300</v>
      </c>
      <c r="I22" s="435">
        <v>55000</v>
      </c>
      <c r="J22" s="435">
        <v>71500</v>
      </c>
      <c r="K22" s="435">
        <v>107300</v>
      </c>
      <c r="L22" s="980">
        <v>3.7</v>
      </c>
      <c r="M22" s="980">
        <v>3.7</v>
      </c>
      <c r="N22" s="980">
        <v>3.6</v>
      </c>
      <c r="O22" s="980">
        <v>3.6</v>
      </c>
      <c r="P22" s="980">
        <v>3.2</v>
      </c>
      <c r="Q22" s="6"/>
      <c r="R22" s="6"/>
      <c r="S22" s="6"/>
      <c r="T22" s="6"/>
      <c r="U22" s="6"/>
      <c r="V22" s="6"/>
      <c r="W22" s="6"/>
    </row>
    <row r="23" spans="1:23">
      <c r="A23" s="120">
        <v>1998</v>
      </c>
      <c r="B23" s="435">
        <v>12600</v>
      </c>
      <c r="C23" s="435">
        <v>22000</v>
      </c>
      <c r="D23" s="435">
        <v>29400</v>
      </c>
      <c r="E23" s="435">
        <v>38400</v>
      </c>
      <c r="F23" s="435">
        <v>62900</v>
      </c>
      <c r="G23" s="435">
        <v>24800</v>
      </c>
      <c r="H23" s="435">
        <v>42500</v>
      </c>
      <c r="I23" s="435">
        <v>58000</v>
      </c>
      <c r="J23" s="435">
        <v>74200</v>
      </c>
      <c r="K23" s="435">
        <v>115100</v>
      </c>
      <c r="L23" s="980">
        <v>3.7</v>
      </c>
      <c r="M23" s="980">
        <v>3.6</v>
      </c>
      <c r="N23" s="980">
        <v>3.7</v>
      </c>
      <c r="O23" s="980">
        <v>3.6</v>
      </c>
      <c r="P23" s="980">
        <v>3.3</v>
      </c>
      <c r="Q23" s="6"/>
      <c r="R23" s="6"/>
      <c r="S23" s="6"/>
      <c r="T23" s="6"/>
      <c r="U23" s="6"/>
      <c r="V23" s="6"/>
      <c r="W23" s="6"/>
    </row>
    <row r="24" spans="1:23">
      <c r="A24" s="120">
        <v>1999</v>
      </c>
      <c r="B24" s="435">
        <v>13200</v>
      </c>
      <c r="C24" s="435">
        <v>23000</v>
      </c>
      <c r="D24" s="435">
        <v>30500</v>
      </c>
      <c r="E24" s="435">
        <v>39600</v>
      </c>
      <c r="F24" s="435">
        <v>64200</v>
      </c>
      <c r="G24" s="435">
        <v>26000</v>
      </c>
      <c r="H24" s="435">
        <v>44700</v>
      </c>
      <c r="I24" s="435">
        <v>59700</v>
      </c>
      <c r="J24" s="435">
        <v>76300</v>
      </c>
      <c r="K24" s="435">
        <v>118000</v>
      </c>
      <c r="L24" s="980">
        <v>3.7</v>
      </c>
      <c r="M24" s="980">
        <v>3.7</v>
      </c>
      <c r="N24" s="980">
        <v>3.7</v>
      </c>
      <c r="O24" s="980">
        <v>3.5</v>
      </c>
      <c r="P24" s="980">
        <v>3.3</v>
      </c>
      <c r="Q24" s="6"/>
      <c r="R24" s="6"/>
      <c r="S24" s="6"/>
      <c r="T24" s="6"/>
      <c r="U24" s="6"/>
      <c r="V24" s="6"/>
      <c r="W24" s="6"/>
    </row>
    <row r="25" spans="1:23">
      <c r="A25" s="120">
        <v>2000</v>
      </c>
      <c r="B25" s="435">
        <v>13300</v>
      </c>
      <c r="C25" s="435">
        <v>23400</v>
      </c>
      <c r="D25" s="435">
        <v>31200</v>
      </c>
      <c r="E25" s="435">
        <v>40600</v>
      </c>
      <c r="F25" s="435">
        <v>68000</v>
      </c>
      <c r="G25" s="435">
        <v>26300</v>
      </c>
      <c r="H25" s="435">
        <v>45600</v>
      </c>
      <c r="I25" s="435">
        <v>60500</v>
      </c>
      <c r="J25" s="435">
        <v>78300</v>
      </c>
      <c r="K25" s="435">
        <v>126500</v>
      </c>
      <c r="L25" s="980">
        <v>3.7</v>
      </c>
      <c r="M25" s="980">
        <v>3.6</v>
      </c>
      <c r="N25" s="980">
        <v>3.6</v>
      </c>
      <c r="O25" s="980">
        <v>3.5</v>
      </c>
      <c r="P25" s="980">
        <v>3.3</v>
      </c>
      <c r="Q25" s="6"/>
      <c r="R25" s="6"/>
      <c r="S25" s="6"/>
      <c r="T25" s="6"/>
      <c r="U25" s="6"/>
      <c r="V25" s="6"/>
      <c r="W25" s="6"/>
    </row>
    <row r="26" spans="1:23">
      <c r="A26" s="120">
        <v>2001</v>
      </c>
      <c r="B26" s="435">
        <v>14200</v>
      </c>
      <c r="C26" s="435">
        <v>24100</v>
      </c>
      <c r="D26" s="435">
        <v>32200</v>
      </c>
      <c r="E26" s="435">
        <v>42100</v>
      </c>
      <c r="F26" s="435">
        <v>70800</v>
      </c>
      <c r="G26" s="435">
        <v>28000</v>
      </c>
      <c r="H26" s="435">
        <v>46700</v>
      </c>
      <c r="I26" s="435">
        <v>63000</v>
      </c>
      <c r="J26" s="435">
        <v>81100</v>
      </c>
      <c r="K26" s="435">
        <v>130800</v>
      </c>
      <c r="L26" s="980">
        <v>3.7</v>
      </c>
      <c r="M26" s="980">
        <v>3.6</v>
      </c>
      <c r="N26" s="980">
        <v>3.6</v>
      </c>
      <c r="O26" s="980">
        <v>3.5</v>
      </c>
      <c r="P26" s="980">
        <v>3.3</v>
      </c>
      <c r="Q26" s="6"/>
      <c r="R26" s="6"/>
      <c r="S26" s="6"/>
      <c r="T26" s="6"/>
      <c r="U26" s="6"/>
      <c r="V26" s="6"/>
      <c r="W26" s="6"/>
    </row>
    <row r="27" spans="1:23">
      <c r="A27" s="120">
        <v>2002</v>
      </c>
      <c r="B27" s="435">
        <v>14000</v>
      </c>
      <c r="C27" s="435">
        <v>24100</v>
      </c>
      <c r="D27" s="435">
        <v>32300</v>
      </c>
      <c r="E27" s="435">
        <v>42300</v>
      </c>
      <c r="F27" s="435">
        <v>71300</v>
      </c>
      <c r="G27" s="435">
        <v>27200</v>
      </c>
      <c r="H27" s="435">
        <v>46800</v>
      </c>
      <c r="I27" s="435">
        <v>63200</v>
      </c>
      <c r="J27" s="435">
        <v>81000</v>
      </c>
      <c r="K27" s="435">
        <v>130400</v>
      </c>
      <c r="L27" s="980">
        <v>3.6</v>
      </c>
      <c r="M27" s="980">
        <v>3.6</v>
      </c>
      <c r="N27" s="980">
        <v>3.6</v>
      </c>
      <c r="O27" s="980">
        <v>3.5</v>
      </c>
      <c r="P27" s="980">
        <v>3.3</v>
      </c>
      <c r="Q27" s="6"/>
      <c r="R27" s="6"/>
      <c r="S27" s="6"/>
      <c r="T27" s="6"/>
      <c r="U27" s="6"/>
      <c r="V27" s="6"/>
      <c r="W27" s="6"/>
    </row>
    <row r="28" spans="1:23">
      <c r="A28" s="120">
        <v>2003</v>
      </c>
      <c r="B28" s="435">
        <v>14100</v>
      </c>
      <c r="C28" s="435">
        <v>24100</v>
      </c>
      <c r="D28" s="435">
        <v>32300</v>
      </c>
      <c r="E28" s="435">
        <v>42300</v>
      </c>
      <c r="F28" s="435">
        <v>70200</v>
      </c>
      <c r="G28" s="435">
        <v>27800</v>
      </c>
      <c r="H28" s="435">
        <v>46600</v>
      </c>
      <c r="I28" s="435">
        <v>63300</v>
      </c>
      <c r="J28" s="435">
        <v>80300</v>
      </c>
      <c r="K28" s="435">
        <v>128900</v>
      </c>
      <c r="L28" s="980">
        <v>3.7</v>
      </c>
      <c r="M28" s="980">
        <v>3.6</v>
      </c>
      <c r="N28" s="980">
        <v>3.6</v>
      </c>
      <c r="O28" s="980">
        <v>3.4</v>
      </c>
      <c r="P28" s="980">
        <v>3.3</v>
      </c>
      <c r="Q28" s="6"/>
      <c r="R28" s="6"/>
      <c r="S28" s="6"/>
      <c r="T28" s="6"/>
      <c r="U28" s="6"/>
      <c r="V28" s="6"/>
      <c r="W28" s="6"/>
    </row>
    <row r="29" spans="1:23">
      <c r="A29" s="120">
        <v>2004</v>
      </c>
      <c r="B29" s="435">
        <v>14200</v>
      </c>
      <c r="C29" s="435">
        <v>24600</v>
      </c>
      <c r="D29" s="435">
        <v>33100</v>
      </c>
      <c r="E29" s="435">
        <v>43200</v>
      </c>
      <c r="F29" s="435">
        <v>73100</v>
      </c>
      <c r="G29" s="435">
        <v>28100</v>
      </c>
      <c r="H29" s="435">
        <v>47000</v>
      </c>
      <c r="I29" s="435">
        <v>64400</v>
      </c>
      <c r="J29" s="435">
        <v>81700</v>
      </c>
      <c r="K29" s="435">
        <v>134900</v>
      </c>
      <c r="L29" s="980">
        <v>3.7</v>
      </c>
      <c r="M29" s="980">
        <v>3.5</v>
      </c>
      <c r="N29" s="980">
        <v>3.6</v>
      </c>
      <c r="O29" s="980">
        <v>3.4</v>
      </c>
      <c r="P29" s="980">
        <v>3.3</v>
      </c>
    </row>
    <row r="30" spans="1:23">
      <c r="A30" s="120">
        <v>2005</v>
      </c>
      <c r="B30" s="435">
        <v>14700</v>
      </c>
      <c r="C30" s="435">
        <v>25200</v>
      </c>
      <c r="D30" s="435">
        <v>33800</v>
      </c>
      <c r="E30" s="435">
        <v>44200</v>
      </c>
      <c r="F30" s="435">
        <v>73100</v>
      </c>
      <c r="G30" s="435">
        <v>28600</v>
      </c>
      <c r="H30" s="435">
        <v>48300</v>
      </c>
      <c r="I30" s="435">
        <v>66000</v>
      </c>
      <c r="J30" s="435">
        <v>84400</v>
      </c>
      <c r="K30" s="435">
        <v>133800</v>
      </c>
      <c r="L30" s="980">
        <v>3.6</v>
      </c>
      <c r="M30" s="980">
        <v>3.5</v>
      </c>
      <c r="N30" s="980">
        <v>3.6</v>
      </c>
      <c r="O30" s="980">
        <v>3.5</v>
      </c>
      <c r="P30" s="980">
        <v>3.2</v>
      </c>
      <c r="R30" s="300"/>
      <c r="S30" s="300"/>
    </row>
    <row r="31" spans="1:23">
      <c r="A31" s="120">
        <v>2006</v>
      </c>
      <c r="B31" s="435">
        <v>15400</v>
      </c>
      <c r="C31" s="435">
        <v>25600</v>
      </c>
      <c r="D31" s="435">
        <v>34300</v>
      </c>
      <c r="E31" s="435">
        <v>45000</v>
      </c>
      <c r="F31" s="435">
        <v>75200</v>
      </c>
      <c r="G31" s="435">
        <v>29800</v>
      </c>
      <c r="H31" s="435">
        <v>50300</v>
      </c>
      <c r="I31" s="435">
        <v>66200</v>
      </c>
      <c r="J31" s="435">
        <v>85200</v>
      </c>
      <c r="K31" s="435">
        <v>136900</v>
      </c>
      <c r="L31" s="980">
        <v>3.6</v>
      </c>
      <c r="M31" s="980">
        <v>3.7</v>
      </c>
      <c r="N31" s="980">
        <v>3.6</v>
      </c>
      <c r="O31" s="980">
        <v>3.4</v>
      </c>
      <c r="P31" s="980">
        <v>3.2</v>
      </c>
      <c r="R31" s="300"/>
      <c r="S31" s="300"/>
    </row>
    <row r="32" spans="1:23" s="961" customFormat="1">
      <c r="A32" s="120">
        <v>2007</v>
      </c>
      <c r="B32" s="435">
        <v>16100</v>
      </c>
      <c r="C32" s="435">
        <v>26700</v>
      </c>
      <c r="D32" s="435">
        <v>35500</v>
      </c>
      <c r="E32" s="435">
        <v>46500</v>
      </c>
      <c r="F32" s="435">
        <v>78200</v>
      </c>
      <c r="G32" s="435">
        <v>31600</v>
      </c>
      <c r="H32" s="435">
        <v>52300</v>
      </c>
      <c r="I32" s="435">
        <v>68300</v>
      </c>
      <c r="J32" s="435">
        <v>88800</v>
      </c>
      <c r="K32" s="435">
        <v>140900</v>
      </c>
      <c r="L32" s="980">
        <v>3.7</v>
      </c>
      <c r="M32" s="980">
        <v>3.6</v>
      </c>
      <c r="N32" s="980">
        <v>3.5</v>
      </c>
      <c r="O32" s="980">
        <v>3.5</v>
      </c>
      <c r="P32" s="980">
        <v>3.2</v>
      </c>
      <c r="R32" s="300"/>
      <c r="S32" s="300"/>
    </row>
    <row r="33" spans="1:19" s="961" customFormat="1">
      <c r="A33" s="120"/>
      <c r="B33" s="435"/>
      <c r="C33" s="435"/>
      <c r="D33" s="435"/>
      <c r="E33" s="435"/>
      <c r="F33" s="435"/>
      <c r="G33" s="435"/>
      <c r="H33" s="435"/>
      <c r="I33" s="435"/>
      <c r="J33" s="435"/>
      <c r="K33" s="435"/>
      <c r="L33" s="980"/>
      <c r="M33" s="980"/>
      <c r="N33" s="980"/>
      <c r="O33" s="980"/>
      <c r="P33" s="980"/>
      <c r="R33" s="300"/>
      <c r="S33" s="300"/>
    </row>
    <row r="34" spans="1:19">
      <c r="A34" s="738"/>
      <c r="B34" s="959"/>
      <c r="C34" s="959"/>
      <c r="D34" s="959" t="s">
        <v>802</v>
      </c>
      <c r="E34" s="959"/>
      <c r="F34" s="959"/>
      <c r="G34" s="114"/>
      <c r="H34" s="114"/>
      <c r="I34" s="114"/>
      <c r="J34" s="114"/>
      <c r="K34" s="114"/>
      <c r="L34" s="959"/>
      <c r="M34" s="959"/>
      <c r="N34" s="959"/>
      <c r="O34" s="959"/>
      <c r="P34" s="959"/>
      <c r="R34" s="300"/>
    </row>
    <row r="35" spans="1:19">
      <c r="A35" s="431" t="s">
        <v>603</v>
      </c>
      <c r="B35" s="959">
        <f>((((B14/B6))^(1/8))-1)*100</f>
        <v>1.2164597415426748</v>
      </c>
      <c r="C35" s="959">
        <f t="shared" ref="C35:P35" si="0">((((C14/C6))^(1/8))-1)*100</f>
        <v>0.77415078379172719</v>
      </c>
      <c r="D35" s="959">
        <f t="shared" si="0"/>
        <v>0.6827603351220235</v>
      </c>
      <c r="E35" s="959">
        <f t="shared" si="0"/>
        <v>0.53058217584998069</v>
      </c>
      <c r="F35" s="959">
        <f t="shared" si="0"/>
        <v>0.71331785142310089</v>
      </c>
      <c r="G35" s="959">
        <f t="shared" si="0"/>
        <v>0.55719361344119811</v>
      </c>
      <c r="H35" s="959">
        <f t="shared" si="0"/>
        <v>8.0939169401839095E-2</v>
      </c>
      <c r="I35" s="959">
        <f t="shared" si="0"/>
        <v>0.33728823761587368</v>
      </c>
      <c r="J35" s="959">
        <f t="shared" si="0"/>
        <v>0.15183650525172343</v>
      </c>
      <c r="K35" s="959">
        <f t="shared" si="0"/>
        <v>0.57552106184344254</v>
      </c>
      <c r="L35" s="959">
        <f t="shared" si="0"/>
        <v>-0.969786216660673</v>
      </c>
      <c r="M35" s="959">
        <f t="shared" si="0"/>
        <v>-0.94532725840241749</v>
      </c>
      <c r="N35" s="959">
        <f t="shared" si="0"/>
        <v>-0.32416702049201662</v>
      </c>
      <c r="O35" s="959">
        <f t="shared" si="0"/>
        <v>-0.34190135899326846</v>
      </c>
      <c r="P35" s="959">
        <f t="shared" si="0"/>
        <v>-0.38390691920945352</v>
      </c>
      <c r="R35" s="300"/>
      <c r="S35" s="121"/>
    </row>
    <row r="36" spans="1:19">
      <c r="A36" s="431" t="s">
        <v>604</v>
      </c>
      <c r="B36" s="959">
        <f>((((B25/B14))^(1/11))-1)*100</f>
        <v>-0.52959957904635813</v>
      </c>
      <c r="C36" s="959">
        <f t="shared" ref="C36:P36" si="1">((((C25/C14))^(1/11))-1)*100</f>
        <v>0</v>
      </c>
      <c r="D36" s="959">
        <f t="shared" si="1"/>
        <v>0.2965859523947012</v>
      </c>
      <c r="E36" s="959">
        <f t="shared" si="1"/>
        <v>0.46029055325254031</v>
      </c>
      <c r="F36" s="959">
        <f t="shared" si="1"/>
        <v>1.1904453794575165</v>
      </c>
      <c r="G36" s="959">
        <f t="shared" si="1"/>
        <v>-0.43764709935161239</v>
      </c>
      <c r="H36" s="959">
        <f t="shared" si="1"/>
        <v>-0.17752039194526281</v>
      </c>
      <c r="I36" s="959">
        <f t="shared" si="1"/>
        <v>4.5201237427572316E-2</v>
      </c>
      <c r="J36" s="959">
        <f t="shared" si="1"/>
        <v>0.44103421292907008</v>
      </c>
      <c r="K36" s="959">
        <f t="shared" si="1"/>
        <v>1.3458971480219128</v>
      </c>
      <c r="L36" s="959">
        <f t="shared" si="1"/>
        <v>0</v>
      </c>
      <c r="M36" s="959">
        <f t="shared" si="1"/>
        <v>-0.49031420955741867</v>
      </c>
      <c r="N36" s="959">
        <f t="shared" si="1"/>
        <v>-0.49031420955741867</v>
      </c>
      <c r="O36" s="959">
        <f t="shared" si="1"/>
        <v>-0.2557712280951141</v>
      </c>
      <c r="P36" s="959">
        <f t="shared" si="1"/>
        <v>0.28013399554502882</v>
      </c>
    </row>
    <row r="37" spans="1:19">
      <c r="A37" s="431" t="s">
        <v>447</v>
      </c>
      <c r="B37" s="23">
        <f>((((B32/B6))^(1/26))-1)*100</f>
        <v>0.8861110053716148</v>
      </c>
      <c r="C37" s="23">
        <f t="shared" ref="C37:P37" si="2">((((C32/C6))^(1/26))-1)*100</f>
        <v>0.74747634579406252</v>
      </c>
      <c r="D37" s="23">
        <f t="shared" si="2"/>
        <v>0.83471827112284736</v>
      </c>
      <c r="E37" s="23">
        <f t="shared" si="2"/>
        <v>0.88285282029401113</v>
      </c>
      <c r="F37" s="23">
        <f t="shared" si="2"/>
        <v>1.2648574599813278</v>
      </c>
      <c r="G37" s="23">
        <f t="shared" si="2"/>
        <v>0.69390842797163454</v>
      </c>
      <c r="H37" s="23">
        <f t="shared" si="2"/>
        <v>0.47812621215885809</v>
      </c>
      <c r="I37" s="23">
        <f t="shared" si="2"/>
        <v>0.59087369712600424</v>
      </c>
      <c r="J37" s="23">
        <f t="shared" si="2"/>
        <v>0.71943656364896746</v>
      </c>
      <c r="K37" s="23">
        <f t="shared" si="2"/>
        <v>1.1635598275608228</v>
      </c>
      <c r="L37" s="23">
        <f t="shared" si="2"/>
        <v>-0.29940297521675596</v>
      </c>
      <c r="M37" s="23">
        <f t="shared" si="2"/>
        <v>-0.49895540079308853</v>
      </c>
      <c r="N37" s="23">
        <f t="shared" si="2"/>
        <v>-0.41534115759334078</v>
      </c>
      <c r="O37" s="23">
        <f t="shared" si="2"/>
        <v>-0.21350195639939784</v>
      </c>
      <c r="P37" s="23">
        <f t="shared" si="2"/>
        <v>-0.11828252434479269</v>
      </c>
    </row>
    <row r="38" spans="1:19">
      <c r="A38" s="431" t="s">
        <v>449</v>
      </c>
      <c r="B38" s="959">
        <f>((((B32/B25))^(1/7))-1)*100</f>
        <v>2.7669487631890588</v>
      </c>
      <c r="C38" s="959">
        <f t="shared" ref="C38:P38" si="3">((((C32/C25))^(1/7))-1)*100</f>
        <v>1.9025513656862669</v>
      </c>
      <c r="D38" s="959">
        <f t="shared" si="3"/>
        <v>1.8616101775889016</v>
      </c>
      <c r="E38" s="959">
        <f t="shared" si="3"/>
        <v>1.9572542737890775</v>
      </c>
      <c r="F38" s="959">
        <f t="shared" si="3"/>
        <v>2.0166645372730052</v>
      </c>
      <c r="G38" s="959">
        <f t="shared" si="3"/>
        <v>2.6573834264765228</v>
      </c>
      <c r="H38" s="959">
        <f t="shared" si="3"/>
        <v>1.9777119889565098</v>
      </c>
      <c r="I38" s="959">
        <f t="shared" si="3"/>
        <v>1.747469846152927</v>
      </c>
      <c r="J38" s="959">
        <f t="shared" si="3"/>
        <v>1.8139565746917663</v>
      </c>
      <c r="K38" s="959">
        <f t="shared" si="3"/>
        <v>1.5520367720569306</v>
      </c>
      <c r="L38" s="959">
        <f t="shared" si="3"/>
        <v>0</v>
      </c>
      <c r="M38" s="959">
        <f t="shared" si="3"/>
        <v>0</v>
      </c>
      <c r="N38" s="959">
        <f t="shared" si="3"/>
        <v>-0.40163239055411859</v>
      </c>
      <c r="O38" s="959">
        <f t="shared" si="3"/>
        <v>0</v>
      </c>
      <c r="P38" s="959">
        <f t="shared" si="3"/>
        <v>-0.43863031870950975</v>
      </c>
    </row>
    <row r="39" spans="1:19">
      <c r="A39" s="431"/>
      <c r="B39" s="114"/>
      <c r="C39" s="114"/>
      <c r="D39" s="959" t="s">
        <v>276</v>
      </c>
      <c r="E39" s="114"/>
      <c r="F39" s="114"/>
      <c r="G39" s="114"/>
      <c r="H39" s="114"/>
      <c r="I39" s="114"/>
      <c r="J39" s="114"/>
      <c r="K39" s="114"/>
      <c r="L39" s="114"/>
      <c r="M39" s="114"/>
      <c r="N39" s="114"/>
      <c r="O39" s="114"/>
      <c r="P39" s="114"/>
    </row>
    <row r="40" spans="1:19">
      <c r="A40" s="431" t="s">
        <v>447</v>
      </c>
      <c r="B40" s="10">
        <f>(B32/B6-1)*100</f>
        <v>25.78125</v>
      </c>
      <c r="C40" s="10">
        <f t="shared" ref="C40:P40" si="4">(C32/C6-1)*100</f>
        <v>21.363636363636363</v>
      </c>
      <c r="D40" s="10">
        <f t="shared" si="4"/>
        <v>24.125874125874127</v>
      </c>
      <c r="E40" s="10">
        <f t="shared" si="4"/>
        <v>25.675675675675681</v>
      </c>
      <c r="F40" s="10">
        <f t="shared" si="4"/>
        <v>38.652482269503551</v>
      </c>
      <c r="G40" s="10">
        <f t="shared" si="4"/>
        <v>19.696969696969703</v>
      </c>
      <c r="H40" s="10">
        <f t="shared" si="4"/>
        <v>13.203463203463194</v>
      </c>
      <c r="I40" s="10">
        <f t="shared" si="4"/>
        <v>16.552901023890776</v>
      </c>
      <c r="J40" s="10">
        <f t="shared" si="4"/>
        <v>20.488466757123479</v>
      </c>
      <c r="K40" s="10">
        <f t="shared" si="4"/>
        <v>35.091083413231061</v>
      </c>
      <c r="L40" s="10">
        <f t="shared" si="4"/>
        <v>-7.4999999999999956</v>
      </c>
      <c r="M40" s="10">
        <f t="shared" si="4"/>
        <v>-12.195121951219502</v>
      </c>
      <c r="N40" s="10">
        <f t="shared" si="4"/>
        <v>-10.256410256410254</v>
      </c>
      <c r="O40" s="10">
        <f t="shared" si="4"/>
        <v>-5.4054054054054053</v>
      </c>
      <c r="P40" s="10">
        <f t="shared" si="4"/>
        <v>-3.0303030303030165</v>
      </c>
    </row>
    <row r="41" spans="1:19">
      <c r="A41" s="4"/>
      <c r="B41" s="121"/>
      <c r="C41" s="121"/>
      <c r="D41" s="121"/>
      <c r="E41" s="121"/>
      <c r="F41" s="121"/>
      <c r="G41" s="121"/>
      <c r="H41" s="6"/>
    </row>
    <row r="42" spans="1:19">
      <c r="A42" s="4"/>
      <c r="B42" s="27"/>
      <c r="C42" s="27"/>
      <c r="D42" s="27"/>
      <c r="E42" s="27"/>
      <c r="F42" s="27"/>
      <c r="G42" s="114"/>
      <c r="H42" s="27"/>
    </row>
    <row r="43" spans="1:19" ht="27.75" customHeight="1">
      <c r="A43" s="1170" t="s">
        <v>308</v>
      </c>
      <c r="B43" s="1170"/>
      <c r="C43" s="1170"/>
      <c r="D43" s="1170"/>
      <c r="E43" s="1170"/>
      <c r="F43" s="1170"/>
      <c r="G43" s="1170"/>
      <c r="H43" s="1170"/>
      <c r="I43" s="1170"/>
      <c r="J43" s="1170"/>
      <c r="K43" s="1170"/>
      <c r="L43" s="1176"/>
      <c r="M43" s="1176"/>
      <c r="N43" s="1176"/>
      <c r="O43" s="1176"/>
      <c r="P43" s="1176"/>
    </row>
    <row r="44" spans="1:19" ht="12" customHeight="1">
      <c r="A44" s="13" t="s">
        <v>388</v>
      </c>
      <c r="B44" s="643"/>
      <c r="C44" s="643"/>
      <c r="D44" s="643"/>
      <c r="E44" s="643"/>
      <c r="F44" s="643"/>
      <c r="G44" s="643"/>
      <c r="H44" s="643"/>
      <c r="I44" s="643"/>
      <c r="J44" s="643"/>
      <c r="K44" s="643"/>
      <c r="L44" s="647"/>
      <c r="M44" s="647"/>
      <c r="N44" s="647"/>
      <c r="O44" s="647"/>
      <c r="P44" s="647"/>
    </row>
    <row r="45" spans="1:19">
      <c r="A45" s="4" t="s">
        <v>1917</v>
      </c>
    </row>
    <row r="46" spans="1:19" ht="15" customHeight="1">
      <c r="A46" s="1168" t="s">
        <v>1161</v>
      </c>
      <c r="B46" s="1169"/>
      <c r="C46" s="1169"/>
      <c r="D46" s="1169"/>
      <c r="E46" s="1169"/>
      <c r="F46" s="1169"/>
      <c r="G46" s="1169"/>
      <c r="H46" s="1169"/>
      <c r="I46" s="1169"/>
      <c r="J46" s="1169"/>
      <c r="K46" s="1169"/>
      <c r="L46" s="1169"/>
    </row>
    <row r="47" spans="1:19" ht="15.75" customHeight="1">
      <c r="A47" s="1" t="s">
        <v>539</v>
      </c>
      <c r="B47" s="4"/>
    </row>
    <row r="48" spans="1:19" ht="44.45" customHeight="1">
      <c r="A48" s="1168" t="s">
        <v>443</v>
      </c>
      <c r="B48" s="1169"/>
      <c r="C48" s="1169"/>
      <c r="D48" s="1169"/>
      <c r="E48" s="1169"/>
      <c r="F48" s="1169"/>
      <c r="G48" s="1169"/>
      <c r="H48" s="1169"/>
      <c r="I48" s="1169"/>
      <c r="J48" s="1169"/>
      <c r="K48" s="1169"/>
      <c r="L48" s="1176"/>
      <c r="M48" s="1176"/>
      <c r="N48" s="1176"/>
      <c r="O48" s="1176"/>
      <c r="P48" s="1176"/>
    </row>
    <row r="49" spans="1:13" ht="15.75" customHeight="1">
      <c r="A49" s="1"/>
      <c r="B49" s="4"/>
      <c r="L49" s="4"/>
      <c r="M49" s="4"/>
    </row>
    <row r="50" spans="1:13">
      <c r="A50" s="4"/>
      <c r="B50" s="4"/>
      <c r="L50" s="4"/>
      <c r="M50" s="4"/>
    </row>
    <row r="51" spans="1:13">
      <c r="A51" s="4"/>
      <c r="B51" s="4"/>
      <c r="C51" s="4"/>
      <c r="D51" s="4"/>
      <c r="E51" s="4"/>
      <c r="F51" s="4"/>
      <c r="G51" s="4"/>
      <c r="H51" s="4"/>
      <c r="I51" s="4"/>
      <c r="J51" s="4"/>
      <c r="K51" s="4"/>
      <c r="L51" s="4"/>
      <c r="M51" s="4"/>
    </row>
    <row r="52" spans="1:13">
      <c r="A52" s="4"/>
      <c r="B52" s="4"/>
      <c r="C52" s="4"/>
      <c r="D52" s="4"/>
      <c r="E52" s="4"/>
      <c r="F52" s="4"/>
      <c r="G52" s="4"/>
      <c r="H52" s="4"/>
      <c r="I52" s="4"/>
      <c r="J52" s="4"/>
      <c r="K52" s="4"/>
      <c r="L52" s="4"/>
      <c r="M52" s="4"/>
    </row>
    <row r="53" spans="1:13" ht="15.75">
      <c r="A53" s="4"/>
      <c r="B53" s="28"/>
      <c r="C53" s="4"/>
      <c r="D53" s="4"/>
      <c r="E53" s="4"/>
      <c r="F53" s="4"/>
      <c r="G53" s="4"/>
      <c r="H53" s="4"/>
      <c r="I53" s="4"/>
      <c r="J53" s="4"/>
      <c r="K53" s="4"/>
      <c r="L53" s="4"/>
      <c r="M53" s="4"/>
    </row>
    <row r="54" spans="1:13">
      <c r="A54" s="37"/>
      <c r="B54" s="4"/>
      <c r="C54" s="37"/>
      <c r="D54" s="37"/>
      <c r="E54" s="37"/>
      <c r="F54" s="37"/>
      <c r="G54" s="37"/>
      <c r="H54" s="37"/>
      <c r="I54" s="29"/>
      <c r="J54" s="37"/>
      <c r="K54" s="37"/>
      <c r="L54" s="4"/>
      <c r="M54" s="4"/>
    </row>
    <row r="55" spans="1:13">
      <c r="A55" s="30"/>
      <c r="B55" s="1164"/>
      <c r="C55" s="1164"/>
      <c r="D55" s="1164"/>
      <c r="E55" s="1164"/>
      <c r="F55" s="1164"/>
      <c r="G55" s="1164"/>
      <c r="H55" s="1164"/>
      <c r="I55" s="1164"/>
      <c r="J55" s="1164"/>
      <c r="K55" s="1164"/>
      <c r="L55" s="4"/>
      <c r="M55" s="4"/>
    </row>
    <row r="56" spans="1:13">
      <c r="A56" s="38"/>
      <c r="B56" s="1164"/>
      <c r="C56" s="1164"/>
      <c r="D56" s="1164"/>
      <c r="E56" s="1164"/>
      <c r="F56" s="1164"/>
      <c r="G56" s="1164"/>
      <c r="H56" s="1164"/>
      <c r="I56" s="1164"/>
      <c r="J56" s="1164"/>
      <c r="K56" s="1164"/>
      <c r="L56" s="4"/>
      <c r="M56" s="4"/>
    </row>
    <row r="57" spans="1:13">
      <c r="A57" s="30"/>
      <c r="B57" s="31"/>
      <c r="C57" s="31"/>
      <c r="D57" s="31"/>
      <c r="E57" s="31"/>
      <c r="F57" s="31"/>
      <c r="G57" s="31"/>
      <c r="H57" s="31"/>
      <c r="I57" s="31"/>
      <c r="J57" s="31"/>
      <c r="K57" s="31"/>
      <c r="L57" s="4"/>
      <c r="M57" s="4"/>
    </row>
    <row r="58" spans="1:13">
      <c r="A58" s="30"/>
      <c r="B58" s="31"/>
      <c r="C58" s="31"/>
      <c r="D58" s="31"/>
      <c r="E58" s="31"/>
      <c r="F58" s="31"/>
      <c r="G58" s="31"/>
      <c r="H58" s="31"/>
      <c r="I58" s="31"/>
      <c r="J58" s="31"/>
      <c r="K58" s="31"/>
      <c r="L58" s="4"/>
      <c r="M58" s="4"/>
    </row>
    <row r="59" spans="1:13">
      <c r="A59" s="30"/>
      <c r="B59" s="31"/>
      <c r="C59" s="31"/>
      <c r="D59" s="31"/>
      <c r="E59" s="31"/>
      <c r="F59" s="31"/>
      <c r="G59" s="31"/>
      <c r="H59" s="31"/>
      <c r="I59" s="31"/>
      <c r="J59" s="31"/>
      <c r="K59" s="31"/>
      <c r="L59" s="4"/>
      <c r="M59" s="4"/>
    </row>
    <row r="60" spans="1:13">
      <c r="A60" s="30"/>
      <c r="B60" s="31"/>
      <c r="C60" s="31"/>
      <c r="D60" s="31"/>
      <c r="E60" s="31"/>
      <c r="F60" s="31"/>
      <c r="G60" s="31"/>
      <c r="H60" s="31"/>
      <c r="I60" s="31"/>
      <c r="J60" s="31"/>
      <c r="K60" s="31"/>
      <c r="L60" s="4"/>
      <c r="M60" s="4"/>
    </row>
    <row r="61" spans="1:13">
      <c r="A61" s="30"/>
      <c r="B61" s="31"/>
      <c r="C61" s="31"/>
      <c r="D61" s="31"/>
      <c r="E61" s="31"/>
      <c r="F61" s="31"/>
      <c r="G61" s="31"/>
      <c r="H61" s="31"/>
      <c r="I61" s="31"/>
      <c r="J61" s="31"/>
      <c r="K61" s="31"/>
      <c r="L61" s="4"/>
      <c r="M61" s="4"/>
    </row>
    <row r="62" spans="1:13">
      <c r="A62" s="30"/>
      <c r="B62" s="31"/>
      <c r="C62" s="31"/>
      <c r="D62" s="31"/>
      <c r="E62" s="31"/>
      <c r="F62" s="31"/>
      <c r="G62" s="31"/>
      <c r="H62" s="31"/>
      <c r="I62" s="31"/>
      <c r="J62" s="31"/>
      <c r="K62" s="31"/>
      <c r="L62" s="4"/>
      <c r="M62" s="4"/>
    </row>
    <row r="63" spans="1:13">
      <c r="A63" s="30"/>
      <c r="B63" s="31"/>
      <c r="C63" s="31"/>
      <c r="D63" s="31"/>
      <c r="E63" s="31"/>
      <c r="F63" s="31"/>
      <c r="G63" s="31"/>
      <c r="H63" s="31"/>
      <c r="I63" s="31"/>
      <c r="J63" s="31"/>
      <c r="K63" s="31"/>
      <c r="L63" s="4"/>
      <c r="M63" s="4"/>
    </row>
    <row r="64" spans="1:13">
      <c r="A64" s="30"/>
      <c r="B64" s="31"/>
      <c r="C64" s="31"/>
      <c r="D64" s="31"/>
      <c r="E64" s="31"/>
      <c r="F64" s="31"/>
      <c r="G64" s="31"/>
      <c r="H64" s="31"/>
      <c r="I64" s="31"/>
      <c r="J64" s="31"/>
      <c r="K64" s="31"/>
      <c r="L64" s="4"/>
      <c r="M64" s="4"/>
    </row>
    <row r="65" spans="1:13">
      <c r="A65" s="30"/>
      <c r="B65" s="31"/>
      <c r="C65" s="31"/>
      <c r="D65" s="31"/>
      <c r="E65" s="31"/>
      <c r="F65" s="31"/>
      <c r="G65" s="31"/>
      <c r="H65" s="31"/>
      <c r="I65" s="31"/>
      <c r="J65" s="31"/>
      <c r="K65" s="31"/>
      <c r="L65" s="4"/>
      <c r="M65" s="4"/>
    </row>
    <row r="66" spans="1:13">
      <c r="A66" s="30"/>
      <c r="B66" s="31"/>
      <c r="C66" s="31"/>
      <c r="D66" s="31"/>
      <c r="E66" s="31"/>
      <c r="F66" s="31"/>
      <c r="G66" s="31"/>
      <c r="H66" s="31"/>
      <c r="I66" s="31"/>
      <c r="J66" s="31"/>
      <c r="K66" s="31"/>
      <c r="L66" s="4"/>
      <c r="M66" s="4"/>
    </row>
    <row r="67" spans="1:13">
      <c r="A67" s="30"/>
      <c r="B67" s="31"/>
      <c r="C67" s="31"/>
      <c r="D67" s="31"/>
      <c r="E67" s="31"/>
      <c r="F67" s="31"/>
      <c r="G67" s="31"/>
      <c r="H67" s="31"/>
      <c r="I67" s="31"/>
      <c r="J67" s="31"/>
      <c r="K67" s="31"/>
      <c r="L67" s="4"/>
      <c r="M67" s="4"/>
    </row>
    <row r="68" spans="1:13">
      <c r="A68" s="30"/>
      <c r="B68" s="31"/>
      <c r="C68" s="31"/>
      <c r="D68" s="31"/>
      <c r="E68" s="31"/>
      <c r="F68" s="31"/>
      <c r="G68" s="31"/>
      <c r="H68" s="31"/>
      <c r="I68" s="31"/>
      <c r="J68" s="31"/>
      <c r="K68" s="31"/>
      <c r="L68" s="4"/>
      <c r="M68" s="4"/>
    </row>
    <row r="69" spans="1:13">
      <c r="A69" s="30"/>
      <c r="B69" s="31"/>
      <c r="C69" s="31"/>
      <c r="D69" s="31"/>
      <c r="E69" s="31"/>
      <c r="F69" s="31"/>
      <c r="G69" s="31"/>
      <c r="H69" s="31"/>
      <c r="I69" s="31"/>
      <c r="J69" s="31"/>
      <c r="K69" s="31"/>
      <c r="L69" s="4"/>
      <c r="M69" s="4"/>
    </row>
    <row r="70" spans="1:13">
      <c r="A70" s="30"/>
      <c r="B70" s="31"/>
      <c r="C70" s="31"/>
      <c r="D70" s="31"/>
      <c r="E70" s="31"/>
      <c r="F70" s="31"/>
      <c r="G70" s="31"/>
      <c r="H70" s="31"/>
      <c r="I70" s="31"/>
      <c r="J70" s="31"/>
      <c r="K70" s="31"/>
      <c r="L70" s="4"/>
      <c r="M70" s="4"/>
    </row>
    <row r="71" spans="1:13">
      <c r="A71" s="30"/>
      <c r="B71" s="31"/>
      <c r="C71" s="31"/>
      <c r="D71" s="31"/>
      <c r="E71" s="31"/>
      <c r="F71" s="31"/>
      <c r="G71" s="31"/>
      <c r="H71" s="31"/>
      <c r="I71" s="31"/>
      <c r="J71" s="31"/>
      <c r="K71" s="31"/>
      <c r="L71" s="4"/>
      <c r="M71" s="4"/>
    </row>
    <row r="72" spans="1:13">
      <c r="A72" s="30"/>
      <c r="B72" s="31"/>
      <c r="C72" s="31"/>
      <c r="D72" s="31"/>
      <c r="E72" s="31"/>
      <c r="F72" s="31"/>
      <c r="G72" s="31"/>
      <c r="H72" s="31"/>
      <c r="I72" s="31"/>
      <c r="J72" s="31"/>
      <c r="K72" s="31"/>
      <c r="L72" s="4"/>
      <c r="M72" s="4"/>
    </row>
    <row r="73" spans="1:13">
      <c r="A73" s="30"/>
      <c r="B73" s="31"/>
      <c r="C73" s="31"/>
      <c r="D73" s="31"/>
      <c r="E73" s="31"/>
      <c r="F73" s="31"/>
      <c r="G73" s="31"/>
      <c r="H73" s="31"/>
      <c r="I73" s="31"/>
      <c r="J73" s="31"/>
      <c r="K73" s="31"/>
      <c r="L73" s="4"/>
      <c r="M73" s="4"/>
    </row>
    <row r="74" spans="1:13">
      <c r="A74" s="30"/>
      <c r="B74" s="31"/>
      <c r="C74" s="31"/>
      <c r="D74" s="31"/>
      <c r="E74" s="31"/>
      <c r="F74" s="31"/>
      <c r="G74" s="31"/>
      <c r="H74" s="31"/>
      <c r="I74" s="31"/>
      <c r="J74" s="31"/>
      <c r="K74" s="31"/>
      <c r="L74" s="4"/>
      <c r="M74" s="4"/>
    </row>
    <row r="75" spans="1:13">
      <c r="A75" s="30"/>
      <c r="B75" s="31"/>
      <c r="C75" s="31"/>
      <c r="D75" s="31"/>
      <c r="E75" s="31"/>
      <c r="F75" s="31"/>
      <c r="G75" s="31"/>
      <c r="H75" s="31"/>
      <c r="I75" s="31"/>
      <c r="J75" s="31"/>
      <c r="K75" s="31"/>
      <c r="L75" s="4"/>
      <c r="M75" s="4"/>
    </row>
    <row r="76" spans="1:13">
      <c r="A76" s="30"/>
      <c r="B76" s="31"/>
      <c r="C76" s="31"/>
      <c r="D76" s="31"/>
      <c r="E76" s="31"/>
      <c r="F76" s="31"/>
      <c r="G76" s="31"/>
      <c r="H76" s="31"/>
      <c r="I76" s="31"/>
      <c r="J76" s="31"/>
      <c r="K76" s="31"/>
      <c r="L76" s="4"/>
      <c r="M76" s="4"/>
    </row>
    <row r="77" spans="1:13">
      <c r="A77" s="30"/>
      <c r="B77" s="31"/>
      <c r="C77" s="31"/>
      <c r="D77" s="31"/>
      <c r="E77" s="31"/>
      <c r="F77" s="31"/>
      <c r="G77" s="31"/>
      <c r="H77" s="31"/>
      <c r="I77" s="31"/>
      <c r="J77" s="31"/>
      <c r="K77" s="31"/>
      <c r="L77" s="4"/>
      <c r="M77" s="4"/>
    </row>
    <row r="78" spans="1:13">
      <c r="A78" s="30"/>
      <c r="B78" s="31"/>
      <c r="C78" s="31"/>
      <c r="D78" s="31"/>
      <c r="E78" s="31"/>
      <c r="F78" s="31"/>
      <c r="G78" s="31"/>
      <c r="H78" s="31"/>
      <c r="I78" s="31"/>
      <c r="J78" s="31"/>
      <c r="K78" s="31"/>
      <c r="L78" s="4"/>
      <c r="M78" s="4"/>
    </row>
    <row r="79" spans="1:13">
      <c r="A79" s="30"/>
      <c r="B79" s="32"/>
      <c r="C79" s="32"/>
      <c r="D79" s="32"/>
      <c r="E79" s="32"/>
      <c r="F79" s="32"/>
      <c r="G79" s="32"/>
      <c r="H79" s="32"/>
      <c r="I79" s="32"/>
      <c r="J79" s="32"/>
      <c r="K79" s="32"/>
      <c r="L79" s="4"/>
      <c r="M79" s="4"/>
    </row>
    <row r="80" spans="1:13">
      <c r="A80" s="30"/>
      <c r="B80" s="31"/>
      <c r="C80" s="31"/>
      <c r="D80" s="31"/>
      <c r="E80" s="31"/>
      <c r="F80" s="31"/>
      <c r="G80" s="31"/>
      <c r="H80" s="31"/>
      <c r="I80" s="31"/>
      <c r="J80" s="31"/>
      <c r="K80" s="31"/>
      <c r="L80" s="4"/>
      <c r="M80" s="4"/>
    </row>
    <row r="81" spans="1:13">
      <c r="A81" s="5"/>
      <c r="B81" s="33"/>
      <c r="C81" s="33"/>
      <c r="D81" s="33"/>
      <c r="E81" s="33"/>
      <c r="F81" s="33"/>
      <c r="G81" s="33"/>
      <c r="H81" s="33"/>
      <c r="I81" s="33"/>
      <c r="J81" s="33"/>
      <c r="K81" s="33"/>
      <c r="L81" s="4"/>
      <c r="M81" s="4"/>
    </row>
    <row r="82" spans="1:13">
      <c r="A82" s="5"/>
      <c r="B82" s="33"/>
      <c r="C82" s="33"/>
      <c r="D82" s="33"/>
      <c r="E82" s="33"/>
      <c r="F82" s="33"/>
      <c r="G82" s="33"/>
      <c r="H82" s="33"/>
      <c r="I82" s="33"/>
      <c r="J82" s="33"/>
      <c r="K82" s="33"/>
      <c r="L82" s="4"/>
      <c r="M82" s="4"/>
    </row>
    <row r="83" spans="1:13">
      <c r="A83" s="4"/>
      <c r="B83" s="4"/>
      <c r="C83" s="30"/>
      <c r="D83" s="30"/>
      <c r="E83" s="30"/>
      <c r="F83" s="30"/>
      <c r="G83" s="30"/>
      <c r="H83" s="30"/>
      <c r="I83" s="30"/>
      <c r="J83" s="30"/>
      <c r="K83" s="30"/>
      <c r="L83" s="4"/>
      <c r="M83" s="4"/>
    </row>
    <row r="84" spans="1:13">
      <c r="A84" s="4"/>
      <c r="B84" s="4"/>
      <c r="C84" s="30"/>
      <c r="D84" s="30"/>
      <c r="E84" s="30"/>
      <c r="F84" s="30"/>
      <c r="G84" s="30"/>
      <c r="H84" s="30"/>
      <c r="I84" s="30"/>
      <c r="J84" s="30"/>
      <c r="K84" s="30"/>
      <c r="L84" s="4"/>
      <c r="M84" s="4"/>
    </row>
    <row r="85" spans="1:13">
      <c r="A85" s="34"/>
      <c r="B85" s="4"/>
      <c r="C85" s="30"/>
      <c r="D85" s="30"/>
      <c r="E85" s="30"/>
      <c r="F85" s="30"/>
      <c r="G85" s="30"/>
      <c r="H85" s="30"/>
      <c r="I85" s="30"/>
      <c r="J85" s="30"/>
      <c r="K85" s="30"/>
      <c r="L85" s="4"/>
      <c r="M85" s="4"/>
    </row>
    <row r="86" spans="1:13">
      <c r="A86" s="34"/>
      <c r="B86" s="4"/>
      <c r="C86" s="30"/>
      <c r="D86" s="30"/>
      <c r="E86" s="30"/>
      <c r="F86" s="30"/>
      <c r="G86" s="30"/>
      <c r="H86" s="30"/>
      <c r="I86" s="30"/>
      <c r="J86" s="30"/>
      <c r="K86" s="30"/>
      <c r="L86" s="4"/>
      <c r="M86" s="4"/>
    </row>
    <row r="87" spans="1:13">
      <c r="A87" s="30"/>
      <c r="B87" s="4"/>
      <c r="C87" s="30"/>
      <c r="D87" s="30"/>
      <c r="E87" s="30"/>
      <c r="F87" s="30"/>
      <c r="G87" s="30"/>
      <c r="H87" s="30"/>
      <c r="I87" s="30"/>
      <c r="J87" s="30"/>
      <c r="K87" s="30"/>
      <c r="L87" s="4"/>
      <c r="M87" s="4"/>
    </row>
    <row r="88" spans="1:13">
      <c r="A88" s="30"/>
      <c r="B88" s="4"/>
      <c r="C88" s="31"/>
      <c r="D88" s="30"/>
      <c r="E88" s="30"/>
      <c r="F88" s="30"/>
      <c r="G88" s="30"/>
      <c r="H88" s="30"/>
      <c r="I88" s="30"/>
      <c r="J88" s="30"/>
      <c r="K88" s="30"/>
      <c r="L88" s="4"/>
      <c r="M88" s="4"/>
    </row>
    <row r="89" spans="1:13">
      <c r="A89" s="30"/>
      <c r="B89" s="4"/>
      <c r="C89" s="4"/>
      <c r="D89" s="4"/>
      <c r="E89" s="4"/>
      <c r="F89" s="4"/>
      <c r="G89" s="4"/>
      <c r="H89" s="4"/>
      <c r="I89" s="4"/>
      <c r="J89" s="4"/>
      <c r="K89" s="4"/>
      <c r="L89" s="4"/>
      <c r="M89" s="4"/>
    </row>
    <row r="90" spans="1:13">
      <c r="A90" s="30"/>
      <c r="B90" s="4"/>
      <c r="C90" s="4"/>
      <c r="D90" s="4"/>
      <c r="E90" s="4"/>
      <c r="F90" s="4"/>
      <c r="G90" s="4"/>
      <c r="H90" s="4"/>
      <c r="I90" s="4"/>
      <c r="J90" s="4"/>
      <c r="K90" s="4"/>
      <c r="L90" s="4"/>
      <c r="M90" s="4"/>
    </row>
    <row r="91" spans="1:13">
      <c r="A91" s="35"/>
      <c r="B91" s="4"/>
      <c r="C91" s="4"/>
      <c r="D91" s="4"/>
      <c r="E91" s="4"/>
      <c r="F91" s="4"/>
      <c r="G91" s="4"/>
      <c r="H91" s="4"/>
      <c r="I91" s="4"/>
      <c r="J91" s="4"/>
      <c r="K91" s="4"/>
      <c r="L91" s="4"/>
      <c r="M91" s="4"/>
    </row>
    <row r="92" spans="1:13">
      <c r="A92" s="35"/>
      <c r="B92" s="4"/>
      <c r="C92" s="4"/>
      <c r="D92" s="4"/>
      <c r="E92" s="4"/>
      <c r="F92" s="4"/>
      <c r="G92" s="4"/>
      <c r="H92" s="4"/>
      <c r="I92" s="4"/>
      <c r="J92" s="4"/>
      <c r="K92" s="4"/>
      <c r="L92" s="4"/>
      <c r="M92" s="4"/>
    </row>
    <row r="93" spans="1:13">
      <c r="A93" s="4"/>
      <c r="B93" s="4"/>
      <c r="C93" s="4"/>
      <c r="D93" s="4"/>
      <c r="E93" s="4"/>
      <c r="F93" s="4"/>
      <c r="G93" s="4"/>
      <c r="H93" s="4"/>
      <c r="I93" s="4"/>
      <c r="J93" s="4"/>
      <c r="K93" s="4"/>
      <c r="L93" s="4"/>
      <c r="M93" s="4"/>
    </row>
    <row r="94" spans="1:13">
      <c r="A94" s="4"/>
      <c r="B94" s="4"/>
      <c r="C94" s="4"/>
      <c r="D94" s="4"/>
      <c r="E94" s="4"/>
      <c r="F94" s="4"/>
      <c r="G94" s="4"/>
      <c r="H94" s="4"/>
      <c r="I94" s="4"/>
      <c r="J94" s="4"/>
      <c r="K94" s="4"/>
      <c r="L94" s="4"/>
      <c r="M94" s="4"/>
    </row>
    <row r="95" spans="1:13">
      <c r="A95" s="4"/>
      <c r="B95" s="4"/>
      <c r="C95" s="4"/>
      <c r="D95" s="4"/>
      <c r="E95" s="4"/>
      <c r="F95" s="4"/>
      <c r="G95" s="4"/>
      <c r="H95" s="4"/>
      <c r="I95" s="4"/>
      <c r="J95" s="4"/>
      <c r="K95" s="4"/>
      <c r="L95" s="4"/>
      <c r="M95" s="4"/>
    </row>
    <row r="96" spans="1:13">
      <c r="A96" s="4"/>
      <c r="B96" s="4"/>
      <c r="C96" s="4"/>
      <c r="D96" s="4"/>
      <c r="E96" s="4"/>
      <c r="F96" s="4"/>
      <c r="G96" s="4"/>
      <c r="H96" s="4"/>
      <c r="I96" s="4"/>
      <c r="J96" s="4"/>
      <c r="K96" s="4"/>
      <c r="L96" s="4"/>
      <c r="M96" s="4"/>
    </row>
    <row r="97" spans="1:13">
      <c r="A97" s="4"/>
      <c r="B97" s="4"/>
      <c r="C97" s="4"/>
      <c r="D97" s="4"/>
      <c r="E97" s="4"/>
      <c r="F97" s="4"/>
      <c r="G97" s="4"/>
      <c r="H97" s="4"/>
      <c r="I97" s="4"/>
      <c r="J97" s="4"/>
      <c r="K97" s="4"/>
      <c r="L97" s="4"/>
      <c r="M97" s="4"/>
    </row>
    <row r="98" spans="1:13">
      <c r="A98" s="4"/>
      <c r="B98" s="4"/>
      <c r="C98" s="4"/>
      <c r="D98" s="4"/>
      <c r="E98" s="4"/>
      <c r="F98" s="4"/>
      <c r="G98" s="4"/>
      <c r="H98" s="4"/>
      <c r="I98" s="4"/>
      <c r="J98" s="4"/>
      <c r="K98" s="4"/>
      <c r="L98" s="4"/>
      <c r="M98" s="4"/>
    </row>
    <row r="99" spans="1:13">
      <c r="A99" s="4"/>
      <c r="B99" s="4"/>
      <c r="C99" s="4"/>
      <c r="D99" s="4"/>
      <c r="E99" s="4"/>
      <c r="F99" s="4"/>
      <c r="G99" s="4"/>
      <c r="H99" s="4"/>
      <c r="I99" s="4"/>
      <c r="J99" s="4"/>
      <c r="K99" s="4"/>
      <c r="L99" s="4"/>
      <c r="M99" s="4"/>
    </row>
    <row r="100" spans="1:13">
      <c r="A100" s="4"/>
      <c r="B100" s="4"/>
      <c r="C100" s="4"/>
      <c r="D100" s="4"/>
      <c r="E100" s="4"/>
      <c r="F100" s="4"/>
      <c r="G100" s="4"/>
      <c r="H100" s="4"/>
      <c r="I100" s="4"/>
      <c r="J100" s="4"/>
      <c r="K100" s="4"/>
      <c r="L100" s="4"/>
      <c r="M100" s="4"/>
    </row>
    <row r="101" spans="1:13">
      <c r="A101" s="4"/>
      <c r="B101" s="4"/>
      <c r="C101" s="4"/>
      <c r="D101" s="4"/>
      <c r="E101" s="4"/>
      <c r="F101" s="4"/>
      <c r="G101" s="4"/>
      <c r="H101" s="4"/>
      <c r="I101" s="4"/>
      <c r="J101" s="4"/>
      <c r="K101" s="4"/>
      <c r="L101" s="4"/>
      <c r="M101" s="4"/>
    </row>
    <row r="102" spans="1:13">
      <c r="A102" s="4"/>
      <c r="B102" s="4"/>
      <c r="C102" s="4"/>
      <c r="D102" s="4"/>
      <c r="E102" s="4"/>
      <c r="F102" s="4"/>
      <c r="G102" s="4"/>
      <c r="H102" s="4"/>
      <c r="I102" s="4"/>
      <c r="J102" s="4"/>
      <c r="K102" s="4"/>
      <c r="L102" s="4"/>
      <c r="M102" s="4"/>
    </row>
    <row r="103" spans="1:13">
      <c r="A103" s="4"/>
      <c r="B103" s="4"/>
      <c r="C103" s="4"/>
      <c r="D103" s="4"/>
      <c r="E103" s="4"/>
      <c r="F103" s="4"/>
      <c r="G103" s="4"/>
      <c r="H103" s="4"/>
      <c r="I103" s="4"/>
      <c r="J103" s="4"/>
      <c r="K103" s="4"/>
    </row>
    <row r="104" spans="1:13">
      <c r="A104" s="4"/>
      <c r="B104" s="4"/>
      <c r="C104" s="4"/>
      <c r="D104" s="4"/>
      <c r="E104" s="4"/>
      <c r="F104" s="4"/>
      <c r="G104" s="4"/>
      <c r="H104" s="4"/>
      <c r="I104" s="4"/>
      <c r="J104" s="4"/>
      <c r="K104" s="4"/>
    </row>
  </sheetData>
  <mergeCells count="32">
    <mergeCell ref="L3:P3"/>
    <mergeCell ref="L4:L5"/>
    <mergeCell ref="M4:M5"/>
    <mergeCell ref="N4:N5"/>
    <mergeCell ref="O4:O5"/>
    <mergeCell ref="P4:P5"/>
    <mergeCell ref="A48:P48"/>
    <mergeCell ref="A43:P43"/>
    <mergeCell ref="J55:J56"/>
    <mergeCell ref="K55:K56"/>
    <mergeCell ref="D55:D56"/>
    <mergeCell ref="E55:E56"/>
    <mergeCell ref="G55:G56"/>
    <mergeCell ref="H55:H56"/>
    <mergeCell ref="C55:C56"/>
    <mergeCell ref="F55:F56"/>
    <mergeCell ref="I55:I56"/>
    <mergeCell ref="A46:L46"/>
    <mergeCell ref="B55:B56"/>
    <mergeCell ref="B1:K1"/>
    <mergeCell ref="B3:F3"/>
    <mergeCell ref="G3:K3"/>
    <mergeCell ref="J4:J5"/>
    <mergeCell ref="K4:K5"/>
    <mergeCell ref="F4:F5"/>
    <mergeCell ref="G4:G5"/>
    <mergeCell ref="H4:H5"/>
    <mergeCell ref="D4:D5"/>
    <mergeCell ref="E4:E5"/>
    <mergeCell ref="I4:I5"/>
    <mergeCell ref="B4:B5"/>
    <mergeCell ref="C4:C5"/>
  </mergeCells>
  <phoneticPr fontId="35" type="noConversion"/>
  <pageMargins left="0.75" right="0.75" top="1" bottom="1" header="0.5" footer="0.5"/>
  <pageSetup scale="68"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sheetPr codeName="Sheet12">
    <pageSetUpPr fitToPage="1"/>
  </sheetPr>
  <dimension ref="A1:X45"/>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16" customWidth="1"/>
    <col min="2" max="2" width="10.5703125" style="1" bestFit="1" customWidth="1"/>
    <col min="3" max="12" width="10.140625" style="1" bestFit="1" customWidth="1"/>
    <col min="13" max="16384" width="9.140625" style="1"/>
  </cols>
  <sheetData>
    <row r="1" spans="1:24" ht="15.75">
      <c r="A1" s="3" t="s">
        <v>2096</v>
      </c>
    </row>
    <row r="2" spans="1:24">
      <c r="A2" s="13"/>
      <c r="B2" s="4"/>
    </row>
    <row r="3" spans="1:24">
      <c r="A3" s="14"/>
      <c r="B3" s="1164" t="s">
        <v>375</v>
      </c>
      <c r="C3" s="1164" t="s">
        <v>377</v>
      </c>
      <c r="D3" s="1164" t="s">
        <v>386</v>
      </c>
      <c r="E3" s="1164" t="s">
        <v>378</v>
      </c>
      <c r="F3" s="1164" t="s">
        <v>379</v>
      </c>
      <c r="G3" s="1164" t="s">
        <v>380</v>
      </c>
      <c r="H3" s="1164" t="s">
        <v>381</v>
      </c>
      <c r="I3" s="1164" t="s">
        <v>382</v>
      </c>
      <c r="J3" s="1164" t="s">
        <v>383</v>
      </c>
      <c r="K3" s="1164" t="s">
        <v>384</v>
      </c>
      <c r="L3" s="1164" t="s">
        <v>385</v>
      </c>
    </row>
    <row r="4" spans="1:24" s="4" customFormat="1">
      <c r="A4" s="15"/>
      <c r="B4" s="1165"/>
      <c r="C4" s="1165"/>
      <c r="D4" s="1165"/>
      <c r="E4" s="1165"/>
      <c r="F4" s="1165"/>
      <c r="G4" s="1165"/>
      <c r="H4" s="1165"/>
      <c r="I4" s="1165"/>
      <c r="J4" s="1165"/>
      <c r="K4" s="1165"/>
      <c r="L4" s="1165"/>
    </row>
    <row r="5" spans="1:24" ht="15">
      <c r="A5" s="119">
        <v>1981</v>
      </c>
      <c r="B5" s="816">
        <v>50.6</v>
      </c>
      <c r="C5" s="816">
        <v>54.1</v>
      </c>
      <c r="D5" s="816">
        <v>53.3</v>
      </c>
      <c r="E5" s="816">
        <v>51.1</v>
      </c>
      <c r="F5" s="816">
        <v>53.1</v>
      </c>
      <c r="G5" s="816">
        <v>52.2</v>
      </c>
      <c r="H5" s="816">
        <v>49.1</v>
      </c>
      <c r="I5" s="816">
        <v>50.4</v>
      </c>
      <c r="J5" s="816">
        <v>52.2</v>
      </c>
      <c r="K5" s="816">
        <v>51.9</v>
      </c>
      <c r="L5" s="816">
        <v>50.5</v>
      </c>
      <c r="N5" s="817"/>
      <c r="O5" s="817"/>
      <c r="P5" s="817"/>
      <c r="Q5" s="817"/>
      <c r="R5" s="817"/>
      <c r="S5" s="817"/>
      <c r="T5" s="817"/>
      <c r="U5" s="817"/>
      <c r="V5" s="817"/>
      <c r="W5" s="817"/>
      <c r="X5" s="817"/>
    </row>
    <row r="6" spans="1:24" ht="15">
      <c r="A6" s="119">
        <v>1982</v>
      </c>
      <c r="B6" s="816">
        <v>55.6</v>
      </c>
      <c r="C6" s="816">
        <v>59.4</v>
      </c>
      <c r="D6" s="816">
        <v>58.2</v>
      </c>
      <c r="E6" s="816">
        <v>56</v>
      </c>
      <c r="F6" s="816">
        <v>57.8</v>
      </c>
      <c r="G6" s="816">
        <v>57.8</v>
      </c>
      <c r="H6" s="816">
        <v>53.9</v>
      </c>
      <c r="I6" s="816">
        <v>54.5</v>
      </c>
      <c r="J6" s="816">
        <v>56.8</v>
      </c>
      <c r="K6" s="816">
        <v>57.3</v>
      </c>
      <c r="L6" s="816">
        <v>55.7</v>
      </c>
      <c r="N6" s="817"/>
      <c r="O6" s="817"/>
      <c r="P6" s="817"/>
      <c r="Q6" s="817"/>
      <c r="R6" s="817"/>
      <c r="S6" s="817"/>
      <c r="T6" s="817"/>
      <c r="U6" s="817"/>
      <c r="V6" s="817"/>
      <c r="W6" s="817"/>
      <c r="X6" s="817"/>
    </row>
    <row r="7" spans="1:24" ht="15">
      <c r="A7" s="119">
        <v>1983</v>
      </c>
      <c r="B7" s="816">
        <v>59.5</v>
      </c>
      <c r="C7" s="816">
        <v>64.099999999999994</v>
      </c>
      <c r="D7" s="816">
        <v>62</v>
      </c>
      <c r="E7" s="816">
        <v>60.3</v>
      </c>
      <c r="F7" s="816">
        <v>62</v>
      </c>
      <c r="G7" s="816">
        <v>61.6</v>
      </c>
      <c r="H7" s="816">
        <v>57.9</v>
      </c>
      <c r="I7" s="816">
        <v>58.8</v>
      </c>
      <c r="J7" s="816">
        <v>61</v>
      </c>
      <c r="K7" s="816">
        <v>60.6</v>
      </c>
      <c r="L7" s="816">
        <v>59.4</v>
      </c>
      <c r="N7" s="817"/>
      <c r="O7" s="817"/>
      <c r="P7" s="817"/>
      <c r="Q7" s="817"/>
      <c r="R7" s="817"/>
      <c r="S7" s="817"/>
      <c r="T7" s="817"/>
      <c r="U7" s="817"/>
      <c r="V7" s="817"/>
      <c r="W7" s="817"/>
      <c r="X7" s="817"/>
    </row>
    <row r="8" spans="1:24" ht="15">
      <c r="A8" s="119">
        <v>1984</v>
      </c>
      <c r="B8" s="816">
        <v>62.2</v>
      </c>
      <c r="C8" s="816">
        <v>67.099999999999994</v>
      </c>
      <c r="D8" s="816">
        <v>64.900000000000006</v>
      </c>
      <c r="E8" s="816">
        <v>63.2</v>
      </c>
      <c r="F8" s="816">
        <v>65</v>
      </c>
      <c r="G8" s="816">
        <v>64.400000000000006</v>
      </c>
      <c r="H8" s="816">
        <v>60.9</v>
      </c>
      <c r="I8" s="816">
        <v>61.1</v>
      </c>
      <c r="J8" s="816">
        <v>63.6</v>
      </c>
      <c r="K8" s="816">
        <v>62.2</v>
      </c>
      <c r="L8" s="816">
        <v>62.2</v>
      </c>
      <c r="N8" s="817"/>
      <c r="O8" s="817"/>
      <c r="P8" s="817"/>
      <c r="Q8" s="817"/>
      <c r="R8" s="817"/>
      <c r="S8" s="817"/>
      <c r="T8" s="817"/>
      <c r="U8" s="817"/>
      <c r="V8" s="817"/>
      <c r="W8" s="817"/>
      <c r="X8" s="817"/>
    </row>
    <row r="9" spans="1:24" ht="15">
      <c r="A9" s="119">
        <v>1985</v>
      </c>
      <c r="B9" s="816">
        <v>64.7</v>
      </c>
      <c r="C9" s="816">
        <v>69.900000000000006</v>
      </c>
      <c r="D9" s="816">
        <v>67.5</v>
      </c>
      <c r="E9" s="816">
        <v>66.099999999999994</v>
      </c>
      <c r="F9" s="816">
        <v>67.7</v>
      </c>
      <c r="G9" s="816">
        <v>67.099999999999994</v>
      </c>
      <c r="H9" s="816">
        <v>63.5</v>
      </c>
      <c r="I9" s="816">
        <v>63.7</v>
      </c>
      <c r="J9" s="816">
        <v>65.900000000000006</v>
      </c>
      <c r="K9" s="816">
        <v>64.099999999999994</v>
      </c>
      <c r="L9" s="816">
        <v>64.3</v>
      </c>
      <c r="N9" s="817"/>
      <c r="O9" s="817"/>
      <c r="P9" s="817"/>
      <c r="Q9" s="817"/>
      <c r="R9" s="817"/>
      <c r="S9" s="817"/>
      <c r="T9" s="817"/>
      <c r="U9" s="817"/>
      <c r="V9" s="817"/>
      <c r="W9" s="817"/>
      <c r="X9" s="817"/>
    </row>
    <row r="10" spans="1:24" ht="15">
      <c r="A10" s="119">
        <v>1986</v>
      </c>
      <c r="B10" s="816">
        <v>67.5</v>
      </c>
      <c r="C10" s="816">
        <v>72.5</v>
      </c>
      <c r="D10" s="816">
        <v>69.599999999999994</v>
      </c>
      <c r="E10" s="816">
        <v>68.599999999999994</v>
      </c>
      <c r="F10" s="816">
        <v>70.5</v>
      </c>
      <c r="G10" s="816">
        <v>70.400000000000006</v>
      </c>
      <c r="H10" s="816">
        <v>66.3</v>
      </c>
      <c r="I10" s="816">
        <v>66.599999999999994</v>
      </c>
      <c r="J10" s="816">
        <v>67.599999999999994</v>
      </c>
      <c r="K10" s="816">
        <v>66.400000000000006</v>
      </c>
      <c r="L10" s="816">
        <v>66.7</v>
      </c>
      <c r="N10" s="817"/>
      <c r="O10" s="817"/>
      <c r="P10" s="817"/>
      <c r="Q10" s="817"/>
      <c r="R10" s="817"/>
      <c r="S10" s="817"/>
      <c r="T10" s="817"/>
      <c r="U10" s="817"/>
      <c r="V10" s="817"/>
      <c r="W10" s="817"/>
      <c r="X10" s="817"/>
    </row>
    <row r="11" spans="1:24" ht="15">
      <c r="A11" s="119">
        <v>1987</v>
      </c>
      <c r="B11" s="816">
        <v>70.2</v>
      </c>
      <c r="C11" s="816">
        <v>74.7</v>
      </c>
      <c r="D11" s="816">
        <v>72</v>
      </c>
      <c r="E11" s="816">
        <v>71</v>
      </c>
      <c r="F11" s="816">
        <v>72.5</v>
      </c>
      <c r="G11" s="816">
        <v>73.3</v>
      </c>
      <c r="H11" s="816">
        <v>69.099999999999994</v>
      </c>
      <c r="I11" s="816">
        <v>69.3</v>
      </c>
      <c r="J11" s="816">
        <v>70.400000000000006</v>
      </c>
      <c r="K11" s="816">
        <v>69</v>
      </c>
      <c r="L11" s="816">
        <v>68.8</v>
      </c>
      <c r="N11" s="817"/>
      <c r="O11" s="817"/>
      <c r="P11" s="817"/>
      <c r="Q11" s="817"/>
      <c r="R11" s="817"/>
      <c r="S11" s="817"/>
      <c r="T11" s="817"/>
      <c r="U11" s="817"/>
      <c r="V11" s="817"/>
      <c r="W11" s="817"/>
      <c r="X11" s="817"/>
    </row>
    <row r="12" spans="1:24" ht="15">
      <c r="A12" s="119">
        <v>1988</v>
      </c>
      <c r="B12" s="816">
        <v>72.900000000000006</v>
      </c>
      <c r="C12" s="816">
        <v>76.599999999999994</v>
      </c>
      <c r="D12" s="816">
        <v>74.8</v>
      </c>
      <c r="E12" s="816">
        <v>73.7</v>
      </c>
      <c r="F12" s="816">
        <v>75.099999999999994</v>
      </c>
      <c r="G12" s="816">
        <v>75.900000000000006</v>
      </c>
      <c r="H12" s="816">
        <v>72.2</v>
      </c>
      <c r="I12" s="816">
        <v>72.099999999999994</v>
      </c>
      <c r="J12" s="816">
        <v>73</v>
      </c>
      <c r="K12" s="816">
        <v>71.2</v>
      </c>
      <c r="L12" s="816">
        <v>71.099999999999994</v>
      </c>
      <c r="N12" s="817"/>
      <c r="O12" s="817"/>
      <c r="P12" s="817"/>
      <c r="Q12" s="817"/>
      <c r="R12" s="817"/>
      <c r="S12" s="817"/>
      <c r="T12" s="817"/>
      <c r="U12" s="817"/>
      <c r="V12" s="817"/>
      <c r="W12" s="817"/>
      <c r="X12" s="817"/>
    </row>
    <row r="13" spans="1:24" ht="15">
      <c r="A13" s="119">
        <v>1989</v>
      </c>
      <c r="B13" s="816">
        <v>76.099999999999994</v>
      </c>
      <c r="C13" s="816">
        <v>79.400000000000006</v>
      </c>
      <c r="D13" s="816">
        <v>77.7</v>
      </c>
      <c r="E13" s="816">
        <v>76.7</v>
      </c>
      <c r="F13" s="816">
        <v>78</v>
      </c>
      <c r="G13" s="816">
        <v>79.099999999999994</v>
      </c>
      <c r="H13" s="816">
        <v>75.8</v>
      </c>
      <c r="I13" s="816">
        <v>75.3</v>
      </c>
      <c r="J13" s="816">
        <v>76</v>
      </c>
      <c r="K13" s="816">
        <v>74</v>
      </c>
      <c r="L13" s="816">
        <v>73.8</v>
      </c>
      <c r="N13" s="817"/>
      <c r="O13" s="817"/>
      <c r="P13" s="817"/>
      <c r="Q13" s="817"/>
      <c r="R13" s="817"/>
      <c r="S13" s="817"/>
      <c r="T13" s="817"/>
      <c r="U13" s="817"/>
      <c r="V13" s="817"/>
      <c r="W13" s="817"/>
      <c r="X13" s="817"/>
    </row>
    <row r="14" spans="1:24" ht="15">
      <c r="A14" s="119">
        <v>1990</v>
      </c>
      <c r="B14" s="816">
        <v>79.3</v>
      </c>
      <c r="C14" s="816">
        <v>82.2</v>
      </c>
      <c r="D14" s="816">
        <v>81</v>
      </c>
      <c r="E14" s="816">
        <v>80.099999999999994</v>
      </c>
      <c r="F14" s="816">
        <v>81</v>
      </c>
      <c r="G14" s="816">
        <v>82.2</v>
      </c>
      <c r="H14" s="816">
        <v>78.900000000000006</v>
      </c>
      <c r="I14" s="816">
        <v>78.2</v>
      </c>
      <c r="J14" s="816">
        <v>78.5</v>
      </c>
      <c r="K14" s="816">
        <v>77.599999999999994</v>
      </c>
      <c r="L14" s="816">
        <v>77.400000000000006</v>
      </c>
      <c r="N14" s="817"/>
      <c r="O14" s="817"/>
      <c r="P14" s="817"/>
      <c r="Q14" s="817"/>
      <c r="R14" s="817"/>
      <c r="S14" s="817"/>
      <c r="T14" s="817"/>
      <c r="U14" s="817"/>
      <c r="V14" s="817"/>
      <c r="W14" s="817"/>
      <c r="X14" s="817"/>
    </row>
    <row r="15" spans="1:24" ht="15">
      <c r="A15" s="119">
        <v>1991</v>
      </c>
      <c r="B15" s="816">
        <v>83.3</v>
      </c>
      <c r="C15" s="816">
        <v>86.4</v>
      </c>
      <c r="D15" s="816">
        <v>85.8</v>
      </c>
      <c r="E15" s="816">
        <v>84.4</v>
      </c>
      <c r="F15" s="816">
        <v>85.2</v>
      </c>
      <c r="G15" s="816">
        <v>86.6</v>
      </c>
      <c r="H15" s="816">
        <v>82.7</v>
      </c>
      <c r="I15" s="816">
        <v>81.599999999999994</v>
      </c>
      <c r="J15" s="816">
        <v>81.900000000000006</v>
      </c>
      <c r="K15" s="816">
        <v>81.2</v>
      </c>
      <c r="L15" s="816">
        <v>81.599999999999994</v>
      </c>
      <c r="N15" s="817"/>
      <c r="O15" s="817"/>
      <c r="P15" s="817"/>
      <c r="Q15" s="817"/>
      <c r="R15" s="817"/>
      <c r="S15" s="817"/>
      <c r="T15" s="817"/>
      <c r="U15" s="817"/>
      <c r="V15" s="817"/>
      <c r="W15" s="817"/>
      <c r="X15" s="817"/>
    </row>
    <row r="16" spans="1:24" ht="15">
      <c r="A16" s="119">
        <v>1992</v>
      </c>
      <c r="B16" s="816">
        <v>84.7</v>
      </c>
      <c r="C16" s="816">
        <v>87.3</v>
      </c>
      <c r="D16" s="816">
        <v>86.4</v>
      </c>
      <c r="E16" s="816">
        <v>85.2</v>
      </c>
      <c r="F16" s="816">
        <v>85.9</v>
      </c>
      <c r="G16" s="816">
        <v>87.7</v>
      </c>
      <c r="H16" s="816">
        <v>84</v>
      </c>
      <c r="I16" s="816">
        <v>83</v>
      </c>
      <c r="J16" s="816">
        <v>82.8</v>
      </c>
      <c r="K16" s="816">
        <v>83</v>
      </c>
      <c r="L16" s="816">
        <v>83.7</v>
      </c>
      <c r="N16" s="817"/>
      <c r="O16" s="817"/>
      <c r="P16" s="817"/>
      <c r="Q16" s="817"/>
      <c r="R16" s="817"/>
      <c r="S16" s="817"/>
      <c r="T16" s="817"/>
      <c r="U16" s="817"/>
      <c r="V16" s="817"/>
      <c r="W16" s="817"/>
      <c r="X16" s="817"/>
    </row>
    <row r="17" spans="1:24" ht="15">
      <c r="A17" s="119">
        <v>1993</v>
      </c>
      <c r="B17" s="816">
        <v>86.7</v>
      </c>
      <c r="C17" s="816">
        <v>88.8</v>
      </c>
      <c r="D17" s="816">
        <v>88</v>
      </c>
      <c r="E17" s="816">
        <v>86.5</v>
      </c>
      <c r="F17" s="816">
        <v>87.5</v>
      </c>
      <c r="G17" s="816">
        <v>88.9</v>
      </c>
      <c r="H17" s="816">
        <v>86.3</v>
      </c>
      <c r="I17" s="816">
        <v>85.2</v>
      </c>
      <c r="J17" s="816">
        <v>85.1</v>
      </c>
      <c r="K17" s="816">
        <v>84.3</v>
      </c>
      <c r="L17" s="816">
        <v>86.4</v>
      </c>
      <c r="N17" s="817"/>
      <c r="O17" s="817"/>
      <c r="P17" s="817"/>
      <c r="Q17" s="817"/>
      <c r="R17" s="817"/>
      <c r="S17" s="817"/>
      <c r="T17" s="817"/>
      <c r="U17" s="817"/>
      <c r="V17" s="817"/>
      <c r="W17" s="817"/>
      <c r="X17" s="817"/>
    </row>
    <row r="18" spans="1:24" ht="15">
      <c r="A18" s="119">
        <v>1994</v>
      </c>
      <c r="B18" s="816">
        <v>87.6</v>
      </c>
      <c r="C18" s="816">
        <v>90</v>
      </c>
      <c r="D18" s="816">
        <v>88.2</v>
      </c>
      <c r="E18" s="816">
        <v>87.6</v>
      </c>
      <c r="F18" s="816">
        <v>88.4</v>
      </c>
      <c r="G18" s="816">
        <v>88.7</v>
      </c>
      <c r="H18" s="816">
        <v>87.1</v>
      </c>
      <c r="I18" s="816">
        <v>86.5</v>
      </c>
      <c r="J18" s="816">
        <v>86.5</v>
      </c>
      <c r="K18" s="816">
        <v>85.7</v>
      </c>
      <c r="L18" s="816">
        <v>88.1</v>
      </c>
      <c r="N18" s="817"/>
      <c r="O18" s="817"/>
      <c r="P18" s="817"/>
      <c r="Q18" s="817"/>
      <c r="R18" s="817"/>
      <c r="S18" s="817"/>
      <c r="T18" s="817"/>
      <c r="U18" s="817"/>
      <c r="V18" s="817"/>
      <c r="W18" s="817"/>
      <c r="X18" s="817"/>
    </row>
    <row r="19" spans="1:24" ht="15">
      <c r="A19" s="119">
        <v>1995</v>
      </c>
      <c r="B19" s="816">
        <v>88.7</v>
      </c>
      <c r="C19" s="816">
        <v>90.6</v>
      </c>
      <c r="D19" s="816">
        <v>89</v>
      </c>
      <c r="E19" s="816">
        <v>88.1</v>
      </c>
      <c r="F19" s="816">
        <v>89.1</v>
      </c>
      <c r="G19" s="816">
        <v>89.2</v>
      </c>
      <c r="H19" s="816">
        <v>88.6</v>
      </c>
      <c r="I19" s="816">
        <v>88.2</v>
      </c>
      <c r="J19" s="816">
        <v>87.9</v>
      </c>
      <c r="K19" s="816">
        <v>86.8</v>
      </c>
      <c r="L19" s="816">
        <v>89.7</v>
      </c>
      <c r="N19" s="817"/>
      <c r="O19" s="817"/>
      <c r="P19" s="817"/>
      <c r="Q19" s="817"/>
      <c r="R19" s="817"/>
      <c r="S19" s="817"/>
      <c r="T19" s="817"/>
      <c r="U19" s="817"/>
      <c r="V19" s="817"/>
      <c r="W19" s="817"/>
      <c r="X19" s="817"/>
    </row>
    <row r="20" spans="1:24" ht="15">
      <c r="A20" s="119">
        <v>1996</v>
      </c>
      <c r="B20" s="816">
        <v>90.1</v>
      </c>
      <c r="C20" s="816">
        <v>91.9</v>
      </c>
      <c r="D20" s="816">
        <v>90.5</v>
      </c>
      <c r="E20" s="816">
        <v>89.5</v>
      </c>
      <c r="F20" s="816">
        <v>90.4</v>
      </c>
      <c r="G20" s="816">
        <v>90.7</v>
      </c>
      <c r="H20" s="816">
        <v>90.1</v>
      </c>
      <c r="I20" s="816">
        <v>89.8</v>
      </c>
      <c r="J20" s="816">
        <v>89.4</v>
      </c>
      <c r="K20" s="816">
        <v>88.5</v>
      </c>
      <c r="L20" s="816">
        <v>91</v>
      </c>
      <c r="N20" s="817"/>
      <c r="O20" s="817"/>
      <c r="P20" s="817"/>
      <c r="Q20" s="817"/>
      <c r="R20" s="817"/>
      <c r="S20" s="817"/>
      <c r="T20" s="817"/>
      <c r="U20" s="817"/>
      <c r="V20" s="817"/>
      <c r="W20" s="817"/>
      <c r="X20" s="817"/>
    </row>
    <row r="21" spans="1:24" ht="15">
      <c r="A21" s="119">
        <v>1997</v>
      </c>
      <c r="B21" s="816">
        <v>91.6</v>
      </c>
      <c r="C21" s="816">
        <v>93.5</v>
      </c>
      <c r="D21" s="816">
        <v>91.8</v>
      </c>
      <c r="E21" s="816">
        <v>91.3</v>
      </c>
      <c r="F21" s="816">
        <v>92.1</v>
      </c>
      <c r="G21" s="816">
        <v>92.1</v>
      </c>
      <c r="H21" s="816">
        <v>91.5</v>
      </c>
      <c r="I21" s="816">
        <v>91.4</v>
      </c>
      <c r="J21" s="816">
        <v>90.8</v>
      </c>
      <c r="K21" s="816">
        <v>90.3</v>
      </c>
      <c r="L21" s="816">
        <v>92.3</v>
      </c>
      <c r="N21" s="817"/>
      <c r="O21" s="817"/>
      <c r="P21" s="817"/>
      <c r="Q21" s="817"/>
      <c r="R21" s="817"/>
      <c r="S21" s="817"/>
      <c r="T21" s="817"/>
      <c r="U21" s="817"/>
      <c r="V21" s="817"/>
      <c r="W21" s="817"/>
      <c r="X21" s="817"/>
    </row>
    <row r="22" spans="1:24" ht="15">
      <c r="A22" s="119">
        <v>1998</v>
      </c>
      <c r="B22" s="816">
        <v>92.7</v>
      </c>
      <c r="C22" s="816">
        <v>94</v>
      </c>
      <c r="D22" s="816">
        <v>91.9</v>
      </c>
      <c r="E22" s="816">
        <v>92.1</v>
      </c>
      <c r="F22" s="816">
        <v>92.9</v>
      </c>
      <c r="G22" s="816">
        <v>93.3</v>
      </c>
      <c r="H22" s="816">
        <v>92.7</v>
      </c>
      <c r="I22" s="816">
        <v>92.4</v>
      </c>
      <c r="J22" s="816">
        <v>92</v>
      </c>
      <c r="K22" s="816">
        <v>91.5</v>
      </c>
      <c r="L22" s="816">
        <v>93.2</v>
      </c>
      <c r="N22" s="817"/>
      <c r="O22" s="817"/>
      <c r="P22" s="817"/>
      <c r="Q22" s="817"/>
      <c r="R22" s="817"/>
      <c r="S22" s="817"/>
      <c r="T22" s="817"/>
      <c r="U22" s="817"/>
      <c r="V22" s="817"/>
      <c r="W22" s="817"/>
      <c r="X22" s="817"/>
    </row>
    <row r="23" spans="1:24" ht="15">
      <c r="A23" s="119">
        <v>1999</v>
      </c>
      <c r="B23" s="816">
        <v>94.3</v>
      </c>
      <c r="C23" s="816">
        <v>95.5</v>
      </c>
      <c r="D23" s="816">
        <v>93.1</v>
      </c>
      <c r="E23" s="816">
        <v>93.7</v>
      </c>
      <c r="F23" s="816">
        <v>94.3</v>
      </c>
      <c r="G23" s="816">
        <v>94.8</v>
      </c>
      <c r="H23" s="816">
        <v>94.4</v>
      </c>
      <c r="I23" s="816">
        <v>94.1</v>
      </c>
      <c r="J23" s="816">
        <v>93.3</v>
      </c>
      <c r="K23" s="816">
        <v>93.3</v>
      </c>
      <c r="L23" s="816">
        <v>94.4</v>
      </c>
      <c r="N23" s="817"/>
      <c r="O23" s="817"/>
      <c r="P23" s="817"/>
      <c r="Q23" s="817"/>
      <c r="R23" s="817"/>
      <c r="S23" s="817"/>
      <c r="T23" s="817"/>
      <c r="U23" s="817"/>
      <c r="V23" s="817"/>
      <c r="W23" s="817"/>
      <c r="X23" s="817"/>
    </row>
    <row r="24" spans="1:24" ht="15">
      <c r="A24" s="119">
        <v>2000</v>
      </c>
      <c r="B24" s="816">
        <v>96.3</v>
      </c>
      <c r="C24" s="816">
        <v>97.8</v>
      </c>
      <c r="D24" s="816">
        <v>96.1</v>
      </c>
      <c r="E24" s="816">
        <v>96.4</v>
      </c>
      <c r="F24" s="816">
        <v>96.6</v>
      </c>
      <c r="G24" s="816">
        <v>96.7</v>
      </c>
      <c r="H24" s="816">
        <v>96.5</v>
      </c>
      <c r="I24" s="816">
        <v>95.9</v>
      </c>
      <c r="J24" s="816">
        <v>95.5</v>
      </c>
      <c r="K24" s="816">
        <v>95.7</v>
      </c>
      <c r="L24" s="816">
        <v>96.1</v>
      </c>
      <c r="N24" s="817"/>
      <c r="O24" s="817"/>
      <c r="P24" s="817"/>
      <c r="Q24" s="817"/>
      <c r="R24" s="817"/>
      <c r="S24" s="817"/>
      <c r="T24" s="817"/>
      <c r="U24" s="817"/>
      <c r="V24" s="817"/>
      <c r="W24" s="817"/>
      <c r="X24" s="817"/>
    </row>
    <row r="25" spans="1:24" ht="15">
      <c r="A25" s="119">
        <v>2001</v>
      </c>
      <c r="B25" s="816">
        <v>98.1</v>
      </c>
      <c r="C25" s="816">
        <v>98.7</v>
      </c>
      <c r="D25" s="816">
        <v>98</v>
      </c>
      <c r="E25" s="816">
        <v>98.1</v>
      </c>
      <c r="F25" s="816">
        <v>98</v>
      </c>
      <c r="G25" s="816">
        <v>98.2</v>
      </c>
      <c r="H25" s="816">
        <v>98.3</v>
      </c>
      <c r="I25" s="816">
        <v>98</v>
      </c>
      <c r="J25" s="816">
        <v>97.5</v>
      </c>
      <c r="K25" s="816">
        <v>97.6</v>
      </c>
      <c r="L25" s="816">
        <v>97.6</v>
      </c>
      <c r="N25" s="817"/>
      <c r="O25" s="817"/>
      <c r="P25" s="817"/>
      <c r="Q25" s="817"/>
      <c r="R25" s="817"/>
      <c r="S25" s="817"/>
      <c r="T25" s="817"/>
      <c r="U25" s="817"/>
      <c r="V25" s="817"/>
      <c r="W25" s="817"/>
      <c r="X25" s="817"/>
    </row>
    <row r="26" spans="1:24" ht="15">
      <c r="A26" s="119">
        <v>2002</v>
      </c>
      <c r="B26" s="816">
        <v>100</v>
      </c>
      <c r="C26" s="816">
        <v>100</v>
      </c>
      <c r="D26" s="816">
        <v>100</v>
      </c>
      <c r="E26" s="816">
        <v>100</v>
      </c>
      <c r="F26" s="816">
        <v>100</v>
      </c>
      <c r="G26" s="816">
        <v>100</v>
      </c>
      <c r="H26" s="816">
        <v>100</v>
      </c>
      <c r="I26" s="816">
        <v>100</v>
      </c>
      <c r="J26" s="816">
        <v>100</v>
      </c>
      <c r="K26" s="816">
        <v>100</v>
      </c>
      <c r="L26" s="816">
        <v>100</v>
      </c>
      <c r="N26" s="817"/>
      <c r="O26" s="817"/>
      <c r="P26" s="817"/>
      <c r="Q26" s="817"/>
      <c r="R26" s="817"/>
      <c r="S26" s="817"/>
      <c r="T26" s="817"/>
      <c r="U26" s="817"/>
      <c r="V26" s="817"/>
      <c r="W26" s="817"/>
      <c r="X26" s="817"/>
    </row>
    <row r="27" spans="1:24" ht="15">
      <c r="A27" s="119">
        <v>2003</v>
      </c>
      <c r="B27" s="816">
        <v>101.6</v>
      </c>
      <c r="C27" s="816">
        <v>101.7</v>
      </c>
      <c r="D27" s="816">
        <v>102.3</v>
      </c>
      <c r="E27" s="816">
        <v>102.5</v>
      </c>
      <c r="F27" s="816">
        <v>102</v>
      </c>
      <c r="G27" s="816">
        <v>101.5</v>
      </c>
      <c r="H27" s="816">
        <v>101.4</v>
      </c>
      <c r="I27" s="816">
        <v>101.8</v>
      </c>
      <c r="J27" s="816">
        <v>102.1</v>
      </c>
      <c r="K27" s="816">
        <v>102</v>
      </c>
      <c r="L27" s="816">
        <v>101.4</v>
      </c>
      <c r="N27" s="817"/>
      <c r="O27" s="817"/>
      <c r="P27" s="817"/>
      <c r="Q27" s="817"/>
      <c r="R27" s="817"/>
      <c r="S27" s="817"/>
      <c r="T27" s="817"/>
      <c r="U27" s="817"/>
      <c r="V27" s="817"/>
      <c r="W27" s="817"/>
      <c r="X27" s="817"/>
    </row>
    <row r="28" spans="1:24" ht="15">
      <c r="A28" s="119">
        <v>2004</v>
      </c>
      <c r="B28" s="816">
        <v>103.2</v>
      </c>
      <c r="C28" s="816">
        <v>103.5</v>
      </c>
      <c r="D28" s="816">
        <v>104.3</v>
      </c>
      <c r="E28" s="816">
        <v>104.5</v>
      </c>
      <c r="F28" s="816">
        <v>103.8</v>
      </c>
      <c r="G28" s="816">
        <v>103.3</v>
      </c>
      <c r="H28" s="816">
        <v>102.9</v>
      </c>
      <c r="I28" s="816">
        <v>103.5</v>
      </c>
      <c r="J28" s="816">
        <v>103.8</v>
      </c>
      <c r="K28" s="816">
        <v>103.1</v>
      </c>
      <c r="L28" s="816">
        <v>103</v>
      </c>
      <c r="N28" s="817"/>
      <c r="O28" s="817"/>
      <c r="P28" s="817"/>
      <c r="Q28" s="817"/>
      <c r="R28" s="817"/>
      <c r="S28" s="817"/>
      <c r="T28" s="817"/>
      <c r="U28" s="817"/>
      <c r="V28" s="817"/>
      <c r="W28" s="817"/>
      <c r="X28" s="817"/>
    </row>
    <row r="29" spans="1:24" ht="15">
      <c r="A29" s="119">
        <v>2005</v>
      </c>
      <c r="B29" s="816">
        <v>105</v>
      </c>
      <c r="C29" s="816">
        <v>105.7</v>
      </c>
      <c r="D29" s="816">
        <v>107.1</v>
      </c>
      <c r="E29" s="816">
        <v>107.2</v>
      </c>
      <c r="F29" s="816">
        <v>106</v>
      </c>
      <c r="G29" s="816">
        <v>105.1</v>
      </c>
      <c r="H29" s="816">
        <v>104.6</v>
      </c>
      <c r="I29" s="816">
        <v>105.6</v>
      </c>
      <c r="J29" s="816">
        <v>105.6</v>
      </c>
      <c r="K29" s="816">
        <v>104.7</v>
      </c>
      <c r="L29" s="816">
        <v>104.5</v>
      </c>
      <c r="N29" s="817"/>
      <c r="O29" s="817"/>
      <c r="P29" s="817"/>
      <c r="Q29" s="817"/>
      <c r="R29" s="817"/>
      <c r="S29" s="817"/>
      <c r="T29" s="817"/>
      <c r="U29" s="817"/>
      <c r="V29" s="817"/>
      <c r="W29" s="817"/>
      <c r="X29" s="817"/>
    </row>
    <row r="30" spans="1:24" ht="15">
      <c r="A30" s="119">
        <v>2006</v>
      </c>
      <c r="B30" s="816">
        <v>106.5</v>
      </c>
      <c r="C30" s="816">
        <v>107.6</v>
      </c>
      <c r="D30" s="816">
        <v>109.6</v>
      </c>
      <c r="E30" s="816">
        <v>109.2</v>
      </c>
      <c r="F30" s="816">
        <v>107.7</v>
      </c>
      <c r="G30" s="816">
        <v>106.5</v>
      </c>
      <c r="H30" s="816">
        <v>106</v>
      </c>
      <c r="I30" s="816">
        <v>107.2</v>
      </c>
      <c r="J30" s="816">
        <v>107.3</v>
      </c>
      <c r="K30" s="816">
        <v>106.8</v>
      </c>
      <c r="L30" s="816">
        <v>105.9</v>
      </c>
      <c r="N30" s="817"/>
      <c r="O30" s="817"/>
      <c r="P30" s="817"/>
      <c r="Q30" s="817"/>
      <c r="R30" s="817"/>
      <c r="S30" s="817"/>
      <c r="T30" s="817"/>
      <c r="U30" s="817"/>
      <c r="V30" s="817"/>
      <c r="W30" s="817"/>
      <c r="X30" s="817"/>
    </row>
    <row r="31" spans="1:24" ht="12.75" customHeight="1">
      <c r="A31" s="119">
        <v>2007</v>
      </c>
      <c r="B31" s="816">
        <v>108.2</v>
      </c>
      <c r="C31" s="816">
        <v>109.1</v>
      </c>
      <c r="D31" s="816">
        <v>111.3</v>
      </c>
      <c r="E31" s="816">
        <v>111</v>
      </c>
      <c r="F31" s="816">
        <v>109.4</v>
      </c>
      <c r="G31" s="816">
        <v>107.7</v>
      </c>
      <c r="H31" s="816">
        <v>107.3</v>
      </c>
      <c r="I31" s="816">
        <v>108.9</v>
      </c>
      <c r="J31" s="816">
        <v>109.4</v>
      </c>
      <c r="K31" s="816">
        <v>110.3</v>
      </c>
      <c r="L31" s="816">
        <v>107.7</v>
      </c>
      <c r="N31" s="817"/>
      <c r="O31" s="817"/>
      <c r="P31" s="817"/>
      <c r="Q31" s="817"/>
      <c r="R31" s="817"/>
      <c r="S31" s="817"/>
      <c r="T31" s="817"/>
      <c r="U31" s="817"/>
      <c r="V31" s="817"/>
      <c r="W31" s="817"/>
      <c r="X31" s="817"/>
    </row>
    <row r="32" spans="1:24" ht="12.75" customHeight="1">
      <c r="A32" s="119">
        <v>2008</v>
      </c>
      <c r="B32" s="816">
        <v>110</v>
      </c>
      <c r="C32" s="816">
        <v>110.7</v>
      </c>
      <c r="D32" s="816">
        <v>114.3</v>
      </c>
      <c r="E32" s="816">
        <v>113.3</v>
      </c>
      <c r="F32" s="816">
        <v>110.8</v>
      </c>
      <c r="G32" s="816">
        <v>109.3</v>
      </c>
      <c r="H32" s="816">
        <v>108.8</v>
      </c>
      <c r="I32" s="816">
        <v>110.4</v>
      </c>
      <c r="J32" s="816">
        <v>112.6</v>
      </c>
      <c r="K32" s="816">
        <v>113.1</v>
      </c>
      <c r="L32" s="816">
        <v>109.6</v>
      </c>
      <c r="N32" s="817"/>
      <c r="O32" s="817"/>
      <c r="P32" s="817"/>
      <c r="Q32" s="817"/>
      <c r="R32" s="817"/>
      <c r="S32" s="817"/>
      <c r="T32" s="817"/>
      <c r="U32" s="817"/>
      <c r="V32" s="817"/>
      <c r="W32" s="817"/>
      <c r="X32" s="817"/>
    </row>
    <row r="33" spans="1:24">
      <c r="A33" s="120"/>
      <c r="B33" s="23"/>
      <c r="C33" s="644"/>
      <c r="D33" s="666" t="s">
        <v>802</v>
      </c>
      <c r="E33" s="644"/>
      <c r="F33" s="644"/>
      <c r="G33" s="644"/>
      <c r="H33" s="644"/>
      <c r="I33" s="644"/>
      <c r="J33" s="644"/>
      <c r="K33" s="644"/>
      <c r="L33" s="644"/>
    </row>
    <row r="34" spans="1:24">
      <c r="A34" s="448" t="s">
        <v>603</v>
      </c>
      <c r="B34" s="23">
        <f>((((B13/B5))^(1/8))-1)*100</f>
        <v>5.2335611810083726</v>
      </c>
      <c r="C34" s="23">
        <f t="shared" ref="C34:J34" si="0">((((C13/C5))^(1/8))-1)*100</f>
        <v>4.9126615002474727</v>
      </c>
      <c r="D34" s="23">
        <f t="shared" si="0"/>
        <v>4.8242409341561654</v>
      </c>
      <c r="E34" s="23">
        <f t="shared" si="0"/>
        <v>5.2075259699979393</v>
      </c>
      <c r="F34" s="23">
        <f t="shared" si="0"/>
        <v>4.9240414173064018</v>
      </c>
      <c r="G34" s="23">
        <f t="shared" si="0"/>
        <v>5.3327075029769633</v>
      </c>
      <c r="H34" s="23">
        <f t="shared" si="0"/>
        <v>5.5780081278855143</v>
      </c>
      <c r="I34" s="23">
        <f t="shared" si="0"/>
        <v>5.1466777126289776</v>
      </c>
      <c r="J34" s="23">
        <f t="shared" si="0"/>
        <v>4.8076265499986448</v>
      </c>
      <c r="K34" s="23">
        <f>((((K13/K5))^(1/8))-1)*100</f>
        <v>4.5341146245527097</v>
      </c>
      <c r="L34" s="23">
        <f>((((L13/L5))^(1/8))-1)*100</f>
        <v>4.856564135866126</v>
      </c>
      <c r="N34" s="23"/>
      <c r="O34" s="23"/>
      <c r="P34" s="23"/>
      <c r="Q34" s="23"/>
      <c r="R34" s="23"/>
      <c r="S34" s="23"/>
      <c r="T34" s="23"/>
      <c r="U34" s="23"/>
      <c r="V34" s="23"/>
      <c r="W34" s="23"/>
      <c r="X34" s="23"/>
    </row>
    <row r="35" spans="1:24">
      <c r="A35" s="448" t="s">
        <v>604</v>
      </c>
      <c r="B35" s="23">
        <f>((((B24/B13))^(1/11))-1)*100</f>
        <v>2.1632484688136167</v>
      </c>
      <c r="C35" s="23">
        <f t="shared" ref="C35:J35" si="1">((((C24/C13))^(1/11))-1)*100</f>
        <v>1.9128486597258076</v>
      </c>
      <c r="D35" s="23">
        <f t="shared" si="1"/>
        <v>1.9509141920337925</v>
      </c>
      <c r="E35" s="23">
        <f t="shared" si="1"/>
        <v>2.0999680912997309</v>
      </c>
      <c r="F35" s="23">
        <f t="shared" si="1"/>
        <v>1.9632960104796204</v>
      </c>
      <c r="G35" s="23">
        <f t="shared" si="1"/>
        <v>1.8431485416460225</v>
      </c>
      <c r="H35" s="23">
        <f t="shared" si="1"/>
        <v>2.2192182506733715</v>
      </c>
      <c r="I35" s="23">
        <f t="shared" si="1"/>
        <v>2.2227600349789656</v>
      </c>
      <c r="J35" s="23">
        <f t="shared" si="1"/>
        <v>2.0980042076209404</v>
      </c>
      <c r="K35" s="23">
        <f>((((K24/K13))^(1/11))-1)*100</f>
        <v>2.365296121656324</v>
      </c>
      <c r="L35" s="23">
        <f>((((L24/L13))^(1/11))-1)*100</f>
        <v>2.4293165828570329</v>
      </c>
      <c r="N35" s="23"/>
      <c r="O35" s="23"/>
      <c r="P35" s="23"/>
      <c r="Q35" s="23"/>
      <c r="R35" s="23"/>
      <c r="S35" s="23"/>
      <c r="T35" s="23"/>
      <c r="U35" s="23"/>
      <c r="V35" s="23"/>
      <c r="W35" s="23"/>
      <c r="X35" s="23"/>
    </row>
    <row r="36" spans="1:24">
      <c r="A36" s="448" t="s">
        <v>1408</v>
      </c>
      <c r="B36" s="23">
        <f>((((B32/B5))^(1/27))-1)*100</f>
        <v>2.9177897252943952</v>
      </c>
      <c r="C36" s="23">
        <f t="shared" ref="C36:L36" si="2">((((C32/C5))^(1/27))-1)*100</f>
        <v>2.6872869769360763</v>
      </c>
      <c r="D36" s="23">
        <f t="shared" si="2"/>
        <v>2.8658158381233756</v>
      </c>
      <c r="E36" s="23">
        <f t="shared" si="2"/>
        <v>2.9930077210973405</v>
      </c>
      <c r="F36" s="23">
        <f t="shared" si="2"/>
        <v>2.7617058956910912</v>
      </c>
      <c r="G36" s="23">
        <f t="shared" si="2"/>
        <v>2.7748908941404915</v>
      </c>
      <c r="H36" s="23">
        <f t="shared" si="2"/>
        <v>2.9907099681379945</v>
      </c>
      <c r="I36" s="23">
        <f t="shared" si="2"/>
        <v>2.9467257717450401</v>
      </c>
      <c r="J36" s="23">
        <f t="shared" si="2"/>
        <v>2.8881781772990056</v>
      </c>
      <c r="K36" s="23">
        <f t="shared" si="2"/>
        <v>2.9270329333696887</v>
      </c>
      <c r="L36" s="23">
        <f t="shared" si="2"/>
        <v>2.9114442720008737</v>
      </c>
      <c r="N36" s="23"/>
      <c r="O36" s="23"/>
      <c r="P36" s="23"/>
      <c r="Q36" s="23"/>
      <c r="R36" s="23"/>
      <c r="S36" s="23"/>
      <c r="T36" s="23"/>
      <c r="U36" s="23"/>
      <c r="V36" s="23"/>
      <c r="W36" s="23"/>
      <c r="X36" s="23"/>
    </row>
    <row r="37" spans="1:24">
      <c r="A37" s="448" t="s">
        <v>449</v>
      </c>
      <c r="B37" s="644">
        <f>((((B31/B24))^(1/7)-1)*100)</f>
        <v>1.678401622667991</v>
      </c>
      <c r="C37" s="644">
        <f t="shared" ref="C37:L37" si="3">((((C31/C24))^(1/7)-1)*100)</f>
        <v>1.5742675685090468</v>
      </c>
      <c r="D37" s="644">
        <f t="shared" si="3"/>
        <v>2.1198701269142806</v>
      </c>
      <c r="E37" s="644">
        <f t="shared" si="3"/>
        <v>2.035059178059706</v>
      </c>
      <c r="F37" s="644">
        <f t="shared" si="3"/>
        <v>1.7934955058787949</v>
      </c>
      <c r="G37" s="644">
        <f t="shared" si="3"/>
        <v>1.5509932717179042</v>
      </c>
      <c r="H37" s="644">
        <f t="shared" si="3"/>
        <v>1.5270512347486775</v>
      </c>
      <c r="I37" s="644">
        <f t="shared" si="3"/>
        <v>1.8326484389889819</v>
      </c>
      <c r="J37" s="644">
        <f t="shared" si="3"/>
        <v>1.9601731553547053</v>
      </c>
      <c r="K37" s="644">
        <f t="shared" si="3"/>
        <v>2.0490772524175194</v>
      </c>
      <c r="L37" s="644">
        <f t="shared" si="3"/>
        <v>1.6413280215100245</v>
      </c>
      <c r="N37" s="644"/>
      <c r="O37" s="644"/>
      <c r="P37" s="644"/>
      <c r="Q37" s="644"/>
      <c r="R37" s="644"/>
      <c r="S37" s="644"/>
      <c r="T37" s="644"/>
      <c r="U37" s="644"/>
      <c r="V37" s="644"/>
      <c r="W37" s="644"/>
      <c r="X37" s="644"/>
    </row>
    <row r="38" spans="1:24">
      <c r="A38" s="448" t="s">
        <v>1410</v>
      </c>
      <c r="B38" s="644">
        <f>((((B32/B24))^(1/8)-1)*100)</f>
        <v>1.676549545756556</v>
      </c>
      <c r="C38" s="644">
        <f t="shared" ref="C38:L38" si="4">((((C32/C24))^(1/8)-1)*100)</f>
        <v>1.5607959274008598</v>
      </c>
      <c r="D38" s="644">
        <f t="shared" si="4"/>
        <v>2.1916368125177055</v>
      </c>
      <c r="E38" s="644">
        <f t="shared" si="4"/>
        <v>2.0396850557263591</v>
      </c>
      <c r="F38" s="644">
        <f t="shared" si="4"/>
        <v>1.7291297360521041</v>
      </c>
      <c r="G38" s="644">
        <f t="shared" si="4"/>
        <v>1.5428178308841245</v>
      </c>
      <c r="H38" s="644">
        <f t="shared" si="4"/>
        <v>1.5109045547032185</v>
      </c>
      <c r="I38" s="644">
        <f t="shared" si="4"/>
        <v>1.7756320850907503</v>
      </c>
      <c r="J38" s="644">
        <f t="shared" si="4"/>
        <v>2.0802858161290683</v>
      </c>
      <c r="K38" s="644">
        <f t="shared" si="4"/>
        <v>2.1101310075755553</v>
      </c>
      <c r="L38" s="644">
        <f t="shared" si="4"/>
        <v>1.6566738700036554</v>
      </c>
      <c r="N38" s="644"/>
      <c r="O38" s="644"/>
      <c r="P38" s="644"/>
      <c r="Q38" s="644"/>
      <c r="R38" s="644"/>
      <c r="S38" s="644"/>
      <c r="T38" s="644"/>
      <c r="U38" s="644"/>
      <c r="V38" s="644"/>
      <c r="W38" s="644"/>
      <c r="X38" s="644"/>
    </row>
    <row r="39" spans="1:24">
      <c r="A39" s="2"/>
      <c r="D39" s="27" t="s">
        <v>276</v>
      </c>
    </row>
    <row r="40" spans="1:24">
      <c r="A40" s="448" t="s">
        <v>1408</v>
      </c>
      <c r="B40" s="10">
        <f>(B32/B5-1)*100</f>
        <v>117.39130434782608</v>
      </c>
      <c r="C40" s="10">
        <f>(C32/C5-1)*100</f>
        <v>104.62107208872457</v>
      </c>
      <c r="D40" s="10">
        <f>(D32/D5-1)*100</f>
        <v>114.4465290806754</v>
      </c>
      <c r="E40" s="10">
        <f t="shared" ref="E40:L40" si="5">(E32/E5-1)*100</f>
        <v>121.72211350293543</v>
      </c>
      <c r="F40" s="10">
        <f t="shared" si="5"/>
        <v>108.66290018832392</v>
      </c>
      <c r="G40" s="10">
        <f t="shared" si="5"/>
        <v>109.38697318007659</v>
      </c>
      <c r="H40" s="10">
        <f t="shared" si="5"/>
        <v>121.58859470468433</v>
      </c>
      <c r="I40" s="10">
        <f t="shared" si="5"/>
        <v>119.04761904761907</v>
      </c>
      <c r="J40" s="10">
        <f t="shared" si="5"/>
        <v>115.7088122605364</v>
      </c>
      <c r="K40" s="10">
        <f t="shared" si="5"/>
        <v>117.91907514450868</v>
      </c>
      <c r="L40" s="10">
        <f t="shared" si="5"/>
        <v>117.029702970297</v>
      </c>
      <c r="N40" s="114"/>
      <c r="O40" s="114"/>
      <c r="P40" s="114"/>
      <c r="Q40" s="114"/>
      <c r="R40" s="114"/>
      <c r="S40" s="114"/>
      <c r="T40" s="114"/>
      <c r="U40" s="114"/>
      <c r="V40" s="114"/>
      <c r="W40" s="114"/>
      <c r="X40" s="114"/>
    </row>
    <row r="41" spans="1:24">
      <c r="A41" s="13"/>
    </row>
    <row r="42" spans="1:24">
      <c r="A42" s="13" t="s">
        <v>1006</v>
      </c>
      <c r="B42" s="9"/>
      <c r="C42" s="9"/>
      <c r="D42" s="9"/>
      <c r="E42" s="9"/>
      <c r="F42" s="9"/>
      <c r="G42" s="9"/>
      <c r="H42" s="9"/>
      <c r="I42" s="9"/>
      <c r="J42" s="9"/>
      <c r="K42" s="9"/>
      <c r="L42" s="9"/>
    </row>
    <row r="43" spans="1:24">
      <c r="A43" s="4" t="s">
        <v>1718</v>
      </c>
    </row>
    <row r="44" spans="1:24">
      <c r="A44" s="16" t="s">
        <v>388</v>
      </c>
    </row>
    <row r="45" spans="1:24">
      <c r="A45" s="9"/>
    </row>
  </sheetData>
  <mergeCells count="11">
    <mergeCell ref="K3:K4"/>
    <mergeCell ref="L3:L4"/>
    <mergeCell ref="F3:F4"/>
    <mergeCell ref="G3:G4"/>
    <mergeCell ref="H3:H4"/>
    <mergeCell ref="I3:I4"/>
    <mergeCell ref="B3:B4"/>
    <mergeCell ref="C3:C4"/>
    <mergeCell ref="D3:D4"/>
    <mergeCell ref="E3:E4"/>
    <mergeCell ref="J3:J4"/>
  </mergeCells>
  <phoneticPr fontId="35" type="noConversion"/>
  <pageMargins left="0.75" right="0.75" top="1" bottom="1" header="0.5" footer="0.5"/>
  <pageSetup scale="76" orientation="landscape" horizontalDpi="300" verticalDpi="300" r:id="rId1"/>
  <headerFooter alignWithMargins="0"/>
</worksheet>
</file>

<file path=xl/worksheets/sheet110.xml><?xml version="1.0" encoding="utf-8"?>
<worksheet xmlns="http://schemas.openxmlformats.org/spreadsheetml/2006/main" xmlns:r="http://schemas.openxmlformats.org/officeDocument/2006/relationships">
  <sheetPr codeName="Sheet75">
    <pageSetUpPr fitToPage="1"/>
  </sheetPr>
  <dimension ref="A1:W101"/>
  <sheetViews>
    <sheetView view="pageBreakPreview" zoomScaleSheetLayoutView="10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1" width="9.28515625" style="1" bestFit="1" customWidth="1"/>
    <col min="12" max="12" width="8.85546875" style="1"/>
    <col min="13" max="13" width="9.85546875" style="1" customWidth="1"/>
    <col min="14" max="16384" width="8.85546875" style="1"/>
  </cols>
  <sheetData>
    <row r="1" spans="1:23" ht="18.75">
      <c r="A1" s="4"/>
      <c r="B1" s="3" t="s">
        <v>2191</v>
      </c>
    </row>
    <row r="2" spans="1:23">
      <c r="A2" s="4"/>
      <c r="B2" s="647"/>
      <c r="C2" s="647"/>
      <c r="D2" s="647"/>
      <c r="E2" s="647"/>
      <c r="F2" s="647"/>
    </row>
    <row r="3" spans="1:23">
      <c r="A3" s="4"/>
      <c r="B3" s="1213" t="s">
        <v>173</v>
      </c>
      <c r="C3" s="1213"/>
      <c r="D3" s="1213"/>
      <c r="E3" s="1213"/>
      <c r="F3" s="1213"/>
      <c r="G3" s="1175" t="s">
        <v>172</v>
      </c>
      <c r="H3" s="1175"/>
      <c r="I3" s="1175"/>
      <c r="J3" s="1175"/>
      <c r="K3" s="1175"/>
    </row>
    <row r="4" spans="1:23" ht="12.75" customHeight="1">
      <c r="B4" s="1211" t="s">
        <v>167</v>
      </c>
      <c r="C4" s="1211" t="s">
        <v>168</v>
      </c>
      <c r="D4" s="1211" t="s">
        <v>169</v>
      </c>
      <c r="E4" s="1211" t="s">
        <v>170</v>
      </c>
      <c r="F4" s="1211" t="s">
        <v>171</v>
      </c>
      <c r="G4" s="1211" t="s">
        <v>167</v>
      </c>
      <c r="H4" s="1211" t="s">
        <v>168</v>
      </c>
      <c r="I4" s="1211" t="s">
        <v>169</v>
      </c>
      <c r="J4" s="1211" t="s">
        <v>170</v>
      </c>
      <c r="K4" s="1211" t="s">
        <v>171</v>
      </c>
    </row>
    <row r="5" spans="1:23" s="4" customFormat="1">
      <c r="A5" s="7"/>
      <c r="B5" s="1212"/>
      <c r="C5" s="1212"/>
      <c r="D5" s="1212"/>
      <c r="E5" s="1212"/>
      <c r="F5" s="1212"/>
      <c r="G5" s="1212"/>
      <c r="H5" s="1212"/>
      <c r="I5" s="1212"/>
      <c r="J5" s="1212"/>
      <c r="K5" s="1212"/>
    </row>
    <row r="6" spans="1:23">
      <c r="A6" s="2">
        <v>1981</v>
      </c>
      <c r="B6" s="977">
        <f>'[4]24a'!B6/(SUM('[4]24a'!$B6:$F6))*100</f>
        <v>5.0233644859813085</v>
      </c>
      <c r="C6" s="21">
        <f>'[4]24a'!C6/(SUM('[4]24a'!$B6:$F6))*100</f>
        <v>12.558411214953273</v>
      </c>
      <c r="D6" s="21">
        <f>'[4]24a'!D6/(SUM('[4]24a'!$B6:$F6))*100</f>
        <v>18.107476635514018</v>
      </c>
      <c r="E6" s="21">
        <f>'[4]24a'!E6/(SUM('[4]24a'!$B6:$F6))*100</f>
        <v>24.649532710280376</v>
      </c>
      <c r="F6" s="21">
        <f>'[4]24a'!F6/(SUM('[4]24a'!$B6:$F6))*100</f>
        <v>39.661214953271028</v>
      </c>
      <c r="G6" s="36">
        <f>'[4]24a'!G6/(SUM('[4]24a'!$G6:$K6))*100</f>
        <v>5.5292726197516258</v>
      </c>
      <c r="H6" s="21">
        <f>'[4]24a'!H6/(SUM('[4]24a'!$G6:$K6))*100</f>
        <v>13.571850975753991</v>
      </c>
      <c r="I6" s="21">
        <f>'[4]24a'!I6/(SUM('[4]24a'!$G6:$K6))*100</f>
        <v>18.864577173270256</v>
      </c>
      <c r="J6" s="21">
        <f>'[4]24a'!J6/(SUM('[4]24a'!$G6:$K6))*100</f>
        <v>24.89651094027203</v>
      </c>
      <c r="K6" s="21">
        <f>'[4]24a'!K6/(SUM('[4]24a'!$G6:$K6))*100</f>
        <v>37.137788290952102</v>
      </c>
      <c r="M6" s="6"/>
      <c r="N6" s="6"/>
      <c r="O6" s="6"/>
      <c r="P6" s="6"/>
      <c r="Q6" s="6"/>
      <c r="R6" s="6"/>
      <c r="S6" s="6"/>
      <c r="T6" s="6"/>
      <c r="U6" s="6"/>
      <c r="V6" s="6"/>
      <c r="W6" s="6"/>
    </row>
    <row r="7" spans="1:23">
      <c r="A7" s="2">
        <v>1982</v>
      </c>
      <c r="B7" s="977">
        <f>'[4]24a'!B7/(SUM('[4]24a'!$B7:$F7))*100</f>
        <v>4.6369737644905431</v>
      </c>
      <c r="C7" s="21">
        <f>'[4]24a'!C7/(SUM('[4]24a'!$B7:$F7))*100</f>
        <v>11.897498474679683</v>
      </c>
      <c r="D7" s="21">
        <f>'[4]24a'!D7/(SUM('[4]24a'!$B7:$F7))*100</f>
        <v>17.876754118364858</v>
      </c>
      <c r="E7" s="21">
        <f>'[4]24a'!E7/(SUM('[4]24a'!$B7:$F7))*100</f>
        <v>24.649176327028677</v>
      </c>
      <c r="F7" s="21">
        <f>'[4]24a'!F7/(SUM('[4]24a'!$B7:$F7))*100</f>
        <v>40.939597315436245</v>
      </c>
      <c r="G7" s="36">
        <f>'[4]24a'!G7/(SUM('[4]24a'!$G7:$K7))*100</f>
        <v>5.1488833746898264</v>
      </c>
      <c r="H7" s="21">
        <f>'[4]24a'!H7/(SUM('[4]24a'!$G7:$K7))*100</f>
        <v>12.748138957816376</v>
      </c>
      <c r="I7" s="21">
        <f>'[4]24a'!I7/(SUM('[4]24a'!$G7:$K7))*100</f>
        <v>18.765508684863523</v>
      </c>
      <c r="J7" s="21">
        <f>'[4]24a'!J7/(SUM('[4]24a'!$G7:$K7))*100</f>
        <v>24.906947890818859</v>
      </c>
      <c r="K7" s="21">
        <f>'[4]24a'!K7/(SUM('[4]24a'!$G7:$K7))*100</f>
        <v>38.430521091811414</v>
      </c>
      <c r="M7" s="6"/>
      <c r="N7" s="6"/>
      <c r="O7" s="6"/>
      <c r="P7" s="6"/>
      <c r="Q7" s="6"/>
      <c r="R7" s="6"/>
      <c r="S7" s="6"/>
      <c r="T7" s="6"/>
      <c r="U7" s="6"/>
      <c r="V7" s="6"/>
      <c r="W7" s="6"/>
    </row>
    <row r="8" spans="1:23">
      <c r="A8" s="2">
        <v>1983</v>
      </c>
      <c r="B8" s="977">
        <f>'[4]24a'!B8/(SUM('[4]24a'!$B8:$F8))*100</f>
        <v>4.5650832819247382</v>
      </c>
      <c r="C8" s="21">
        <f>'[4]24a'!C8/(SUM('[4]24a'!$B8:$F8))*100</f>
        <v>11.35101789019124</v>
      </c>
      <c r="D8" s="21">
        <f>'[4]24a'!D8/(SUM('[4]24a'!$B8:$F8))*100</f>
        <v>17.520049352251696</v>
      </c>
      <c r="E8" s="21">
        <f>'[4]24a'!E8/(SUM('[4]24a'!$B8:$F8))*100</f>
        <v>24.676125848241824</v>
      </c>
      <c r="F8" s="21">
        <f>'[4]24a'!F8/(SUM('[4]24a'!$B8:$F8))*100</f>
        <v>41.8877236273905</v>
      </c>
      <c r="G8" s="36">
        <f>'[4]24a'!G8/(SUM('[4]24a'!$G8:$K8))*100</f>
        <v>4.9905243209096648</v>
      </c>
      <c r="H8" s="21">
        <f>'[4]24a'!H8/(SUM('[4]24a'!$G8:$K8))*100</f>
        <v>12.31838281743525</v>
      </c>
      <c r="I8" s="21">
        <f>'[4]24a'!I8/(SUM('[4]24a'!$G8:$K8))*100</f>
        <v>18.382817435249528</v>
      </c>
      <c r="J8" s="21">
        <f>'[4]24a'!J8/(SUM('[4]24a'!$G8:$K8))*100</f>
        <v>24.88945041061276</v>
      </c>
      <c r="K8" s="21">
        <f>'[4]24a'!K8/(SUM('[4]24a'!$G8:$K8))*100</f>
        <v>39.418825015792798</v>
      </c>
      <c r="M8" s="6"/>
      <c r="N8" s="6"/>
      <c r="O8" s="6"/>
      <c r="P8" s="6"/>
      <c r="Q8" s="6"/>
      <c r="R8" s="6"/>
      <c r="S8" s="6"/>
      <c r="T8" s="6"/>
      <c r="U8" s="6"/>
      <c r="V8" s="6"/>
      <c r="W8" s="6"/>
    </row>
    <row r="9" spans="1:23">
      <c r="A9" s="2">
        <v>1984</v>
      </c>
      <c r="B9" s="977">
        <f>'[4]24a'!B9/(SUM('[4]24a'!$B9:$F9))*100</f>
        <v>4.3585021485573971</v>
      </c>
      <c r="C9" s="21">
        <f>'[4]24a'!C9/(SUM('[4]24a'!$B9:$F9))*100</f>
        <v>11.479435236341313</v>
      </c>
      <c r="D9" s="21">
        <f>'[4]24a'!D9/(SUM('[4]24a'!$B9:$F9))*100</f>
        <v>17.863720073664823</v>
      </c>
      <c r="E9" s="21">
        <f>'[4]24a'!E9/(SUM('[4]24a'!$B9:$F9))*100</f>
        <v>24.677716390423573</v>
      </c>
      <c r="F9" s="21">
        <f>'[4]24a'!F9/(SUM('[4]24a'!$B9:$F9))*100</f>
        <v>41.620626151012893</v>
      </c>
      <c r="G9" s="36">
        <f>'[4]24a'!G9/(SUM('[4]24a'!$G9:$K9))*100</f>
        <v>4.7843877872206484</v>
      </c>
      <c r="H9" s="21">
        <f>'[4]24a'!H9/(SUM('[4]24a'!$G9:$K9))*100</f>
        <v>12.275731822474032</v>
      </c>
      <c r="I9" s="21">
        <f>'[4]24a'!I9/(SUM('[4]24a'!$G9:$K9))*100</f>
        <v>18.696883852691219</v>
      </c>
      <c r="J9" s="21">
        <f>'[4]24a'!J9/(SUM('[4]24a'!$G9:$K9))*100</f>
        <v>24.834749763928237</v>
      </c>
      <c r="K9" s="21">
        <f>'[4]24a'!K9/(SUM('[4]24a'!$G9:$K9))*100</f>
        <v>39.408246773685867</v>
      </c>
      <c r="M9" s="6"/>
      <c r="N9" s="6"/>
      <c r="O9" s="6"/>
      <c r="P9" s="6"/>
      <c r="Q9" s="6"/>
      <c r="R9" s="6"/>
      <c r="S9" s="6"/>
      <c r="T9" s="6"/>
      <c r="U9" s="6"/>
      <c r="V9" s="6"/>
      <c r="W9" s="6"/>
    </row>
    <row r="10" spans="1:23">
      <c r="A10" s="2">
        <v>1985</v>
      </c>
      <c r="B10" s="977">
        <f>'[4]24a'!B10/(SUM('[4]24a'!$B10:$F10))*100</f>
        <v>4.68564650059312</v>
      </c>
      <c r="C10" s="21">
        <f>'[4]24a'!C10/(SUM('[4]24a'!$B10:$F10))*100</f>
        <v>11.684460260972717</v>
      </c>
      <c r="D10" s="21">
        <f>'[4]24a'!D10/(SUM('[4]24a'!$B10:$F10))*100</f>
        <v>17.971530249110319</v>
      </c>
      <c r="E10" s="21">
        <f>'[4]24a'!E10/(SUM('[4]24a'!$B10:$F10))*100</f>
        <v>24.555160142348754</v>
      </c>
      <c r="F10" s="21">
        <f>'[4]24a'!F10/(SUM('[4]24a'!$B10:$F10))*100</f>
        <v>41.103202846975087</v>
      </c>
      <c r="G10" s="36">
        <f>'[4]24a'!G10/(SUM('[4]24a'!$G10:$K10))*100</f>
        <v>5.0597976080956766</v>
      </c>
      <c r="H10" s="21">
        <f>'[4]24a'!H10/(SUM('[4]24a'!$G10:$K10))*100</f>
        <v>12.542164980067463</v>
      </c>
      <c r="I10" s="21">
        <f>'[4]24a'!I10/(SUM('[4]24a'!$G10:$K10))*100</f>
        <v>18.705918429929469</v>
      </c>
      <c r="J10" s="21">
        <f>'[4]24a'!J10/(SUM('[4]24a'!$G10:$K10))*100</f>
        <v>24.71634467954615</v>
      </c>
      <c r="K10" s="21">
        <f>'[4]24a'!K10/(SUM('[4]24a'!$G10:$K10))*100</f>
        <v>38.975774302361238</v>
      </c>
      <c r="M10" s="6"/>
      <c r="N10" s="6"/>
      <c r="O10" s="6"/>
      <c r="P10" s="6"/>
      <c r="Q10" s="6"/>
      <c r="R10" s="6"/>
      <c r="S10" s="6"/>
      <c r="T10" s="6"/>
      <c r="U10" s="6"/>
      <c r="V10" s="6"/>
      <c r="W10" s="6"/>
    </row>
    <row r="11" spans="1:23">
      <c r="A11" s="2">
        <v>1986</v>
      </c>
      <c r="B11" s="977">
        <f>'[4]24a'!B11/(SUM('[4]24a'!$B11:$F11))*100</f>
        <v>4.7453703703703702</v>
      </c>
      <c r="C11" s="21">
        <f>'[4]24a'!C11/(SUM('[4]24a'!$B11:$F11))*100</f>
        <v>11.689814814814815</v>
      </c>
      <c r="D11" s="21">
        <f>'[4]24a'!D11/(SUM('[4]24a'!$B11:$F11))*100</f>
        <v>18.055555555555554</v>
      </c>
      <c r="E11" s="21">
        <f>'[4]24a'!E11/(SUM('[4]24a'!$B11:$F11))*100</f>
        <v>24.363425925925927</v>
      </c>
      <c r="F11" s="21">
        <f>'[4]24a'!F11/(SUM('[4]24a'!$B11:$F11))*100</f>
        <v>41.145833333333329</v>
      </c>
      <c r="G11" s="36">
        <f>'[4]24a'!G11/(SUM('[4]24a'!$G11:$K11))*100</f>
        <v>5.1090528831789666</v>
      </c>
      <c r="H11" s="21">
        <f>'[4]24a'!H11/(SUM('[4]24a'!$G11:$K11))*100</f>
        <v>12.399163429937257</v>
      </c>
      <c r="I11" s="21">
        <f>'[4]24a'!I11/(SUM('[4]24a'!$G11:$K11))*100</f>
        <v>18.763071407230356</v>
      </c>
      <c r="J11" s="21">
        <f>'[4]24a'!J11/(SUM('[4]24a'!$G11:$K11))*100</f>
        <v>24.589184344188826</v>
      </c>
      <c r="K11" s="21">
        <f>'[4]24a'!K11/(SUM('[4]24a'!$G11:$K11))*100</f>
        <v>39.139527935464599</v>
      </c>
      <c r="M11" s="6"/>
      <c r="N11" s="6"/>
      <c r="O11" s="6"/>
      <c r="P11" s="6"/>
      <c r="Q11" s="6"/>
      <c r="R11" s="6"/>
      <c r="S11" s="6"/>
      <c r="T11" s="6"/>
      <c r="U11" s="6"/>
      <c r="V11" s="6"/>
      <c r="W11" s="6"/>
    </row>
    <row r="12" spans="1:23">
      <c r="A12" s="2">
        <v>1987</v>
      </c>
      <c r="B12" s="977">
        <f>'[4]24a'!B12/(SUM('[4]24a'!$B12:$F12))*100</f>
        <v>4.9488054607508536</v>
      </c>
      <c r="C12" s="21">
        <f>'[4]24a'!C12/(SUM('[4]24a'!$B12:$F12))*100</f>
        <v>11.831626848691695</v>
      </c>
      <c r="D12" s="21">
        <f>'[4]24a'!D12/(SUM('[4]24a'!$B12:$F12))*100</f>
        <v>17.747440273037544</v>
      </c>
      <c r="E12" s="21">
        <f>'[4]24a'!E12/(SUM('[4]24a'!$B12:$F12))*100</f>
        <v>24.402730375426621</v>
      </c>
      <c r="F12" s="21">
        <f>'[4]24a'!F12/(SUM('[4]24a'!$B12:$F12))*100</f>
        <v>41.069397042093286</v>
      </c>
      <c r="G12" s="36">
        <f>'[4]24a'!G12/(SUM('[4]24a'!$G12:$K12))*100</f>
        <v>5.3157121879588844</v>
      </c>
      <c r="H12" s="21">
        <f>'[4]24a'!H12/(SUM('[4]24a'!$G12:$K12))*100</f>
        <v>12.393538913362702</v>
      </c>
      <c r="I12" s="21">
        <f>'[4]24a'!I12/(SUM('[4]24a'!$G12:$K12))*100</f>
        <v>18.531571218795889</v>
      </c>
      <c r="J12" s="21">
        <f>'[4]24a'!J12/(SUM('[4]24a'!$G12:$K12))*100</f>
        <v>24.669603524229075</v>
      </c>
      <c r="K12" s="21">
        <f>'[4]24a'!K12/(SUM('[4]24a'!$G12:$K12))*100</f>
        <v>39.089574155653452</v>
      </c>
      <c r="M12" s="6"/>
      <c r="N12" s="6"/>
      <c r="O12" s="6"/>
      <c r="P12" s="6"/>
      <c r="Q12" s="6"/>
      <c r="R12" s="6"/>
      <c r="S12" s="6"/>
      <c r="T12" s="6"/>
      <c r="U12" s="6"/>
      <c r="V12" s="6"/>
      <c r="W12" s="6"/>
    </row>
    <row r="13" spans="1:23">
      <c r="A13" s="2">
        <v>1988</v>
      </c>
      <c r="B13" s="977">
        <f>'[4]24a'!B13/(SUM('[4]24a'!$B13:$F13))*100</f>
        <v>4.853833425261997</v>
      </c>
      <c r="C13" s="21">
        <f>'[4]24a'!C13/(SUM('[4]24a'!$B13:$F13))*100</f>
        <v>11.969111969111969</v>
      </c>
      <c r="D13" s="21">
        <f>'[4]24a'!D13/(SUM('[4]24a'!$B13:$F13))*100</f>
        <v>18.036403750689463</v>
      </c>
      <c r="E13" s="21">
        <f>'[4]24a'!E13/(SUM('[4]24a'!$B13:$F13))*100</f>
        <v>24.324324324324326</v>
      </c>
      <c r="F13" s="21">
        <f>'[4]24a'!F13/(SUM('[4]24a'!$B13:$F13))*100</f>
        <v>40.816326530612244</v>
      </c>
      <c r="G13" s="36">
        <f>'[4]24a'!G13/(SUM('[4]24a'!$G13:$K13))*100</f>
        <v>5.2011494252873565</v>
      </c>
      <c r="H13" s="21">
        <f>'[4]24a'!H13/(SUM('[4]24a'!$G13:$K13))*100</f>
        <v>12.643678160919542</v>
      </c>
      <c r="I13" s="21">
        <f>'[4]24a'!I13/(SUM('[4]24a'!$G13:$K13))*100</f>
        <v>18.793103448275861</v>
      </c>
      <c r="J13" s="21">
        <f>'[4]24a'!J13/(SUM('[4]24a'!$G13:$K13))*100</f>
        <v>24.540229885057471</v>
      </c>
      <c r="K13" s="21">
        <f>'[4]24a'!K13/(SUM('[4]24a'!$G13:$K13))*100</f>
        <v>38.821839080459768</v>
      </c>
      <c r="M13" s="6"/>
      <c r="N13" s="6"/>
      <c r="O13" s="6"/>
      <c r="P13" s="6"/>
      <c r="Q13" s="6"/>
      <c r="R13" s="6"/>
      <c r="S13" s="6"/>
      <c r="T13" s="6"/>
      <c r="U13" s="6"/>
      <c r="V13" s="6"/>
      <c r="W13" s="6"/>
    </row>
    <row r="14" spans="1:23">
      <c r="A14" s="2">
        <v>1989</v>
      </c>
      <c r="B14" s="977">
        <f>'[4]24a'!B14/(SUM('[4]24a'!$B14:$F14))*100</f>
        <v>4.989270386266095</v>
      </c>
      <c r="C14" s="21">
        <f>'[4]24a'!C14/(SUM('[4]24a'!$B14:$F14))*100</f>
        <v>12.124463519313304</v>
      </c>
      <c r="D14" s="21">
        <f>'[4]24a'!D14/(SUM('[4]24a'!$B14:$F14))*100</f>
        <v>17.86480686695279</v>
      </c>
      <c r="E14" s="21">
        <f>'[4]24a'!E14/(SUM('[4]24a'!$B14:$F14))*100</f>
        <v>24.195278969957084</v>
      </c>
      <c r="F14" s="21">
        <f>'[4]24a'!F14/(SUM('[4]24a'!$B14:$F14))*100</f>
        <v>40.826180257510728</v>
      </c>
      <c r="G14" s="36">
        <f>'[4]24a'!G14/(SUM('[4]24a'!$G14:$K14))*100</f>
        <v>5.2499301870985757</v>
      </c>
      <c r="H14" s="21">
        <f>'[4]24a'!H14/(SUM('[4]24a'!$G14:$K14))*100</f>
        <v>12.817648701480033</v>
      </c>
      <c r="I14" s="21">
        <f>'[4]24a'!I14/(SUM('[4]24a'!$G14:$K14))*100</f>
        <v>18.598156939402401</v>
      </c>
      <c r="J14" s="21">
        <f>'[4]24a'!J14/(SUM('[4]24a'!$G14:$K14))*100</f>
        <v>24.434515498464116</v>
      </c>
      <c r="K14" s="21">
        <f>'[4]24a'!K14/(SUM('[4]24a'!$G14:$K14))*100</f>
        <v>38.899748673554875</v>
      </c>
      <c r="M14" s="6"/>
      <c r="N14" s="6"/>
      <c r="O14" s="6"/>
      <c r="P14" s="6"/>
      <c r="Q14" s="6"/>
      <c r="R14" s="6"/>
      <c r="S14" s="6"/>
      <c r="T14" s="6"/>
      <c r="U14" s="6"/>
      <c r="V14" s="6"/>
      <c r="W14" s="6"/>
    </row>
    <row r="15" spans="1:23">
      <c r="A15" s="2">
        <v>1990</v>
      </c>
      <c r="B15" s="977">
        <f>'[4]24a'!B15/(SUM('[4]24a'!$B15:$F15))*100</f>
        <v>4.5657015590200443</v>
      </c>
      <c r="C15" s="21">
        <f>'[4]24a'!C15/(SUM('[4]24a'!$B15:$F15))*100</f>
        <v>11.692650334075724</v>
      </c>
      <c r="D15" s="21">
        <f>'[4]24a'!D15/(SUM('[4]24a'!$B15:$F15))*100</f>
        <v>17.873051224944319</v>
      </c>
      <c r="E15" s="21">
        <f>'[4]24a'!E15/(SUM('[4]24a'!$B15:$F15))*100</f>
        <v>24.498886414253899</v>
      </c>
      <c r="F15" s="21">
        <f>'[4]24a'!F15/(SUM('[4]24a'!$B15:$F15))*100</f>
        <v>41.369710467706014</v>
      </c>
      <c r="G15" s="36">
        <f>'[4]24a'!G15/(SUM('[4]24a'!$G15:$K15))*100</f>
        <v>4.839177050130397</v>
      </c>
      <c r="H15" s="21">
        <f>'[4]24a'!H15/(SUM('[4]24a'!$G15:$K15))*100</f>
        <v>12.315270935960591</v>
      </c>
      <c r="I15" s="21">
        <f>'[4]24a'!I15/(SUM('[4]24a'!$G15:$K15))*100</f>
        <v>18.54534917415242</v>
      </c>
      <c r="J15" s="21">
        <f>'[4]24a'!J15/(SUM('[4]24a'!$G15:$K15))*100</f>
        <v>24.68849608809041</v>
      </c>
      <c r="K15" s="21">
        <f>'[4]24a'!K15/(SUM('[4]24a'!$G15:$K15))*100</f>
        <v>39.611706751666183</v>
      </c>
      <c r="M15" s="6"/>
      <c r="N15" s="6"/>
      <c r="O15" s="6"/>
      <c r="P15" s="6"/>
      <c r="Q15" s="6"/>
      <c r="R15" s="6"/>
      <c r="S15" s="6"/>
      <c r="T15" s="6"/>
      <c r="U15" s="6"/>
      <c r="V15" s="6"/>
      <c r="W15" s="6"/>
    </row>
    <row r="16" spans="1:23">
      <c r="A16" s="2">
        <v>1991</v>
      </c>
      <c r="B16" s="977">
        <f>'[4]24a'!B16/(SUM('[4]24a'!$B16:$F16))*100</f>
        <v>4.3073341094295694</v>
      </c>
      <c r="C16" s="21">
        <f>'[4]24a'!C16/(SUM('[4]24a'!$B16:$F16))*100</f>
        <v>11.001164144353901</v>
      </c>
      <c r="D16" s="21">
        <f>'[4]24a'!D16/(SUM('[4]24a'!$B16:$F16))*100</f>
        <v>17.345750873108265</v>
      </c>
      <c r="E16" s="21">
        <f>'[4]24a'!E16/(SUM('[4]24a'!$B16:$F16))*100</f>
        <v>24.388824214202561</v>
      </c>
      <c r="F16" s="21">
        <f>'[4]24a'!F16/(SUM('[4]24a'!$B16:$F16))*100</f>
        <v>42.956926658905701</v>
      </c>
      <c r="G16" s="36">
        <f>'[4]24a'!G16/(SUM('[4]24a'!$G16:$K16))*100</f>
        <v>4.6751669702489371</v>
      </c>
      <c r="H16" s="21">
        <f>'[4]24a'!H16/(SUM('[4]24a'!$G16:$K16))*100</f>
        <v>11.718275652701882</v>
      </c>
      <c r="I16" s="21">
        <f>'[4]24a'!I16/(SUM('[4]24a'!$G16:$K16))*100</f>
        <v>18.002428658166362</v>
      </c>
      <c r="J16" s="21">
        <f>'[4]24a'!J16/(SUM('[4]24a'!$G16:$K16))*100</f>
        <v>24.55980570734669</v>
      </c>
      <c r="K16" s="21">
        <f>'[4]24a'!K16/(SUM('[4]24a'!$G16:$K16))*100</f>
        <v>41.044323011536129</v>
      </c>
      <c r="M16" s="6"/>
      <c r="N16" s="6"/>
      <c r="O16" s="6"/>
      <c r="P16" s="6"/>
      <c r="Q16" s="6"/>
      <c r="R16" s="6"/>
      <c r="S16" s="6"/>
      <c r="T16" s="6"/>
      <c r="U16" s="6"/>
      <c r="V16" s="6"/>
      <c r="W16" s="6"/>
    </row>
    <row r="17" spans="1:23">
      <c r="A17" s="2">
        <v>1992</v>
      </c>
      <c r="B17" s="977">
        <f>'[4]24a'!B17/(SUM('[4]24a'!$B17:$F17))*100</f>
        <v>4.0070713022981739</v>
      </c>
      <c r="C17" s="21">
        <f>'[4]24a'!C17/(SUM('[4]24a'!$B17:$F17))*100</f>
        <v>10.842663523865644</v>
      </c>
      <c r="D17" s="21">
        <f>'[4]24a'!D17/(SUM('[4]24a'!$B17:$F17))*100</f>
        <v>17.324690630524454</v>
      </c>
      <c r="E17" s="21">
        <f>'[4]24a'!E17/(SUM('[4]24a'!$B17:$F17))*100</f>
        <v>24.51384796700059</v>
      </c>
      <c r="F17" s="21">
        <f>'[4]24a'!F17/(SUM('[4]24a'!$B17:$F17))*100</f>
        <v>43.311726576311138</v>
      </c>
      <c r="G17" s="36">
        <f>'[4]24a'!G17/(SUM('[4]24a'!$G17:$K17))*100</f>
        <v>4.2362399505256647</v>
      </c>
      <c r="H17" s="21">
        <f>'[4]24a'!H17/(SUM('[4]24a'!$G17:$K17))*100</f>
        <v>11.626468769325912</v>
      </c>
      <c r="I17" s="21">
        <f>'[4]24a'!I17/(SUM('[4]24a'!$G17:$K17))*100</f>
        <v>18.05813234384663</v>
      </c>
      <c r="J17" s="21">
        <f>'[4]24a'!J17/(SUM('[4]24a'!$G17:$K17))*100</f>
        <v>24.706246134817565</v>
      </c>
      <c r="K17" s="21">
        <f>'[4]24a'!K17/(SUM('[4]24a'!$G17:$K17))*100</f>
        <v>41.372912801484233</v>
      </c>
      <c r="M17" s="6"/>
      <c r="N17" s="6"/>
      <c r="O17" s="6"/>
      <c r="P17" s="6"/>
      <c r="Q17" s="6"/>
      <c r="R17" s="6"/>
      <c r="S17" s="6"/>
      <c r="T17" s="6"/>
      <c r="U17" s="6"/>
      <c r="V17" s="6"/>
      <c r="W17" s="6"/>
    </row>
    <row r="18" spans="1:23">
      <c r="A18" s="2">
        <v>1993</v>
      </c>
      <c r="B18" s="977">
        <f>'[4]24a'!B18/(SUM('[4]24a'!$B18:$F18))*100</f>
        <v>3.9755351681957185</v>
      </c>
      <c r="C18" s="21">
        <f>'[4]24a'!C18/(SUM('[4]24a'!$B18:$F18))*100</f>
        <v>10.825688073394495</v>
      </c>
      <c r="D18" s="21">
        <f>'[4]24a'!D18/(SUM('[4]24a'!$B18:$F18))*100</f>
        <v>17.553516819571865</v>
      </c>
      <c r="E18" s="21">
        <f>'[4]24a'!E18/(SUM('[4]24a'!$B18:$F18))*100</f>
        <v>24.831804281345565</v>
      </c>
      <c r="F18" s="21">
        <f>'[4]24a'!F18/(SUM('[4]24a'!$B18:$F18))*100</f>
        <v>42.813455657492355</v>
      </c>
      <c r="G18" s="36">
        <f>'[4]24a'!G18/(SUM('[4]24a'!$G18:$K18))*100</f>
        <v>4.2546385156749844</v>
      </c>
      <c r="H18" s="21">
        <f>'[4]24a'!H18/(SUM('[4]24a'!$G18:$K18))*100</f>
        <v>11.484325015994882</v>
      </c>
      <c r="I18" s="21">
        <f>'[4]24a'!I18/(SUM('[4]24a'!$G18:$K18))*100</f>
        <v>18.330134357005758</v>
      </c>
      <c r="J18" s="21">
        <f>'[4]24a'!J18/(SUM('[4]24a'!$G18:$K18))*100</f>
        <v>25.271912987843891</v>
      </c>
      <c r="K18" s="21">
        <f>'[4]24a'!K18/(SUM('[4]24a'!$G18:$K18))*100</f>
        <v>40.658989123480488</v>
      </c>
      <c r="M18" s="6"/>
      <c r="N18" s="6"/>
      <c r="O18" s="6"/>
      <c r="P18" s="6"/>
      <c r="Q18" s="6"/>
      <c r="R18" s="6"/>
      <c r="S18" s="6"/>
      <c r="T18" s="6"/>
      <c r="U18" s="6"/>
      <c r="V18" s="6"/>
      <c r="W18" s="6"/>
    </row>
    <row r="19" spans="1:23">
      <c r="A19" s="2">
        <v>1994</v>
      </c>
      <c r="B19" s="977">
        <f>'[4]24a'!B19/(SUM('[4]24a'!$B19:$F19))*100</f>
        <v>4.0095751047277073</v>
      </c>
      <c r="C19" s="21">
        <f>'[4]24a'!C19/(SUM('[4]24a'!$B19:$F19))*100</f>
        <v>10.891681627767804</v>
      </c>
      <c r="D19" s="21">
        <f>'[4]24a'!D19/(SUM('[4]24a'!$B19:$F19))*100</f>
        <v>17.474566128067025</v>
      </c>
      <c r="E19" s="21">
        <f>'[4]24a'!E19/(SUM('[4]24a'!$B19:$F19))*100</f>
        <v>24.715739078396169</v>
      </c>
      <c r="F19" s="21">
        <f>'[4]24a'!F19/(SUM('[4]24a'!$B19:$F19))*100</f>
        <v>42.908438061041295</v>
      </c>
      <c r="G19" s="36">
        <f>'[4]24a'!G19/(SUM('[4]24a'!$G19:$K19))*100</f>
        <v>4.2719052073589028</v>
      </c>
      <c r="H19" s="21">
        <f>'[4]24a'!H19/(SUM('[4]24a'!$G19:$K19))*100</f>
        <v>11.568444028687248</v>
      </c>
      <c r="I19" s="21">
        <f>'[4]24a'!I19/(SUM('[4]24a'!$G19:$K19))*100</f>
        <v>18.178983473651389</v>
      </c>
      <c r="J19" s="21">
        <f>'[4]24a'!J19/(SUM('[4]24a'!$G19:$K19))*100</f>
        <v>25.132522606797629</v>
      </c>
      <c r="K19" s="21">
        <f>'[4]24a'!K19/(SUM('[4]24a'!$G19:$K19))*100</f>
        <v>40.848144683504835</v>
      </c>
      <c r="M19" s="6"/>
      <c r="N19" s="6"/>
      <c r="O19" s="6"/>
      <c r="P19" s="6"/>
      <c r="Q19" s="6"/>
      <c r="R19" s="6"/>
      <c r="S19" s="6"/>
      <c r="T19" s="6"/>
      <c r="U19" s="6"/>
      <c r="V19" s="6"/>
      <c r="W19" s="6"/>
    </row>
    <row r="20" spans="1:23">
      <c r="A20" s="2">
        <v>1995</v>
      </c>
      <c r="B20" s="977">
        <f>'[4]24a'!B20/(SUM('[4]24a'!$B20:$F20))*100</f>
        <v>4.092526690391459</v>
      </c>
      <c r="C20" s="21">
        <f>'[4]24a'!C20/(SUM('[4]24a'!$B20:$F20))*100</f>
        <v>10.85409252669039</v>
      </c>
      <c r="D20" s="21">
        <f>'[4]24a'!D20/(SUM('[4]24a'!$B20:$F20))*100</f>
        <v>17.319098457888494</v>
      </c>
      <c r="E20" s="21">
        <f>'[4]24a'!E20/(SUM('[4]24a'!$B20:$F20))*100</f>
        <v>24.673784104389089</v>
      </c>
      <c r="F20" s="21">
        <f>'[4]24a'!F20/(SUM('[4]24a'!$B20:$F20))*100</f>
        <v>43.060498220640568</v>
      </c>
      <c r="G20" s="36">
        <f>'[4]24a'!G20/(SUM('[4]24a'!$G20:$K20))*100</f>
        <v>4.3829654958035436</v>
      </c>
      <c r="H20" s="21">
        <f>'[4]24a'!H20/(SUM('[4]24a'!$G20:$K20))*100</f>
        <v>11.501398818775256</v>
      </c>
      <c r="I20" s="21">
        <f>'[4]24a'!I20/(SUM('[4]24a'!$G20:$K20))*100</f>
        <v>17.904880323282562</v>
      </c>
      <c r="J20" s="21">
        <f>'[4]24a'!J20/(SUM('[4]24a'!$G20:$K20))*100</f>
        <v>25.085483369599004</v>
      </c>
      <c r="K20" s="21">
        <f>'[4]24a'!K20/(SUM('[4]24a'!$G20:$K20))*100</f>
        <v>41.125271992539638</v>
      </c>
      <c r="M20" s="6"/>
      <c r="N20" s="6"/>
      <c r="O20" s="6"/>
      <c r="P20" s="6"/>
      <c r="Q20" s="6"/>
      <c r="R20" s="6"/>
      <c r="S20" s="6"/>
      <c r="T20" s="6"/>
      <c r="U20" s="6"/>
      <c r="V20" s="6"/>
      <c r="W20" s="6"/>
    </row>
    <row r="21" spans="1:23">
      <c r="A21" s="2">
        <v>1996</v>
      </c>
      <c r="B21" s="977">
        <f>'[4]24a'!B21/(SUM('[4]24a'!$B21:$F21))*100</f>
        <v>3.8686987104337636</v>
      </c>
      <c r="C21" s="21">
        <f>'[4]24a'!C21/(SUM('[4]24a'!$B21:$F21))*100</f>
        <v>10.609613130128958</v>
      </c>
      <c r="D21" s="21">
        <f>'[4]24a'!D21/(SUM('[4]24a'!$B21:$F21))*100</f>
        <v>17.23329425556858</v>
      </c>
      <c r="E21" s="21">
        <f>'[4]24a'!E21/(SUM('[4]24a'!$B21:$F21))*100</f>
        <v>24.501758499413835</v>
      </c>
      <c r="F21" s="21">
        <f>'[4]24a'!F21/(SUM('[4]24a'!$B21:$F21))*100</f>
        <v>43.786635404454863</v>
      </c>
      <c r="G21" s="36">
        <f>'[4]24a'!G21/(SUM('[4]24a'!$G21:$K21))*100</f>
        <v>4.1552092881148788</v>
      </c>
      <c r="H21" s="21">
        <f>'[4]24a'!H21/(SUM('[4]24a'!$G21:$K21))*100</f>
        <v>11.243507485487321</v>
      </c>
      <c r="I21" s="21">
        <f>'[4]24a'!I21/(SUM('[4]24a'!$G21:$K21))*100</f>
        <v>17.9040635502597</v>
      </c>
      <c r="J21" s="21">
        <f>'[4]24a'!J21/(SUM('[4]24a'!$G21:$K21))*100</f>
        <v>24.839596700274978</v>
      </c>
      <c r="K21" s="21">
        <f>'[4]24a'!K21/(SUM('[4]24a'!$G21:$K21))*100</f>
        <v>41.857622975863123</v>
      </c>
      <c r="M21" s="6"/>
      <c r="N21" s="6"/>
      <c r="O21" s="6"/>
      <c r="P21" s="6"/>
      <c r="Q21" s="6"/>
      <c r="R21" s="6"/>
      <c r="S21" s="6"/>
      <c r="T21" s="6"/>
      <c r="U21" s="6"/>
      <c r="V21" s="6"/>
      <c r="W21" s="6"/>
    </row>
    <row r="22" spans="1:23">
      <c r="A22" s="2">
        <v>1997</v>
      </c>
      <c r="B22" s="977">
        <f>'[4]24a'!B22/(SUM('[4]24a'!$B22:$F22))*100</f>
        <v>4.0253018976423229</v>
      </c>
      <c r="C22" s="21">
        <f>'[4]24a'!C22/(SUM('[4]24a'!$B22:$F22))*100</f>
        <v>10.580793559516964</v>
      </c>
      <c r="D22" s="21">
        <f>'[4]24a'!D22/(SUM('[4]24a'!$B22:$F22))*100</f>
        <v>17.251293847038529</v>
      </c>
      <c r="E22" s="21">
        <f>'[4]24a'!E22/(SUM('[4]24a'!$B22:$F22))*100</f>
        <v>24.439332949971249</v>
      </c>
      <c r="F22" s="21">
        <f>'[4]24a'!F22/(SUM('[4]24a'!$B22:$F22))*100</f>
        <v>43.703277745830938</v>
      </c>
      <c r="G22" s="36">
        <f>'[4]24a'!G22/(SUM('[4]24a'!$G22:$K22))*100</f>
        <v>4.296875</v>
      </c>
      <c r="H22" s="21">
        <f>'[4]24a'!H22/(SUM('[4]24a'!$G22:$K22))*100</f>
        <v>11.177884615384617</v>
      </c>
      <c r="I22" s="21">
        <f>'[4]24a'!I22/(SUM('[4]24a'!$G22:$K22))*100</f>
        <v>17.78846153846154</v>
      </c>
      <c r="J22" s="21">
        <f>'[4]24a'!J22/(SUM('[4]24a'!$G22:$K22))*100</f>
        <v>24.969951923076923</v>
      </c>
      <c r="K22" s="21">
        <f>'[4]24a'!K22/(SUM('[4]24a'!$G22:$K22))*100</f>
        <v>41.76682692307692</v>
      </c>
      <c r="M22" s="6"/>
      <c r="N22" s="6"/>
      <c r="O22" s="6"/>
      <c r="P22" s="6"/>
      <c r="Q22" s="6"/>
      <c r="R22" s="6"/>
      <c r="S22" s="6"/>
      <c r="T22" s="6"/>
      <c r="U22" s="6"/>
      <c r="V22" s="6"/>
      <c r="W22" s="6"/>
    </row>
    <row r="23" spans="1:23">
      <c r="A23" s="2">
        <v>1998</v>
      </c>
      <c r="B23" s="977">
        <f>'[4]24a'!B23/(SUM('[4]24a'!$B23:$F23))*100</f>
        <v>3.8147138964577656</v>
      </c>
      <c r="C23" s="21">
        <f>'[4]24a'!C23/(SUM('[4]24a'!$B23:$F23))*100</f>
        <v>10.354223433242508</v>
      </c>
      <c r="D23" s="21">
        <f>'[4]24a'!D23/(SUM('[4]24a'!$B23:$F23))*100</f>
        <v>17.002724795640329</v>
      </c>
      <c r="E23" s="21">
        <f>'[4]24a'!E23/(SUM('[4]24a'!$B23:$F23))*100</f>
        <v>24.141689373297005</v>
      </c>
      <c r="F23" s="21">
        <f>'[4]24a'!F23/(SUM('[4]24a'!$B23:$F23))*100</f>
        <v>44.686648501362399</v>
      </c>
      <c r="G23" s="36">
        <f>'[4]24a'!G23/(SUM('[4]24a'!$G23:$K23))*100</f>
        <v>4.0740740740740744</v>
      </c>
      <c r="H23" s="21">
        <f>'[4]24a'!H23/(SUM('[4]24a'!$G23:$K23))*100</f>
        <v>10.797720797720798</v>
      </c>
      <c r="I23" s="21">
        <f>'[4]24a'!I23/(SUM('[4]24a'!$G23:$K23))*100</f>
        <v>17.720797720797719</v>
      </c>
      <c r="J23" s="21">
        <f>'[4]24a'!J23/(SUM('[4]24a'!$G23:$K23))*100</f>
        <v>24.558404558404558</v>
      </c>
      <c r="K23" s="21">
        <f>'[4]24a'!K23/(SUM('[4]24a'!$G23:$K23))*100</f>
        <v>42.849002849002851</v>
      </c>
      <c r="M23" s="6"/>
      <c r="N23" s="6"/>
      <c r="O23" s="6"/>
      <c r="P23" s="6"/>
      <c r="Q23" s="6"/>
      <c r="R23" s="6"/>
      <c r="S23" s="6"/>
      <c r="T23" s="6"/>
      <c r="U23" s="6"/>
      <c r="V23" s="6"/>
      <c r="W23" s="6"/>
    </row>
    <row r="24" spans="1:23">
      <c r="A24" s="2">
        <v>1999</v>
      </c>
      <c r="B24" s="977">
        <f>'[4]24a'!B24/(SUM('[4]24a'!$B24:$F24))*100</f>
        <v>4.1622760800842995</v>
      </c>
      <c r="C24" s="21">
        <f>'[4]24a'!C24/(SUM('[4]24a'!$B24:$F24))*100</f>
        <v>10.800842992623814</v>
      </c>
      <c r="D24" s="21">
        <f>'[4]24a'!D24/(SUM('[4]24a'!$B24:$F24))*100</f>
        <v>17.123287671232877</v>
      </c>
      <c r="E24" s="21">
        <f>'[4]24a'!E24/(SUM('[4]24a'!$B24:$F24))*100</f>
        <v>23.919915700737619</v>
      </c>
      <c r="F24" s="21">
        <f>'[4]24a'!F24/(SUM('[4]24a'!$B24:$F24))*100</f>
        <v>43.993677555321391</v>
      </c>
      <c r="G24" s="36">
        <f>'[4]24a'!G24/(SUM('[4]24a'!$G24:$K24))*100</f>
        <v>4.408928079360706</v>
      </c>
      <c r="H24" s="21">
        <f>'[4]24a'!H24/(SUM('[4]24a'!$G24:$K24))*100</f>
        <v>11.325434003857811</v>
      </c>
      <c r="I24" s="21">
        <f>'[4]24a'!I24/(SUM('[4]24a'!$G24:$K24))*100</f>
        <v>17.718379718930834</v>
      </c>
      <c r="J24" s="21">
        <f>'[4]24a'!J24/(SUM('[4]24a'!$G24:$K24))*100</f>
        <v>24.276660236979886</v>
      </c>
      <c r="K24" s="21">
        <f>'[4]24a'!K24/(SUM('[4]24a'!$G24:$K24))*100</f>
        <v>42.270597960870766</v>
      </c>
      <c r="M24" s="6"/>
      <c r="N24" s="6"/>
      <c r="O24" s="6"/>
      <c r="P24" s="6"/>
      <c r="Q24" s="6"/>
      <c r="R24" s="6"/>
      <c r="S24" s="6"/>
      <c r="T24" s="6"/>
      <c r="U24" s="6"/>
      <c r="V24" s="6"/>
      <c r="W24" s="6"/>
    </row>
    <row r="25" spans="1:23">
      <c r="A25" s="2">
        <v>2000</v>
      </c>
      <c r="B25" s="977">
        <f>'[4]24a'!B25/(SUM('[4]24a'!$B25:$F25))*100</f>
        <v>4.31943746860874</v>
      </c>
      <c r="C25" s="21">
        <f>'[4]24a'!C25/(SUM('[4]24a'!$B25:$F25))*100</f>
        <v>10.597689603214464</v>
      </c>
      <c r="D25" s="21">
        <f>'[4]24a'!D25/(SUM('[4]24a'!$B25:$F25))*100</f>
        <v>16.775489703666498</v>
      </c>
      <c r="E25" s="21">
        <f>'[4]24a'!E25/(SUM('[4]24a'!$B25:$F25))*100</f>
        <v>23.556002009040682</v>
      </c>
      <c r="F25" s="21">
        <f>'[4]24a'!F25/(SUM('[4]24a'!$B25:$F25))*100</f>
        <v>44.751381215469614</v>
      </c>
      <c r="G25" s="36">
        <f>'[4]24a'!G25/(SUM('[4]24a'!$G25:$K25))*100</f>
        <v>4.5502092050209209</v>
      </c>
      <c r="H25" s="21">
        <f>'[4]24a'!H25/(SUM('[4]24a'!$G25:$K25))*100</f>
        <v>11.08786610878661</v>
      </c>
      <c r="I25" s="21">
        <f>'[4]24a'!I25/(SUM('[4]24a'!$G25:$K25))*100</f>
        <v>17.154811715481173</v>
      </c>
      <c r="J25" s="21">
        <f>'[4]24a'!J25/(SUM('[4]24a'!$G25:$K25))*100</f>
        <v>23.744769874476987</v>
      </c>
      <c r="K25" s="21">
        <f>'[4]24a'!K25/(SUM('[4]24a'!$G25:$K25))*100</f>
        <v>43.462343096234306</v>
      </c>
      <c r="M25" s="6"/>
      <c r="N25" s="6"/>
      <c r="O25" s="6"/>
      <c r="P25" s="6"/>
      <c r="Q25" s="6"/>
      <c r="R25" s="6"/>
      <c r="S25" s="6"/>
      <c r="T25" s="6"/>
      <c r="U25" s="6"/>
      <c r="V25" s="6"/>
      <c r="W25" s="6"/>
    </row>
    <row r="26" spans="1:23">
      <c r="A26" s="2">
        <v>2001</v>
      </c>
      <c r="B26" s="977">
        <f>'[4]24a'!B26/(SUM('[4]24a'!$B26:$F26))*100</f>
        <v>4.1832669322709162</v>
      </c>
      <c r="C26" s="21">
        <f>'[4]24a'!C26/(SUM('[4]24a'!$B26:$F26))*100</f>
        <v>10.50796812749004</v>
      </c>
      <c r="D26" s="21">
        <f>'[4]24a'!D26/(SUM('[4]24a'!$B26:$F26))*100</f>
        <v>16.633466135458168</v>
      </c>
      <c r="E26" s="21">
        <f>'[4]24a'!E26/(SUM('[4]24a'!$B26:$F26))*100</f>
        <v>23.555776892430281</v>
      </c>
      <c r="F26" s="21">
        <f>'[4]24a'!F26/(SUM('[4]24a'!$B26:$F26))*100</f>
        <v>45.119521912350599</v>
      </c>
      <c r="G26" s="36">
        <f>'[4]24a'!G26/(SUM('[4]24a'!$G26:$K26))*100</f>
        <v>4.4756700494405415</v>
      </c>
      <c r="H26" s="21">
        <f>'[4]24a'!H26/(SUM('[4]24a'!$G26:$K26))*100</f>
        <v>10.876919073640385</v>
      </c>
      <c r="I26" s="21">
        <f>'[4]24a'!I26/(SUM('[4]24a'!$G26:$K26))*100</f>
        <v>17.200104085349988</v>
      </c>
      <c r="J26" s="21">
        <f>'[4]24a'!J26/(SUM('[4]24a'!$G26:$K26))*100</f>
        <v>23.783502472027063</v>
      </c>
      <c r="K26" s="21">
        <f>'[4]24a'!K26/(SUM('[4]24a'!$G26:$K26))*100</f>
        <v>43.663804319542024</v>
      </c>
      <c r="M26" s="6"/>
      <c r="N26" s="6"/>
      <c r="O26" s="6"/>
      <c r="P26" s="6"/>
      <c r="Q26" s="6"/>
      <c r="R26" s="6"/>
      <c r="S26" s="6"/>
      <c r="T26" s="6"/>
      <c r="U26" s="6"/>
      <c r="V26" s="6"/>
      <c r="W26" s="6"/>
    </row>
    <row r="27" spans="1:23">
      <c r="A27" s="2">
        <v>2002</v>
      </c>
      <c r="B27" s="977">
        <f>'[4]24a'!B27/(SUM('[4]24a'!$B27:$F27))*100</f>
        <v>4.2288557213930353</v>
      </c>
      <c r="C27" s="21">
        <f>'[4]24a'!C27/(SUM('[4]24a'!$B27:$F27))*100</f>
        <v>10.497512437810945</v>
      </c>
      <c r="D27" s="21">
        <f>'[4]24a'!D27/(SUM('[4]24a'!$B27:$F27))*100</f>
        <v>16.567164179104477</v>
      </c>
      <c r="E27" s="21">
        <f>'[4]24a'!E27/(SUM('[4]24a'!$B27:$F27))*100</f>
        <v>23.53233830845771</v>
      </c>
      <c r="F27" s="21">
        <f>'[4]24a'!F27/(SUM('[4]24a'!$B27:$F27))*100</f>
        <v>45.17412935323383</v>
      </c>
      <c r="G27" s="36">
        <f>'[4]24a'!G27/(SUM('[4]24a'!$G27:$K27))*100</f>
        <v>4.4479330193615905</v>
      </c>
      <c r="H27" s="21">
        <f>'[4]24a'!H27/(SUM('[4]24a'!$G27:$K27))*100</f>
        <v>10.989010989010989</v>
      </c>
      <c r="I27" s="21">
        <f>'[4]24a'!I27/(SUM('[4]24a'!$G27:$K27))*100</f>
        <v>17.242281527995814</v>
      </c>
      <c r="J27" s="21">
        <f>'[4]24a'!J27/(SUM('[4]24a'!$G27:$K27))*100</f>
        <v>23.835688121402406</v>
      </c>
      <c r="K27" s="21">
        <f>'[4]24a'!K27/(SUM('[4]24a'!$G27:$K27))*100</f>
        <v>43.485086342229202</v>
      </c>
      <c r="M27" s="6"/>
      <c r="N27" s="6"/>
      <c r="O27" s="6"/>
      <c r="P27" s="6"/>
      <c r="Q27" s="6"/>
      <c r="R27" s="6"/>
      <c r="S27" s="6"/>
      <c r="T27" s="6"/>
      <c r="U27" s="6"/>
      <c r="V27" s="6"/>
      <c r="W27" s="6"/>
    </row>
    <row r="28" spans="1:23">
      <c r="A28" s="2">
        <v>2003</v>
      </c>
      <c r="B28" s="977">
        <f>'[4]24a'!B28/(SUM('[4]24a'!$B28:$F28))*100</f>
        <v>4.306459689534301</v>
      </c>
      <c r="C28" s="21">
        <f>'[4]24a'!C28/(SUM('[4]24a'!$B28:$F28))*100</f>
        <v>10.515773660490737</v>
      </c>
      <c r="D28" s="21">
        <f>'[4]24a'!D28/(SUM('[4]24a'!$B28:$F28))*100</f>
        <v>16.72508763144717</v>
      </c>
      <c r="E28" s="21">
        <f>'[4]24a'!E28/(SUM('[4]24a'!$B28:$F28))*100</f>
        <v>23.735603405107661</v>
      </c>
      <c r="F28" s="21">
        <f>'[4]24a'!F28/(SUM('[4]24a'!$B28:$F28))*100</f>
        <v>44.717075613420135</v>
      </c>
      <c r="G28" s="36">
        <f>'[4]24a'!G28/(SUM('[4]24a'!$G28:$K28))*100</f>
        <v>4.5980031529164478</v>
      </c>
      <c r="H28" s="21">
        <f>'[4]24a'!H28/(SUM('[4]24a'!$G28:$K28))*100</f>
        <v>10.956384655806621</v>
      </c>
      <c r="I28" s="21">
        <f>'[4]24a'!I28/(SUM('[4]24a'!$G28:$K28))*100</f>
        <v>17.419863373620597</v>
      </c>
      <c r="J28" s="21">
        <f>'[4]24a'!J28/(SUM('[4]24a'!$G28:$K28))*100</f>
        <v>23.804519180241723</v>
      </c>
      <c r="K28" s="21">
        <f>'[4]24a'!K28/(SUM('[4]24a'!$G28:$K28))*100</f>
        <v>43.221229637414609</v>
      </c>
      <c r="M28" s="6"/>
      <c r="N28" s="6"/>
      <c r="O28" s="6"/>
      <c r="P28" s="6"/>
      <c r="Q28" s="6"/>
      <c r="R28" s="6"/>
      <c r="S28" s="6"/>
      <c r="T28" s="6"/>
      <c r="U28" s="6"/>
      <c r="V28" s="6"/>
      <c r="W28" s="6"/>
    </row>
    <row r="29" spans="1:23">
      <c r="A29" s="2">
        <v>2004</v>
      </c>
      <c r="B29" s="977">
        <f>'[4]24a'!B29/(SUM('[4]24a'!$B29:$F29))*100</f>
        <v>4.275996112730807</v>
      </c>
      <c r="C29" s="21">
        <f>'[4]24a'!C29/(SUM('[4]24a'!$B29:$F29))*100</f>
        <v>10.349854227405247</v>
      </c>
      <c r="D29" s="21">
        <f>'[4]24a'!D29/(SUM('[4]24a'!$B29:$F29))*100</f>
        <v>16.618075801749271</v>
      </c>
      <c r="E29" s="21">
        <f>'[4]24a'!E29/(SUM('[4]24a'!$B29:$F29))*100</f>
        <v>23.517978620019438</v>
      </c>
      <c r="F29" s="21">
        <f>'[4]24a'!F29/(SUM('[4]24a'!$B29:$F29))*100</f>
        <v>45.238095238095241</v>
      </c>
      <c r="G29" s="36">
        <f>'[4]24a'!G29/(SUM('[4]24a'!$G29:$K29))*100</f>
        <v>4.5466155810983402</v>
      </c>
      <c r="H29" s="21">
        <f>'[4]24a'!H29/(SUM('[4]24a'!$G29:$K29))*100</f>
        <v>10.70242656449553</v>
      </c>
      <c r="I29" s="21">
        <f>'[4]24a'!I29/(SUM('[4]24a'!$G29:$K29))*100</f>
        <v>17.215836526181356</v>
      </c>
      <c r="J29" s="21">
        <f>'[4]24a'!J29/(SUM('[4]24a'!$G29:$K29))*100</f>
        <v>23.499361430395911</v>
      </c>
      <c r="K29" s="21">
        <f>'[4]24a'!K29/(SUM('[4]24a'!$G29:$K29))*100</f>
        <v>44.035759897828861</v>
      </c>
      <c r="M29" s="6"/>
      <c r="N29" s="6"/>
      <c r="O29" s="6"/>
      <c r="P29" s="6"/>
      <c r="Q29" s="6"/>
      <c r="R29" s="6"/>
      <c r="S29" s="6"/>
      <c r="T29" s="6"/>
      <c r="U29" s="6"/>
      <c r="V29" s="6"/>
      <c r="W29" s="6"/>
    </row>
    <row r="30" spans="1:23">
      <c r="A30" s="2">
        <v>2005</v>
      </c>
      <c r="B30" s="977">
        <f>'[4]24a'!B30/(SUM('[4]24a'!$B30:$F30))*100</f>
        <v>4.4167066730676909</v>
      </c>
      <c r="C30" s="21">
        <f>'[4]24a'!C30/(SUM('[4]24a'!$B30:$F30))*100</f>
        <v>10.561689870379261</v>
      </c>
      <c r="D30" s="21">
        <f>'[4]24a'!D30/(SUM('[4]24a'!$B30:$F30))*100</f>
        <v>16.610657705232835</v>
      </c>
      <c r="E30" s="21">
        <f>'[4]24a'!E30/(SUM('[4]24a'!$B30:$F30))*100</f>
        <v>23.811809889582332</v>
      </c>
      <c r="F30" s="21">
        <f>'[4]24a'!F30/(SUM('[4]24a'!$B30:$F30))*100</f>
        <v>44.599135861737878</v>
      </c>
      <c r="G30" s="36">
        <f>'[4]24a'!G30/(SUM('[4]24a'!$G30:$K30))*100</f>
        <v>4.6488125315816067</v>
      </c>
      <c r="H30" s="21">
        <f>'[4]24a'!H30/(SUM('[4]24a'!$G30:$K30))*100</f>
        <v>10.864072764022234</v>
      </c>
      <c r="I30" s="21">
        <f>'[4]24a'!I30/(SUM('[4]24a'!$G30:$K30))*100</f>
        <v>17.281455280444668</v>
      </c>
      <c r="J30" s="21">
        <f>'[4]24a'!J30/(SUM('[4]24a'!$G30:$K30))*100</f>
        <v>24.077817079332998</v>
      </c>
      <c r="K30" s="21">
        <f>'[4]24a'!K30/(SUM('[4]24a'!$G30:$K30))*100</f>
        <v>43.127842344618493</v>
      </c>
      <c r="M30" s="6"/>
      <c r="N30" s="6"/>
      <c r="O30" s="6"/>
      <c r="P30" s="6"/>
      <c r="Q30" s="6"/>
      <c r="R30" s="6"/>
      <c r="S30" s="6"/>
      <c r="T30" s="6"/>
      <c r="U30" s="6"/>
      <c r="V30" s="6"/>
      <c r="W30" s="6"/>
    </row>
    <row r="31" spans="1:23">
      <c r="A31" s="2">
        <v>2006</v>
      </c>
      <c r="B31" s="977">
        <f>'[4]24a'!B31/(SUM('[4]24a'!$B31:$F31))*100</f>
        <v>4.5325779036827196</v>
      </c>
      <c r="C31" s="21">
        <f>'[4]24a'!C31/(SUM('[4]24a'!$B31:$F31))*100</f>
        <v>10.434372049102928</v>
      </c>
      <c r="D31" s="21">
        <f>'[4]24a'!D31/(SUM('[4]24a'!$B31:$F31))*100</f>
        <v>16.572237960339944</v>
      </c>
      <c r="E31" s="21">
        <f>'[4]24a'!E31/(SUM('[4]24a'!$B31:$F31))*100</f>
        <v>23.607176581680829</v>
      </c>
      <c r="F31" s="21">
        <f>'[4]24a'!F31/(SUM('[4]24a'!$B31:$F31))*100</f>
        <v>44.85363550519358</v>
      </c>
      <c r="G31" s="36">
        <f>'[4]24a'!G31/(SUM('[4]24a'!$G31:$K31))*100</f>
        <v>4.7868362004487661</v>
      </c>
      <c r="H31" s="21">
        <f>'[4]24a'!H31/(SUM('[4]24a'!$G31:$K31))*100</f>
        <v>11.06955871353777</v>
      </c>
      <c r="I31" s="21">
        <f>'[4]24a'!I31/(SUM('[4]24a'!$G31:$K31))*100</f>
        <v>17.078035402642733</v>
      </c>
      <c r="J31" s="21">
        <f>'[4]24a'!J31/(SUM('[4]24a'!$G31:$K31))*100</f>
        <v>23.759660932435803</v>
      </c>
      <c r="K31" s="21">
        <f>'[4]24a'!K31/(SUM('[4]24a'!$G31:$K31))*100</f>
        <v>43.305908750934933</v>
      </c>
      <c r="M31" s="6"/>
      <c r="N31" s="6"/>
      <c r="O31" s="6"/>
      <c r="P31" s="6"/>
      <c r="Q31" s="6"/>
      <c r="R31" s="6"/>
      <c r="S31" s="6"/>
      <c r="T31" s="6"/>
      <c r="U31" s="6"/>
      <c r="V31" s="6"/>
      <c r="W31" s="6"/>
    </row>
    <row r="32" spans="1:23" s="961" customFormat="1">
      <c r="A32" s="2">
        <v>2007</v>
      </c>
      <c r="B32" s="977">
        <f>'[4]24a'!B32/(SUM('[4]24a'!$B32:$F32))*100</f>
        <v>4.562043795620438</v>
      </c>
      <c r="C32" s="21">
        <f>'[4]24a'!C32/(SUM('[4]24a'!$B32:$F32))*100</f>
        <v>10.629562043795621</v>
      </c>
      <c r="D32" s="21">
        <f>'[4]24a'!D32/(SUM('[4]24a'!$B32:$F32))*100</f>
        <v>16.377737226277372</v>
      </c>
      <c r="E32" s="21">
        <f>'[4]24a'!E32/(SUM('[4]24a'!$B32:$F32))*100</f>
        <v>23.494525547445257</v>
      </c>
      <c r="F32" s="21">
        <f>'[4]24a'!F32/(SUM('[4]24a'!$B32:$F32))*100</f>
        <v>44.936131386861319</v>
      </c>
      <c r="G32" s="36">
        <f>'[4]24a'!G32/(SUM('[4]24a'!$G32:$K32))*100</f>
        <v>4.933494558645708</v>
      </c>
      <c r="H32" s="21">
        <f>'[4]24a'!H32/(SUM('[4]24a'!$G32:$K32))*100</f>
        <v>11.221281741233375</v>
      </c>
      <c r="I32" s="21">
        <f>'[4]24a'!I32/(SUM('[4]24a'!$G32:$K32))*100</f>
        <v>16.856106408706168</v>
      </c>
      <c r="J32" s="21">
        <f>'[4]24a'!J32/(SUM('[4]24a'!$G32:$K32))*100</f>
        <v>23.941958887545344</v>
      </c>
      <c r="K32" s="21">
        <f>'[4]24a'!K32/(SUM('[4]24a'!$G32:$K32))*100</f>
        <v>43.047158403869403</v>
      </c>
      <c r="M32" s="6"/>
      <c r="N32" s="6"/>
      <c r="O32" s="6"/>
      <c r="P32" s="6"/>
      <c r="Q32" s="6"/>
      <c r="R32" s="6"/>
      <c r="S32" s="6"/>
      <c r="T32" s="6"/>
      <c r="U32" s="6"/>
      <c r="V32" s="6"/>
      <c r="W32" s="6"/>
    </row>
    <row r="33" spans="1:23" s="961" customFormat="1">
      <c r="A33" s="2"/>
      <c r="B33" s="977"/>
      <c r="C33" s="21"/>
      <c r="D33" s="21"/>
      <c r="E33" s="21"/>
      <c r="F33" s="21"/>
      <c r="G33" s="36"/>
      <c r="H33" s="21"/>
      <c r="I33" s="21"/>
      <c r="J33" s="21"/>
      <c r="K33" s="21"/>
      <c r="M33" s="6"/>
      <c r="N33" s="6"/>
      <c r="O33" s="6"/>
      <c r="P33" s="6"/>
      <c r="Q33" s="6"/>
      <c r="R33" s="6"/>
      <c r="S33" s="6"/>
      <c r="T33" s="6"/>
      <c r="U33" s="6"/>
      <c r="V33" s="6"/>
      <c r="W33" s="6"/>
    </row>
    <row r="34" spans="1:23">
      <c r="A34" s="738"/>
      <c r="B34" s="959"/>
      <c r="C34" s="959"/>
      <c r="D34" s="959"/>
      <c r="E34" s="959"/>
      <c r="F34" s="233" t="s">
        <v>655</v>
      </c>
      <c r="G34" s="959"/>
      <c r="H34" s="959"/>
      <c r="I34" s="959"/>
      <c r="J34" s="959"/>
      <c r="K34" s="959"/>
      <c r="L34" s="644"/>
      <c r="M34" s="229"/>
      <c r="N34" s="229"/>
      <c r="O34" s="229"/>
      <c r="P34" s="229"/>
      <c r="Q34" s="229"/>
      <c r="R34" s="229"/>
    </row>
    <row r="35" spans="1:23">
      <c r="A35" s="431" t="s">
        <v>603</v>
      </c>
      <c r="B35" s="27">
        <f>B14-B6</f>
        <v>-3.4094099715213488E-2</v>
      </c>
      <c r="C35" s="27">
        <f t="shared" ref="C35:K35" si="0">C14-C6</f>
        <v>-0.4339476956399686</v>
      </c>
      <c r="D35" s="27">
        <f t="shared" si="0"/>
        <v>-0.24266976856122824</v>
      </c>
      <c r="E35" s="27">
        <f t="shared" si="0"/>
        <v>-0.45425374032329202</v>
      </c>
      <c r="F35" s="27">
        <f t="shared" si="0"/>
        <v>1.1649653042397006</v>
      </c>
      <c r="G35" s="27">
        <f t="shared" si="0"/>
        <v>-0.27934243265305003</v>
      </c>
      <c r="H35" s="27">
        <f t="shared" si="0"/>
        <v>-0.75420227427395758</v>
      </c>
      <c r="I35" s="27">
        <f t="shared" si="0"/>
        <v>-0.26642023386785496</v>
      </c>
      <c r="J35" s="27">
        <f t="shared" si="0"/>
        <v>-0.46199544180791463</v>
      </c>
      <c r="K35" s="27">
        <f t="shared" si="0"/>
        <v>1.7619603826027728</v>
      </c>
      <c r="L35" s="114"/>
    </row>
    <row r="36" spans="1:23">
      <c r="A36" s="431" t="s">
        <v>604</v>
      </c>
      <c r="B36" s="27">
        <f>B25-B14</f>
        <v>-0.66983291765735498</v>
      </c>
      <c r="C36" s="27">
        <f t="shared" ref="C36:K36" si="1">C25-C14</f>
        <v>-1.5267739160988398</v>
      </c>
      <c r="D36" s="27">
        <f t="shared" si="1"/>
        <v>-1.0893171632862924</v>
      </c>
      <c r="E36" s="27">
        <f t="shared" si="1"/>
        <v>-0.63927696091640129</v>
      </c>
      <c r="F36" s="27">
        <f t="shared" si="1"/>
        <v>3.9252009579588858</v>
      </c>
      <c r="G36" s="27">
        <f t="shared" si="1"/>
        <v>-0.69972098207765487</v>
      </c>
      <c r="H36" s="27">
        <f t="shared" si="1"/>
        <v>-1.7297825926934234</v>
      </c>
      <c r="I36" s="27">
        <f t="shared" si="1"/>
        <v>-1.4433452239212272</v>
      </c>
      <c r="J36" s="27">
        <f t="shared" si="1"/>
        <v>-0.68974562398712891</v>
      </c>
      <c r="K36" s="27">
        <f t="shared" si="1"/>
        <v>4.5625944226794317</v>
      </c>
      <c r="L36" s="114"/>
    </row>
    <row r="37" spans="1:23">
      <c r="A37" s="431" t="s">
        <v>447</v>
      </c>
      <c r="B37" s="23">
        <f>B32-B6</f>
        <v>-0.46132069036087042</v>
      </c>
      <c r="C37" s="23">
        <f t="shared" ref="C37:K37" si="2">C32-C6</f>
        <v>-1.9288491711576512</v>
      </c>
      <c r="D37" s="23">
        <f t="shared" si="2"/>
        <v>-1.7297394092366467</v>
      </c>
      <c r="E37" s="23">
        <f t="shared" si="2"/>
        <v>-1.1550071628351191</v>
      </c>
      <c r="F37" s="23">
        <f t="shared" si="2"/>
        <v>5.2749164335902918</v>
      </c>
      <c r="G37" s="23">
        <f t="shared" si="2"/>
        <v>-0.5957780611059178</v>
      </c>
      <c r="H37" s="23">
        <f t="shared" si="2"/>
        <v>-2.3505692345206164</v>
      </c>
      <c r="I37" s="23">
        <f t="shared" si="2"/>
        <v>-2.0084707645640876</v>
      </c>
      <c r="J37" s="23">
        <f t="shared" si="2"/>
        <v>-0.95455205272668664</v>
      </c>
      <c r="K37" s="23">
        <f t="shared" si="2"/>
        <v>5.9093701129173013</v>
      </c>
      <c r="L37" s="117"/>
    </row>
    <row r="38" spans="1:23">
      <c r="A38" s="431" t="s">
        <v>449</v>
      </c>
      <c r="B38" s="959">
        <f>B32-B25</f>
        <v>0.24260632701169804</v>
      </c>
      <c r="C38" s="959">
        <f t="shared" ref="C38:K38" si="3">C32-C25</f>
        <v>3.1872440581157235E-2</v>
      </c>
      <c r="D38" s="959">
        <f t="shared" si="3"/>
        <v>-0.39775247738912611</v>
      </c>
      <c r="E38" s="959">
        <f t="shared" si="3"/>
        <v>-6.1476461595425747E-2</v>
      </c>
      <c r="F38" s="959">
        <f t="shared" si="3"/>
        <v>0.18475017139170546</v>
      </c>
      <c r="G38" s="959">
        <f t="shared" si="3"/>
        <v>0.38328535362478711</v>
      </c>
      <c r="H38" s="959">
        <f t="shared" si="3"/>
        <v>0.13341563244676458</v>
      </c>
      <c r="I38" s="959">
        <f t="shared" si="3"/>
        <v>-0.2987053067750054</v>
      </c>
      <c r="J38" s="959">
        <f t="shared" si="3"/>
        <v>0.1971890130683569</v>
      </c>
      <c r="K38" s="959">
        <f t="shared" si="3"/>
        <v>-0.41518469236490319</v>
      </c>
      <c r="L38" s="114"/>
    </row>
    <row r="39" spans="1:23">
      <c r="A39" s="431"/>
      <c r="B39" s="114"/>
      <c r="C39" s="114"/>
      <c r="D39" s="114"/>
      <c r="E39" s="114"/>
      <c r="F39" s="114" t="s">
        <v>276</v>
      </c>
      <c r="G39" s="114"/>
      <c r="H39" s="114"/>
      <c r="I39" s="114"/>
      <c r="J39" s="114"/>
      <c r="K39" s="114"/>
      <c r="L39" s="114"/>
    </row>
    <row r="40" spans="1:23">
      <c r="A40" s="431" t="s">
        <v>447</v>
      </c>
      <c r="B40" s="10">
        <f>(B32/B6-1)*100</f>
        <v>-9.1835002546256987</v>
      </c>
      <c r="C40" s="10">
        <f t="shared" ref="C40:K40" si="4">(C32/C6-1)*100</f>
        <v>-15.359022237311159</v>
      </c>
      <c r="D40" s="10">
        <f t="shared" si="4"/>
        <v>-9.5526253826230256</v>
      </c>
      <c r="E40" s="10">
        <f t="shared" si="4"/>
        <v>-4.6857162624969746</v>
      </c>
      <c r="F40" s="10">
        <f t="shared" si="4"/>
        <v>13.299936574825599</v>
      </c>
      <c r="G40" s="10">
        <f t="shared" si="4"/>
        <v>-10.774980762888841</v>
      </c>
      <c r="H40" s="10">
        <f t="shared" si="4"/>
        <v>-17.319444773744497</v>
      </c>
      <c r="I40" s="10">
        <f t="shared" si="4"/>
        <v>-10.646783896168877</v>
      </c>
      <c r="J40" s="10">
        <f t="shared" si="4"/>
        <v>-3.8340796227098073</v>
      </c>
      <c r="K40" s="10">
        <f t="shared" si="4"/>
        <v>15.912014109782092</v>
      </c>
      <c r="L40" s="10"/>
    </row>
    <row r="41" spans="1:23">
      <c r="A41" s="4"/>
      <c r="B41" s="229"/>
      <c r="C41" s="229"/>
      <c r="D41" s="229"/>
      <c r="E41" s="229"/>
      <c r="F41" s="229"/>
    </row>
    <row r="42" spans="1:23">
      <c r="A42" s="1170" t="s">
        <v>200</v>
      </c>
      <c r="B42" s="1170"/>
      <c r="C42" s="1170"/>
      <c r="D42" s="1170"/>
      <c r="E42" s="1170"/>
      <c r="F42" s="1170"/>
      <c r="G42" s="1170"/>
      <c r="H42" s="1170"/>
      <c r="I42" s="1170"/>
      <c r="J42" s="1170"/>
      <c r="K42" s="1170"/>
    </row>
    <row r="43" spans="1:23" ht="39.6" customHeight="1">
      <c r="A43" s="1168" t="s">
        <v>330</v>
      </c>
      <c r="B43" s="1169"/>
      <c r="C43" s="1169"/>
      <c r="D43" s="1169"/>
      <c r="E43" s="1169"/>
      <c r="F43" s="1169"/>
      <c r="G43" s="1169"/>
      <c r="H43" s="1169"/>
      <c r="I43" s="1169"/>
      <c r="J43" s="1169"/>
      <c r="K43" s="1169"/>
    </row>
    <row r="44" spans="1:23" ht="25.5" customHeight="1">
      <c r="A44" s="1168" t="s">
        <v>537</v>
      </c>
      <c r="B44" s="1169"/>
      <c r="C44" s="1169"/>
      <c r="D44" s="1169"/>
      <c r="E44" s="1169"/>
      <c r="F44" s="1169"/>
      <c r="G44" s="1169"/>
      <c r="H44" s="1169"/>
      <c r="I44" s="1169"/>
      <c r="J44" s="1169"/>
      <c r="K44" s="1169"/>
    </row>
    <row r="45" spans="1:23" ht="54.75" customHeight="1">
      <c r="A45" s="1168" t="s">
        <v>443</v>
      </c>
      <c r="B45" s="1169"/>
      <c r="C45" s="1169"/>
      <c r="D45" s="1169"/>
      <c r="E45" s="1169"/>
      <c r="F45" s="1169"/>
      <c r="G45" s="1169"/>
      <c r="H45" s="1169"/>
      <c r="I45" s="1169"/>
      <c r="J45" s="1169"/>
      <c r="K45" s="1169"/>
      <c r="L45" s="641"/>
      <c r="M45" s="642"/>
      <c r="N45" s="642"/>
      <c r="O45" s="642"/>
      <c r="P45" s="642"/>
    </row>
    <row r="46" spans="1:23" ht="15.75" customHeight="1">
      <c r="A46" s="1"/>
      <c r="B46" s="4"/>
      <c r="L46" s="4"/>
      <c r="M46" s="4"/>
    </row>
    <row r="47" spans="1:23">
      <c r="A47" s="4"/>
      <c r="B47" s="4"/>
      <c r="L47" s="4"/>
      <c r="M47" s="4"/>
    </row>
    <row r="48" spans="1:23">
      <c r="A48" s="4"/>
      <c r="B48" s="4"/>
      <c r="C48" s="4"/>
      <c r="D48" s="4"/>
      <c r="E48" s="4"/>
      <c r="F48" s="4"/>
      <c r="G48" s="4"/>
      <c r="H48" s="4"/>
      <c r="I48" s="4"/>
      <c r="J48" s="4"/>
      <c r="K48" s="4"/>
      <c r="L48" s="4"/>
      <c r="M48" s="4"/>
    </row>
    <row r="49" spans="1:13">
      <c r="A49" s="4"/>
      <c r="B49" s="4"/>
      <c r="C49" s="4"/>
      <c r="D49" s="4"/>
      <c r="E49" s="4"/>
      <c r="F49" s="4"/>
      <c r="G49" s="4"/>
      <c r="H49" s="4"/>
      <c r="I49" s="4"/>
      <c r="J49" s="4"/>
      <c r="K49" s="4"/>
      <c r="L49" s="4"/>
      <c r="M49" s="4"/>
    </row>
    <row r="50" spans="1:13" ht="15.75">
      <c r="A50" s="4"/>
      <c r="B50" s="28"/>
      <c r="C50" s="4"/>
      <c r="D50" s="4"/>
      <c r="E50" s="4"/>
      <c r="F50" s="4"/>
      <c r="G50" s="4"/>
      <c r="H50" s="4"/>
      <c r="I50" s="4"/>
      <c r="J50" s="4"/>
      <c r="K50" s="4"/>
      <c r="L50" s="4"/>
      <c r="M50" s="4"/>
    </row>
    <row r="51" spans="1:13">
      <c r="A51" s="37"/>
      <c r="B51" s="4"/>
      <c r="C51" s="37"/>
      <c r="D51" s="37"/>
      <c r="E51" s="37"/>
      <c r="F51" s="37"/>
      <c r="G51" s="37"/>
      <c r="H51" s="37"/>
      <c r="I51" s="29"/>
      <c r="J51" s="37"/>
      <c r="K51" s="37"/>
      <c r="L51" s="4"/>
      <c r="M51" s="4"/>
    </row>
    <row r="52" spans="1:13">
      <c r="A52" s="30"/>
      <c r="B52" s="1164"/>
      <c r="C52" s="1164"/>
      <c r="D52" s="1164"/>
      <c r="E52" s="1164"/>
      <c r="F52" s="1164"/>
      <c r="G52" s="1164"/>
      <c r="H52" s="1164"/>
      <c r="I52" s="1164"/>
      <c r="J52" s="1164"/>
      <c r="K52" s="1164"/>
      <c r="L52" s="4"/>
      <c r="M52" s="4"/>
    </row>
    <row r="53" spans="1:13">
      <c r="A53" s="38"/>
      <c r="B53" s="1164"/>
      <c r="C53" s="1164"/>
      <c r="D53" s="1164"/>
      <c r="E53" s="1164"/>
      <c r="F53" s="1164"/>
      <c r="G53" s="1164"/>
      <c r="H53" s="1164"/>
      <c r="I53" s="1164"/>
      <c r="J53" s="1164"/>
      <c r="K53" s="1164"/>
      <c r="L53" s="4"/>
      <c r="M53" s="4"/>
    </row>
    <row r="54" spans="1:13">
      <c r="A54" s="30"/>
      <c r="B54" s="31"/>
      <c r="C54" s="31"/>
      <c r="D54" s="31"/>
      <c r="E54" s="31"/>
      <c r="F54" s="31"/>
      <c r="G54" s="31"/>
      <c r="H54" s="31"/>
      <c r="I54" s="31"/>
      <c r="J54" s="31"/>
      <c r="K54" s="31"/>
      <c r="L54" s="4"/>
      <c r="M54" s="4"/>
    </row>
    <row r="55" spans="1:13">
      <c r="A55" s="30"/>
      <c r="B55" s="31"/>
      <c r="C55" s="31"/>
      <c r="D55" s="31"/>
      <c r="E55" s="31"/>
      <c r="F55" s="31"/>
      <c r="G55" s="31"/>
      <c r="H55" s="31"/>
      <c r="I55" s="31"/>
      <c r="J55" s="31"/>
      <c r="K55" s="31"/>
      <c r="L55" s="4"/>
      <c r="M55" s="4"/>
    </row>
    <row r="56" spans="1:13">
      <c r="A56" s="30"/>
      <c r="B56" s="31"/>
      <c r="C56" s="31"/>
      <c r="D56" s="31"/>
      <c r="E56" s="31"/>
      <c r="F56" s="31"/>
      <c r="G56" s="31"/>
      <c r="H56" s="31"/>
      <c r="I56" s="31"/>
      <c r="J56" s="31"/>
      <c r="K56" s="31"/>
      <c r="L56" s="4"/>
      <c r="M56" s="4"/>
    </row>
    <row r="57" spans="1:13">
      <c r="A57" s="30"/>
      <c r="B57" s="31"/>
      <c r="C57" s="31"/>
      <c r="D57" s="31"/>
      <c r="E57" s="31"/>
      <c r="F57" s="31"/>
      <c r="G57" s="31"/>
      <c r="H57" s="31"/>
      <c r="I57" s="31"/>
      <c r="J57" s="31"/>
      <c r="K57" s="31"/>
      <c r="L57" s="4"/>
      <c r="M57" s="4"/>
    </row>
    <row r="58" spans="1:13">
      <c r="A58" s="30"/>
      <c r="B58" s="31"/>
      <c r="C58" s="31"/>
      <c r="D58" s="31"/>
      <c r="E58" s="31"/>
      <c r="F58" s="31"/>
      <c r="G58" s="31"/>
      <c r="H58" s="31"/>
      <c r="I58" s="31"/>
      <c r="J58" s="31"/>
      <c r="K58" s="31"/>
      <c r="L58" s="4"/>
      <c r="M58" s="4"/>
    </row>
    <row r="59" spans="1:13">
      <c r="A59" s="30"/>
      <c r="B59" s="31"/>
      <c r="C59" s="31"/>
      <c r="D59" s="31"/>
      <c r="E59" s="31"/>
      <c r="F59" s="31"/>
      <c r="G59" s="31"/>
      <c r="H59" s="31"/>
      <c r="I59" s="31"/>
      <c r="J59" s="31"/>
      <c r="K59" s="31"/>
      <c r="L59" s="4"/>
      <c r="M59" s="4"/>
    </row>
    <row r="60" spans="1:13">
      <c r="A60" s="30"/>
      <c r="B60" s="31"/>
      <c r="C60" s="31"/>
      <c r="D60" s="31"/>
      <c r="E60" s="31"/>
      <c r="F60" s="31"/>
      <c r="G60" s="31"/>
      <c r="H60" s="31"/>
      <c r="I60" s="31"/>
      <c r="J60" s="31"/>
      <c r="K60" s="31"/>
      <c r="L60" s="4"/>
      <c r="M60" s="4"/>
    </row>
    <row r="61" spans="1:13">
      <c r="A61" s="30"/>
      <c r="B61" s="31"/>
      <c r="C61" s="31"/>
      <c r="D61" s="31"/>
      <c r="E61" s="31"/>
      <c r="F61" s="31"/>
      <c r="G61" s="31"/>
      <c r="H61" s="31"/>
      <c r="I61" s="31"/>
      <c r="J61" s="31"/>
      <c r="K61" s="31"/>
      <c r="L61" s="4"/>
      <c r="M61" s="4"/>
    </row>
    <row r="62" spans="1:13">
      <c r="A62" s="30"/>
      <c r="B62" s="31"/>
      <c r="C62" s="31"/>
      <c r="D62" s="31"/>
      <c r="E62" s="31"/>
      <c r="F62" s="31"/>
      <c r="G62" s="31"/>
      <c r="H62" s="31"/>
      <c r="I62" s="31"/>
      <c r="J62" s="31"/>
      <c r="K62" s="31"/>
      <c r="L62" s="4"/>
      <c r="M62" s="4"/>
    </row>
    <row r="63" spans="1:13">
      <c r="A63" s="30"/>
      <c r="B63" s="31"/>
      <c r="C63" s="31"/>
      <c r="D63" s="31"/>
      <c r="E63" s="31"/>
      <c r="F63" s="31"/>
      <c r="G63" s="31"/>
      <c r="H63" s="31"/>
      <c r="I63" s="31"/>
      <c r="J63" s="31"/>
      <c r="K63" s="31"/>
      <c r="L63" s="4"/>
      <c r="M63" s="4"/>
    </row>
    <row r="64" spans="1:13">
      <c r="A64" s="30"/>
      <c r="B64" s="31"/>
      <c r="C64" s="31"/>
      <c r="D64" s="31"/>
      <c r="E64" s="31"/>
      <c r="F64" s="31"/>
      <c r="G64" s="31"/>
      <c r="H64" s="31"/>
      <c r="I64" s="31"/>
      <c r="J64" s="31"/>
      <c r="K64" s="31"/>
      <c r="L64" s="4"/>
      <c r="M64" s="4"/>
    </row>
    <row r="65" spans="1:13">
      <c r="A65" s="30"/>
      <c r="B65" s="31"/>
      <c r="C65" s="31"/>
      <c r="D65" s="31"/>
      <c r="E65" s="31"/>
      <c r="F65" s="31"/>
      <c r="G65" s="31"/>
      <c r="H65" s="31"/>
      <c r="I65" s="31"/>
      <c r="J65" s="31"/>
      <c r="K65" s="31"/>
      <c r="L65" s="4"/>
      <c r="M65" s="4"/>
    </row>
    <row r="66" spans="1:13">
      <c r="A66" s="30"/>
      <c r="B66" s="31"/>
      <c r="C66" s="31"/>
      <c r="D66" s="31"/>
      <c r="E66" s="31"/>
      <c r="F66" s="31"/>
      <c r="G66" s="31"/>
      <c r="H66" s="31"/>
      <c r="I66" s="31"/>
      <c r="J66" s="31"/>
      <c r="K66" s="31"/>
      <c r="L66" s="4"/>
      <c r="M66" s="4"/>
    </row>
    <row r="67" spans="1:13">
      <c r="A67" s="30"/>
      <c r="B67" s="31"/>
      <c r="C67" s="31"/>
      <c r="D67" s="31"/>
      <c r="E67" s="31"/>
      <c r="F67" s="31"/>
      <c r="G67" s="31"/>
      <c r="H67" s="31"/>
      <c r="I67" s="31"/>
      <c r="J67" s="31"/>
      <c r="K67" s="31"/>
      <c r="L67" s="4"/>
      <c r="M67" s="4"/>
    </row>
    <row r="68" spans="1:13">
      <c r="A68" s="30"/>
      <c r="B68" s="31"/>
      <c r="C68" s="31"/>
      <c r="D68" s="31"/>
      <c r="E68" s="31"/>
      <c r="F68" s="31"/>
      <c r="G68" s="31"/>
      <c r="H68" s="31"/>
      <c r="I68" s="31"/>
      <c r="J68" s="31"/>
      <c r="K68" s="31"/>
      <c r="L68" s="4"/>
      <c r="M68" s="4"/>
    </row>
    <row r="69" spans="1:13">
      <c r="A69" s="30"/>
      <c r="B69" s="31"/>
      <c r="C69" s="31"/>
      <c r="D69" s="31"/>
      <c r="E69" s="31"/>
      <c r="F69" s="31"/>
      <c r="G69" s="31"/>
      <c r="H69" s="31"/>
      <c r="I69" s="31"/>
      <c r="J69" s="31"/>
      <c r="K69" s="31"/>
      <c r="L69" s="4"/>
      <c r="M69" s="4"/>
    </row>
    <row r="70" spans="1:13">
      <c r="A70" s="30"/>
      <c r="B70" s="31"/>
      <c r="C70" s="31"/>
      <c r="D70" s="31"/>
      <c r="E70" s="31"/>
      <c r="F70" s="31"/>
      <c r="G70" s="31"/>
      <c r="H70" s="31"/>
      <c r="I70" s="31"/>
      <c r="J70" s="31"/>
      <c r="K70" s="31"/>
      <c r="L70" s="4"/>
      <c r="M70" s="4"/>
    </row>
    <row r="71" spans="1:13">
      <c r="A71" s="30"/>
      <c r="B71" s="31"/>
      <c r="C71" s="31"/>
      <c r="D71" s="31"/>
      <c r="E71" s="31"/>
      <c r="F71" s="31"/>
      <c r="G71" s="31"/>
      <c r="H71" s="31"/>
      <c r="I71" s="31"/>
      <c r="J71" s="31"/>
      <c r="K71" s="31"/>
      <c r="L71" s="4"/>
      <c r="M71" s="4"/>
    </row>
    <row r="72" spans="1:13">
      <c r="A72" s="30"/>
      <c r="B72" s="31"/>
      <c r="C72" s="31"/>
      <c r="D72" s="31"/>
      <c r="E72" s="31"/>
      <c r="F72" s="31"/>
      <c r="G72" s="31"/>
      <c r="H72" s="31"/>
      <c r="I72" s="31"/>
      <c r="J72" s="31"/>
      <c r="K72" s="31"/>
      <c r="L72" s="4"/>
      <c r="M72" s="4"/>
    </row>
    <row r="73" spans="1:13">
      <c r="A73" s="30"/>
      <c r="B73" s="31"/>
      <c r="C73" s="31"/>
      <c r="D73" s="31"/>
      <c r="E73" s="31"/>
      <c r="F73" s="31"/>
      <c r="G73" s="31"/>
      <c r="H73" s="31"/>
      <c r="I73" s="31"/>
      <c r="J73" s="31"/>
      <c r="K73" s="31"/>
      <c r="L73" s="4"/>
      <c r="M73" s="4"/>
    </row>
    <row r="74" spans="1:13">
      <c r="A74" s="30"/>
      <c r="B74" s="31"/>
      <c r="C74" s="31"/>
      <c r="D74" s="31"/>
      <c r="E74" s="31"/>
      <c r="F74" s="31"/>
      <c r="G74" s="31"/>
      <c r="H74" s="31"/>
      <c r="I74" s="31"/>
      <c r="J74" s="31"/>
      <c r="K74" s="31"/>
      <c r="L74" s="4"/>
      <c r="M74" s="4"/>
    </row>
    <row r="75" spans="1:13">
      <c r="A75" s="30"/>
      <c r="B75" s="31"/>
      <c r="C75" s="31"/>
      <c r="D75" s="31"/>
      <c r="E75" s="31"/>
      <c r="F75" s="31"/>
      <c r="G75" s="31"/>
      <c r="H75" s="31"/>
      <c r="I75" s="31"/>
      <c r="J75" s="31"/>
      <c r="K75" s="31"/>
      <c r="L75" s="4"/>
      <c r="M75" s="4"/>
    </row>
    <row r="76" spans="1:13">
      <c r="A76" s="30"/>
      <c r="B76" s="32"/>
      <c r="C76" s="32"/>
      <c r="D76" s="32"/>
      <c r="E76" s="32"/>
      <c r="F76" s="32"/>
      <c r="G76" s="32"/>
      <c r="H76" s="32"/>
      <c r="I76" s="32"/>
      <c r="J76" s="32"/>
      <c r="K76" s="32"/>
      <c r="L76" s="4"/>
      <c r="M76" s="4"/>
    </row>
    <row r="77" spans="1:13">
      <c r="A77" s="30"/>
      <c r="B77" s="31"/>
      <c r="C77" s="31"/>
      <c r="D77" s="31"/>
      <c r="E77" s="31"/>
      <c r="F77" s="31"/>
      <c r="G77" s="31"/>
      <c r="H77" s="31"/>
      <c r="I77" s="31"/>
      <c r="J77" s="31"/>
      <c r="K77" s="31"/>
      <c r="L77" s="4"/>
      <c r="M77" s="4"/>
    </row>
    <row r="78" spans="1:13">
      <c r="A78" s="5"/>
      <c r="B78" s="33"/>
      <c r="C78" s="33"/>
      <c r="D78" s="33"/>
      <c r="E78" s="33"/>
      <c r="F78" s="33"/>
      <c r="G78" s="33"/>
      <c r="H78" s="33"/>
      <c r="I78" s="33"/>
      <c r="J78" s="33"/>
      <c r="K78" s="33"/>
      <c r="L78" s="4"/>
      <c r="M78" s="4"/>
    </row>
    <row r="79" spans="1:13">
      <c r="A79" s="5"/>
      <c r="B79" s="33"/>
      <c r="C79" s="33"/>
      <c r="D79" s="33"/>
      <c r="E79" s="33"/>
      <c r="F79" s="33"/>
      <c r="G79" s="33"/>
      <c r="H79" s="33"/>
      <c r="I79" s="33"/>
      <c r="J79" s="33"/>
      <c r="K79" s="33"/>
      <c r="L79" s="4"/>
      <c r="M79" s="4"/>
    </row>
    <row r="80" spans="1:13">
      <c r="A80" s="4"/>
      <c r="B80" s="4"/>
      <c r="C80" s="30"/>
      <c r="D80" s="30"/>
      <c r="E80" s="30"/>
      <c r="F80" s="30"/>
      <c r="G80" s="30"/>
      <c r="H80" s="30"/>
      <c r="I80" s="30"/>
      <c r="J80" s="30"/>
      <c r="K80" s="30"/>
      <c r="L80" s="4"/>
      <c r="M80" s="4"/>
    </row>
    <row r="81" spans="1:13">
      <c r="A81" s="4"/>
      <c r="B81" s="4"/>
      <c r="C81" s="30"/>
      <c r="D81" s="30"/>
      <c r="E81" s="30"/>
      <c r="F81" s="30"/>
      <c r="G81" s="30"/>
      <c r="H81" s="30"/>
      <c r="I81" s="30"/>
      <c r="J81" s="30"/>
      <c r="K81" s="30"/>
      <c r="L81" s="4"/>
      <c r="M81" s="4"/>
    </row>
    <row r="82" spans="1:13">
      <c r="A82" s="34"/>
      <c r="B82" s="4"/>
      <c r="C82" s="30"/>
      <c r="D82" s="30"/>
      <c r="E82" s="30"/>
      <c r="F82" s="30"/>
      <c r="G82" s="30"/>
      <c r="H82" s="30"/>
      <c r="I82" s="30"/>
      <c r="J82" s="30"/>
      <c r="K82" s="30"/>
      <c r="L82" s="4"/>
      <c r="M82" s="4"/>
    </row>
    <row r="83" spans="1:13">
      <c r="A83" s="34"/>
      <c r="B83" s="4"/>
      <c r="C83" s="30"/>
      <c r="D83" s="30"/>
      <c r="E83" s="30"/>
      <c r="F83" s="30"/>
      <c r="G83" s="30"/>
      <c r="H83" s="30"/>
      <c r="I83" s="30"/>
      <c r="J83" s="30"/>
      <c r="K83" s="30"/>
      <c r="L83" s="4"/>
      <c r="M83" s="4"/>
    </row>
    <row r="84" spans="1:13">
      <c r="A84" s="30"/>
      <c r="B84" s="4"/>
      <c r="C84" s="30"/>
      <c r="D84" s="30"/>
      <c r="E84" s="30"/>
      <c r="F84" s="30"/>
      <c r="G84" s="30"/>
      <c r="H84" s="30"/>
      <c r="I84" s="30"/>
      <c r="J84" s="30"/>
      <c r="K84" s="30"/>
      <c r="L84" s="4"/>
      <c r="M84" s="4"/>
    </row>
    <row r="85" spans="1:13">
      <c r="A85" s="30"/>
      <c r="B85" s="4"/>
      <c r="C85" s="31"/>
      <c r="D85" s="30"/>
      <c r="E85" s="30"/>
      <c r="F85" s="30"/>
      <c r="G85" s="30"/>
      <c r="H85" s="30"/>
      <c r="I85" s="30"/>
      <c r="J85" s="30"/>
      <c r="K85" s="30"/>
      <c r="L85" s="4"/>
      <c r="M85" s="4"/>
    </row>
    <row r="86" spans="1:13">
      <c r="A86" s="30"/>
      <c r="B86" s="4"/>
      <c r="C86" s="4"/>
      <c r="D86" s="4"/>
      <c r="E86" s="4"/>
      <c r="F86" s="4"/>
      <c r="G86" s="4"/>
      <c r="H86" s="4"/>
      <c r="I86" s="4"/>
      <c r="J86" s="4"/>
      <c r="K86" s="4"/>
      <c r="L86" s="4"/>
      <c r="M86" s="4"/>
    </row>
    <row r="87" spans="1:13">
      <c r="A87" s="30"/>
      <c r="B87" s="4"/>
      <c r="C87" s="4"/>
      <c r="D87" s="4"/>
      <c r="E87" s="4"/>
      <c r="F87" s="4"/>
      <c r="G87" s="4"/>
      <c r="H87" s="4"/>
      <c r="I87" s="4"/>
      <c r="J87" s="4"/>
      <c r="K87" s="4"/>
      <c r="L87" s="4"/>
      <c r="M87" s="4"/>
    </row>
    <row r="88" spans="1:13">
      <c r="A88" s="35"/>
      <c r="B88" s="4"/>
      <c r="C88" s="4"/>
      <c r="D88" s="4"/>
      <c r="E88" s="4"/>
      <c r="F88" s="4"/>
      <c r="G88" s="4"/>
      <c r="H88" s="4"/>
      <c r="I88" s="4"/>
      <c r="J88" s="4"/>
      <c r="K88" s="4"/>
      <c r="L88" s="4"/>
      <c r="M88" s="4"/>
    </row>
    <row r="89" spans="1:13">
      <c r="A89" s="35"/>
      <c r="B89" s="4"/>
      <c r="C89" s="4"/>
      <c r="D89" s="4"/>
      <c r="E89" s="4"/>
      <c r="F89" s="4"/>
      <c r="G89" s="4"/>
      <c r="H89" s="4"/>
      <c r="I89" s="4"/>
      <c r="J89" s="4"/>
      <c r="K89" s="4"/>
      <c r="L89" s="4"/>
      <c r="M89" s="4"/>
    </row>
    <row r="90" spans="1:13">
      <c r="A90" s="4"/>
      <c r="B90" s="4"/>
      <c r="C90" s="4"/>
      <c r="D90" s="4"/>
      <c r="E90" s="4"/>
      <c r="F90" s="4"/>
      <c r="G90" s="4"/>
      <c r="H90" s="4"/>
      <c r="I90" s="4"/>
      <c r="J90" s="4"/>
      <c r="K90" s="4"/>
      <c r="L90" s="4"/>
      <c r="M90" s="4"/>
    </row>
    <row r="91" spans="1:13">
      <c r="A91" s="4"/>
      <c r="B91" s="4"/>
      <c r="C91" s="4"/>
      <c r="D91" s="4"/>
      <c r="E91" s="4"/>
      <c r="F91" s="4"/>
      <c r="G91" s="4"/>
      <c r="H91" s="4"/>
      <c r="I91" s="4"/>
      <c r="J91" s="4"/>
      <c r="K91" s="4"/>
      <c r="L91" s="4"/>
      <c r="M91" s="4"/>
    </row>
    <row r="92" spans="1:13">
      <c r="A92" s="4"/>
      <c r="B92" s="4"/>
      <c r="C92" s="4"/>
      <c r="D92" s="4"/>
      <c r="E92" s="4"/>
      <c r="F92" s="4"/>
      <c r="G92" s="4"/>
      <c r="H92" s="4"/>
      <c r="I92" s="4"/>
      <c r="J92" s="4"/>
      <c r="K92" s="4"/>
      <c r="L92" s="4"/>
      <c r="M92" s="4"/>
    </row>
    <row r="93" spans="1:13">
      <c r="A93" s="4"/>
      <c r="B93" s="4"/>
      <c r="C93" s="4"/>
      <c r="D93" s="4"/>
      <c r="E93" s="4"/>
      <c r="F93" s="4"/>
      <c r="G93" s="4"/>
      <c r="H93" s="4"/>
      <c r="I93" s="4"/>
      <c r="J93" s="4"/>
      <c r="K93" s="4"/>
      <c r="L93" s="4"/>
      <c r="M93" s="4"/>
    </row>
    <row r="94" spans="1:13">
      <c r="A94" s="4"/>
      <c r="B94" s="4"/>
      <c r="C94" s="4"/>
      <c r="D94" s="4"/>
      <c r="E94" s="4"/>
      <c r="F94" s="4"/>
      <c r="G94" s="4"/>
      <c r="H94" s="4"/>
      <c r="I94" s="4"/>
      <c r="J94" s="4"/>
      <c r="K94" s="4"/>
      <c r="L94" s="4"/>
      <c r="M94" s="4"/>
    </row>
    <row r="95" spans="1:13">
      <c r="A95" s="4"/>
      <c r="B95" s="4"/>
      <c r="C95" s="4"/>
      <c r="D95" s="4"/>
      <c r="E95" s="4"/>
      <c r="F95" s="4"/>
      <c r="G95" s="4"/>
      <c r="H95" s="4"/>
      <c r="I95" s="4"/>
      <c r="J95" s="4"/>
      <c r="K95" s="4"/>
      <c r="L95" s="4"/>
      <c r="M95" s="4"/>
    </row>
    <row r="96" spans="1:13">
      <c r="A96" s="4"/>
      <c r="B96" s="4"/>
      <c r="C96" s="4"/>
      <c r="D96" s="4"/>
      <c r="E96" s="4"/>
      <c r="F96" s="4"/>
      <c r="G96" s="4"/>
      <c r="H96" s="4"/>
      <c r="I96" s="4"/>
      <c r="J96" s="4"/>
      <c r="K96" s="4"/>
      <c r="L96" s="4"/>
      <c r="M96" s="4"/>
    </row>
    <row r="97" spans="1:13">
      <c r="A97" s="4"/>
      <c r="B97" s="4"/>
      <c r="C97" s="4"/>
      <c r="D97" s="4"/>
      <c r="E97" s="4"/>
      <c r="F97" s="4"/>
      <c r="G97" s="4"/>
      <c r="H97" s="4"/>
      <c r="I97" s="4"/>
      <c r="J97" s="4"/>
      <c r="K97" s="4"/>
      <c r="L97" s="4"/>
      <c r="M97" s="4"/>
    </row>
    <row r="98" spans="1:13">
      <c r="A98" s="4"/>
      <c r="B98" s="4"/>
      <c r="C98" s="4"/>
      <c r="D98" s="4"/>
      <c r="E98" s="4"/>
      <c r="F98" s="4"/>
      <c r="G98" s="4"/>
      <c r="H98" s="4"/>
      <c r="I98" s="4"/>
      <c r="J98" s="4"/>
      <c r="K98" s="4"/>
      <c r="L98" s="4"/>
      <c r="M98" s="4"/>
    </row>
    <row r="99" spans="1:13">
      <c r="A99" s="4"/>
      <c r="B99" s="4"/>
      <c r="C99" s="4"/>
      <c r="D99" s="4"/>
      <c r="E99" s="4"/>
      <c r="F99" s="4"/>
      <c r="G99" s="4"/>
      <c r="H99" s="4"/>
      <c r="I99" s="4"/>
      <c r="J99" s="4"/>
      <c r="K99" s="4"/>
      <c r="L99" s="4"/>
      <c r="M99" s="4"/>
    </row>
    <row r="100" spans="1:13">
      <c r="A100" s="4"/>
      <c r="B100" s="4"/>
      <c r="C100" s="4"/>
      <c r="D100" s="4"/>
      <c r="E100" s="4"/>
      <c r="F100" s="4"/>
      <c r="G100" s="4"/>
      <c r="H100" s="4"/>
      <c r="I100" s="4"/>
      <c r="J100" s="4"/>
      <c r="K100" s="4"/>
    </row>
    <row r="101" spans="1:13">
      <c r="A101" s="4"/>
      <c r="B101" s="4"/>
      <c r="C101" s="4"/>
      <c r="D101" s="4"/>
      <c r="E101" s="4"/>
      <c r="F101" s="4"/>
      <c r="G101" s="4"/>
      <c r="H101" s="4"/>
      <c r="I101" s="4"/>
      <c r="J101" s="4"/>
      <c r="K101" s="4"/>
    </row>
  </sheetData>
  <mergeCells count="26">
    <mergeCell ref="D52:D53"/>
    <mergeCell ref="E52:E53"/>
    <mergeCell ref="A42:K42"/>
    <mergeCell ref="C4:C5"/>
    <mergeCell ref="I52:I53"/>
    <mergeCell ref="J52:J53"/>
    <mergeCell ref="K52:K53"/>
    <mergeCell ref="B52:B53"/>
    <mergeCell ref="A43:K43"/>
    <mergeCell ref="B4:B5"/>
    <mergeCell ref="G52:G53"/>
    <mergeCell ref="H52:H53"/>
    <mergeCell ref="C52:C53"/>
    <mergeCell ref="F52:F53"/>
    <mergeCell ref="A44:K44"/>
    <mergeCell ref="A45:K45"/>
    <mergeCell ref="B3:F3"/>
    <mergeCell ref="G3:K3"/>
    <mergeCell ref="J4:J5"/>
    <mergeCell ref="K4:K5"/>
    <mergeCell ref="F4:F5"/>
    <mergeCell ref="G4:G5"/>
    <mergeCell ref="H4:H5"/>
    <mergeCell ref="I4:I5"/>
    <mergeCell ref="D4:D5"/>
    <mergeCell ref="E4:E5"/>
  </mergeCells>
  <phoneticPr fontId="35" type="noConversion"/>
  <pageMargins left="0.75" right="0.75" top="1" bottom="1" header="0.5" footer="0.5"/>
  <pageSetup scale="72" orientation="landscape" horizontalDpi="300" verticalDpi="300" r:id="rId1"/>
  <headerFooter alignWithMargins="0"/>
</worksheet>
</file>

<file path=xl/worksheets/sheet111.xml><?xml version="1.0" encoding="utf-8"?>
<worksheet xmlns="http://schemas.openxmlformats.org/spreadsheetml/2006/main" xmlns:r="http://schemas.openxmlformats.org/officeDocument/2006/relationships">
  <sheetPr codeName="Sheet76">
    <pageSetUpPr fitToPage="1"/>
  </sheetPr>
  <dimension ref="A1:W101"/>
  <sheetViews>
    <sheetView view="pageBreakPreview" topLeftCell="B1" zoomScaleSheetLayoutView="100" workbookViewId="0">
      <selection activeCell="H62" sqref="H62"/>
    </sheetView>
  </sheetViews>
  <sheetFormatPr defaultColWidth="8.85546875" defaultRowHeight="12.75"/>
  <cols>
    <col min="1" max="1" width="8.7109375" style="2" customWidth="1"/>
    <col min="2" max="2" width="9.7109375" style="1" bestFit="1" customWidth="1"/>
    <col min="3" max="11" width="9.28515625" style="1" bestFit="1" customWidth="1"/>
    <col min="12" max="12" width="8.85546875" style="1"/>
    <col min="13" max="13" width="11.85546875" style="1" customWidth="1"/>
    <col min="14" max="16384" width="8.85546875" style="1"/>
  </cols>
  <sheetData>
    <row r="1" spans="1:23" ht="18.75">
      <c r="A1" s="4"/>
      <c r="B1" s="3" t="s">
        <v>2192</v>
      </c>
    </row>
    <row r="2" spans="1:23">
      <c r="A2" s="4"/>
      <c r="B2" s="4"/>
    </row>
    <row r="3" spans="1:23">
      <c r="A3" s="4"/>
      <c r="B3" s="1213" t="s">
        <v>173</v>
      </c>
      <c r="C3" s="1213"/>
      <c r="D3" s="1213"/>
      <c r="E3" s="1213"/>
      <c r="F3" s="1213"/>
      <c r="G3" s="1175" t="s">
        <v>172</v>
      </c>
      <c r="H3" s="1175"/>
      <c r="I3" s="1175"/>
      <c r="J3" s="1175"/>
      <c r="K3" s="1175"/>
    </row>
    <row r="4" spans="1:23" ht="12.75" customHeight="1">
      <c r="B4" s="1211" t="s">
        <v>167</v>
      </c>
      <c r="C4" s="1211" t="s">
        <v>168</v>
      </c>
      <c r="D4" s="1211" t="s">
        <v>169</v>
      </c>
      <c r="E4" s="1211" t="s">
        <v>170</v>
      </c>
      <c r="F4" s="1211" t="s">
        <v>171</v>
      </c>
      <c r="G4" s="1211" t="s">
        <v>167</v>
      </c>
      <c r="H4" s="1211" t="s">
        <v>168</v>
      </c>
      <c r="I4" s="1211" t="s">
        <v>169</v>
      </c>
      <c r="J4" s="1211" t="s">
        <v>170</v>
      </c>
      <c r="K4" s="1211" t="s">
        <v>171</v>
      </c>
    </row>
    <row r="5" spans="1:23" s="4" customFormat="1">
      <c r="A5" s="7"/>
      <c r="B5" s="1212"/>
      <c r="C5" s="1212"/>
      <c r="D5" s="1212"/>
      <c r="E5" s="1212"/>
      <c r="F5" s="1212"/>
      <c r="G5" s="1212"/>
      <c r="H5" s="1212"/>
      <c r="I5" s="1212"/>
      <c r="J5" s="1212"/>
      <c r="K5" s="1212"/>
    </row>
    <row r="6" spans="1:23">
      <c r="A6" s="2">
        <v>1981</v>
      </c>
      <c r="B6" s="977">
        <f>'[4]24b'!B6/SUM('[4]24b'!$B6:$F6)*100</f>
        <v>7.223719676549865</v>
      </c>
      <c r="C6" s="36">
        <f>'[4]24b'!C6/SUM('[4]24b'!$B6:$F6)*100</f>
        <v>13.369272237196766</v>
      </c>
      <c r="D6" s="36">
        <f>'[4]24b'!D6/SUM('[4]24b'!$B6:$F6)*100</f>
        <v>18.059299191374663</v>
      </c>
      <c r="E6" s="36">
        <f>'[4]24b'!E6/SUM('[4]24b'!$B6:$F6)*100</f>
        <v>23.827493261455526</v>
      </c>
      <c r="F6" s="36">
        <f>'[4]24b'!F6/SUM('[4]24b'!$B6:$F6)*100</f>
        <v>37.520215633423184</v>
      </c>
      <c r="G6" s="36">
        <f>'[4]24b'!G6/SUM('[4]24b'!$G6:$K6)*100</f>
        <v>7.6292042657916319</v>
      </c>
      <c r="H6" s="36">
        <f>'[4]24b'!H6/SUM('[4]24b'!$G6:$K6)*100</f>
        <v>14.30133989608969</v>
      </c>
      <c r="I6" s="36">
        <f>'[4]24b'!I6/SUM('[4]24b'!$G6:$K6)*100</f>
        <v>18.785890073831009</v>
      </c>
      <c r="J6" s="36">
        <f>'[4]24b'!J6/SUM('[4]24b'!$G6:$K6)*100</f>
        <v>24.090784796281103</v>
      </c>
      <c r="K6" s="36">
        <f>'[4]24b'!K6/SUM('[4]24b'!$G6:$K6)*100</f>
        <v>35.192780968006566</v>
      </c>
      <c r="M6" s="6"/>
      <c r="N6" s="6"/>
      <c r="O6" s="6"/>
      <c r="P6" s="6"/>
      <c r="Q6" s="6"/>
      <c r="R6" s="6"/>
      <c r="S6" s="6"/>
      <c r="T6" s="6"/>
      <c r="U6" s="6"/>
      <c r="V6" s="6"/>
      <c r="W6" s="6"/>
    </row>
    <row r="7" spans="1:23">
      <c r="A7" s="2">
        <v>1982</v>
      </c>
      <c r="B7" s="977">
        <f>'[4]24b'!B7/SUM('[4]24b'!$B7:$F7)*100</f>
        <v>7.0601213458356318</v>
      </c>
      <c r="C7" s="36">
        <f>'[4]24b'!C7/SUM('[4]24b'!$B7:$F7)*100</f>
        <v>13.127413127413126</v>
      </c>
      <c r="D7" s="36">
        <f>'[4]24b'!D7/SUM('[4]24b'!$B7:$F7)*100</f>
        <v>17.926089354660782</v>
      </c>
      <c r="E7" s="36">
        <f>'[4]24b'!E7/SUM('[4]24b'!$B7:$F7)*100</f>
        <v>23.662437948152235</v>
      </c>
      <c r="F7" s="36">
        <f>'[4]24b'!F7/SUM('[4]24b'!$B7:$F7)*100</f>
        <v>38.223938223938227</v>
      </c>
      <c r="G7" s="36">
        <f>'[4]24b'!G7/SUM('[4]24b'!$G7:$K7)*100</f>
        <v>7.5519371139809097</v>
      </c>
      <c r="H7" s="36">
        <f>'[4]24b'!H7/SUM('[4]24b'!$G7:$K7)*100</f>
        <v>13.868613138686131</v>
      </c>
      <c r="I7" s="36">
        <f>'[4]24b'!I7/SUM('[4]24b'!$G7:$K7)*100</f>
        <v>18.781583380123525</v>
      </c>
      <c r="J7" s="36">
        <f>'[4]24b'!J7/SUM('[4]24b'!$G7:$K7)*100</f>
        <v>23.919146546883773</v>
      </c>
      <c r="K7" s="36">
        <f>'[4]24b'!K7/SUM('[4]24b'!$G7:$K7)*100</f>
        <v>35.878719820325664</v>
      </c>
      <c r="M7" s="6"/>
      <c r="N7" s="6"/>
      <c r="O7" s="6"/>
      <c r="P7" s="6"/>
      <c r="Q7" s="6"/>
      <c r="R7" s="6"/>
      <c r="S7" s="6"/>
      <c r="T7" s="6"/>
      <c r="U7" s="6"/>
      <c r="V7" s="6"/>
      <c r="W7" s="6"/>
    </row>
    <row r="8" spans="1:23">
      <c r="A8" s="2">
        <v>1983</v>
      </c>
      <c r="B8" s="977">
        <f>'[4]24b'!B8/SUM('[4]24b'!$B8:$F8)*100</f>
        <v>6.9444444444444446</v>
      </c>
      <c r="C8" s="36">
        <f>'[4]24b'!C8/SUM('[4]24b'!$B8:$F8)*100</f>
        <v>12.777777777777777</v>
      </c>
      <c r="D8" s="36">
        <f>'[4]24b'!D8/SUM('[4]24b'!$B8:$F8)*100</f>
        <v>17.722222222222221</v>
      </c>
      <c r="E8" s="36">
        <f>'[4]24b'!E8/SUM('[4]24b'!$B8:$F8)*100</f>
        <v>23.722222222222221</v>
      </c>
      <c r="F8" s="36">
        <f>'[4]24b'!F8/SUM('[4]24b'!$B8:$F8)*100</f>
        <v>38.833333333333329</v>
      </c>
      <c r="G8" s="36">
        <f>'[4]24b'!G8/SUM('[4]24b'!$G8:$K8)*100</f>
        <v>7.3344748858447497</v>
      </c>
      <c r="H8" s="36">
        <f>'[4]24b'!H8/SUM('[4]24b'!$G8:$K8)*100</f>
        <v>13.584474885844749</v>
      </c>
      <c r="I8" s="36">
        <f>'[4]24b'!I8/SUM('[4]24b'!$G8:$K8)*100</f>
        <v>18.493150684931507</v>
      </c>
      <c r="J8" s="36">
        <f>'[4]24b'!J8/SUM('[4]24b'!$G8:$K8)*100</f>
        <v>23.94406392694064</v>
      </c>
      <c r="K8" s="36">
        <f>'[4]24b'!K8/SUM('[4]24b'!$G8:$K8)*100</f>
        <v>36.643835616438359</v>
      </c>
      <c r="M8" s="6"/>
      <c r="N8" s="6"/>
      <c r="O8" s="6"/>
      <c r="P8" s="6"/>
      <c r="Q8" s="6"/>
      <c r="R8" s="6"/>
      <c r="S8" s="6"/>
      <c r="T8" s="6"/>
      <c r="U8" s="6"/>
      <c r="V8" s="6"/>
      <c r="W8" s="6"/>
    </row>
    <row r="9" spans="1:23">
      <c r="A9" s="2">
        <v>1984</v>
      </c>
      <c r="B9" s="977">
        <f>'[4]24b'!B9/SUM('[4]24b'!$B9:$F9)*100</f>
        <v>6.8394925537782676</v>
      </c>
      <c r="C9" s="36">
        <f>'[4]24b'!C9/SUM('[4]24b'!$B9:$F9)*100</f>
        <v>12.961941533370105</v>
      </c>
      <c r="D9" s="36">
        <f>'[4]24b'!D9/SUM('[4]24b'!$B9:$F9)*100</f>
        <v>17.870932156646443</v>
      </c>
      <c r="E9" s="36">
        <f>'[4]24b'!E9/SUM('[4]24b'!$B9:$F9)*100</f>
        <v>23.662437948152235</v>
      </c>
      <c r="F9" s="36">
        <f>'[4]24b'!F9/SUM('[4]24b'!$B9:$F9)*100</f>
        <v>38.66519580805295</v>
      </c>
      <c r="G9" s="36">
        <f>'[4]24b'!G9/SUM('[4]24b'!$G9:$K9)*100</f>
        <v>7.2562358276643995</v>
      </c>
      <c r="H9" s="36">
        <f>'[4]24b'!H9/SUM('[4]24b'!$G9:$K9)*100</f>
        <v>13.605442176870749</v>
      </c>
      <c r="I9" s="36">
        <f>'[4]24b'!I9/SUM('[4]24b'!$G9:$K9)*100</f>
        <v>18.707482993197281</v>
      </c>
      <c r="J9" s="36">
        <f>'[4]24b'!J9/SUM('[4]24b'!$G9:$K9)*100</f>
        <v>23.809523809523807</v>
      </c>
      <c r="K9" s="36">
        <f>'[4]24b'!K9/SUM('[4]24b'!$G9:$K9)*100</f>
        <v>36.621315192743765</v>
      </c>
      <c r="M9" s="6"/>
      <c r="N9" s="6"/>
      <c r="O9" s="6"/>
      <c r="P9" s="6"/>
      <c r="Q9" s="6"/>
      <c r="R9" s="6"/>
      <c r="S9" s="6"/>
      <c r="T9" s="6"/>
      <c r="U9" s="6"/>
      <c r="V9" s="6"/>
      <c r="W9" s="6"/>
    </row>
    <row r="10" spans="1:23">
      <c r="A10" s="2">
        <v>1985</v>
      </c>
      <c r="B10" s="977">
        <f>'[4]24b'!B10/SUM('[4]24b'!$B10:$F10)*100</f>
        <v>7.0701660417782541</v>
      </c>
      <c r="C10" s="36">
        <f>'[4]24b'!C10/SUM('[4]24b'!$B10:$F10)*100</f>
        <v>13.015532940546331</v>
      </c>
      <c r="D10" s="36">
        <f>'[4]24b'!D10/SUM('[4]24b'!$B10:$F10)*100</f>
        <v>17.943224424209962</v>
      </c>
      <c r="E10" s="36">
        <f>'[4]24b'!E10/SUM('[4]24b'!$B10:$F10)*100</f>
        <v>23.674343867166577</v>
      </c>
      <c r="F10" s="36">
        <f>'[4]24b'!F10/SUM('[4]24b'!$B10:$F10)*100</f>
        <v>38.296732726298877</v>
      </c>
      <c r="G10" s="36">
        <f>'[4]24b'!G10/SUM('[4]24b'!$G10:$K10)*100</f>
        <v>7.4043261231281203</v>
      </c>
      <c r="H10" s="36">
        <f>'[4]24b'!H10/SUM('[4]24b'!$G10:$K10)*100</f>
        <v>13.727121464226288</v>
      </c>
      <c r="I10" s="36">
        <f>'[4]24b'!I10/SUM('[4]24b'!$G10:$K10)*100</f>
        <v>18.635607321131449</v>
      </c>
      <c r="J10" s="36">
        <f>'[4]24b'!J10/SUM('[4]24b'!$G10:$K10)*100</f>
        <v>23.849140321686079</v>
      </c>
      <c r="K10" s="36">
        <f>'[4]24b'!K10/SUM('[4]24b'!$G10:$K10)*100</f>
        <v>36.383804769828068</v>
      </c>
      <c r="M10" s="6"/>
      <c r="N10" s="6"/>
      <c r="O10" s="6"/>
      <c r="P10" s="6"/>
      <c r="Q10" s="6"/>
      <c r="R10" s="6"/>
      <c r="S10" s="6"/>
      <c r="T10" s="6"/>
      <c r="U10" s="6"/>
      <c r="V10" s="6"/>
      <c r="W10" s="6"/>
    </row>
    <row r="11" spans="1:23">
      <c r="A11" s="2">
        <v>1986</v>
      </c>
      <c r="B11" s="977">
        <f>'[4]24b'!B11/SUM('[4]24b'!$B11:$F11)*100</f>
        <v>7.1577847439916411</v>
      </c>
      <c r="C11" s="36">
        <f>'[4]24b'!C11/SUM('[4]24b'!$B11:$F11)*100</f>
        <v>13.061650992685475</v>
      </c>
      <c r="D11" s="36">
        <f>'[4]24b'!D11/SUM('[4]24b'!$B11:$F11)*100</f>
        <v>17.972831765935215</v>
      </c>
      <c r="E11" s="36">
        <f>'[4]24b'!E11/SUM('[4]24b'!$B11:$F11)*100</f>
        <v>23.510971786833856</v>
      </c>
      <c r="F11" s="36">
        <f>'[4]24b'!F11/SUM('[4]24b'!$B11:$F11)*100</f>
        <v>38.296760710553812</v>
      </c>
      <c r="G11" s="36">
        <f>'[4]24b'!G11/SUM('[4]24b'!$G11:$K11)*100</f>
        <v>7.4966170500676599</v>
      </c>
      <c r="H11" s="36">
        <f>'[4]24b'!H11/SUM('[4]24b'!$G11:$K11)*100</f>
        <v>13.612990527740191</v>
      </c>
      <c r="I11" s="36">
        <f>'[4]24b'!I11/SUM('[4]24b'!$G11:$K11)*100</f>
        <v>18.646820027063598</v>
      </c>
      <c r="J11" s="36">
        <f>'[4]24b'!J11/SUM('[4]24b'!$G11:$K11)*100</f>
        <v>23.680649526387011</v>
      </c>
      <c r="K11" s="36">
        <f>'[4]24b'!K11/SUM('[4]24b'!$G11:$K11)*100</f>
        <v>36.562922868741545</v>
      </c>
      <c r="M11" s="6"/>
      <c r="N11" s="6"/>
      <c r="O11" s="6"/>
      <c r="P11" s="6"/>
      <c r="Q11" s="6"/>
      <c r="R11" s="6"/>
      <c r="S11" s="6"/>
      <c r="T11" s="6"/>
      <c r="U11" s="6"/>
      <c r="V11" s="6"/>
      <c r="W11" s="6"/>
    </row>
    <row r="12" spans="1:23">
      <c r="A12" s="2">
        <v>1987</v>
      </c>
      <c r="B12" s="977">
        <f>'[4]24b'!B12/SUM('[4]24b'!$B12:$F12)*100</f>
        <v>7.2568193515182706</v>
      </c>
      <c r="C12" s="36">
        <f>'[4]24b'!C12/SUM('[4]24b'!$B12:$F12)*100</f>
        <v>13.072568193515183</v>
      </c>
      <c r="D12" s="36">
        <f>'[4]24b'!D12/SUM('[4]24b'!$B12:$F12)*100</f>
        <v>17.807514153371077</v>
      </c>
      <c r="E12" s="36">
        <f>'[4]24b'!E12/SUM('[4]24b'!$B12:$F12)*100</f>
        <v>23.57179619145651</v>
      </c>
      <c r="F12" s="36">
        <f>'[4]24b'!F12/SUM('[4]24b'!$B12:$F12)*100</f>
        <v>38.291302110138957</v>
      </c>
      <c r="G12" s="36">
        <f>'[4]24b'!G12/SUM('[4]24b'!$G12:$K12)*100</f>
        <v>7.5834445927903866</v>
      </c>
      <c r="H12" s="36">
        <f>'[4]24b'!H12/SUM('[4]24b'!$G12:$K12)*100</f>
        <v>13.457943925233645</v>
      </c>
      <c r="I12" s="36">
        <f>'[4]24b'!I12/SUM('[4]24b'!$G12:$K12)*100</f>
        <v>18.531375166889184</v>
      </c>
      <c r="J12" s="36">
        <f>'[4]24b'!J12/SUM('[4]24b'!$G12:$K12)*100</f>
        <v>23.818424566088119</v>
      </c>
      <c r="K12" s="36">
        <f>'[4]24b'!K12/SUM('[4]24b'!$G12:$K12)*100</f>
        <v>36.608811748998669</v>
      </c>
      <c r="M12" s="6"/>
      <c r="N12" s="6"/>
      <c r="O12" s="6"/>
      <c r="P12" s="6"/>
      <c r="Q12" s="6"/>
      <c r="R12" s="6"/>
      <c r="S12" s="6"/>
      <c r="T12" s="6"/>
      <c r="U12" s="6"/>
      <c r="V12" s="6"/>
      <c r="W12" s="6"/>
    </row>
    <row r="13" spans="1:23">
      <c r="A13" s="2">
        <v>1988</v>
      </c>
      <c r="B13" s="977">
        <f>'[4]24b'!B13/SUM('[4]24b'!$B13:$F13)*100</f>
        <v>7.3963018490754626</v>
      </c>
      <c r="C13" s="36">
        <f>'[4]24b'!C13/SUM('[4]24b'!$B13:$F13)*100</f>
        <v>13.093453273363318</v>
      </c>
      <c r="D13" s="36">
        <f>'[4]24b'!D13/SUM('[4]24b'!$B13:$F13)*100</f>
        <v>17.941029485257371</v>
      </c>
      <c r="E13" s="36">
        <f>'[4]24b'!E13/SUM('[4]24b'!$B13:$F13)*100</f>
        <v>23.488255872063966</v>
      </c>
      <c r="F13" s="36">
        <f>'[4]24b'!F13/SUM('[4]24b'!$B13:$F13)*100</f>
        <v>38.08095952023988</v>
      </c>
      <c r="G13" s="36">
        <f>'[4]24b'!G13/SUM('[4]24b'!$G13:$K13)*100</f>
        <v>7.5876504447933018</v>
      </c>
      <c r="H13" s="36">
        <f>'[4]24b'!H13/SUM('[4]24b'!$G13:$K13)*100</f>
        <v>13.683935112506539</v>
      </c>
      <c r="I13" s="36">
        <f>'[4]24b'!I13/SUM('[4]24b'!$G13:$K13)*100</f>
        <v>18.681318681318682</v>
      </c>
      <c r="J13" s="36">
        <f>'[4]24b'!J13/SUM('[4]24b'!$G13:$K13)*100</f>
        <v>23.704866562009418</v>
      </c>
      <c r="K13" s="36">
        <f>'[4]24b'!K13/SUM('[4]24b'!$G13:$K13)*100</f>
        <v>36.342229199372056</v>
      </c>
      <c r="M13" s="6"/>
      <c r="N13" s="6"/>
      <c r="O13" s="6"/>
      <c r="P13" s="6"/>
      <c r="Q13" s="6"/>
      <c r="R13" s="6"/>
      <c r="S13" s="6"/>
      <c r="T13" s="6"/>
      <c r="U13" s="6"/>
      <c r="V13" s="6"/>
      <c r="W13" s="6"/>
    </row>
    <row r="14" spans="1:23">
      <c r="A14" s="2">
        <v>1989</v>
      </c>
      <c r="B14" s="977">
        <f>'[4]24b'!B14/SUM('[4]24b'!$B14:$F14)*100</f>
        <v>7.4344023323615156</v>
      </c>
      <c r="C14" s="36">
        <f>'[4]24b'!C14/SUM('[4]24b'!$B14:$F14)*100</f>
        <v>13.216715257531582</v>
      </c>
      <c r="D14" s="36">
        <f>'[4]24b'!D14/SUM('[4]24b'!$B14:$F14)*100</f>
        <v>17.784256559766764</v>
      </c>
      <c r="E14" s="36">
        <f>'[4]24b'!E14/SUM('[4]24b'!$B14:$F14)*100</f>
        <v>23.323615160349853</v>
      </c>
      <c r="F14" s="36">
        <f>'[4]24b'!F14/SUM('[4]24b'!$B14:$F14)*100</f>
        <v>38.241010689990276</v>
      </c>
      <c r="G14" s="36">
        <f>'[4]24b'!G14/SUM('[4]24b'!$G14:$K14)*100</f>
        <v>7.6122811469170255</v>
      </c>
      <c r="H14" s="36">
        <f>'[4]24b'!H14/SUM('[4]24b'!$G14:$K14)*100</f>
        <v>13.778228875919819</v>
      </c>
      <c r="I14" s="36">
        <f>'[4]24b'!I14/SUM('[4]24b'!$G14:$K14)*100</f>
        <v>18.523217457498099</v>
      </c>
      <c r="J14" s="36">
        <f>'[4]24b'!J14/SUM('[4]24b'!$G14:$K14)*100</f>
        <v>23.572697284953055</v>
      </c>
      <c r="K14" s="36">
        <f>'[4]24b'!K14/SUM('[4]24b'!$G14:$K14)*100</f>
        <v>36.513575234712</v>
      </c>
      <c r="M14" s="6"/>
      <c r="N14" s="6"/>
      <c r="O14" s="6"/>
      <c r="P14" s="6"/>
      <c r="Q14" s="6"/>
      <c r="R14" s="6"/>
      <c r="S14" s="6"/>
      <c r="T14" s="6"/>
      <c r="U14" s="6"/>
      <c r="V14" s="6"/>
      <c r="W14" s="6"/>
    </row>
    <row r="15" spans="1:23">
      <c r="A15" s="2">
        <v>1990</v>
      </c>
      <c r="B15" s="977">
        <f>'[4]24b'!B15/SUM('[4]24b'!$B15:$F15)*100</f>
        <v>7.0219123505976091</v>
      </c>
      <c r="C15" s="36">
        <f>'[4]24b'!C15/SUM('[4]24b'!$B15:$F15)*100</f>
        <v>12.998007968127489</v>
      </c>
      <c r="D15" s="36">
        <f>'[4]24b'!D15/SUM('[4]24b'!$B15:$F15)*100</f>
        <v>17.97808764940239</v>
      </c>
      <c r="E15" s="36">
        <f>'[4]24b'!E15/SUM('[4]24b'!$B15:$F15)*100</f>
        <v>23.605577689243027</v>
      </c>
      <c r="F15" s="36">
        <f>'[4]24b'!F15/SUM('[4]24b'!$B15:$F15)*100</f>
        <v>38.396414342629484</v>
      </c>
      <c r="G15" s="36">
        <f>'[4]24b'!G15/SUM('[4]24b'!$G15:$K15)*100</f>
        <v>7.1987480438184663</v>
      </c>
      <c r="H15" s="36">
        <f>'[4]24b'!H15/SUM('[4]24b'!$G15:$K15)*100</f>
        <v>13.458528951486699</v>
      </c>
      <c r="I15" s="36">
        <f>'[4]24b'!I15/SUM('[4]24b'!$G15:$K15)*100</f>
        <v>18.570683359415753</v>
      </c>
      <c r="J15" s="36">
        <f>'[4]24b'!J15/SUM('[4]24b'!$G15:$K15)*100</f>
        <v>23.865414710485133</v>
      </c>
      <c r="K15" s="36">
        <f>'[4]24b'!K15/SUM('[4]24b'!$G15:$K15)*100</f>
        <v>36.906624934793946</v>
      </c>
      <c r="M15" s="6"/>
      <c r="N15" s="6"/>
      <c r="O15" s="6"/>
      <c r="P15" s="6"/>
      <c r="Q15" s="6"/>
      <c r="R15" s="6"/>
      <c r="S15" s="6"/>
      <c r="T15" s="6"/>
      <c r="U15" s="6"/>
      <c r="V15" s="6"/>
      <c r="W15" s="6"/>
    </row>
    <row r="16" spans="1:23">
      <c r="A16" s="2">
        <v>1991</v>
      </c>
      <c r="B16" s="977">
        <f>'[4]24b'!B16/SUM('[4]24b'!$B16:$F16)*100</f>
        <v>6.9301848049281318</v>
      </c>
      <c r="C16" s="36">
        <f>'[4]24b'!C16/SUM('[4]24b'!$B16:$F16)*100</f>
        <v>12.679671457905545</v>
      </c>
      <c r="D16" s="36">
        <f>'[4]24b'!D16/SUM('[4]24b'!$B16:$F16)*100</f>
        <v>17.505133470225871</v>
      </c>
      <c r="E16" s="36">
        <f>'[4]24b'!E16/SUM('[4]24b'!$B16:$F16)*100</f>
        <v>23.459958932238191</v>
      </c>
      <c r="F16" s="36">
        <f>'[4]24b'!F16/SUM('[4]24b'!$B16:$F16)*100</f>
        <v>39.42505133470226</v>
      </c>
      <c r="G16" s="36">
        <f>'[4]24b'!G16/SUM('[4]24b'!$G16:$K16)*100</f>
        <v>7.2350726196880046</v>
      </c>
      <c r="H16" s="36">
        <f>'[4]24b'!H16/SUM('[4]24b'!$G16:$K16)*100</f>
        <v>13.206024744486283</v>
      </c>
      <c r="I16" s="36">
        <f>'[4]24b'!I16/SUM('[4]24b'!$G16:$K16)*100</f>
        <v>18.101129639591178</v>
      </c>
      <c r="J16" s="36">
        <f>'[4]24b'!J16/SUM('[4]24b'!$G16:$K16)*100</f>
        <v>23.641742872512104</v>
      </c>
      <c r="K16" s="36">
        <f>'[4]24b'!K16/SUM('[4]24b'!$G16:$K16)*100</f>
        <v>37.816030123722435</v>
      </c>
      <c r="M16" s="6"/>
      <c r="N16" s="6"/>
      <c r="O16" s="6"/>
      <c r="P16" s="6"/>
      <c r="Q16" s="6"/>
      <c r="R16" s="6"/>
      <c r="S16" s="6"/>
      <c r="T16" s="6"/>
      <c r="U16" s="6"/>
      <c r="V16" s="6"/>
      <c r="W16" s="6"/>
    </row>
    <row r="17" spans="1:23">
      <c r="A17" s="2">
        <v>1992</v>
      </c>
      <c r="B17" s="977">
        <f>'[4]24b'!B17/SUM('[4]24b'!$B17:$F17)*100</f>
        <v>6.804123711340206</v>
      </c>
      <c r="C17" s="36">
        <f>'[4]24b'!C17/SUM('[4]24b'!$B17:$F17)*100</f>
        <v>12.731958762886597</v>
      </c>
      <c r="D17" s="36">
        <f>'[4]24b'!D17/SUM('[4]24b'!$B17:$F17)*100</f>
        <v>17.577319587628864</v>
      </c>
      <c r="E17" s="36">
        <f>'[4]24b'!E17/SUM('[4]24b'!$B17:$F17)*100</f>
        <v>23.505154639175256</v>
      </c>
      <c r="F17" s="36">
        <f>'[4]24b'!F17/SUM('[4]24b'!$B17:$F17)*100</f>
        <v>39.381443298969074</v>
      </c>
      <c r="G17" s="36">
        <f>'[4]24b'!G17/SUM('[4]24b'!$G17:$K17)*100</f>
        <v>6.9546318935071989</v>
      </c>
      <c r="H17" s="36">
        <f>'[4]24b'!H17/SUM('[4]24b'!$G17:$K17)*100</f>
        <v>13.338766639500136</v>
      </c>
      <c r="I17" s="36">
        <f>'[4]24b'!I17/SUM('[4]24b'!$G17:$K17)*100</f>
        <v>18.2559087204564</v>
      </c>
      <c r="J17" s="36">
        <f>'[4]24b'!J17/SUM('[4]24b'!$G17:$K17)*100</f>
        <v>23.662048356424883</v>
      </c>
      <c r="K17" s="36">
        <f>'[4]24b'!K17/SUM('[4]24b'!$G17:$K17)*100</f>
        <v>37.788644390111379</v>
      </c>
      <c r="M17" s="6"/>
      <c r="N17" s="6"/>
      <c r="O17" s="6"/>
      <c r="P17" s="6"/>
      <c r="Q17" s="6"/>
      <c r="R17" s="6"/>
      <c r="S17" s="6"/>
      <c r="T17" s="6"/>
      <c r="U17" s="6"/>
      <c r="V17" s="6"/>
      <c r="W17" s="6"/>
    </row>
    <row r="18" spans="1:23">
      <c r="A18" s="2">
        <v>1993</v>
      </c>
      <c r="B18" s="977">
        <f>'[4]24b'!B18/SUM('[4]24b'!$B18:$F18)*100</f>
        <v>7.0100902814657458</v>
      </c>
      <c r="C18" s="36">
        <f>'[4]24b'!C18/SUM('[4]24b'!$B18:$F18)*100</f>
        <v>12.745618693574084</v>
      </c>
      <c r="D18" s="36">
        <f>'[4]24b'!D18/SUM('[4]24b'!$B18:$F18)*100</f>
        <v>17.737652681890602</v>
      </c>
      <c r="E18" s="36">
        <f>'[4]24b'!E18/SUM('[4]24b'!$B18:$F18)*100</f>
        <v>23.685608072225172</v>
      </c>
      <c r="F18" s="36">
        <f>'[4]24b'!F18/SUM('[4]24b'!$B18:$F18)*100</f>
        <v>38.821030270844396</v>
      </c>
      <c r="G18" s="36">
        <f>'[4]24b'!G18/SUM('[4]24b'!$G18:$K18)*100</f>
        <v>7.2864321608040195</v>
      </c>
      <c r="H18" s="36">
        <f>'[4]24b'!H18/SUM('[4]24b'!$G18:$K18)*100</f>
        <v>13.149078726968174</v>
      </c>
      <c r="I18" s="36">
        <f>'[4]24b'!I18/SUM('[4]24b'!$G18:$K18)*100</f>
        <v>18.453378001116693</v>
      </c>
      <c r="J18" s="36">
        <f>'[4]24b'!J18/SUM('[4]24b'!$G18:$K18)*100</f>
        <v>24.120603015075375</v>
      </c>
      <c r="K18" s="36">
        <f>'[4]24b'!K18/SUM('[4]24b'!$G18:$K18)*100</f>
        <v>36.990508096035732</v>
      </c>
      <c r="M18" s="6"/>
      <c r="N18" s="6"/>
      <c r="O18" s="6"/>
      <c r="P18" s="6"/>
      <c r="Q18" s="6"/>
      <c r="R18" s="6"/>
      <c r="S18" s="6"/>
      <c r="T18" s="6"/>
      <c r="U18" s="6"/>
      <c r="V18" s="6"/>
      <c r="W18" s="6"/>
    </row>
    <row r="19" spans="1:23">
      <c r="A19" s="2">
        <v>1994</v>
      </c>
      <c r="B19" s="977">
        <f>'[4]24b'!B19/SUM('[4]24b'!$B19:$F19)*100</f>
        <v>6.8965517241379306</v>
      </c>
      <c r="C19" s="36">
        <f>'[4]24b'!C19/SUM('[4]24b'!$B19:$F19)*100</f>
        <v>12.748171368861025</v>
      </c>
      <c r="D19" s="36">
        <f>'[4]24b'!D19/SUM('[4]24b'!$B19:$F19)*100</f>
        <v>17.711598746081506</v>
      </c>
      <c r="E19" s="36">
        <f>'[4]24b'!E19/SUM('[4]24b'!$B19:$F19)*100</f>
        <v>23.615464994775341</v>
      </c>
      <c r="F19" s="36">
        <f>'[4]24b'!F19/SUM('[4]24b'!$B19:$F19)*100</f>
        <v>39.028213166144198</v>
      </c>
      <c r="G19" s="36">
        <f>'[4]24b'!G19/SUM('[4]24b'!$G19:$K19)*100</f>
        <v>7.1409028727770174</v>
      </c>
      <c r="H19" s="36">
        <f>'[4]24b'!H19/SUM('[4]24b'!$G19:$K19)*100</f>
        <v>13.214774281805747</v>
      </c>
      <c r="I19" s="36">
        <f>'[4]24b'!I19/SUM('[4]24b'!$G19:$K19)*100</f>
        <v>18.303693570451436</v>
      </c>
      <c r="J19" s="36">
        <f>'[4]24b'!J19/SUM('[4]24b'!$G19:$K19)*100</f>
        <v>24.021887824897401</v>
      </c>
      <c r="K19" s="36">
        <f>'[4]24b'!K19/SUM('[4]24b'!$G19:$K19)*100</f>
        <v>37.318741450068401</v>
      </c>
      <c r="M19" s="6"/>
      <c r="N19" s="6"/>
      <c r="O19" s="6"/>
      <c r="P19" s="6"/>
      <c r="Q19" s="6"/>
      <c r="R19" s="6"/>
      <c r="S19" s="6"/>
      <c r="T19" s="6"/>
      <c r="U19" s="6"/>
      <c r="V19" s="6"/>
      <c r="W19" s="6"/>
    </row>
    <row r="20" spans="1:23">
      <c r="A20" s="2">
        <v>1995</v>
      </c>
      <c r="B20" s="977">
        <f>'[4]24b'!B20/SUM('[4]24b'!$B20:$F20)*100</f>
        <v>6.8607068607068609</v>
      </c>
      <c r="C20" s="36">
        <f>'[4]24b'!C20/SUM('[4]24b'!$B20:$F20)*100</f>
        <v>12.629937629937629</v>
      </c>
      <c r="D20" s="36">
        <f>'[4]24b'!D20/SUM('[4]24b'!$B20:$F20)*100</f>
        <v>17.619542619542621</v>
      </c>
      <c r="E20" s="36">
        <f>'[4]24b'!E20/SUM('[4]24b'!$B20:$F20)*100</f>
        <v>23.596673596673597</v>
      </c>
      <c r="F20" s="36">
        <f>'[4]24b'!F20/SUM('[4]24b'!$B20:$F20)*100</f>
        <v>39.293139293139298</v>
      </c>
      <c r="G20" s="36">
        <f>'[4]24b'!G20/SUM('[4]24b'!$G20:$K20)*100</f>
        <v>7.1585298957761934</v>
      </c>
      <c r="H20" s="36">
        <f>'[4]24b'!H20/SUM('[4]24b'!$G20:$K20)*100</f>
        <v>13.055403181568842</v>
      </c>
      <c r="I20" s="36">
        <f>'[4]24b'!I20/SUM('[4]24b'!$G20:$K20)*100</f>
        <v>18.102029621503014</v>
      </c>
      <c r="J20" s="36">
        <f>'[4]24b'!J20/SUM('[4]24b'!$G20:$K20)*100</f>
        <v>23.97147558968733</v>
      </c>
      <c r="K20" s="36">
        <f>'[4]24b'!K20/SUM('[4]24b'!$G20:$K20)*100</f>
        <v>37.712561711464623</v>
      </c>
      <c r="M20" s="6"/>
      <c r="N20" s="6"/>
      <c r="O20" s="6"/>
      <c r="P20" s="6"/>
      <c r="Q20" s="6"/>
      <c r="R20" s="6"/>
      <c r="S20" s="6"/>
      <c r="T20" s="6"/>
      <c r="U20" s="6"/>
      <c r="V20" s="6"/>
      <c r="W20" s="6"/>
    </row>
    <row r="21" spans="1:23">
      <c r="A21" s="2">
        <v>1996</v>
      </c>
      <c r="B21" s="977">
        <f>'[4]24b'!B21/SUM('[4]24b'!$B21:$F21)*100</f>
        <v>6.5911431513903187</v>
      </c>
      <c r="C21" s="36">
        <f>'[4]24b'!C21/SUM('[4]24b'!$B21:$F21)*100</f>
        <v>12.358393408856848</v>
      </c>
      <c r="D21" s="36">
        <f>'[4]24b'!D21/SUM('[4]24b'!$B21:$F21)*100</f>
        <v>17.456230690010301</v>
      </c>
      <c r="E21" s="36">
        <f>'[4]24b'!E21/SUM('[4]24b'!$B21:$F21)*100</f>
        <v>23.480947476828014</v>
      </c>
      <c r="F21" s="36">
        <f>'[4]24b'!F21/SUM('[4]24b'!$B21:$F21)*100</f>
        <v>40.113285272914524</v>
      </c>
      <c r="G21" s="36">
        <f>'[4]24b'!G21/SUM('[4]24b'!$G21:$K21)*100</f>
        <v>6.8630099972980281</v>
      </c>
      <c r="H21" s="36">
        <f>'[4]24b'!H21/SUM('[4]24b'!$G21:$K21)*100</f>
        <v>12.861388813834099</v>
      </c>
      <c r="I21" s="36">
        <f>'[4]24b'!I21/SUM('[4]24b'!$G21:$K21)*100</f>
        <v>17.995136449608214</v>
      </c>
      <c r="J21" s="36">
        <f>'[4]24b'!J21/SUM('[4]24b'!$G21:$K21)*100</f>
        <v>23.777357470953795</v>
      </c>
      <c r="K21" s="36">
        <f>'[4]24b'!K21/SUM('[4]24b'!$G21:$K21)*100</f>
        <v>38.503107268305861</v>
      </c>
      <c r="M21" s="6"/>
      <c r="N21" s="6"/>
      <c r="O21" s="6"/>
      <c r="P21" s="6"/>
      <c r="Q21" s="6"/>
      <c r="R21" s="6"/>
      <c r="S21" s="6"/>
      <c r="T21" s="6"/>
      <c r="U21" s="6"/>
      <c r="V21" s="6"/>
      <c r="W21" s="6"/>
    </row>
    <row r="22" spans="1:23">
      <c r="A22" s="2">
        <v>1997</v>
      </c>
      <c r="B22" s="977">
        <f>'[4]24b'!B22/SUM('[4]24b'!$B22:$F22)*100</f>
        <v>6.6632756866734493</v>
      </c>
      <c r="C22" s="36">
        <f>'[4]24b'!C22/SUM('[4]24b'!$B22:$F22)*100</f>
        <v>12.309257375381485</v>
      </c>
      <c r="D22" s="36">
        <f>'[4]24b'!D22/SUM('[4]24b'!$B22:$F22)*100</f>
        <v>17.446592065106817</v>
      </c>
      <c r="E22" s="36">
        <f>'[4]24b'!E22/SUM('[4]24b'!$B22:$F22)*100</f>
        <v>23.448626653102746</v>
      </c>
      <c r="F22" s="36">
        <f>'[4]24b'!F22/SUM('[4]24b'!$B22:$F22)*100</f>
        <v>40.132248219735509</v>
      </c>
      <c r="G22" s="36">
        <f>'[4]24b'!G22/SUM('[4]24b'!$G22:$K22)*100</f>
        <v>6.8771742039068773</v>
      </c>
      <c r="H22" s="36">
        <f>'[4]24b'!H22/SUM('[4]24b'!$G22:$K22)*100</f>
        <v>12.683971099812686</v>
      </c>
      <c r="I22" s="36">
        <f>'[4]24b'!I22/SUM('[4]24b'!$G22:$K22)*100</f>
        <v>17.902060476317903</v>
      </c>
      <c r="J22" s="36">
        <f>'[4]24b'!J22/SUM('[4]24b'!$G22:$K22)*100</f>
        <v>24.003211131924004</v>
      </c>
      <c r="K22" s="36">
        <f>'[4]24b'!K22/SUM('[4]24b'!$G22:$K22)*100</f>
        <v>38.533583088038533</v>
      </c>
      <c r="M22" s="6"/>
      <c r="N22" s="6"/>
      <c r="O22" s="6"/>
      <c r="P22" s="6"/>
      <c r="Q22" s="6"/>
      <c r="R22" s="6"/>
      <c r="S22" s="6"/>
      <c r="T22" s="6"/>
      <c r="U22" s="6"/>
      <c r="V22" s="6"/>
      <c r="W22" s="6"/>
    </row>
    <row r="23" spans="1:23">
      <c r="A23" s="2">
        <v>1998</v>
      </c>
      <c r="B23" s="977">
        <f>'[4]24b'!B23/SUM('[4]24b'!$B23:$F23)*100</f>
        <v>6.5248912518124698</v>
      </c>
      <c r="C23" s="36">
        <f>'[4]24b'!C23/SUM('[4]24b'!$B23:$F23)*100</f>
        <v>12.083131947800869</v>
      </c>
      <c r="D23" s="36">
        <f>'[4]24b'!D23/SUM('[4]24b'!$B23:$F23)*100</f>
        <v>17.158047365877234</v>
      </c>
      <c r="E23" s="36">
        <f>'[4]24b'!E23/SUM('[4]24b'!$B23:$F23)*100</f>
        <v>23.19961333977767</v>
      </c>
      <c r="F23" s="36">
        <f>'[4]24b'!F23/SUM('[4]24b'!$B23:$F23)*100</f>
        <v>41.034316094731757</v>
      </c>
      <c r="G23" s="36">
        <f>'[4]24b'!G23/SUM('[4]24b'!$G23:$K23)*100</f>
        <v>6.7887109077040435</v>
      </c>
      <c r="H23" s="36">
        <f>'[4]24b'!H23/SUM('[4]24b'!$G23:$K23)*100</f>
        <v>12.331553521484871</v>
      </c>
      <c r="I23" s="36">
        <f>'[4]24b'!I23/SUM('[4]24b'!$G23:$K23)*100</f>
        <v>17.798118484617341</v>
      </c>
      <c r="J23" s="36">
        <f>'[4]24b'!J23/SUM('[4]24b'!$G23:$K23)*100</f>
        <v>23.595219933892704</v>
      </c>
      <c r="K23" s="36">
        <f>'[4]24b'!K23/SUM('[4]24b'!$G23:$K23)*100</f>
        <v>39.486397152301045</v>
      </c>
      <c r="M23" s="6"/>
      <c r="N23" s="6"/>
      <c r="O23" s="6"/>
      <c r="P23" s="6"/>
      <c r="Q23" s="6"/>
      <c r="R23" s="6"/>
      <c r="S23" s="6"/>
      <c r="T23" s="6"/>
      <c r="U23" s="6"/>
      <c r="V23" s="6"/>
      <c r="W23" s="6"/>
    </row>
    <row r="24" spans="1:23">
      <c r="A24" s="2">
        <v>1999</v>
      </c>
      <c r="B24" s="977">
        <f>'[4]24b'!B24/SUM('[4]24b'!$B24:$F24)*100</f>
        <v>6.6193853427895979</v>
      </c>
      <c r="C24" s="36">
        <f>'[4]24b'!C24/SUM('[4]24b'!$B24:$F24)*100</f>
        <v>12.293144208037825</v>
      </c>
      <c r="D24" s="36">
        <f>'[4]24b'!D24/SUM('[4]24b'!$B24:$F24)*100</f>
        <v>17.257683215130022</v>
      </c>
      <c r="E24" s="36">
        <f>'[4]24b'!E24/SUM('[4]24b'!$B24:$F24)*100</f>
        <v>23.120567375886523</v>
      </c>
      <c r="F24" s="36">
        <f>'[4]24b'!F24/SUM('[4]24b'!$B24:$F24)*100</f>
        <v>40.709219858156025</v>
      </c>
      <c r="G24" s="36">
        <f>'[4]24b'!G24/SUM('[4]24b'!$G24:$K24)*100</f>
        <v>6.8819875776397517</v>
      </c>
      <c r="H24" s="36">
        <f>'[4]24b'!H24/SUM('[4]24b'!$G24:$K24)*100</f>
        <v>12.621118012422361</v>
      </c>
      <c r="I24" s="36">
        <f>'[4]24b'!I24/SUM('[4]24b'!$G24:$K24)*100</f>
        <v>17.788819875776397</v>
      </c>
      <c r="J24" s="36">
        <f>'[4]24b'!J24/SUM('[4]24b'!$G24:$K24)*100</f>
        <v>23.428571428571431</v>
      </c>
      <c r="K24" s="36">
        <f>'[4]24b'!K24/SUM('[4]24b'!$G24:$K24)*100</f>
        <v>39.279503105590067</v>
      </c>
      <c r="M24" s="6"/>
      <c r="N24" s="6"/>
      <c r="O24" s="6"/>
      <c r="P24" s="6"/>
      <c r="Q24" s="6"/>
      <c r="R24" s="6"/>
      <c r="S24" s="6"/>
      <c r="T24" s="6"/>
      <c r="U24" s="6"/>
      <c r="V24" s="6"/>
      <c r="W24" s="6"/>
    </row>
    <row r="25" spans="1:23">
      <c r="A25" s="2">
        <v>2000</v>
      </c>
      <c r="B25" s="977">
        <f>'[4]24b'!B25/SUM('[4]24b'!$B25:$F25)*100</f>
        <v>6.6696914700544463</v>
      </c>
      <c r="C25" s="36">
        <f>'[4]24b'!C25/SUM('[4]24b'!$B25:$F25)*100</f>
        <v>12.023593466424682</v>
      </c>
      <c r="D25" s="36">
        <f>'[4]24b'!D25/SUM('[4]24b'!$B25:$F25)*100</f>
        <v>16.969147005444647</v>
      </c>
      <c r="E25" s="36">
        <f>'[4]24b'!E25/SUM('[4]24b'!$B25:$F25)*100</f>
        <v>22.822141560798549</v>
      </c>
      <c r="F25" s="36">
        <f>'[4]24b'!F25/SUM('[4]24b'!$B25:$F25)*100</f>
        <v>41.515426497277673</v>
      </c>
      <c r="G25" s="36">
        <f>'[4]24b'!G25/SUM('[4]24b'!$G25:$K25)*100</f>
        <v>6.8883610451306403</v>
      </c>
      <c r="H25" s="36">
        <f>'[4]24b'!H25/SUM('[4]24b'!$G25:$K25)*100</f>
        <v>12.351543942992874</v>
      </c>
      <c r="I25" s="36">
        <f>'[4]24b'!I25/SUM('[4]24b'!$G25:$K25)*100</f>
        <v>17.268408551068884</v>
      </c>
      <c r="J25" s="36">
        <f>'[4]24b'!J25/SUM('[4]24b'!$G25:$K25)*100</f>
        <v>23.016627078384801</v>
      </c>
      <c r="K25" s="36">
        <f>'[4]24b'!K25/SUM('[4]24b'!$G25:$K25)*100</f>
        <v>40.475059382422799</v>
      </c>
      <c r="M25" s="6"/>
      <c r="N25" s="6"/>
      <c r="O25" s="6"/>
      <c r="P25" s="6"/>
      <c r="Q25" s="6"/>
      <c r="R25" s="6"/>
      <c r="S25" s="6"/>
      <c r="T25" s="6"/>
      <c r="U25" s="6"/>
      <c r="V25" s="6"/>
      <c r="W25" s="6"/>
    </row>
    <row r="26" spans="1:23">
      <c r="A26" s="2">
        <v>2001</v>
      </c>
      <c r="B26" s="977">
        <f>'[4]24b'!B26/SUM('[4]24b'!$B26:$F26)*100</f>
        <v>6.6219239373601786</v>
      </c>
      <c r="C26" s="36">
        <f>'[4]24b'!C26/SUM('[4]24b'!$B26:$F26)*100</f>
        <v>12.035794183445191</v>
      </c>
      <c r="D26" s="36">
        <f>'[4]24b'!D26/SUM('[4]24b'!$B26:$F26)*100</f>
        <v>16.912751677852349</v>
      </c>
      <c r="E26" s="36">
        <f>'[4]24b'!E26/SUM('[4]24b'!$B26:$F26)*100</f>
        <v>22.774049217002236</v>
      </c>
      <c r="F26" s="36">
        <f>'[4]24b'!F26/SUM('[4]24b'!$B26:$F26)*100</f>
        <v>41.655480984340045</v>
      </c>
      <c r="G26" s="36">
        <f>'[4]24b'!G26/SUM('[4]24b'!$G26:$K26)*100</f>
        <v>6.8827813013859522</v>
      </c>
      <c r="H26" s="36">
        <f>'[4]24b'!H26/SUM('[4]24b'!$G26:$K26)*100</f>
        <v>12.26215644820296</v>
      </c>
      <c r="I26" s="36">
        <f>'[4]24b'!I26/SUM('[4]24b'!$G26:$K26)*100</f>
        <v>17.383133662203427</v>
      </c>
      <c r="J26" s="36">
        <f>'[4]24b'!J26/SUM('[4]24b'!$G26:$K26)*100</f>
        <v>23.020906741836974</v>
      </c>
      <c r="K26" s="36">
        <f>'[4]24b'!K26/SUM('[4]24b'!$G26:$K26)*100</f>
        <v>40.451021846370679</v>
      </c>
      <c r="M26" s="6"/>
      <c r="N26" s="6"/>
      <c r="O26" s="6"/>
      <c r="P26" s="6"/>
      <c r="Q26" s="6"/>
      <c r="R26" s="6"/>
      <c r="S26" s="6"/>
      <c r="T26" s="6"/>
      <c r="U26" s="6"/>
      <c r="V26" s="6"/>
      <c r="W26" s="6"/>
    </row>
    <row r="27" spans="1:23">
      <c r="A27" s="2">
        <v>2002</v>
      </c>
      <c r="B27" s="977">
        <f>'[4]24b'!B27/SUM('[4]24b'!$B27:$F27)*100</f>
        <v>6.5742397137745971</v>
      </c>
      <c r="C27" s="36">
        <f>'[4]24b'!C27/SUM('[4]24b'!$B27:$F27)*100</f>
        <v>11.985688729874775</v>
      </c>
      <c r="D27" s="36">
        <f>'[4]24b'!D27/SUM('[4]24b'!$B27:$F27)*100</f>
        <v>16.86046511627907</v>
      </c>
      <c r="E27" s="36">
        <f>'[4]24b'!E27/SUM('[4]24b'!$B27:$F27)*100</f>
        <v>22.808586762075134</v>
      </c>
      <c r="F27" s="36">
        <f>'[4]24b'!F27/SUM('[4]24b'!$B27:$F27)*100</f>
        <v>41.771019677996421</v>
      </c>
      <c r="G27" s="36">
        <f>'[4]24b'!G27/SUM('[4]24b'!$G27:$K27)*100</f>
        <v>6.7612293144208042</v>
      </c>
      <c r="H27" s="36">
        <f>'[4]24b'!H27/SUM('[4]24b'!$G27:$K27)*100</f>
        <v>12.340425531914894</v>
      </c>
      <c r="I27" s="36">
        <f>'[4]24b'!I27/SUM('[4]24b'!$G27:$K27)*100</f>
        <v>17.446808510638299</v>
      </c>
      <c r="J27" s="36">
        <f>'[4]24b'!J27/SUM('[4]24b'!$G27:$K27)*100</f>
        <v>23.073286052009458</v>
      </c>
      <c r="K27" s="36">
        <f>'[4]24b'!K27/SUM('[4]24b'!$G27:$K27)*100</f>
        <v>40.378250591016553</v>
      </c>
      <c r="M27" s="6"/>
      <c r="N27" s="6"/>
      <c r="O27" s="6"/>
      <c r="P27" s="6"/>
      <c r="Q27" s="6"/>
      <c r="R27" s="6"/>
      <c r="S27" s="6"/>
      <c r="T27" s="6"/>
      <c r="U27" s="6"/>
      <c r="V27" s="6"/>
      <c r="W27" s="6"/>
    </row>
    <row r="28" spans="1:23">
      <c r="A28" s="2">
        <v>2003</v>
      </c>
      <c r="B28" s="977">
        <f>'[4]24b'!B28/SUM('[4]24b'!$B28:$F28)*100</f>
        <v>6.6546762589928061</v>
      </c>
      <c r="C28" s="36">
        <f>'[4]24b'!C28/SUM('[4]24b'!$B28:$F28)*100</f>
        <v>12.050359712230216</v>
      </c>
      <c r="D28" s="36">
        <f>'[4]24b'!D28/SUM('[4]24b'!$B28:$F28)*100</f>
        <v>16.951438848920862</v>
      </c>
      <c r="E28" s="36">
        <f>'[4]24b'!E28/SUM('[4]24b'!$B28:$F28)*100</f>
        <v>22.976618705035971</v>
      </c>
      <c r="F28" s="36">
        <f>'[4]24b'!F28/SUM('[4]24b'!$B28:$F28)*100</f>
        <v>41.366906474820141</v>
      </c>
      <c r="G28" s="36">
        <f>'[4]24b'!G28/SUM('[4]24b'!$G28:$K28)*100</f>
        <v>6.9292833412434733</v>
      </c>
      <c r="H28" s="36">
        <f>'[4]24b'!H28/SUM('[4]24b'!$G28:$K28)*100</f>
        <v>12.316089226388231</v>
      </c>
      <c r="I28" s="36">
        <f>'[4]24b'!I28/SUM('[4]24b'!$G28:$K28)*100</f>
        <v>17.560512577123873</v>
      </c>
      <c r="J28" s="36">
        <f>'[4]24b'!J28/SUM('[4]24b'!$G28:$K28)*100</f>
        <v>23.065970574276225</v>
      </c>
      <c r="K28" s="36">
        <f>'[4]24b'!K28/SUM('[4]24b'!$G28:$K28)*100</f>
        <v>40.128144280968201</v>
      </c>
      <c r="M28" s="6"/>
      <c r="N28" s="6"/>
      <c r="O28" s="6"/>
      <c r="P28" s="6"/>
      <c r="Q28" s="6"/>
      <c r="R28" s="6"/>
      <c r="S28" s="6"/>
      <c r="T28" s="6"/>
      <c r="U28" s="6"/>
      <c r="V28" s="6"/>
      <c r="W28" s="6"/>
    </row>
    <row r="29" spans="1:23">
      <c r="A29" s="2">
        <v>2004</v>
      </c>
      <c r="B29" s="977">
        <f>'[4]24b'!B29/SUM('[4]24b'!$B29:$F29)*100</f>
        <v>6.5559440559440558</v>
      </c>
      <c r="C29" s="36">
        <f>'[4]24b'!C29/SUM('[4]24b'!$B29:$F29)*100</f>
        <v>11.888111888111888</v>
      </c>
      <c r="D29" s="36">
        <f>'[4]24b'!D29/SUM('[4]24b'!$B29:$F29)*100</f>
        <v>16.87062937062937</v>
      </c>
      <c r="E29" s="36">
        <f>'[4]24b'!E29/SUM('[4]24b'!$B29:$F29)*100</f>
        <v>22.814685314685317</v>
      </c>
      <c r="F29" s="36">
        <f>'[4]24b'!F29/SUM('[4]24b'!$B29:$F29)*100</f>
        <v>41.870629370629366</v>
      </c>
      <c r="G29" s="36">
        <f>'[4]24b'!G29/SUM('[4]24b'!$G29:$K29)*100</f>
        <v>6.8344493188640039</v>
      </c>
      <c r="H29" s="36">
        <f>'[4]24b'!H29/SUM('[4]24b'!$G29:$K29)*100</f>
        <v>12.075733087046871</v>
      </c>
      <c r="I29" s="36">
        <f>'[4]24b'!I29/SUM('[4]24b'!$G29:$K29)*100</f>
        <v>17.386284922650656</v>
      </c>
      <c r="J29" s="36">
        <f>'[4]24b'!J29/SUM('[4]24b'!$G29:$K29)*100</f>
        <v>22.789194181482337</v>
      </c>
      <c r="K29" s="36">
        <f>'[4]24b'!K29/SUM('[4]24b'!$G29:$K29)*100</f>
        <v>40.91433848995613</v>
      </c>
      <c r="M29" s="6"/>
      <c r="N29" s="6"/>
      <c r="O29" s="6"/>
      <c r="P29" s="6"/>
      <c r="Q29" s="6"/>
      <c r="R29" s="6"/>
      <c r="S29" s="6"/>
      <c r="T29" s="6"/>
      <c r="U29" s="6"/>
      <c r="V29" s="6"/>
      <c r="W29" s="6"/>
    </row>
    <row r="30" spans="1:23">
      <c r="A30" s="2">
        <v>2005</v>
      </c>
      <c r="B30" s="977">
        <f>'[4]24b'!B30/SUM('[4]24b'!$B30:$F30)*100</f>
        <v>6.6983578219533282</v>
      </c>
      <c r="C30" s="36">
        <f>'[4]24b'!C30/SUM('[4]24b'!$B30:$F30)*100</f>
        <v>12.05704407951599</v>
      </c>
      <c r="D30" s="36">
        <f>'[4]24b'!D30/SUM('[4]24b'!$B30:$F30)*100</f>
        <v>16.983578219533278</v>
      </c>
      <c r="E30" s="36">
        <f>'[4]24b'!E30/SUM('[4]24b'!$B30:$F30)*100</f>
        <v>23.033707865168541</v>
      </c>
      <c r="F30" s="36">
        <f>'[4]24b'!F30/SUM('[4]24b'!$B30:$F30)*100</f>
        <v>41.227312013828865</v>
      </c>
      <c r="G30" s="36">
        <f>'[4]24b'!G30/SUM('[4]24b'!$G30:$K30)*100</f>
        <v>6.9044352994970275</v>
      </c>
      <c r="H30" s="36">
        <f>'[4]24b'!H30/SUM('[4]24b'!$G30:$K30)*100</f>
        <v>12.231367169638775</v>
      </c>
      <c r="I30" s="36">
        <f>'[4]24b'!I30/SUM('[4]24b'!$G30:$K30)*100</f>
        <v>17.581161408321901</v>
      </c>
      <c r="J30" s="36">
        <f>'[4]24b'!J30/SUM('[4]24b'!$G30:$K30)*100</f>
        <v>23.273891175125744</v>
      </c>
      <c r="K30" s="36">
        <f>'[4]24b'!K30/SUM('[4]24b'!$G30:$K30)*100</f>
        <v>40.009144947416551</v>
      </c>
      <c r="M30" s="6"/>
      <c r="N30" s="6"/>
      <c r="O30" s="6"/>
      <c r="P30" s="6"/>
      <c r="Q30" s="6"/>
      <c r="R30" s="6"/>
      <c r="S30" s="6"/>
      <c r="T30" s="6"/>
      <c r="U30" s="6"/>
      <c r="V30" s="6"/>
      <c r="W30" s="6"/>
    </row>
    <row r="31" spans="1:23">
      <c r="A31" s="2">
        <v>2006</v>
      </c>
      <c r="B31" s="977">
        <f>'[4]24b'!B31/SUM('[4]24b'!$B31:$F31)*100</f>
        <v>6.8614993646759856</v>
      </c>
      <c r="C31" s="36">
        <f>'[4]24b'!C31/SUM('[4]24b'!$B31:$F31)*100</f>
        <v>11.986446421008047</v>
      </c>
      <c r="D31" s="36">
        <f>'[4]24b'!D31/SUM('[4]24b'!$B31:$F31)*100</f>
        <v>16.857263871240999</v>
      </c>
      <c r="E31" s="36">
        <f>'[4]24b'!E31/SUM('[4]24b'!$B31:$F31)*100</f>
        <v>22.914019483269801</v>
      </c>
      <c r="F31" s="36">
        <f>'[4]24b'!F31/SUM('[4]24b'!$B31:$F31)*100</f>
        <v>41.380770859805168</v>
      </c>
      <c r="G31" s="36">
        <f>'[4]24b'!G31/SUM('[4]24b'!$G31:$K31)*100</f>
        <v>7.0770613345315665</v>
      </c>
      <c r="H31" s="36">
        <f>'[4]24b'!H31/SUM('[4]24b'!$G31:$K31)*100</f>
        <v>12.536508649741632</v>
      </c>
      <c r="I31" s="36">
        <f>'[4]24b'!I31/SUM('[4]24b'!$G31:$K31)*100</f>
        <v>17.299483262188271</v>
      </c>
      <c r="J31" s="36">
        <f>'[4]24b'!J31/SUM('[4]24b'!$G31:$K31)*100</f>
        <v>23.028532913951921</v>
      </c>
      <c r="K31" s="36">
        <f>'[4]24b'!K31/SUM('[4]24b'!$G31:$K31)*100</f>
        <v>40.058413839586606</v>
      </c>
      <c r="M31" s="6"/>
      <c r="N31" s="6"/>
      <c r="O31" s="6"/>
      <c r="P31" s="6"/>
      <c r="Q31" s="6"/>
      <c r="R31" s="6"/>
      <c r="S31" s="6"/>
      <c r="T31" s="6"/>
      <c r="U31" s="6"/>
      <c r="V31" s="6"/>
      <c r="W31" s="6"/>
    </row>
    <row r="32" spans="1:23" s="961" customFormat="1">
      <c r="A32" s="2">
        <v>2007</v>
      </c>
      <c r="B32" s="977">
        <f>'[4]24b'!B32/SUM('[4]24b'!$B32:$F32)*100</f>
        <v>6.9700697006970067</v>
      </c>
      <c r="C32" s="36">
        <f>'[4]24b'!C32/SUM('[4]24b'!$B32:$F32)*100</f>
        <v>12.013120131201312</v>
      </c>
      <c r="D32" s="36">
        <f>'[4]24b'!D32/SUM('[4]24b'!$B32:$F32)*100</f>
        <v>16.769167691676916</v>
      </c>
      <c r="E32" s="36">
        <f>'[4]24b'!E32/SUM('[4]24b'!$B32:$F32)*100</f>
        <v>22.755227552275521</v>
      </c>
      <c r="F32" s="36">
        <f>'[4]24b'!F32/SUM('[4]24b'!$B32:$F32)*100</f>
        <v>41.492414924149237</v>
      </c>
      <c r="G32" s="36">
        <f>'[4]24b'!G32/SUM('[4]24b'!$G32:$K32)*100</f>
        <v>7.3314422867117601</v>
      </c>
      <c r="H32" s="36">
        <f>'[4]24b'!H32/SUM('[4]24b'!$G32:$K32)*100</f>
        <v>12.524547239799258</v>
      </c>
      <c r="I32" s="36">
        <f>'[4]24b'!I32/SUM('[4]24b'!$G32:$K32)*100</f>
        <v>17.172157975125462</v>
      </c>
      <c r="J32" s="36">
        <f>'[4]24b'!J32/SUM('[4]24b'!$G32:$K32)*100</f>
        <v>23.15077460178922</v>
      </c>
      <c r="K32" s="36">
        <f>'[4]24b'!K32/SUM('[4]24b'!$G32:$K32)*100</f>
        <v>39.821077896574295</v>
      </c>
      <c r="M32" s="6"/>
      <c r="N32" s="6"/>
      <c r="O32" s="6"/>
      <c r="P32" s="6"/>
      <c r="Q32" s="6"/>
      <c r="R32" s="6"/>
      <c r="S32" s="6"/>
      <c r="T32" s="6"/>
      <c r="U32" s="6"/>
      <c r="V32" s="6"/>
      <c r="W32" s="6"/>
    </row>
    <row r="33" spans="1:23" s="961" customFormat="1">
      <c r="A33" s="2"/>
      <c r="B33" s="977"/>
      <c r="C33" s="36"/>
      <c r="D33" s="36"/>
      <c r="E33" s="36"/>
      <c r="F33" s="36"/>
      <c r="G33" s="36"/>
      <c r="H33" s="36"/>
      <c r="I33" s="36"/>
      <c r="J33" s="36"/>
      <c r="K33" s="36"/>
      <c r="M33" s="6"/>
      <c r="N33" s="6"/>
      <c r="O33" s="6"/>
      <c r="P33" s="6"/>
      <c r="Q33" s="6"/>
      <c r="R33" s="6"/>
      <c r="S33" s="6"/>
      <c r="T33" s="6"/>
      <c r="U33" s="6"/>
      <c r="V33" s="6"/>
      <c r="W33" s="6"/>
    </row>
    <row r="34" spans="1:23">
      <c r="A34" s="738"/>
      <c r="B34" s="959"/>
      <c r="C34" s="959"/>
      <c r="D34" s="959"/>
      <c r="E34" s="959"/>
      <c r="F34" s="233" t="s">
        <v>655</v>
      </c>
      <c r="G34" s="959"/>
      <c r="H34" s="959"/>
      <c r="I34" s="959"/>
      <c r="J34" s="959"/>
      <c r="K34" s="959"/>
      <c r="L34" s="644"/>
    </row>
    <row r="35" spans="1:23">
      <c r="A35" s="431" t="s">
        <v>603</v>
      </c>
      <c r="B35" s="27">
        <f>B14-B6</f>
        <v>0.21068265581165058</v>
      </c>
      <c r="C35" s="27">
        <f t="shared" ref="C35:K35" si="0">C14-C6</f>
        <v>-0.15255697966518333</v>
      </c>
      <c r="D35" s="27">
        <f t="shared" si="0"/>
        <v>-0.27504263160789932</v>
      </c>
      <c r="E35" s="27">
        <f t="shared" si="0"/>
        <v>-0.50387810110567344</v>
      </c>
      <c r="F35" s="27">
        <f t="shared" si="0"/>
        <v>0.72079505656709131</v>
      </c>
      <c r="G35" s="27">
        <f t="shared" si="0"/>
        <v>-1.6923118874606402E-2</v>
      </c>
      <c r="H35" s="27">
        <f t="shared" si="0"/>
        <v>-0.52311102016987121</v>
      </c>
      <c r="I35" s="27">
        <f t="shared" si="0"/>
        <v>-0.26267261633291028</v>
      </c>
      <c r="J35" s="27">
        <f t="shared" si="0"/>
        <v>-0.51808751132804787</v>
      </c>
      <c r="K35" s="27">
        <f t="shared" si="0"/>
        <v>1.320794266705434</v>
      </c>
      <c r="L35" s="114"/>
    </row>
    <row r="36" spans="1:23">
      <c r="A36" s="431" t="s">
        <v>604</v>
      </c>
      <c r="B36" s="27">
        <f>B25-B14</f>
        <v>-0.76471086230706931</v>
      </c>
      <c r="C36" s="27">
        <f t="shared" ref="C36:K36" si="1">C25-C14</f>
        <v>-1.1931217911069005</v>
      </c>
      <c r="D36" s="27">
        <f t="shared" si="1"/>
        <v>-0.81510955432211674</v>
      </c>
      <c r="E36" s="27">
        <f t="shared" si="1"/>
        <v>-0.50147359955130355</v>
      </c>
      <c r="F36" s="27">
        <f t="shared" si="1"/>
        <v>3.2744158072873972</v>
      </c>
      <c r="G36" s="27">
        <f t="shared" si="1"/>
        <v>-0.72392010178638522</v>
      </c>
      <c r="H36" s="27">
        <f t="shared" si="1"/>
        <v>-1.4266849329269444</v>
      </c>
      <c r="I36" s="27">
        <f t="shared" si="1"/>
        <v>-1.2548089064292149</v>
      </c>
      <c r="J36" s="27">
        <f t="shared" si="1"/>
        <v>-0.55607020656825412</v>
      </c>
      <c r="K36" s="27">
        <f t="shared" si="1"/>
        <v>3.9614841477107987</v>
      </c>
      <c r="L36" s="114"/>
    </row>
    <row r="37" spans="1:23">
      <c r="A37" s="431" t="s">
        <v>447</v>
      </c>
      <c r="B37" s="23">
        <f>B32-B6</f>
        <v>-0.25364997585285831</v>
      </c>
      <c r="C37" s="23">
        <f t="shared" ref="C37:K37" si="2">C32-C6</f>
        <v>-1.356152105995454</v>
      </c>
      <c r="D37" s="23">
        <f t="shared" si="2"/>
        <v>-1.2901314996977469</v>
      </c>
      <c r="E37" s="23">
        <f t="shared" si="2"/>
        <v>-1.0722657091800052</v>
      </c>
      <c r="F37" s="23">
        <f t="shared" si="2"/>
        <v>3.9721992907260528</v>
      </c>
      <c r="G37" s="23">
        <f t="shared" si="2"/>
        <v>-0.29776197907987179</v>
      </c>
      <c r="H37" s="23">
        <f t="shared" si="2"/>
        <v>-1.7767926562904321</v>
      </c>
      <c r="I37" s="23">
        <f t="shared" si="2"/>
        <v>-1.6137320987055475</v>
      </c>
      <c r="J37" s="23">
        <f t="shared" si="2"/>
        <v>-0.94001019449188306</v>
      </c>
      <c r="K37" s="23">
        <f t="shared" si="2"/>
        <v>4.6282969285677282</v>
      </c>
      <c r="L37" s="117"/>
    </row>
    <row r="38" spans="1:23">
      <c r="A38" s="431" t="s">
        <v>449</v>
      </c>
      <c r="B38" s="959">
        <f>B32-B25</f>
        <v>0.30037823064256042</v>
      </c>
      <c r="C38" s="959">
        <f t="shared" ref="C38:K38" si="3">C32-C25</f>
        <v>-1.0473335223370128E-2</v>
      </c>
      <c r="D38" s="959">
        <f t="shared" si="3"/>
        <v>-0.19997931376773082</v>
      </c>
      <c r="E38" s="959">
        <f t="shared" si="3"/>
        <v>-6.6914008523028201E-2</v>
      </c>
      <c r="F38" s="959">
        <f t="shared" si="3"/>
        <v>-2.3011573128435714E-2</v>
      </c>
      <c r="G38" s="959">
        <f t="shared" si="3"/>
        <v>0.44308124158111983</v>
      </c>
      <c r="H38" s="959">
        <f t="shared" si="3"/>
        <v>0.17300329680638349</v>
      </c>
      <c r="I38" s="959">
        <f t="shared" si="3"/>
        <v>-9.6250575943422234E-2</v>
      </c>
      <c r="J38" s="959">
        <f t="shared" si="3"/>
        <v>0.13414752340441893</v>
      </c>
      <c r="K38" s="959">
        <f t="shared" si="3"/>
        <v>-0.65398148584850446</v>
      </c>
      <c r="L38" s="114"/>
    </row>
    <row r="39" spans="1:23">
      <c r="A39" s="431"/>
      <c r="B39" s="114"/>
      <c r="C39" s="114"/>
      <c r="D39" s="114"/>
      <c r="E39" s="114"/>
      <c r="F39" s="114" t="s">
        <v>276</v>
      </c>
      <c r="G39" s="114"/>
      <c r="H39" s="114"/>
      <c r="I39" s="114"/>
      <c r="J39" s="114"/>
      <c r="K39" s="114"/>
      <c r="L39" s="114"/>
    </row>
    <row r="40" spans="1:23">
      <c r="A40" s="431" t="s">
        <v>447</v>
      </c>
      <c r="B40" s="10">
        <f>(B32/B6-1)*100</f>
        <v>-3.5113485463212801</v>
      </c>
      <c r="C40" s="10">
        <f t="shared" ref="C40:K40" si="4">(C32/C6-1)*100</f>
        <v>-10.143799018635347</v>
      </c>
      <c r="D40" s="10">
        <f t="shared" si="4"/>
        <v>-7.1438624834009534</v>
      </c>
      <c r="E40" s="10">
        <f t="shared" si="4"/>
        <v>-4.5001196618301158</v>
      </c>
      <c r="F40" s="10">
        <f t="shared" si="4"/>
        <v>10.586824259047155</v>
      </c>
      <c r="G40" s="10">
        <f t="shared" si="4"/>
        <v>-3.9029231451436996</v>
      </c>
      <c r="H40" s="10">
        <f t="shared" si="4"/>
        <v>-12.423959357656045</v>
      </c>
      <c r="I40" s="10">
        <f t="shared" si="4"/>
        <v>-8.5901285079566065</v>
      </c>
      <c r="J40" s="10">
        <f t="shared" si="4"/>
        <v>-3.9019492409271495</v>
      </c>
      <c r="K40" s="10">
        <f t="shared" si="4"/>
        <v>13.151267962526948</v>
      </c>
      <c r="L40" s="10"/>
    </row>
    <row r="41" spans="1:23">
      <c r="A41" s="4"/>
      <c r="B41" s="27"/>
    </row>
    <row r="42" spans="1:23" ht="12.75" customHeight="1">
      <c r="A42" s="1170" t="s">
        <v>199</v>
      </c>
      <c r="B42" s="1170"/>
      <c r="C42" s="1170"/>
      <c r="D42" s="1170"/>
      <c r="E42" s="1170"/>
      <c r="F42" s="1170"/>
      <c r="G42" s="1170"/>
      <c r="H42" s="1170"/>
      <c r="I42" s="1170"/>
      <c r="J42" s="1170"/>
      <c r="K42" s="1170"/>
    </row>
    <row r="43" spans="1:23" ht="38.450000000000003" customHeight="1">
      <c r="A43" s="1168" t="s">
        <v>233</v>
      </c>
      <c r="B43" s="1169"/>
      <c r="C43" s="1169"/>
      <c r="D43" s="1169"/>
      <c r="E43" s="1169"/>
      <c r="F43" s="1169"/>
      <c r="G43" s="1169"/>
      <c r="H43" s="1169"/>
      <c r="I43" s="1169"/>
      <c r="J43" s="1169"/>
      <c r="K43" s="1169"/>
      <c r="L43" s="1169"/>
    </row>
    <row r="44" spans="1:23" ht="26.25" customHeight="1">
      <c r="A44" s="1168" t="s">
        <v>537</v>
      </c>
      <c r="B44" s="1169"/>
      <c r="C44" s="1169"/>
      <c r="D44" s="1169"/>
      <c r="E44" s="1169"/>
      <c r="F44" s="1169"/>
      <c r="G44" s="1169"/>
      <c r="H44" s="1169"/>
      <c r="I44" s="1169"/>
      <c r="J44" s="1169"/>
      <c r="K44" s="1169"/>
      <c r="L44" s="1169"/>
    </row>
    <row r="45" spans="1:23" ht="46.5" customHeight="1">
      <c r="A45" s="1168" t="s">
        <v>443</v>
      </c>
      <c r="B45" s="1169"/>
      <c r="C45" s="1169"/>
      <c r="D45" s="1169"/>
      <c r="E45" s="1169"/>
      <c r="F45" s="1169"/>
      <c r="G45" s="1169"/>
      <c r="H45" s="1169"/>
      <c r="I45" s="1169"/>
      <c r="J45" s="1169"/>
      <c r="K45" s="1169"/>
      <c r="L45" s="1169"/>
      <c r="M45" s="650"/>
      <c r="N45" s="650"/>
      <c r="O45" s="650"/>
      <c r="P45" s="650"/>
    </row>
    <row r="46" spans="1:23" ht="15.75" customHeight="1">
      <c r="A46" s="1"/>
      <c r="B46" s="4"/>
      <c r="L46" s="4"/>
      <c r="M46" s="4"/>
    </row>
    <row r="47" spans="1:23">
      <c r="A47" s="4"/>
      <c r="B47" s="4"/>
      <c r="L47" s="4"/>
      <c r="M47" s="4"/>
    </row>
    <row r="48" spans="1:23">
      <c r="A48" s="4"/>
      <c r="B48" s="4"/>
      <c r="C48" s="4"/>
      <c r="D48" s="4"/>
      <c r="E48" s="4"/>
      <c r="F48" s="4"/>
      <c r="G48" s="4"/>
      <c r="H48" s="4"/>
      <c r="I48" s="4"/>
      <c r="J48" s="4"/>
      <c r="K48" s="4"/>
      <c r="L48" s="4"/>
      <c r="M48" s="4"/>
    </row>
    <row r="49" spans="1:13">
      <c r="A49" s="4"/>
      <c r="B49" s="4"/>
      <c r="C49" s="4"/>
      <c r="D49" s="4"/>
      <c r="E49" s="4"/>
      <c r="F49" s="4"/>
      <c r="G49" s="4"/>
      <c r="H49" s="4"/>
      <c r="I49" s="4"/>
      <c r="J49" s="4"/>
      <c r="K49" s="4"/>
      <c r="L49" s="4"/>
      <c r="M49" s="4"/>
    </row>
    <row r="50" spans="1:13" ht="15.75">
      <c r="A50" s="4"/>
      <c r="B50" s="28"/>
      <c r="C50" s="4"/>
      <c r="D50" s="4"/>
      <c r="E50" s="4"/>
      <c r="F50" s="4"/>
      <c r="G50" s="4"/>
      <c r="H50" s="4"/>
      <c r="I50" s="4"/>
      <c r="J50" s="4"/>
      <c r="K50" s="4"/>
      <c r="L50" s="4"/>
      <c r="M50" s="4"/>
    </row>
    <row r="51" spans="1:13">
      <c r="A51" s="37"/>
      <c r="B51" s="4"/>
      <c r="C51" s="37"/>
      <c r="D51" s="37"/>
      <c r="E51" s="37"/>
      <c r="F51" s="37"/>
      <c r="G51" s="37"/>
      <c r="H51" s="37"/>
      <c r="I51" s="29"/>
      <c r="J51" s="37"/>
      <c r="K51" s="37"/>
      <c r="L51" s="4"/>
      <c r="M51" s="4"/>
    </row>
    <row r="52" spans="1:13">
      <c r="A52" s="30"/>
      <c r="B52" s="1164"/>
      <c r="C52" s="1164"/>
      <c r="D52" s="1164"/>
      <c r="E52" s="1164"/>
      <c r="F52" s="1164"/>
      <c r="G52" s="1164"/>
      <c r="H52" s="1164"/>
      <c r="I52" s="1164"/>
      <c r="J52" s="1164"/>
      <c r="K52" s="1164"/>
      <c r="L52" s="4"/>
      <c r="M52" s="4"/>
    </row>
    <row r="53" spans="1:13">
      <c r="A53" s="38"/>
      <c r="B53" s="1164"/>
      <c r="C53" s="1164"/>
      <c r="D53" s="1164"/>
      <c r="E53" s="1164"/>
      <c r="F53" s="1164"/>
      <c r="G53" s="1164"/>
      <c r="H53" s="1164"/>
      <c r="I53" s="1164"/>
      <c r="J53" s="1164"/>
      <c r="K53" s="1164"/>
      <c r="L53" s="4"/>
      <c r="M53" s="4"/>
    </row>
    <row r="54" spans="1:13">
      <c r="A54" s="30"/>
      <c r="B54" s="31"/>
      <c r="C54" s="31"/>
      <c r="D54" s="31"/>
      <c r="E54" s="31"/>
      <c r="F54" s="31"/>
      <c r="G54" s="31"/>
      <c r="H54" s="31"/>
      <c r="I54" s="31"/>
      <c r="J54" s="31"/>
      <c r="K54" s="31"/>
      <c r="L54" s="4"/>
      <c r="M54" s="4"/>
    </row>
    <row r="55" spans="1:13">
      <c r="A55" s="30"/>
      <c r="B55" s="31"/>
      <c r="C55" s="31"/>
      <c r="D55" s="31"/>
      <c r="E55" s="31"/>
      <c r="F55" s="31"/>
      <c r="G55" s="31"/>
      <c r="H55" s="31"/>
      <c r="I55" s="31"/>
      <c r="J55" s="31"/>
      <c r="K55" s="31"/>
      <c r="L55" s="4"/>
      <c r="M55" s="4"/>
    </row>
    <row r="56" spans="1:13">
      <c r="A56" s="30"/>
      <c r="B56" s="31"/>
      <c r="C56" s="31"/>
      <c r="D56" s="31"/>
      <c r="E56" s="31"/>
      <c r="F56" s="31"/>
      <c r="G56" s="31"/>
      <c r="H56" s="31"/>
      <c r="I56" s="31"/>
      <c r="J56" s="31"/>
      <c r="K56" s="31"/>
      <c r="L56" s="4"/>
      <c r="M56" s="4"/>
    </row>
    <row r="57" spans="1:13">
      <c r="A57" s="30"/>
      <c r="B57" s="31"/>
      <c r="C57" s="31"/>
      <c r="D57" s="31"/>
      <c r="E57" s="31"/>
      <c r="F57" s="31"/>
      <c r="G57" s="31"/>
      <c r="H57" s="31"/>
      <c r="I57" s="31"/>
      <c r="J57" s="31"/>
      <c r="K57" s="31"/>
      <c r="L57" s="4"/>
      <c r="M57" s="4"/>
    </row>
    <row r="58" spans="1:13">
      <c r="A58" s="30"/>
      <c r="B58" s="31"/>
      <c r="C58" s="31"/>
      <c r="D58" s="31"/>
      <c r="E58" s="31"/>
      <c r="F58" s="31"/>
      <c r="G58" s="31"/>
      <c r="H58" s="31"/>
      <c r="I58" s="31"/>
      <c r="J58" s="31"/>
      <c r="K58" s="31"/>
      <c r="L58" s="4"/>
      <c r="M58" s="4"/>
    </row>
    <row r="59" spans="1:13">
      <c r="A59" s="30"/>
      <c r="B59" s="31"/>
      <c r="C59" s="31"/>
      <c r="D59" s="31"/>
      <c r="E59" s="31"/>
      <c r="F59" s="31"/>
      <c r="G59" s="31"/>
      <c r="H59" s="31"/>
      <c r="I59" s="31"/>
      <c r="J59" s="31"/>
      <c r="K59" s="31"/>
      <c r="L59" s="4"/>
      <c r="M59" s="4"/>
    </row>
    <row r="60" spans="1:13">
      <c r="A60" s="30"/>
      <c r="B60" s="31"/>
      <c r="C60" s="31"/>
      <c r="D60" s="31"/>
      <c r="E60" s="31"/>
      <c r="F60" s="31"/>
      <c r="G60" s="31"/>
      <c r="H60" s="31"/>
      <c r="I60" s="31"/>
      <c r="J60" s="31"/>
      <c r="K60" s="31"/>
      <c r="L60" s="4"/>
      <c r="M60" s="4"/>
    </row>
    <row r="61" spans="1:13">
      <c r="A61" s="30"/>
      <c r="B61" s="31"/>
      <c r="C61" s="31"/>
      <c r="D61" s="31"/>
      <c r="E61" s="31"/>
      <c r="F61" s="31"/>
      <c r="G61" s="31"/>
      <c r="H61" s="31"/>
      <c r="I61" s="31"/>
      <c r="J61" s="31"/>
      <c r="K61" s="31"/>
      <c r="L61" s="4"/>
      <c r="M61" s="4"/>
    </row>
    <row r="62" spans="1:13">
      <c r="A62" s="30"/>
      <c r="B62" s="31"/>
      <c r="C62" s="31"/>
      <c r="D62" s="31"/>
      <c r="E62" s="31"/>
      <c r="F62" s="31"/>
      <c r="G62" s="31"/>
      <c r="H62" s="31"/>
      <c r="I62" s="31"/>
      <c r="J62" s="31"/>
      <c r="K62" s="31"/>
      <c r="L62" s="4"/>
      <c r="M62" s="4"/>
    </row>
    <row r="63" spans="1:13">
      <c r="A63" s="30"/>
      <c r="B63" s="31"/>
      <c r="C63" s="31"/>
      <c r="D63" s="31"/>
      <c r="E63" s="31"/>
      <c r="F63" s="31"/>
      <c r="G63" s="31"/>
      <c r="H63" s="31"/>
      <c r="I63" s="31"/>
      <c r="J63" s="31"/>
      <c r="K63" s="31"/>
      <c r="L63" s="4"/>
      <c r="M63" s="4"/>
    </row>
    <row r="64" spans="1:13">
      <c r="A64" s="30"/>
      <c r="B64" s="31"/>
      <c r="C64" s="31"/>
      <c r="D64" s="31"/>
      <c r="E64" s="31"/>
      <c r="F64" s="31"/>
      <c r="G64" s="31"/>
      <c r="H64" s="31"/>
      <c r="I64" s="31"/>
      <c r="J64" s="31"/>
      <c r="K64" s="31"/>
      <c r="L64" s="4"/>
      <c r="M64" s="4"/>
    </row>
    <row r="65" spans="1:13">
      <c r="A65" s="30"/>
      <c r="B65" s="31"/>
      <c r="C65" s="31"/>
      <c r="D65" s="31"/>
      <c r="E65" s="31"/>
      <c r="F65" s="31"/>
      <c r="G65" s="31"/>
      <c r="H65" s="31"/>
      <c r="I65" s="31"/>
      <c r="J65" s="31"/>
      <c r="K65" s="31"/>
      <c r="L65" s="4"/>
      <c r="M65" s="4"/>
    </row>
    <row r="66" spans="1:13">
      <c r="A66" s="30"/>
      <c r="B66" s="31"/>
      <c r="C66" s="31"/>
      <c r="D66" s="31"/>
      <c r="E66" s="31"/>
      <c r="F66" s="31"/>
      <c r="G66" s="31"/>
      <c r="H66" s="31"/>
      <c r="I66" s="31"/>
      <c r="J66" s="31"/>
      <c r="K66" s="31"/>
      <c r="L66" s="4"/>
      <c r="M66" s="4"/>
    </row>
    <row r="67" spans="1:13">
      <c r="A67" s="30"/>
      <c r="B67" s="31"/>
      <c r="C67" s="31"/>
      <c r="D67" s="31"/>
      <c r="E67" s="31"/>
      <c r="F67" s="31"/>
      <c r="G67" s="31"/>
      <c r="H67" s="31"/>
      <c r="I67" s="31"/>
      <c r="J67" s="31"/>
      <c r="K67" s="31"/>
      <c r="L67" s="4"/>
      <c r="M67" s="4"/>
    </row>
    <row r="68" spans="1:13">
      <c r="A68" s="30"/>
      <c r="B68" s="31"/>
      <c r="C68" s="31"/>
      <c r="D68" s="31"/>
      <c r="E68" s="31"/>
      <c r="F68" s="31"/>
      <c r="G68" s="31"/>
      <c r="H68" s="31"/>
      <c r="I68" s="31"/>
      <c r="J68" s="31"/>
      <c r="K68" s="31"/>
      <c r="L68" s="4"/>
      <c r="M68" s="4"/>
    </row>
    <row r="69" spans="1:13">
      <c r="A69" s="30"/>
      <c r="B69" s="31"/>
      <c r="C69" s="31"/>
      <c r="D69" s="31"/>
      <c r="E69" s="31"/>
      <c r="F69" s="31"/>
      <c r="G69" s="31"/>
      <c r="H69" s="31"/>
      <c r="I69" s="31"/>
      <c r="J69" s="31"/>
      <c r="K69" s="31"/>
      <c r="L69" s="4"/>
      <c r="M69" s="4"/>
    </row>
    <row r="70" spans="1:13">
      <c r="A70" s="30"/>
      <c r="B70" s="31"/>
      <c r="C70" s="31"/>
      <c r="D70" s="31"/>
      <c r="E70" s="31"/>
      <c r="F70" s="31"/>
      <c r="G70" s="31"/>
      <c r="H70" s="31"/>
      <c r="I70" s="31"/>
      <c r="J70" s="31"/>
      <c r="K70" s="31"/>
      <c r="L70" s="4"/>
      <c r="M70" s="4"/>
    </row>
    <row r="71" spans="1:13">
      <c r="A71" s="30"/>
      <c r="B71" s="31"/>
      <c r="C71" s="31"/>
      <c r="D71" s="31"/>
      <c r="E71" s="31"/>
      <c r="F71" s="31"/>
      <c r="G71" s="31"/>
      <c r="H71" s="31"/>
      <c r="I71" s="31"/>
      <c r="J71" s="31"/>
      <c r="K71" s="31"/>
      <c r="L71" s="4"/>
      <c r="M71" s="4"/>
    </row>
    <row r="72" spans="1:13">
      <c r="A72" s="30"/>
      <c r="B72" s="31"/>
      <c r="C72" s="31"/>
      <c r="D72" s="31"/>
      <c r="E72" s="31"/>
      <c r="F72" s="31"/>
      <c r="G72" s="31"/>
      <c r="H72" s="31"/>
      <c r="I72" s="31"/>
      <c r="J72" s="31"/>
      <c r="K72" s="31"/>
      <c r="L72" s="4"/>
      <c r="M72" s="4"/>
    </row>
    <row r="73" spans="1:13">
      <c r="A73" s="30"/>
      <c r="B73" s="31"/>
      <c r="C73" s="31"/>
      <c r="D73" s="31"/>
      <c r="E73" s="31"/>
      <c r="F73" s="31"/>
      <c r="G73" s="31"/>
      <c r="H73" s="31"/>
      <c r="I73" s="31"/>
      <c r="J73" s="31"/>
      <c r="K73" s="31"/>
      <c r="L73" s="4"/>
      <c r="M73" s="4"/>
    </row>
    <row r="74" spans="1:13">
      <c r="A74" s="30"/>
      <c r="B74" s="31"/>
      <c r="C74" s="31"/>
      <c r="D74" s="31"/>
      <c r="E74" s="31"/>
      <c r="F74" s="31"/>
      <c r="G74" s="31"/>
      <c r="H74" s="31"/>
      <c r="I74" s="31"/>
      <c r="J74" s="31"/>
      <c r="K74" s="31"/>
      <c r="L74" s="4"/>
      <c r="M74" s="4"/>
    </row>
    <row r="75" spans="1:13">
      <c r="A75" s="30"/>
      <c r="B75" s="31"/>
      <c r="C75" s="31"/>
      <c r="D75" s="31"/>
      <c r="E75" s="31"/>
      <c r="F75" s="31"/>
      <c r="G75" s="31"/>
      <c r="H75" s="31"/>
      <c r="I75" s="31"/>
      <c r="J75" s="31"/>
      <c r="K75" s="31"/>
      <c r="L75" s="4"/>
      <c r="M75" s="4"/>
    </row>
    <row r="76" spans="1:13">
      <c r="A76" s="30"/>
      <c r="B76" s="32"/>
      <c r="C76" s="32"/>
      <c r="D76" s="32"/>
      <c r="E76" s="32"/>
      <c r="F76" s="32"/>
      <c r="G76" s="32"/>
      <c r="H76" s="32"/>
      <c r="I76" s="32"/>
      <c r="J76" s="32"/>
      <c r="K76" s="32"/>
      <c r="L76" s="4"/>
      <c r="M76" s="4"/>
    </row>
    <row r="77" spans="1:13">
      <c r="A77" s="30"/>
      <c r="B77" s="31"/>
      <c r="C77" s="31"/>
      <c r="D77" s="31"/>
      <c r="E77" s="31"/>
      <c r="F77" s="31"/>
      <c r="G77" s="31"/>
      <c r="H77" s="31"/>
      <c r="I77" s="31"/>
      <c r="J77" s="31"/>
      <c r="K77" s="31"/>
      <c r="L77" s="4"/>
      <c r="M77" s="4"/>
    </row>
    <row r="78" spans="1:13">
      <c r="A78" s="5"/>
      <c r="B78" s="33"/>
      <c r="C78" s="33"/>
      <c r="D78" s="33"/>
      <c r="E78" s="33"/>
      <c r="F78" s="33"/>
      <c r="G78" s="33"/>
      <c r="H78" s="33"/>
      <c r="I78" s="33"/>
      <c r="J78" s="33"/>
      <c r="K78" s="33"/>
      <c r="L78" s="4"/>
      <c r="M78" s="4"/>
    </row>
    <row r="79" spans="1:13">
      <c r="A79" s="5"/>
      <c r="B79" s="33"/>
      <c r="C79" s="33"/>
      <c r="D79" s="33"/>
      <c r="E79" s="33"/>
      <c r="F79" s="33"/>
      <c r="G79" s="33"/>
      <c r="H79" s="33"/>
      <c r="I79" s="33"/>
      <c r="J79" s="33"/>
      <c r="K79" s="33"/>
      <c r="L79" s="4"/>
      <c r="M79" s="4"/>
    </row>
    <row r="80" spans="1:13">
      <c r="A80" s="4"/>
      <c r="B80" s="4"/>
      <c r="C80" s="30"/>
      <c r="D80" s="30"/>
      <c r="E80" s="30"/>
      <c r="F80" s="30"/>
      <c r="G80" s="30"/>
      <c r="H80" s="30"/>
      <c r="I80" s="30"/>
      <c r="J80" s="30"/>
      <c r="K80" s="30"/>
      <c r="L80" s="4"/>
      <c r="M80" s="4"/>
    </row>
    <row r="81" spans="1:13">
      <c r="A81" s="4"/>
      <c r="B81" s="4"/>
      <c r="C81" s="30"/>
      <c r="D81" s="30"/>
      <c r="E81" s="30"/>
      <c r="F81" s="30"/>
      <c r="G81" s="30"/>
      <c r="H81" s="30"/>
      <c r="I81" s="30"/>
      <c r="J81" s="30"/>
      <c r="K81" s="30"/>
      <c r="L81" s="4"/>
      <c r="M81" s="4"/>
    </row>
    <row r="82" spans="1:13">
      <c r="A82" s="34"/>
      <c r="B82" s="4"/>
      <c r="C82" s="30"/>
      <c r="D82" s="30"/>
      <c r="E82" s="30"/>
      <c r="F82" s="30"/>
      <c r="G82" s="30"/>
      <c r="H82" s="30"/>
      <c r="I82" s="30"/>
      <c r="J82" s="30"/>
      <c r="K82" s="30"/>
      <c r="L82" s="4"/>
      <c r="M82" s="4"/>
    </row>
    <row r="83" spans="1:13">
      <c r="A83" s="34"/>
      <c r="B83" s="4"/>
      <c r="C83" s="30"/>
      <c r="D83" s="30"/>
      <c r="E83" s="30"/>
      <c r="F83" s="30"/>
      <c r="G83" s="30"/>
      <c r="H83" s="30"/>
      <c r="I83" s="30"/>
      <c r="J83" s="30"/>
      <c r="K83" s="30"/>
      <c r="L83" s="4"/>
      <c r="M83" s="4"/>
    </row>
    <row r="84" spans="1:13">
      <c r="A84" s="30"/>
      <c r="B84" s="4"/>
      <c r="C84" s="30"/>
      <c r="D84" s="30"/>
      <c r="E84" s="30"/>
      <c r="F84" s="30"/>
      <c r="G84" s="30"/>
      <c r="H84" s="30"/>
      <c r="I84" s="30"/>
      <c r="J84" s="30"/>
      <c r="K84" s="30"/>
      <c r="L84" s="4"/>
      <c r="M84" s="4"/>
    </row>
    <row r="85" spans="1:13">
      <c r="A85" s="30"/>
      <c r="B85" s="4"/>
      <c r="C85" s="31"/>
      <c r="D85" s="30"/>
      <c r="E85" s="30"/>
      <c r="F85" s="30"/>
      <c r="G85" s="30"/>
      <c r="H85" s="30"/>
      <c r="I85" s="30"/>
      <c r="J85" s="30"/>
      <c r="K85" s="30"/>
      <c r="L85" s="4"/>
      <c r="M85" s="4"/>
    </row>
    <row r="86" spans="1:13">
      <c r="A86" s="30"/>
      <c r="B86" s="4"/>
      <c r="C86" s="4"/>
      <c r="D86" s="4"/>
      <c r="E86" s="4"/>
      <c r="F86" s="4"/>
      <c r="G86" s="4"/>
      <c r="H86" s="4"/>
      <c r="I86" s="4"/>
      <c r="J86" s="4"/>
      <c r="K86" s="4"/>
      <c r="L86" s="4"/>
      <c r="M86" s="4"/>
    </row>
    <row r="87" spans="1:13">
      <c r="A87" s="30"/>
      <c r="B87" s="4"/>
      <c r="C87" s="4"/>
      <c r="D87" s="4"/>
      <c r="E87" s="4"/>
      <c r="F87" s="4"/>
      <c r="G87" s="4"/>
      <c r="H87" s="4"/>
      <c r="I87" s="4"/>
      <c r="J87" s="4"/>
      <c r="K87" s="4"/>
      <c r="L87" s="4"/>
      <c r="M87" s="4"/>
    </row>
    <row r="88" spans="1:13">
      <c r="A88" s="35"/>
      <c r="B88" s="4"/>
      <c r="C88" s="4"/>
      <c r="D88" s="4"/>
      <c r="E88" s="4"/>
      <c r="F88" s="4"/>
      <c r="G88" s="4"/>
      <c r="H88" s="4"/>
      <c r="I88" s="4"/>
      <c r="J88" s="4"/>
      <c r="K88" s="4"/>
      <c r="L88" s="4"/>
      <c r="M88" s="4"/>
    </row>
    <row r="89" spans="1:13">
      <c r="A89" s="35"/>
      <c r="B89" s="4"/>
      <c r="C89" s="4"/>
      <c r="D89" s="4"/>
      <c r="E89" s="4"/>
      <c r="F89" s="4"/>
      <c r="G89" s="4"/>
      <c r="H89" s="4"/>
      <c r="I89" s="4"/>
      <c r="J89" s="4"/>
      <c r="K89" s="4"/>
      <c r="L89" s="4"/>
      <c r="M89" s="4"/>
    </row>
    <row r="90" spans="1:13">
      <c r="A90" s="4"/>
      <c r="B90" s="4"/>
      <c r="C90" s="4"/>
      <c r="D90" s="4"/>
      <c r="E90" s="4"/>
      <c r="F90" s="4"/>
      <c r="G90" s="4"/>
      <c r="H90" s="4"/>
      <c r="I90" s="4"/>
      <c r="J90" s="4"/>
      <c r="K90" s="4"/>
      <c r="L90" s="4"/>
      <c r="M90" s="4"/>
    </row>
    <row r="91" spans="1:13">
      <c r="A91" s="4"/>
      <c r="B91" s="4"/>
      <c r="C91" s="4"/>
      <c r="D91" s="4"/>
      <c r="E91" s="4"/>
      <c r="F91" s="4"/>
      <c r="G91" s="4"/>
      <c r="H91" s="4"/>
      <c r="I91" s="4"/>
      <c r="J91" s="4"/>
      <c r="K91" s="4"/>
      <c r="L91" s="4"/>
      <c r="M91" s="4"/>
    </row>
    <row r="92" spans="1:13">
      <c r="A92" s="4"/>
      <c r="B92" s="4"/>
      <c r="C92" s="4"/>
      <c r="D92" s="4"/>
      <c r="E92" s="4"/>
      <c r="F92" s="4"/>
      <c r="G92" s="4"/>
      <c r="H92" s="4"/>
      <c r="I92" s="4"/>
      <c r="J92" s="4"/>
      <c r="K92" s="4"/>
      <c r="L92" s="4"/>
      <c r="M92" s="4"/>
    </row>
    <row r="93" spans="1:13">
      <c r="A93" s="4"/>
      <c r="B93" s="4"/>
      <c r="C93" s="4"/>
      <c r="D93" s="4"/>
      <c r="E93" s="4"/>
      <c r="F93" s="4"/>
      <c r="G93" s="4"/>
      <c r="H93" s="4"/>
      <c r="I93" s="4"/>
      <c r="J93" s="4"/>
      <c r="K93" s="4"/>
      <c r="L93" s="4"/>
      <c r="M93" s="4"/>
    </row>
    <row r="94" spans="1:13">
      <c r="A94" s="4"/>
      <c r="B94" s="4"/>
      <c r="C94" s="4"/>
      <c r="D94" s="4"/>
      <c r="E94" s="4"/>
      <c r="F94" s="4"/>
      <c r="G94" s="4"/>
      <c r="H94" s="4"/>
      <c r="I94" s="4"/>
      <c r="J94" s="4"/>
      <c r="K94" s="4"/>
      <c r="L94" s="4"/>
      <c r="M94" s="4"/>
    </row>
    <row r="95" spans="1:13">
      <c r="A95" s="4"/>
      <c r="B95" s="4"/>
      <c r="C95" s="4"/>
      <c r="D95" s="4"/>
      <c r="E95" s="4"/>
      <c r="F95" s="4"/>
      <c r="G95" s="4"/>
      <c r="H95" s="4"/>
      <c r="I95" s="4"/>
      <c r="J95" s="4"/>
      <c r="K95" s="4"/>
      <c r="L95" s="4"/>
      <c r="M95" s="4"/>
    </row>
    <row r="96" spans="1:13">
      <c r="A96" s="4"/>
      <c r="B96" s="4"/>
      <c r="C96" s="4"/>
      <c r="D96" s="4"/>
      <c r="E96" s="4"/>
      <c r="F96" s="4"/>
      <c r="G96" s="4"/>
      <c r="H96" s="4"/>
      <c r="I96" s="4"/>
      <c r="J96" s="4"/>
      <c r="K96" s="4"/>
      <c r="L96" s="4"/>
      <c r="M96" s="4"/>
    </row>
    <row r="97" spans="1:13">
      <c r="A97" s="4"/>
      <c r="B97" s="4"/>
      <c r="C97" s="4"/>
      <c r="D97" s="4"/>
      <c r="E97" s="4"/>
      <c r="F97" s="4"/>
      <c r="G97" s="4"/>
      <c r="H97" s="4"/>
      <c r="I97" s="4"/>
      <c r="J97" s="4"/>
      <c r="K97" s="4"/>
      <c r="L97" s="4"/>
      <c r="M97" s="4"/>
    </row>
    <row r="98" spans="1:13">
      <c r="A98" s="4"/>
      <c r="B98" s="4"/>
      <c r="C98" s="4"/>
      <c r="D98" s="4"/>
      <c r="E98" s="4"/>
      <c r="F98" s="4"/>
      <c r="G98" s="4"/>
      <c r="H98" s="4"/>
      <c r="I98" s="4"/>
      <c r="J98" s="4"/>
      <c r="K98" s="4"/>
      <c r="L98" s="4"/>
      <c r="M98" s="4"/>
    </row>
    <row r="99" spans="1:13">
      <c r="A99" s="4"/>
      <c r="B99" s="4"/>
      <c r="C99" s="4"/>
      <c r="D99" s="4"/>
      <c r="E99" s="4"/>
      <c r="F99" s="4"/>
      <c r="G99" s="4"/>
      <c r="H99" s="4"/>
      <c r="I99" s="4"/>
      <c r="J99" s="4"/>
      <c r="K99" s="4"/>
      <c r="L99" s="4"/>
      <c r="M99" s="4"/>
    </row>
    <row r="100" spans="1:13">
      <c r="A100" s="4"/>
      <c r="B100" s="4"/>
      <c r="C100" s="4"/>
      <c r="D100" s="4"/>
      <c r="E100" s="4"/>
      <c r="F100" s="4"/>
      <c r="G100" s="4"/>
      <c r="H100" s="4"/>
      <c r="I100" s="4"/>
      <c r="J100" s="4"/>
      <c r="K100" s="4"/>
    </row>
    <row r="101" spans="1:13">
      <c r="A101" s="4"/>
      <c r="B101" s="4"/>
      <c r="C101" s="4"/>
      <c r="D101" s="4"/>
      <c r="E101" s="4"/>
      <c r="F101" s="4"/>
      <c r="G101" s="4"/>
      <c r="H101" s="4"/>
      <c r="I101" s="4"/>
      <c r="J101" s="4"/>
      <c r="K101" s="4"/>
    </row>
  </sheetData>
  <mergeCells count="26">
    <mergeCell ref="B3:F3"/>
    <mergeCell ref="G3:K3"/>
    <mergeCell ref="J4:J5"/>
    <mergeCell ref="K4:K5"/>
    <mergeCell ref="F4:F5"/>
    <mergeCell ref="G4:G5"/>
    <mergeCell ref="H4:H5"/>
    <mergeCell ref="I4:I5"/>
    <mergeCell ref="B4:B5"/>
    <mergeCell ref="C4:C5"/>
    <mergeCell ref="A45:L45"/>
    <mergeCell ref="A43:L43"/>
    <mergeCell ref="D4:D5"/>
    <mergeCell ref="E4:E5"/>
    <mergeCell ref="D52:D53"/>
    <mergeCell ref="E52:E53"/>
    <mergeCell ref="A42:K42"/>
    <mergeCell ref="J52:J53"/>
    <mergeCell ref="K52:K53"/>
    <mergeCell ref="B52:B53"/>
    <mergeCell ref="G52:G53"/>
    <mergeCell ref="H52:H53"/>
    <mergeCell ref="C52:C53"/>
    <mergeCell ref="F52:F53"/>
    <mergeCell ref="I52:I53"/>
    <mergeCell ref="A44:L44"/>
  </mergeCells>
  <phoneticPr fontId="35" type="noConversion"/>
  <pageMargins left="0.75" right="0.75" top="1" bottom="1" header="0.5" footer="0.5"/>
  <pageSetup scale="73" orientation="landscape" horizontalDpi="300" verticalDpi="300" r:id="rId1"/>
  <headerFooter alignWithMargins="0"/>
</worksheet>
</file>

<file path=xl/worksheets/sheet112.xml><?xml version="1.0" encoding="utf-8"?>
<worksheet xmlns="http://schemas.openxmlformats.org/spreadsheetml/2006/main" xmlns:r="http://schemas.openxmlformats.org/officeDocument/2006/relationships">
  <sheetPr codeName="Sheet77">
    <pageSetUpPr fitToPage="1"/>
  </sheetPr>
  <dimension ref="A1:W101"/>
  <sheetViews>
    <sheetView view="pageBreakPreview" zoomScaleSheetLayoutView="10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1" width="9.28515625" style="1" bestFit="1" customWidth="1"/>
    <col min="12" max="12" width="8.85546875" style="1"/>
    <col min="13" max="13" width="16.140625" style="1" customWidth="1"/>
    <col min="14" max="16384" width="8.85546875" style="1"/>
  </cols>
  <sheetData>
    <row r="1" spans="1:23" ht="18.75">
      <c r="A1" s="4"/>
      <c r="B1" s="3" t="s">
        <v>2193</v>
      </c>
    </row>
    <row r="2" spans="1:23">
      <c r="A2" s="4"/>
      <c r="B2" s="4"/>
    </row>
    <row r="3" spans="1:23">
      <c r="A3" s="4"/>
      <c r="B3" s="1213" t="s">
        <v>173</v>
      </c>
      <c r="C3" s="1213"/>
      <c r="D3" s="1213"/>
      <c r="E3" s="1213"/>
      <c r="F3" s="1213"/>
      <c r="G3" s="1175" t="s">
        <v>172</v>
      </c>
      <c r="H3" s="1175"/>
      <c r="I3" s="1175"/>
      <c r="J3" s="1175"/>
      <c r="K3" s="1175"/>
    </row>
    <row r="4" spans="1:23" ht="12.75" customHeight="1">
      <c r="B4" s="1211" t="s">
        <v>167</v>
      </c>
      <c r="C4" s="1211" t="s">
        <v>168</v>
      </c>
      <c r="D4" s="1211" t="s">
        <v>169</v>
      </c>
      <c r="E4" s="1211" t="s">
        <v>170</v>
      </c>
      <c r="F4" s="1211" t="s">
        <v>171</v>
      </c>
      <c r="G4" s="1211" t="s">
        <v>167</v>
      </c>
      <c r="H4" s="1211" t="s">
        <v>168</v>
      </c>
      <c r="I4" s="1211" t="s">
        <v>169</v>
      </c>
      <c r="J4" s="1211" t="s">
        <v>170</v>
      </c>
      <c r="K4" s="1211" t="s">
        <v>171</v>
      </c>
    </row>
    <row r="5" spans="1:23" s="4" customFormat="1">
      <c r="A5" s="7"/>
      <c r="B5" s="1212"/>
      <c r="C5" s="1212"/>
      <c r="D5" s="1212"/>
      <c r="E5" s="1212"/>
      <c r="F5" s="1212"/>
      <c r="G5" s="1212"/>
      <c r="H5" s="1212"/>
      <c r="I5" s="1212"/>
      <c r="J5" s="1212"/>
      <c r="K5" s="1212"/>
    </row>
    <row r="6" spans="1:23">
      <c r="A6" s="2">
        <v>1981</v>
      </c>
      <c r="B6" s="977">
        <f>'[4]24c'!B6/SUM('[4]24c'!$B6:$F6)*100</f>
        <v>8.1632653061224492</v>
      </c>
      <c r="C6" s="36">
        <f>'[4]24c'!C6/SUM('[4]24c'!$B6:$F6)*100</f>
        <v>14.030612244897958</v>
      </c>
      <c r="D6" s="36">
        <f>'[4]24c'!D6/SUM('[4]24c'!$B6:$F6)*100</f>
        <v>18.239795918367346</v>
      </c>
      <c r="E6" s="36">
        <f>'[4]24c'!E6/SUM('[4]24c'!$B6:$F6)*100</f>
        <v>23.596938775510203</v>
      </c>
      <c r="F6" s="36">
        <f>'[4]24c'!F6/SUM('[4]24c'!$B6:$F6)*100</f>
        <v>35.969387755102041</v>
      </c>
      <c r="G6" s="36">
        <f>'[4]24c'!G6/SUM('[4]24c'!$G6:$K6)*100</f>
        <v>8.5381630012936611</v>
      </c>
      <c r="H6" s="36">
        <f>'[4]24c'!H6/SUM('[4]24c'!$G6:$K6)*100</f>
        <v>14.941785252263905</v>
      </c>
      <c r="I6" s="36">
        <f>'[4]24c'!I6/SUM('[4]24c'!$G6:$K6)*100</f>
        <v>18.952134540750322</v>
      </c>
      <c r="J6" s="36">
        <f>'[4]24c'!J6/SUM('[4]24c'!$G6:$K6)*100</f>
        <v>23.835705045278139</v>
      </c>
      <c r="K6" s="36">
        <f>'[4]24c'!K6/SUM('[4]24c'!$G6:$K6)*100</f>
        <v>33.732212160413972</v>
      </c>
      <c r="M6" s="6"/>
      <c r="N6" s="6"/>
      <c r="O6" s="6"/>
      <c r="P6" s="6"/>
      <c r="Q6" s="6"/>
      <c r="R6" s="6"/>
      <c r="S6" s="6"/>
      <c r="T6" s="6"/>
      <c r="U6" s="6"/>
      <c r="V6" s="6"/>
      <c r="W6" s="6"/>
    </row>
    <row r="7" spans="1:23">
      <c r="A7" s="2">
        <v>1982</v>
      </c>
      <c r="B7" s="977">
        <f>'[4]24c'!B7/SUM('[4]24c'!$B7:$F7)*100</f>
        <v>8.0339647289353362</v>
      </c>
      <c r="C7" s="36">
        <f>'[4]24c'!C7/SUM('[4]24c'!$B7:$F7)*100</f>
        <v>13.977792292619204</v>
      </c>
      <c r="D7" s="36">
        <f>'[4]24c'!D7/SUM('[4]24c'!$B7:$F7)*100</f>
        <v>18.22338340953625</v>
      </c>
      <c r="E7" s="36">
        <f>'[4]24c'!E7/SUM('[4]24c'!$B7:$F7)*100</f>
        <v>23.383409536250817</v>
      </c>
      <c r="F7" s="36">
        <f>'[4]24c'!F7/SUM('[4]24c'!$B7:$F7)*100</f>
        <v>36.381450032658393</v>
      </c>
      <c r="G7" s="36">
        <f>'[4]24c'!G7/SUM('[4]24c'!$G7:$K7)*100</f>
        <v>8.5078099036224657</v>
      </c>
      <c r="H7" s="36">
        <f>'[4]24c'!H7/SUM('[4]24c'!$G7:$K7)*100</f>
        <v>14.65603190428714</v>
      </c>
      <c r="I7" s="36">
        <f>'[4]24c'!I7/SUM('[4]24c'!$G7:$K7)*100</f>
        <v>19.042871385842471</v>
      </c>
      <c r="J7" s="36">
        <f>'[4]24c'!J7/SUM('[4]24c'!$G7:$K7)*100</f>
        <v>23.595879029577933</v>
      </c>
      <c r="K7" s="36">
        <f>'[4]24c'!K7/SUM('[4]24c'!$G7:$K7)*100</f>
        <v>34.197407776669991</v>
      </c>
      <c r="M7" s="6"/>
      <c r="N7" s="6"/>
      <c r="O7" s="6"/>
      <c r="P7" s="6"/>
      <c r="Q7" s="6"/>
      <c r="R7" s="6"/>
      <c r="S7" s="6"/>
      <c r="T7" s="6"/>
      <c r="U7" s="6"/>
      <c r="V7" s="6"/>
      <c r="W7" s="6"/>
    </row>
    <row r="8" spans="1:23">
      <c r="A8" s="2">
        <v>1983</v>
      </c>
      <c r="B8" s="977">
        <f>'[4]24c'!B8/SUM('[4]24c'!$B8:$F8)*100</f>
        <v>7.8755790866975515</v>
      </c>
      <c r="C8" s="36">
        <f>'[4]24c'!C8/SUM('[4]24c'!$B8:$F8)*100</f>
        <v>13.633355393778954</v>
      </c>
      <c r="D8" s="36">
        <f>'[4]24c'!D8/SUM('[4]24c'!$B8:$F8)*100</f>
        <v>18.067504963600264</v>
      </c>
      <c r="E8" s="36">
        <f>'[4]24c'!E8/SUM('[4]24c'!$B8:$F8)*100</f>
        <v>23.560555923229646</v>
      </c>
      <c r="F8" s="36">
        <f>'[4]24c'!F8/SUM('[4]24c'!$B8:$F8)*100</f>
        <v>36.863004632693581</v>
      </c>
      <c r="G8" s="36">
        <f>'[4]24c'!G8/SUM('[4]24c'!$G8:$K8)*100</f>
        <v>8.3163611676849971</v>
      </c>
      <c r="H8" s="36">
        <f>'[4]24c'!H8/SUM('[4]24c'!$G8:$K8)*100</f>
        <v>14.426340801086218</v>
      </c>
      <c r="I8" s="36">
        <f>'[4]24c'!I8/SUM('[4]24c'!$G8:$K8)*100</f>
        <v>18.839103869653766</v>
      </c>
      <c r="J8" s="36">
        <f>'[4]24c'!J8/SUM('[4]24c'!$G8:$K8)*100</f>
        <v>23.727087576374746</v>
      </c>
      <c r="K8" s="36">
        <f>'[4]24c'!K8/SUM('[4]24c'!$G8:$K8)*100</f>
        <v>34.691106585200274</v>
      </c>
      <c r="M8" s="6"/>
      <c r="N8" s="6"/>
      <c r="O8" s="6"/>
      <c r="P8" s="6"/>
      <c r="Q8" s="6"/>
      <c r="R8" s="6"/>
      <c r="S8" s="6"/>
      <c r="T8" s="6"/>
      <c r="U8" s="6"/>
      <c r="V8" s="6"/>
      <c r="W8" s="6"/>
    </row>
    <row r="9" spans="1:23">
      <c r="A9" s="2">
        <v>1984</v>
      </c>
      <c r="B9" s="977">
        <f>'[4]24c'!B9/SUM('[4]24c'!$B9:$F9)*100</f>
        <v>7.8083989501312328</v>
      </c>
      <c r="C9" s="36">
        <f>'[4]24c'!C9/SUM('[4]24c'!$B9:$F9)*100</f>
        <v>13.84514435695538</v>
      </c>
      <c r="D9" s="36">
        <f>'[4]24c'!D9/SUM('[4]24c'!$B9:$F9)*100</f>
        <v>18.241469816272964</v>
      </c>
      <c r="E9" s="36">
        <f>'[4]24c'!E9/SUM('[4]24c'!$B9:$F9)*100</f>
        <v>23.4251968503937</v>
      </c>
      <c r="F9" s="36">
        <f>'[4]24c'!F9/SUM('[4]24c'!$B9:$F9)*100</f>
        <v>36.679790026246714</v>
      </c>
      <c r="G9" s="36">
        <f>'[4]24c'!G9/SUM('[4]24c'!$G9:$K9)*100</f>
        <v>8.2293423271500838</v>
      </c>
      <c r="H9" s="36">
        <f>'[4]24c'!H9/SUM('[4]24c'!$G9:$K9)*100</f>
        <v>14.468802698145025</v>
      </c>
      <c r="I9" s="36">
        <f>'[4]24c'!I9/SUM('[4]24c'!$G9:$K9)*100</f>
        <v>19.05564924114671</v>
      </c>
      <c r="J9" s="36">
        <f>'[4]24c'!J9/SUM('[4]24c'!$G9:$K9)*100</f>
        <v>23.541315345699832</v>
      </c>
      <c r="K9" s="36">
        <f>'[4]24c'!K9/SUM('[4]24c'!$G9:$K9)*100</f>
        <v>34.704890387858342</v>
      </c>
      <c r="M9" s="6"/>
      <c r="N9" s="6"/>
      <c r="O9" s="6"/>
      <c r="P9" s="6"/>
      <c r="Q9" s="6"/>
      <c r="R9" s="6"/>
      <c r="S9" s="6"/>
      <c r="T9" s="6"/>
      <c r="U9" s="6"/>
      <c r="V9" s="6"/>
      <c r="W9" s="6"/>
    </row>
    <row r="10" spans="1:23">
      <c r="A10" s="2">
        <v>1985</v>
      </c>
      <c r="B10" s="977">
        <f>'[4]24c'!B10/SUM('[4]24c'!$B10:$F10)*100</f>
        <v>8.0179602309172555</v>
      </c>
      <c r="C10" s="36">
        <f>'[4]24c'!C10/SUM('[4]24c'!$B10:$F10)*100</f>
        <v>13.855035279025016</v>
      </c>
      <c r="D10" s="36">
        <f>'[4]24c'!D10/SUM('[4]24c'!$B10:$F10)*100</f>
        <v>18.280949326491342</v>
      </c>
      <c r="E10" s="36">
        <f>'[4]24c'!E10/SUM('[4]24c'!$B10:$F10)*100</f>
        <v>23.412443874278381</v>
      </c>
      <c r="F10" s="36">
        <f>'[4]24c'!F10/SUM('[4]24c'!$B10:$F10)*100</f>
        <v>36.433611289288002</v>
      </c>
      <c r="G10" s="36">
        <f>'[4]24c'!G10/SUM('[4]24c'!$G10:$K10)*100</f>
        <v>8.3913764510779441</v>
      </c>
      <c r="H10" s="36">
        <f>'[4]24c'!H10/SUM('[4]24c'!$G10:$K10)*100</f>
        <v>14.560530679933665</v>
      </c>
      <c r="I10" s="36">
        <f>'[4]24c'!I10/SUM('[4]24c'!$G10:$K10)*100</f>
        <v>18.905472636815919</v>
      </c>
      <c r="J10" s="36">
        <f>'[4]24c'!J10/SUM('[4]24c'!$G10:$K10)*100</f>
        <v>23.548922056384743</v>
      </c>
      <c r="K10" s="36">
        <f>'[4]24c'!K10/SUM('[4]24c'!$G10:$K10)*100</f>
        <v>34.593698175787729</v>
      </c>
      <c r="M10" s="6"/>
      <c r="N10" s="6"/>
      <c r="O10" s="6"/>
      <c r="P10" s="6"/>
      <c r="Q10" s="6"/>
      <c r="R10" s="6"/>
      <c r="S10" s="6"/>
      <c r="T10" s="6"/>
      <c r="U10" s="6"/>
      <c r="V10" s="6"/>
      <c r="W10" s="6"/>
    </row>
    <row r="11" spans="1:23">
      <c r="A11" s="2">
        <v>1986</v>
      </c>
      <c r="B11" s="977">
        <f>'[4]24c'!B11/SUM('[4]24c'!$B11:$F11)*100</f>
        <v>8.2330588980367327</v>
      </c>
      <c r="C11" s="36">
        <f>'[4]24c'!C11/SUM('[4]24c'!$B11:$F11)*100</f>
        <v>13.869537682077265</v>
      </c>
      <c r="D11" s="36">
        <f>'[4]24c'!D11/SUM('[4]24c'!$B11:$F11)*100</f>
        <v>18.176060797973399</v>
      </c>
      <c r="E11" s="36">
        <f>'[4]24c'!E11/SUM('[4]24c'!$B11:$F11)*100</f>
        <v>23.242558581380621</v>
      </c>
      <c r="F11" s="36">
        <f>'[4]24c'!F11/SUM('[4]24c'!$B11:$F11)*100</f>
        <v>36.478784040531984</v>
      </c>
      <c r="G11" s="36">
        <f>'[4]24c'!G11/SUM('[4]24c'!$G11:$K11)*100</f>
        <v>8.5357846355876568</v>
      </c>
      <c r="H11" s="36">
        <f>'[4]24c'!H11/SUM('[4]24c'!$G11:$K11)*100</f>
        <v>14.379514116874589</v>
      </c>
      <c r="I11" s="36">
        <f>'[4]24c'!I11/SUM('[4]24c'!$G11:$K11)*100</f>
        <v>18.844386080105053</v>
      </c>
      <c r="J11" s="36">
        <f>'[4]24c'!J11/SUM('[4]24c'!$G11:$K11)*100</f>
        <v>23.440577806959947</v>
      </c>
      <c r="K11" s="36">
        <f>'[4]24c'!K11/SUM('[4]24c'!$G11:$K11)*100</f>
        <v>34.799737360472747</v>
      </c>
      <c r="M11" s="6"/>
      <c r="N11" s="6"/>
      <c r="O11" s="6"/>
      <c r="P11" s="6"/>
      <c r="Q11" s="6"/>
      <c r="R11" s="6"/>
      <c r="S11" s="6"/>
      <c r="T11" s="6"/>
      <c r="U11" s="6"/>
      <c r="V11" s="6"/>
      <c r="W11" s="6"/>
    </row>
    <row r="12" spans="1:23">
      <c r="A12" s="2">
        <v>1987</v>
      </c>
      <c r="B12" s="977">
        <f>'[4]24c'!B12/SUM('[4]24c'!$B12:$F12)*100</f>
        <v>8.3491461100569264</v>
      </c>
      <c r="C12" s="36">
        <f>'[4]24c'!C12/SUM('[4]24c'!$B12:$F12)*100</f>
        <v>13.915243516761544</v>
      </c>
      <c r="D12" s="36">
        <f>'[4]24c'!D12/SUM('[4]24c'!$B12:$F12)*100</f>
        <v>18.153067678684376</v>
      </c>
      <c r="E12" s="36">
        <f>'[4]24c'!E12/SUM('[4]24c'!$B12:$F12)*100</f>
        <v>23.339658444022771</v>
      </c>
      <c r="F12" s="36">
        <f>'[4]24c'!F12/SUM('[4]24c'!$B12:$F12)*100</f>
        <v>36.242884250474383</v>
      </c>
      <c r="G12" s="36">
        <f>'[4]24c'!G12/SUM('[4]24c'!$G12:$K12)*100</f>
        <v>8.6314407614046598</v>
      </c>
      <c r="H12" s="36">
        <f>'[4]24c'!H12/SUM('[4]24c'!$G12:$K12)*100</f>
        <v>14.24351821463735</v>
      </c>
      <c r="I12" s="36">
        <f>'[4]24c'!I12/SUM('[4]24c'!$G12:$K12)*100</f>
        <v>18.871020676074828</v>
      </c>
      <c r="J12" s="36">
        <f>'[4]24c'!J12/SUM('[4]24c'!$G12:$K12)*100</f>
        <v>23.564161470298657</v>
      </c>
      <c r="K12" s="36">
        <f>'[4]24c'!K12/SUM('[4]24c'!$G12:$K12)*100</f>
        <v>34.689858877584513</v>
      </c>
      <c r="M12" s="6"/>
      <c r="N12" s="6"/>
      <c r="O12" s="6"/>
      <c r="P12" s="6"/>
      <c r="Q12" s="6"/>
      <c r="R12" s="6"/>
      <c r="S12" s="6"/>
      <c r="T12" s="6"/>
      <c r="U12" s="6"/>
      <c r="V12" s="6"/>
      <c r="W12" s="6"/>
    </row>
    <row r="13" spans="1:23">
      <c r="A13" s="2">
        <v>1988</v>
      </c>
      <c r="B13" s="977">
        <f>'[4]24c'!B13/SUM('[4]24c'!$B13:$F13)*100</f>
        <v>8.6047940995697605</v>
      </c>
      <c r="C13" s="36">
        <f>'[4]24c'!C13/SUM('[4]24c'!$B13:$F13)*100</f>
        <v>14.013521819299324</v>
      </c>
      <c r="D13" s="36">
        <f>'[4]24c'!D13/SUM('[4]24c'!$B13:$F13)*100</f>
        <v>18.254456054087278</v>
      </c>
      <c r="E13" s="36">
        <f>'[4]24c'!E13/SUM('[4]24c'!$B13:$F13)*100</f>
        <v>23.294406883835279</v>
      </c>
      <c r="F13" s="36">
        <f>'[4]24c'!F13/SUM('[4]24c'!$B13:$F13)*100</f>
        <v>35.832821143208363</v>
      </c>
      <c r="G13" s="36">
        <f>'[4]24c'!G13/SUM('[4]24c'!$G13:$K13)*100</f>
        <v>8.7781350482315119</v>
      </c>
      <c r="H13" s="36">
        <f>'[4]24c'!H13/SUM('[4]24c'!$G13:$K13)*100</f>
        <v>14.533762057877814</v>
      </c>
      <c r="I13" s="36">
        <f>'[4]24c'!I13/SUM('[4]24c'!$G13:$K13)*100</f>
        <v>18.971061093247588</v>
      </c>
      <c r="J13" s="36">
        <f>'[4]24c'!J13/SUM('[4]24c'!$G13:$K13)*100</f>
        <v>23.5048231511254</v>
      </c>
      <c r="K13" s="36">
        <f>'[4]24c'!K13/SUM('[4]24c'!$G13:$K13)*100</f>
        <v>34.212218649517681</v>
      </c>
      <c r="M13" s="6"/>
      <c r="N13" s="6"/>
      <c r="O13" s="6"/>
      <c r="P13" s="6"/>
      <c r="Q13" s="6"/>
      <c r="R13" s="6"/>
      <c r="S13" s="6"/>
      <c r="T13" s="6"/>
      <c r="U13" s="6"/>
      <c r="V13" s="6"/>
      <c r="W13" s="6"/>
    </row>
    <row r="14" spans="1:23">
      <c r="A14" s="2">
        <v>1989</v>
      </c>
      <c r="B14" s="977">
        <f>'[4]24c'!B14/SUM('[4]24c'!$B14:$F14)*100</f>
        <v>8.4939759036144569</v>
      </c>
      <c r="C14" s="36">
        <f>'[4]24c'!C14/SUM('[4]24c'!$B14:$F14)*100</f>
        <v>14.096385542168674</v>
      </c>
      <c r="D14" s="36">
        <f>'[4]24c'!D14/SUM('[4]24c'!$B14:$F14)*100</f>
        <v>18.192771084337352</v>
      </c>
      <c r="E14" s="36">
        <f>'[4]24c'!E14/SUM('[4]24c'!$B14:$F14)*100</f>
        <v>23.253012048192769</v>
      </c>
      <c r="F14" s="36">
        <f>'[4]24c'!F14/SUM('[4]24c'!$B14:$F14)*100</f>
        <v>35.963855421686745</v>
      </c>
      <c r="G14" s="36">
        <f>'[4]24c'!G14/SUM('[4]24c'!$G14:$K14)*100</f>
        <v>8.6765168186104997</v>
      </c>
      <c r="H14" s="36">
        <f>'[4]24c'!H14/SUM('[4]24c'!$G14:$K14)*100</f>
        <v>14.618044640050298</v>
      </c>
      <c r="I14" s="36">
        <f>'[4]24c'!I14/SUM('[4]24c'!$G14:$K14)*100</f>
        <v>18.924866394215655</v>
      </c>
      <c r="J14" s="36">
        <f>'[4]24c'!J14/SUM('[4]24c'!$G14:$K14)*100</f>
        <v>23.451744734360265</v>
      </c>
      <c r="K14" s="36">
        <f>'[4]24c'!K14/SUM('[4]24c'!$G14:$K14)*100</f>
        <v>34.328827412763282</v>
      </c>
      <c r="M14" s="6"/>
      <c r="N14" s="6"/>
      <c r="O14" s="6"/>
      <c r="P14" s="6"/>
      <c r="Q14" s="6"/>
      <c r="R14" s="6"/>
      <c r="S14" s="6"/>
      <c r="T14" s="6"/>
      <c r="U14" s="6"/>
      <c r="V14" s="6"/>
      <c r="W14" s="6"/>
    </row>
    <row r="15" spans="1:23">
      <c r="A15" s="2">
        <v>1990</v>
      </c>
      <c r="B15" s="977">
        <f>'[4]24c'!B15/SUM('[4]24c'!$B15:$F15)*100</f>
        <v>8.2038533250466124</v>
      </c>
      <c r="C15" s="36">
        <f>'[4]24c'!C15/SUM('[4]24c'!$B15:$F15)*100</f>
        <v>14.045991298943445</v>
      </c>
      <c r="D15" s="36">
        <f>'[4]24c'!D15/SUM('[4]24c'!$B15:$F15)*100</f>
        <v>18.334369173399629</v>
      </c>
      <c r="E15" s="36">
        <f>'[4]24c'!E15/SUM('[4]24c'!$B15:$F15)*100</f>
        <v>23.492852703542574</v>
      </c>
      <c r="F15" s="36">
        <f>'[4]24c'!F15/SUM('[4]24c'!$B15:$F15)*100</f>
        <v>35.922933499067746</v>
      </c>
      <c r="G15" s="36">
        <f>'[4]24c'!G15/SUM('[4]24c'!$G15:$K15)*100</f>
        <v>8.3984375</v>
      </c>
      <c r="H15" s="36">
        <f>'[4]24c'!H15/SUM('[4]24c'!$G15:$K15)*100</f>
        <v>14.420572916666666</v>
      </c>
      <c r="I15" s="36">
        <f>'[4]24c'!I15/SUM('[4]24c'!$G15:$K15)*100</f>
        <v>18.880208333333336</v>
      </c>
      <c r="J15" s="36">
        <f>'[4]24c'!J15/SUM('[4]24c'!$G15:$K15)*100</f>
        <v>23.73046875</v>
      </c>
      <c r="K15" s="36">
        <f>'[4]24c'!K15/SUM('[4]24c'!$G15:$K15)*100</f>
        <v>34.5703125</v>
      </c>
      <c r="M15" s="6"/>
      <c r="N15" s="6"/>
      <c r="O15" s="6"/>
      <c r="P15" s="6"/>
      <c r="Q15" s="6"/>
      <c r="R15" s="6"/>
      <c r="S15" s="6"/>
      <c r="T15" s="6"/>
      <c r="U15" s="6"/>
      <c r="V15" s="6"/>
      <c r="W15" s="6"/>
    </row>
    <row r="16" spans="1:23">
      <c r="A16" s="2">
        <v>1991</v>
      </c>
      <c r="B16" s="977">
        <f>'[4]24c'!B16/SUM('[4]24c'!$B16:$F16)*100</f>
        <v>8.1946222791293213</v>
      </c>
      <c r="C16" s="36">
        <f>'[4]24c'!C16/SUM('[4]24c'!$B16:$F16)*100</f>
        <v>13.764404609475031</v>
      </c>
      <c r="D16" s="36">
        <f>'[4]24c'!D16/SUM('[4]24c'!$B16:$F16)*100</f>
        <v>17.989756722151089</v>
      </c>
      <c r="E16" s="36">
        <f>'[4]24c'!E16/SUM('[4]24c'!$B16:$F16)*100</f>
        <v>23.30345710627401</v>
      </c>
      <c r="F16" s="36">
        <f>'[4]24c'!F16/SUM('[4]24c'!$B16:$F16)*100</f>
        <v>36.747759282970549</v>
      </c>
      <c r="G16" s="36">
        <f>'[4]24c'!G16/SUM('[4]24c'!$G16:$K16)*100</f>
        <v>8.4956346541302885</v>
      </c>
      <c r="H16" s="36">
        <f>'[4]24c'!H16/SUM('[4]24c'!$G16:$K16)*100</f>
        <v>14.237743451981194</v>
      </c>
      <c r="I16" s="36">
        <f>'[4]24c'!I16/SUM('[4]24c'!$G16:$K16)*100</f>
        <v>18.569509738079248</v>
      </c>
      <c r="J16" s="36">
        <f>'[4]24c'!J16/SUM('[4]24c'!$G16:$K16)*100</f>
        <v>23.472128945601074</v>
      </c>
      <c r="K16" s="36">
        <f>'[4]24c'!K16/SUM('[4]24c'!$G16:$K16)*100</f>
        <v>35.224983210208194</v>
      </c>
      <c r="M16" s="6"/>
      <c r="N16" s="6"/>
      <c r="O16" s="6"/>
      <c r="P16" s="6"/>
      <c r="Q16" s="6"/>
      <c r="R16" s="6"/>
      <c r="S16" s="6"/>
      <c r="T16" s="6"/>
      <c r="U16" s="6"/>
      <c r="V16" s="6"/>
      <c r="W16" s="6"/>
    </row>
    <row r="17" spans="1:23">
      <c r="A17" s="2">
        <v>1992</v>
      </c>
      <c r="B17" s="977">
        <f>'[4]24c'!B17/SUM('[4]24c'!$B17:$F17)*100</f>
        <v>7.9821200510855688</v>
      </c>
      <c r="C17" s="36">
        <f>'[4]24c'!C17/SUM('[4]24c'!$B17:$F17)*100</f>
        <v>13.856960408684547</v>
      </c>
      <c r="D17" s="36">
        <f>'[4]24c'!D17/SUM('[4]24c'!$B17:$F17)*100</f>
        <v>18.135376756066414</v>
      </c>
      <c r="E17" s="36">
        <f>'[4]24c'!E17/SUM('[4]24c'!$B17:$F17)*100</f>
        <v>23.371647509578544</v>
      </c>
      <c r="F17" s="36">
        <f>'[4]24c'!F17/SUM('[4]24c'!$B17:$F17)*100</f>
        <v>36.653895274584933</v>
      </c>
      <c r="G17" s="36">
        <f>'[4]24c'!G17/SUM('[4]24c'!$G17:$K17)*100</f>
        <v>8.1481481481481488</v>
      </c>
      <c r="H17" s="36">
        <f>'[4]24c'!H17/SUM('[4]24c'!$G17:$K17)*100</f>
        <v>14.444444444444443</v>
      </c>
      <c r="I17" s="36">
        <f>'[4]24c'!I17/SUM('[4]24c'!$G17:$K17)*100</f>
        <v>18.754208754208754</v>
      </c>
      <c r="J17" s="36">
        <f>'[4]24c'!J17/SUM('[4]24c'!$G17:$K17)*100</f>
        <v>23.501683501683502</v>
      </c>
      <c r="K17" s="36">
        <f>'[4]24c'!K17/SUM('[4]24c'!$G17:$K17)*100</f>
        <v>35.151515151515149</v>
      </c>
      <c r="M17" s="6"/>
      <c r="N17" s="6"/>
      <c r="O17" s="6"/>
      <c r="P17" s="6"/>
      <c r="Q17" s="6"/>
      <c r="R17" s="6"/>
      <c r="S17" s="6"/>
      <c r="T17" s="6"/>
      <c r="U17" s="6"/>
      <c r="V17" s="6"/>
      <c r="W17" s="6"/>
    </row>
    <row r="18" spans="1:23">
      <c r="A18" s="2">
        <v>1993</v>
      </c>
      <c r="B18" s="977">
        <f>'[4]24c'!B18/SUM('[4]24c'!$B18:$F18)*100</f>
        <v>8.1913499344692013</v>
      </c>
      <c r="C18" s="36">
        <f>'[4]24c'!C18/SUM('[4]24c'!$B18:$F18)*100</f>
        <v>13.826998689384009</v>
      </c>
      <c r="D18" s="36">
        <f>'[4]24c'!D18/SUM('[4]24c'!$B18:$F18)*100</f>
        <v>18.152031454783749</v>
      </c>
      <c r="E18" s="36">
        <f>'[4]24c'!E18/SUM('[4]24c'!$B18:$F18)*100</f>
        <v>23.460026212319789</v>
      </c>
      <c r="F18" s="36">
        <f>'[4]24c'!F18/SUM('[4]24c'!$B18:$F18)*100</f>
        <v>36.369593709043251</v>
      </c>
      <c r="G18" s="36">
        <f>'[4]24c'!G18/SUM('[4]24c'!$G18:$K18)*100</f>
        <v>8.5055096418732781</v>
      </c>
      <c r="H18" s="36">
        <f>'[4]24c'!H18/SUM('[4]24c'!$G18:$K18)*100</f>
        <v>14.152892561983471</v>
      </c>
      <c r="I18" s="36">
        <f>'[4]24c'!I18/SUM('[4]24c'!$G18:$K18)*100</f>
        <v>18.836088154269973</v>
      </c>
      <c r="J18" s="36">
        <f>'[4]24c'!J18/SUM('[4]24c'!$G18:$K18)*100</f>
        <v>23.863636363636363</v>
      </c>
      <c r="K18" s="36">
        <f>'[4]24c'!K18/SUM('[4]24c'!$G18:$K18)*100</f>
        <v>34.641873278236915</v>
      </c>
      <c r="M18" s="6"/>
      <c r="N18" s="6"/>
      <c r="O18" s="6"/>
      <c r="P18" s="6"/>
      <c r="Q18" s="6"/>
      <c r="R18" s="6"/>
      <c r="S18" s="6"/>
      <c r="T18" s="6"/>
      <c r="U18" s="6"/>
      <c r="V18" s="6"/>
      <c r="W18" s="6"/>
    </row>
    <row r="19" spans="1:23">
      <c r="A19" s="2">
        <v>1994</v>
      </c>
      <c r="B19" s="977">
        <f>'[4]24c'!B19/SUM('[4]24c'!$B19:$F19)*100</f>
        <v>8.1659105638366807</v>
      </c>
      <c r="C19" s="36">
        <f>'[4]24c'!C19/SUM('[4]24c'!$B19:$F19)*100</f>
        <v>13.869086195722618</v>
      </c>
      <c r="D19" s="36">
        <f>'[4]24c'!D19/SUM('[4]24c'!$B19:$F19)*100</f>
        <v>18.146467919637072</v>
      </c>
      <c r="E19" s="36">
        <f>'[4]24c'!E19/SUM('[4]24c'!$B19:$F19)*100</f>
        <v>23.395981853532081</v>
      </c>
      <c r="F19" s="36">
        <f>'[4]24c'!F19/SUM('[4]24c'!$B19:$F19)*100</f>
        <v>36.422553467271548</v>
      </c>
      <c r="G19" s="36">
        <f>'[4]24c'!G19/SUM('[4]24c'!$G19:$K19)*100</f>
        <v>8.3673469387755102</v>
      </c>
      <c r="H19" s="36">
        <f>'[4]24c'!H19/SUM('[4]24c'!$G19:$K19)*100</f>
        <v>14.319727891156461</v>
      </c>
      <c r="I19" s="36">
        <f>'[4]24c'!I19/SUM('[4]24c'!$G19:$K19)*100</f>
        <v>18.741496598639458</v>
      </c>
      <c r="J19" s="36">
        <f>'[4]24c'!J19/SUM('[4]24c'!$G19:$K19)*100</f>
        <v>23.809523809523807</v>
      </c>
      <c r="K19" s="36">
        <f>'[4]24c'!K19/SUM('[4]24c'!$G19:$K19)*100</f>
        <v>34.761904761904759</v>
      </c>
      <c r="M19" s="6"/>
      <c r="N19" s="6"/>
      <c r="O19" s="6"/>
      <c r="P19" s="6"/>
      <c r="Q19" s="6"/>
      <c r="R19" s="6"/>
      <c r="S19" s="6"/>
      <c r="T19" s="6"/>
      <c r="U19" s="6"/>
      <c r="V19" s="6"/>
      <c r="W19" s="6"/>
    </row>
    <row r="20" spans="1:23">
      <c r="A20" s="2">
        <v>1995</v>
      </c>
      <c r="B20" s="977">
        <f>'[4]24c'!B20/SUM('[4]24c'!$B20:$F20)*100</f>
        <v>8.090614886731391</v>
      </c>
      <c r="C20" s="36">
        <f>'[4]24c'!C20/SUM('[4]24c'!$B20:$F20)*100</f>
        <v>13.78640776699029</v>
      </c>
      <c r="D20" s="36">
        <f>'[4]24c'!D20/SUM('[4]24c'!$B20:$F20)*100</f>
        <v>18.122977346278319</v>
      </c>
      <c r="E20" s="36">
        <f>'[4]24c'!E20/SUM('[4]24c'!$B20:$F20)*100</f>
        <v>23.36569579288026</v>
      </c>
      <c r="F20" s="36">
        <f>'[4]24c'!F20/SUM('[4]24c'!$B20:$F20)*100</f>
        <v>36.63430420711974</v>
      </c>
      <c r="G20" s="36">
        <f>'[4]24c'!G20/SUM('[4]24c'!$G20:$K20)*100</f>
        <v>8.4045097369320132</v>
      </c>
      <c r="H20" s="36">
        <f>'[4]24c'!H20/SUM('[4]24c'!$G20:$K20)*100</f>
        <v>14.144174923129485</v>
      </c>
      <c r="I20" s="36">
        <f>'[4]24c'!I20/SUM('[4]24c'!$G20:$K20)*100</f>
        <v>18.58558250768705</v>
      </c>
      <c r="J20" s="36">
        <f>'[4]24c'!J20/SUM('[4]24c'!$G20:$K20)*100</f>
        <v>23.710283566791936</v>
      </c>
      <c r="K20" s="36">
        <f>'[4]24c'!K20/SUM('[4]24c'!$G20:$K20)*100</f>
        <v>35.155449265459517</v>
      </c>
      <c r="M20" s="6"/>
      <c r="N20" s="6"/>
      <c r="O20" s="6"/>
      <c r="P20" s="6"/>
      <c r="Q20" s="6"/>
      <c r="R20" s="6"/>
      <c r="S20" s="6"/>
      <c r="T20" s="6"/>
      <c r="U20" s="6"/>
      <c r="V20" s="6"/>
      <c r="W20" s="6"/>
    </row>
    <row r="21" spans="1:23">
      <c r="A21" s="2">
        <v>1996</v>
      </c>
      <c r="B21" s="977">
        <f>'[4]24c'!B21/SUM('[4]24c'!$B21:$F21)*100</f>
        <v>7.8557630392788154</v>
      </c>
      <c r="C21" s="36">
        <f>'[4]24c'!C21/SUM('[4]24c'!$B21:$F21)*100</f>
        <v>13.522215067611077</v>
      </c>
      <c r="D21" s="36">
        <f>'[4]24c'!D21/SUM('[4]24c'!$B21:$F21)*100</f>
        <v>18.0296200901481</v>
      </c>
      <c r="E21" s="36">
        <f>'[4]24c'!E21/SUM('[4]24c'!$B21:$F21)*100</f>
        <v>23.374114616870571</v>
      </c>
      <c r="F21" s="36">
        <f>'[4]24c'!F21/SUM('[4]24c'!$B21:$F21)*100</f>
        <v>37.218287186091437</v>
      </c>
      <c r="G21" s="36">
        <f>'[4]24c'!G21/SUM('[4]24c'!$G21:$K21)*100</f>
        <v>8.1135902636916839</v>
      </c>
      <c r="H21" s="36">
        <f>'[4]24c'!H21/SUM('[4]24c'!$G21:$K21)*100</f>
        <v>13.995943204868155</v>
      </c>
      <c r="I21" s="36">
        <f>'[4]24c'!I21/SUM('[4]24c'!$G21:$K21)*100</f>
        <v>18.52603110209601</v>
      </c>
      <c r="J21" s="36">
        <f>'[4]24c'!J21/SUM('[4]24c'!$G21:$K21)*100</f>
        <v>23.664638269100742</v>
      </c>
      <c r="K21" s="36">
        <f>'[4]24c'!K21/SUM('[4]24c'!$G21:$K21)*100</f>
        <v>35.699797160243406</v>
      </c>
      <c r="M21" s="6"/>
      <c r="N21" s="6"/>
      <c r="O21" s="6"/>
      <c r="P21" s="6"/>
      <c r="Q21" s="6"/>
      <c r="R21" s="6"/>
      <c r="S21" s="6"/>
      <c r="T21" s="6"/>
      <c r="U21" s="6"/>
      <c r="V21" s="6"/>
      <c r="W21" s="6"/>
    </row>
    <row r="22" spans="1:23">
      <c r="A22" s="2">
        <v>1997</v>
      </c>
      <c r="B22" s="977">
        <f>'[4]24c'!B22/SUM('[4]24c'!$B22:$F22)*100</f>
        <v>7.6972010178117038</v>
      </c>
      <c r="C22" s="36">
        <f>'[4]24c'!C22/SUM('[4]24c'!$B22:$F22)*100</f>
        <v>13.486005089058525</v>
      </c>
      <c r="D22" s="36">
        <f>'[4]24c'!D22/SUM('[4]24c'!$B22:$F22)*100</f>
        <v>18.002544529262089</v>
      </c>
      <c r="E22" s="36">
        <f>'[4]24c'!E22/SUM('[4]24c'!$B22:$F22)*100</f>
        <v>23.409669211195929</v>
      </c>
      <c r="F22" s="36">
        <f>'[4]24c'!F22/SUM('[4]24c'!$B22:$F22)*100</f>
        <v>37.404580152671755</v>
      </c>
      <c r="G22" s="36">
        <f>'[4]24c'!G22/SUM('[4]24c'!$G22:$K22)*100</f>
        <v>7.9625292740046847</v>
      </c>
      <c r="H22" s="36">
        <f>'[4]24c'!H22/SUM('[4]24c'!$G22:$K22)*100</f>
        <v>13.817330210772832</v>
      </c>
      <c r="I22" s="36">
        <f>'[4]24c'!I22/SUM('[4]24c'!$G22:$K22)*100</f>
        <v>18.400802944128472</v>
      </c>
      <c r="J22" s="36">
        <f>'[4]24c'!J22/SUM('[4]24c'!$G22:$K22)*100</f>
        <v>23.921043827367011</v>
      </c>
      <c r="K22" s="36">
        <f>'[4]24c'!K22/SUM('[4]24c'!$G22:$K22)*100</f>
        <v>35.898293743727002</v>
      </c>
      <c r="M22" s="6"/>
      <c r="N22" s="6"/>
      <c r="O22" s="6"/>
      <c r="P22" s="6"/>
      <c r="Q22" s="6"/>
      <c r="R22" s="6"/>
      <c r="S22" s="6"/>
      <c r="T22" s="6"/>
      <c r="U22" s="6"/>
      <c r="V22" s="6"/>
      <c r="W22" s="6"/>
    </row>
    <row r="23" spans="1:23">
      <c r="A23" s="2">
        <v>1998</v>
      </c>
      <c r="B23" s="977">
        <f>'[4]24c'!B23/SUM('[4]24c'!$B23:$F23)*100</f>
        <v>7.6225045372050815</v>
      </c>
      <c r="C23" s="36">
        <f>'[4]24c'!C23/SUM('[4]24c'!$B23:$F23)*100</f>
        <v>13.309134906231096</v>
      </c>
      <c r="D23" s="36">
        <f>'[4]24c'!D23/SUM('[4]24c'!$B23:$F23)*100</f>
        <v>17.78584392014519</v>
      </c>
      <c r="E23" s="36">
        <f>'[4]24c'!E23/SUM('[4]24c'!$B23:$F23)*100</f>
        <v>23.230490018148821</v>
      </c>
      <c r="F23" s="36">
        <f>'[4]24c'!F23/SUM('[4]24c'!$B23:$F23)*100</f>
        <v>38.052026618269814</v>
      </c>
      <c r="G23" s="36">
        <f>'[4]24c'!G23/SUM('[4]24c'!$G23:$K23)*100</f>
        <v>7.8830260648442465</v>
      </c>
      <c r="H23" s="36">
        <f>'[4]24c'!H23/SUM('[4]24c'!$G23:$K23)*100</f>
        <v>13.509218054672601</v>
      </c>
      <c r="I23" s="36">
        <f>'[4]24c'!I23/SUM('[4]24c'!$G23:$K23)*100</f>
        <v>18.436109345200254</v>
      </c>
      <c r="J23" s="36">
        <f>'[4]24c'!J23/SUM('[4]24c'!$G23:$K23)*100</f>
        <v>23.585505403687222</v>
      </c>
      <c r="K23" s="36">
        <f>'[4]24c'!K23/SUM('[4]24c'!$G23:$K23)*100</f>
        <v>36.586141131595681</v>
      </c>
      <c r="M23" s="6"/>
      <c r="N23" s="6"/>
      <c r="O23" s="6"/>
      <c r="P23" s="6"/>
      <c r="Q23" s="6"/>
      <c r="R23" s="6"/>
      <c r="S23" s="6"/>
      <c r="T23" s="6"/>
      <c r="U23" s="6"/>
      <c r="V23" s="6"/>
      <c r="W23" s="6"/>
    </row>
    <row r="24" spans="1:23">
      <c r="A24" s="2">
        <v>1999</v>
      </c>
      <c r="B24" s="977">
        <f>'[4]24c'!B24/SUM('[4]24c'!$B24:$F24)*100</f>
        <v>7.741935483870968</v>
      </c>
      <c r="C24" s="36">
        <f>'[4]24c'!C24/SUM('[4]24c'!$B24:$F24)*100</f>
        <v>13.48973607038123</v>
      </c>
      <c r="D24" s="36">
        <f>'[4]24c'!D24/SUM('[4]24c'!$B24:$F24)*100</f>
        <v>17.888563049853374</v>
      </c>
      <c r="E24" s="36">
        <f>'[4]24c'!E24/SUM('[4]24c'!$B24:$F24)*100</f>
        <v>23.225806451612904</v>
      </c>
      <c r="F24" s="36">
        <f>'[4]24c'!F24/SUM('[4]24c'!$B24:$F24)*100</f>
        <v>37.653958944281527</v>
      </c>
      <c r="G24" s="36">
        <f>'[4]24c'!G24/SUM('[4]24c'!$G24:$K24)*100</f>
        <v>8.0073914382506928</v>
      </c>
      <c r="H24" s="36">
        <f>'[4]24c'!H24/SUM('[4]24c'!$G24:$K24)*100</f>
        <v>13.766553741915613</v>
      </c>
      <c r="I24" s="36">
        <f>'[4]24c'!I24/SUM('[4]24c'!$G24:$K24)*100</f>
        <v>18.386202648598708</v>
      </c>
      <c r="J24" s="36">
        <f>'[4]24c'!J24/SUM('[4]24c'!$G24:$K24)*100</f>
        <v>23.498614105327995</v>
      </c>
      <c r="K24" s="36">
        <f>'[4]24c'!K24/SUM('[4]24c'!$G24:$K24)*100</f>
        <v>36.341238065906992</v>
      </c>
      <c r="M24" s="6"/>
      <c r="N24" s="6"/>
      <c r="O24" s="6"/>
      <c r="P24" s="6"/>
      <c r="Q24" s="6"/>
      <c r="R24" s="6"/>
      <c r="S24" s="6"/>
      <c r="T24" s="6"/>
      <c r="U24" s="6"/>
      <c r="V24" s="6"/>
      <c r="W24" s="6"/>
    </row>
    <row r="25" spans="1:23">
      <c r="A25" s="2">
        <v>2000</v>
      </c>
      <c r="B25" s="977">
        <f>'[4]24c'!B25/SUM('[4]24c'!$B25:$F25)*100</f>
        <v>7.5354107648725215</v>
      </c>
      <c r="C25" s="36">
        <f>'[4]24c'!C25/SUM('[4]24c'!$B25:$F25)*100</f>
        <v>13.257790368271955</v>
      </c>
      <c r="D25" s="36">
        <f>'[4]24c'!D25/SUM('[4]24c'!$B25:$F25)*100</f>
        <v>17.677053824362606</v>
      </c>
      <c r="E25" s="36">
        <f>'[4]24c'!E25/SUM('[4]24c'!$B25:$F25)*100</f>
        <v>23.002832861189802</v>
      </c>
      <c r="F25" s="36">
        <f>'[4]24c'!F25/SUM('[4]24c'!$B25:$F25)*100</f>
        <v>38.526912181303111</v>
      </c>
      <c r="G25" s="36">
        <f>'[4]24c'!G25/SUM('[4]24c'!$G25:$K25)*100</f>
        <v>7.7995255041518385</v>
      </c>
      <c r="H25" s="36">
        <f>'[4]24c'!H25/SUM('[4]24c'!$G25:$K25)*100</f>
        <v>13.523131672597867</v>
      </c>
      <c r="I25" s="36">
        <f>'[4]24c'!I25/SUM('[4]24c'!$G25:$K25)*100</f>
        <v>17.941874258600237</v>
      </c>
      <c r="J25" s="36">
        <f>'[4]24c'!J25/SUM('[4]24c'!$G25:$K25)*100</f>
        <v>23.22064056939502</v>
      </c>
      <c r="K25" s="36">
        <f>'[4]24c'!K25/SUM('[4]24c'!$G25:$K25)*100</f>
        <v>37.51482799525504</v>
      </c>
      <c r="M25" s="6"/>
      <c r="N25" s="6"/>
      <c r="O25" s="6"/>
      <c r="P25" s="6"/>
      <c r="Q25" s="6"/>
      <c r="R25" s="6"/>
      <c r="S25" s="6"/>
      <c r="T25" s="6"/>
      <c r="U25" s="6"/>
      <c r="V25" s="6"/>
      <c r="W25" s="6"/>
    </row>
    <row r="26" spans="1:23">
      <c r="A26" s="2">
        <v>2001</v>
      </c>
      <c r="B26" s="977">
        <f>'[4]24c'!B26/SUM('[4]24c'!$B26:$F26)*100</f>
        <v>7.7426390403489638</v>
      </c>
      <c r="C26" s="36">
        <f>'[4]24c'!C26/SUM('[4]24c'!$B26:$F26)*100</f>
        <v>13.140676117775355</v>
      </c>
      <c r="D26" s="36">
        <f>'[4]24c'!D26/SUM('[4]24c'!$B26:$F26)*100</f>
        <v>17.557251908396946</v>
      </c>
      <c r="E26" s="36">
        <f>'[4]24c'!E26/SUM('[4]24c'!$B26:$F26)*100</f>
        <v>22.955288985823337</v>
      </c>
      <c r="F26" s="36">
        <f>'[4]24c'!F26/SUM('[4]24c'!$B26:$F26)*100</f>
        <v>38.604143947655402</v>
      </c>
      <c r="G26" s="36">
        <f>'[4]24c'!G26/SUM('[4]24c'!$G26:$K26)*100</f>
        <v>8.0091533180778036</v>
      </c>
      <c r="H26" s="36">
        <f>'[4]24c'!H26/SUM('[4]24c'!$G26:$K26)*100</f>
        <v>13.358123569794051</v>
      </c>
      <c r="I26" s="36">
        <f>'[4]24c'!I26/SUM('[4]24c'!$G26:$K26)*100</f>
        <v>18.020594965675059</v>
      </c>
      <c r="J26" s="36">
        <f>'[4]24c'!J26/SUM('[4]24c'!$G26:$K26)*100</f>
        <v>23.197940503432495</v>
      </c>
      <c r="K26" s="36">
        <f>'[4]24c'!K26/SUM('[4]24c'!$G26:$K26)*100</f>
        <v>37.414187643020597</v>
      </c>
      <c r="M26" s="6"/>
      <c r="N26" s="6"/>
      <c r="O26" s="6"/>
      <c r="P26" s="6"/>
      <c r="Q26" s="6"/>
      <c r="R26" s="6"/>
      <c r="S26" s="6"/>
      <c r="T26" s="6"/>
      <c r="U26" s="6"/>
      <c r="V26" s="6"/>
      <c r="W26" s="6"/>
    </row>
    <row r="27" spans="1:23">
      <c r="A27" s="2">
        <v>2002</v>
      </c>
      <c r="B27" s="977">
        <f>'[4]24c'!B27/SUM('[4]24c'!$B27:$F27)*100</f>
        <v>7.608695652173914</v>
      </c>
      <c r="C27" s="36">
        <f>'[4]24c'!C27/SUM('[4]24c'!$B27:$F27)*100</f>
        <v>13.097826086956522</v>
      </c>
      <c r="D27" s="36">
        <f>'[4]24c'!D27/SUM('[4]24c'!$B27:$F27)*100</f>
        <v>17.554347826086957</v>
      </c>
      <c r="E27" s="36">
        <f>'[4]24c'!E27/SUM('[4]24c'!$B27:$F27)*100</f>
        <v>22.989130434782609</v>
      </c>
      <c r="F27" s="36">
        <f>'[4]24c'!F27/SUM('[4]24c'!$B27:$F27)*100</f>
        <v>38.75</v>
      </c>
      <c r="G27" s="36">
        <f>'[4]24c'!G27/SUM('[4]24c'!$G27:$K27)*100</f>
        <v>7.8026391279403331</v>
      </c>
      <c r="H27" s="36">
        <f>'[4]24c'!H27/SUM('[4]24c'!$G27:$K27)*100</f>
        <v>13.425129087779691</v>
      </c>
      <c r="I27" s="36">
        <f>'[4]24c'!I27/SUM('[4]24c'!$G27:$K27)*100</f>
        <v>18.129661503155479</v>
      </c>
      <c r="J27" s="36">
        <f>'[4]24c'!J27/SUM('[4]24c'!$G27:$K27)*100</f>
        <v>23.235800344234079</v>
      </c>
      <c r="K27" s="36">
        <f>'[4]24c'!K27/SUM('[4]24c'!$G27:$K27)*100</f>
        <v>37.406769936890413</v>
      </c>
      <c r="M27" s="6"/>
      <c r="N27" s="6"/>
      <c r="O27" s="6"/>
      <c r="P27" s="6"/>
      <c r="Q27" s="6"/>
      <c r="R27" s="6"/>
      <c r="S27" s="6"/>
      <c r="T27" s="6"/>
      <c r="U27" s="6"/>
      <c r="V27" s="6"/>
      <c r="W27" s="6"/>
    </row>
    <row r="28" spans="1:23">
      <c r="A28" s="2">
        <v>2003</v>
      </c>
      <c r="B28" s="977">
        <f>'[4]24c'!B28/SUM('[4]24c'!$B28:$F28)*100</f>
        <v>7.7049180327868854</v>
      </c>
      <c r="C28" s="36">
        <f>'[4]24c'!C28/SUM('[4]24c'!$B28:$F28)*100</f>
        <v>13.169398907103824</v>
      </c>
      <c r="D28" s="36">
        <f>'[4]24c'!D28/SUM('[4]24c'!$B28:$F28)*100</f>
        <v>17.650273224043715</v>
      </c>
      <c r="E28" s="36">
        <f>'[4]24c'!E28/SUM('[4]24c'!$B28:$F28)*100</f>
        <v>23.114754098360656</v>
      </c>
      <c r="F28" s="36">
        <f>'[4]24c'!F28/SUM('[4]24c'!$B28:$F28)*100</f>
        <v>38.360655737704917</v>
      </c>
      <c r="G28" s="36">
        <f>'[4]24c'!G28/SUM('[4]24c'!$G28:$K28)*100</f>
        <v>8.0138368405880662</v>
      </c>
      <c r="H28" s="36">
        <f>'[4]24c'!H28/SUM('[4]24c'!$G28:$K28)*100</f>
        <v>13.433266070913808</v>
      </c>
      <c r="I28" s="36">
        <f>'[4]24c'!I28/SUM('[4]24c'!$G28:$K28)*100</f>
        <v>18.247333525511674</v>
      </c>
      <c r="J28" s="36">
        <f>'[4]24c'!J28/SUM('[4]24c'!$G28:$K28)*100</f>
        <v>23.147881233784954</v>
      </c>
      <c r="K28" s="36">
        <f>'[4]24c'!K28/SUM('[4]24c'!$G28:$K28)*100</f>
        <v>37.157682329201499</v>
      </c>
      <c r="M28" s="6"/>
      <c r="N28" s="6"/>
      <c r="O28" s="6"/>
      <c r="P28" s="6"/>
      <c r="Q28" s="6"/>
      <c r="R28" s="6"/>
      <c r="S28" s="6"/>
      <c r="T28" s="6"/>
      <c r="U28" s="6"/>
      <c r="V28" s="6"/>
      <c r="W28" s="6"/>
    </row>
    <row r="29" spans="1:23">
      <c r="A29" s="2">
        <v>2004</v>
      </c>
      <c r="B29" s="977">
        <f>'[4]24c'!B29/SUM('[4]24c'!$B29:$F29)*100</f>
        <v>7.5451647183846973</v>
      </c>
      <c r="C29" s="36">
        <f>'[4]24c'!C29/SUM('[4]24c'!$B29:$F29)*100</f>
        <v>13.071200850159407</v>
      </c>
      <c r="D29" s="36">
        <f>'[4]24c'!D29/SUM('[4]24c'!$B29:$F29)*100</f>
        <v>17.587672688629119</v>
      </c>
      <c r="E29" s="36">
        <f>'[4]24c'!E29/SUM('[4]24c'!$B29:$F29)*100</f>
        <v>22.954303931987248</v>
      </c>
      <c r="F29" s="36">
        <f>'[4]24c'!F29/SUM('[4]24c'!$B29:$F29)*100</f>
        <v>38.841657810839529</v>
      </c>
      <c r="G29" s="36">
        <f>'[4]24c'!G29/SUM('[4]24c'!$G29:$K29)*100</f>
        <v>7.8910418421791624</v>
      </c>
      <c r="H29" s="36">
        <f>'[4]24c'!H29/SUM('[4]24c'!$G29:$K29)*100</f>
        <v>13.198539736029206</v>
      </c>
      <c r="I29" s="36">
        <f>'[4]24c'!I29/SUM('[4]24c'!$G29:$K29)*100</f>
        <v>18.084807638303847</v>
      </c>
      <c r="J29" s="36">
        <f>'[4]24c'!J29/SUM('[4]24c'!$G29:$K29)*100</f>
        <v>22.94299354114013</v>
      </c>
      <c r="K29" s="36">
        <f>'[4]24c'!K29/SUM('[4]24c'!$G29:$K29)*100</f>
        <v>37.882617242347656</v>
      </c>
      <c r="M29" s="6"/>
      <c r="N29" s="6"/>
      <c r="O29" s="6"/>
      <c r="P29" s="6"/>
      <c r="Q29" s="6"/>
      <c r="R29" s="6"/>
      <c r="S29" s="6"/>
      <c r="T29" s="6"/>
      <c r="U29" s="6"/>
      <c r="V29" s="6"/>
      <c r="W29" s="6"/>
    </row>
    <row r="30" spans="1:23">
      <c r="A30" s="2">
        <v>2005</v>
      </c>
      <c r="B30" s="977">
        <f>'[4]24c'!B30/SUM('[4]24c'!$B30:$F30)*100</f>
        <v>7.6963350785340321</v>
      </c>
      <c r="C30" s="36">
        <f>'[4]24c'!C30/SUM('[4]24c'!$B30:$F30)*100</f>
        <v>13.193717277486911</v>
      </c>
      <c r="D30" s="36">
        <f>'[4]24c'!D30/SUM('[4]24c'!$B30:$F30)*100</f>
        <v>17.69633507853403</v>
      </c>
      <c r="E30" s="36">
        <f>'[4]24c'!E30/SUM('[4]24c'!$B30:$F30)*100</f>
        <v>23.141361256544503</v>
      </c>
      <c r="F30" s="36">
        <f>'[4]24c'!F30/SUM('[4]24c'!$B30:$F30)*100</f>
        <v>38.272251308900522</v>
      </c>
      <c r="G30" s="36">
        <f>'[4]24c'!G30/SUM('[4]24c'!$G30:$K30)*100</f>
        <v>7.9202436998061483</v>
      </c>
      <c r="H30" s="36">
        <f>'[4]24c'!H30/SUM('[4]24c'!$G30:$K30)*100</f>
        <v>13.375796178343949</v>
      </c>
      <c r="I30" s="36">
        <f>'[4]24c'!I30/SUM('[4]24c'!$G30:$K30)*100</f>
        <v>18.277485461091111</v>
      </c>
      <c r="J30" s="36">
        <f>'[4]24c'!J30/SUM('[4]24c'!$G30:$K30)*100</f>
        <v>23.373026862364995</v>
      </c>
      <c r="K30" s="36">
        <f>'[4]24c'!K30/SUM('[4]24c'!$G30:$K30)*100</f>
        <v>37.053447798393798</v>
      </c>
      <c r="M30" s="6"/>
      <c r="N30" s="6"/>
      <c r="O30" s="6"/>
      <c r="P30" s="6"/>
      <c r="Q30" s="6"/>
      <c r="R30" s="6"/>
      <c r="S30" s="6"/>
      <c r="T30" s="6"/>
      <c r="U30" s="6"/>
      <c r="V30" s="6"/>
      <c r="W30" s="6"/>
    </row>
    <row r="31" spans="1:23">
      <c r="A31" s="2">
        <v>2006</v>
      </c>
      <c r="B31" s="977">
        <f>'[4]24c'!B31/SUM('[4]24c'!$B31:$F31)*100</f>
        <v>7.8772378516624038</v>
      </c>
      <c r="C31" s="36">
        <f>'[4]24c'!C31/SUM('[4]24c'!$B31:$F31)*100</f>
        <v>13.094629156010228</v>
      </c>
      <c r="D31" s="36">
        <f>'[4]24c'!D31/SUM('[4]24c'!$B31:$F31)*100</f>
        <v>17.544757033248082</v>
      </c>
      <c r="E31" s="36">
        <f>'[4]24c'!E31/SUM('[4]24c'!$B31:$F31)*100</f>
        <v>23.017902813299234</v>
      </c>
      <c r="F31" s="36">
        <f>'[4]24c'!F31/SUM('[4]24c'!$B31:$F31)*100</f>
        <v>38.465473145780052</v>
      </c>
      <c r="G31" s="36">
        <f>'[4]24c'!G31/SUM('[4]24c'!$G31:$K31)*100</f>
        <v>8.0890336590662315</v>
      </c>
      <c r="H31" s="36">
        <f>'[4]24c'!H31/SUM('[4]24c'!$G31:$K31)*100</f>
        <v>13.653637350705756</v>
      </c>
      <c r="I31" s="36">
        <f>'[4]24c'!I31/SUM('[4]24c'!$G31:$K31)*100</f>
        <v>17.96959826275787</v>
      </c>
      <c r="J31" s="36">
        <f>'[4]24c'!J31/SUM('[4]24c'!$G31:$K31)*100</f>
        <v>23.12703583061889</v>
      </c>
      <c r="K31" s="36">
        <f>'[4]24c'!K31/SUM('[4]24c'!$G31:$K31)*100</f>
        <v>37.160694896851247</v>
      </c>
      <c r="M31" s="6"/>
      <c r="N31" s="6"/>
      <c r="O31" s="6"/>
      <c r="P31" s="6"/>
      <c r="Q31" s="6"/>
      <c r="R31" s="6"/>
      <c r="S31" s="6"/>
      <c r="T31" s="6"/>
      <c r="U31" s="6"/>
      <c r="V31" s="6"/>
      <c r="W31" s="6"/>
    </row>
    <row r="32" spans="1:23" s="961" customFormat="1">
      <c r="A32" s="2">
        <v>2007</v>
      </c>
      <c r="B32" s="977">
        <f>'[4]24c'!B32/SUM('[4]24c'!$B32:$F32)*100</f>
        <v>7.931034482758621</v>
      </c>
      <c r="C32" s="36">
        <f>'[4]24c'!C32/SUM('[4]24c'!$B32:$F32)*100</f>
        <v>13.152709359605911</v>
      </c>
      <c r="D32" s="36">
        <f>'[4]24c'!D32/SUM('[4]24c'!$B32:$F32)*100</f>
        <v>17.487684729064039</v>
      </c>
      <c r="E32" s="36">
        <f>'[4]24c'!E32/SUM('[4]24c'!$B32:$F32)*100</f>
        <v>22.906403940886698</v>
      </c>
      <c r="F32" s="36">
        <f>'[4]24c'!F32/SUM('[4]24c'!$B32:$F32)*100</f>
        <v>38.522167487684726</v>
      </c>
      <c r="G32" s="36">
        <f>'[4]24c'!G32/SUM('[4]24c'!$G32:$K32)*100</f>
        <v>8.2744173867504589</v>
      </c>
      <c r="H32" s="36">
        <f>'[4]24c'!H32/SUM('[4]24c'!$G32:$K32)*100</f>
        <v>13.694684472374968</v>
      </c>
      <c r="I32" s="36">
        <f>'[4]24c'!I32/SUM('[4]24c'!$G32:$K32)*100</f>
        <v>17.884262896046085</v>
      </c>
      <c r="J32" s="36">
        <f>'[4]24c'!J32/SUM('[4]24c'!$G32:$K32)*100</f>
        <v>23.252160251374708</v>
      </c>
      <c r="K32" s="36">
        <f>'[4]24c'!K32/SUM('[4]24c'!$G32:$K32)*100</f>
        <v>36.894474993453784</v>
      </c>
      <c r="M32" s="6"/>
      <c r="N32" s="6"/>
      <c r="O32" s="6"/>
      <c r="P32" s="6"/>
      <c r="Q32" s="6"/>
      <c r="R32" s="6"/>
      <c r="S32" s="6"/>
      <c r="T32" s="6"/>
      <c r="U32" s="6"/>
      <c r="V32" s="6"/>
      <c r="W32" s="6"/>
    </row>
    <row r="33" spans="1:23" s="961" customFormat="1">
      <c r="A33" s="2"/>
      <c r="B33" s="977"/>
      <c r="C33" s="36"/>
      <c r="D33" s="36"/>
      <c r="E33" s="36"/>
      <c r="F33" s="36"/>
      <c r="G33" s="36"/>
      <c r="H33" s="36"/>
      <c r="I33" s="36"/>
      <c r="J33" s="36"/>
      <c r="K33" s="36"/>
      <c r="M33" s="6"/>
      <c r="N33" s="6"/>
      <c r="O33" s="6"/>
      <c r="P33" s="6"/>
      <c r="Q33" s="6"/>
      <c r="R33" s="6"/>
      <c r="S33" s="6"/>
      <c r="T33" s="6"/>
      <c r="U33" s="6"/>
      <c r="V33" s="6"/>
      <c r="W33" s="6"/>
    </row>
    <row r="34" spans="1:23">
      <c r="A34" s="738"/>
      <c r="B34" s="959"/>
      <c r="C34" s="959"/>
      <c r="D34" s="959"/>
      <c r="E34" s="959"/>
      <c r="F34" s="233" t="s">
        <v>655</v>
      </c>
      <c r="G34" s="959"/>
      <c r="H34" s="959"/>
      <c r="I34" s="959"/>
      <c r="J34" s="959"/>
      <c r="K34" s="959"/>
      <c r="L34" s="644"/>
    </row>
    <row r="35" spans="1:23">
      <c r="A35" s="431" t="s">
        <v>603</v>
      </c>
      <c r="B35" s="27">
        <f>B14-B6</f>
        <v>0.33071059749200771</v>
      </c>
      <c r="C35" s="27">
        <f t="shared" ref="C35:K35" si="0">C14-C6</f>
        <v>6.5773297270716569E-2</v>
      </c>
      <c r="D35" s="27">
        <f t="shared" si="0"/>
        <v>-4.7024834029993912E-2</v>
      </c>
      <c r="E35" s="27">
        <f t="shared" si="0"/>
        <v>-0.34392672731743446</v>
      </c>
      <c r="F35" s="27">
        <f t="shared" si="0"/>
        <v>-5.5323334152959092E-3</v>
      </c>
      <c r="G35" s="27">
        <f t="shared" si="0"/>
        <v>0.1383538173168386</v>
      </c>
      <c r="H35" s="27">
        <f t="shared" si="0"/>
        <v>-0.32374061221360684</v>
      </c>
      <c r="I35" s="27">
        <f t="shared" si="0"/>
        <v>-2.7268146534666471E-2</v>
      </c>
      <c r="J35" s="27">
        <f t="shared" si="0"/>
        <v>-0.38396031091787464</v>
      </c>
      <c r="K35" s="27">
        <f t="shared" si="0"/>
        <v>0.59661525234930934</v>
      </c>
      <c r="L35" s="114"/>
    </row>
    <row r="36" spans="1:23">
      <c r="A36" s="431" t="s">
        <v>604</v>
      </c>
      <c r="B36" s="27">
        <f>B25-B14</f>
        <v>-0.95856513874193539</v>
      </c>
      <c r="C36" s="27">
        <f t="shared" ref="C36:K36" si="1">C25-C14</f>
        <v>-0.838595173896719</v>
      </c>
      <c r="D36" s="27">
        <f t="shared" si="1"/>
        <v>-0.51571725997474616</v>
      </c>
      <c r="E36" s="27">
        <f t="shared" si="1"/>
        <v>-0.25017918700296704</v>
      </c>
      <c r="F36" s="27">
        <f t="shared" si="1"/>
        <v>2.5630567596163658</v>
      </c>
      <c r="G36" s="27">
        <f t="shared" si="1"/>
        <v>-0.87699131445866119</v>
      </c>
      <c r="H36" s="27">
        <f t="shared" si="1"/>
        <v>-1.0949129674524318</v>
      </c>
      <c r="I36" s="27">
        <f t="shared" si="1"/>
        <v>-0.98299213561541876</v>
      </c>
      <c r="J36" s="27">
        <f t="shared" si="1"/>
        <v>-0.23110416496524522</v>
      </c>
      <c r="K36" s="27">
        <f t="shared" si="1"/>
        <v>3.1860005824917579</v>
      </c>
      <c r="L36" s="114"/>
    </row>
    <row r="37" spans="1:23">
      <c r="A37" s="431" t="s">
        <v>447</v>
      </c>
      <c r="B37" s="23">
        <f>B32-B6</f>
        <v>-0.23223082336382816</v>
      </c>
      <c r="C37" s="23">
        <f t="shared" ref="C37:K37" si="2">C32-C6</f>
        <v>-0.87790288529204652</v>
      </c>
      <c r="D37" s="23">
        <f t="shared" si="2"/>
        <v>-0.75211118930330656</v>
      </c>
      <c r="E37" s="23">
        <f t="shared" si="2"/>
        <v>-0.69053483462350584</v>
      </c>
      <c r="F37" s="23">
        <f t="shared" si="2"/>
        <v>2.5527797325826853</v>
      </c>
      <c r="G37" s="23">
        <f t="shared" si="2"/>
        <v>-0.26374561454320222</v>
      </c>
      <c r="H37" s="23">
        <f t="shared" si="2"/>
        <v>-1.2471007798889371</v>
      </c>
      <c r="I37" s="23">
        <f t="shared" si="2"/>
        <v>-1.0678716447042369</v>
      </c>
      <c r="J37" s="23">
        <f t="shared" si="2"/>
        <v>-0.58354479390343172</v>
      </c>
      <c r="K37" s="23">
        <f t="shared" si="2"/>
        <v>3.1622628330398115</v>
      </c>
      <c r="L37" s="117"/>
    </row>
    <row r="38" spans="1:23">
      <c r="A38" s="431" t="s">
        <v>449</v>
      </c>
      <c r="B38" s="959">
        <f>B32-B25</f>
        <v>0.39562371788609951</v>
      </c>
      <c r="C38" s="959">
        <f t="shared" ref="C38:K38" si="3">C32-C25</f>
        <v>-0.10508100866604408</v>
      </c>
      <c r="D38" s="959">
        <f t="shared" si="3"/>
        <v>-0.18936909529856649</v>
      </c>
      <c r="E38" s="959">
        <f t="shared" si="3"/>
        <v>-9.6428920303104348E-2</v>
      </c>
      <c r="F38" s="959">
        <f t="shared" si="3"/>
        <v>-4.7446936183845878E-3</v>
      </c>
      <c r="G38" s="959">
        <f t="shared" si="3"/>
        <v>0.47489188259862036</v>
      </c>
      <c r="H38" s="959">
        <f t="shared" si="3"/>
        <v>0.17155279977710158</v>
      </c>
      <c r="I38" s="959">
        <f t="shared" si="3"/>
        <v>-5.7611362554151668E-2</v>
      </c>
      <c r="J38" s="959">
        <f t="shared" si="3"/>
        <v>3.151968197968813E-2</v>
      </c>
      <c r="K38" s="959">
        <f t="shared" si="3"/>
        <v>-0.62035300180125574</v>
      </c>
      <c r="L38" s="114"/>
    </row>
    <row r="39" spans="1:23">
      <c r="A39" s="431"/>
      <c r="B39" s="114"/>
      <c r="C39" s="114"/>
      <c r="D39" s="114"/>
      <c r="E39" s="114"/>
      <c r="F39" s="114" t="s">
        <v>276</v>
      </c>
      <c r="G39" s="114"/>
      <c r="H39" s="114"/>
      <c r="I39" s="114"/>
      <c r="J39" s="114"/>
      <c r="K39" s="114"/>
      <c r="L39" s="114"/>
    </row>
    <row r="40" spans="1:23">
      <c r="A40" s="431" t="s">
        <v>447</v>
      </c>
      <c r="B40" s="10">
        <f>(B32/B6-1)*100</f>
        <v>-2.8448275862068995</v>
      </c>
      <c r="C40" s="10">
        <f t="shared" ref="C40:K40" si="4">(C32/C6-1)*100</f>
        <v>-6.2570532915360406</v>
      </c>
      <c r="D40" s="10">
        <f t="shared" si="4"/>
        <v>-4.1234627441523948</v>
      </c>
      <c r="E40" s="10">
        <f t="shared" si="4"/>
        <v>-2.9263746505125865</v>
      </c>
      <c r="F40" s="10">
        <f t="shared" si="4"/>
        <v>7.0970897529958332</v>
      </c>
      <c r="G40" s="10">
        <f t="shared" si="4"/>
        <v>-3.0890206066953807</v>
      </c>
      <c r="H40" s="10">
        <f t="shared" si="4"/>
        <v>-8.3463974273086485</v>
      </c>
      <c r="I40" s="10">
        <f t="shared" si="4"/>
        <v>-5.6345718863916368</v>
      </c>
      <c r="J40" s="10">
        <f t="shared" si="4"/>
        <v>-2.4481960688594429</v>
      </c>
      <c r="K40" s="10">
        <f t="shared" si="4"/>
        <v>9.3746085136712232</v>
      </c>
      <c r="L40" s="10"/>
    </row>
    <row r="41" spans="1:23">
      <c r="A41" s="4"/>
      <c r="B41" s="27"/>
    </row>
    <row r="42" spans="1:23" ht="12.75" customHeight="1">
      <c r="A42" s="1170" t="s">
        <v>198</v>
      </c>
      <c r="B42" s="1170"/>
      <c r="C42" s="1170"/>
      <c r="D42" s="1170"/>
      <c r="E42" s="1170"/>
      <c r="F42" s="1170"/>
      <c r="G42" s="1170"/>
      <c r="H42" s="1170"/>
      <c r="I42" s="1170"/>
      <c r="J42" s="1170"/>
      <c r="K42" s="1170"/>
    </row>
    <row r="43" spans="1:23" ht="15" customHeight="1">
      <c r="A43" s="1168" t="s">
        <v>1161</v>
      </c>
      <c r="B43" s="1169"/>
      <c r="C43" s="1169"/>
      <c r="D43" s="1169"/>
      <c r="E43" s="1169"/>
      <c r="F43" s="1169"/>
      <c r="G43" s="1169"/>
      <c r="H43" s="1169"/>
      <c r="I43" s="1169"/>
      <c r="J43" s="1169"/>
      <c r="K43" s="1169"/>
      <c r="L43" s="1169"/>
    </row>
    <row r="44" spans="1:23" ht="26.25" customHeight="1">
      <c r="A44" s="1168" t="s">
        <v>539</v>
      </c>
      <c r="B44" s="1169"/>
      <c r="C44" s="1169"/>
      <c r="D44" s="1169"/>
      <c r="E44" s="1169"/>
      <c r="F44" s="1169"/>
      <c r="G44" s="1169"/>
      <c r="H44" s="1169"/>
      <c r="I44" s="1169"/>
      <c r="J44" s="1169"/>
      <c r="K44" s="1169"/>
      <c r="L44" s="1169"/>
    </row>
    <row r="45" spans="1:23" ht="42.75" customHeight="1">
      <c r="A45" s="1168" t="s">
        <v>443</v>
      </c>
      <c r="B45" s="1169"/>
      <c r="C45" s="1169"/>
      <c r="D45" s="1169"/>
      <c r="E45" s="1169"/>
      <c r="F45" s="1169"/>
      <c r="G45" s="1169"/>
      <c r="H45" s="1169"/>
      <c r="I45" s="1169"/>
      <c r="J45" s="1169"/>
      <c r="K45" s="1169"/>
      <c r="L45" s="1169"/>
    </row>
    <row r="46" spans="1:23" ht="15.75" customHeight="1">
      <c r="A46" s="1"/>
      <c r="B46" s="4"/>
      <c r="L46" s="4"/>
      <c r="M46" s="4"/>
    </row>
    <row r="47" spans="1:23">
      <c r="A47" s="4"/>
      <c r="B47" s="4"/>
      <c r="L47" s="4"/>
      <c r="M47" s="4"/>
    </row>
    <row r="48" spans="1:23">
      <c r="A48" s="4"/>
      <c r="B48" s="4"/>
      <c r="C48" s="4"/>
      <c r="D48" s="4"/>
      <c r="E48" s="4"/>
      <c r="F48" s="4"/>
      <c r="G48" s="4"/>
      <c r="H48" s="4"/>
      <c r="I48" s="4"/>
      <c r="J48" s="4"/>
      <c r="K48" s="4"/>
      <c r="L48" s="4"/>
      <c r="M48" s="4"/>
    </row>
    <row r="49" spans="1:13">
      <c r="A49" s="4"/>
      <c r="B49" s="4"/>
      <c r="C49" s="4"/>
      <c r="D49" s="4"/>
      <c r="E49" s="4"/>
      <c r="F49" s="4"/>
      <c r="G49" s="4"/>
      <c r="H49" s="4"/>
      <c r="I49" s="4"/>
      <c r="J49" s="4"/>
      <c r="K49" s="4"/>
      <c r="L49" s="4"/>
      <c r="M49" s="4"/>
    </row>
    <row r="50" spans="1:13" ht="15.75">
      <c r="A50" s="4"/>
      <c r="B50" s="28"/>
      <c r="C50" s="4"/>
      <c r="D50" s="4"/>
      <c r="E50" s="4"/>
      <c r="F50" s="4"/>
      <c r="G50" s="4"/>
      <c r="H50" s="4"/>
      <c r="I50" s="4"/>
      <c r="J50" s="4"/>
      <c r="K50" s="4"/>
      <c r="L50" s="4"/>
      <c r="M50" s="4"/>
    </row>
    <row r="51" spans="1:13">
      <c r="A51" s="37"/>
      <c r="B51" s="4"/>
      <c r="C51" s="37"/>
      <c r="D51" s="37"/>
      <c r="E51" s="37"/>
      <c r="F51" s="37"/>
      <c r="G51" s="37"/>
      <c r="H51" s="37"/>
      <c r="I51" s="29"/>
      <c r="J51" s="37"/>
      <c r="K51" s="37"/>
      <c r="L51" s="4"/>
      <c r="M51" s="4"/>
    </row>
    <row r="52" spans="1:13">
      <c r="A52" s="30"/>
      <c r="B52" s="1164"/>
      <c r="C52" s="1164"/>
      <c r="D52" s="1164"/>
      <c r="E52" s="1164"/>
      <c r="F52" s="1164"/>
      <c r="G52" s="1164"/>
      <c r="H52" s="1164"/>
      <c r="I52" s="1164"/>
      <c r="J52" s="1164"/>
      <c r="K52" s="1164"/>
      <c r="L52" s="4"/>
      <c r="M52" s="4"/>
    </row>
    <row r="53" spans="1:13">
      <c r="A53" s="38"/>
      <c r="B53" s="1164"/>
      <c r="C53" s="1164"/>
      <c r="D53" s="1164"/>
      <c r="E53" s="1164"/>
      <c r="F53" s="1164"/>
      <c r="G53" s="1164"/>
      <c r="H53" s="1164"/>
      <c r="I53" s="1164"/>
      <c r="J53" s="1164"/>
      <c r="K53" s="1164"/>
      <c r="L53" s="4"/>
      <c r="M53" s="4"/>
    </row>
    <row r="54" spans="1:13">
      <c r="A54" s="30"/>
      <c r="B54" s="31"/>
      <c r="C54" s="31"/>
      <c r="D54" s="31"/>
      <c r="E54" s="31"/>
      <c r="F54" s="31"/>
      <c r="G54" s="31"/>
      <c r="H54" s="31"/>
      <c r="I54" s="31"/>
      <c r="J54" s="31"/>
      <c r="K54" s="31"/>
      <c r="L54" s="4"/>
      <c r="M54" s="4"/>
    </row>
    <row r="55" spans="1:13">
      <c r="A55" s="30"/>
      <c r="B55" s="31"/>
      <c r="C55" s="31"/>
      <c r="D55" s="31"/>
      <c r="E55" s="31"/>
      <c r="F55" s="31"/>
      <c r="G55" s="31"/>
      <c r="H55" s="31"/>
      <c r="I55" s="31"/>
      <c r="J55" s="31"/>
      <c r="K55" s="31"/>
      <c r="L55" s="4"/>
      <c r="M55" s="4"/>
    </row>
    <row r="56" spans="1:13">
      <c r="A56" s="30"/>
      <c r="B56" s="31"/>
      <c r="C56" s="31"/>
      <c r="D56" s="31"/>
      <c r="E56" s="31"/>
      <c r="F56" s="31"/>
      <c r="G56" s="31"/>
      <c r="H56" s="31"/>
      <c r="I56" s="31"/>
      <c r="J56" s="31"/>
      <c r="K56" s="31"/>
      <c r="L56" s="4"/>
      <c r="M56" s="4"/>
    </row>
    <row r="57" spans="1:13">
      <c r="A57" s="30"/>
      <c r="B57" s="31"/>
      <c r="C57" s="31"/>
      <c r="D57" s="31"/>
      <c r="E57" s="31"/>
      <c r="F57" s="31"/>
      <c r="G57" s="31"/>
      <c r="H57" s="31"/>
      <c r="I57" s="31"/>
      <c r="J57" s="31"/>
      <c r="K57" s="31"/>
      <c r="L57" s="4"/>
      <c r="M57" s="4"/>
    </row>
    <row r="58" spans="1:13">
      <c r="A58" s="30"/>
      <c r="B58" s="31"/>
      <c r="C58" s="31"/>
      <c r="D58" s="31"/>
      <c r="E58" s="31"/>
      <c r="F58" s="31"/>
      <c r="G58" s="31"/>
      <c r="H58" s="31"/>
      <c r="I58" s="31"/>
      <c r="J58" s="31"/>
      <c r="K58" s="31"/>
      <c r="L58" s="4"/>
      <c r="M58" s="4"/>
    </row>
    <row r="59" spans="1:13">
      <c r="A59" s="30"/>
      <c r="B59" s="31"/>
      <c r="C59" s="31"/>
      <c r="D59" s="31"/>
      <c r="E59" s="31"/>
      <c r="F59" s="31"/>
      <c r="G59" s="31"/>
      <c r="H59" s="31"/>
      <c r="I59" s="31"/>
      <c r="J59" s="31"/>
      <c r="K59" s="31"/>
      <c r="L59" s="4"/>
      <c r="M59" s="4"/>
    </row>
    <row r="60" spans="1:13">
      <c r="A60" s="30"/>
      <c r="B60" s="31"/>
      <c r="C60" s="31"/>
      <c r="D60" s="31"/>
      <c r="E60" s="31"/>
      <c r="F60" s="31"/>
      <c r="G60" s="31"/>
      <c r="H60" s="31"/>
      <c r="I60" s="31"/>
      <c r="J60" s="31"/>
      <c r="K60" s="31"/>
      <c r="L60" s="4"/>
      <c r="M60" s="4"/>
    </row>
    <row r="61" spans="1:13">
      <c r="A61" s="30"/>
      <c r="B61" s="31"/>
      <c r="C61" s="31"/>
      <c r="D61" s="31"/>
      <c r="E61" s="31"/>
      <c r="F61" s="31"/>
      <c r="G61" s="31"/>
      <c r="H61" s="31"/>
      <c r="I61" s="31"/>
      <c r="J61" s="31"/>
      <c r="K61" s="31"/>
      <c r="L61" s="4"/>
      <c r="M61" s="4"/>
    </row>
    <row r="62" spans="1:13">
      <c r="A62" s="30"/>
      <c r="B62" s="31"/>
      <c r="C62" s="31"/>
      <c r="D62" s="31"/>
      <c r="E62" s="31"/>
      <c r="F62" s="31"/>
      <c r="G62" s="31"/>
      <c r="H62" s="31"/>
      <c r="I62" s="31"/>
      <c r="J62" s="31"/>
      <c r="K62" s="31"/>
      <c r="L62" s="4"/>
      <c r="M62" s="4"/>
    </row>
    <row r="63" spans="1:13">
      <c r="A63" s="30"/>
      <c r="B63" s="31"/>
      <c r="C63" s="31"/>
      <c r="D63" s="31"/>
      <c r="E63" s="31"/>
      <c r="F63" s="31"/>
      <c r="G63" s="31"/>
      <c r="H63" s="31"/>
      <c r="I63" s="31"/>
      <c r="J63" s="31"/>
      <c r="K63" s="31"/>
      <c r="L63" s="4"/>
      <c r="M63" s="4"/>
    </row>
    <row r="64" spans="1:13">
      <c r="A64" s="30"/>
      <c r="B64" s="31"/>
      <c r="C64" s="31"/>
      <c r="D64" s="31"/>
      <c r="E64" s="31"/>
      <c r="F64" s="31"/>
      <c r="G64" s="31"/>
      <c r="H64" s="31"/>
      <c r="I64" s="31"/>
      <c r="J64" s="31"/>
      <c r="K64" s="31"/>
      <c r="L64" s="4"/>
      <c r="M64" s="4"/>
    </row>
    <row r="65" spans="1:13">
      <c r="A65" s="30"/>
      <c r="B65" s="31"/>
      <c r="C65" s="31"/>
      <c r="D65" s="31"/>
      <c r="E65" s="31"/>
      <c r="F65" s="31"/>
      <c r="G65" s="31"/>
      <c r="H65" s="31"/>
      <c r="I65" s="31"/>
      <c r="J65" s="31"/>
      <c r="K65" s="31"/>
      <c r="L65" s="4"/>
      <c r="M65" s="4"/>
    </row>
    <row r="66" spans="1:13">
      <c r="A66" s="30"/>
      <c r="B66" s="31"/>
      <c r="C66" s="31"/>
      <c r="D66" s="31"/>
      <c r="E66" s="31"/>
      <c r="F66" s="31"/>
      <c r="G66" s="31"/>
      <c r="H66" s="31"/>
      <c r="I66" s="31"/>
      <c r="J66" s="31"/>
      <c r="K66" s="31"/>
      <c r="L66" s="4"/>
      <c r="M66" s="4"/>
    </row>
    <row r="67" spans="1:13">
      <c r="A67" s="30"/>
      <c r="B67" s="31"/>
      <c r="C67" s="31"/>
      <c r="D67" s="31"/>
      <c r="E67" s="31"/>
      <c r="F67" s="31"/>
      <c r="G67" s="31"/>
      <c r="H67" s="31"/>
      <c r="I67" s="31"/>
      <c r="J67" s="31"/>
      <c r="K67" s="31"/>
      <c r="L67" s="4"/>
      <c r="M67" s="4"/>
    </row>
    <row r="68" spans="1:13">
      <c r="A68" s="30"/>
      <c r="B68" s="31"/>
      <c r="C68" s="31"/>
      <c r="D68" s="31"/>
      <c r="E68" s="31"/>
      <c r="F68" s="31"/>
      <c r="G68" s="31"/>
      <c r="H68" s="31"/>
      <c r="I68" s="31"/>
      <c r="J68" s="31"/>
      <c r="K68" s="31"/>
      <c r="L68" s="4"/>
      <c r="M68" s="4"/>
    </row>
    <row r="69" spans="1:13">
      <c r="A69" s="30"/>
      <c r="B69" s="31"/>
      <c r="C69" s="31"/>
      <c r="D69" s="31"/>
      <c r="E69" s="31"/>
      <c r="F69" s="31"/>
      <c r="G69" s="31"/>
      <c r="H69" s="31"/>
      <c r="I69" s="31"/>
      <c r="J69" s="31"/>
      <c r="K69" s="31"/>
      <c r="L69" s="4"/>
      <c r="M69" s="4"/>
    </row>
    <row r="70" spans="1:13">
      <c r="A70" s="30"/>
      <c r="B70" s="31"/>
      <c r="C70" s="31"/>
      <c r="D70" s="31"/>
      <c r="E70" s="31"/>
      <c r="F70" s="31"/>
      <c r="G70" s="31"/>
      <c r="H70" s="31"/>
      <c r="I70" s="31"/>
      <c r="J70" s="31"/>
      <c r="K70" s="31"/>
      <c r="L70" s="4"/>
      <c r="M70" s="4"/>
    </row>
    <row r="71" spans="1:13">
      <c r="A71" s="30"/>
      <c r="B71" s="31"/>
      <c r="C71" s="31"/>
      <c r="D71" s="31"/>
      <c r="E71" s="31"/>
      <c r="F71" s="31"/>
      <c r="G71" s="31"/>
      <c r="H71" s="31"/>
      <c r="I71" s="31"/>
      <c r="J71" s="31"/>
      <c r="K71" s="31"/>
      <c r="L71" s="4"/>
      <c r="M71" s="4"/>
    </row>
    <row r="72" spans="1:13">
      <c r="A72" s="30"/>
      <c r="B72" s="31"/>
      <c r="C72" s="31"/>
      <c r="D72" s="31"/>
      <c r="E72" s="31"/>
      <c r="F72" s="31"/>
      <c r="G72" s="31"/>
      <c r="H72" s="31"/>
      <c r="I72" s="31"/>
      <c r="J72" s="31"/>
      <c r="K72" s="31"/>
      <c r="L72" s="4"/>
      <c r="M72" s="4"/>
    </row>
    <row r="73" spans="1:13">
      <c r="A73" s="30"/>
      <c r="B73" s="31"/>
      <c r="C73" s="31"/>
      <c r="D73" s="31"/>
      <c r="E73" s="31"/>
      <c r="F73" s="31"/>
      <c r="G73" s="31"/>
      <c r="H73" s="31"/>
      <c r="I73" s="31"/>
      <c r="J73" s="31"/>
      <c r="K73" s="31"/>
      <c r="L73" s="4"/>
      <c r="M73" s="4"/>
    </row>
    <row r="74" spans="1:13">
      <c r="A74" s="30"/>
      <c r="B74" s="31"/>
      <c r="C74" s="31"/>
      <c r="D74" s="31"/>
      <c r="E74" s="31"/>
      <c r="F74" s="31"/>
      <c r="G74" s="31"/>
      <c r="H74" s="31"/>
      <c r="I74" s="31"/>
      <c r="J74" s="31"/>
      <c r="K74" s="31"/>
      <c r="L74" s="4"/>
      <c r="M74" s="4"/>
    </row>
    <row r="75" spans="1:13">
      <c r="A75" s="30"/>
      <c r="B75" s="31"/>
      <c r="C75" s="31"/>
      <c r="D75" s="31"/>
      <c r="E75" s="31"/>
      <c r="F75" s="31"/>
      <c r="G75" s="31"/>
      <c r="H75" s="31"/>
      <c r="I75" s="31"/>
      <c r="J75" s="31"/>
      <c r="K75" s="31"/>
      <c r="L75" s="4"/>
      <c r="M75" s="4"/>
    </row>
    <row r="76" spans="1:13">
      <c r="A76" s="30"/>
      <c r="B76" s="32"/>
      <c r="C76" s="32"/>
      <c r="D76" s="32"/>
      <c r="E76" s="32"/>
      <c r="F76" s="32"/>
      <c r="G76" s="32"/>
      <c r="H76" s="32"/>
      <c r="I76" s="32"/>
      <c r="J76" s="32"/>
      <c r="K76" s="32"/>
      <c r="L76" s="4"/>
      <c r="M76" s="4"/>
    </row>
    <row r="77" spans="1:13">
      <c r="A77" s="30"/>
      <c r="B77" s="31"/>
      <c r="C77" s="31"/>
      <c r="D77" s="31"/>
      <c r="E77" s="31"/>
      <c r="F77" s="31"/>
      <c r="G77" s="31"/>
      <c r="H77" s="31"/>
      <c r="I77" s="31"/>
      <c r="J77" s="31"/>
      <c r="K77" s="31"/>
      <c r="L77" s="4"/>
      <c r="M77" s="4"/>
    </row>
    <row r="78" spans="1:13">
      <c r="A78" s="5"/>
      <c r="B78" s="33"/>
      <c r="C78" s="33"/>
      <c r="D78" s="33"/>
      <c r="E78" s="33"/>
      <c r="F78" s="33"/>
      <c r="G78" s="33"/>
      <c r="H78" s="33"/>
      <c r="I78" s="33"/>
      <c r="J78" s="33"/>
      <c r="K78" s="33"/>
      <c r="L78" s="4"/>
      <c r="M78" s="4"/>
    </row>
    <row r="79" spans="1:13">
      <c r="A79" s="5"/>
      <c r="B79" s="33"/>
      <c r="C79" s="33"/>
      <c r="D79" s="33"/>
      <c r="E79" s="33"/>
      <c r="F79" s="33"/>
      <c r="G79" s="33"/>
      <c r="H79" s="33"/>
      <c r="I79" s="33"/>
      <c r="J79" s="33"/>
      <c r="K79" s="33"/>
      <c r="L79" s="4"/>
      <c r="M79" s="4"/>
    </row>
    <row r="80" spans="1:13">
      <c r="A80" s="4"/>
      <c r="B80" s="4"/>
      <c r="C80" s="30"/>
      <c r="D80" s="30"/>
      <c r="E80" s="30"/>
      <c r="F80" s="30"/>
      <c r="G80" s="30"/>
      <c r="H80" s="30"/>
      <c r="I80" s="30"/>
      <c r="J80" s="30"/>
      <c r="K80" s="30"/>
      <c r="L80" s="4"/>
      <c r="M80" s="4"/>
    </row>
    <row r="81" spans="1:13">
      <c r="A81" s="4"/>
      <c r="B81" s="4"/>
      <c r="C81" s="30"/>
      <c r="D81" s="30"/>
      <c r="E81" s="30"/>
      <c r="F81" s="30"/>
      <c r="G81" s="30"/>
      <c r="H81" s="30"/>
      <c r="I81" s="30"/>
      <c r="J81" s="30"/>
      <c r="K81" s="30"/>
      <c r="L81" s="4"/>
      <c r="M81" s="4"/>
    </row>
    <row r="82" spans="1:13">
      <c r="A82" s="34"/>
      <c r="B82" s="4"/>
      <c r="C82" s="30"/>
      <c r="D82" s="30"/>
      <c r="E82" s="30"/>
      <c r="F82" s="30"/>
      <c r="G82" s="30"/>
      <c r="H82" s="30"/>
      <c r="I82" s="30"/>
      <c r="J82" s="30"/>
      <c r="K82" s="30"/>
      <c r="L82" s="4"/>
      <c r="M82" s="4"/>
    </row>
    <row r="83" spans="1:13">
      <c r="A83" s="34"/>
      <c r="B83" s="4"/>
      <c r="C83" s="30"/>
      <c r="D83" s="30"/>
      <c r="E83" s="30"/>
      <c r="F83" s="30"/>
      <c r="G83" s="30"/>
      <c r="H83" s="30"/>
      <c r="I83" s="30"/>
      <c r="J83" s="30"/>
      <c r="K83" s="30"/>
      <c r="L83" s="4"/>
      <c r="M83" s="4"/>
    </row>
    <row r="84" spans="1:13">
      <c r="A84" s="30"/>
      <c r="B84" s="4"/>
      <c r="C84" s="30"/>
      <c r="D84" s="30"/>
      <c r="E84" s="30"/>
      <c r="F84" s="30"/>
      <c r="G84" s="30"/>
      <c r="H84" s="30"/>
      <c r="I84" s="30"/>
      <c r="J84" s="30"/>
      <c r="K84" s="30"/>
      <c r="L84" s="4"/>
      <c r="M84" s="4"/>
    </row>
    <row r="85" spans="1:13">
      <c r="A85" s="30"/>
      <c r="B85" s="4"/>
      <c r="C85" s="31"/>
      <c r="D85" s="30"/>
      <c r="E85" s="30"/>
      <c r="F85" s="30"/>
      <c r="G85" s="30"/>
      <c r="H85" s="30"/>
      <c r="I85" s="30"/>
      <c r="J85" s="30"/>
      <c r="K85" s="30"/>
      <c r="L85" s="4"/>
      <c r="M85" s="4"/>
    </row>
    <row r="86" spans="1:13">
      <c r="A86" s="30"/>
      <c r="B86" s="4"/>
      <c r="C86" s="4"/>
      <c r="D86" s="4"/>
      <c r="E86" s="4"/>
      <c r="F86" s="4"/>
      <c r="G86" s="4"/>
      <c r="H86" s="4"/>
      <c r="I86" s="4"/>
      <c r="J86" s="4"/>
      <c r="K86" s="4"/>
      <c r="L86" s="4"/>
      <c r="M86" s="4"/>
    </row>
    <row r="87" spans="1:13">
      <c r="A87" s="30"/>
      <c r="B87" s="4"/>
      <c r="C87" s="4"/>
      <c r="D87" s="4"/>
      <c r="E87" s="4"/>
      <c r="F87" s="4"/>
      <c r="G87" s="4"/>
      <c r="H87" s="4"/>
      <c r="I87" s="4"/>
      <c r="J87" s="4"/>
      <c r="K87" s="4"/>
      <c r="L87" s="4"/>
      <c r="M87" s="4"/>
    </row>
    <row r="88" spans="1:13">
      <c r="A88" s="35"/>
      <c r="B88" s="4"/>
      <c r="C88" s="4"/>
      <c r="D88" s="4"/>
      <c r="E88" s="4"/>
      <c r="F88" s="4"/>
      <c r="G88" s="4"/>
      <c r="H88" s="4"/>
      <c r="I88" s="4"/>
      <c r="J88" s="4"/>
      <c r="K88" s="4"/>
      <c r="L88" s="4"/>
      <c r="M88" s="4"/>
    </row>
    <row r="89" spans="1:13">
      <c r="A89" s="35"/>
      <c r="B89" s="4"/>
      <c r="C89" s="4"/>
      <c r="D89" s="4"/>
      <c r="E89" s="4"/>
      <c r="F89" s="4"/>
      <c r="G89" s="4"/>
      <c r="H89" s="4"/>
      <c r="I89" s="4"/>
      <c r="J89" s="4"/>
      <c r="K89" s="4"/>
      <c r="L89" s="4"/>
      <c r="M89" s="4"/>
    </row>
    <row r="90" spans="1:13">
      <c r="A90" s="4"/>
      <c r="B90" s="4"/>
      <c r="C90" s="4"/>
      <c r="D90" s="4"/>
      <c r="E90" s="4"/>
      <c r="F90" s="4"/>
      <c r="G90" s="4"/>
      <c r="H90" s="4"/>
      <c r="I90" s="4"/>
      <c r="J90" s="4"/>
      <c r="K90" s="4"/>
      <c r="L90" s="4"/>
      <c r="M90" s="4"/>
    </row>
    <row r="91" spans="1:13">
      <c r="A91" s="4"/>
      <c r="B91" s="4"/>
      <c r="C91" s="4"/>
      <c r="D91" s="4"/>
      <c r="E91" s="4"/>
      <c r="F91" s="4"/>
      <c r="G91" s="4"/>
      <c r="H91" s="4"/>
      <c r="I91" s="4"/>
      <c r="J91" s="4"/>
      <c r="K91" s="4"/>
      <c r="L91" s="4"/>
      <c r="M91" s="4"/>
    </row>
    <row r="92" spans="1:13">
      <c r="A92" s="4"/>
      <c r="B92" s="4"/>
      <c r="C92" s="4"/>
      <c r="D92" s="4"/>
      <c r="E92" s="4"/>
      <c r="F92" s="4"/>
      <c r="G92" s="4"/>
      <c r="H92" s="4"/>
      <c r="I92" s="4"/>
      <c r="J92" s="4"/>
      <c r="K92" s="4"/>
      <c r="L92" s="4"/>
      <c r="M92" s="4"/>
    </row>
    <row r="93" spans="1:13">
      <c r="A93" s="4"/>
      <c r="B93" s="4"/>
      <c r="C93" s="4"/>
      <c r="D93" s="4"/>
      <c r="E93" s="4"/>
      <c r="F93" s="4"/>
      <c r="G93" s="4"/>
      <c r="H93" s="4"/>
      <c r="I93" s="4"/>
      <c r="J93" s="4"/>
      <c r="K93" s="4"/>
      <c r="L93" s="4"/>
      <c r="M93" s="4"/>
    </row>
    <row r="94" spans="1:13">
      <c r="A94" s="4"/>
      <c r="B94" s="4"/>
      <c r="C94" s="4"/>
      <c r="D94" s="4"/>
      <c r="E94" s="4"/>
      <c r="F94" s="4"/>
      <c r="G94" s="4"/>
      <c r="H94" s="4"/>
      <c r="I94" s="4"/>
      <c r="J94" s="4"/>
      <c r="K94" s="4"/>
      <c r="L94" s="4"/>
      <c r="M94" s="4"/>
    </row>
    <row r="95" spans="1:13">
      <c r="A95" s="4"/>
      <c r="B95" s="4"/>
      <c r="C95" s="4"/>
      <c r="D95" s="4"/>
      <c r="E95" s="4"/>
      <c r="F95" s="4"/>
      <c r="G95" s="4"/>
      <c r="H95" s="4"/>
      <c r="I95" s="4"/>
      <c r="J95" s="4"/>
      <c r="K95" s="4"/>
      <c r="L95" s="4"/>
      <c r="M95" s="4"/>
    </row>
    <row r="96" spans="1:13">
      <c r="A96" s="4"/>
      <c r="B96" s="4"/>
      <c r="C96" s="4"/>
      <c r="D96" s="4"/>
      <c r="E96" s="4"/>
      <c r="F96" s="4"/>
      <c r="G96" s="4"/>
      <c r="H96" s="4"/>
      <c r="I96" s="4"/>
      <c r="J96" s="4"/>
      <c r="K96" s="4"/>
      <c r="L96" s="4"/>
      <c r="M96" s="4"/>
    </row>
    <row r="97" spans="1:13">
      <c r="A97" s="4"/>
      <c r="B97" s="4"/>
      <c r="C97" s="4"/>
      <c r="D97" s="4"/>
      <c r="E97" s="4"/>
      <c r="F97" s="4"/>
      <c r="G97" s="4"/>
      <c r="H97" s="4"/>
      <c r="I97" s="4"/>
      <c r="J97" s="4"/>
      <c r="K97" s="4"/>
      <c r="L97" s="4"/>
      <c r="M97" s="4"/>
    </row>
    <row r="98" spans="1:13">
      <c r="A98" s="4"/>
      <c r="B98" s="4"/>
      <c r="C98" s="4"/>
      <c r="D98" s="4"/>
      <c r="E98" s="4"/>
      <c r="F98" s="4"/>
      <c r="G98" s="4"/>
      <c r="H98" s="4"/>
      <c r="I98" s="4"/>
      <c r="J98" s="4"/>
      <c r="K98" s="4"/>
      <c r="L98" s="4"/>
      <c r="M98" s="4"/>
    </row>
    <row r="99" spans="1:13">
      <c r="A99" s="4"/>
      <c r="B99" s="4"/>
      <c r="C99" s="4"/>
      <c r="D99" s="4"/>
      <c r="E99" s="4"/>
      <c r="F99" s="4"/>
      <c r="G99" s="4"/>
      <c r="H99" s="4"/>
      <c r="I99" s="4"/>
      <c r="J99" s="4"/>
      <c r="K99" s="4"/>
      <c r="L99" s="4"/>
      <c r="M99" s="4"/>
    </row>
    <row r="100" spans="1:13">
      <c r="A100" s="4"/>
      <c r="B100" s="4"/>
      <c r="C100" s="4"/>
      <c r="D100" s="4"/>
      <c r="E100" s="4"/>
      <c r="F100" s="4"/>
      <c r="G100" s="4"/>
      <c r="H100" s="4"/>
      <c r="I100" s="4"/>
      <c r="J100" s="4"/>
      <c r="K100" s="4"/>
    </row>
    <row r="101" spans="1:13">
      <c r="A101" s="4"/>
      <c r="B101" s="4"/>
      <c r="C101" s="4"/>
      <c r="D101" s="4"/>
      <c r="E101" s="4"/>
      <c r="F101" s="4"/>
      <c r="G101" s="4"/>
      <c r="H101" s="4"/>
      <c r="I101" s="4"/>
      <c r="J101" s="4"/>
      <c r="K101" s="4"/>
    </row>
  </sheetData>
  <mergeCells count="26">
    <mergeCell ref="B3:F3"/>
    <mergeCell ref="G3:K3"/>
    <mergeCell ref="J4:J5"/>
    <mergeCell ref="K4:K5"/>
    <mergeCell ref="F4:F5"/>
    <mergeCell ref="G4:G5"/>
    <mergeCell ref="H4:H5"/>
    <mergeCell ref="I4:I5"/>
    <mergeCell ref="B4:B5"/>
    <mergeCell ref="C4:C5"/>
    <mergeCell ref="A45:L45"/>
    <mergeCell ref="A43:L43"/>
    <mergeCell ref="D4:D5"/>
    <mergeCell ref="E4:E5"/>
    <mergeCell ref="D52:D53"/>
    <mergeCell ref="E52:E53"/>
    <mergeCell ref="A42:K42"/>
    <mergeCell ref="J52:J53"/>
    <mergeCell ref="K52:K53"/>
    <mergeCell ref="B52:B53"/>
    <mergeCell ref="G52:G53"/>
    <mergeCell ref="H52:H53"/>
    <mergeCell ref="C52:C53"/>
    <mergeCell ref="F52:F53"/>
    <mergeCell ref="I52:I53"/>
    <mergeCell ref="A44:L44"/>
  </mergeCells>
  <phoneticPr fontId="35" type="noConversion"/>
  <pageMargins left="0.75" right="0.75" top="1" bottom="1" header="0.5" footer="0.5"/>
  <pageSetup scale="76" orientation="landscape" horizontalDpi="300" verticalDpi="300" r:id="rId1"/>
  <headerFooter alignWithMargins="0"/>
</worksheet>
</file>

<file path=xl/worksheets/sheet113.xml><?xml version="1.0" encoding="utf-8"?>
<worksheet xmlns="http://schemas.openxmlformats.org/spreadsheetml/2006/main" xmlns:r="http://schemas.openxmlformats.org/officeDocument/2006/relationships">
  <sheetPr codeName="Sheet72"/>
  <dimension ref="A1:AF57"/>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7" width="12.42578125" style="1" customWidth="1"/>
    <col min="8" max="8" width="14.42578125" style="1" customWidth="1"/>
    <col min="9" max="9" width="13.5703125" style="1" customWidth="1"/>
    <col min="10" max="10" width="16.28515625" style="1" customWidth="1"/>
    <col min="11" max="11" width="14" style="1" customWidth="1"/>
    <col min="12" max="24" width="8.85546875" style="1" hidden="1" customWidth="1"/>
    <col min="25" max="16384" width="9.140625" style="1"/>
  </cols>
  <sheetData>
    <row r="1" spans="1:32">
      <c r="B1" s="1073" t="s">
        <v>2194</v>
      </c>
    </row>
    <row r="3" spans="1:32">
      <c r="A3" s="119"/>
      <c r="B3" s="1172" t="s">
        <v>270</v>
      </c>
      <c r="C3" s="1172" t="s">
        <v>174</v>
      </c>
      <c r="D3" s="1172" t="s">
        <v>175</v>
      </c>
      <c r="E3" s="1172" t="s">
        <v>176</v>
      </c>
      <c r="F3" s="1172" t="s">
        <v>676</v>
      </c>
      <c r="G3" s="1172" t="s">
        <v>1763</v>
      </c>
      <c r="H3" s="1172" t="s">
        <v>69</v>
      </c>
      <c r="I3" s="1172" t="s">
        <v>70</v>
      </c>
      <c r="J3" s="1172" t="s">
        <v>1764</v>
      </c>
      <c r="K3" s="1172" t="s">
        <v>1765</v>
      </c>
    </row>
    <row r="4" spans="1:32" ht="42.75" customHeight="1">
      <c r="A4" s="1010"/>
      <c r="B4" s="1173"/>
      <c r="C4" s="1173"/>
      <c r="D4" s="1173"/>
      <c r="E4" s="1173"/>
      <c r="F4" s="1173"/>
      <c r="G4" s="1173"/>
      <c r="H4" s="1173"/>
      <c r="I4" s="1173"/>
      <c r="J4" s="1173"/>
      <c r="K4" s="1173"/>
      <c r="Z4" s="1" t="s">
        <v>1735</v>
      </c>
      <c r="AA4" s="1" t="s">
        <v>1748</v>
      </c>
      <c r="AB4" s="1" t="s">
        <v>1749</v>
      </c>
      <c r="AC4" s="1" t="s">
        <v>1750</v>
      </c>
      <c r="AD4" s="1" t="s">
        <v>1751</v>
      </c>
      <c r="AE4" s="1" t="s">
        <v>1752</v>
      </c>
      <c r="AF4" s="1" t="s">
        <v>1753</v>
      </c>
    </row>
    <row r="5" spans="1:32" ht="23.45" customHeight="1">
      <c r="A5" s="119"/>
      <c r="B5" s="676" t="s">
        <v>996</v>
      </c>
      <c r="C5" s="676" t="s">
        <v>997</v>
      </c>
      <c r="D5" s="676" t="s">
        <v>998</v>
      </c>
      <c r="E5" s="676" t="s">
        <v>999</v>
      </c>
      <c r="F5" s="676" t="s">
        <v>1000</v>
      </c>
      <c r="G5" s="676" t="s">
        <v>983</v>
      </c>
      <c r="H5" s="676" t="s">
        <v>516</v>
      </c>
      <c r="I5" s="676" t="s">
        <v>515</v>
      </c>
      <c r="J5" s="676" t="s">
        <v>517</v>
      </c>
      <c r="K5" s="676" t="s">
        <v>275</v>
      </c>
      <c r="Z5" s="1">
        <v>1976</v>
      </c>
      <c r="AA5" s="1">
        <v>743800</v>
      </c>
      <c r="AB5" s="1">
        <v>7800</v>
      </c>
      <c r="AC5" s="1">
        <v>71600</v>
      </c>
      <c r="AD5" s="1">
        <v>10500</v>
      </c>
      <c r="AE5" s="1">
        <v>18500</v>
      </c>
      <c r="AF5" s="1">
        <v>13.9</v>
      </c>
    </row>
    <row r="6" spans="1:32">
      <c r="A6" s="119">
        <v>1976</v>
      </c>
      <c r="B6" s="10">
        <f t="shared" ref="B6:F21" si="0">AA5/1000</f>
        <v>743.8</v>
      </c>
      <c r="C6" s="10">
        <f t="shared" si="0"/>
        <v>7.8</v>
      </c>
      <c r="D6" s="10">
        <f t="shared" si="0"/>
        <v>71.599999999999994</v>
      </c>
      <c r="E6" s="10">
        <f t="shared" si="0"/>
        <v>10.5</v>
      </c>
      <c r="F6" s="10">
        <f t="shared" si="0"/>
        <v>18.5</v>
      </c>
      <c r="G6" s="10">
        <v>13.9</v>
      </c>
      <c r="H6" s="10">
        <f t="shared" ref="H6:H34" si="1">(C6+D6)/B6*100</f>
        <v>10.674912610916913</v>
      </c>
      <c r="I6" s="10">
        <f t="shared" ref="I6:I34" si="2">(E6+F6)/B6*100</f>
        <v>3.8988975531056735</v>
      </c>
      <c r="J6" s="10">
        <f t="shared" ref="J6:J34" si="3">B6*52/G6</f>
        <v>2782.5611510791364</v>
      </c>
      <c r="K6" s="10">
        <f>J6/'37'!C4*100</f>
        <v>26.522558225187886</v>
      </c>
      <c r="Z6" s="1">
        <v>1977</v>
      </c>
      <c r="AA6" s="1">
        <v>868100</v>
      </c>
      <c r="AB6" s="1">
        <v>9700</v>
      </c>
      <c r="AC6" s="1">
        <v>89900</v>
      </c>
      <c r="AD6" s="1">
        <v>12100</v>
      </c>
      <c r="AE6" s="1">
        <v>25700</v>
      </c>
      <c r="AF6" s="1">
        <v>14.5</v>
      </c>
    </row>
    <row r="7" spans="1:32">
      <c r="A7" s="119">
        <v>1977</v>
      </c>
      <c r="B7" s="10">
        <f t="shared" si="0"/>
        <v>868.1</v>
      </c>
      <c r="C7" s="10">
        <f t="shared" si="0"/>
        <v>9.6999999999999993</v>
      </c>
      <c r="D7" s="10">
        <f t="shared" si="0"/>
        <v>89.9</v>
      </c>
      <c r="E7" s="10">
        <f t="shared" si="0"/>
        <v>12.1</v>
      </c>
      <c r="F7" s="10">
        <f t="shared" si="0"/>
        <v>25.7</v>
      </c>
      <c r="G7" s="10">
        <v>14.5</v>
      </c>
      <c r="H7" s="10">
        <f t="shared" si="1"/>
        <v>11.473332565372655</v>
      </c>
      <c r="I7" s="10">
        <f t="shared" si="2"/>
        <v>4.354337057942633</v>
      </c>
      <c r="J7" s="10">
        <f t="shared" si="3"/>
        <v>3113.186206896552</v>
      </c>
      <c r="K7" s="10">
        <f>J7/'37'!C5*100</f>
        <v>28.865354438457814</v>
      </c>
      <c r="Z7" s="1">
        <v>1978</v>
      </c>
      <c r="AA7" s="1">
        <v>934300</v>
      </c>
      <c r="AB7" s="1">
        <v>12400</v>
      </c>
      <c r="AC7" s="1">
        <v>103900</v>
      </c>
      <c r="AD7" s="1">
        <v>14000</v>
      </c>
      <c r="AE7" s="1">
        <v>35100</v>
      </c>
      <c r="AF7" s="1">
        <v>15.5</v>
      </c>
    </row>
    <row r="8" spans="1:32">
      <c r="A8" s="119">
        <v>1978</v>
      </c>
      <c r="B8" s="10">
        <f t="shared" si="0"/>
        <v>934.3</v>
      </c>
      <c r="C8" s="10">
        <f t="shared" si="0"/>
        <v>12.4</v>
      </c>
      <c r="D8" s="10">
        <f t="shared" si="0"/>
        <v>103.9</v>
      </c>
      <c r="E8" s="10">
        <f t="shared" si="0"/>
        <v>14</v>
      </c>
      <c r="F8" s="10">
        <f t="shared" si="0"/>
        <v>35.1</v>
      </c>
      <c r="G8" s="10">
        <v>15.5</v>
      </c>
      <c r="H8" s="10">
        <f t="shared" si="1"/>
        <v>12.447821898747726</v>
      </c>
      <c r="I8" s="10">
        <f t="shared" si="2"/>
        <v>5.255271326126512</v>
      </c>
      <c r="J8" s="10">
        <f t="shared" si="3"/>
        <v>3134.425806451613</v>
      </c>
      <c r="K8" s="10">
        <f>J8/'37'!C6*100</f>
        <v>28.099849447327674</v>
      </c>
      <c r="Z8" s="1">
        <v>1979</v>
      </c>
      <c r="AA8" s="1">
        <v>868200</v>
      </c>
      <c r="AB8" s="1">
        <v>11200</v>
      </c>
      <c r="AC8" s="1">
        <v>86700</v>
      </c>
      <c r="AD8" s="1">
        <v>11800</v>
      </c>
      <c r="AE8" s="1">
        <v>32800</v>
      </c>
      <c r="AF8" s="1">
        <v>14.9</v>
      </c>
    </row>
    <row r="9" spans="1:32">
      <c r="A9" s="119">
        <v>1979</v>
      </c>
      <c r="B9" s="10">
        <f t="shared" si="0"/>
        <v>868.2</v>
      </c>
      <c r="C9" s="10">
        <f t="shared" si="0"/>
        <v>11.2</v>
      </c>
      <c r="D9" s="10">
        <f t="shared" si="0"/>
        <v>86.7</v>
      </c>
      <c r="E9" s="10">
        <f t="shared" si="0"/>
        <v>11.8</v>
      </c>
      <c r="F9" s="10">
        <f t="shared" si="0"/>
        <v>32.799999999999997</v>
      </c>
      <c r="G9" s="10">
        <v>14.9</v>
      </c>
      <c r="H9" s="10">
        <f t="shared" si="1"/>
        <v>11.276203639714351</v>
      </c>
      <c r="I9" s="10">
        <f t="shared" si="2"/>
        <v>5.1370651923519919</v>
      </c>
      <c r="J9" s="10">
        <f t="shared" si="3"/>
        <v>3029.959731543624</v>
      </c>
      <c r="K9" s="10">
        <f>J9/'37'!C7*100</f>
        <v>26.26366059222849</v>
      </c>
      <c r="Z9" s="1">
        <v>1980</v>
      </c>
      <c r="AA9" s="1">
        <v>895300</v>
      </c>
      <c r="AB9" s="1">
        <v>10900</v>
      </c>
      <c r="AC9" s="1">
        <v>89000</v>
      </c>
      <c r="AD9" s="1">
        <v>12600</v>
      </c>
      <c r="AE9" s="1">
        <v>33300</v>
      </c>
      <c r="AF9" s="1">
        <v>14.7</v>
      </c>
    </row>
    <row r="10" spans="1:32">
      <c r="A10" s="119">
        <v>1980</v>
      </c>
      <c r="B10" s="10">
        <f t="shared" si="0"/>
        <v>895.3</v>
      </c>
      <c r="C10" s="10">
        <f t="shared" si="0"/>
        <v>10.9</v>
      </c>
      <c r="D10" s="10">
        <f t="shared" si="0"/>
        <v>89</v>
      </c>
      <c r="E10" s="10">
        <f t="shared" si="0"/>
        <v>12.6</v>
      </c>
      <c r="F10" s="10">
        <f t="shared" si="0"/>
        <v>33.299999999999997</v>
      </c>
      <c r="G10" s="10">
        <v>14.7</v>
      </c>
      <c r="H10" s="10">
        <f t="shared" si="1"/>
        <v>11.158270970624374</v>
      </c>
      <c r="I10" s="10">
        <f t="shared" si="2"/>
        <v>5.1267731486652517</v>
      </c>
      <c r="J10" s="10">
        <f t="shared" si="3"/>
        <v>3167.0476190476193</v>
      </c>
      <c r="K10" s="10">
        <f>J10/'37'!C8*100</f>
        <v>26.659996456450823</v>
      </c>
      <c r="Z10" s="1">
        <v>1981</v>
      </c>
      <c r="AA10" s="1">
        <v>930800</v>
      </c>
      <c r="AB10" s="1">
        <v>10300</v>
      </c>
      <c r="AC10" s="1">
        <v>93700</v>
      </c>
      <c r="AD10" s="1">
        <v>11800</v>
      </c>
      <c r="AE10" s="1">
        <v>41000</v>
      </c>
      <c r="AF10" s="1">
        <v>15.2</v>
      </c>
    </row>
    <row r="11" spans="1:32">
      <c r="A11" s="119">
        <v>1981</v>
      </c>
      <c r="B11" s="10">
        <f t="shared" si="0"/>
        <v>930.8</v>
      </c>
      <c r="C11" s="10">
        <f t="shared" si="0"/>
        <v>10.3</v>
      </c>
      <c r="D11" s="10">
        <f t="shared" si="0"/>
        <v>93.7</v>
      </c>
      <c r="E11" s="10">
        <f t="shared" si="0"/>
        <v>11.8</v>
      </c>
      <c r="F11" s="10">
        <f t="shared" si="0"/>
        <v>41</v>
      </c>
      <c r="G11" s="10">
        <v>15.2</v>
      </c>
      <c r="H11" s="10">
        <f t="shared" si="1"/>
        <v>11.173184357541901</v>
      </c>
      <c r="I11" s="10">
        <f>(E11+F11)/B11*100</f>
        <v>5.6725397507520414</v>
      </c>
      <c r="J11" s="10">
        <f t="shared" si="3"/>
        <v>3184.3157894736842</v>
      </c>
      <c r="K11" s="10">
        <f>J11/'37'!C9*100</f>
        <v>26.024581878370718</v>
      </c>
      <c r="O11" s="1">
        <f>(I11/100)*B11*1000</f>
        <v>52800</v>
      </c>
      <c r="Z11" s="1">
        <v>1982</v>
      </c>
      <c r="AA11" s="1">
        <v>1358200</v>
      </c>
      <c r="AB11" s="1">
        <v>19700</v>
      </c>
      <c r="AC11" s="1">
        <v>176500</v>
      </c>
      <c r="AD11" s="1">
        <v>22600</v>
      </c>
      <c r="AE11" s="1">
        <v>71000</v>
      </c>
      <c r="AF11" s="1">
        <v>17.399999999999999</v>
      </c>
    </row>
    <row r="12" spans="1:32">
      <c r="A12" s="119">
        <v>1982</v>
      </c>
      <c r="B12" s="10">
        <f t="shared" si="0"/>
        <v>1358.2</v>
      </c>
      <c r="C12" s="10">
        <f t="shared" si="0"/>
        <v>19.7</v>
      </c>
      <c r="D12" s="10">
        <f t="shared" si="0"/>
        <v>176.5</v>
      </c>
      <c r="E12" s="10">
        <f t="shared" si="0"/>
        <v>22.6</v>
      </c>
      <c r="F12" s="10">
        <f t="shared" si="0"/>
        <v>71</v>
      </c>
      <c r="G12" s="10">
        <v>17.399999999999999</v>
      </c>
      <c r="H12" s="10">
        <f t="shared" si="1"/>
        <v>14.445589751141217</v>
      </c>
      <c r="I12" s="10">
        <f t="shared" si="2"/>
        <v>6.8914740097187437</v>
      </c>
      <c r="J12" s="10">
        <f t="shared" si="3"/>
        <v>4058.9885057471274</v>
      </c>
      <c r="K12" s="10">
        <f>J12/'37'!C10*100</f>
        <v>32.995078002789249</v>
      </c>
      <c r="O12" s="1">
        <f t="shared" ref="O12:O36" si="4">(I12/100)*B12*1000</f>
        <v>93599.999999999985</v>
      </c>
      <c r="Z12" s="1">
        <v>1983</v>
      </c>
      <c r="AA12" s="1">
        <v>1505600</v>
      </c>
      <c r="AB12" s="1">
        <v>25700</v>
      </c>
      <c r="AC12" s="1">
        <v>244600</v>
      </c>
      <c r="AD12" s="1">
        <v>33200</v>
      </c>
      <c r="AE12" s="1">
        <v>144800</v>
      </c>
      <c r="AF12" s="1">
        <v>21.9</v>
      </c>
    </row>
    <row r="13" spans="1:32">
      <c r="A13" s="119">
        <v>1983</v>
      </c>
      <c r="B13" s="10">
        <f t="shared" si="0"/>
        <v>1505.6</v>
      </c>
      <c r="C13" s="10">
        <f t="shared" si="0"/>
        <v>25.7</v>
      </c>
      <c r="D13" s="10">
        <f t="shared" si="0"/>
        <v>244.6</v>
      </c>
      <c r="E13" s="10">
        <f t="shared" si="0"/>
        <v>33.200000000000003</v>
      </c>
      <c r="F13" s="10">
        <f t="shared" si="0"/>
        <v>144.80000000000001</v>
      </c>
      <c r="G13" s="10">
        <v>21.9</v>
      </c>
      <c r="H13" s="10">
        <f t="shared" si="1"/>
        <v>17.95297555791711</v>
      </c>
      <c r="I13" s="10">
        <f t="shared" si="2"/>
        <v>11.822529224229545</v>
      </c>
      <c r="J13" s="10">
        <f t="shared" si="3"/>
        <v>3574.9406392694063</v>
      </c>
      <c r="K13" s="10">
        <f>J13/'37'!C11*100</f>
        <v>28.536516485754703</v>
      </c>
      <c r="O13" s="1">
        <f t="shared" si="4"/>
        <v>178000</v>
      </c>
      <c r="Z13" s="1">
        <v>1984</v>
      </c>
      <c r="AA13" s="1">
        <v>1446200</v>
      </c>
      <c r="AB13" s="1">
        <v>19700</v>
      </c>
      <c r="AC13" s="1">
        <v>208300</v>
      </c>
      <c r="AD13" s="1">
        <v>26400</v>
      </c>
      <c r="AE13" s="1">
        <v>143600</v>
      </c>
      <c r="AF13" s="1">
        <v>21.6</v>
      </c>
    </row>
    <row r="14" spans="1:32">
      <c r="A14" s="119">
        <v>1984</v>
      </c>
      <c r="B14" s="10">
        <f>AA13/1000</f>
        <v>1446.2</v>
      </c>
      <c r="C14" s="10">
        <f>AB13/1000</f>
        <v>19.7</v>
      </c>
      <c r="D14" s="10">
        <f>AC13/1000</f>
        <v>208.3</v>
      </c>
      <c r="E14" s="10">
        <f>AD13/1000</f>
        <v>26.4</v>
      </c>
      <c r="F14" s="10">
        <f>AE13/1000</f>
        <v>143.6</v>
      </c>
      <c r="G14" s="10">
        <v>21.6</v>
      </c>
      <c r="H14" s="10">
        <f t="shared" si="1"/>
        <v>15.765454294011894</v>
      </c>
      <c r="I14" s="10">
        <f t="shared" si="2"/>
        <v>11.754943991149219</v>
      </c>
      <c r="J14" s="10">
        <f t="shared" si="3"/>
        <v>3481.5925925925926</v>
      </c>
      <c r="K14" s="10">
        <f>J14/'37'!C12*100</f>
        <v>27.311106869308617</v>
      </c>
      <c r="O14" s="1">
        <f t="shared" si="4"/>
        <v>170000.00000000003</v>
      </c>
      <c r="Z14" s="1">
        <v>1985</v>
      </c>
      <c r="AA14" s="1">
        <v>1385100</v>
      </c>
      <c r="AB14" s="1">
        <v>19400</v>
      </c>
      <c r="AC14" s="1">
        <v>192700</v>
      </c>
      <c r="AD14" s="1">
        <v>23700</v>
      </c>
      <c r="AE14" s="1">
        <v>142200</v>
      </c>
      <c r="AF14" s="1">
        <v>21.8</v>
      </c>
    </row>
    <row r="15" spans="1:32">
      <c r="A15" s="119">
        <v>1985</v>
      </c>
      <c r="B15" s="10">
        <f t="shared" si="0"/>
        <v>1385.1</v>
      </c>
      <c r="C15" s="10">
        <f t="shared" si="0"/>
        <v>19.399999999999999</v>
      </c>
      <c r="D15" s="10">
        <f t="shared" si="0"/>
        <v>192.7</v>
      </c>
      <c r="E15" s="10">
        <f t="shared" si="0"/>
        <v>23.7</v>
      </c>
      <c r="F15" s="10">
        <f t="shared" si="0"/>
        <v>142.19999999999999</v>
      </c>
      <c r="G15" s="10">
        <v>21.8</v>
      </c>
      <c r="H15" s="10">
        <f t="shared" si="1"/>
        <v>15.312973792505957</v>
      </c>
      <c r="I15" s="10">
        <f t="shared" si="2"/>
        <v>11.977474550573964</v>
      </c>
      <c r="J15" s="10">
        <f t="shared" si="3"/>
        <v>3303.9082568807339</v>
      </c>
      <c r="K15" s="10">
        <f>J15/'37'!C13*100</f>
        <v>25.390460306175139</v>
      </c>
      <c r="O15" s="1">
        <f t="shared" si="4"/>
        <v>165899.99999999997</v>
      </c>
      <c r="Z15" s="1">
        <v>1986</v>
      </c>
      <c r="AA15" s="1">
        <v>1285500</v>
      </c>
      <c r="AB15" s="1">
        <v>17400</v>
      </c>
      <c r="AC15" s="1">
        <v>169000</v>
      </c>
      <c r="AD15" s="1">
        <v>20700</v>
      </c>
      <c r="AE15" s="1">
        <v>114000</v>
      </c>
      <c r="AF15" s="1">
        <v>20.399999999999999</v>
      </c>
    </row>
    <row r="16" spans="1:32">
      <c r="A16" s="119">
        <v>1986</v>
      </c>
      <c r="B16" s="10">
        <f t="shared" si="0"/>
        <v>1285.5</v>
      </c>
      <c r="C16" s="10">
        <f t="shared" si="0"/>
        <v>17.399999999999999</v>
      </c>
      <c r="D16" s="10">
        <f t="shared" si="0"/>
        <v>169</v>
      </c>
      <c r="E16" s="10">
        <f t="shared" si="0"/>
        <v>20.7</v>
      </c>
      <c r="F16" s="10">
        <f t="shared" si="0"/>
        <v>114</v>
      </c>
      <c r="G16" s="10">
        <v>20.399999999999999</v>
      </c>
      <c r="H16" s="10">
        <f t="shared" si="1"/>
        <v>14.500194476857253</v>
      </c>
      <c r="I16" s="10">
        <f t="shared" si="2"/>
        <v>10.478413068844807</v>
      </c>
      <c r="J16" s="10">
        <f t="shared" si="3"/>
        <v>3276.7647058823532</v>
      </c>
      <c r="K16" s="10">
        <f>J16/'37'!C14*100</f>
        <v>24.689120078076211</v>
      </c>
      <c r="O16" s="1">
        <f t="shared" si="4"/>
        <v>134700</v>
      </c>
      <c r="Z16" s="1">
        <v>1987</v>
      </c>
      <c r="AA16" s="1">
        <v>1193000</v>
      </c>
      <c r="AB16" s="1">
        <v>17000</v>
      </c>
      <c r="AC16" s="1">
        <v>154700</v>
      </c>
      <c r="AD16" s="1">
        <v>15700</v>
      </c>
      <c r="AE16" s="1">
        <v>109700</v>
      </c>
      <c r="AF16" s="1">
        <v>20.5</v>
      </c>
    </row>
    <row r="17" spans="1:32">
      <c r="A17" s="119">
        <v>1987</v>
      </c>
      <c r="B17" s="10">
        <f t="shared" si="0"/>
        <v>1193</v>
      </c>
      <c r="C17" s="10">
        <f t="shared" si="0"/>
        <v>17</v>
      </c>
      <c r="D17" s="10">
        <f t="shared" si="0"/>
        <v>154.69999999999999</v>
      </c>
      <c r="E17" s="10">
        <f t="shared" si="0"/>
        <v>15.7</v>
      </c>
      <c r="F17" s="10">
        <f t="shared" si="0"/>
        <v>109.7</v>
      </c>
      <c r="G17" s="10">
        <v>20.5</v>
      </c>
      <c r="H17" s="10">
        <f t="shared" si="1"/>
        <v>14.392288348700754</v>
      </c>
      <c r="I17" s="10">
        <f t="shared" si="2"/>
        <v>10.511316010058676</v>
      </c>
      <c r="J17" s="10">
        <f t="shared" si="3"/>
        <v>3026.1463414634145</v>
      </c>
      <c r="K17" s="10">
        <f>J17/'37'!C15*100</f>
        <v>22.372810449973493</v>
      </c>
      <c r="O17" s="1">
        <f t="shared" si="4"/>
        <v>125400</v>
      </c>
      <c r="Z17" s="1">
        <v>1988</v>
      </c>
      <c r="AA17" s="1">
        <v>1069500</v>
      </c>
      <c r="AB17" s="1">
        <v>14200</v>
      </c>
      <c r="AC17" s="1">
        <v>123600</v>
      </c>
      <c r="AD17" s="1">
        <v>15700</v>
      </c>
      <c r="AE17" s="1">
        <v>77000</v>
      </c>
      <c r="AF17" s="1">
        <v>18.399999999999999</v>
      </c>
    </row>
    <row r="18" spans="1:32">
      <c r="A18" s="119">
        <v>1988</v>
      </c>
      <c r="B18" s="10">
        <f t="shared" si="0"/>
        <v>1069.5</v>
      </c>
      <c r="C18" s="10">
        <f t="shared" si="0"/>
        <v>14.2</v>
      </c>
      <c r="D18" s="10">
        <f t="shared" si="0"/>
        <v>123.6</v>
      </c>
      <c r="E18" s="10">
        <f t="shared" si="0"/>
        <v>15.7</v>
      </c>
      <c r="F18" s="10">
        <f t="shared" si="0"/>
        <v>77</v>
      </c>
      <c r="G18" s="10">
        <v>18.399999999999999</v>
      </c>
      <c r="H18" s="10">
        <f t="shared" si="1"/>
        <v>12.884525479195885</v>
      </c>
      <c r="I18" s="10">
        <f t="shared" si="2"/>
        <v>8.6676016830294529</v>
      </c>
      <c r="J18" s="10">
        <f t="shared" si="3"/>
        <v>3022.5000000000005</v>
      </c>
      <c r="K18" s="10">
        <f>J18/'37'!C16*100</f>
        <v>21.935394909682056</v>
      </c>
      <c r="O18" s="1">
        <f t="shared" si="4"/>
        <v>92699.999999999985</v>
      </c>
      <c r="Z18" s="1">
        <v>1989</v>
      </c>
      <c r="AA18" s="1">
        <v>1060800</v>
      </c>
      <c r="AB18" s="1">
        <v>14400</v>
      </c>
      <c r="AC18" s="1">
        <v>129900</v>
      </c>
      <c r="AD18" s="1">
        <v>14500</v>
      </c>
      <c r="AE18" s="1">
        <v>71500</v>
      </c>
      <c r="AF18" s="1">
        <v>18.100000000000001</v>
      </c>
    </row>
    <row r="19" spans="1:32">
      <c r="A19" s="119">
        <v>1989</v>
      </c>
      <c r="B19" s="10">
        <f t="shared" si="0"/>
        <v>1060.8</v>
      </c>
      <c r="C19" s="10">
        <f t="shared" si="0"/>
        <v>14.4</v>
      </c>
      <c r="D19" s="10">
        <f t="shared" si="0"/>
        <v>129.9</v>
      </c>
      <c r="E19" s="10">
        <f t="shared" si="0"/>
        <v>14.5</v>
      </c>
      <c r="F19" s="10">
        <f t="shared" si="0"/>
        <v>71.5</v>
      </c>
      <c r="G19" s="10">
        <v>18.100000000000001</v>
      </c>
      <c r="H19" s="10">
        <f t="shared" si="1"/>
        <v>13.602941176470591</v>
      </c>
      <c r="I19" s="10">
        <f t="shared" si="2"/>
        <v>8.1070889894419302</v>
      </c>
      <c r="J19" s="10">
        <f t="shared" si="3"/>
        <v>3047.6022099447509</v>
      </c>
      <c r="K19" s="10">
        <f>J19/'37'!C17*100</f>
        <v>21.68031735039305</v>
      </c>
      <c r="O19" s="1">
        <f t="shared" si="4"/>
        <v>85999.999999999985</v>
      </c>
      <c r="Z19" s="1">
        <v>1990</v>
      </c>
      <c r="AA19" s="1">
        <v>1158300</v>
      </c>
      <c r="AB19" s="1">
        <v>14300</v>
      </c>
      <c r="AC19" s="1">
        <v>132400</v>
      </c>
      <c r="AD19" s="1">
        <v>16800</v>
      </c>
      <c r="AE19" s="1">
        <v>65000</v>
      </c>
      <c r="AF19" s="1">
        <v>16.899999999999999</v>
      </c>
    </row>
    <row r="20" spans="1:32">
      <c r="A20" s="119">
        <v>1990</v>
      </c>
      <c r="B20" s="10">
        <f t="shared" si="0"/>
        <v>1158.3</v>
      </c>
      <c r="C20" s="10">
        <f t="shared" si="0"/>
        <v>14.3</v>
      </c>
      <c r="D20" s="10">
        <f t="shared" si="0"/>
        <v>132.4</v>
      </c>
      <c r="E20" s="10">
        <f t="shared" si="0"/>
        <v>16.8</v>
      </c>
      <c r="F20" s="10">
        <f t="shared" si="0"/>
        <v>65</v>
      </c>
      <c r="G20" s="10">
        <v>16.899999999999999</v>
      </c>
      <c r="H20" s="10">
        <f t="shared" si="1"/>
        <v>12.665112665112668</v>
      </c>
      <c r="I20" s="10">
        <f t="shared" si="2"/>
        <v>7.062073728740395</v>
      </c>
      <c r="J20" s="10">
        <f t="shared" si="3"/>
        <v>3564</v>
      </c>
      <c r="K20" s="10">
        <f>J20/'37'!C18*100</f>
        <v>25.020007581820479</v>
      </c>
      <c r="O20" s="1">
        <f t="shared" si="4"/>
        <v>81800</v>
      </c>
      <c r="Z20" s="1">
        <v>1991</v>
      </c>
      <c r="AA20" s="1">
        <v>1479000</v>
      </c>
      <c r="AB20" s="1">
        <v>22500</v>
      </c>
      <c r="AC20" s="1">
        <v>213600</v>
      </c>
      <c r="AD20" s="1">
        <v>24900</v>
      </c>
      <c r="AE20" s="1">
        <v>106100</v>
      </c>
      <c r="AF20" s="1">
        <v>19.3</v>
      </c>
    </row>
    <row r="21" spans="1:32">
      <c r="A21" s="119">
        <v>1991</v>
      </c>
      <c r="B21" s="10">
        <f t="shared" si="0"/>
        <v>1479</v>
      </c>
      <c r="C21" s="10">
        <f t="shared" si="0"/>
        <v>22.5</v>
      </c>
      <c r="D21" s="10">
        <f t="shared" si="0"/>
        <v>213.6</v>
      </c>
      <c r="E21" s="10">
        <f t="shared" si="0"/>
        <v>24.9</v>
      </c>
      <c r="F21" s="10">
        <f t="shared" si="0"/>
        <v>106.1</v>
      </c>
      <c r="G21" s="10">
        <v>19.3</v>
      </c>
      <c r="H21" s="10">
        <f t="shared" si="1"/>
        <v>15.963488843813387</v>
      </c>
      <c r="I21" s="10">
        <f t="shared" si="2"/>
        <v>8.8573360378634209</v>
      </c>
      <c r="J21" s="10">
        <f t="shared" si="3"/>
        <v>3984.8704663212434</v>
      </c>
      <c r="K21" s="10">
        <f>J21/'37'!C19*100</f>
        <v>27.795668801024277</v>
      </c>
      <c r="O21" s="1">
        <f t="shared" si="4"/>
        <v>131000</v>
      </c>
      <c r="Z21" s="1">
        <v>1992</v>
      </c>
      <c r="AA21" s="1">
        <v>1605200</v>
      </c>
      <c r="AB21" s="1">
        <v>25700</v>
      </c>
      <c r="AC21" s="1">
        <v>239200</v>
      </c>
      <c r="AD21" s="1">
        <v>35000</v>
      </c>
      <c r="AE21" s="1">
        <v>177600</v>
      </c>
      <c r="AF21" s="1">
        <v>22.6</v>
      </c>
    </row>
    <row r="22" spans="1:32">
      <c r="A22" s="119">
        <v>1992</v>
      </c>
      <c r="B22" s="10">
        <f t="shared" ref="B22:F38" si="5">AA21/1000</f>
        <v>1605.2</v>
      </c>
      <c r="C22" s="10">
        <f t="shared" si="5"/>
        <v>25.7</v>
      </c>
      <c r="D22" s="10">
        <f t="shared" si="5"/>
        <v>239.2</v>
      </c>
      <c r="E22" s="10">
        <f t="shared" si="5"/>
        <v>35</v>
      </c>
      <c r="F22" s="10">
        <f t="shared" si="5"/>
        <v>177.6</v>
      </c>
      <c r="G22" s="10">
        <v>22.6</v>
      </c>
      <c r="H22" s="10">
        <f t="shared" si="1"/>
        <v>16.502616496386739</v>
      </c>
      <c r="I22" s="10">
        <f t="shared" si="2"/>
        <v>13.244455519561424</v>
      </c>
      <c r="J22" s="10">
        <f t="shared" si="3"/>
        <v>3693.3805309734516</v>
      </c>
      <c r="K22" s="10">
        <f>J22/'37'!C20*100</f>
        <v>25.762798327114428</v>
      </c>
      <c r="O22" s="1">
        <f t="shared" si="4"/>
        <v>212600</v>
      </c>
      <c r="Z22" s="1">
        <v>1993</v>
      </c>
      <c r="AA22" s="1">
        <v>1642300</v>
      </c>
      <c r="AB22" s="1">
        <v>26000</v>
      </c>
      <c r="AC22" s="1">
        <v>241600</v>
      </c>
      <c r="AD22" s="1">
        <v>38400</v>
      </c>
      <c r="AE22" s="1">
        <v>227700</v>
      </c>
      <c r="AF22" s="1">
        <v>25.2</v>
      </c>
    </row>
    <row r="23" spans="1:32">
      <c r="A23" s="119">
        <v>1993</v>
      </c>
      <c r="B23" s="10">
        <f t="shared" si="5"/>
        <v>1642.3</v>
      </c>
      <c r="C23" s="10">
        <f t="shared" si="5"/>
        <v>26</v>
      </c>
      <c r="D23" s="10">
        <f t="shared" si="5"/>
        <v>241.6</v>
      </c>
      <c r="E23" s="10">
        <f t="shared" si="5"/>
        <v>38.4</v>
      </c>
      <c r="F23" s="10">
        <f t="shared" si="5"/>
        <v>227.7</v>
      </c>
      <c r="G23" s="10">
        <v>25.2</v>
      </c>
      <c r="H23" s="10">
        <f t="shared" si="1"/>
        <v>16.294221518601962</v>
      </c>
      <c r="I23" s="10">
        <f t="shared" si="2"/>
        <v>16.20288619618827</v>
      </c>
      <c r="J23" s="10">
        <f t="shared" si="3"/>
        <v>3388.8730158730154</v>
      </c>
      <c r="K23" s="10">
        <f>J23/'37'!C21*100</f>
        <v>23.476778772933947</v>
      </c>
      <c r="O23" s="1">
        <f t="shared" si="4"/>
        <v>266099.99999999994</v>
      </c>
      <c r="Z23" s="1">
        <v>1994</v>
      </c>
      <c r="AA23" s="1">
        <v>1515000</v>
      </c>
      <c r="AB23" s="1">
        <v>24900</v>
      </c>
      <c r="AC23" s="1">
        <v>194400</v>
      </c>
      <c r="AD23" s="1">
        <v>39000</v>
      </c>
      <c r="AE23" s="1">
        <v>225300</v>
      </c>
      <c r="AF23" s="1">
        <v>25.7</v>
      </c>
    </row>
    <row r="24" spans="1:32">
      <c r="A24" s="119">
        <v>1994</v>
      </c>
      <c r="B24" s="10">
        <f t="shared" si="5"/>
        <v>1515</v>
      </c>
      <c r="C24" s="10">
        <f t="shared" si="5"/>
        <v>24.9</v>
      </c>
      <c r="D24" s="10">
        <f t="shared" si="5"/>
        <v>194.4</v>
      </c>
      <c r="E24" s="10">
        <f t="shared" si="5"/>
        <v>39</v>
      </c>
      <c r="F24" s="10">
        <f t="shared" si="5"/>
        <v>225.3</v>
      </c>
      <c r="G24" s="10">
        <v>25.7</v>
      </c>
      <c r="H24" s="10">
        <f t="shared" si="1"/>
        <v>14.475247524752477</v>
      </c>
      <c r="I24" s="10">
        <f t="shared" si="2"/>
        <v>17.445544554455449</v>
      </c>
      <c r="J24" s="10">
        <f t="shared" si="3"/>
        <v>3065.3696498054474</v>
      </c>
      <c r="K24" s="10">
        <f>J24/'37'!C22*100</f>
        <v>21.033571775221439</v>
      </c>
      <c r="O24" s="1">
        <f t="shared" si="4"/>
        <v>264300.00000000006</v>
      </c>
      <c r="Z24" s="1">
        <v>1995</v>
      </c>
      <c r="AA24" s="1">
        <v>1393800</v>
      </c>
      <c r="AB24" s="1">
        <v>20300</v>
      </c>
      <c r="AC24" s="1">
        <v>152100</v>
      </c>
      <c r="AD24" s="1">
        <v>34500</v>
      </c>
      <c r="AE24" s="1">
        <v>193000</v>
      </c>
      <c r="AF24" s="1">
        <v>24.4</v>
      </c>
    </row>
    <row r="25" spans="1:32">
      <c r="A25" s="119">
        <v>1995</v>
      </c>
      <c r="B25" s="10">
        <f t="shared" si="5"/>
        <v>1393.8</v>
      </c>
      <c r="C25" s="10">
        <f t="shared" si="5"/>
        <v>20.3</v>
      </c>
      <c r="D25" s="10">
        <f t="shared" si="5"/>
        <v>152.1</v>
      </c>
      <c r="E25" s="10">
        <f t="shared" si="5"/>
        <v>34.5</v>
      </c>
      <c r="F25" s="10">
        <f t="shared" si="5"/>
        <v>193</v>
      </c>
      <c r="G25" s="10">
        <v>24.4</v>
      </c>
      <c r="H25" s="10">
        <f t="shared" si="1"/>
        <v>12.369062993255849</v>
      </c>
      <c r="I25" s="10">
        <f t="shared" si="2"/>
        <v>16.322284402353279</v>
      </c>
      <c r="J25" s="10">
        <f t="shared" si="3"/>
        <v>2970.3934426229507</v>
      </c>
      <c r="K25" s="10">
        <f>J25/'37'!C23*100</f>
        <v>20.221614809676161</v>
      </c>
      <c r="O25" s="1">
        <f t="shared" si="4"/>
        <v>227500</v>
      </c>
      <c r="Z25" s="1">
        <v>1996</v>
      </c>
      <c r="AA25" s="1">
        <v>1432200</v>
      </c>
      <c r="AB25" s="1">
        <v>22000</v>
      </c>
      <c r="AC25" s="1">
        <v>153600</v>
      </c>
      <c r="AD25" s="1">
        <v>39100</v>
      </c>
      <c r="AE25" s="1">
        <v>195100</v>
      </c>
      <c r="AF25" s="1">
        <v>24.1</v>
      </c>
    </row>
    <row r="26" spans="1:32">
      <c r="A26" s="119">
        <v>1996</v>
      </c>
      <c r="B26" s="10">
        <f t="shared" si="5"/>
        <v>1432.2</v>
      </c>
      <c r="C26" s="10">
        <f t="shared" si="5"/>
        <v>22</v>
      </c>
      <c r="D26" s="10">
        <f t="shared" si="5"/>
        <v>153.6</v>
      </c>
      <c r="E26" s="10">
        <f t="shared" si="5"/>
        <v>39.1</v>
      </c>
      <c r="F26" s="10">
        <f t="shared" si="5"/>
        <v>195.1</v>
      </c>
      <c r="G26" s="10">
        <v>24.1</v>
      </c>
      <c r="H26" s="10">
        <f t="shared" si="1"/>
        <v>12.260857422147744</v>
      </c>
      <c r="I26" s="10">
        <f t="shared" si="2"/>
        <v>16.352464739561512</v>
      </c>
      <c r="J26" s="10">
        <f t="shared" si="3"/>
        <v>3090.2240663900416</v>
      </c>
      <c r="K26" s="10">
        <f>J26/'37'!C24*100</f>
        <v>20.804686211263618</v>
      </c>
      <c r="O26" s="1">
        <f t="shared" si="4"/>
        <v>234200</v>
      </c>
      <c r="Z26" s="1">
        <v>1997</v>
      </c>
      <c r="AA26" s="1">
        <v>1373100</v>
      </c>
      <c r="AB26" s="1">
        <v>16300</v>
      </c>
      <c r="AC26" s="1">
        <v>127400</v>
      </c>
      <c r="AD26" s="1">
        <v>47100</v>
      </c>
      <c r="AE26" s="1">
        <v>167500</v>
      </c>
      <c r="AF26" s="1">
        <v>22.3</v>
      </c>
    </row>
    <row r="27" spans="1:32">
      <c r="A27" s="119">
        <v>1997</v>
      </c>
      <c r="B27" s="10">
        <f t="shared" si="5"/>
        <v>1373.1</v>
      </c>
      <c r="C27" s="10">
        <f t="shared" si="5"/>
        <v>16.3</v>
      </c>
      <c r="D27" s="10">
        <f t="shared" si="5"/>
        <v>127.4</v>
      </c>
      <c r="E27" s="10">
        <f t="shared" si="5"/>
        <v>47.1</v>
      </c>
      <c r="F27" s="10">
        <f t="shared" si="5"/>
        <v>167.5</v>
      </c>
      <c r="G27" s="10">
        <v>22.3</v>
      </c>
      <c r="H27" s="10">
        <f t="shared" si="1"/>
        <v>10.465370329910424</v>
      </c>
      <c r="I27" s="10">
        <f t="shared" si="2"/>
        <v>15.628868982594129</v>
      </c>
      <c r="J27" s="10">
        <f t="shared" si="3"/>
        <v>3201.8475336322867</v>
      </c>
      <c r="K27" s="10">
        <f>J27/'37'!C25*100</f>
        <v>21.233677962426714</v>
      </c>
      <c r="O27" s="1">
        <f t="shared" si="4"/>
        <v>214599.99999999997</v>
      </c>
      <c r="Z27" s="1">
        <v>1998</v>
      </c>
      <c r="AA27" s="1">
        <v>1270100</v>
      </c>
      <c r="AB27" s="1">
        <v>14600</v>
      </c>
      <c r="AC27" s="1">
        <v>112900</v>
      </c>
      <c r="AD27" s="1">
        <v>46600</v>
      </c>
      <c r="AE27" s="1">
        <v>122600</v>
      </c>
      <c r="AF27" s="1">
        <v>20.3</v>
      </c>
    </row>
    <row r="28" spans="1:32">
      <c r="A28" s="119">
        <v>1998</v>
      </c>
      <c r="B28" s="10">
        <f t="shared" si="5"/>
        <v>1270.0999999999999</v>
      </c>
      <c r="C28" s="10">
        <f t="shared" si="5"/>
        <v>14.6</v>
      </c>
      <c r="D28" s="10">
        <f t="shared" si="5"/>
        <v>112.9</v>
      </c>
      <c r="E28" s="10">
        <f t="shared" si="5"/>
        <v>46.6</v>
      </c>
      <c r="F28" s="10">
        <f t="shared" si="5"/>
        <v>122.6</v>
      </c>
      <c r="G28" s="10">
        <v>20.3</v>
      </c>
      <c r="H28" s="10">
        <f t="shared" si="1"/>
        <v>10.038579639398474</v>
      </c>
      <c r="I28" s="10">
        <f t="shared" si="2"/>
        <v>13.321785686166443</v>
      </c>
      <c r="J28" s="10">
        <f t="shared" si="3"/>
        <v>3253.4581280788175</v>
      </c>
      <c r="K28" s="10">
        <f>J28/'37'!C26*100</f>
        <v>21.24180205453548</v>
      </c>
      <c r="O28" s="1">
        <f t="shared" si="4"/>
        <v>169200</v>
      </c>
      <c r="Z28" s="1">
        <v>1999</v>
      </c>
      <c r="AA28" s="1">
        <v>1181600</v>
      </c>
      <c r="AB28" s="1">
        <v>13400</v>
      </c>
      <c r="AC28" s="1">
        <v>97500</v>
      </c>
      <c r="AD28" s="1">
        <v>37800</v>
      </c>
      <c r="AE28" s="1">
        <v>95000</v>
      </c>
      <c r="AF28" s="1">
        <v>18.8</v>
      </c>
    </row>
    <row r="29" spans="1:32">
      <c r="A29" s="119">
        <v>1999</v>
      </c>
      <c r="B29" s="10">
        <f t="shared" si="5"/>
        <v>1181.5999999999999</v>
      </c>
      <c r="C29" s="10">
        <f t="shared" si="5"/>
        <v>13.4</v>
      </c>
      <c r="D29" s="10">
        <f t="shared" si="5"/>
        <v>97.5</v>
      </c>
      <c r="E29" s="10">
        <f t="shared" si="5"/>
        <v>37.799999999999997</v>
      </c>
      <c r="F29" s="10">
        <f t="shared" si="5"/>
        <v>95</v>
      </c>
      <c r="G29" s="10">
        <v>18.8</v>
      </c>
      <c r="H29" s="10">
        <f t="shared" si="1"/>
        <v>9.3855788761002046</v>
      </c>
      <c r="I29" s="10">
        <f t="shared" si="2"/>
        <v>11.238997968855791</v>
      </c>
      <c r="J29" s="10">
        <f t="shared" si="3"/>
        <v>3268.255319148936</v>
      </c>
      <c r="K29" s="10">
        <f>J29/'37'!C27*100</f>
        <v>20.966079169306056</v>
      </c>
      <c r="O29" s="1">
        <f t="shared" si="4"/>
        <v>132800.00000000003</v>
      </c>
      <c r="Z29" s="1">
        <v>2000</v>
      </c>
      <c r="AA29" s="1">
        <v>1082800</v>
      </c>
      <c r="AB29" s="1">
        <v>10900</v>
      </c>
      <c r="AC29" s="1">
        <v>74500</v>
      </c>
      <c r="AD29" s="1">
        <v>42900</v>
      </c>
      <c r="AE29" s="1">
        <v>73300</v>
      </c>
      <c r="AF29" s="1">
        <v>17.2</v>
      </c>
    </row>
    <row r="30" spans="1:32">
      <c r="A30" s="119">
        <v>2000</v>
      </c>
      <c r="B30" s="10">
        <f t="shared" si="5"/>
        <v>1082.8</v>
      </c>
      <c r="C30" s="10">
        <f t="shared" si="5"/>
        <v>10.9</v>
      </c>
      <c r="D30" s="10">
        <f t="shared" si="5"/>
        <v>74.5</v>
      </c>
      <c r="E30" s="10">
        <f t="shared" si="5"/>
        <v>42.9</v>
      </c>
      <c r="F30" s="10">
        <f t="shared" si="5"/>
        <v>73.3</v>
      </c>
      <c r="G30" s="10">
        <v>17.2</v>
      </c>
      <c r="H30" s="10">
        <f t="shared" si="1"/>
        <v>7.8869597340229038</v>
      </c>
      <c r="I30" s="10">
        <f t="shared" si="2"/>
        <v>10.731437015145918</v>
      </c>
      <c r="J30" s="10">
        <f t="shared" si="3"/>
        <v>3273.5813953488373</v>
      </c>
      <c r="K30" s="10">
        <f>J30/'37'!C28*100</f>
        <v>20.657420302573591</v>
      </c>
      <c r="L30" s="1">
        <f t="shared" ref="L30:L35" si="6">E30+F30</f>
        <v>116.19999999999999</v>
      </c>
      <c r="O30" s="1">
        <f t="shared" si="4"/>
        <v>116200</v>
      </c>
      <c r="Z30" s="1">
        <v>2001</v>
      </c>
      <c r="AA30" s="1">
        <v>1163600</v>
      </c>
      <c r="AB30" s="1">
        <v>10300</v>
      </c>
      <c r="AC30" s="1">
        <v>70700</v>
      </c>
      <c r="AD30" s="1">
        <v>48100</v>
      </c>
      <c r="AE30" s="1">
        <v>57100</v>
      </c>
      <c r="AF30" s="1">
        <v>15.4</v>
      </c>
    </row>
    <row r="31" spans="1:32">
      <c r="A31" s="119">
        <v>2001</v>
      </c>
      <c r="B31" s="10">
        <f t="shared" si="5"/>
        <v>1163.5999999999999</v>
      </c>
      <c r="C31" s="10">
        <f t="shared" si="5"/>
        <v>10.3</v>
      </c>
      <c r="D31" s="10">
        <f t="shared" si="5"/>
        <v>70.7</v>
      </c>
      <c r="E31" s="10">
        <f t="shared" si="5"/>
        <v>48.1</v>
      </c>
      <c r="F31" s="10">
        <f t="shared" si="5"/>
        <v>57.1</v>
      </c>
      <c r="G31" s="10">
        <v>15.4</v>
      </c>
      <c r="H31" s="10">
        <f t="shared" si="1"/>
        <v>6.961155036094878</v>
      </c>
      <c r="I31" s="10">
        <f t="shared" si="2"/>
        <v>9.0409075283602611</v>
      </c>
      <c r="J31" s="10">
        <f t="shared" si="3"/>
        <v>3929.0389610389607</v>
      </c>
      <c r="K31" s="10">
        <f>J31/'37'!C29*100</f>
        <v>24.389123148884288</v>
      </c>
      <c r="L31" s="1">
        <f t="shared" si="6"/>
        <v>105.2</v>
      </c>
      <c r="O31" s="1">
        <f t="shared" si="4"/>
        <v>105199.99999999999</v>
      </c>
      <c r="Z31" s="1">
        <v>2002</v>
      </c>
      <c r="AA31" s="1">
        <v>1268900</v>
      </c>
      <c r="AB31" s="1">
        <v>13800</v>
      </c>
      <c r="AC31" s="1">
        <v>94000</v>
      </c>
      <c r="AD31" s="1">
        <v>52900</v>
      </c>
      <c r="AE31" s="1">
        <v>63800</v>
      </c>
      <c r="AF31" s="1">
        <v>16.100000000000001</v>
      </c>
    </row>
    <row r="32" spans="1:32">
      <c r="A32" s="119">
        <v>2002</v>
      </c>
      <c r="B32" s="10">
        <f t="shared" si="5"/>
        <v>1268.9000000000001</v>
      </c>
      <c r="C32" s="10">
        <f t="shared" si="5"/>
        <v>13.8</v>
      </c>
      <c r="D32" s="10">
        <f t="shared" si="5"/>
        <v>94</v>
      </c>
      <c r="E32" s="10">
        <f t="shared" si="5"/>
        <v>52.9</v>
      </c>
      <c r="F32" s="10">
        <f t="shared" si="5"/>
        <v>63.8</v>
      </c>
      <c r="G32" s="10">
        <v>16.100000000000001</v>
      </c>
      <c r="H32" s="10">
        <f t="shared" si="1"/>
        <v>8.4955473244542521</v>
      </c>
      <c r="I32" s="10">
        <f t="shared" si="2"/>
        <v>9.1969422334305282</v>
      </c>
      <c r="J32" s="10">
        <f t="shared" si="3"/>
        <v>4098.3105590062114</v>
      </c>
      <c r="K32" s="10">
        <f>J32/'37'!C30*100</f>
        <v>24.719442672526654</v>
      </c>
      <c r="L32" s="1">
        <f t="shared" si="6"/>
        <v>116.69999999999999</v>
      </c>
      <c r="O32" s="1">
        <f t="shared" si="4"/>
        <v>116699.99999999999</v>
      </c>
      <c r="Z32" s="1">
        <v>2003</v>
      </c>
      <c r="AA32" s="1">
        <v>1286200</v>
      </c>
      <c r="AB32" s="1">
        <v>14700</v>
      </c>
      <c r="AC32" s="1">
        <v>87600</v>
      </c>
      <c r="AD32" s="1">
        <v>57500</v>
      </c>
      <c r="AE32" s="1">
        <v>65500</v>
      </c>
      <c r="AF32" s="1">
        <v>16</v>
      </c>
    </row>
    <row r="33" spans="1:32">
      <c r="A33" s="119">
        <v>2003</v>
      </c>
      <c r="B33" s="10">
        <f t="shared" si="5"/>
        <v>1286.2</v>
      </c>
      <c r="C33" s="10">
        <f t="shared" si="5"/>
        <v>14.7</v>
      </c>
      <c r="D33" s="10">
        <f t="shared" si="5"/>
        <v>87.6</v>
      </c>
      <c r="E33" s="10">
        <f t="shared" si="5"/>
        <v>57.5</v>
      </c>
      <c r="F33" s="10">
        <f t="shared" si="5"/>
        <v>65.5</v>
      </c>
      <c r="G33" s="10">
        <v>16</v>
      </c>
      <c r="H33" s="10">
        <f t="shared" si="1"/>
        <v>7.9536619499300256</v>
      </c>
      <c r="I33" s="10">
        <f t="shared" si="2"/>
        <v>9.5630539573938727</v>
      </c>
      <c r="J33" s="10">
        <f t="shared" si="3"/>
        <v>4180.1500000000005</v>
      </c>
      <c r="K33" s="10">
        <f>J33/'37'!C31*100</f>
        <v>24.649290916059797</v>
      </c>
      <c r="L33" s="1">
        <f t="shared" si="6"/>
        <v>123</v>
      </c>
      <c r="O33" s="1">
        <f t="shared" si="4"/>
        <v>123000</v>
      </c>
      <c r="Z33" s="1">
        <v>2004</v>
      </c>
      <c r="AA33" s="1">
        <v>1235300</v>
      </c>
      <c r="AB33" s="1">
        <v>11900</v>
      </c>
      <c r="AC33" s="1">
        <v>85100</v>
      </c>
      <c r="AD33" s="1">
        <v>54800</v>
      </c>
      <c r="AE33" s="1">
        <v>57400</v>
      </c>
      <c r="AF33" s="1">
        <v>15.5</v>
      </c>
    </row>
    <row r="34" spans="1:32">
      <c r="A34" s="119">
        <v>2004</v>
      </c>
      <c r="B34" s="10">
        <f t="shared" si="5"/>
        <v>1235.3</v>
      </c>
      <c r="C34" s="10">
        <f t="shared" si="5"/>
        <v>11.9</v>
      </c>
      <c r="D34" s="10">
        <f t="shared" si="5"/>
        <v>85.1</v>
      </c>
      <c r="E34" s="10">
        <f t="shared" si="5"/>
        <v>54.8</v>
      </c>
      <c r="F34" s="10">
        <f t="shared" si="5"/>
        <v>57.4</v>
      </c>
      <c r="G34" s="10">
        <v>15.5</v>
      </c>
      <c r="H34" s="10">
        <f t="shared" si="1"/>
        <v>7.8523435602687615</v>
      </c>
      <c r="I34" s="10">
        <f t="shared" si="2"/>
        <v>9.0828138913624219</v>
      </c>
      <c r="J34" s="10">
        <f t="shared" si="3"/>
        <v>4144.2322580645159</v>
      </c>
      <c r="K34" s="10">
        <f>J34/'37'!C32*100</f>
        <v>24.119193926683366</v>
      </c>
      <c r="L34" s="1">
        <f t="shared" si="6"/>
        <v>112.19999999999999</v>
      </c>
      <c r="O34" s="1">
        <f t="shared" si="4"/>
        <v>112199.99999999999</v>
      </c>
      <c r="Z34" s="1">
        <v>2005</v>
      </c>
      <c r="AA34" s="1">
        <v>1172800</v>
      </c>
      <c r="AB34" s="1">
        <v>12200</v>
      </c>
      <c r="AC34" s="1">
        <v>72000</v>
      </c>
      <c r="AD34" s="1">
        <v>50400</v>
      </c>
      <c r="AE34" s="1">
        <v>57400</v>
      </c>
      <c r="AF34" s="1">
        <v>15.5</v>
      </c>
    </row>
    <row r="35" spans="1:32">
      <c r="A35" s="119">
        <v>2005</v>
      </c>
      <c r="B35" s="10">
        <f t="shared" si="5"/>
        <v>1172.8</v>
      </c>
      <c r="C35" s="10">
        <f t="shared" si="5"/>
        <v>12.2</v>
      </c>
      <c r="D35" s="10">
        <f t="shared" si="5"/>
        <v>72</v>
      </c>
      <c r="E35" s="10">
        <f t="shared" si="5"/>
        <v>50.4</v>
      </c>
      <c r="F35" s="10">
        <f t="shared" si="5"/>
        <v>57.4</v>
      </c>
      <c r="G35" s="10">
        <v>15.5</v>
      </c>
      <c r="H35" s="10">
        <f>(C35+D35)/B35*100</f>
        <v>7.179399727148704</v>
      </c>
      <c r="I35" s="10">
        <f>(E35+F35)/B35*100</f>
        <v>9.1916780354706678</v>
      </c>
      <c r="J35" s="10">
        <f>B35*52/G35</f>
        <v>3934.5548387096774</v>
      </c>
      <c r="K35" s="10">
        <f>J35/'37'!C33*100</f>
        <v>22.687225898709983</v>
      </c>
      <c r="L35" s="1">
        <f t="shared" si="6"/>
        <v>107.8</v>
      </c>
      <c r="O35" s="1">
        <f t="shared" si="4"/>
        <v>107800</v>
      </c>
      <c r="Z35" s="1">
        <v>2006</v>
      </c>
      <c r="AA35" s="1">
        <v>1108400</v>
      </c>
      <c r="AB35" s="1">
        <v>10200</v>
      </c>
      <c r="AC35" s="1">
        <v>66200</v>
      </c>
      <c r="AD35" s="1">
        <v>41400</v>
      </c>
      <c r="AE35" s="1">
        <v>50400</v>
      </c>
      <c r="AF35" s="1">
        <v>14.6</v>
      </c>
    </row>
    <row r="36" spans="1:32">
      <c r="A36" s="119">
        <v>2006</v>
      </c>
      <c r="B36" s="10">
        <f t="shared" si="5"/>
        <v>1108.4000000000001</v>
      </c>
      <c r="C36" s="10">
        <f t="shared" si="5"/>
        <v>10.199999999999999</v>
      </c>
      <c r="D36" s="10">
        <f t="shared" si="5"/>
        <v>66.2</v>
      </c>
      <c r="E36" s="10">
        <f t="shared" si="5"/>
        <v>41.4</v>
      </c>
      <c r="F36" s="10">
        <f t="shared" si="5"/>
        <v>50.4</v>
      </c>
      <c r="G36" s="10">
        <v>14.6</v>
      </c>
      <c r="H36" s="10">
        <f>(C36+D36)/B36*100</f>
        <v>6.8928184770840852</v>
      </c>
      <c r="I36" s="10">
        <f>(E36+F36)/B36*100</f>
        <v>8.2822085889570545</v>
      </c>
      <c r="J36" s="10">
        <f>B36*52/G36</f>
        <v>3947.7260273972606</v>
      </c>
      <c r="K36" s="10">
        <f>J36/'37'!C34*100</f>
        <v>22.43944129073974</v>
      </c>
      <c r="L36" s="1">
        <f>AVERAGE(L30:L35)</f>
        <v>113.51666666666665</v>
      </c>
      <c r="O36" s="1">
        <f t="shared" si="4"/>
        <v>91800</v>
      </c>
      <c r="Z36" s="1">
        <v>2007</v>
      </c>
      <c r="AA36" s="1">
        <v>1079400</v>
      </c>
      <c r="AB36" s="1">
        <v>8800</v>
      </c>
      <c r="AC36" s="1">
        <v>66300</v>
      </c>
      <c r="AD36" s="1">
        <v>30100</v>
      </c>
      <c r="AE36" s="1">
        <v>46200</v>
      </c>
      <c r="AF36" s="1">
        <v>14</v>
      </c>
    </row>
    <row r="37" spans="1:32">
      <c r="A37" s="119">
        <v>2007</v>
      </c>
      <c r="B37" s="10">
        <f t="shared" si="5"/>
        <v>1079.4000000000001</v>
      </c>
      <c r="C37" s="10">
        <f t="shared" si="5"/>
        <v>8.8000000000000007</v>
      </c>
      <c r="D37" s="10">
        <f t="shared" si="5"/>
        <v>66.3</v>
      </c>
      <c r="E37" s="10">
        <f t="shared" si="5"/>
        <v>30.1</v>
      </c>
      <c r="F37" s="10">
        <f t="shared" si="5"/>
        <v>46.2</v>
      </c>
      <c r="G37" s="10">
        <v>14</v>
      </c>
      <c r="H37" s="10">
        <f>(C37+D37)/B37*100</f>
        <v>6.9575690198258284</v>
      </c>
      <c r="I37" s="10">
        <f>(E37+F37)/B37*100</f>
        <v>7.0687418936446171</v>
      </c>
      <c r="J37" s="10">
        <f>B37*52/G37</f>
        <v>4009.2000000000003</v>
      </c>
      <c r="K37" s="10">
        <f>J37/'37'!C35*100</f>
        <v>22.340603372376826</v>
      </c>
      <c r="Z37" s="1">
        <v>2008</v>
      </c>
      <c r="AA37" s="1">
        <v>1119300</v>
      </c>
      <c r="AB37" s="1">
        <v>10900</v>
      </c>
      <c r="AC37" s="1">
        <v>69000</v>
      </c>
      <c r="AD37" s="1">
        <v>32800</v>
      </c>
      <c r="AE37" s="1">
        <v>42400</v>
      </c>
      <c r="AF37" s="1">
        <v>13.7</v>
      </c>
    </row>
    <row r="38" spans="1:32">
      <c r="A38" s="119">
        <v>2008</v>
      </c>
      <c r="B38" s="10">
        <f t="shared" si="5"/>
        <v>1119.3</v>
      </c>
      <c r="C38" s="10">
        <f t="shared" si="5"/>
        <v>10.9</v>
      </c>
      <c r="D38" s="10">
        <f t="shared" si="5"/>
        <v>69</v>
      </c>
      <c r="E38" s="10">
        <f t="shared" si="5"/>
        <v>32.799999999999997</v>
      </c>
      <c r="F38" s="10">
        <f t="shared" si="5"/>
        <v>42.4</v>
      </c>
      <c r="G38" s="10">
        <v>13.7</v>
      </c>
      <c r="H38" s="10">
        <f>(C38+D38)/B38*100</f>
        <v>7.1383900652193342</v>
      </c>
      <c r="I38" s="10">
        <f>(E38+F38)/B38*100</f>
        <v>6.7184847672652541</v>
      </c>
      <c r="J38" s="10">
        <f>B38*52/G38</f>
        <v>4248.4379562043796</v>
      </c>
      <c r="K38" s="10">
        <f>J38/'37'!C36*100</f>
        <v>23.285364049549631</v>
      </c>
    </row>
    <row r="39" spans="1:32">
      <c r="A39" s="2"/>
      <c r="G39" s="1" t="s">
        <v>802</v>
      </c>
      <c r="L39" s="1">
        <f>AVERAGE(L31:L36)</f>
        <v>113.06944444444444</v>
      </c>
    </row>
    <row r="40" spans="1:32">
      <c r="A40" s="119" t="s">
        <v>603</v>
      </c>
      <c r="B40" s="644">
        <f t="shared" ref="B40:K40" si="7">((((B19/B11))^(1/8))-1)*100</f>
        <v>1.6476030617109227</v>
      </c>
      <c r="C40" s="644">
        <f t="shared" si="7"/>
        <v>4.2775114752018339</v>
      </c>
      <c r="D40" s="644">
        <f t="shared" si="7"/>
        <v>4.1678486820987182</v>
      </c>
      <c r="E40" s="644">
        <f t="shared" si="7"/>
        <v>2.6090695222028559</v>
      </c>
      <c r="F40" s="644">
        <f t="shared" si="7"/>
        <v>7.1988862219967142</v>
      </c>
      <c r="G40" s="644">
        <f t="shared" si="7"/>
        <v>2.2067016802580941</v>
      </c>
      <c r="H40" s="644">
        <f t="shared" si="7"/>
        <v>2.4901153498945172</v>
      </c>
      <c r="I40" s="644">
        <f t="shared" si="7"/>
        <v>4.5648994162403422</v>
      </c>
      <c r="J40" s="644">
        <f t="shared" si="7"/>
        <v>-0.54702735667593316</v>
      </c>
      <c r="K40" s="644">
        <f t="shared" si="7"/>
        <v>-2.2570968425108417</v>
      </c>
      <c r="V40" s="1" t="e">
        <f>((((V20/V12))^(1/8))-1)*100</f>
        <v>#DIV/0!</v>
      </c>
      <c r="W40" s="1" t="e">
        <f>((((W20/W12))^(1/8))-1)*100</f>
        <v>#DIV/0!</v>
      </c>
    </row>
    <row r="41" spans="1:32">
      <c r="A41" s="119" t="s">
        <v>604</v>
      </c>
      <c r="B41" s="644">
        <f>((((B30/B19))^(1/11))-1)*100</f>
        <v>0.18678275214942808</v>
      </c>
      <c r="C41" s="644">
        <f t="shared" ref="C41:K41" si="8">((((C30/C19))^(1/11))-1)*100</f>
        <v>-2.4997299203684431</v>
      </c>
      <c r="D41" s="644">
        <f t="shared" si="8"/>
        <v>-4.928633043483643</v>
      </c>
      <c r="E41" s="644">
        <f t="shared" si="8"/>
        <v>10.363711966210998</v>
      </c>
      <c r="F41" s="644">
        <f t="shared" si="8"/>
        <v>0.22628435741272046</v>
      </c>
      <c r="G41" s="644">
        <f t="shared" si="8"/>
        <v>-0.46258634424256595</v>
      </c>
      <c r="H41" s="644">
        <f t="shared" si="8"/>
        <v>-4.8344615026700737</v>
      </c>
      <c r="I41" s="644">
        <f t="shared" si="8"/>
        <v>2.5822181220680474</v>
      </c>
      <c r="J41" s="644">
        <f t="shared" si="8"/>
        <v>0.65238694933120733</v>
      </c>
      <c r="K41" s="644">
        <f t="shared" si="8"/>
        <v>-0.43840186339834109</v>
      </c>
      <c r="V41" s="1" t="e">
        <f>((((V31/V20))^(1/11))-1)*100</f>
        <v>#DIV/0!</v>
      </c>
      <c r="W41" s="1" t="e">
        <f>((((W31/W20))^(1/11))-1)*100</f>
        <v>#DIV/0!</v>
      </c>
    </row>
    <row r="42" spans="1:32">
      <c r="A42" s="119" t="s">
        <v>447</v>
      </c>
      <c r="B42" s="644">
        <f t="shared" ref="B42:K42" si="9">((((B37/B11))^(1/26))-1)*100</f>
        <v>0.57130335921080633</v>
      </c>
      <c r="C42" s="644">
        <f t="shared" si="9"/>
        <v>-0.60352593564323431</v>
      </c>
      <c r="D42" s="644">
        <f t="shared" si="9"/>
        <v>-1.3216055847461994</v>
      </c>
      <c r="E42" s="644">
        <f t="shared" si="9"/>
        <v>3.6672817494764365</v>
      </c>
      <c r="F42" s="644">
        <f t="shared" si="9"/>
        <v>0.46031672269017943</v>
      </c>
      <c r="G42" s="644">
        <f t="shared" si="9"/>
        <v>-0.31580067518205412</v>
      </c>
      <c r="H42" s="644">
        <f t="shared" si="9"/>
        <v>-1.8053754825506974</v>
      </c>
      <c r="I42" s="644">
        <f t="shared" si="9"/>
        <v>0.84992060046329421</v>
      </c>
      <c r="J42" s="644">
        <f t="shared" si="9"/>
        <v>0.88991439004515449</v>
      </c>
      <c r="K42" s="644">
        <f t="shared" si="9"/>
        <v>-0.585340729424777</v>
      </c>
    </row>
    <row r="43" spans="1:32">
      <c r="A43" s="119" t="s">
        <v>1408</v>
      </c>
      <c r="B43" s="644">
        <f t="shared" ref="B43:K43" si="10">((((B38/B11))^(1/27))-1)*100</f>
        <v>0.68535393907096509</v>
      </c>
      <c r="C43" s="644">
        <f t="shared" si="10"/>
        <v>0.20991963080150278</v>
      </c>
      <c r="D43" s="644">
        <f t="shared" si="10"/>
        <v>-1.1269048537145721</v>
      </c>
      <c r="E43" s="644">
        <f t="shared" si="10"/>
        <v>3.8590012884276659</v>
      </c>
      <c r="F43" s="644">
        <f t="shared" si="10"/>
        <v>0.12443400506862989</v>
      </c>
      <c r="G43" s="644">
        <f t="shared" si="10"/>
        <v>-0.38407385726003662</v>
      </c>
      <c r="H43" s="644">
        <f t="shared" si="10"/>
        <v>-1.6456764123934819</v>
      </c>
      <c r="I43" s="644">
        <f t="shared" si="10"/>
        <v>0.62873012425106456</v>
      </c>
      <c r="J43" s="644">
        <f t="shared" si="10"/>
        <v>1.0735510251629998</v>
      </c>
      <c r="K43" s="644">
        <f t="shared" si="10"/>
        <v>-0.41106590309639701</v>
      </c>
      <c r="V43" s="1" t="e">
        <f>((((V34/V12))^(1/22))-1)*100</f>
        <v>#DIV/0!</v>
      </c>
      <c r="W43" s="1" t="e">
        <f>((((W34/W12))^(1/22))-1)*100</f>
        <v>#DIV/0!</v>
      </c>
    </row>
    <row r="44" spans="1:32">
      <c r="A44" s="119" t="s">
        <v>818</v>
      </c>
      <c r="B44" s="644">
        <f t="shared" ref="B44:K44" si="11">((((B36/B30))^(1/6))-1)*100</f>
        <v>0.39021361268969379</v>
      </c>
      <c r="C44" s="644">
        <f t="shared" si="11"/>
        <v>-1.1001546924732097</v>
      </c>
      <c r="D44" s="644">
        <f t="shared" si="11"/>
        <v>-1.9493931073210624</v>
      </c>
      <c r="E44" s="644">
        <f t="shared" si="11"/>
        <v>-0.59142656499103774</v>
      </c>
      <c r="F44" s="644">
        <f t="shared" si="11"/>
        <v>-6.051952151792273</v>
      </c>
      <c r="G44" s="644">
        <f t="shared" si="11"/>
        <v>-2.6944971130865691</v>
      </c>
      <c r="H44" s="644">
        <f t="shared" si="11"/>
        <v>-2.2204870547404942</v>
      </c>
      <c r="I44" s="644">
        <f t="shared" si="11"/>
        <v>-4.2259071387011122</v>
      </c>
      <c r="J44" s="644">
        <f t="shared" si="11"/>
        <v>3.1701297812120943</v>
      </c>
      <c r="K44" s="644">
        <f t="shared" si="11"/>
        <v>1.3886465373901702</v>
      </c>
      <c r="V44" s="1" t="e">
        <f>((((V34/V31))^(1/3))-1)*100</f>
        <v>#DIV/0!</v>
      </c>
      <c r="W44" s="1" t="e">
        <f>((((W34/W31))^(1/3))-1)*100</f>
        <v>#DIV/0!</v>
      </c>
    </row>
    <row r="45" spans="1:32">
      <c r="A45" s="119" t="s">
        <v>449</v>
      </c>
      <c r="B45" s="644">
        <f t="shared" ref="B45:K45" si="12">((((B37/B30))^(1/7))-1)*100</f>
        <v>-4.491773118814324E-2</v>
      </c>
      <c r="C45" s="644">
        <f t="shared" si="12"/>
        <v>-3.0110381847209489</v>
      </c>
      <c r="D45" s="644">
        <f t="shared" si="12"/>
        <v>-1.6520476274057061</v>
      </c>
      <c r="E45" s="644">
        <f t="shared" si="12"/>
        <v>-4.9361058628933696</v>
      </c>
      <c r="F45" s="644">
        <f t="shared" si="12"/>
        <v>-6.3813074609311844</v>
      </c>
      <c r="G45" s="644">
        <f t="shared" si="12"/>
        <v>-2.8979245259159292</v>
      </c>
      <c r="H45" s="644">
        <f t="shared" si="12"/>
        <v>-1.7752055799930444</v>
      </c>
      <c r="I45" s="644">
        <f t="shared" si="12"/>
        <v>-5.7898383365670885</v>
      </c>
      <c r="J45" s="644">
        <f t="shared" si="12"/>
        <v>2.9381522287741824</v>
      </c>
      <c r="K45" s="644">
        <f t="shared" si="12"/>
        <v>1.1253017084224437</v>
      </c>
      <c r="V45" s="1" t="e">
        <f>((((V39/V32))^(1/3))-1)*100</f>
        <v>#DIV/0!</v>
      </c>
      <c r="W45" s="1" t="e">
        <f>((((W39/W32))^(1/3))-1)*100</f>
        <v>#DIV/0!</v>
      </c>
    </row>
    <row r="46" spans="1:32">
      <c r="A46" s="119" t="s">
        <v>1410</v>
      </c>
      <c r="B46" s="644">
        <f>((((B38/B30))^(1/8))-1)*100</f>
        <v>0.41527502640101854</v>
      </c>
      <c r="C46" s="644">
        <f t="shared" ref="C46:K46" si="13">((((C38/C30))^(1/8))-1)*100</f>
        <v>0</v>
      </c>
      <c r="D46" s="644">
        <f t="shared" si="13"/>
        <v>-0.95407728506199385</v>
      </c>
      <c r="E46" s="644">
        <f t="shared" si="13"/>
        <v>-3.2998675488692619</v>
      </c>
      <c r="F46" s="644">
        <f t="shared" si="13"/>
        <v>-6.61379323474881</v>
      </c>
      <c r="G46" s="644">
        <f t="shared" si="13"/>
        <v>-2.8038606442910452</v>
      </c>
      <c r="H46" s="644">
        <f t="shared" si="13"/>
        <v>-1.2388060718904081</v>
      </c>
      <c r="I46" s="644">
        <f t="shared" si="13"/>
        <v>-5.6858875836057532</v>
      </c>
      <c r="J46" s="644">
        <f t="shared" si="13"/>
        <v>3.311999521823572</v>
      </c>
      <c r="K46" s="644">
        <f t="shared" si="13"/>
        <v>1.5081396027758265</v>
      </c>
    </row>
    <row r="47" spans="1:32">
      <c r="A47" s="2"/>
      <c r="G47" s="1" t="s">
        <v>276</v>
      </c>
    </row>
    <row r="48" spans="1:32">
      <c r="A48" s="119" t="s">
        <v>447</v>
      </c>
      <c r="B48" s="644">
        <f t="shared" ref="B48:K48" si="14">(B37/B11-1)*100</f>
        <v>15.964761495487778</v>
      </c>
      <c r="C48" s="644">
        <f t="shared" si="14"/>
        <v>-14.563106796116498</v>
      </c>
      <c r="D48" s="644">
        <f t="shared" si="14"/>
        <v>-29.242262540021347</v>
      </c>
      <c r="E48" s="644">
        <f t="shared" si="14"/>
        <v>155.08474576271186</v>
      </c>
      <c r="F48" s="644">
        <f t="shared" si="14"/>
        <v>12.682926829268304</v>
      </c>
      <c r="G48" s="644">
        <f t="shared" si="14"/>
        <v>-7.8947368421052548</v>
      </c>
      <c r="H48" s="644">
        <f t="shared" si="14"/>
        <v>-37.729757272558842</v>
      </c>
      <c r="I48" s="644">
        <f t="shared" si="14"/>
        <v>24.613351412962302</v>
      </c>
      <c r="J48" s="644">
        <f t="shared" si="14"/>
        <v>25.904598195101002</v>
      </c>
      <c r="K48" s="644">
        <f t="shared" si="14"/>
        <v>-14.155764435376705</v>
      </c>
      <c r="V48" s="1" t="e">
        <f>(V34/V12-1)*100</f>
        <v>#DIV/0!</v>
      </c>
      <c r="W48" s="1" t="e">
        <f>(W34/W12-1)*100</f>
        <v>#DIV/0!</v>
      </c>
    </row>
    <row r="49" spans="1:11">
      <c r="A49" s="119" t="s">
        <v>1408</v>
      </c>
      <c r="B49" s="644">
        <f t="shared" ref="B49:K49" si="15">(B38/B11-1)*100</f>
        <v>20.251396648044697</v>
      </c>
      <c r="C49" s="644">
        <f t="shared" si="15"/>
        <v>5.8252427184465994</v>
      </c>
      <c r="D49" s="644">
        <f t="shared" si="15"/>
        <v>-26.360725720384202</v>
      </c>
      <c r="E49" s="644">
        <f t="shared" si="15"/>
        <v>177.96610169491521</v>
      </c>
      <c r="F49" s="644">
        <f t="shared" si="15"/>
        <v>3.4146341463414664</v>
      </c>
      <c r="G49" s="644">
        <f t="shared" si="15"/>
        <v>-9.8684210526315823</v>
      </c>
      <c r="H49" s="644">
        <f t="shared" si="15"/>
        <v>-36.111408916286969</v>
      </c>
      <c r="I49" s="644">
        <f t="shared" si="15"/>
        <v>18.438742828986719</v>
      </c>
      <c r="J49" s="644">
        <f t="shared" si="15"/>
        <v>33.41760795987441</v>
      </c>
      <c r="K49" s="644">
        <f t="shared" si="15"/>
        <v>-10.525501779906321</v>
      </c>
    </row>
    <row r="50" spans="1:11" ht="12" customHeight="1">
      <c r="A50" s="1" t="s">
        <v>1633</v>
      </c>
    </row>
    <row r="51" spans="1:11" ht="14.25" customHeight="1">
      <c r="A51" s="1" t="s">
        <v>1634</v>
      </c>
    </row>
    <row r="52" spans="1:11" ht="49.5" customHeight="1">
      <c r="A52" s="1188" t="s">
        <v>1766</v>
      </c>
      <c r="B52" s="1188"/>
      <c r="C52" s="1188"/>
      <c r="D52" s="1188"/>
      <c r="E52" s="1188"/>
      <c r="F52" s="1188"/>
      <c r="G52" s="1188"/>
      <c r="H52" s="1188"/>
      <c r="I52" s="1188"/>
      <c r="J52" s="1188"/>
    </row>
    <row r="53" spans="1:11" ht="33" customHeight="1">
      <c r="A53" s="1188" t="s">
        <v>1767</v>
      </c>
      <c r="B53" s="1188"/>
      <c r="C53" s="1188"/>
      <c r="D53" s="1188"/>
      <c r="E53" s="1188"/>
      <c r="F53" s="1188"/>
      <c r="G53" s="1188"/>
      <c r="H53" s="1188"/>
      <c r="I53" s="1188"/>
      <c r="J53" s="1188"/>
    </row>
    <row r="54" spans="1:11" ht="15.75" customHeight="1">
      <c r="A54" s="1208" t="s">
        <v>1768</v>
      </c>
      <c r="B54" s="1208"/>
      <c r="C54" s="1208"/>
      <c r="D54" s="1208"/>
      <c r="E54" s="1208"/>
      <c r="F54" s="1208"/>
      <c r="G54" s="1208"/>
      <c r="H54" s="1208"/>
      <c r="I54" s="1208"/>
      <c r="J54" s="1208"/>
    </row>
    <row r="55" spans="1:11">
      <c r="A55" s="1" t="s">
        <v>1754</v>
      </c>
    </row>
    <row r="56" spans="1:11">
      <c r="A56" s="1" t="s">
        <v>1755</v>
      </c>
    </row>
    <row r="57" spans="1:11">
      <c r="A57" s="1" t="s">
        <v>1664</v>
      </c>
    </row>
  </sheetData>
  <mergeCells count="13">
    <mergeCell ref="K3:K4"/>
    <mergeCell ref="A54:J54"/>
    <mergeCell ref="A53:J53"/>
    <mergeCell ref="F3:F4"/>
    <mergeCell ref="H3:H4"/>
    <mergeCell ref="I3:I4"/>
    <mergeCell ref="G3:G4"/>
    <mergeCell ref="B3:B4"/>
    <mergeCell ref="C3:C4"/>
    <mergeCell ref="D3:D4"/>
    <mergeCell ref="E3:E4"/>
    <mergeCell ref="J3:J4"/>
    <mergeCell ref="A52:J52"/>
  </mergeCells>
  <phoneticPr fontId="35" type="noConversion"/>
  <pageMargins left="0.74803149606299213" right="0.74803149606299213" top="0.98425196850393704" bottom="0.98425196850393704" header="0.51181102362204722" footer="0.51181102362204722"/>
  <pageSetup scale="64" orientation="portrait" horizontalDpi="300" verticalDpi="300" r:id="rId1"/>
  <headerFooter alignWithMargins="0"/>
</worksheet>
</file>

<file path=xl/worksheets/sheet114.xml><?xml version="1.0" encoding="utf-8"?>
<worksheet xmlns="http://schemas.openxmlformats.org/spreadsheetml/2006/main" xmlns:r="http://schemas.openxmlformats.org/officeDocument/2006/relationships">
  <sheetPr codeName="Sheet198">
    <pageSetUpPr fitToPage="1"/>
  </sheetPr>
  <dimension ref="A1:V49"/>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6" width="12.42578125" style="1" customWidth="1"/>
    <col min="7" max="8" width="16" style="1" customWidth="1"/>
    <col min="9" max="21" width="8.85546875" style="1" hidden="1" customWidth="1"/>
    <col min="22" max="22" width="12.42578125" style="1" customWidth="1"/>
    <col min="23" max="16384" width="9.140625" style="1"/>
  </cols>
  <sheetData>
    <row r="1" spans="1:12" ht="15.75">
      <c r="A1" s="4"/>
      <c r="B1" s="3" t="s">
        <v>2195</v>
      </c>
    </row>
    <row r="2" spans="1:12">
      <c r="A2" s="4"/>
      <c r="B2" s="4"/>
    </row>
    <row r="3" spans="1:12" ht="12.75" customHeight="1">
      <c r="A3" s="119"/>
      <c r="B3" s="1172" t="s">
        <v>1632</v>
      </c>
      <c r="C3" s="1172" t="s">
        <v>174</v>
      </c>
      <c r="D3" s="1172" t="s">
        <v>175</v>
      </c>
      <c r="E3" s="1172" t="s">
        <v>176</v>
      </c>
      <c r="F3" s="1172" t="s">
        <v>676</v>
      </c>
      <c r="G3" s="1172" t="s">
        <v>69</v>
      </c>
      <c r="H3" s="1172" t="s">
        <v>70</v>
      </c>
    </row>
    <row r="4" spans="1:12" s="4" customFormat="1" ht="42.75" customHeight="1">
      <c r="A4" s="1010"/>
      <c r="B4" s="1173"/>
      <c r="C4" s="1173"/>
      <c r="D4" s="1173"/>
      <c r="E4" s="1173"/>
      <c r="F4" s="1173"/>
      <c r="G4" s="1173"/>
      <c r="H4" s="1173"/>
      <c r="I4" s="1"/>
      <c r="J4" s="1"/>
    </row>
    <row r="5" spans="1:12" s="110" customFormat="1" ht="23.45" customHeight="1">
      <c r="A5" s="1013"/>
      <c r="B5" s="1011" t="s">
        <v>996</v>
      </c>
      <c r="C5" s="109" t="s">
        <v>997</v>
      </c>
      <c r="D5" s="109" t="s">
        <v>998</v>
      </c>
      <c r="E5" s="109" t="s">
        <v>999</v>
      </c>
      <c r="F5" s="109" t="s">
        <v>1000</v>
      </c>
      <c r="G5" s="109" t="s">
        <v>1635</v>
      </c>
      <c r="H5" s="109" t="s">
        <v>1636</v>
      </c>
      <c r="I5" s="111"/>
      <c r="J5" s="111"/>
    </row>
    <row r="6" spans="1:12">
      <c r="A6" s="1014">
        <v>1976</v>
      </c>
      <c r="B6" s="1012">
        <f>'37'!C4</f>
        <v>10491.3</v>
      </c>
      <c r="C6" s="436">
        <f>'25a'!C6</f>
        <v>7.8</v>
      </c>
      <c r="D6" s="436">
        <f>'25a'!D6</f>
        <v>71.599999999999994</v>
      </c>
      <c r="E6" s="436">
        <f>'25a'!E6</f>
        <v>10.5</v>
      </c>
      <c r="F6" s="436">
        <f>'25a'!F6</f>
        <v>18.5</v>
      </c>
      <c r="G6" s="644">
        <f>(C6+D6)/B6*100</f>
        <v>0.75681755359202385</v>
      </c>
      <c r="H6" s="644">
        <f t="shared" ref="H6:H37" si="0">(E6+F6)/B6*100</f>
        <v>0.27641950949834626</v>
      </c>
      <c r="J6" s="10"/>
    </row>
    <row r="7" spans="1:12">
      <c r="A7" s="1014">
        <v>1977</v>
      </c>
      <c r="B7" s="1012">
        <f>'37'!C5</f>
        <v>10785.2</v>
      </c>
      <c r="C7" s="436">
        <f>'25a'!C7</f>
        <v>9.6999999999999993</v>
      </c>
      <c r="D7" s="436">
        <f>'25a'!D7</f>
        <v>89.9</v>
      </c>
      <c r="E7" s="436">
        <f>'25a'!E7</f>
        <v>12.1</v>
      </c>
      <c r="F7" s="436">
        <f>'25a'!F7</f>
        <v>25.7</v>
      </c>
      <c r="G7" s="644">
        <f t="shared" ref="G7:G37" si="1">(C7+D7)/B7*100</f>
        <v>0.92348774246189225</v>
      </c>
      <c r="H7" s="644">
        <f t="shared" si="0"/>
        <v>0.3504802878018024</v>
      </c>
      <c r="J7" s="10"/>
    </row>
    <row r="8" spans="1:12">
      <c r="A8" s="1014">
        <v>1978</v>
      </c>
      <c r="B8" s="1012">
        <f>'37'!C6</f>
        <v>11154.6</v>
      </c>
      <c r="C8" s="436">
        <f>'25a'!C8</f>
        <v>12.4</v>
      </c>
      <c r="D8" s="436">
        <f>'25a'!D8</f>
        <v>103.9</v>
      </c>
      <c r="E8" s="436">
        <f>'25a'!E8</f>
        <v>14</v>
      </c>
      <c r="F8" s="436">
        <f>'25a'!F8</f>
        <v>35.1</v>
      </c>
      <c r="G8" s="644">
        <f t="shared" si="1"/>
        <v>1.0426191884962257</v>
      </c>
      <c r="H8" s="644">
        <f t="shared" si="0"/>
        <v>0.4401771466480196</v>
      </c>
      <c r="J8" s="10"/>
    </row>
    <row r="9" spans="1:12">
      <c r="A9" s="1014">
        <v>1979</v>
      </c>
      <c r="B9" s="1012">
        <f>'37'!C7</f>
        <v>11536.7</v>
      </c>
      <c r="C9" s="436">
        <f>'25a'!C9</f>
        <v>11.2</v>
      </c>
      <c r="D9" s="436">
        <f>'25a'!D9</f>
        <v>86.7</v>
      </c>
      <c r="E9" s="436">
        <f>'25a'!E9</f>
        <v>11.8</v>
      </c>
      <c r="F9" s="436">
        <f>'25a'!F9</f>
        <v>32.799999999999997</v>
      </c>
      <c r="G9" s="644">
        <f t="shared" si="1"/>
        <v>0.84859621902277083</v>
      </c>
      <c r="H9" s="644">
        <f t="shared" si="0"/>
        <v>0.38659235309923973</v>
      </c>
      <c r="J9" s="10"/>
    </row>
    <row r="10" spans="1:12">
      <c r="A10" s="1014">
        <v>1980</v>
      </c>
      <c r="B10" s="1012">
        <f>'37'!C8</f>
        <v>11879.4</v>
      </c>
      <c r="C10" s="436">
        <f>'25a'!C10</f>
        <v>10.9</v>
      </c>
      <c r="D10" s="436">
        <f>'25a'!D10</f>
        <v>89</v>
      </c>
      <c r="E10" s="436">
        <f>'25a'!E10</f>
        <v>12.6</v>
      </c>
      <c r="F10" s="436">
        <f>'25a'!F10</f>
        <v>33.299999999999997</v>
      </c>
      <c r="G10" s="644">
        <f t="shared" si="1"/>
        <v>0.84095156321026321</v>
      </c>
      <c r="H10" s="644">
        <f t="shared" si="0"/>
        <v>0.38638315066417495</v>
      </c>
      <c r="J10" s="10"/>
    </row>
    <row r="11" spans="1:12">
      <c r="A11" s="1014">
        <v>1981</v>
      </c>
      <c r="B11" s="1012">
        <f>'37'!C9</f>
        <v>12235.8</v>
      </c>
      <c r="C11" s="436">
        <f>'25a'!C11</f>
        <v>10.3</v>
      </c>
      <c r="D11" s="436">
        <f>'25a'!D11</f>
        <v>93.7</v>
      </c>
      <c r="E11" s="436">
        <f>'25a'!E11</f>
        <v>11.8</v>
      </c>
      <c r="F11" s="436">
        <f>'25a'!F11</f>
        <v>41</v>
      </c>
      <c r="G11" s="644">
        <f t="shared" si="1"/>
        <v>0.84996485722224957</v>
      </c>
      <c r="H11" s="644">
        <f t="shared" si="0"/>
        <v>0.4315206198205267</v>
      </c>
      <c r="I11" s="6"/>
      <c r="J11" s="10"/>
      <c r="L11" s="10">
        <f t="shared" ref="L11:L36" si="2">(H11/100)*B11*1000</f>
        <v>52800</v>
      </c>
    </row>
    <row r="12" spans="1:12">
      <c r="A12" s="1014">
        <v>1982</v>
      </c>
      <c r="B12" s="1012">
        <f>'37'!C10</f>
        <v>12301.8</v>
      </c>
      <c r="C12" s="436">
        <f>'25a'!C12</f>
        <v>19.7</v>
      </c>
      <c r="D12" s="436">
        <f>'25a'!D12</f>
        <v>176.5</v>
      </c>
      <c r="E12" s="436">
        <f>'25a'!E12</f>
        <v>22.6</v>
      </c>
      <c r="F12" s="436">
        <f>'25a'!F12</f>
        <v>71</v>
      </c>
      <c r="G12" s="644">
        <f t="shared" si="1"/>
        <v>1.5948885528946983</v>
      </c>
      <c r="H12" s="644">
        <f t="shared" si="0"/>
        <v>0.76086426376627803</v>
      </c>
      <c r="I12" s="6"/>
      <c r="J12" s="10"/>
      <c r="K12" s="10"/>
      <c r="L12" s="10">
        <f t="shared" si="2"/>
        <v>93599.999999999985</v>
      </c>
    </row>
    <row r="13" spans="1:12">
      <c r="A13" s="1014">
        <v>1983</v>
      </c>
      <c r="B13" s="1012">
        <f>'37'!C11</f>
        <v>12527.6</v>
      </c>
      <c r="C13" s="436">
        <f>'25a'!C13</f>
        <v>25.7</v>
      </c>
      <c r="D13" s="436">
        <f>'25a'!D13</f>
        <v>244.6</v>
      </c>
      <c r="E13" s="436">
        <f>'25a'!E13</f>
        <v>33.200000000000003</v>
      </c>
      <c r="F13" s="436">
        <f>'25a'!F13</f>
        <v>144.80000000000001</v>
      </c>
      <c r="G13" s="644">
        <f t="shared" si="1"/>
        <v>2.1576359398448224</v>
      </c>
      <c r="H13" s="644">
        <f t="shared" si="0"/>
        <v>1.4208627350809413</v>
      </c>
      <c r="I13" s="6"/>
      <c r="J13" s="10"/>
      <c r="K13" s="10"/>
      <c r="L13" s="10">
        <f t="shared" si="2"/>
        <v>178000</v>
      </c>
    </row>
    <row r="14" spans="1:12">
      <c r="A14" s="1014">
        <v>1984</v>
      </c>
      <c r="B14" s="1012">
        <f>'37'!C12</f>
        <v>12747.9</v>
      </c>
      <c r="C14" s="436">
        <f>'25a'!C14</f>
        <v>19.7</v>
      </c>
      <c r="D14" s="436">
        <f>'25a'!D14</f>
        <v>208.3</v>
      </c>
      <c r="E14" s="436">
        <f>'25a'!E14</f>
        <v>26.4</v>
      </c>
      <c r="F14" s="436">
        <f>'25a'!F14</f>
        <v>143.6</v>
      </c>
      <c r="G14" s="644">
        <f t="shared" si="1"/>
        <v>1.7885298755089076</v>
      </c>
      <c r="H14" s="644">
        <f t="shared" si="0"/>
        <v>1.3335529773531327</v>
      </c>
      <c r="I14" s="6"/>
      <c r="J14" s="10"/>
      <c r="K14" s="10"/>
      <c r="L14" s="10">
        <f t="shared" si="2"/>
        <v>170000</v>
      </c>
    </row>
    <row r="15" spans="1:12">
      <c r="A15" s="1014">
        <v>1985</v>
      </c>
      <c r="B15" s="1012">
        <f>'37'!C13</f>
        <v>13012.4</v>
      </c>
      <c r="C15" s="436">
        <f>'25a'!C15</f>
        <v>19.399999999999999</v>
      </c>
      <c r="D15" s="436">
        <f>'25a'!D15</f>
        <v>192.7</v>
      </c>
      <c r="E15" s="436">
        <f>'25a'!E15</f>
        <v>23.7</v>
      </c>
      <c r="F15" s="436">
        <f>'25a'!F15</f>
        <v>142.19999999999999</v>
      </c>
      <c r="G15" s="644">
        <f t="shared" si="1"/>
        <v>1.6299837078478989</v>
      </c>
      <c r="H15" s="644">
        <f t="shared" si="0"/>
        <v>1.2749377516830098</v>
      </c>
      <c r="I15" s="6"/>
      <c r="J15" s="10"/>
      <c r="K15" s="10"/>
      <c r="L15" s="10">
        <f t="shared" si="2"/>
        <v>165899.99999999997</v>
      </c>
    </row>
    <row r="16" spans="1:12">
      <c r="A16" s="1014">
        <v>1986</v>
      </c>
      <c r="B16" s="1012">
        <f>'37'!C14</f>
        <v>13272.1</v>
      </c>
      <c r="C16" s="436">
        <f>'25a'!C16</f>
        <v>17.399999999999999</v>
      </c>
      <c r="D16" s="436">
        <f>'25a'!D16</f>
        <v>169</v>
      </c>
      <c r="E16" s="436">
        <f>'25a'!E16</f>
        <v>20.7</v>
      </c>
      <c r="F16" s="436">
        <f>'25a'!F16</f>
        <v>114</v>
      </c>
      <c r="G16" s="644">
        <f t="shared" si="1"/>
        <v>1.4044499363326075</v>
      </c>
      <c r="H16" s="644">
        <f t="shared" si="0"/>
        <v>1.0149109786695398</v>
      </c>
      <c r="I16" s="6"/>
      <c r="J16" s="10"/>
      <c r="K16" s="10"/>
      <c r="L16" s="10">
        <f t="shared" si="2"/>
        <v>134700</v>
      </c>
    </row>
    <row r="17" spans="1:12">
      <c r="A17" s="1014">
        <v>1987</v>
      </c>
      <c r="B17" s="1012">
        <f>'37'!C15</f>
        <v>13526</v>
      </c>
      <c r="C17" s="436">
        <f>'25a'!C17</f>
        <v>17</v>
      </c>
      <c r="D17" s="436">
        <f>'25a'!D17</f>
        <v>154.69999999999999</v>
      </c>
      <c r="E17" s="436">
        <f>'25a'!E17</f>
        <v>15.7</v>
      </c>
      <c r="F17" s="436">
        <f>'25a'!F17</f>
        <v>109.7</v>
      </c>
      <c r="G17" s="644">
        <f t="shared" si="1"/>
        <v>1.2694070678692886</v>
      </c>
      <c r="H17" s="644">
        <f t="shared" si="0"/>
        <v>0.92710335649859532</v>
      </c>
      <c r="I17" s="6"/>
      <c r="J17" s="10"/>
      <c r="K17" s="10"/>
      <c r="L17" s="10">
        <f t="shared" si="2"/>
        <v>125400</v>
      </c>
    </row>
    <row r="18" spans="1:12">
      <c r="A18" s="1014">
        <v>1988</v>
      </c>
      <c r="B18" s="1012">
        <f>'37'!C16</f>
        <v>13779.1</v>
      </c>
      <c r="C18" s="436">
        <f>'25a'!C18</f>
        <v>14.2</v>
      </c>
      <c r="D18" s="436">
        <f>'25a'!D18</f>
        <v>123.6</v>
      </c>
      <c r="E18" s="436">
        <f>'25a'!E18</f>
        <v>15.7</v>
      </c>
      <c r="F18" s="436">
        <f>'25a'!F18</f>
        <v>77</v>
      </c>
      <c r="G18" s="644">
        <f t="shared" si="1"/>
        <v>1.000065316312386</v>
      </c>
      <c r="H18" s="644">
        <f t="shared" si="0"/>
        <v>0.67275801757734544</v>
      </c>
      <c r="J18" s="10"/>
      <c r="L18" s="10">
        <f t="shared" si="2"/>
        <v>92700</v>
      </c>
    </row>
    <row r="19" spans="1:12">
      <c r="A19" s="1014">
        <v>1989</v>
      </c>
      <c r="B19" s="1012">
        <f>'37'!C17</f>
        <v>14057</v>
      </c>
      <c r="C19" s="436">
        <f>'25a'!C19</f>
        <v>14.4</v>
      </c>
      <c r="D19" s="436">
        <f>'25a'!D19</f>
        <v>129.9</v>
      </c>
      <c r="E19" s="436">
        <f>'25a'!E19</f>
        <v>14.5</v>
      </c>
      <c r="F19" s="436">
        <f>'25a'!F19</f>
        <v>71.5</v>
      </c>
      <c r="G19" s="644">
        <f t="shared" si="1"/>
        <v>1.026534822508359</v>
      </c>
      <c r="H19" s="644">
        <f t="shared" si="0"/>
        <v>0.61179483531336698</v>
      </c>
      <c r="I19" s="6"/>
      <c r="J19" s="10"/>
      <c r="L19" s="10">
        <f t="shared" si="2"/>
        <v>86000</v>
      </c>
    </row>
    <row r="20" spans="1:12">
      <c r="A20" s="1014">
        <v>1990</v>
      </c>
      <c r="B20" s="1012">
        <f>'37'!C18</f>
        <v>14244.6</v>
      </c>
      <c r="C20" s="436">
        <f>'25a'!C20</f>
        <v>14.3</v>
      </c>
      <c r="D20" s="436">
        <f>'25a'!D20</f>
        <v>132.4</v>
      </c>
      <c r="E20" s="436">
        <f>'25a'!E20</f>
        <v>16.8</v>
      </c>
      <c r="F20" s="436">
        <f>'25a'!F20</f>
        <v>65</v>
      </c>
      <c r="G20" s="644">
        <f t="shared" si="1"/>
        <v>1.0298639484436207</v>
      </c>
      <c r="H20" s="644">
        <f t="shared" si="0"/>
        <v>0.57425269926849465</v>
      </c>
      <c r="J20" s="10"/>
      <c r="L20" s="10">
        <f t="shared" si="2"/>
        <v>81800</v>
      </c>
    </row>
    <row r="21" spans="1:12">
      <c r="A21" s="1014">
        <v>1991</v>
      </c>
      <c r="B21" s="1012">
        <f>'37'!C19</f>
        <v>14336.3</v>
      </c>
      <c r="C21" s="436">
        <f>'25a'!C21</f>
        <v>22.5</v>
      </c>
      <c r="D21" s="436">
        <f>'25a'!D21</f>
        <v>213.6</v>
      </c>
      <c r="E21" s="436">
        <f>'25a'!E21</f>
        <v>24.9</v>
      </c>
      <c r="F21" s="436">
        <f>'25a'!F21</f>
        <v>106.1</v>
      </c>
      <c r="G21" s="644">
        <f t="shared" si="1"/>
        <v>1.6468684388580037</v>
      </c>
      <c r="H21" s="644">
        <f t="shared" si="0"/>
        <v>0.91376436039982434</v>
      </c>
      <c r="J21" s="10"/>
      <c r="L21" s="10">
        <f t="shared" si="2"/>
        <v>131000</v>
      </c>
    </row>
    <row r="22" spans="1:12">
      <c r="A22" s="1014">
        <v>1992</v>
      </c>
      <c r="B22" s="1012">
        <f>'37'!C20</f>
        <v>14336.1</v>
      </c>
      <c r="C22" s="436">
        <f>'25a'!C22</f>
        <v>25.7</v>
      </c>
      <c r="D22" s="436">
        <f>'25a'!D22</f>
        <v>239.2</v>
      </c>
      <c r="E22" s="436">
        <f>'25a'!E22</f>
        <v>35</v>
      </c>
      <c r="F22" s="436">
        <f>'25a'!F22</f>
        <v>177.6</v>
      </c>
      <c r="G22" s="644">
        <f t="shared" si="1"/>
        <v>1.8477828698181511</v>
      </c>
      <c r="H22" s="644">
        <f t="shared" si="0"/>
        <v>1.4829695663395204</v>
      </c>
      <c r="J22" s="10"/>
      <c r="L22" s="10">
        <f t="shared" si="2"/>
        <v>212600</v>
      </c>
    </row>
    <row r="23" spans="1:12">
      <c r="A23" s="1014">
        <v>1993</v>
      </c>
      <c r="B23" s="1012">
        <f>'37'!C21</f>
        <v>14435</v>
      </c>
      <c r="C23" s="436">
        <f>'25a'!C23</f>
        <v>26</v>
      </c>
      <c r="D23" s="436">
        <f>'25a'!D23</f>
        <v>241.6</v>
      </c>
      <c r="E23" s="436">
        <f>'25a'!E23</f>
        <v>38.4</v>
      </c>
      <c r="F23" s="436">
        <f>'25a'!F23</f>
        <v>227.7</v>
      </c>
      <c r="G23" s="644">
        <f t="shared" si="1"/>
        <v>1.8538275025978526</v>
      </c>
      <c r="H23" s="644">
        <f t="shared" si="0"/>
        <v>1.8434360928299272</v>
      </c>
      <c r="J23" s="10"/>
      <c r="L23" s="10">
        <f t="shared" si="2"/>
        <v>266099.99999999994</v>
      </c>
    </row>
    <row r="24" spans="1:12">
      <c r="A24" s="1014">
        <v>1994</v>
      </c>
      <c r="B24" s="1012">
        <f>'37'!C22</f>
        <v>14573.7</v>
      </c>
      <c r="C24" s="436">
        <f>'25a'!C24</f>
        <v>24.9</v>
      </c>
      <c r="D24" s="436">
        <f>'25a'!D24</f>
        <v>194.4</v>
      </c>
      <c r="E24" s="436">
        <f>'25a'!E24</f>
        <v>39</v>
      </c>
      <c r="F24" s="436">
        <f>'25a'!F24</f>
        <v>225.3</v>
      </c>
      <c r="G24" s="644">
        <f t="shared" si="1"/>
        <v>1.5047654336235823</v>
      </c>
      <c r="H24" s="644">
        <f t="shared" si="0"/>
        <v>1.8135408303999672</v>
      </c>
      <c r="J24" s="10"/>
      <c r="L24" s="10">
        <f t="shared" si="2"/>
        <v>264300</v>
      </c>
    </row>
    <row r="25" spans="1:12">
      <c r="A25" s="1014">
        <v>1995</v>
      </c>
      <c r="B25" s="1012">
        <f>'37'!C23</f>
        <v>14689.2</v>
      </c>
      <c r="C25" s="436">
        <f>'25a'!C25</f>
        <v>20.3</v>
      </c>
      <c r="D25" s="436">
        <f>'25a'!D25</f>
        <v>152.1</v>
      </c>
      <c r="E25" s="436">
        <f>'25a'!E25</f>
        <v>34.5</v>
      </c>
      <c r="F25" s="436">
        <f>'25a'!F25</f>
        <v>193</v>
      </c>
      <c r="G25" s="644">
        <f t="shared" si="1"/>
        <v>1.1736513901369714</v>
      </c>
      <c r="H25" s="644">
        <f t="shared" si="0"/>
        <v>1.5487569098385208</v>
      </c>
      <c r="J25" s="10"/>
      <c r="L25" s="10">
        <f t="shared" si="2"/>
        <v>227500</v>
      </c>
    </row>
    <row r="26" spans="1:12">
      <c r="A26" s="1014">
        <v>1996</v>
      </c>
      <c r="B26" s="1012">
        <f>'37'!C24</f>
        <v>14853.5</v>
      </c>
      <c r="C26" s="436">
        <f>'25a'!C26</f>
        <v>22</v>
      </c>
      <c r="D26" s="436">
        <f>'25a'!D26</f>
        <v>153.6</v>
      </c>
      <c r="E26" s="436">
        <f>'25a'!E26</f>
        <v>39.1</v>
      </c>
      <c r="F26" s="436">
        <f>'25a'!F26</f>
        <v>195.1</v>
      </c>
      <c r="G26" s="644">
        <f t="shared" si="1"/>
        <v>1.1822129464435991</v>
      </c>
      <c r="H26" s="644">
        <f t="shared" si="0"/>
        <v>1.5767327565893559</v>
      </c>
      <c r="J26" s="10"/>
      <c r="L26" s="10">
        <f t="shared" si="2"/>
        <v>234200</v>
      </c>
    </row>
    <row r="27" spans="1:12">
      <c r="A27" s="1014">
        <v>1997</v>
      </c>
      <c r="B27" s="1012">
        <f>'37'!C25</f>
        <v>15079.1</v>
      </c>
      <c r="C27" s="436">
        <f>'25a'!C27</f>
        <v>16.3</v>
      </c>
      <c r="D27" s="436">
        <f>'25a'!D27</f>
        <v>127.4</v>
      </c>
      <c r="E27" s="436">
        <f>'25a'!E27</f>
        <v>47.1</v>
      </c>
      <c r="F27" s="436">
        <f>'25a'!F27</f>
        <v>167.5</v>
      </c>
      <c r="G27" s="644">
        <f t="shared" si="1"/>
        <v>0.95297464702800561</v>
      </c>
      <c r="H27" s="644">
        <f t="shared" si="0"/>
        <v>1.4231618597926932</v>
      </c>
      <c r="J27" s="10"/>
      <c r="L27" s="10">
        <f t="shared" si="2"/>
        <v>214600</v>
      </c>
    </row>
    <row r="28" spans="1:12">
      <c r="A28" s="1014">
        <v>1998</v>
      </c>
      <c r="B28" s="1012">
        <f>'37'!C26</f>
        <v>15316.3</v>
      </c>
      <c r="C28" s="436">
        <f>'25a'!C28</f>
        <v>14.6</v>
      </c>
      <c r="D28" s="436">
        <f>'25a'!D28</f>
        <v>112.9</v>
      </c>
      <c r="E28" s="436">
        <f>'25a'!E28</f>
        <v>46.6</v>
      </c>
      <c r="F28" s="436">
        <f>'25a'!F28</f>
        <v>122.6</v>
      </c>
      <c r="G28" s="644">
        <f t="shared" si="1"/>
        <v>0.83244647858817089</v>
      </c>
      <c r="H28" s="644">
        <f t="shared" si="0"/>
        <v>1.1047054445264195</v>
      </c>
      <c r="J28" s="10"/>
      <c r="L28" s="10">
        <f t="shared" si="2"/>
        <v>169199.99999999997</v>
      </c>
    </row>
    <row r="29" spans="1:12">
      <c r="A29" s="1014">
        <v>1999</v>
      </c>
      <c r="B29" s="1012">
        <f>'37'!C27</f>
        <v>15588.3</v>
      </c>
      <c r="C29" s="436">
        <f>'25a'!C29</f>
        <v>13.4</v>
      </c>
      <c r="D29" s="436">
        <f>'25a'!D29</f>
        <v>97.5</v>
      </c>
      <c r="E29" s="436">
        <f>'25a'!E29</f>
        <v>37.799999999999997</v>
      </c>
      <c r="F29" s="436">
        <f>'25a'!F29</f>
        <v>95</v>
      </c>
      <c r="G29" s="644">
        <f t="shared" si="1"/>
        <v>0.71143100915430169</v>
      </c>
      <c r="H29" s="644">
        <f t="shared" si="0"/>
        <v>0.85192099202607097</v>
      </c>
      <c r="J29" s="10"/>
      <c r="L29" s="10">
        <f t="shared" si="2"/>
        <v>132800</v>
      </c>
    </row>
    <row r="30" spans="1:12">
      <c r="A30" s="1014">
        <v>2000</v>
      </c>
      <c r="B30" s="1012">
        <f>'37'!C28</f>
        <v>15847</v>
      </c>
      <c r="C30" s="436">
        <f>'25a'!C30</f>
        <v>10.9</v>
      </c>
      <c r="D30" s="436">
        <f>'25a'!D30</f>
        <v>74.5</v>
      </c>
      <c r="E30" s="436">
        <f>'25a'!E30</f>
        <v>42.9</v>
      </c>
      <c r="F30" s="436">
        <f>'25a'!F30</f>
        <v>73.3</v>
      </c>
      <c r="G30" s="644">
        <f t="shared" si="1"/>
        <v>0.53890326244715092</v>
      </c>
      <c r="H30" s="644">
        <f t="shared" si="0"/>
        <v>0.73326181611661512</v>
      </c>
      <c r="I30" s="6">
        <f t="shared" ref="I30:I35" si="3">E30+F30</f>
        <v>116.19999999999999</v>
      </c>
      <c r="J30" s="10"/>
      <c r="L30" s="10">
        <f t="shared" si="2"/>
        <v>116200</v>
      </c>
    </row>
    <row r="31" spans="1:12">
      <c r="A31" s="1014">
        <v>2001</v>
      </c>
      <c r="B31" s="1012">
        <f>'37'!C29</f>
        <v>16109.8</v>
      </c>
      <c r="C31" s="436">
        <f>'25a'!C31</f>
        <v>10.3</v>
      </c>
      <c r="D31" s="436">
        <f>'25a'!D31</f>
        <v>70.7</v>
      </c>
      <c r="E31" s="436">
        <f>'25a'!E31</f>
        <v>48.1</v>
      </c>
      <c r="F31" s="436">
        <f>'25a'!F31</f>
        <v>57.1</v>
      </c>
      <c r="G31" s="644">
        <f t="shared" si="1"/>
        <v>0.50279953816931311</v>
      </c>
      <c r="H31" s="644">
        <f t="shared" si="0"/>
        <v>0.65301865944952764</v>
      </c>
      <c r="I31" s="6">
        <f t="shared" si="3"/>
        <v>105.2</v>
      </c>
      <c r="J31" s="10"/>
      <c r="L31" s="10">
        <f t="shared" si="2"/>
        <v>105200</v>
      </c>
    </row>
    <row r="32" spans="1:12">
      <c r="A32" s="1014">
        <v>2002</v>
      </c>
      <c r="B32" s="1012">
        <f>'37'!C30</f>
        <v>16579.3</v>
      </c>
      <c r="C32" s="436">
        <f>'25a'!C32</f>
        <v>13.8</v>
      </c>
      <c r="D32" s="436">
        <f>'25a'!D32</f>
        <v>94</v>
      </c>
      <c r="E32" s="436">
        <f>'25a'!E32</f>
        <v>52.9</v>
      </c>
      <c r="F32" s="436">
        <f>'25a'!F32</f>
        <v>63.8</v>
      </c>
      <c r="G32" s="644">
        <f t="shared" si="1"/>
        <v>0.65020839239292372</v>
      </c>
      <c r="H32" s="644">
        <f t="shared" si="0"/>
        <v>0.70388979028065113</v>
      </c>
      <c r="I32" s="6">
        <f t="shared" si="3"/>
        <v>116.69999999999999</v>
      </c>
      <c r="J32" s="10"/>
      <c r="L32" s="10">
        <f t="shared" si="2"/>
        <v>116699.99999999999</v>
      </c>
    </row>
    <row r="33" spans="1:22">
      <c r="A33" s="1014">
        <v>2003</v>
      </c>
      <c r="B33" s="1012">
        <f>'37'!C31</f>
        <v>16958.5</v>
      </c>
      <c r="C33" s="436">
        <f>'25a'!C33</f>
        <v>14.7</v>
      </c>
      <c r="D33" s="436">
        <f>'25a'!D33</f>
        <v>87.6</v>
      </c>
      <c r="E33" s="436">
        <f>'25a'!E33</f>
        <v>57.5</v>
      </c>
      <c r="F33" s="436">
        <f>'25a'!F33</f>
        <v>65.5</v>
      </c>
      <c r="G33" s="644">
        <f t="shared" si="1"/>
        <v>0.60323731462098651</v>
      </c>
      <c r="H33" s="644">
        <f t="shared" si="0"/>
        <v>0.72529999705162607</v>
      </c>
      <c r="I33" s="6">
        <f t="shared" si="3"/>
        <v>123</v>
      </c>
      <c r="J33" s="10"/>
      <c r="L33" s="10">
        <f t="shared" si="2"/>
        <v>123000</v>
      </c>
    </row>
    <row r="34" spans="1:22">
      <c r="A34" s="1014">
        <v>2004</v>
      </c>
      <c r="B34" s="1012">
        <f>'37'!C32</f>
        <v>17182.3</v>
      </c>
      <c r="C34" s="436">
        <f>'25a'!C34</f>
        <v>11.9</v>
      </c>
      <c r="D34" s="436">
        <f>'25a'!D34</f>
        <v>85.1</v>
      </c>
      <c r="E34" s="436">
        <f>'25a'!E34</f>
        <v>54.8</v>
      </c>
      <c r="F34" s="436">
        <f>'25a'!F34</f>
        <v>57.4</v>
      </c>
      <c r="G34" s="644">
        <f t="shared" si="1"/>
        <v>0.56453443369048384</v>
      </c>
      <c r="H34" s="644">
        <f t="shared" si="0"/>
        <v>0.65299756144404419</v>
      </c>
      <c r="I34" s="6">
        <f t="shared" si="3"/>
        <v>112.19999999999999</v>
      </c>
      <c r="J34" s="10"/>
      <c r="L34" s="10">
        <f t="shared" si="2"/>
        <v>112199.99999999999</v>
      </c>
    </row>
    <row r="35" spans="1:22">
      <c r="A35" s="1014">
        <v>2005</v>
      </c>
      <c r="B35" s="1012">
        <f>'37'!C33</f>
        <v>17342.599999999999</v>
      </c>
      <c r="C35" s="436">
        <f>'25a'!C35</f>
        <v>12.2</v>
      </c>
      <c r="D35" s="436">
        <f>'25a'!D35</f>
        <v>72</v>
      </c>
      <c r="E35" s="436">
        <f>'25a'!E35</f>
        <v>50.4</v>
      </c>
      <c r="F35" s="436">
        <f>'25a'!F35</f>
        <v>57.4</v>
      </c>
      <c r="G35" s="644">
        <f t="shared" si="1"/>
        <v>0.48550966983035998</v>
      </c>
      <c r="H35" s="644">
        <f t="shared" si="0"/>
        <v>0.62159076493720666</v>
      </c>
      <c r="I35" s="6">
        <f t="shared" si="3"/>
        <v>107.8</v>
      </c>
      <c r="J35" s="10"/>
      <c r="K35" s="157"/>
      <c r="L35" s="10">
        <f t="shared" si="2"/>
        <v>107799.99999999999</v>
      </c>
    </row>
    <row r="36" spans="1:22">
      <c r="A36" s="1014">
        <v>2006</v>
      </c>
      <c r="B36" s="1012">
        <f>'37'!C34</f>
        <v>17592.8</v>
      </c>
      <c r="C36" s="436">
        <f>'25a'!C36</f>
        <v>10.199999999999999</v>
      </c>
      <c r="D36" s="436">
        <f>'25a'!D36</f>
        <v>66.2</v>
      </c>
      <c r="E36" s="436">
        <f>'25a'!E36</f>
        <v>41.4</v>
      </c>
      <c r="F36" s="436">
        <f>'25a'!F36</f>
        <v>50.4</v>
      </c>
      <c r="G36" s="644">
        <f t="shared" si="1"/>
        <v>0.43426856441271439</v>
      </c>
      <c r="H36" s="644">
        <f t="shared" si="0"/>
        <v>0.5218043745168478</v>
      </c>
      <c r="I36" s="114">
        <f>AVERAGE(I30:I35)</f>
        <v>113.51666666666665</v>
      </c>
      <c r="J36" s="10"/>
      <c r="K36" s="157"/>
      <c r="L36" s="10">
        <f t="shared" si="2"/>
        <v>91799.999999999985</v>
      </c>
    </row>
    <row r="37" spans="1:22">
      <c r="A37" s="1014">
        <v>2007</v>
      </c>
      <c r="B37" s="1012">
        <f>'37'!C35</f>
        <v>17945.8</v>
      </c>
      <c r="C37" s="436">
        <f>'25a'!C37</f>
        <v>8.8000000000000007</v>
      </c>
      <c r="D37" s="436">
        <f>'25a'!D37</f>
        <v>66.3</v>
      </c>
      <c r="E37" s="436">
        <f>'25a'!E37</f>
        <v>30.1</v>
      </c>
      <c r="F37" s="436">
        <f>'25a'!F37</f>
        <v>46.2</v>
      </c>
      <c r="G37" s="644">
        <f t="shared" si="1"/>
        <v>0.4184823189827146</v>
      </c>
      <c r="H37" s="644">
        <f t="shared" si="0"/>
        <v>0.42516912035128007</v>
      </c>
      <c r="I37" s="114"/>
      <c r="J37" s="10"/>
      <c r="K37" s="157"/>
      <c r="L37" s="10"/>
      <c r="V37" s="6"/>
    </row>
    <row r="38" spans="1:22">
      <c r="A38" s="1014">
        <v>2008</v>
      </c>
      <c r="B38" s="1012">
        <f>'37'!C36</f>
        <v>18245.099999999999</v>
      </c>
      <c r="C38" s="10">
        <f>'25a'!C38</f>
        <v>10.9</v>
      </c>
      <c r="D38" s="10">
        <f>'25a'!D38</f>
        <v>69</v>
      </c>
      <c r="E38" s="10">
        <f>'25a'!E38</f>
        <v>32.799999999999997</v>
      </c>
      <c r="F38" s="10">
        <f>'25a'!F38</f>
        <v>42.4</v>
      </c>
      <c r="G38" s="725">
        <f>(C38+D38)/B38*100</f>
        <v>0.43792579925569064</v>
      </c>
      <c r="H38" s="725">
        <f>(E38+F38)/B38*100</f>
        <v>0.41216545812300281</v>
      </c>
      <c r="I38" s="114"/>
      <c r="J38" s="644"/>
      <c r="K38" s="644"/>
      <c r="L38" s="644"/>
      <c r="M38" s="644"/>
      <c r="N38" s="644"/>
      <c r="O38" s="644"/>
      <c r="P38" s="644"/>
      <c r="Q38" s="644"/>
      <c r="R38" s="644"/>
      <c r="S38" s="644"/>
      <c r="T38" s="644"/>
    </row>
    <row r="39" spans="1:22">
      <c r="A39" s="431"/>
      <c r="B39" s="27"/>
      <c r="C39" s="27"/>
      <c r="D39" s="27" t="s">
        <v>802</v>
      </c>
      <c r="E39" s="27"/>
      <c r="F39" s="27"/>
      <c r="G39" s="27"/>
      <c r="H39" s="27"/>
      <c r="I39" s="116">
        <f>AVERAGE(I31:I36)</f>
        <v>113.06944444444444</v>
      </c>
      <c r="J39" s="27"/>
      <c r="K39" s="114"/>
      <c r="L39" s="114"/>
      <c r="M39" s="114"/>
      <c r="N39" s="114"/>
      <c r="O39" s="114"/>
      <c r="P39" s="114"/>
      <c r="Q39" s="114"/>
      <c r="R39" s="114"/>
      <c r="S39" s="114"/>
      <c r="T39" s="114"/>
    </row>
    <row r="40" spans="1:22">
      <c r="A40" s="431" t="s">
        <v>603</v>
      </c>
      <c r="B40" s="27">
        <f>((((B19/B11))^(1/8))-1)*100</f>
        <v>1.7495587204725771</v>
      </c>
      <c r="C40" s="27">
        <f t="shared" ref="C40:H40" si="4">((((C19/C11))^(1/8))-1)*100</f>
        <v>4.2775114752018339</v>
      </c>
      <c r="D40" s="27">
        <f t="shared" si="4"/>
        <v>4.1678486820987182</v>
      </c>
      <c r="E40" s="27">
        <f t="shared" si="4"/>
        <v>2.6090695222028559</v>
      </c>
      <c r="F40" s="27">
        <f t="shared" si="4"/>
        <v>7.1988862219967142</v>
      </c>
      <c r="G40" s="27">
        <f>((((G19/G11))^(1/8))-1)*100</f>
        <v>2.3874176344600873</v>
      </c>
      <c r="H40" s="27">
        <f t="shared" si="4"/>
        <v>4.4601227141357613</v>
      </c>
      <c r="I40" s="117"/>
      <c r="J40" s="27"/>
      <c r="K40" s="114"/>
      <c r="L40" s="114"/>
      <c r="M40" s="114"/>
      <c r="N40" s="114"/>
      <c r="O40" s="114"/>
      <c r="P40" s="114"/>
      <c r="Q40" s="114"/>
      <c r="R40" s="114"/>
      <c r="S40" s="114" t="e">
        <f>((((S20/S12))^(1/8))-1)*100</f>
        <v>#DIV/0!</v>
      </c>
      <c r="T40" s="114" t="e">
        <f>((((T20/T12))^(1/8))-1)*100</f>
        <v>#DIV/0!</v>
      </c>
    </row>
    <row r="41" spans="1:22">
      <c r="A41" s="431" t="s">
        <v>604</v>
      </c>
      <c r="B41" s="23">
        <f>((((B30/B19))^(1/11))-1)*100</f>
        <v>1.0955919080697818</v>
      </c>
      <c r="C41" s="23">
        <f t="shared" ref="C41:H41" si="5">((((C30/C19))^(1/11))-1)*100</f>
        <v>-2.4997299203684431</v>
      </c>
      <c r="D41" s="23">
        <f t="shared" si="5"/>
        <v>-4.928633043483643</v>
      </c>
      <c r="E41" s="23">
        <f t="shared" si="5"/>
        <v>10.363711966210998</v>
      </c>
      <c r="F41" s="23">
        <f t="shared" si="5"/>
        <v>0.22628435741272046</v>
      </c>
      <c r="G41" s="23">
        <f>((((G30/G19))^(1/11))-1)*100</f>
        <v>-5.68996183737418</v>
      </c>
      <c r="H41" s="23">
        <f t="shared" si="5"/>
        <v>1.6600447878565072</v>
      </c>
      <c r="I41" s="114"/>
      <c r="J41" s="117"/>
      <c r="K41" s="117"/>
      <c r="L41" s="117"/>
      <c r="M41" s="117"/>
      <c r="N41" s="117"/>
      <c r="O41" s="117"/>
      <c r="P41" s="117"/>
      <c r="Q41" s="117"/>
      <c r="R41" s="117"/>
      <c r="S41" s="117" t="e">
        <f>((((S31/S20))^(1/11))-1)*100</f>
        <v>#DIV/0!</v>
      </c>
      <c r="T41" s="117" t="e">
        <f>((((T31/T20))^(1/11))-1)*100</f>
        <v>#DIV/0!</v>
      </c>
    </row>
    <row r="42" spans="1:22">
      <c r="A42" s="119" t="s">
        <v>447</v>
      </c>
      <c r="B42" s="644">
        <f>((((B37/B11))^(1/26))-1)*100</f>
        <v>1.483941231900987</v>
      </c>
      <c r="C42" s="644">
        <f t="shared" ref="C42:H42" si="6">((((C37/C11))^(1/26))-1)*100</f>
        <v>-0.60352593564323431</v>
      </c>
      <c r="D42" s="644">
        <f t="shared" si="6"/>
        <v>-1.3216055847461994</v>
      </c>
      <c r="E42" s="644">
        <f t="shared" si="6"/>
        <v>3.6672817494764365</v>
      </c>
      <c r="F42" s="644">
        <f t="shared" si="6"/>
        <v>0.46031672269017943</v>
      </c>
      <c r="G42" s="644">
        <f t="shared" si="6"/>
        <v>-2.688432763745896</v>
      </c>
      <c r="H42" s="644">
        <f t="shared" si="6"/>
        <v>-5.7015569737872696E-2</v>
      </c>
      <c r="I42" s="114"/>
      <c r="J42" s="114"/>
      <c r="K42" s="114"/>
      <c r="L42" s="114"/>
      <c r="M42" s="114"/>
      <c r="N42" s="114"/>
      <c r="O42" s="114"/>
      <c r="P42" s="114"/>
      <c r="Q42" s="114"/>
      <c r="R42" s="114"/>
      <c r="S42" s="114"/>
      <c r="T42" s="114"/>
    </row>
    <row r="43" spans="1:22">
      <c r="A43" s="431" t="s">
        <v>449</v>
      </c>
      <c r="B43" s="644">
        <f>((((B37/B30))^(1/7))-1)*100</f>
        <v>1.7926774899310383</v>
      </c>
      <c r="C43" s="644">
        <f t="shared" ref="C43:H43" si="7">((((C37/C30))^(1/7))-1)*100</f>
        <v>-3.0110381847209489</v>
      </c>
      <c r="D43" s="644">
        <f t="shared" si="7"/>
        <v>-1.6520476274057061</v>
      </c>
      <c r="E43" s="644">
        <f t="shared" si="7"/>
        <v>-4.9361058628933696</v>
      </c>
      <c r="F43" s="644">
        <f t="shared" si="7"/>
        <v>-6.3813074609311844</v>
      </c>
      <c r="G43" s="644">
        <f t="shared" si="7"/>
        <v>-3.5483921909796101</v>
      </c>
      <c r="H43" s="644">
        <f t="shared" si="7"/>
        <v>-7.4905514637044863</v>
      </c>
      <c r="I43" s="114"/>
      <c r="J43" s="114"/>
      <c r="K43" s="114"/>
      <c r="L43" s="114"/>
      <c r="M43" s="114"/>
      <c r="N43" s="114"/>
      <c r="O43" s="114"/>
      <c r="P43" s="114"/>
      <c r="Q43" s="114"/>
      <c r="R43" s="114"/>
      <c r="S43" s="114"/>
      <c r="T43" s="114"/>
    </row>
    <row r="44" spans="1:22">
      <c r="A44" s="119"/>
      <c r="B44" s="644"/>
      <c r="C44" s="644"/>
      <c r="D44" s="644" t="s">
        <v>276</v>
      </c>
      <c r="E44" s="644"/>
      <c r="F44" s="644"/>
      <c r="G44" s="644"/>
      <c r="H44" s="644"/>
      <c r="I44" s="114"/>
      <c r="J44" s="114"/>
      <c r="K44" s="114"/>
      <c r="L44" s="114"/>
      <c r="M44" s="114"/>
      <c r="N44" s="114"/>
      <c r="O44" s="114"/>
      <c r="P44" s="114"/>
      <c r="Q44" s="114"/>
      <c r="R44" s="114"/>
      <c r="S44" s="114"/>
      <c r="T44" s="114"/>
    </row>
    <row r="45" spans="1:22">
      <c r="A45" s="119" t="s">
        <v>447</v>
      </c>
      <c r="B45" s="644">
        <f t="shared" ref="B45:H45" si="8">(B37/B11-1)*100</f>
        <v>46.666339757106186</v>
      </c>
      <c r="C45" s="644">
        <f t="shared" si="8"/>
        <v>-14.563106796116498</v>
      </c>
      <c r="D45" s="644">
        <f t="shared" si="8"/>
        <v>-29.242262540021347</v>
      </c>
      <c r="E45" s="644">
        <f t="shared" si="8"/>
        <v>155.08474576271186</v>
      </c>
      <c r="F45" s="644">
        <f t="shared" si="8"/>
        <v>12.682926829268304</v>
      </c>
      <c r="G45" s="644">
        <f t="shared" si="8"/>
        <v>-50.764750397993282</v>
      </c>
      <c r="H45" s="644">
        <f t="shared" si="8"/>
        <v>-1.4718878258675683</v>
      </c>
      <c r="S45" s="1" t="e">
        <f>(S34/S12-1)*100</f>
        <v>#DIV/0!</v>
      </c>
      <c r="T45" s="1" t="e">
        <f>(T34/T12-1)*100</f>
        <v>#DIV/0!</v>
      </c>
    </row>
    <row r="46" spans="1:22" ht="23.25" customHeight="1">
      <c r="A46" s="1170"/>
      <c r="B46" s="1170"/>
      <c r="C46" s="1170"/>
      <c r="D46" s="1170"/>
      <c r="E46" s="1170"/>
      <c r="F46" s="1170"/>
      <c r="G46" s="1170"/>
      <c r="H46" s="1170"/>
    </row>
    <row r="47" spans="1:22">
      <c r="A47" s="1170" t="s">
        <v>1638</v>
      </c>
      <c r="B47" s="1170"/>
      <c r="C47" s="1170"/>
      <c r="D47" s="1170"/>
      <c r="E47" s="1170"/>
      <c r="F47" s="1170"/>
      <c r="G47" s="1170"/>
      <c r="H47" s="1170"/>
    </row>
    <row r="48" spans="1:22">
      <c r="A48" s="1" t="s">
        <v>1637</v>
      </c>
      <c r="B48" s="9"/>
      <c r="C48" s="9"/>
      <c r="D48" s="9"/>
      <c r="E48" s="9"/>
      <c r="F48" s="9"/>
      <c r="G48" s="9"/>
      <c r="H48" s="9"/>
    </row>
    <row r="49" spans="1:1">
      <c r="A49" s="1" t="s">
        <v>388</v>
      </c>
    </row>
  </sheetData>
  <mergeCells count="9">
    <mergeCell ref="G3:G4"/>
    <mergeCell ref="A46:H46"/>
    <mergeCell ref="A47:H47"/>
    <mergeCell ref="H3:H4"/>
    <mergeCell ref="B3:B4"/>
    <mergeCell ref="C3:C4"/>
    <mergeCell ref="D3:D4"/>
    <mergeCell ref="E3:E4"/>
    <mergeCell ref="F3:F4"/>
  </mergeCells>
  <pageMargins left="0.74803149606299213" right="0.74803149606299213" top="0.98425196850393704" bottom="0.98425196850393704" header="0.51181102362204722" footer="0.51181102362204722"/>
  <pageSetup scale="77" fitToHeight="0" orientation="portrait" horizontalDpi="300" verticalDpi="300" r:id="rId1"/>
  <headerFooter alignWithMargins="0"/>
</worksheet>
</file>

<file path=xl/worksheets/sheet115.xml><?xml version="1.0" encoding="utf-8"?>
<worksheet xmlns="http://schemas.openxmlformats.org/spreadsheetml/2006/main" xmlns:r="http://schemas.openxmlformats.org/officeDocument/2006/relationships">
  <sheetPr codeName="Sheet84">
    <pageSetUpPr fitToPage="1"/>
  </sheetPr>
  <dimension ref="A1:K23"/>
  <sheetViews>
    <sheetView view="pageBreakPreview" zoomScaleSheetLayoutView="100" workbookViewId="0">
      <pane xSplit="2" ySplit="4" topLeftCell="C5"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11" style="1" customWidth="1"/>
    <col min="2" max="2" width="8" style="1" customWidth="1"/>
    <col min="3" max="10" width="11" style="1" customWidth="1"/>
    <col min="11" max="11" width="12.28515625" style="1" customWidth="1"/>
    <col min="12" max="16384" width="8" style="1"/>
  </cols>
  <sheetData>
    <row r="1" spans="1:11" ht="25.15" customHeight="1">
      <c r="A1" s="1214" t="s">
        <v>2196</v>
      </c>
      <c r="B1" s="1215"/>
      <c r="C1" s="1215"/>
      <c r="D1" s="1215"/>
      <c r="E1" s="1215"/>
      <c r="F1" s="1215"/>
      <c r="G1" s="1215"/>
      <c r="H1" s="1215"/>
      <c r="I1" s="1215"/>
      <c r="J1" s="1215"/>
      <c r="K1" s="1215"/>
    </row>
    <row r="2" spans="1:11" ht="24" customHeight="1">
      <c r="A2" s="1216" t="s">
        <v>177</v>
      </c>
      <c r="B2" s="1218"/>
      <c r="C2" s="1216" t="s">
        <v>178</v>
      </c>
      <c r="D2" s="1217"/>
      <c r="E2" s="1218"/>
      <c r="F2" s="1216" t="s">
        <v>179</v>
      </c>
      <c r="G2" s="1217"/>
      <c r="H2" s="1217"/>
      <c r="I2" s="1217"/>
      <c r="J2" s="1217"/>
      <c r="K2" s="1218"/>
    </row>
    <row r="3" spans="1:11" ht="27.6" customHeight="1">
      <c r="A3" s="1180"/>
      <c r="B3" s="1219"/>
      <c r="C3" s="1180"/>
      <c r="D3" s="1173"/>
      <c r="E3" s="1219"/>
      <c r="F3" s="1180" t="s">
        <v>180</v>
      </c>
      <c r="G3" s="1173"/>
      <c r="H3" s="1219"/>
      <c r="I3" s="1180" t="s">
        <v>181</v>
      </c>
      <c r="J3" s="1173"/>
      <c r="K3" s="1219"/>
    </row>
    <row r="4" spans="1:11" ht="15" customHeight="1">
      <c r="A4" s="383"/>
      <c r="B4" s="7"/>
      <c r="C4" s="237" t="s">
        <v>182</v>
      </c>
      <c r="D4" s="132" t="s">
        <v>183</v>
      </c>
      <c r="E4" s="131" t="s">
        <v>184</v>
      </c>
      <c r="F4" s="237" t="s">
        <v>182</v>
      </c>
      <c r="G4" s="132" t="s">
        <v>183</v>
      </c>
      <c r="H4" s="131" t="s">
        <v>184</v>
      </c>
      <c r="I4" s="237" t="s">
        <v>182</v>
      </c>
      <c r="J4" s="132" t="s">
        <v>183</v>
      </c>
      <c r="K4" s="131" t="s">
        <v>184</v>
      </c>
    </row>
    <row r="5" spans="1:11" ht="15" customHeight="1">
      <c r="A5" s="242" t="s">
        <v>185</v>
      </c>
      <c r="B5" s="130">
        <v>1991</v>
      </c>
      <c r="C5" s="11">
        <v>92.2</v>
      </c>
      <c r="D5" s="25">
        <v>92.8</v>
      </c>
      <c r="E5" s="371">
        <v>91.2</v>
      </c>
      <c r="F5" s="11">
        <v>5.5</v>
      </c>
      <c r="G5" s="25">
        <v>5.6</v>
      </c>
      <c r="H5" s="371">
        <v>5.5</v>
      </c>
      <c r="I5" s="11">
        <v>2.2999999999999998</v>
      </c>
      <c r="J5" s="25">
        <v>1.6</v>
      </c>
      <c r="K5" s="371">
        <v>3.3</v>
      </c>
    </row>
    <row r="6" spans="1:11" ht="15" customHeight="1">
      <c r="A6" s="242"/>
      <c r="B6" s="130">
        <v>1996</v>
      </c>
      <c r="C6" s="11">
        <v>92.1</v>
      </c>
      <c r="D6" s="25">
        <v>92.6</v>
      </c>
      <c r="E6" s="371">
        <v>91</v>
      </c>
      <c r="F6" s="11">
        <v>5.6</v>
      </c>
      <c r="G6" s="25">
        <v>5.8</v>
      </c>
      <c r="H6" s="371">
        <v>5</v>
      </c>
      <c r="I6" s="11">
        <v>2.4</v>
      </c>
      <c r="J6" s="25">
        <v>1.6</v>
      </c>
      <c r="K6" s="371">
        <v>3.8</v>
      </c>
    </row>
    <row r="7" spans="1:11" ht="15" customHeight="1">
      <c r="A7" s="242"/>
      <c r="B7" s="130">
        <v>2001</v>
      </c>
      <c r="C7" s="11">
        <v>92.2</v>
      </c>
      <c r="D7" s="25">
        <v>92.9</v>
      </c>
      <c r="E7" s="371">
        <v>90.8</v>
      </c>
      <c r="F7" s="11">
        <v>5</v>
      </c>
      <c r="G7" s="25">
        <v>5.8</v>
      </c>
      <c r="H7" s="371">
        <v>5.6</v>
      </c>
      <c r="I7" s="11">
        <v>2.1</v>
      </c>
      <c r="J7" s="25">
        <v>1.4</v>
      </c>
      <c r="K7" s="371">
        <v>3.5</v>
      </c>
    </row>
    <row r="8" spans="1:11" ht="15" customHeight="1">
      <c r="A8" s="383"/>
      <c r="B8" s="131">
        <v>2006</v>
      </c>
      <c r="C8" s="741">
        <v>92.9</v>
      </c>
      <c r="D8" s="250">
        <v>93.9</v>
      </c>
      <c r="E8" s="742">
        <v>90.5</v>
      </c>
      <c r="F8" s="741">
        <v>5.2</v>
      </c>
      <c r="G8" s="250">
        <v>5</v>
      </c>
      <c r="H8" s="742">
        <v>5.8</v>
      </c>
      <c r="I8" s="741">
        <v>1.9</v>
      </c>
      <c r="J8" s="250">
        <v>1.1000000000000001</v>
      </c>
      <c r="K8" s="742">
        <v>3.7</v>
      </c>
    </row>
    <row r="9" spans="1:11" ht="15" customHeight="1">
      <c r="A9" s="242" t="s">
        <v>186</v>
      </c>
      <c r="B9" s="130">
        <v>1991</v>
      </c>
      <c r="C9" s="11">
        <v>93.6</v>
      </c>
      <c r="D9" s="25">
        <v>95.8</v>
      </c>
      <c r="E9" s="371">
        <v>89.8</v>
      </c>
      <c r="F9" s="11">
        <v>4.5</v>
      </c>
      <c r="G9" s="25">
        <v>3.6</v>
      </c>
      <c r="H9" s="371">
        <v>6</v>
      </c>
      <c r="I9" s="11">
        <v>2</v>
      </c>
      <c r="J9" s="25">
        <v>0.6</v>
      </c>
      <c r="K9" s="371">
        <v>4.2</v>
      </c>
    </row>
    <row r="10" spans="1:11" ht="15" customHeight="1">
      <c r="A10" s="242"/>
      <c r="B10" s="130">
        <v>1996</v>
      </c>
      <c r="C10" s="11">
        <v>93.1</v>
      </c>
      <c r="D10" s="25">
        <v>95.9</v>
      </c>
      <c r="E10" s="371">
        <v>88</v>
      </c>
      <c r="F10" s="11">
        <v>4.3</v>
      </c>
      <c r="G10" s="25">
        <v>3.3</v>
      </c>
      <c r="H10" s="371">
        <v>6</v>
      </c>
      <c r="I10" s="11">
        <v>2.6</v>
      </c>
      <c r="J10" s="25">
        <v>0.7</v>
      </c>
      <c r="K10" s="371">
        <v>6</v>
      </c>
    </row>
    <row r="11" spans="1:11" ht="15" customHeight="1">
      <c r="A11" s="242"/>
      <c r="B11" s="130">
        <v>2001</v>
      </c>
      <c r="C11" s="11">
        <v>93.9</v>
      </c>
      <c r="D11" s="25">
        <v>96.3</v>
      </c>
      <c r="E11" s="371">
        <v>89.2</v>
      </c>
      <c r="F11" s="11">
        <v>4</v>
      </c>
      <c r="G11" s="25">
        <v>3.1</v>
      </c>
      <c r="H11" s="371">
        <v>5.9</v>
      </c>
      <c r="I11" s="11">
        <v>2</v>
      </c>
      <c r="J11" s="25">
        <v>0.6</v>
      </c>
      <c r="K11" s="371">
        <v>5</v>
      </c>
    </row>
    <row r="12" spans="1:11" ht="15" customHeight="1">
      <c r="A12" s="383"/>
      <c r="B12" s="131">
        <v>2006</v>
      </c>
      <c r="C12" s="741">
        <v>94</v>
      </c>
      <c r="D12" s="250">
        <v>96.3</v>
      </c>
      <c r="E12" s="742">
        <v>88.8</v>
      </c>
      <c r="F12" s="741">
        <v>4.0999999999999996</v>
      </c>
      <c r="G12" s="250">
        <v>3.1</v>
      </c>
      <c r="H12" s="742">
        <v>6.3</v>
      </c>
      <c r="I12" s="741">
        <v>1.9</v>
      </c>
      <c r="J12" s="250">
        <v>0.6</v>
      </c>
      <c r="K12" s="742">
        <v>4.9000000000000004</v>
      </c>
    </row>
    <row r="13" spans="1:11" ht="15" customHeight="1">
      <c r="A13" s="242" t="s">
        <v>187</v>
      </c>
      <c r="B13" s="130">
        <v>1991</v>
      </c>
      <c r="C13" s="11">
        <v>80</v>
      </c>
      <c r="D13" s="25">
        <v>86.2</v>
      </c>
      <c r="E13" s="371">
        <v>69.2</v>
      </c>
      <c r="F13" s="11">
        <v>8.1999999999999993</v>
      </c>
      <c r="G13" s="25">
        <v>9.1</v>
      </c>
      <c r="H13" s="371">
        <v>6.6</v>
      </c>
      <c r="I13" s="11">
        <v>11.8</v>
      </c>
      <c r="J13" s="25">
        <v>4.7</v>
      </c>
      <c r="K13" s="371">
        <v>24.1</v>
      </c>
    </row>
    <row r="14" spans="1:11" ht="15" customHeight="1">
      <c r="A14" s="242"/>
      <c r="B14" s="130">
        <v>1996</v>
      </c>
      <c r="C14" s="11">
        <v>77.8</v>
      </c>
      <c r="D14" s="25">
        <v>85.8</v>
      </c>
      <c r="E14" s="371">
        <v>63.1</v>
      </c>
      <c r="F14" s="11">
        <v>8.1999999999999993</v>
      </c>
      <c r="G14" s="25">
        <v>8.5</v>
      </c>
      <c r="H14" s="371">
        <v>7.8</v>
      </c>
      <c r="I14" s="11">
        <v>13.9</v>
      </c>
      <c r="J14" s="25">
        <v>5.7</v>
      </c>
      <c r="K14" s="371">
        <v>29.1</v>
      </c>
    </row>
    <row r="15" spans="1:11" ht="15" customHeight="1">
      <c r="A15" s="242"/>
      <c r="B15" s="130">
        <v>2001</v>
      </c>
      <c r="C15" s="11">
        <v>79.8</v>
      </c>
      <c r="D15" s="25">
        <v>86.6</v>
      </c>
      <c r="E15" s="371">
        <v>66.2</v>
      </c>
      <c r="F15" s="11">
        <v>7.9</v>
      </c>
      <c r="G15" s="25">
        <v>7.8</v>
      </c>
      <c r="H15" s="371">
        <v>8.1</v>
      </c>
      <c r="I15" s="11">
        <v>12.3</v>
      </c>
      <c r="J15" s="25">
        <v>5.6</v>
      </c>
      <c r="K15" s="371">
        <v>25.7</v>
      </c>
    </row>
    <row r="16" spans="1:11" ht="15" customHeight="1">
      <c r="A16" s="383"/>
      <c r="B16" s="131">
        <v>2006</v>
      </c>
      <c r="C16" s="741">
        <v>78.599999999999994</v>
      </c>
      <c r="D16" s="250">
        <v>84.8</v>
      </c>
      <c r="E16" s="742">
        <v>64.599999999999994</v>
      </c>
      <c r="F16" s="741">
        <v>10</v>
      </c>
      <c r="G16" s="250">
        <v>9.6</v>
      </c>
      <c r="H16" s="742">
        <v>10.9</v>
      </c>
      <c r="I16" s="741">
        <v>11.4</v>
      </c>
      <c r="J16" s="250">
        <v>5.5</v>
      </c>
      <c r="K16" s="742">
        <v>24.6</v>
      </c>
    </row>
    <row r="17" spans="1:11" ht="15" customHeight="1">
      <c r="A17" s="242" t="s">
        <v>188</v>
      </c>
      <c r="B17" s="130">
        <v>1991</v>
      </c>
      <c r="C17" s="11">
        <v>69.7</v>
      </c>
      <c r="D17" s="25">
        <v>77.2</v>
      </c>
      <c r="E17" s="371">
        <v>56.9</v>
      </c>
      <c r="F17" s="11">
        <v>16.7</v>
      </c>
      <c r="G17" s="25">
        <v>16.8</v>
      </c>
      <c r="H17" s="371">
        <v>16.600000000000001</v>
      </c>
      <c r="I17" s="11">
        <v>13.6</v>
      </c>
      <c r="J17" s="25">
        <v>6</v>
      </c>
      <c r="K17" s="371">
        <v>26.6</v>
      </c>
    </row>
    <row r="18" spans="1:11" ht="15" customHeight="1">
      <c r="A18" s="242"/>
      <c r="B18" s="130">
        <v>1996</v>
      </c>
      <c r="C18" s="11">
        <v>67.8</v>
      </c>
      <c r="D18" s="25">
        <v>76.900000000000006</v>
      </c>
      <c r="E18" s="371">
        <v>51</v>
      </c>
      <c r="F18" s="11">
        <v>16.600000000000001</v>
      </c>
      <c r="G18" s="25">
        <v>16.2</v>
      </c>
      <c r="H18" s="371">
        <v>17.3</v>
      </c>
      <c r="I18" s="11">
        <v>15.6</v>
      </c>
      <c r="J18" s="25">
        <v>6.9</v>
      </c>
      <c r="K18" s="371">
        <v>31.7</v>
      </c>
    </row>
    <row r="19" spans="1:11" ht="15" customHeight="1">
      <c r="A19" s="242"/>
      <c r="B19" s="130">
        <v>2001</v>
      </c>
      <c r="C19" s="11">
        <v>69.900000000000006</v>
      </c>
      <c r="D19" s="25">
        <v>78</v>
      </c>
      <c r="E19" s="371">
        <v>53.7</v>
      </c>
      <c r="F19" s="11">
        <v>16.3</v>
      </c>
      <c r="G19" s="25">
        <v>15.5</v>
      </c>
      <c r="H19" s="371">
        <v>18</v>
      </c>
      <c r="I19" s="11">
        <v>13.7</v>
      </c>
      <c r="J19" s="25">
        <v>6.6</v>
      </c>
      <c r="K19" s="371">
        <v>28.3</v>
      </c>
    </row>
    <row r="20" spans="1:11" ht="15" customHeight="1">
      <c r="A20" s="383"/>
      <c r="B20" s="131">
        <v>2006</v>
      </c>
      <c r="C20" s="741">
        <v>69.5</v>
      </c>
      <c r="D20" s="250">
        <v>77.3</v>
      </c>
      <c r="E20" s="742">
        <v>51.8</v>
      </c>
      <c r="F20" s="741">
        <v>17.8</v>
      </c>
      <c r="G20" s="250">
        <v>16.399999999999999</v>
      </c>
      <c r="H20" s="742">
        <v>21</v>
      </c>
      <c r="I20" s="741">
        <v>12.7</v>
      </c>
      <c r="J20" s="250">
        <v>6.3</v>
      </c>
      <c r="K20" s="742">
        <v>27.2</v>
      </c>
    </row>
    <row r="22" spans="1:11" ht="25.5" customHeight="1">
      <c r="A22" s="1188" t="s">
        <v>1756</v>
      </c>
      <c r="B22" s="1188"/>
      <c r="C22" s="1188"/>
      <c r="D22" s="1188"/>
      <c r="E22" s="1188"/>
      <c r="F22" s="1188"/>
      <c r="G22" s="1188"/>
      <c r="H22" s="1188"/>
      <c r="I22" s="1188"/>
      <c r="J22" s="1188"/>
      <c r="K22" s="1188"/>
    </row>
    <row r="23" spans="1:11" ht="115.5" customHeight="1">
      <c r="A23" s="1188" t="s">
        <v>37</v>
      </c>
      <c r="B23" s="1188"/>
      <c r="C23" s="1188"/>
      <c r="D23" s="1188"/>
      <c r="E23" s="1188"/>
      <c r="F23" s="1188"/>
      <c r="G23" s="1188"/>
      <c r="H23" s="1188"/>
      <c r="I23" s="1188"/>
      <c r="J23" s="1188"/>
      <c r="K23" s="1188"/>
    </row>
  </sheetData>
  <mergeCells count="8">
    <mergeCell ref="A1:K1"/>
    <mergeCell ref="A22:K22"/>
    <mergeCell ref="A23:K23"/>
    <mergeCell ref="F2:K2"/>
    <mergeCell ref="F3:H3"/>
    <mergeCell ref="I3:K3"/>
    <mergeCell ref="A2:B3"/>
    <mergeCell ref="C2:E3"/>
  </mergeCells>
  <phoneticPr fontId="35" type="noConversion"/>
  <pageMargins left="0.75" right="0.75" top="1" bottom="1" header="0.5" footer="0.5"/>
  <pageSetup scale="98" orientation="landscape" horizontalDpi="4294967292" verticalDpi="1200" r:id="rId1"/>
  <headerFooter alignWithMargins="0"/>
</worksheet>
</file>

<file path=xl/worksheets/sheet116.xml><?xml version="1.0" encoding="utf-8"?>
<worksheet xmlns="http://schemas.openxmlformats.org/spreadsheetml/2006/main" xmlns:r="http://schemas.openxmlformats.org/officeDocument/2006/relationships">
  <sheetPr codeName="Sheet85">
    <pageSetUpPr fitToPage="1"/>
  </sheetPr>
  <dimension ref="A1:L67"/>
  <sheetViews>
    <sheetView view="pageBreakPreview" zoomScale="55" zoomScaleSheetLayoutView="55" workbookViewId="0">
      <pane xSplit="2" ySplit="5" topLeftCell="C6"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20.140625" style="55" customWidth="1"/>
    <col min="2" max="11" width="8" style="55" customWidth="1"/>
    <col min="12" max="12" width="21.5703125" style="55" customWidth="1"/>
    <col min="13" max="16384" width="8" style="55"/>
  </cols>
  <sheetData>
    <row r="1" spans="1:11" ht="15.75">
      <c r="A1" s="745" t="s">
        <v>682</v>
      </c>
      <c r="B1" s="49"/>
      <c r="C1" s="49"/>
      <c r="D1" s="49"/>
    </row>
    <row r="2" spans="1:11" ht="15.75">
      <c r="A2" s="745" t="s">
        <v>2197</v>
      </c>
    </row>
    <row r="3" spans="1:11" ht="28.9" customHeight="1">
      <c r="A3" s="743"/>
      <c r="B3" s="204"/>
      <c r="C3" s="1196" t="s">
        <v>635</v>
      </c>
      <c r="D3" s="1197"/>
      <c r="E3" s="1198"/>
      <c r="F3" s="1196" t="s">
        <v>636</v>
      </c>
      <c r="G3" s="1197"/>
      <c r="H3" s="1197"/>
      <c r="I3" s="1197"/>
      <c r="J3" s="1197"/>
      <c r="K3" s="1198"/>
    </row>
    <row r="4" spans="1:11" ht="37.5" customHeight="1">
      <c r="A4" s="226"/>
      <c r="B4" s="50"/>
      <c r="C4" s="1222"/>
      <c r="D4" s="1223"/>
      <c r="E4" s="1224"/>
      <c r="F4" s="1222" t="s">
        <v>180</v>
      </c>
      <c r="G4" s="1223"/>
      <c r="H4" s="1224"/>
      <c r="I4" s="1222" t="s">
        <v>637</v>
      </c>
      <c r="J4" s="1223"/>
      <c r="K4" s="1224"/>
    </row>
    <row r="5" spans="1:11" ht="22.9" customHeight="1">
      <c r="A5" s="227"/>
      <c r="B5" s="54"/>
      <c r="C5" s="208" t="s">
        <v>182</v>
      </c>
      <c r="D5" s="193" t="s">
        <v>183</v>
      </c>
      <c r="E5" s="209" t="s">
        <v>184</v>
      </c>
      <c r="F5" s="208" t="s">
        <v>182</v>
      </c>
      <c r="G5" s="193" t="s">
        <v>183</v>
      </c>
      <c r="H5" s="209" t="s">
        <v>184</v>
      </c>
      <c r="I5" s="208" t="s">
        <v>182</v>
      </c>
      <c r="J5" s="193" t="s">
        <v>183</v>
      </c>
      <c r="K5" s="209" t="s">
        <v>184</v>
      </c>
    </row>
    <row r="6" spans="1:11">
      <c r="A6" s="226" t="s">
        <v>375</v>
      </c>
      <c r="B6" s="50">
        <v>1991</v>
      </c>
      <c r="C6" s="215">
        <v>69.699999999999989</v>
      </c>
      <c r="D6" s="216">
        <v>77.2</v>
      </c>
      <c r="E6" s="214">
        <v>56.899999999999991</v>
      </c>
      <c r="F6" s="215">
        <v>16.7</v>
      </c>
      <c r="G6" s="216">
        <v>16.8</v>
      </c>
      <c r="H6" s="214">
        <v>16.600000000000001</v>
      </c>
      <c r="I6" s="215">
        <v>13.600000000000001</v>
      </c>
      <c r="J6" s="216">
        <v>6</v>
      </c>
      <c r="K6" s="214">
        <v>26.6</v>
      </c>
    </row>
    <row r="7" spans="1:11">
      <c r="A7" s="226"/>
      <c r="B7" s="50">
        <v>1996</v>
      </c>
      <c r="C7" s="215">
        <v>67.800000000000011</v>
      </c>
      <c r="D7" s="216">
        <v>76.900000000000006</v>
      </c>
      <c r="E7" s="214">
        <v>51</v>
      </c>
      <c r="F7" s="215">
        <v>16.600000000000001</v>
      </c>
      <c r="G7" s="216">
        <v>16.2</v>
      </c>
      <c r="H7" s="214">
        <v>17.299999999999997</v>
      </c>
      <c r="I7" s="215">
        <v>15.6</v>
      </c>
      <c r="J7" s="216">
        <v>6.9</v>
      </c>
      <c r="K7" s="214">
        <v>31.7</v>
      </c>
    </row>
    <row r="8" spans="1:11">
      <c r="A8" s="226"/>
      <c r="B8" s="50">
        <v>2001</v>
      </c>
      <c r="C8" s="215">
        <v>69.899999999999991</v>
      </c>
      <c r="D8" s="216">
        <v>78</v>
      </c>
      <c r="E8" s="214">
        <v>53.7</v>
      </c>
      <c r="F8" s="215">
        <v>16.3</v>
      </c>
      <c r="G8" s="216">
        <v>15.5</v>
      </c>
      <c r="H8" s="214">
        <v>18</v>
      </c>
      <c r="I8" s="215">
        <v>13.700000000000001</v>
      </c>
      <c r="J8" s="216">
        <v>6.6000000000000005</v>
      </c>
      <c r="K8" s="214">
        <v>28.299999999999997</v>
      </c>
    </row>
    <row r="9" spans="1:11">
      <c r="A9" s="226"/>
      <c r="B9" s="50">
        <v>2006</v>
      </c>
      <c r="C9" s="215">
        <v>69.5</v>
      </c>
      <c r="D9" s="216">
        <v>77.3</v>
      </c>
      <c r="E9" s="214">
        <v>51.800000000000004</v>
      </c>
      <c r="F9" s="215">
        <v>17.8</v>
      </c>
      <c r="G9" s="216">
        <v>16.400000000000002</v>
      </c>
      <c r="H9" s="214">
        <v>21</v>
      </c>
      <c r="I9" s="215">
        <v>12.7</v>
      </c>
      <c r="J9" s="216">
        <v>6.3</v>
      </c>
      <c r="K9" s="214">
        <v>27.200000000000003</v>
      </c>
    </row>
    <row r="10" spans="1:11">
      <c r="A10" s="226" t="s">
        <v>377</v>
      </c>
      <c r="B10" s="50">
        <v>1991</v>
      </c>
      <c r="C10" s="215">
        <v>72.8</v>
      </c>
      <c r="D10" s="216">
        <v>76.900000000000006</v>
      </c>
      <c r="E10" s="214">
        <v>56.999999999999993</v>
      </c>
      <c r="F10" s="215">
        <v>12.7</v>
      </c>
      <c r="G10" s="216">
        <v>12.8</v>
      </c>
      <c r="H10" s="214">
        <v>12.4</v>
      </c>
      <c r="I10" s="215">
        <v>14.499999999999998</v>
      </c>
      <c r="J10" s="216">
        <v>10.299999999999999</v>
      </c>
      <c r="K10" s="214">
        <v>30.599999999999998</v>
      </c>
    </row>
    <row r="11" spans="1:11">
      <c r="A11" s="226"/>
      <c r="B11" s="50">
        <v>1996</v>
      </c>
      <c r="C11" s="215">
        <v>73.599999999999994</v>
      </c>
      <c r="D11" s="216">
        <v>79.2</v>
      </c>
      <c r="E11" s="214">
        <v>53.400000000000006</v>
      </c>
      <c r="F11" s="215">
        <v>11.600000000000001</v>
      </c>
      <c r="G11" s="216">
        <v>11.5</v>
      </c>
      <c r="H11" s="214">
        <v>11.899999999999999</v>
      </c>
      <c r="I11" s="215">
        <v>14.799999999999999</v>
      </c>
      <c r="J11" s="216">
        <v>9.3000000000000007</v>
      </c>
      <c r="K11" s="214">
        <v>34.799999999999997</v>
      </c>
    </row>
    <row r="12" spans="1:11">
      <c r="A12" s="226"/>
      <c r="B12" s="50">
        <v>2001</v>
      </c>
      <c r="C12" s="215">
        <v>73.8</v>
      </c>
      <c r="D12" s="216">
        <v>79.2</v>
      </c>
      <c r="E12" s="214">
        <v>53</v>
      </c>
      <c r="F12" s="215">
        <v>11.600000000000001</v>
      </c>
      <c r="G12" s="216">
        <v>11.4</v>
      </c>
      <c r="H12" s="214">
        <v>12.2</v>
      </c>
      <c r="I12" s="215">
        <v>14.6</v>
      </c>
      <c r="J12" s="216">
        <v>9.4</v>
      </c>
      <c r="K12" s="214">
        <v>34.799999999999997</v>
      </c>
    </row>
    <row r="13" spans="1:11">
      <c r="A13" s="226"/>
      <c r="B13" s="50">
        <v>2006</v>
      </c>
      <c r="C13" s="215">
        <v>75.099999999999994</v>
      </c>
      <c r="D13" s="216">
        <v>81</v>
      </c>
      <c r="E13" s="214">
        <v>52.2</v>
      </c>
      <c r="F13" s="215">
        <v>10.7</v>
      </c>
      <c r="G13" s="216">
        <v>10</v>
      </c>
      <c r="H13" s="214">
        <v>13.200000000000001</v>
      </c>
      <c r="I13" s="215">
        <v>14.2</v>
      </c>
      <c r="J13" s="216">
        <v>9</v>
      </c>
      <c r="K13" s="214">
        <v>34.5</v>
      </c>
    </row>
    <row r="14" spans="1:11">
      <c r="A14" s="226" t="s">
        <v>386</v>
      </c>
      <c r="B14" s="50">
        <v>1991</v>
      </c>
      <c r="C14" s="215">
        <v>73.2</v>
      </c>
      <c r="D14" s="216">
        <v>78.900000000000006</v>
      </c>
      <c r="E14" s="214">
        <v>57.599999999999994</v>
      </c>
      <c r="F14" s="215">
        <v>13.4</v>
      </c>
      <c r="G14" s="216">
        <v>13.4</v>
      </c>
      <c r="H14" s="214">
        <v>13.200000000000001</v>
      </c>
      <c r="I14" s="215">
        <v>13.4</v>
      </c>
      <c r="J14" s="216">
        <v>7.7</v>
      </c>
      <c r="K14" s="214">
        <v>29.299999999999997</v>
      </c>
    </row>
    <row r="15" spans="1:11">
      <c r="A15" s="226"/>
      <c r="B15" s="50">
        <v>1996</v>
      </c>
      <c r="C15" s="215">
        <v>71.3</v>
      </c>
      <c r="D15" s="216">
        <v>78.5</v>
      </c>
      <c r="E15" s="214">
        <v>52.2</v>
      </c>
      <c r="F15" s="215">
        <v>15.299999999999999</v>
      </c>
      <c r="G15" s="216">
        <v>14.299999999999999</v>
      </c>
      <c r="H15" s="214">
        <v>18</v>
      </c>
      <c r="I15" s="215">
        <v>13.4</v>
      </c>
      <c r="J15" s="216">
        <v>7.1999999999999993</v>
      </c>
      <c r="K15" s="214">
        <v>29.799999999999997</v>
      </c>
    </row>
    <row r="16" spans="1:11">
      <c r="A16" s="226"/>
      <c r="B16" s="50">
        <v>2001</v>
      </c>
      <c r="C16" s="215">
        <v>72.899999999999991</v>
      </c>
      <c r="D16" s="216">
        <v>79.7</v>
      </c>
      <c r="E16" s="214">
        <v>54</v>
      </c>
      <c r="F16" s="215">
        <v>14.2</v>
      </c>
      <c r="G16" s="216">
        <v>13.600000000000001</v>
      </c>
      <c r="H16" s="214">
        <v>15.9</v>
      </c>
      <c r="I16" s="215">
        <v>12.9</v>
      </c>
      <c r="J16" s="216">
        <v>6.7</v>
      </c>
      <c r="K16" s="214">
        <v>30.099999999999998</v>
      </c>
    </row>
    <row r="17" spans="1:11">
      <c r="A17" s="226"/>
      <c r="B17" s="50">
        <v>2006</v>
      </c>
      <c r="C17" s="215">
        <v>71.7</v>
      </c>
      <c r="D17" s="216">
        <v>78.600000000000009</v>
      </c>
      <c r="E17" s="214">
        <v>52</v>
      </c>
      <c r="F17" s="215">
        <v>15.6</v>
      </c>
      <c r="G17" s="216">
        <v>14.2</v>
      </c>
      <c r="H17" s="214">
        <v>19.5</v>
      </c>
      <c r="I17" s="215">
        <v>12.6</v>
      </c>
      <c r="J17" s="216">
        <v>7.1999999999999993</v>
      </c>
      <c r="K17" s="214">
        <v>28.4</v>
      </c>
    </row>
    <row r="18" spans="1:11">
      <c r="A18" s="226" t="s">
        <v>378</v>
      </c>
      <c r="B18" s="50">
        <v>1991</v>
      </c>
      <c r="C18" s="215">
        <v>70.5</v>
      </c>
      <c r="D18" s="216">
        <v>76</v>
      </c>
      <c r="E18" s="214">
        <v>56.499999999999993</v>
      </c>
      <c r="F18" s="215">
        <v>15.9</v>
      </c>
      <c r="G18" s="216">
        <v>16.3</v>
      </c>
      <c r="H18" s="214">
        <v>15</v>
      </c>
      <c r="I18" s="215">
        <v>13.600000000000001</v>
      </c>
      <c r="J18" s="216">
        <v>7.7</v>
      </c>
      <c r="K18" s="214">
        <v>28.499999999999996</v>
      </c>
    </row>
    <row r="19" spans="1:11">
      <c r="A19" s="226"/>
      <c r="B19" s="50">
        <v>1996</v>
      </c>
      <c r="C19" s="215">
        <v>69.399999999999991</v>
      </c>
      <c r="D19" s="216">
        <v>77.2</v>
      </c>
      <c r="E19" s="214">
        <v>49.3</v>
      </c>
      <c r="F19" s="215">
        <v>15.7</v>
      </c>
      <c r="G19" s="216">
        <v>15.1</v>
      </c>
      <c r="H19" s="214">
        <v>17.2</v>
      </c>
      <c r="I19" s="215">
        <v>14.899999999999999</v>
      </c>
      <c r="J19" s="216">
        <v>7.7</v>
      </c>
      <c r="K19" s="214">
        <v>33.6</v>
      </c>
    </row>
    <row r="20" spans="1:11">
      <c r="A20" s="226"/>
      <c r="B20" s="50">
        <v>2001</v>
      </c>
      <c r="C20" s="215">
        <v>70.599999999999994</v>
      </c>
      <c r="D20" s="216">
        <v>78.100000000000009</v>
      </c>
      <c r="E20" s="214">
        <v>51</v>
      </c>
      <c r="F20" s="215">
        <v>14.2</v>
      </c>
      <c r="G20" s="216">
        <v>13.900000000000002</v>
      </c>
      <c r="H20" s="214">
        <v>15.2</v>
      </c>
      <c r="I20" s="215">
        <v>15.2</v>
      </c>
      <c r="J20" s="216">
        <v>8.1</v>
      </c>
      <c r="K20" s="214">
        <v>33.900000000000006</v>
      </c>
    </row>
    <row r="21" spans="1:11">
      <c r="A21" s="226"/>
      <c r="B21" s="50">
        <v>2006</v>
      </c>
      <c r="C21" s="215">
        <v>71.2</v>
      </c>
      <c r="D21" s="216">
        <v>79.2</v>
      </c>
      <c r="E21" s="214">
        <v>49.6</v>
      </c>
      <c r="F21" s="215">
        <v>16.7</v>
      </c>
      <c r="G21" s="216">
        <v>15</v>
      </c>
      <c r="H21" s="214">
        <v>21.3</v>
      </c>
      <c r="I21" s="215">
        <v>12.1</v>
      </c>
      <c r="J21" s="216">
        <v>5.8999999999999995</v>
      </c>
      <c r="K21" s="214">
        <v>29.099999999999998</v>
      </c>
    </row>
    <row r="22" spans="1:11">
      <c r="A22" s="226" t="s">
        <v>379</v>
      </c>
      <c r="B22" s="50">
        <v>1991</v>
      </c>
      <c r="C22" s="215">
        <v>71.3</v>
      </c>
      <c r="D22" s="216">
        <v>76.900000000000006</v>
      </c>
      <c r="E22" s="214">
        <v>54.6</v>
      </c>
      <c r="F22" s="215">
        <v>12.5</v>
      </c>
      <c r="G22" s="216">
        <v>12.6</v>
      </c>
      <c r="H22" s="214">
        <v>12.5</v>
      </c>
      <c r="I22" s="215">
        <v>16.2</v>
      </c>
      <c r="J22" s="216">
        <v>10.5</v>
      </c>
      <c r="K22" s="214">
        <v>33</v>
      </c>
    </row>
    <row r="23" spans="1:11">
      <c r="A23" s="226"/>
      <c r="B23" s="50">
        <v>1996</v>
      </c>
      <c r="C23" s="215">
        <v>71</v>
      </c>
      <c r="D23" s="216">
        <v>76.900000000000006</v>
      </c>
      <c r="E23" s="214">
        <v>53.300000000000004</v>
      </c>
      <c r="F23" s="215">
        <v>15.4</v>
      </c>
      <c r="G23" s="216">
        <v>15.9</v>
      </c>
      <c r="H23" s="214">
        <v>13.8</v>
      </c>
      <c r="I23" s="215">
        <v>13.600000000000001</v>
      </c>
      <c r="J23" s="216">
        <v>7.1999999999999993</v>
      </c>
      <c r="K23" s="214">
        <v>32.9</v>
      </c>
    </row>
    <row r="24" spans="1:11">
      <c r="A24" s="226"/>
      <c r="B24" s="50">
        <v>2001</v>
      </c>
      <c r="C24" s="215">
        <v>72.8</v>
      </c>
      <c r="D24" s="216">
        <v>78.3</v>
      </c>
      <c r="E24" s="214">
        <v>55.900000000000006</v>
      </c>
      <c r="F24" s="215">
        <v>16</v>
      </c>
      <c r="G24" s="216">
        <v>15.6</v>
      </c>
      <c r="H24" s="214">
        <v>17.5</v>
      </c>
      <c r="I24" s="215">
        <v>11.200000000000001</v>
      </c>
      <c r="J24" s="216">
        <v>6.2</v>
      </c>
      <c r="K24" s="214">
        <v>26.5</v>
      </c>
    </row>
    <row r="25" spans="1:11">
      <c r="A25" s="226"/>
      <c r="B25" s="50">
        <v>2006</v>
      </c>
      <c r="C25" s="215">
        <v>74</v>
      </c>
      <c r="D25" s="216">
        <v>79.900000000000006</v>
      </c>
      <c r="E25" s="214">
        <v>54.800000000000004</v>
      </c>
      <c r="F25" s="215">
        <v>15.7</v>
      </c>
      <c r="G25" s="216">
        <v>14.499999999999998</v>
      </c>
      <c r="H25" s="214">
        <v>19.7</v>
      </c>
      <c r="I25" s="215">
        <v>10.299999999999999</v>
      </c>
      <c r="J25" s="216">
        <v>5.7</v>
      </c>
      <c r="K25" s="214">
        <v>25.4</v>
      </c>
    </row>
    <row r="26" spans="1:11">
      <c r="A26" s="226" t="s">
        <v>380</v>
      </c>
      <c r="B26" s="50">
        <v>1991</v>
      </c>
      <c r="C26" s="215">
        <v>69</v>
      </c>
      <c r="D26" s="216">
        <v>77</v>
      </c>
      <c r="E26" s="214">
        <v>58.699999999999996</v>
      </c>
      <c r="F26" s="215">
        <v>16.5</v>
      </c>
      <c r="G26" s="216">
        <v>17.8</v>
      </c>
      <c r="H26" s="214">
        <v>14.7</v>
      </c>
      <c r="I26" s="215">
        <v>14.499999999999998</v>
      </c>
      <c r="J26" s="216">
        <v>5.2</v>
      </c>
      <c r="K26" s="214">
        <v>26.6</v>
      </c>
    </row>
    <row r="27" spans="1:11">
      <c r="A27" s="226"/>
      <c r="B27" s="50">
        <v>1996</v>
      </c>
      <c r="C27" s="215">
        <v>67.900000000000006</v>
      </c>
      <c r="D27" s="216">
        <v>77.3</v>
      </c>
      <c r="E27" s="214">
        <v>54.900000000000006</v>
      </c>
      <c r="F27" s="215">
        <v>15.8</v>
      </c>
      <c r="G27" s="216">
        <v>16.8</v>
      </c>
      <c r="H27" s="214">
        <v>14.6</v>
      </c>
      <c r="I27" s="215">
        <v>16.3</v>
      </c>
      <c r="J27" s="216">
        <v>5.8999999999999995</v>
      </c>
      <c r="K27" s="214">
        <v>30.599999999999998</v>
      </c>
    </row>
    <row r="28" spans="1:11">
      <c r="A28" s="226"/>
      <c r="B28" s="50">
        <v>2001</v>
      </c>
      <c r="C28" s="215">
        <v>71.7</v>
      </c>
      <c r="D28" s="216">
        <v>80.100000000000009</v>
      </c>
      <c r="E28" s="214">
        <v>59.599999999999994</v>
      </c>
      <c r="F28" s="215">
        <v>15.8</v>
      </c>
      <c r="G28" s="216">
        <v>15.4</v>
      </c>
      <c r="H28" s="214">
        <v>16.400000000000002</v>
      </c>
      <c r="I28" s="215">
        <v>12.5</v>
      </c>
      <c r="J28" s="216">
        <v>4.5</v>
      </c>
      <c r="K28" s="214">
        <v>24</v>
      </c>
    </row>
    <row r="29" spans="1:11">
      <c r="A29" s="226"/>
      <c r="B29" s="50">
        <v>2006</v>
      </c>
      <c r="C29" s="215">
        <v>71.599999999999994</v>
      </c>
      <c r="D29" s="216">
        <v>80.800000000000011</v>
      </c>
      <c r="E29" s="214">
        <v>57.4</v>
      </c>
      <c r="F29" s="215">
        <v>17.8</v>
      </c>
      <c r="G29" s="216">
        <v>15.8</v>
      </c>
      <c r="H29" s="214">
        <v>20.8</v>
      </c>
      <c r="I29" s="215">
        <v>10.6</v>
      </c>
      <c r="J29" s="216">
        <v>3.4000000000000004</v>
      </c>
      <c r="K29" s="214">
        <v>21.8</v>
      </c>
    </row>
    <row r="30" spans="1:11">
      <c r="A30" s="226" t="s">
        <v>381</v>
      </c>
      <c r="B30" s="50">
        <v>1991</v>
      </c>
      <c r="C30" s="215">
        <v>68.7</v>
      </c>
      <c r="D30" s="216">
        <v>75.7</v>
      </c>
      <c r="E30" s="214">
        <v>56.2</v>
      </c>
      <c r="F30" s="215">
        <v>19.400000000000002</v>
      </c>
      <c r="G30" s="216">
        <v>19.100000000000001</v>
      </c>
      <c r="H30" s="214">
        <v>19.8</v>
      </c>
      <c r="I30" s="215">
        <v>11.899999999999999</v>
      </c>
      <c r="J30" s="216">
        <v>5.2</v>
      </c>
      <c r="K30" s="214">
        <v>23.9</v>
      </c>
    </row>
    <row r="31" spans="1:11">
      <c r="A31" s="226"/>
      <c r="B31" s="50">
        <v>1996</v>
      </c>
      <c r="C31" s="215">
        <v>65.8</v>
      </c>
      <c r="D31" s="216">
        <v>75.599999999999994</v>
      </c>
      <c r="E31" s="214">
        <v>47.3</v>
      </c>
      <c r="F31" s="215">
        <v>18</v>
      </c>
      <c r="G31" s="216">
        <v>17.2</v>
      </c>
      <c r="H31" s="214">
        <v>19.5</v>
      </c>
      <c r="I31" s="215">
        <v>16.100000000000001</v>
      </c>
      <c r="J31" s="216">
        <v>7.1999999999999993</v>
      </c>
      <c r="K31" s="214">
        <v>33.200000000000003</v>
      </c>
    </row>
    <row r="32" spans="1:11">
      <c r="A32" s="226"/>
      <c r="B32" s="50">
        <v>2001</v>
      </c>
      <c r="C32" s="215">
        <v>68.400000000000006</v>
      </c>
      <c r="D32" s="216">
        <v>77.3</v>
      </c>
      <c r="E32" s="214">
        <v>48.6</v>
      </c>
      <c r="F32" s="215">
        <v>16.5</v>
      </c>
      <c r="G32" s="216">
        <v>15.4</v>
      </c>
      <c r="H32" s="214">
        <v>19</v>
      </c>
      <c r="I32" s="215">
        <v>15.1</v>
      </c>
      <c r="J32" s="216">
        <v>7.3</v>
      </c>
      <c r="K32" s="214">
        <v>32.300000000000004</v>
      </c>
    </row>
    <row r="33" spans="1:11">
      <c r="A33" s="226"/>
      <c r="B33" s="50">
        <v>2006</v>
      </c>
      <c r="C33" s="215">
        <v>67.100000000000009</v>
      </c>
      <c r="D33" s="216">
        <v>75.099999999999994</v>
      </c>
      <c r="E33" s="214">
        <v>46.400000000000006</v>
      </c>
      <c r="F33" s="215">
        <v>18.399999999999999</v>
      </c>
      <c r="G33" s="216">
        <v>17.5</v>
      </c>
      <c r="H33" s="214">
        <v>20.599999999999998</v>
      </c>
      <c r="I33" s="215">
        <v>14.499999999999998</v>
      </c>
      <c r="J33" s="216">
        <v>7.3999999999999995</v>
      </c>
      <c r="K33" s="214">
        <v>33</v>
      </c>
    </row>
    <row r="34" spans="1:11">
      <c r="A34" s="226" t="s">
        <v>382</v>
      </c>
      <c r="B34" s="50">
        <v>1991</v>
      </c>
      <c r="C34" s="215">
        <v>70.899999999999991</v>
      </c>
      <c r="D34" s="216">
        <v>78.400000000000006</v>
      </c>
      <c r="E34" s="214">
        <v>56.100000000000009</v>
      </c>
      <c r="F34" s="215">
        <v>15.2</v>
      </c>
      <c r="G34" s="216">
        <v>15.6</v>
      </c>
      <c r="H34" s="214">
        <v>14.399999999999999</v>
      </c>
      <c r="I34" s="215">
        <v>13.900000000000002</v>
      </c>
      <c r="J34" s="216">
        <v>6</v>
      </c>
      <c r="K34" s="214">
        <v>29.5</v>
      </c>
    </row>
    <row r="35" spans="1:11">
      <c r="A35" s="226"/>
      <c r="B35" s="50">
        <v>1996</v>
      </c>
      <c r="C35" s="215">
        <v>70.899999999999991</v>
      </c>
      <c r="D35" s="216">
        <v>79.5</v>
      </c>
      <c r="E35" s="214">
        <v>52.6</v>
      </c>
      <c r="F35" s="215">
        <v>14.399999999999999</v>
      </c>
      <c r="G35" s="216">
        <v>14.099999999999998</v>
      </c>
      <c r="H35" s="214">
        <v>14.899999999999999</v>
      </c>
      <c r="I35" s="215">
        <v>14.7</v>
      </c>
      <c r="J35" s="216">
        <v>6.4</v>
      </c>
      <c r="K35" s="214">
        <v>32.5</v>
      </c>
    </row>
    <row r="36" spans="1:11">
      <c r="A36" s="226"/>
      <c r="B36" s="50">
        <v>2001</v>
      </c>
      <c r="C36" s="215">
        <v>72</v>
      </c>
      <c r="D36" s="216">
        <v>79.5</v>
      </c>
      <c r="E36" s="214">
        <v>54.900000000000006</v>
      </c>
      <c r="F36" s="215">
        <v>16.400000000000002</v>
      </c>
      <c r="G36" s="216">
        <v>14.799999999999999</v>
      </c>
      <c r="H36" s="214">
        <v>20</v>
      </c>
      <c r="I36" s="215">
        <v>11.600000000000001</v>
      </c>
      <c r="J36" s="216">
        <v>5.7</v>
      </c>
      <c r="K36" s="214">
        <v>25.1</v>
      </c>
    </row>
    <row r="37" spans="1:11">
      <c r="A37" s="226"/>
      <c r="B37" s="50">
        <v>2006</v>
      </c>
      <c r="C37" s="215">
        <v>72.899999999999991</v>
      </c>
      <c r="D37" s="216">
        <v>80.600000000000009</v>
      </c>
      <c r="E37" s="214">
        <v>54.2</v>
      </c>
      <c r="F37" s="215">
        <v>15.8</v>
      </c>
      <c r="G37" s="216">
        <v>13.3</v>
      </c>
      <c r="H37" s="214">
        <v>21.9</v>
      </c>
      <c r="I37" s="215">
        <v>11.3</v>
      </c>
      <c r="J37" s="216">
        <v>6.2</v>
      </c>
      <c r="K37" s="214">
        <v>24</v>
      </c>
    </row>
    <row r="38" spans="1:11">
      <c r="A38" s="226" t="s">
        <v>383</v>
      </c>
      <c r="B38" s="50">
        <v>1991</v>
      </c>
      <c r="C38" s="215">
        <v>75.3</v>
      </c>
      <c r="D38" s="216">
        <v>81.399999999999991</v>
      </c>
      <c r="E38" s="214">
        <v>61.8</v>
      </c>
      <c r="F38" s="215">
        <v>9.8000000000000007</v>
      </c>
      <c r="G38" s="216">
        <v>9.9</v>
      </c>
      <c r="H38" s="214">
        <v>9.5</v>
      </c>
      <c r="I38" s="215">
        <v>14.899999999999999</v>
      </c>
      <c r="J38" s="216">
        <v>8.6999999999999993</v>
      </c>
      <c r="K38" s="214">
        <v>28.599999999999998</v>
      </c>
    </row>
    <row r="39" spans="1:11">
      <c r="A39" s="226"/>
      <c r="B39" s="50">
        <v>1996</v>
      </c>
      <c r="C39" s="215">
        <v>75.8</v>
      </c>
      <c r="D39" s="216">
        <v>83.399999999999991</v>
      </c>
      <c r="E39" s="214">
        <v>58.8</v>
      </c>
      <c r="F39" s="215">
        <v>11.600000000000001</v>
      </c>
      <c r="G39" s="216">
        <v>10.6</v>
      </c>
      <c r="H39" s="214">
        <v>13.900000000000002</v>
      </c>
      <c r="I39" s="215">
        <v>12.6</v>
      </c>
      <c r="J39" s="216">
        <v>6</v>
      </c>
      <c r="K39" s="214">
        <v>27.400000000000002</v>
      </c>
    </row>
    <row r="40" spans="1:11">
      <c r="A40" s="226"/>
      <c r="B40" s="50">
        <v>2001</v>
      </c>
      <c r="C40" s="215">
        <v>74.3</v>
      </c>
      <c r="D40" s="216">
        <v>81.3</v>
      </c>
      <c r="E40" s="214">
        <v>56.8</v>
      </c>
      <c r="F40" s="215">
        <v>14.2</v>
      </c>
      <c r="G40" s="216">
        <v>12.5</v>
      </c>
      <c r="H40" s="214">
        <v>18.3</v>
      </c>
      <c r="I40" s="215">
        <v>11.5</v>
      </c>
      <c r="J40" s="216">
        <v>6.2</v>
      </c>
      <c r="K40" s="214">
        <v>24.9</v>
      </c>
    </row>
    <row r="41" spans="1:11">
      <c r="A41" s="226"/>
      <c r="B41" s="50">
        <v>2006</v>
      </c>
      <c r="C41" s="215">
        <v>73</v>
      </c>
      <c r="D41" s="216">
        <v>80.300000000000011</v>
      </c>
      <c r="E41" s="214">
        <v>52.900000000000006</v>
      </c>
      <c r="F41" s="215">
        <v>15.2</v>
      </c>
      <c r="G41" s="216">
        <v>12.4</v>
      </c>
      <c r="H41" s="214">
        <v>23</v>
      </c>
      <c r="I41" s="215">
        <v>11.799999999999999</v>
      </c>
      <c r="J41" s="216">
        <v>7.3</v>
      </c>
      <c r="K41" s="214">
        <v>24.099999999999998</v>
      </c>
    </row>
    <row r="42" spans="1:11">
      <c r="A42" s="226" t="s">
        <v>384</v>
      </c>
      <c r="B42" s="50">
        <v>1991</v>
      </c>
      <c r="C42" s="215">
        <v>72.2</v>
      </c>
      <c r="D42" s="216">
        <v>79.5</v>
      </c>
      <c r="E42" s="214">
        <v>59.3</v>
      </c>
      <c r="F42" s="215">
        <v>15.1</v>
      </c>
      <c r="G42" s="216">
        <v>14.6</v>
      </c>
      <c r="H42" s="214">
        <v>15.9</v>
      </c>
      <c r="I42" s="215">
        <v>12.8</v>
      </c>
      <c r="J42" s="216">
        <v>5.8000000000000007</v>
      </c>
      <c r="K42" s="214">
        <v>24.8</v>
      </c>
    </row>
    <row r="43" spans="1:11">
      <c r="A43" s="226"/>
      <c r="B43" s="50">
        <v>1996</v>
      </c>
      <c r="C43" s="215">
        <v>72.2</v>
      </c>
      <c r="D43" s="216">
        <v>79.900000000000006</v>
      </c>
      <c r="E43" s="214">
        <v>55.800000000000004</v>
      </c>
      <c r="F43" s="215">
        <v>16.5</v>
      </c>
      <c r="G43" s="216">
        <v>14.899999999999999</v>
      </c>
      <c r="H43" s="214">
        <v>19.900000000000002</v>
      </c>
      <c r="I43" s="215">
        <v>11.3</v>
      </c>
      <c r="J43" s="216">
        <v>5.2</v>
      </c>
      <c r="K43" s="214">
        <v>24.3</v>
      </c>
    </row>
    <row r="44" spans="1:11">
      <c r="A44" s="226"/>
      <c r="B44" s="50">
        <v>2001</v>
      </c>
      <c r="C44" s="215">
        <v>72.8</v>
      </c>
      <c r="D44" s="216">
        <v>79.400000000000006</v>
      </c>
      <c r="E44" s="214">
        <v>56.899999999999991</v>
      </c>
      <c r="F44" s="215">
        <v>16.7</v>
      </c>
      <c r="G44" s="216">
        <v>15.299999999999999</v>
      </c>
      <c r="H44" s="214">
        <v>20.100000000000001</v>
      </c>
      <c r="I44" s="215">
        <v>10.5</v>
      </c>
      <c r="J44" s="216">
        <v>5.3</v>
      </c>
      <c r="K44" s="214">
        <v>23.1</v>
      </c>
    </row>
    <row r="45" spans="1:11">
      <c r="A45" s="226"/>
      <c r="B45" s="50">
        <v>2006</v>
      </c>
      <c r="C45" s="215">
        <v>72.7</v>
      </c>
      <c r="D45" s="216">
        <v>79.100000000000009</v>
      </c>
      <c r="E45" s="214">
        <v>54.500000000000007</v>
      </c>
      <c r="F45" s="215">
        <v>17.299999999999997</v>
      </c>
      <c r="G45" s="216">
        <v>15.4</v>
      </c>
      <c r="H45" s="214">
        <v>22.7</v>
      </c>
      <c r="I45" s="215">
        <v>10.100000000000001</v>
      </c>
      <c r="J45" s="216">
        <v>5.5</v>
      </c>
      <c r="K45" s="214">
        <v>22.8</v>
      </c>
    </row>
    <row r="46" spans="1:11">
      <c r="A46" s="226" t="s">
        <v>385</v>
      </c>
      <c r="B46" s="50">
        <v>1991</v>
      </c>
      <c r="C46" s="215">
        <v>69.5</v>
      </c>
      <c r="D46" s="216">
        <v>79.2</v>
      </c>
      <c r="E46" s="214">
        <v>51.9</v>
      </c>
      <c r="F46" s="215">
        <v>14.899999999999999</v>
      </c>
      <c r="G46" s="216">
        <v>14.399999999999999</v>
      </c>
      <c r="H46" s="214">
        <v>15.9</v>
      </c>
      <c r="I46" s="215">
        <v>15.6</v>
      </c>
      <c r="J46" s="216">
        <v>6.4</v>
      </c>
      <c r="K46" s="214">
        <v>32.200000000000003</v>
      </c>
    </row>
    <row r="47" spans="1:11">
      <c r="A47" s="226"/>
      <c r="B47" s="50">
        <v>1996</v>
      </c>
      <c r="C47" s="215">
        <v>65.600000000000009</v>
      </c>
      <c r="D47" s="216">
        <v>75.400000000000006</v>
      </c>
      <c r="E47" s="214">
        <v>46.300000000000004</v>
      </c>
      <c r="F47" s="215">
        <v>17</v>
      </c>
      <c r="G47" s="216">
        <v>16.2</v>
      </c>
      <c r="H47" s="214">
        <v>18.5</v>
      </c>
      <c r="I47" s="215">
        <v>17.399999999999999</v>
      </c>
      <c r="J47" s="216">
        <v>8.4</v>
      </c>
      <c r="K47" s="214">
        <v>35.199999999999996</v>
      </c>
    </row>
    <row r="48" spans="1:11">
      <c r="A48" s="226"/>
      <c r="B48" s="50">
        <v>2001</v>
      </c>
      <c r="C48" s="215">
        <v>66</v>
      </c>
      <c r="D48" s="216">
        <v>73.900000000000006</v>
      </c>
      <c r="E48" s="214">
        <v>49.5</v>
      </c>
      <c r="F48" s="215">
        <v>18.2</v>
      </c>
      <c r="G48" s="216">
        <v>17.8</v>
      </c>
      <c r="H48" s="214">
        <v>19.100000000000001</v>
      </c>
      <c r="I48" s="215">
        <v>15.8</v>
      </c>
      <c r="J48" s="216">
        <v>8.3000000000000007</v>
      </c>
      <c r="K48" s="214">
        <v>31.4</v>
      </c>
    </row>
    <row r="49" spans="1:11">
      <c r="A49" s="226"/>
      <c r="B49" s="50">
        <v>2006</v>
      </c>
      <c r="C49" s="215">
        <v>66</v>
      </c>
      <c r="D49" s="216">
        <v>73.400000000000006</v>
      </c>
      <c r="E49" s="214">
        <v>48.199999999999996</v>
      </c>
      <c r="F49" s="215">
        <v>19.400000000000002</v>
      </c>
      <c r="G49" s="216">
        <v>18.399999999999999</v>
      </c>
      <c r="H49" s="214">
        <v>21.9</v>
      </c>
      <c r="I49" s="215">
        <v>14.6</v>
      </c>
      <c r="J49" s="216">
        <v>8.2000000000000011</v>
      </c>
      <c r="K49" s="214">
        <v>29.9</v>
      </c>
    </row>
    <row r="50" spans="1:11">
      <c r="A50" s="226" t="s">
        <v>1757</v>
      </c>
      <c r="B50" s="50">
        <v>1991</v>
      </c>
      <c r="C50" s="215">
        <v>64.7</v>
      </c>
      <c r="D50" s="216">
        <v>68.5</v>
      </c>
      <c r="E50" s="214">
        <v>58.9</v>
      </c>
      <c r="F50" s="215">
        <v>19</v>
      </c>
      <c r="G50" s="216">
        <v>18.600000000000001</v>
      </c>
      <c r="H50" s="214">
        <v>19.8</v>
      </c>
      <c r="I50" s="215">
        <v>16.3</v>
      </c>
      <c r="J50" s="216">
        <v>12.8</v>
      </c>
      <c r="K50" s="214">
        <v>21.3</v>
      </c>
    </row>
    <row r="51" spans="1:11">
      <c r="A51" s="226"/>
      <c r="B51" s="50">
        <v>1996</v>
      </c>
      <c r="C51" s="215">
        <v>65.3</v>
      </c>
      <c r="D51" s="216">
        <v>69.5</v>
      </c>
      <c r="E51" s="214">
        <v>58.199999999999996</v>
      </c>
      <c r="F51" s="215">
        <v>15.4</v>
      </c>
      <c r="G51" s="216">
        <v>15.8</v>
      </c>
      <c r="H51" s="214">
        <v>14.799999999999999</v>
      </c>
      <c r="I51" s="215">
        <v>19.2</v>
      </c>
      <c r="J51" s="216">
        <v>14.7</v>
      </c>
      <c r="K51" s="214">
        <v>27</v>
      </c>
    </row>
    <row r="52" spans="1:11">
      <c r="A52" s="226"/>
      <c r="B52" s="50">
        <v>2001</v>
      </c>
      <c r="C52" s="215">
        <v>67.600000000000009</v>
      </c>
      <c r="D52" s="216">
        <v>72</v>
      </c>
      <c r="E52" s="214">
        <v>57.999999999999993</v>
      </c>
      <c r="F52" s="215">
        <v>16.600000000000001</v>
      </c>
      <c r="G52" s="216">
        <v>18</v>
      </c>
      <c r="H52" s="214">
        <v>13.600000000000001</v>
      </c>
      <c r="I52" s="215">
        <v>15.8</v>
      </c>
      <c r="J52" s="216">
        <v>10</v>
      </c>
      <c r="K52" s="214">
        <v>28.199999999999996</v>
      </c>
    </row>
    <row r="53" spans="1:11">
      <c r="A53" s="226"/>
      <c r="B53" s="50">
        <v>2006</v>
      </c>
      <c r="C53" s="215">
        <v>69.599999999999994</v>
      </c>
      <c r="D53" s="216">
        <v>75.099999999999994</v>
      </c>
      <c r="E53" s="214">
        <v>57.9</v>
      </c>
      <c r="F53" s="215">
        <v>14.000000000000002</v>
      </c>
      <c r="G53" s="216">
        <v>15.1</v>
      </c>
      <c r="H53" s="214">
        <v>12</v>
      </c>
      <c r="I53" s="215">
        <v>16.3</v>
      </c>
      <c r="J53" s="216">
        <v>9.8000000000000007</v>
      </c>
      <c r="K53" s="214">
        <v>30</v>
      </c>
    </row>
    <row r="54" spans="1:11">
      <c r="A54" s="226" t="s">
        <v>1758</v>
      </c>
      <c r="B54" s="50">
        <v>1991</v>
      </c>
      <c r="C54" s="215">
        <v>55.7</v>
      </c>
      <c r="D54" s="216">
        <v>58.9</v>
      </c>
      <c r="E54" s="214">
        <v>54.300000000000004</v>
      </c>
      <c r="F54" s="215">
        <v>15.299999999999999</v>
      </c>
      <c r="G54" s="216">
        <v>20.399999999999999</v>
      </c>
      <c r="H54" s="214">
        <v>13</v>
      </c>
      <c r="I54" s="215">
        <v>28.9</v>
      </c>
      <c r="J54" s="216">
        <v>20.7</v>
      </c>
      <c r="K54" s="214">
        <v>32.800000000000004</v>
      </c>
    </row>
    <row r="55" spans="1:11">
      <c r="A55" s="226"/>
      <c r="B55" s="50">
        <v>1996</v>
      </c>
      <c r="C55" s="215">
        <v>57.999999999999993</v>
      </c>
      <c r="D55" s="216">
        <v>63.7</v>
      </c>
      <c r="E55" s="214">
        <v>54.500000000000007</v>
      </c>
      <c r="F55" s="215">
        <v>16.5</v>
      </c>
      <c r="G55" s="216">
        <v>21.2</v>
      </c>
      <c r="H55" s="214">
        <v>13.600000000000001</v>
      </c>
      <c r="I55" s="215">
        <v>25.4</v>
      </c>
      <c r="J55" s="216">
        <v>15.2</v>
      </c>
      <c r="K55" s="214">
        <v>32</v>
      </c>
    </row>
    <row r="56" spans="1:11">
      <c r="A56" s="226"/>
      <c r="B56" s="50">
        <v>2001</v>
      </c>
      <c r="C56" s="215">
        <v>60.4</v>
      </c>
      <c r="D56" s="216">
        <v>63.6</v>
      </c>
      <c r="E56" s="214">
        <v>57.9</v>
      </c>
      <c r="F56" s="215">
        <v>14.299999999999999</v>
      </c>
      <c r="G56" s="216">
        <v>20.100000000000001</v>
      </c>
      <c r="H56" s="214">
        <v>9.9</v>
      </c>
      <c r="I56" s="215">
        <v>25.3</v>
      </c>
      <c r="J56" s="216">
        <v>16.3</v>
      </c>
      <c r="K56" s="214">
        <v>32.1</v>
      </c>
    </row>
    <row r="57" spans="1:11">
      <c r="A57" s="226"/>
      <c r="B57" s="50">
        <v>2006</v>
      </c>
      <c r="C57" s="215">
        <v>60.099999999999994</v>
      </c>
      <c r="D57" s="216">
        <v>65.400000000000006</v>
      </c>
      <c r="E57" s="214">
        <v>56.2</v>
      </c>
      <c r="F57" s="215">
        <v>15.299999999999999</v>
      </c>
      <c r="G57" s="216">
        <v>20.3</v>
      </c>
      <c r="H57" s="214">
        <v>11.700000000000001</v>
      </c>
      <c r="I57" s="215">
        <v>24.6</v>
      </c>
      <c r="J57" s="216">
        <v>14.399999999999999</v>
      </c>
      <c r="K57" s="214">
        <v>32.1</v>
      </c>
    </row>
    <row r="58" spans="1:11">
      <c r="A58" s="226" t="s">
        <v>1759</v>
      </c>
      <c r="B58" s="50">
        <v>1991</v>
      </c>
      <c r="C58" s="215">
        <v>55.7</v>
      </c>
      <c r="D58" s="216">
        <v>58.9</v>
      </c>
      <c r="E58" s="214">
        <v>54.300000000000004</v>
      </c>
      <c r="F58" s="215">
        <v>15.299999999999999</v>
      </c>
      <c r="G58" s="216">
        <v>20.399999999999999</v>
      </c>
      <c r="H58" s="214">
        <v>13</v>
      </c>
      <c r="I58" s="215">
        <v>28.9</v>
      </c>
      <c r="J58" s="216">
        <v>20.7</v>
      </c>
      <c r="K58" s="214">
        <v>32.800000000000004</v>
      </c>
    </row>
    <row r="59" spans="1:11">
      <c r="A59" s="226"/>
      <c r="B59" s="50">
        <v>1996</v>
      </c>
      <c r="C59" s="215">
        <v>57.999999999999993</v>
      </c>
      <c r="D59" s="216">
        <v>63.7</v>
      </c>
      <c r="E59" s="214">
        <v>54.500000000000007</v>
      </c>
      <c r="F59" s="215">
        <v>16.5</v>
      </c>
      <c r="G59" s="216">
        <v>21.2</v>
      </c>
      <c r="H59" s="214">
        <v>13.600000000000001</v>
      </c>
      <c r="I59" s="215">
        <v>25.4</v>
      </c>
      <c r="J59" s="216">
        <v>15.2</v>
      </c>
      <c r="K59" s="214">
        <v>32</v>
      </c>
    </row>
    <row r="60" spans="1:11">
      <c r="A60" s="226"/>
      <c r="B60" s="50">
        <v>2001</v>
      </c>
      <c r="C60" s="215">
        <v>63.7</v>
      </c>
      <c r="D60" s="216">
        <v>65.400000000000006</v>
      </c>
      <c r="E60" s="214">
        <v>61.9</v>
      </c>
      <c r="F60" s="215">
        <v>18.8</v>
      </c>
      <c r="G60" s="216">
        <v>22.1</v>
      </c>
      <c r="H60" s="214">
        <v>15.1</v>
      </c>
      <c r="I60" s="215">
        <v>17.399999999999999</v>
      </c>
      <c r="J60" s="216">
        <v>12.6</v>
      </c>
      <c r="K60" s="214">
        <v>23.1</v>
      </c>
    </row>
    <row r="61" spans="1:11">
      <c r="A61" s="226"/>
      <c r="B61" s="50">
        <v>2006</v>
      </c>
      <c r="C61" s="215">
        <v>64.600000000000009</v>
      </c>
      <c r="D61" s="216">
        <v>67.800000000000011</v>
      </c>
      <c r="E61" s="214">
        <v>60.9</v>
      </c>
      <c r="F61" s="215">
        <v>17.899999999999999</v>
      </c>
      <c r="G61" s="216">
        <v>20</v>
      </c>
      <c r="H61" s="214">
        <v>15.6</v>
      </c>
      <c r="I61" s="215">
        <v>17.5</v>
      </c>
      <c r="J61" s="216">
        <v>12.1</v>
      </c>
      <c r="K61" s="214">
        <v>23.599999999999998</v>
      </c>
    </row>
    <row r="62" spans="1:11">
      <c r="A62" s="226" t="s">
        <v>1760</v>
      </c>
      <c r="B62" s="50">
        <v>1991</v>
      </c>
      <c r="C62" s="215" t="s">
        <v>1761</v>
      </c>
      <c r="D62" s="216" t="s">
        <v>1761</v>
      </c>
      <c r="E62" s="214" t="s">
        <v>1761</v>
      </c>
      <c r="F62" s="215" t="s">
        <v>1761</v>
      </c>
      <c r="G62" s="216" t="s">
        <v>1761</v>
      </c>
      <c r="H62" s="214" t="s">
        <v>1761</v>
      </c>
      <c r="I62" s="215" t="s">
        <v>1761</v>
      </c>
      <c r="J62" s="216" t="s">
        <v>1761</v>
      </c>
      <c r="K62" s="214" t="s">
        <v>1761</v>
      </c>
    </row>
    <row r="63" spans="1:11">
      <c r="A63" s="226"/>
      <c r="B63" s="50">
        <v>1996</v>
      </c>
      <c r="C63" s="215" t="s">
        <v>1761</v>
      </c>
      <c r="D63" s="216" t="s">
        <v>1761</v>
      </c>
      <c r="E63" s="214" t="s">
        <v>1761</v>
      </c>
      <c r="F63" s="215" t="s">
        <v>1761</v>
      </c>
      <c r="G63" s="216" t="s">
        <v>1761</v>
      </c>
      <c r="H63" s="214" t="s">
        <v>1761</v>
      </c>
      <c r="I63" s="215" t="s">
        <v>1761</v>
      </c>
      <c r="J63" s="216" t="s">
        <v>1761</v>
      </c>
      <c r="K63" s="214" t="s">
        <v>1761</v>
      </c>
    </row>
    <row r="64" spans="1:11">
      <c r="A64" s="226"/>
      <c r="B64" s="50">
        <v>2001</v>
      </c>
      <c r="C64" s="215">
        <v>54.6</v>
      </c>
      <c r="D64" s="216">
        <v>56.999999999999993</v>
      </c>
      <c r="E64" s="214">
        <v>53.800000000000004</v>
      </c>
      <c r="F64" s="215">
        <v>6.6000000000000005</v>
      </c>
      <c r="G64" s="216">
        <v>12.9</v>
      </c>
      <c r="H64" s="214">
        <v>4.7</v>
      </c>
      <c r="I64" s="215">
        <v>38.800000000000004</v>
      </c>
      <c r="J64" s="216">
        <v>30.099999999999998</v>
      </c>
      <c r="K64" s="214">
        <v>41.4</v>
      </c>
    </row>
    <row r="65" spans="1:12">
      <c r="A65" s="227"/>
      <c r="B65" s="54">
        <v>2006</v>
      </c>
      <c r="C65" s="220">
        <v>52</v>
      </c>
      <c r="D65" s="218">
        <v>55.000000000000007</v>
      </c>
      <c r="E65" s="219">
        <v>51.1</v>
      </c>
      <c r="F65" s="220">
        <v>10.7</v>
      </c>
      <c r="G65" s="218">
        <v>21.5</v>
      </c>
      <c r="H65" s="219">
        <v>7.6</v>
      </c>
      <c r="I65" s="220">
        <v>37.200000000000003</v>
      </c>
      <c r="J65" s="218">
        <v>23.799999999999997</v>
      </c>
      <c r="K65" s="219">
        <v>41.199999999999996</v>
      </c>
    </row>
    <row r="66" spans="1:12" ht="26.25" customHeight="1">
      <c r="A66" s="1225" t="s">
        <v>1756</v>
      </c>
      <c r="B66" s="1225"/>
      <c r="C66" s="1225"/>
      <c r="D66" s="1225"/>
      <c r="E66" s="1225"/>
      <c r="F66" s="1225"/>
      <c r="G66" s="1225"/>
      <c r="H66" s="1225"/>
      <c r="I66" s="1225"/>
      <c r="J66" s="1225"/>
      <c r="K66" s="1225"/>
      <c r="L66" s="1188"/>
    </row>
    <row r="67" spans="1:12" ht="115.15" customHeight="1">
      <c r="A67" s="1220" t="s">
        <v>78</v>
      </c>
      <c r="B67" s="1221"/>
      <c r="C67" s="1221"/>
      <c r="D67" s="1221"/>
      <c r="E67" s="1221"/>
      <c r="F67" s="1221"/>
      <c r="G67" s="1221"/>
      <c r="H67" s="1221"/>
      <c r="I67" s="1221"/>
      <c r="J67" s="1221"/>
      <c r="K67" s="1221"/>
      <c r="L67" s="1221"/>
    </row>
  </sheetData>
  <mergeCells count="6">
    <mergeCell ref="A67:L67"/>
    <mergeCell ref="F3:K3"/>
    <mergeCell ref="F4:H4"/>
    <mergeCell ref="I4:K4"/>
    <mergeCell ref="C3:E4"/>
    <mergeCell ref="A66:L66"/>
  </mergeCells>
  <phoneticPr fontId="35" type="noConversion"/>
  <pageMargins left="0.75" right="0.75" top="1" bottom="1" header="0.5" footer="0.5"/>
  <pageSetup scale="61" orientation="portrait" horizontalDpi="4294967292" verticalDpi="1200" r:id="rId1"/>
  <headerFooter alignWithMargins="0"/>
</worksheet>
</file>

<file path=xl/worksheets/sheet117.xml><?xml version="1.0" encoding="utf-8"?>
<worksheet xmlns="http://schemas.openxmlformats.org/spreadsheetml/2006/main" xmlns:r="http://schemas.openxmlformats.org/officeDocument/2006/relationships">
  <sheetPr codeName="Sheet86">
    <pageSetUpPr fitToPage="1"/>
  </sheetPr>
  <dimension ref="A1:U68"/>
  <sheetViews>
    <sheetView view="pageBreakPreview" zoomScale="55" zoomScaleSheetLayoutView="55" workbookViewId="0">
      <pane xSplit="2" ySplit="5" topLeftCell="C6"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20.140625" style="55" customWidth="1"/>
    <col min="2" max="11" width="8" style="55" customWidth="1"/>
    <col min="12" max="12" width="10.85546875" style="55" customWidth="1"/>
    <col min="13" max="16384" width="8" style="55"/>
  </cols>
  <sheetData>
    <row r="1" spans="1:21" ht="15.75">
      <c r="A1" s="745" t="s">
        <v>683</v>
      </c>
      <c r="B1" s="49"/>
      <c r="C1" s="49"/>
      <c r="D1" s="49"/>
    </row>
    <row r="2" spans="1:21" ht="15.75">
      <c r="A2" s="745" t="s">
        <v>2198</v>
      </c>
    </row>
    <row r="3" spans="1:21" ht="39" customHeight="1">
      <c r="A3" s="743"/>
      <c r="B3" s="204"/>
      <c r="C3" s="1196" t="s">
        <v>746</v>
      </c>
      <c r="D3" s="1197"/>
      <c r="E3" s="1198"/>
      <c r="F3" s="1196" t="s">
        <v>747</v>
      </c>
      <c r="G3" s="1197"/>
      <c r="H3" s="1197"/>
      <c r="I3" s="1197"/>
      <c r="J3" s="1197"/>
      <c r="K3" s="1198"/>
    </row>
    <row r="4" spans="1:21" ht="40.5" customHeight="1">
      <c r="A4" s="226"/>
      <c r="B4" s="50"/>
      <c r="C4" s="1222"/>
      <c r="D4" s="1223"/>
      <c r="E4" s="1224"/>
      <c r="F4" s="1222" t="s">
        <v>180</v>
      </c>
      <c r="G4" s="1223"/>
      <c r="H4" s="1224"/>
      <c r="I4" s="1222" t="s">
        <v>637</v>
      </c>
      <c r="J4" s="1223"/>
      <c r="K4" s="1224"/>
    </row>
    <row r="5" spans="1:21" ht="22.9" customHeight="1">
      <c r="A5" s="227"/>
      <c r="B5" s="54"/>
      <c r="C5" s="208" t="s">
        <v>182</v>
      </c>
      <c r="D5" s="193" t="s">
        <v>183</v>
      </c>
      <c r="E5" s="209" t="s">
        <v>184</v>
      </c>
      <c r="F5" s="208" t="s">
        <v>182</v>
      </c>
      <c r="G5" s="193" t="s">
        <v>183</v>
      </c>
      <c r="H5" s="209" t="s">
        <v>184</v>
      </c>
      <c r="I5" s="208" t="s">
        <v>182</v>
      </c>
      <c r="J5" s="193" t="s">
        <v>183</v>
      </c>
      <c r="K5" s="209" t="s">
        <v>184</v>
      </c>
    </row>
    <row r="6" spans="1:21">
      <c r="A6" s="226" t="s">
        <v>375</v>
      </c>
      <c r="B6" s="210">
        <v>1991</v>
      </c>
      <c r="C6" s="216">
        <v>93.600000000000009</v>
      </c>
      <c r="D6" s="216">
        <v>95.8</v>
      </c>
      <c r="E6" s="211">
        <v>89.8</v>
      </c>
      <c r="F6" s="216">
        <v>4.5</v>
      </c>
      <c r="G6" s="216">
        <v>3.5999999999999996</v>
      </c>
      <c r="H6" s="216">
        <v>6</v>
      </c>
      <c r="I6" s="212">
        <v>2</v>
      </c>
      <c r="J6" s="216">
        <v>0.6</v>
      </c>
      <c r="K6" s="214">
        <v>4.2</v>
      </c>
      <c r="M6" s="221"/>
      <c r="N6" s="221"/>
      <c r="O6" s="221"/>
      <c r="P6" s="221"/>
      <c r="Q6" s="221"/>
      <c r="R6" s="221"/>
      <c r="S6" s="221"/>
      <c r="T6" s="221"/>
      <c r="U6" s="221"/>
    </row>
    <row r="7" spans="1:21">
      <c r="A7" s="226"/>
      <c r="B7" s="213">
        <v>1996</v>
      </c>
      <c r="C7" s="216">
        <v>93.100000000000009</v>
      </c>
      <c r="D7" s="216">
        <v>95.899999999999991</v>
      </c>
      <c r="E7" s="214">
        <v>88</v>
      </c>
      <c r="F7" s="216">
        <v>4.3</v>
      </c>
      <c r="G7" s="216">
        <v>3.3000000000000003</v>
      </c>
      <c r="H7" s="216">
        <v>6</v>
      </c>
      <c r="I7" s="215">
        <v>2.6</v>
      </c>
      <c r="J7" s="216">
        <v>0.70000000000000007</v>
      </c>
      <c r="K7" s="214">
        <v>6</v>
      </c>
      <c r="M7" s="221"/>
      <c r="N7" s="221"/>
      <c r="O7" s="221"/>
      <c r="P7" s="221"/>
      <c r="Q7" s="221"/>
      <c r="R7" s="221"/>
      <c r="S7" s="221"/>
      <c r="T7" s="221"/>
      <c r="U7" s="221"/>
    </row>
    <row r="8" spans="1:21">
      <c r="A8" s="226"/>
      <c r="B8" s="213">
        <v>2001</v>
      </c>
      <c r="C8" s="216">
        <v>93.899999999999991</v>
      </c>
      <c r="D8" s="216">
        <v>96.3</v>
      </c>
      <c r="E8" s="214">
        <v>89.2</v>
      </c>
      <c r="F8" s="216">
        <v>4</v>
      </c>
      <c r="G8" s="216">
        <v>3.1</v>
      </c>
      <c r="H8" s="216">
        <v>5.8999999999999995</v>
      </c>
      <c r="I8" s="215">
        <v>2</v>
      </c>
      <c r="J8" s="216">
        <v>0.6</v>
      </c>
      <c r="K8" s="214">
        <v>5</v>
      </c>
      <c r="M8" s="221"/>
      <c r="N8" s="221"/>
      <c r="O8" s="221"/>
      <c r="P8" s="221"/>
      <c r="Q8" s="221"/>
      <c r="R8" s="221"/>
      <c r="S8" s="221"/>
      <c r="T8" s="221"/>
      <c r="U8" s="221"/>
    </row>
    <row r="9" spans="1:21">
      <c r="A9" s="226"/>
      <c r="B9" s="213">
        <v>2006</v>
      </c>
      <c r="C9" s="216">
        <v>94</v>
      </c>
      <c r="D9" s="216">
        <v>96.3</v>
      </c>
      <c r="E9" s="214">
        <v>88.8</v>
      </c>
      <c r="F9" s="216">
        <v>4.1000000000000005</v>
      </c>
      <c r="G9" s="216">
        <v>3.1</v>
      </c>
      <c r="H9" s="216">
        <v>6.3</v>
      </c>
      <c r="I9" s="215">
        <v>1.9</v>
      </c>
      <c r="J9" s="216">
        <v>0.6</v>
      </c>
      <c r="K9" s="214">
        <v>4.9000000000000004</v>
      </c>
      <c r="M9" s="221"/>
      <c r="N9" s="221"/>
      <c r="O9" s="221"/>
      <c r="P9" s="221"/>
      <c r="Q9" s="221"/>
      <c r="R9" s="221"/>
      <c r="S9" s="221"/>
      <c r="T9" s="221"/>
      <c r="U9" s="221"/>
    </row>
    <row r="10" spans="1:21">
      <c r="A10" s="226" t="s">
        <v>377</v>
      </c>
      <c r="B10" s="213">
        <v>1991</v>
      </c>
      <c r="C10" s="216">
        <v>90.9</v>
      </c>
      <c r="D10" s="216">
        <v>91.600000000000009</v>
      </c>
      <c r="E10" s="214">
        <v>88.1</v>
      </c>
      <c r="F10" s="216">
        <v>6</v>
      </c>
      <c r="G10" s="216">
        <v>6</v>
      </c>
      <c r="H10" s="216">
        <v>6</v>
      </c>
      <c r="I10" s="215">
        <v>3.1</v>
      </c>
      <c r="J10" s="216">
        <v>2.2999999999999998</v>
      </c>
      <c r="K10" s="214">
        <v>5.8999999999999995</v>
      </c>
      <c r="M10" s="221"/>
      <c r="N10" s="221"/>
      <c r="O10" s="221"/>
      <c r="P10" s="221"/>
      <c r="Q10" s="221"/>
      <c r="R10" s="221"/>
      <c r="S10" s="221"/>
      <c r="T10" s="221"/>
      <c r="U10" s="221"/>
    </row>
    <row r="11" spans="1:21">
      <c r="A11" s="226"/>
      <c r="B11" s="213">
        <v>1996</v>
      </c>
      <c r="C11" s="216">
        <v>93.8</v>
      </c>
      <c r="D11" s="216">
        <v>94.699999999999989</v>
      </c>
      <c r="E11" s="214">
        <v>90.600000000000009</v>
      </c>
      <c r="F11" s="216">
        <v>4.1000000000000005</v>
      </c>
      <c r="G11" s="216">
        <v>4</v>
      </c>
      <c r="H11" s="216">
        <v>4.5999999999999996</v>
      </c>
      <c r="I11" s="215">
        <v>2</v>
      </c>
      <c r="J11" s="216">
        <v>1.3</v>
      </c>
      <c r="K11" s="214">
        <v>4.8</v>
      </c>
      <c r="M11" s="221"/>
      <c r="N11" s="221"/>
      <c r="O11" s="221"/>
      <c r="P11" s="221"/>
      <c r="Q11" s="221"/>
      <c r="R11" s="221"/>
      <c r="S11" s="221"/>
      <c r="T11" s="221"/>
      <c r="U11" s="221"/>
    </row>
    <row r="12" spans="1:21">
      <c r="A12" s="226"/>
      <c r="B12" s="213">
        <v>2001</v>
      </c>
      <c r="C12" s="216">
        <v>96.1</v>
      </c>
      <c r="D12" s="216">
        <v>96.8</v>
      </c>
      <c r="E12" s="214">
        <v>93.2</v>
      </c>
      <c r="F12" s="216">
        <v>2.7</v>
      </c>
      <c r="G12" s="216">
        <v>2.5</v>
      </c>
      <c r="H12" s="216">
        <v>3.4000000000000004</v>
      </c>
      <c r="I12" s="215">
        <v>1.2</v>
      </c>
      <c r="J12" s="216">
        <v>0.70000000000000007</v>
      </c>
      <c r="K12" s="214">
        <v>3.4000000000000004</v>
      </c>
      <c r="M12" s="221"/>
      <c r="N12" s="221"/>
      <c r="O12" s="221"/>
      <c r="P12" s="221"/>
      <c r="Q12" s="221"/>
      <c r="R12" s="221"/>
      <c r="S12" s="221"/>
      <c r="T12" s="221"/>
      <c r="U12" s="221"/>
    </row>
    <row r="13" spans="1:21">
      <c r="A13" s="226"/>
      <c r="B13" s="213">
        <v>2006</v>
      </c>
      <c r="C13" s="216">
        <v>96.7</v>
      </c>
      <c r="D13" s="216">
        <v>97.399999999999991</v>
      </c>
      <c r="E13" s="214">
        <v>94</v>
      </c>
      <c r="F13" s="216">
        <v>2.4</v>
      </c>
      <c r="G13" s="216">
        <v>2.1</v>
      </c>
      <c r="H13" s="216">
        <v>3.5000000000000004</v>
      </c>
      <c r="I13" s="215">
        <v>1</v>
      </c>
      <c r="J13" s="216">
        <v>0.6</v>
      </c>
      <c r="K13" s="214">
        <v>2.6</v>
      </c>
      <c r="M13" s="221"/>
      <c r="N13" s="221"/>
      <c r="O13" s="221"/>
      <c r="P13" s="221"/>
      <c r="Q13" s="221"/>
      <c r="R13" s="221"/>
      <c r="S13" s="221"/>
      <c r="T13" s="221"/>
      <c r="U13" s="221"/>
    </row>
    <row r="14" spans="1:21">
      <c r="A14" s="226" t="s">
        <v>386</v>
      </c>
      <c r="B14" s="213">
        <v>1991</v>
      </c>
      <c r="C14" s="216">
        <v>94.199999999999989</v>
      </c>
      <c r="D14" s="216">
        <v>94.699999999999989</v>
      </c>
      <c r="E14" s="214">
        <v>92.800000000000011</v>
      </c>
      <c r="F14" s="216">
        <v>4.5</v>
      </c>
      <c r="G14" s="216">
        <v>4.3999999999999995</v>
      </c>
      <c r="H14" s="216">
        <v>4.8</v>
      </c>
      <c r="I14" s="215">
        <v>1.3</v>
      </c>
      <c r="J14" s="216">
        <v>0.89999999999999991</v>
      </c>
      <c r="K14" s="214">
        <v>2.4</v>
      </c>
      <c r="M14" s="221"/>
      <c r="N14" s="221"/>
      <c r="O14" s="221"/>
      <c r="P14" s="221"/>
      <c r="Q14" s="221"/>
      <c r="R14" s="221"/>
      <c r="S14" s="221"/>
      <c r="T14" s="221"/>
      <c r="U14" s="221"/>
    </row>
    <row r="15" spans="1:21">
      <c r="A15" s="226"/>
      <c r="B15" s="213">
        <v>1996</v>
      </c>
      <c r="C15" s="216">
        <v>94.5</v>
      </c>
      <c r="D15" s="216">
        <v>95.7</v>
      </c>
      <c r="E15" s="214">
        <v>91.2</v>
      </c>
      <c r="F15" s="216">
        <v>3.9</v>
      </c>
      <c r="G15" s="216">
        <v>3.5999999999999996</v>
      </c>
      <c r="H15" s="216">
        <v>4.5</v>
      </c>
      <c r="I15" s="215">
        <v>1.6</v>
      </c>
      <c r="J15" s="216">
        <v>0.6</v>
      </c>
      <c r="K15" s="214">
        <v>4.3</v>
      </c>
      <c r="M15" s="221"/>
      <c r="N15" s="221"/>
      <c r="O15" s="221"/>
      <c r="P15" s="221"/>
      <c r="Q15" s="221"/>
      <c r="R15" s="221"/>
      <c r="S15" s="221"/>
      <c r="T15" s="221"/>
      <c r="U15" s="221"/>
    </row>
    <row r="16" spans="1:21">
      <c r="A16" s="226"/>
      <c r="B16" s="213">
        <v>2001</v>
      </c>
      <c r="C16" s="216">
        <v>96.3</v>
      </c>
      <c r="D16" s="216">
        <v>97.2</v>
      </c>
      <c r="E16" s="214">
        <v>93.899999999999991</v>
      </c>
      <c r="F16" s="216">
        <v>2.9000000000000004</v>
      </c>
      <c r="G16" s="216">
        <v>2.6</v>
      </c>
      <c r="H16" s="216">
        <v>3.6999999999999997</v>
      </c>
      <c r="I16" s="215">
        <v>0.8</v>
      </c>
      <c r="J16" s="216">
        <v>0.3</v>
      </c>
      <c r="K16" s="214">
        <v>2.4</v>
      </c>
      <c r="M16" s="221"/>
      <c r="N16" s="221"/>
      <c r="O16" s="221"/>
      <c r="P16" s="221"/>
      <c r="Q16" s="221"/>
      <c r="R16" s="221"/>
      <c r="S16" s="221"/>
      <c r="T16" s="221"/>
      <c r="U16" s="221"/>
    </row>
    <row r="17" spans="1:21">
      <c r="A17" s="226"/>
      <c r="B17" s="213">
        <v>2006</v>
      </c>
      <c r="C17" s="216">
        <v>96.2</v>
      </c>
      <c r="D17" s="216">
        <v>97</v>
      </c>
      <c r="E17" s="214">
        <v>93.899999999999991</v>
      </c>
      <c r="F17" s="216">
        <v>3</v>
      </c>
      <c r="G17" s="216">
        <v>2.7</v>
      </c>
      <c r="H17" s="216">
        <v>3.8</v>
      </c>
      <c r="I17" s="215">
        <v>0.8</v>
      </c>
      <c r="J17" s="216">
        <v>0.3</v>
      </c>
      <c r="K17" s="214">
        <v>2.2999999999999998</v>
      </c>
      <c r="M17" s="221"/>
      <c r="N17" s="221"/>
      <c r="O17" s="221"/>
      <c r="P17" s="221"/>
      <c r="Q17" s="221"/>
      <c r="R17" s="221"/>
      <c r="S17" s="221"/>
      <c r="T17" s="221"/>
      <c r="U17" s="221"/>
    </row>
    <row r="18" spans="1:21">
      <c r="A18" s="226" t="s">
        <v>378</v>
      </c>
      <c r="B18" s="213">
        <v>1991</v>
      </c>
      <c r="C18" s="216">
        <v>94.3</v>
      </c>
      <c r="D18" s="216">
        <v>95.399999999999991</v>
      </c>
      <c r="E18" s="214">
        <v>91.4</v>
      </c>
      <c r="F18" s="216">
        <v>4.2</v>
      </c>
      <c r="G18" s="216">
        <v>3.9</v>
      </c>
      <c r="H18" s="216">
        <v>5.0999999999999996</v>
      </c>
      <c r="I18" s="215">
        <v>1.5</v>
      </c>
      <c r="J18" s="216">
        <v>0.70000000000000007</v>
      </c>
      <c r="K18" s="214">
        <v>3.5000000000000004</v>
      </c>
      <c r="M18" s="221"/>
      <c r="N18" s="221"/>
      <c r="O18" s="221"/>
      <c r="P18" s="221"/>
      <c r="Q18" s="221"/>
      <c r="R18" s="221"/>
      <c r="S18" s="221"/>
      <c r="T18" s="221"/>
      <c r="U18" s="221"/>
    </row>
    <row r="19" spans="1:21">
      <c r="A19" s="226"/>
      <c r="B19" s="213">
        <v>1996</v>
      </c>
      <c r="C19" s="216">
        <v>94.8</v>
      </c>
      <c r="D19" s="216">
        <v>96.3</v>
      </c>
      <c r="E19" s="214">
        <v>91.100000000000009</v>
      </c>
      <c r="F19" s="216">
        <v>3.5000000000000004</v>
      </c>
      <c r="G19" s="216">
        <v>3</v>
      </c>
      <c r="H19" s="216">
        <v>4.8</v>
      </c>
      <c r="I19" s="215">
        <v>1.6</v>
      </c>
      <c r="J19" s="216">
        <v>0.70000000000000007</v>
      </c>
      <c r="K19" s="214">
        <v>4.1000000000000005</v>
      </c>
      <c r="M19" s="221"/>
      <c r="N19" s="221"/>
      <c r="O19" s="221"/>
      <c r="P19" s="221"/>
      <c r="Q19" s="221"/>
      <c r="R19" s="221"/>
      <c r="S19" s="221"/>
      <c r="T19" s="221"/>
      <c r="U19" s="221"/>
    </row>
    <row r="20" spans="1:21">
      <c r="A20" s="226"/>
      <c r="B20" s="213">
        <v>2001</v>
      </c>
      <c r="C20" s="216">
        <v>96</v>
      </c>
      <c r="D20" s="216">
        <v>97.2</v>
      </c>
      <c r="E20" s="214">
        <v>92.800000000000011</v>
      </c>
      <c r="F20" s="216">
        <v>2.8000000000000003</v>
      </c>
      <c r="G20" s="216">
        <v>2.4</v>
      </c>
      <c r="H20" s="216">
        <v>3.6999999999999997</v>
      </c>
      <c r="I20" s="215">
        <v>1.3</v>
      </c>
      <c r="J20" s="216">
        <v>0.4</v>
      </c>
      <c r="K20" s="214">
        <v>3.5000000000000004</v>
      </c>
      <c r="M20" s="221"/>
      <c r="N20" s="221"/>
      <c r="O20" s="221"/>
      <c r="P20" s="221"/>
      <c r="Q20" s="221"/>
      <c r="R20" s="221"/>
      <c r="S20" s="221"/>
      <c r="T20" s="221"/>
      <c r="U20" s="221"/>
    </row>
    <row r="21" spans="1:21">
      <c r="A21" s="226"/>
      <c r="B21" s="213">
        <v>2006</v>
      </c>
      <c r="C21" s="216">
        <v>96.3</v>
      </c>
      <c r="D21" s="216">
        <v>97.5</v>
      </c>
      <c r="E21" s="214">
        <v>93.300000000000011</v>
      </c>
      <c r="F21" s="216">
        <v>2.8000000000000003</v>
      </c>
      <c r="G21" s="216">
        <v>2.1999999999999997</v>
      </c>
      <c r="H21" s="216">
        <v>4.3</v>
      </c>
      <c r="I21" s="215">
        <v>0.89999999999999991</v>
      </c>
      <c r="J21" s="216">
        <v>0.3</v>
      </c>
      <c r="K21" s="214">
        <v>2.5</v>
      </c>
      <c r="M21" s="221"/>
      <c r="N21" s="221"/>
      <c r="O21" s="221"/>
      <c r="P21" s="221"/>
      <c r="Q21" s="221"/>
      <c r="R21" s="221"/>
      <c r="S21" s="221"/>
      <c r="T21" s="221"/>
      <c r="U21" s="221"/>
    </row>
    <row r="22" spans="1:21">
      <c r="A22" s="226" t="s">
        <v>379</v>
      </c>
      <c r="B22" s="213">
        <v>1991</v>
      </c>
      <c r="C22" s="216">
        <v>94.3</v>
      </c>
      <c r="D22" s="216">
        <v>95.399999999999991</v>
      </c>
      <c r="E22" s="214">
        <v>91.100000000000009</v>
      </c>
      <c r="F22" s="216">
        <v>3.5999999999999996</v>
      </c>
      <c r="G22" s="216">
        <v>3.2</v>
      </c>
      <c r="H22" s="216">
        <v>4.5</v>
      </c>
      <c r="I22" s="215">
        <v>2.1</v>
      </c>
      <c r="J22" s="216">
        <v>1.4000000000000001</v>
      </c>
      <c r="K22" s="214">
        <v>4.3999999999999995</v>
      </c>
      <c r="M22" s="221"/>
      <c r="N22" s="221"/>
      <c r="O22" s="221"/>
      <c r="P22" s="221"/>
      <c r="Q22" s="221"/>
      <c r="R22" s="221"/>
      <c r="S22" s="221"/>
      <c r="T22" s="221"/>
      <c r="U22" s="221"/>
    </row>
    <row r="23" spans="1:21">
      <c r="A23" s="226"/>
      <c r="B23" s="213">
        <v>1996</v>
      </c>
      <c r="C23" s="216">
        <v>95.1</v>
      </c>
      <c r="D23" s="216">
        <v>96.2</v>
      </c>
      <c r="E23" s="214">
        <v>91.600000000000009</v>
      </c>
      <c r="F23" s="216">
        <v>3.5000000000000004</v>
      </c>
      <c r="G23" s="216">
        <v>3.2</v>
      </c>
      <c r="H23" s="216">
        <v>4.3999999999999995</v>
      </c>
      <c r="I23" s="215">
        <v>1.4000000000000001</v>
      </c>
      <c r="J23" s="216">
        <v>0.6</v>
      </c>
      <c r="K23" s="214">
        <v>3.9</v>
      </c>
      <c r="M23" s="221"/>
      <c r="N23" s="221"/>
      <c r="O23" s="221"/>
      <c r="P23" s="221"/>
      <c r="Q23" s="221"/>
      <c r="R23" s="221"/>
      <c r="S23" s="221"/>
      <c r="T23" s="221"/>
      <c r="U23" s="221"/>
    </row>
    <row r="24" spans="1:21">
      <c r="A24" s="226"/>
      <c r="B24" s="213">
        <v>2001</v>
      </c>
      <c r="C24" s="216">
        <v>96.399999999999991</v>
      </c>
      <c r="D24" s="216">
        <v>97.1</v>
      </c>
      <c r="E24" s="214">
        <v>94.399999999999991</v>
      </c>
      <c r="F24" s="216">
        <v>2.8000000000000003</v>
      </c>
      <c r="G24" s="216">
        <v>2.5</v>
      </c>
      <c r="H24" s="216">
        <v>3.5999999999999996</v>
      </c>
      <c r="I24" s="215">
        <v>0.8</v>
      </c>
      <c r="J24" s="216">
        <v>0.4</v>
      </c>
      <c r="K24" s="214">
        <v>2.1</v>
      </c>
      <c r="M24" s="221"/>
      <c r="N24" s="221"/>
      <c r="O24" s="221"/>
      <c r="P24" s="221"/>
      <c r="Q24" s="221"/>
      <c r="R24" s="221"/>
      <c r="S24" s="221"/>
      <c r="T24" s="221"/>
      <c r="U24" s="221"/>
    </row>
    <row r="25" spans="1:21">
      <c r="A25" s="226"/>
      <c r="B25" s="213">
        <v>2006</v>
      </c>
      <c r="C25" s="216">
        <v>96.7</v>
      </c>
      <c r="D25" s="216">
        <v>97.6</v>
      </c>
      <c r="E25" s="214">
        <v>93.899999999999991</v>
      </c>
      <c r="F25" s="216">
        <v>2.6</v>
      </c>
      <c r="G25" s="216">
        <v>2.1999999999999997</v>
      </c>
      <c r="H25" s="216">
        <v>3.9</v>
      </c>
      <c r="I25" s="215">
        <v>0.70000000000000007</v>
      </c>
      <c r="J25" s="216">
        <v>0.3</v>
      </c>
      <c r="K25" s="214">
        <v>2.1999999999999997</v>
      </c>
      <c r="M25" s="221"/>
      <c r="N25" s="221"/>
      <c r="O25" s="221"/>
      <c r="P25" s="221"/>
      <c r="Q25" s="221"/>
      <c r="R25" s="221"/>
      <c r="S25" s="221"/>
      <c r="T25" s="221"/>
      <c r="U25" s="221"/>
    </row>
    <row r="26" spans="1:21">
      <c r="A26" s="226" t="s">
        <v>380</v>
      </c>
      <c r="B26" s="213">
        <v>1991</v>
      </c>
      <c r="C26" s="216">
        <v>94.199999999999989</v>
      </c>
      <c r="D26" s="216">
        <v>96.2</v>
      </c>
      <c r="E26" s="214">
        <v>91.600000000000009</v>
      </c>
      <c r="F26" s="216">
        <v>4.2</v>
      </c>
      <c r="G26" s="216">
        <v>3.4000000000000004</v>
      </c>
      <c r="H26" s="216">
        <v>5.2</v>
      </c>
      <c r="I26" s="215">
        <v>1.6</v>
      </c>
      <c r="J26" s="216">
        <v>0.4</v>
      </c>
      <c r="K26" s="214">
        <v>3.2</v>
      </c>
      <c r="M26" s="221"/>
      <c r="N26" s="221"/>
      <c r="O26" s="221"/>
      <c r="P26" s="221"/>
      <c r="Q26" s="221"/>
      <c r="R26" s="221"/>
      <c r="S26" s="221"/>
      <c r="T26" s="221"/>
      <c r="U26" s="221"/>
    </row>
    <row r="27" spans="1:21">
      <c r="A27" s="226"/>
      <c r="B27" s="213">
        <v>1996</v>
      </c>
      <c r="C27" s="216">
        <v>94.699999999999989</v>
      </c>
      <c r="D27" s="216">
        <v>96.7</v>
      </c>
      <c r="E27" s="214">
        <v>91.8</v>
      </c>
      <c r="F27" s="216">
        <v>3.5999999999999996</v>
      </c>
      <c r="G27" s="216">
        <v>2.8000000000000003</v>
      </c>
      <c r="H27" s="216">
        <v>4.5999999999999996</v>
      </c>
      <c r="I27" s="215">
        <v>1.7000000000000002</v>
      </c>
      <c r="J27" s="216">
        <v>0.4</v>
      </c>
      <c r="K27" s="214">
        <v>3.5999999999999996</v>
      </c>
      <c r="M27" s="221"/>
      <c r="N27" s="221"/>
      <c r="O27" s="221"/>
      <c r="P27" s="221"/>
      <c r="Q27" s="221"/>
      <c r="R27" s="221"/>
      <c r="S27" s="221"/>
      <c r="T27" s="221"/>
      <c r="U27" s="221"/>
    </row>
    <row r="28" spans="1:21">
      <c r="A28" s="226"/>
      <c r="B28" s="213">
        <v>2001</v>
      </c>
      <c r="C28" s="216">
        <v>95.3</v>
      </c>
      <c r="D28" s="216">
        <v>97.3</v>
      </c>
      <c r="E28" s="214">
        <v>92.4</v>
      </c>
      <c r="F28" s="216">
        <v>3.5000000000000004</v>
      </c>
      <c r="G28" s="216">
        <v>2.5</v>
      </c>
      <c r="H28" s="216">
        <v>4.9000000000000004</v>
      </c>
      <c r="I28" s="215">
        <v>1.2</v>
      </c>
      <c r="J28" s="216">
        <v>0.2</v>
      </c>
      <c r="K28" s="214">
        <v>2.7</v>
      </c>
      <c r="M28" s="221"/>
      <c r="N28" s="221"/>
      <c r="O28" s="221"/>
      <c r="P28" s="221"/>
      <c r="Q28" s="221"/>
      <c r="R28" s="221"/>
      <c r="S28" s="221"/>
      <c r="T28" s="221"/>
      <c r="U28" s="221"/>
    </row>
    <row r="29" spans="1:21">
      <c r="A29" s="226"/>
      <c r="B29" s="213">
        <v>2006</v>
      </c>
      <c r="C29" s="216">
        <v>95.3</v>
      </c>
      <c r="D29" s="216">
        <v>97.5</v>
      </c>
      <c r="E29" s="214">
        <v>91.9</v>
      </c>
      <c r="F29" s="216">
        <v>3.5000000000000004</v>
      </c>
      <c r="G29" s="216">
        <v>2.4</v>
      </c>
      <c r="H29" s="216">
        <v>5.4</v>
      </c>
      <c r="I29" s="215">
        <v>1.2</v>
      </c>
      <c r="J29" s="216">
        <v>0.2</v>
      </c>
      <c r="K29" s="214">
        <v>2.7</v>
      </c>
      <c r="M29" s="221"/>
      <c r="N29" s="221"/>
      <c r="O29" s="221"/>
      <c r="P29" s="221"/>
      <c r="Q29" s="221"/>
      <c r="R29" s="221"/>
      <c r="S29" s="221"/>
      <c r="T29" s="221"/>
      <c r="U29" s="221"/>
    </row>
    <row r="30" spans="1:21">
      <c r="A30" s="226" t="s">
        <v>381</v>
      </c>
      <c r="B30" s="213">
        <v>1991</v>
      </c>
      <c r="C30" s="216">
        <v>92.7</v>
      </c>
      <c r="D30" s="216">
        <v>95.399999999999991</v>
      </c>
      <c r="E30" s="214">
        <v>87.9</v>
      </c>
      <c r="F30" s="216">
        <v>5.2</v>
      </c>
      <c r="G30" s="216">
        <v>4.1000000000000005</v>
      </c>
      <c r="H30" s="216">
        <v>7.3</v>
      </c>
      <c r="I30" s="215">
        <v>2.1</v>
      </c>
      <c r="J30" s="216">
        <v>0.6</v>
      </c>
      <c r="K30" s="214">
        <v>4.8</v>
      </c>
      <c r="M30" s="221"/>
      <c r="N30" s="221"/>
      <c r="O30" s="221"/>
      <c r="P30" s="221"/>
      <c r="Q30" s="221"/>
      <c r="R30" s="221"/>
      <c r="S30" s="221"/>
      <c r="T30" s="221"/>
      <c r="U30" s="221"/>
    </row>
    <row r="31" spans="1:21">
      <c r="A31" s="226"/>
      <c r="B31" s="213">
        <v>1996</v>
      </c>
      <c r="C31" s="216">
        <v>91.7</v>
      </c>
      <c r="D31" s="216">
        <v>95.399999999999991</v>
      </c>
      <c r="E31" s="214">
        <v>84.7</v>
      </c>
      <c r="F31" s="216">
        <v>5</v>
      </c>
      <c r="G31" s="216">
        <v>3.8</v>
      </c>
      <c r="H31" s="216">
        <v>7.1</v>
      </c>
      <c r="I31" s="215">
        <v>3.4000000000000004</v>
      </c>
      <c r="J31" s="216">
        <v>0.8</v>
      </c>
      <c r="K31" s="214">
        <v>8.2000000000000011</v>
      </c>
      <c r="M31" s="221"/>
      <c r="N31" s="221"/>
      <c r="O31" s="221"/>
      <c r="P31" s="221"/>
      <c r="Q31" s="221"/>
      <c r="R31" s="221"/>
      <c r="S31" s="221"/>
      <c r="T31" s="221"/>
      <c r="U31" s="221"/>
    </row>
    <row r="32" spans="1:21">
      <c r="A32" s="226"/>
      <c r="B32" s="213">
        <v>2001</v>
      </c>
      <c r="C32" s="216">
        <v>92.4</v>
      </c>
      <c r="D32" s="216">
        <v>95.5</v>
      </c>
      <c r="E32" s="214">
        <v>85.399999999999991</v>
      </c>
      <c r="F32" s="216">
        <v>4.8</v>
      </c>
      <c r="G32" s="216">
        <v>3.6999999999999997</v>
      </c>
      <c r="H32" s="216">
        <v>7.1</v>
      </c>
      <c r="I32" s="215">
        <v>2.9000000000000004</v>
      </c>
      <c r="J32" s="216">
        <v>0.8</v>
      </c>
      <c r="K32" s="214">
        <v>7.5</v>
      </c>
      <c r="M32" s="221"/>
      <c r="N32" s="221"/>
      <c r="O32" s="221"/>
      <c r="P32" s="221"/>
      <c r="Q32" s="221"/>
      <c r="R32" s="221"/>
      <c r="S32" s="221"/>
      <c r="T32" s="221"/>
      <c r="U32" s="221"/>
    </row>
    <row r="33" spans="1:21">
      <c r="A33" s="226"/>
      <c r="B33" s="213">
        <v>2006</v>
      </c>
      <c r="C33" s="216">
        <v>92.600000000000009</v>
      </c>
      <c r="D33" s="216">
        <v>95.399999999999991</v>
      </c>
      <c r="E33" s="214">
        <v>85.3</v>
      </c>
      <c r="F33" s="216">
        <v>4.7</v>
      </c>
      <c r="G33" s="216">
        <v>3.8</v>
      </c>
      <c r="H33" s="216">
        <v>7.0000000000000009</v>
      </c>
      <c r="I33" s="215">
        <v>2.7</v>
      </c>
      <c r="J33" s="216">
        <v>0.8</v>
      </c>
      <c r="K33" s="214">
        <v>7.7</v>
      </c>
      <c r="M33" s="221"/>
      <c r="N33" s="221"/>
      <c r="O33" s="221"/>
      <c r="P33" s="221"/>
      <c r="Q33" s="221"/>
      <c r="R33" s="221"/>
      <c r="S33" s="221"/>
      <c r="T33" s="221"/>
      <c r="U33" s="221"/>
    </row>
    <row r="34" spans="1:21">
      <c r="A34" s="226" t="s">
        <v>382</v>
      </c>
      <c r="B34" s="213">
        <v>1991</v>
      </c>
      <c r="C34" s="216">
        <v>93.8</v>
      </c>
      <c r="D34" s="216">
        <v>95.8</v>
      </c>
      <c r="E34" s="214">
        <v>90</v>
      </c>
      <c r="F34" s="216">
        <v>4.2</v>
      </c>
      <c r="G34" s="216">
        <v>3.5999999999999996</v>
      </c>
      <c r="H34" s="216">
        <v>5.3</v>
      </c>
      <c r="I34" s="215">
        <v>2</v>
      </c>
      <c r="J34" s="216">
        <v>0.6</v>
      </c>
      <c r="K34" s="214">
        <v>4.7</v>
      </c>
      <c r="M34" s="221"/>
      <c r="N34" s="221"/>
      <c r="O34" s="221"/>
      <c r="P34" s="221"/>
      <c r="Q34" s="221"/>
      <c r="R34" s="221"/>
      <c r="S34" s="221"/>
      <c r="T34" s="221"/>
      <c r="U34" s="221"/>
    </row>
    <row r="35" spans="1:21">
      <c r="A35" s="226"/>
      <c r="B35" s="213">
        <v>1996</v>
      </c>
      <c r="C35" s="216">
        <v>93.8</v>
      </c>
      <c r="D35" s="216">
        <v>96.1</v>
      </c>
      <c r="E35" s="214">
        <v>88.8</v>
      </c>
      <c r="F35" s="216">
        <v>4</v>
      </c>
      <c r="G35" s="216">
        <v>3.3000000000000003</v>
      </c>
      <c r="H35" s="216">
        <v>5.6000000000000005</v>
      </c>
      <c r="I35" s="215">
        <v>2.1999999999999997</v>
      </c>
      <c r="J35" s="216">
        <v>0.6</v>
      </c>
      <c r="K35" s="214">
        <v>5.6000000000000005</v>
      </c>
      <c r="M35" s="221"/>
      <c r="N35" s="221"/>
      <c r="O35" s="221"/>
      <c r="P35" s="221"/>
      <c r="Q35" s="221"/>
      <c r="R35" s="221"/>
      <c r="S35" s="221"/>
      <c r="T35" s="221"/>
      <c r="U35" s="221"/>
    </row>
    <row r="36" spans="1:21">
      <c r="A36" s="226"/>
      <c r="B36" s="213">
        <v>2001</v>
      </c>
      <c r="C36" s="216">
        <v>94.5</v>
      </c>
      <c r="D36" s="216">
        <v>96.2</v>
      </c>
      <c r="E36" s="214">
        <v>90.5</v>
      </c>
      <c r="F36" s="216">
        <v>3.8</v>
      </c>
      <c r="G36" s="216">
        <v>3.3000000000000003</v>
      </c>
      <c r="H36" s="216">
        <v>5.2</v>
      </c>
      <c r="I36" s="215">
        <v>1.7000000000000002</v>
      </c>
      <c r="J36" s="216">
        <v>0.5</v>
      </c>
      <c r="K36" s="214">
        <v>4.3</v>
      </c>
      <c r="M36" s="221"/>
      <c r="N36" s="221"/>
      <c r="O36" s="221"/>
      <c r="P36" s="221"/>
      <c r="Q36" s="221"/>
      <c r="R36" s="221"/>
      <c r="S36" s="221"/>
      <c r="T36" s="221"/>
      <c r="U36" s="221"/>
    </row>
    <row r="37" spans="1:21">
      <c r="A37" s="226"/>
      <c r="B37" s="213">
        <v>2006</v>
      </c>
      <c r="C37" s="216">
        <v>94.1</v>
      </c>
      <c r="D37" s="216">
        <v>96.3</v>
      </c>
      <c r="E37" s="214">
        <v>88.8</v>
      </c>
      <c r="F37" s="216">
        <v>3.9</v>
      </c>
      <c r="G37" s="216">
        <v>3</v>
      </c>
      <c r="H37" s="216">
        <v>6.1</v>
      </c>
      <c r="I37" s="215">
        <v>2</v>
      </c>
      <c r="J37" s="216">
        <v>0.6</v>
      </c>
      <c r="K37" s="214">
        <v>5.2</v>
      </c>
      <c r="M37" s="221"/>
      <c r="N37" s="221"/>
      <c r="O37" s="221"/>
      <c r="P37" s="221"/>
      <c r="Q37" s="221"/>
      <c r="R37" s="221"/>
      <c r="S37" s="221"/>
      <c r="T37" s="221"/>
      <c r="U37" s="221"/>
    </row>
    <row r="38" spans="1:21">
      <c r="A38" s="226" t="s">
        <v>383</v>
      </c>
      <c r="B38" s="213">
        <v>1991</v>
      </c>
      <c r="C38" s="216">
        <v>95.7</v>
      </c>
      <c r="D38" s="216">
        <v>97.1</v>
      </c>
      <c r="E38" s="214">
        <v>92.7</v>
      </c>
      <c r="F38" s="216">
        <v>2.4</v>
      </c>
      <c r="G38" s="216">
        <v>2.1</v>
      </c>
      <c r="H38" s="216">
        <v>3.2</v>
      </c>
      <c r="I38" s="215">
        <v>1.9</v>
      </c>
      <c r="J38" s="216">
        <v>0.8</v>
      </c>
      <c r="K38" s="214">
        <v>4.2</v>
      </c>
      <c r="M38" s="221"/>
      <c r="N38" s="221"/>
      <c r="O38" s="221"/>
      <c r="P38" s="221"/>
      <c r="Q38" s="221"/>
      <c r="R38" s="221"/>
      <c r="S38" s="221"/>
      <c r="T38" s="221"/>
      <c r="U38" s="221"/>
    </row>
    <row r="39" spans="1:21">
      <c r="A39" s="226"/>
      <c r="B39" s="213">
        <v>1996</v>
      </c>
      <c r="C39" s="216">
        <v>95.6</v>
      </c>
      <c r="D39" s="216">
        <v>97.399999999999991</v>
      </c>
      <c r="E39" s="214">
        <v>91.4</v>
      </c>
      <c r="F39" s="216">
        <v>2.8000000000000003</v>
      </c>
      <c r="G39" s="216">
        <v>2.1</v>
      </c>
      <c r="H39" s="216">
        <v>4.3999999999999995</v>
      </c>
      <c r="I39" s="215">
        <v>1.6</v>
      </c>
      <c r="J39" s="216">
        <v>0.5</v>
      </c>
      <c r="K39" s="214">
        <v>4.2</v>
      </c>
      <c r="M39" s="221"/>
      <c r="N39" s="221"/>
      <c r="O39" s="221"/>
      <c r="P39" s="221"/>
      <c r="Q39" s="221"/>
      <c r="R39" s="221"/>
      <c r="S39" s="221"/>
      <c r="T39" s="221"/>
      <c r="U39" s="221"/>
    </row>
    <row r="40" spans="1:21">
      <c r="A40" s="226"/>
      <c r="B40" s="213">
        <v>2001</v>
      </c>
      <c r="C40" s="216">
        <v>96.1</v>
      </c>
      <c r="D40" s="216">
        <v>97.7</v>
      </c>
      <c r="E40" s="214">
        <v>91.9</v>
      </c>
      <c r="F40" s="216">
        <v>2.5</v>
      </c>
      <c r="G40" s="216">
        <v>1.9</v>
      </c>
      <c r="H40" s="216">
        <v>4.1000000000000005</v>
      </c>
      <c r="I40" s="215">
        <v>1.4000000000000001</v>
      </c>
      <c r="J40" s="216">
        <v>0.4</v>
      </c>
      <c r="K40" s="214">
        <v>4</v>
      </c>
      <c r="M40" s="221"/>
      <c r="N40" s="221"/>
      <c r="O40" s="221"/>
      <c r="P40" s="221"/>
      <c r="Q40" s="221"/>
      <c r="R40" s="221"/>
      <c r="S40" s="221"/>
      <c r="T40" s="221"/>
      <c r="U40" s="221"/>
    </row>
    <row r="41" spans="1:21">
      <c r="A41" s="226"/>
      <c r="B41" s="213">
        <v>2006</v>
      </c>
      <c r="C41" s="216">
        <v>96.1</v>
      </c>
      <c r="D41" s="216">
        <v>97.6</v>
      </c>
      <c r="E41" s="214">
        <v>91.8</v>
      </c>
      <c r="F41" s="216">
        <v>2.7</v>
      </c>
      <c r="G41" s="216">
        <v>1.7999999999999998</v>
      </c>
      <c r="H41" s="216">
        <v>5</v>
      </c>
      <c r="I41" s="215">
        <v>1.3</v>
      </c>
      <c r="J41" s="216">
        <v>0.5</v>
      </c>
      <c r="K41" s="214">
        <v>3.2</v>
      </c>
      <c r="M41" s="221"/>
      <c r="N41" s="221"/>
      <c r="O41" s="221"/>
      <c r="P41" s="221"/>
      <c r="Q41" s="221"/>
      <c r="R41" s="221"/>
      <c r="S41" s="221"/>
      <c r="T41" s="221"/>
      <c r="U41" s="221"/>
    </row>
    <row r="42" spans="1:21">
      <c r="A42" s="226" t="s">
        <v>384</v>
      </c>
      <c r="B42" s="213">
        <v>1991</v>
      </c>
      <c r="C42" s="216">
        <v>94.5</v>
      </c>
      <c r="D42" s="216">
        <v>96.6</v>
      </c>
      <c r="E42" s="214">
        <v>90.7</v>
      </c>
      <c r="F42" s="216">
        <v>3.8</v>
      </c>
      <c r="G42" s="216">
        <v>2.8000000000000003</v>
      </c>
      <c r="H42" s="216">
        <v>5.5</v>
      </c>
      <c r="I42" s="215">
        <v>1.7000000000000002</v>
      </c>
      <c r="J42" s="216">
        <v>0.5</v>
      </c>
      <c r="K42" s="214">
        <v>3.6999999999999997</v>
      </c>
      <c r="M42" s="221"/>
      <c r="N42" s="221"/>
      <c r="O42" s="221"/>
      <c r="P42" s="221"/>
      <c r="Q42" s="221"/>
      <c r="R42" s="221"/>
      <c r="S42" s="221"/>
      <c r="T42" s="221"/>
      <c r="U42" s="221"/>
    </row>
    <row r="43" spans="1:21">
      <c r="A43" s="226"/>
      <c r="B43" s="213">
        <v>1996</v>
      </c>
      <c r="C43" s="216">
        <v>94.399999999999991</v>
      </c>
      <c r="D43" s="216">
        <v>96.6</v>
      </c>
      <c r="E43" s="214">
        <v>89.5</v>
      </c>
      <c r="F43" s="216">
        <v>4</v>
      </c>
      <c r="G43" s="216">
        <v>2.9000000000000004</v>
      </c>
      <c r="H43" s="216">
        <v>6.5</v>
      </c>
      <c r="I43" s="215">
        <v>1.6</v>
      </c>
      <c r="J43" s="216">
        <v>0.5</v>
      </c>
      <c r="K43" s="214">
        <v>4</v>
      </c>
      <c r="M43" s="221"/>
      <c r="N43" s="221"/>
      <c r="O43" s="221"/>
      <c r="P43" s="221"/>
      <c r="Q43" s="221"/>
      <c r="R43" s="221"/>
      <c r="S43" s="221"/>
      <c r="T43" s="221"/>
      <c r="U43" s="221"/>
    </row>
    <row r="44" spans="1:21">
      <c r="A44" s="226"/>
      <c r="B44" s="213">
        <v>2001</v>
      </c>
      <c r="C44" s="216">
        <v>95</v>
      </c>
      <c r="D44" s="216">
        <v>96.8</v>
      </c>
      <c r="E44" s="214">
        <v>90.4</v>
      </c>
      <c r="F44" s="216">
        <v>3.9</v>
      </c>
      <c r="G44" s="216">
        <v>2.8000000000000003</v>
      </c>
      <c r="H44" s="216">
        <v>6.4</v>
      </c>
      <c r="I44" s="215">
        <v>1.2</v>
      </c>
      <c r="J44" s="216">
        <v>0.4</v>
      </c>
      <c r="K44" s="214">
        <v>3.1</v>
      </c>
      <c r="M44" s="221"/>
      <c r="N44" s="221"/>
      <c r="O44" s="221"/>
      <c r="P44" s="221"/>
      <c r="Q44" s="221"/>
      <c r="R44" s="221"/>
      <c r="S44" s="221"/>
      <c r="T44" s="221"/>
      <c r="U44" s="221"/>
    </row>
    <row r="45" spans="1:21">
      <c r="A45" s="226"/>
      <c r="B45" s="213">
        <v>2006</v>
      </c>
      <c r="C45" s="216">
        <v>95.1</v>
      </c>
      <c r="D45" s="216">
        <v>96.8</v>
      </c>
      <c r="E45" s="214">
        <v>90.2</v>
      </c>
      <c r="F45" s="216">
        <v>3.8</v>
      </c>
      <c r="G45" s="216">
        <v>2.8000000000000003</v>
      </c>
      <c r="H45" s="216">
        <v>6.7</v>
      </c>
      <c r="I45" s="215">
        <v>1.0999999999999999</v>
      </c>
      <c r="J45" s="216">
        <v>0.4</v>
      </c>
      <c r="K45" s="214">
        <v>3.1</v>
      </c>
      <c r="M45" s="221"/>
      <c r="N45" s="221"/>
      <c r="O45" s="221"/>
      <c r="P45" s="221"/>
      <c r="Q45" s="221"/>
      <c r="R45" s="221"/>
      <c r="S45" s="221"/>
      <c r="T45" s="221"/>
      <c r="U45" s="221"/>
    </row>
    <row r="46" spans="1:21">
      <c r="A46" s="226" t="s">
        <v>385</v>
      </c>
      <c r="B46" s="213">
        <v>1991</v>
      </c>
      <c r="C46" s="216">
        <v>93.7</v>
      </c>
      <c r="D46" s="216">
        <v>96.3</v>
      </c>
      <c r="E46" s="214">
        <v>89</v>
      </c>
      <c r="F46" s="216">
        <v>4</v>
      </c>
      <c r="G46" s="216">
        <v>3</v>
      </c>
      <c r="H46" s="216">
        <v>5.7</v>
      </c>
      <c r="I46" s="215">
        <v>2.2999999999999998</v>
      </c>
      <c r="J46" s="216">
        <v>0.70000000000000007</v>
      </c>
      <c r="K46" s="214">
        <v>5.2</v>
      </c>
      <c r="M46" s="221"/>
      <c r="N46" s="221"/>
      <c r="O46" s="221"/>
      <c r="P46" s="221"/>
      <c r="Q46" s="221"/>
      <c r="R46" s="221"/>
      <c r="S46" s="221"/>
      <c r="T46" s="221"/>
      <c r="U46" s="221"/>
    </row>
    <row r="47" spans="1:21">
      <c r="A47" s="226"/>
      <c r="B47" s="213">
        <v>1996</v>
      </c>
      <c r="C47" s="216">
        <v>92</v>
      </c>
      <c r="D47" s="216">
        <v>95.399999999999991</v>
      </c>
      <c r="E47" s="214">
        <v>85.2</v>
      </c>
      <c r="F47" s="216">
        <v>4.5999999999999996</v>
      </c>
      <c r="G47" s="216">
        <v>3.3000000000000003</v>
      </c>
      <c r="H47" s="216">
        <v>7.0000000000000009</v>
      </c>
      <c r="I47" s="215">
        <v>3.5000000000000004</v>
      </c>
      <c r="J47" s="216">
        <v>1.3</v>
      </c>
      <c r="K47" s="214">
        <v>7.7</v>
      </c>
      <c r="M47" s="221"/>
      <c r="N47" s="221"/>
      <c r="O47" s="221"/>
      <c r="P47" s="221"/>
      <c r="Q47" s="221"/>
      <c r="R47" s="221"/>
      <c r="S47" s="221"/>
      <c r="T47" s="221"/>
      <c r="U47" s="221"/>
    </row>
    <row r="48" spans="1:21">
      <c r="A48" s="226"/>
      <c r="B48" s="213">
        <v>2001</v>
      </c>
      <c r="C48" s="216">
        <v>93.100000000000009</v>
      </c>
      <c r="D48" s="216">
        <v>95.8</v>
      </c>
      <c r="E48" s="214">
        <v>87.5</v>
      </c>
      <c r="F48" s="216">
        <v>4.3</v>
      </c>
      <c r="G48" s="216">
        <v>3.2</v>
      </c>
      <c r="H48" s="216">
        <v>6.5</v>
      </c>
      <c r="I48" s="215">
        <v>2.6</v>
      </c>
      <c r="J48" s="216">
        <v>0.89999999999999991</v>
      </c>
      <c r="K48" s="214">
        <v>6</v>
      </c>
      <c r="M48" s="221"/>
      <c r="N48" s="221"/>
      <c r="O48" s="221"/>
      <c r="P48" s="221"/>
      <c r="Q48" s="221"/>
      <c r="R48" s="221"/>
      <c r="S48" s="221"/>
      <c r="T48" s="221"/>
      <c r="U48" s="221"/>
    </row>
    <row r="49" spans="1:21">
      <c r="A49" s="226"/>
      <c r="B49" s="213">
        <v>2006</v>
      </c>
      <c r="C49" s="216">
        <v>92.9</v>
      </c>
      <c r="D49" s="216">
        <v>95.7</v>
      </c>
      <c r="E49" s="214">
        <v>86.2</v>
      </c>
      <c r="F49" s="216">
        <v>4.5999999999999996</v>
      </c>
      <c r="G49" s="216">
        <v>3.3000000000000003</v>
      </c>
      <c r="H49" s="216">
        <v>7.9</v>
      </c>
      <c r="I49" s="215">
        <v>2.4</v>
      </c>
      <c r="J49" s="216">
        <v>1</v>
      </c>
      <c r="K49" s="214">
        <v>5.8999999999999995</v>
      </c>
      <c r="M49" s="221"/>
      <c r="N49" s="221"/>
      <c r="O49" s="221"/>
      <c r="P49" s="221"/>
      <c r="Q49" s="221"/>
      <c r="R49" s="221"/>
      <c r="S49" s="221"/>
      <c r="T49" s="221"/>
      <c r="U49" s="221"/>
    </row>
    <row r="50" spans="1:21">
      <c r="A50" s="226" t="s">
        <v>1757</v>
      </c>
      <c r="B50" s="213">
        <v>1991</v>
      </c>
      <c r="C50" s="216">
        <v>88.5</v>
      </c>
      <c r="D50" s="216">
        <v>90.100000000000009</v>
      </c>
      <c r="E50" s="214">
        <v>86.1</v>
      </c>
      <c r="F50" s="216">
        <v>7.0000000000000009</v>
      </c>
      <c r="G50" s="216">
        <v>5.8000000000000007</v>
      </c>
      <c r="H50" s="216">
        <v>8.9</v>
      </c>
      <c r="I50" s="215">
        <v>4.5999999999999996</v>
      </c>
      <c r="J50" s="216">
        <v>4.2</v>
      </c>
      <c r="K50" s="214">
        <v>5.2</v>
      </c>
      <c r="M50" s="221"/>
      <c r="N50" s="221"/>
      <c r="O50" s="221"/>
      <c r="P50" s="221"/>
      <c r="Q50" s="221"/>
      <c r="R50" s="221"/>
      <c r="S50" s="221"/>
      <c r="T50" s="221"/>
      <c r="U50" s="221"/>
    </row>
    <row r="51" spans="1:21">
      <c r="A51" s="226"/>
      <c r="B51" s="213">
        <v>1996</v>
      </c>
      <c r="C51" s="216">
        <v>90.5</v>
      </c>
      <c r="D51" s="216">
        <v>92</v>
      </c>
      <c r="E51" s="214">
        <v>87.9</v>
      </c>
      <c r="F51" s="216">
        <v>5.6000000000000005</v>
      </c>
      <c r="G51" s="216">
        <v>5.3</v>
      </c>
      <c r="H51" s="216">
        <v>6.1</v>
      </c>
      <c r="I51" s="215">
        <v>4</v>
      </c>
      <c r="J51" s="216">
        <v>2.7</v>
      </c>
      <c r="K51" s="214">
        <v>6</v>
      </c>
      <c r="M51" s="221"/>
      <c r="N51" s="221"/>
      <c r="O51" s="221"/>
      <c r="P51" s="221"/>
      <c r="Q51" s="221"/>
      <c r="R51" s="221"/>
      <c r="S51" s="221"/>
      <c r="T51" s="221"/>
      <c r="U51" s="221"/>
    </row>
    <row r="52" spans="1:21">
      <c r="A52" s="226"/>
      <c r="B52" s="213">
        <v>2001</v>
      </c>
      <c r="C52" s="216">
        <v>92.9</v>
      </c>
      <c r="D52" s="216">
        <v>94.3</v>
      </c>
      <c r="E52" s="214">
        <v>90</v>
      </c>
      <c r="F52" s="216">
        <v>4.1000000000000005</v>
      </c>
      <c r="G52" s="216">
        <v>3.9</v>
      </c>
      <c r="H52" s="216">
        <v>4.5999999999999996</v>
      </c>
      <c r="I52" s="215">
        <v>3</v>
      </c>
      <c r="J52" s="216">
        <v>1.9</v>
      </c>
      <c r="K52" s="214">
        <v>5.4</v>
      </c>
      <c r="M52" s="221"/>
      <c r="N52" s="221"/>
      <c r="O52" s="221"/>
      <c r="P52" s="221"/>
      <c r="Q52" s="221"/>
      <c r="R52" s="221"/>
      <c r="S52" s="221"/>
      <c r="T52" s="221"/>
      <c r="U52" s="221"/>
    </row>
    <row r="53" spans="1:21">
      <c r="A53" s="226"/>
      <c r="B53" s="213">
        <v>2006</v>
      </c>
      <c r="C53" s="216">
        <v>93.7</v>
      </c>
      <c r="D53" s="216">
        <v>95.6</v>
      </c>
      <c r="E53" s="214">
        <v>89.7</v>
      </c>
      <c r="F53" s="216">
        <v>3.8</v>
      </c>
      <c r="G53" s="216">
        <v>3.3000000000000003</v>
      </c>
      <c r="H53" s="216">
        <v>5</v>
      </c>
      <c r="I53" s="215">
        <v>2.4</v>
      </c>
      <c r="J53" s="216">
        <v>1.0999999999999999</v>
      </c>
      <c r="K53" s="214">
        <v>5.4</v>
      </c>
      <c r="M53" s="221"/>
      <c r="N53" s="221"/>
      <c r="O53" s="221"/>
      <c r="P53" s="221"/>
      <c r="Q53" s="221"/>
      <c r="R53" s="221"/>
      <c r="S53" s="221"/>
      <c r="T53" s="221"/>
      <c r="U53" s="221"/>
    </row>
    <row r="54" spans="1:21">
      <c r="A54" s="226" t="s">
        <v>1758</v>
      </c>
      <c r="B54" s="213">
        <v>1991</v>
      </c>
      <c r="C54" s="744">
        <v>75.900000000000006</v>
      </c>
      <c r="D54" s="744">
        <v>81</v>
      </c>
      <c r="E54" s="222">
        <v>73.400000000000006</v>
      </c>
      <c r="F54" s="744">
        <v>6.3</v>
      </c>
      <c r="G54" s="744">
        <v>7.6</v>
      </c>
      <c r="H54" s="744">
        <v>5.6000000000000005</v>
      </c>
      <c r="I54" s="223">
        <v>17.8</v>
      </c>
      <c r="J54" s="744">
        <v>11.3</v>
      </c>
      <c r="K54" s="222">
        <v>20.8</v>
      </c>
      <c r="M54" s="221"/>
      <c r="N54" s="221"/>
      <c r="O54" s="221"/>
      <c r="P54" s="221"/>
      <c r="Q54" s="221"/>
      <c r="R54" s="221"/>
      <c r="S54" s="221"/>
      <c r="T54" s="221"/>
      <c r="U54" s="221"/>
    </row>
    <row r="55" spans="1:21">
      <c r="A55" s="226"/>
      <c r="B55" s="213">
        <v>1996</v>
      </c>
      <c r="C55" s="744">
        <v>76.099999999999994</v>
      </c>
      <c r="D55" s="744">
        <v>81.699999999999989</v>
      </c>
      <c r="E55" s="222">
        <v>72.5</v>
      </c>
      <c r="F55" s="744">
        <v>8.6999999999999993</v>
      </c>
      <c r="G55" s="744">
        <v>10.5</v>
      </c>
      <c r="H55" s="744">
        <v>7.5</v>
      </c>
      <c r="I55" s="223">
        <v>15.2</v>
      </c>
      <c r="J55" s="744">
        <v>7.7</v>
      </c>
      <c r="K55" s="222">
        <v>20</v>
      </c>
      <c r="M55" s="221"/>
      <c r="N55" s="221"/>
      <c r="O55" s="221"/>
      <c r="P55" s="221"/>
      <c r="Q55" s="221"/>
      <c r="R55" s="221"/>
      <c r="S55" s="221"/>
      <c r="T55" s="221"/>
      <c r="U55" s="221"/>
    </row>
    <row r="56" spans="1:21">
      <c r="A56" s="226"/>
      <c r="B56" s="213">
        <v>2001</v>
      </c>
      <c r="C56" s="216">
        <v>81.8</v>
      </c>
      <c r="D56" s="216">
        <v>85.8</v>
      </c>
      <c r="E56" s="214">
        <v>78.7</v>
      </c>
      <c r="F56" s="216">
        <v>6.3</v>
      </c>
      <c r="G56" s="216">
        <v>8.2000000000000011</v>
      </c>
      <c r="H56" s="216">
        <v>4.8</v>
      </c>
      <c r="I56" s="215">
        <v>11.899999999999999</v>
      </c>
      <c r="J56" s="216">
        <v>6</v>
      </c>
      <c r="K56" s="214">
        <v>16.400000000000002</v>
      </c>
      <c r="M56" s="221"/>
      <c r="N56" s="221"/>
      <c r="O56" s="221"/>
      <c r="P56" s="221"/>
      <c r="Q56" s="221"/>
      <c r="R56" s="221"/>
      <c r="S56" s="221"/>
      <c r="T56" s="221"/>
      <c r="U56" s="221"/>
    </row>
    <row r="57" spans="1:21">
      <c r="A57" s="226"/>
      <c r="B57" s="213">
        <v>2006</v>
      </c>
      <c r="C57" s="216">
        <v>80.800000000000011</v>
      </c>
      <c r="D57" s="216">
        <v>85.9</v>
      </c>
      <c r="E57" s="214">
        <v>77.100000000000009</v>
      </c>
      <c r="F57" s="216">
        <v>6.9</v>
      </c>
      <c r="G57" s="216">
        <v>8.7999999999999989</v>
      </c>
      <c r="H57" s="216">
        <v>5.6000000000000005</v>
      </c>
      <c r="I57" s="215">
        <v>12.2</v>
      </c>
      <c r="J57" s="216">
        <v>5.2</v>
      </c>
      <c r="K57" s="214">
        <v>17.399999999999999</v>
      </c>
      <c r="M57" s="221"/>
      <c r="N57" s="221"/>
      <c r="O57" s="221"/>
      <c r="P57" s="221"/>
      <c r="Q57" s="221"/>
      <c r="R57" s="221"/>
      <c r="S57" s="221"/>
      <c r="T57" s="221"/>
      <c r="U57" s="221"/>
    </row>
    <row r="58" spans="1:21">
      <c r="A58" s="226" t="s">
        <v>1759</v>
      </c>
      <c r="B58" s="213">
        <v>1991</v>
      </c>
      <c r="C58" s="744">
        <v>75.900000000000006</v>
      </c>
      <c r="D58" s="744">
        <v>81</v>
      </c>
      <c r="E58" s="222">
        <v>73.400000000000006</v>
      </c>
      <c r="F58" s="744">
        <v>6.3</v>
      </c>
      <c r="G58" s="744">
        <v>7.6</v>
      </c>
      <c r="H58" s="744">
        <v>5.6000000000000005</v>
      </c>
      <c r="I58" s="223">
        <v>17.8</v>
      </c>
      <c r="J58" s="744">
        <v>11.3</v>
      </c>
      <c r="K58" s="222">
        <v>20.8</v>
      </c>
      <c r="M58" s="221"/>
      <c r="N58" s="221"/>
      <c r="O58" s="221"/>
      <c r="P58" s="221"/>
      <c r="Q58" s="221"/>
      <c r="R58" s="221"/>
      <c r="S58" s="221"/>
      <c r="T58" s="221"/>
      <c r="U58" s="221"/>
    </row>
    <row r="59" spans="1:21">
      <c r="A59" s="226"/>
      <c r="B59" s="213">
        <v>1996</v>
      </c>
      <c r="C59" s="744">
        <v>76.099999999999994</v>
      </c>
      <c r="D59" s="744">
        <v>81.699999999999989</v>
      </c>
      <c r="E59" s="222">
        <v>72.5</v>
      </c>
      <c r="F59" s="744">
        <v>8.6999999999999993</v>
      </c>
      <c r="G59" s="744">
        <v>10.5</v>
      </c>
      <c r="H59" s="744">
        <v>7.5</v>
      </c>
      <c r="I59" s="223">
        <v>15.2</v>
      </c>
      <c r="J59" s="744">
        <v>7.7</v>
      </c>
      <c r="K59" s="222">
        <v>20</v>
      </c>
      <c r="M59" s="221"/>
      <c r="N59" s="221"/>
      <c r="O59" s="221"/>
      <c r="P59" s="221"/>
      <c r="Q59" s="221"/>
      <c r="R59" s="221"/>
      <c r="S59" s="221"/>
      <c r="T59" s="221"/>
      <c r="U59" s="221"/>
    </row>
    <row r="60" spans="1:21">
      <c r="A60" s="226"/>
      <c r="B60" s="213">
        <v>2001</v>
      </c>
      <c r="C60" s="216">
        <v>86.7</v>
      </c>
      <c r="D60" s="216">
        <v>88.2</v>
      </c>
      <c r="E60" s="214">
        <v>85.1</v>
      </c>
      <c r="F60" s="216">
        <v>7.3999999999999995</v>
      </c>
      <c r="G60" s="216">
        <v>8.2000000000000011</v>
      </c>
      <c r="H60" s="216">
        <v>6.5</v>
      </c>
      <c r="I60" s="215">
        <v>5.8000000000000007</v>
      </c>
      <c r="J60" s="216">
        <v>3.6999999999999997</v>
      </c>
      <c r="K60" s="214">
        <v>8.4</v>
      </c>
      <c r="M60" s="221"/>
      <c r="N60" s="221"/>
      <c r="O60" s="221"/>
      <c r="P60" s="221"/>
      <c r="Q60" s="221"/>
      <c r="R60" s="221"/>
      <c r="S60" s="221"/>
      <c r="T60" s="221"/>
      <c r="U60" s="221"/>
    </row>
    <row r="61" spans="1:21">
      <c r="A61" s="226"/>
      <c r="B61" s="213">
        <v>2006</v>
      </c>
      <c r="C61" s="216">
        <v>87.7</v>
      </c>
      <c r="D61" s="216">
        <v>89</v>
      </c>
      <c r="E61" s="214">
        <v>86.1</v>
      </c>
      <c r="F61" s="216">
        <v>6.9</v>
      </c>
      <c r="G61" s="216">
        <v>7.6</v>
      </c>
      <c r="H61" s="216">
        <v>6.1</v>
      </c>
      <c r="I61" s="215">
        <v>5.5</v>
      </c>
      <c r="J61" s="216">
        <v>3.4000000000000004</v>
      </c>
      <c r="K61" s="214">
        <v>7.9</v>
      </c>
      <c r="M61" s="221"/>
      <c r="N61" s="221"/>
      <c r="O61" s="221"/>
      <c r="P61" s="221"/>
      <c r="Q61" s="221"/>
      <c r="R61" s="221"/>
      <c r="S61" s="221"/>
      <c r="T61" s="221"/>
      <c r="U61" s="221"/>
    </row>
    <row r="62" spans="1:21">
      <c r="A62" s="226" t="s">
        <v>1760</v>
      </c>
      <c r="B62" s="213">
        <v>1991</v>
      </c>
      <c r="C62" s="216" t="s">
        <v>1761</v>
      </c>
      <c r="D62" s="216" t="s">
        <v>1761</v>
      </c>
      <c r="E62" s="214" t="s">
        <v>1761</v>
      </c>
      <c r="F62" s="216" t="s">
        <v>1761</v>
      </c>
      <c r="G62" s="216" t="s">
        <v>1761</v>
      </c>
      <c r="H62" s="216" t="s">
        <v>1761</v>
      </c>
      <c r="I62" s="215" t="s">
        <v>1761</v>
      </c>
      <c r="J62" s="216" t="s">
        <v>1761</v>
      </c>
      <c r="K62" s="214" t="s">
        <v>1761</v>
      </c>
      <c r="M62" s="221"/>
      <c r="N62" s="221"/>
      <c r="O62" s="221"/>
      <c r="P62" s="221"/>
      <c r="Q62" s="221"/>
      <c r="R62" s="221"/>
      <c r="S62" s="221"/>
      <c r="T62" s="221"/>
      <c r="U62" s="221"/>
    </row>
    <row r="63" spans="1:21">
      <c r="A63" s="226"/>
      <c r="B63" s="213">
        <v>1996</v>
      </c>
      <c r="C63" s="216" t="s">
        <v>1761</v>
      </c>
      <c r="D63" s="216" t="s">
        <v>1761</v>
      </c>
      <c r="E63" s="214" t="s">
        <v>1761</v>
      </c>
      <c r="F63" s="216" t="s">
        <v>1761</v>
      </c>
      <c r="G63" s="216" t="s">
        <v>1761</v>
      </c>
      <c r="H63" s="216" t="s">
        <v>1761</v>
      </c>
      <c r="I63" s="215" t="s">
        <v>1761</v>
      </c>
      <c r="J63" s="216" t="s">
        <v>1761</v>
      </c>
      <c r="K63" s="214" t="s">
        <v>1761</v>
      </c>
      <c r="M63" s="221"/>
      <c r="N63" s="221"/>
      <c r="O63" s="221"/>
      <c r="P63" s="221"/>
      <c r="Q63" s="221"/>
      <c r="R63" s="221"/>
      <c r="S63" s="221"/>
      <c r="T63" s="221"/>
      <c r="U63" s="221"/>
    </row>
    <row r="64" spans="1:21">
      <c r="A64" s="226"/>
      <c r="B64" s="213">
        <v>2001</v>
      </c>
      <c r="C64" s="216">
        <v>73.3</v>
      </c>
      <c r="D64" s="216">
        <v>76.900000000000006</v>
      </c>
      <c r="E64" s="214">
        <v>72.2</v>
      </c>
      <c r="F64" s="216">
        <v>4.3999999999999995</v>
      </c>
      <c r="G64" s="216">
        <v>8.2000000000000011</v>
      </c>
      <c r="H64" s="216">
        <v>3.1</v>
      </c>
      <c r="I64" s="215">
        <v>22.3</v>
      </c>
      <c r="J64" s="216">
        <v>14.6</v>
      </c>
      <c r="K64" s="214">
        <v>24.7</v>
      </c>
      <c r="M64" s="221"/>
      <c r="N64" s="221"/>
      <c r="O64" s="221"/>
      <c r="P64" s="221"/>
      <c r="Q64" s="221"/>
      <c r="R64" s="221"/>
      <c r="S64" s="221"/>
      <c r="T64" s="221"/>
      <c r="U64" s="221"/>
    </row>
    <row r="65" spans="1:21">
      <c r="A65" s="227"/>
      <c r="B65" s="217">
        <v>2006</v>
      </c>
      <c r="C65" s="218">
        <v>68.7</v>
      </c>
      <c r="D65" s="218">
        <v>73.099999999999994</v>
      </c>
      <c r="E65" s="219">
        <v>67.400000000000006</v>
      </c>
      <c r="F65" s="218">
        <v>7.0000000000000009</v>
      </c>
      <c r="G65" s="218">
        <v>14.000000000000002</v>
      </c>
      <c r="H65" s="218">
        <v>5</v>
      </c>
      <c r="I65" s="220">
        <v>24.3</v>
      </c>
      <c r="J65" s="218">
        <v>12.6</v>
      </c>
      <c r="K65" s="219">
        <v>27.6</v>
      </c>
      <c r="M65" s="221"/>
      <c r="N65" s="221"/>
      <c r="O65" s="221"/>
      <c r="P65" s="221"/>
      <c r="Q65" s="221"/>
      <c r="R65" s="221"/>
      <c r="S65" s="221"/>
      <c r="T65" s="221"/>
      <c r="U65" s="221"/>
    </row>
    <row r="67" spans="1:21" ht="29.25" customHeight="1">
      <c r="A67" s="1220" t="s">
        <v>1762</v>
      </c>
      <c r="B67" s="1220"/>
      <c r="C67" s="1220"/>
      <c r="D67" s="1220"/>
      <c r="E67" s="1220"/>
      <c r="F67" s="1220"/>
      <c r="G67" s="1220"/>
      <c r="H67" s="1220"/>
      <c r="I67" s="1220"/>
      <c r="J67" s="1220"/>
      <c r="K67" s="1220"/>
    </row>
    <row r="68" spans="1:21" ht="120" customHeight="1">
      <c r="A68" s="1220" t="s">
        <v>78</v>
      </c>
      <c r="B68" s="1221"/>
      <c r="C68" s="1221"/>
      <c r="D68" s="1221"/>
      <c r="E68" s="1221"/>
      <c r="F68" s="1221"/>
      <c r="G68" s="1221"/>
      <c r="H68" s="1221"/>
      <c r="I68" s="1221"/>
      <c r="J68" s="1221"/>
      <c r="K68" s="1221"/>
      <c r="L68" s="1221"/>
    </row>
  </sheetData>
  <mergeCells count="6">
    <mergeCell ref="A67:K67"/>
    <mergeCell ref="A68:L68"/>
    <mergeCell ref="F3:K3"/>
    <mergeCell ref="F4:H4"/>
    <mergeCell ref="I4:K4"/>
    <mergeCell ref="C3:E4"/>
  </mergeCells>
  <phoneticPr fontId="35" type="noConversion"/>
  <pageMargins left="0.75" right="0.75" top="1" bottom="1" header="0.5" footer="0.5"/>
  <pageSetup scale="60" orientation="portrait" horizontalDpi="4294967292" verticalDpi="1200" r:id="rId1"/>
  <headerFooter alignWithMargins="0"/>
</worksheet>
</file>

<file path=xl/worksheets/sheet118.xml><?xml version="1.0" encoding="utf-8"?>
<worksheet xmlns="http://schemas.openxmlformats.org/spreadsheetml/2006/main" xmlns:r="http://schemas.openxmlformats.org/officeDocument/2006/relationships">
  <sheetPr codeName="Sheet87">
    <pageSetUpPr fitToPage="1"/>
  </sheetPr>
  <dimension ref="A1:L68"/>
  <sheetViews>
    <sheetView view="pageBreakPreview" zoomScale="55" zoomScaleSheetLayoutView="55" workbookViewId="0">
      <pane xSplit="2" ySplit="5" topLeftCell="C6"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20.140625" style="55" customWidth="1"/>
    <col min="2" max="16384" width="8" style="55"/>
  </cols>
  <sheetData>
    <row r="1" spans="1:11" ht="15.75">
      <c r="A1" s="745" t="s">
        <v>684</v>
      </c>
      <c r="B1" s="49"/>
      <c r="C1" s="49"/>
      <c r="D1" s="49"/>
    </row>
    <row r="2" spans="1:11" ht="15.75">
      <c r="A2" s="745" t="s">
        <v>2199</v>
      </c>
    </row>
    <row r="3" spans="1:11" ht="28.9" customHeight="1">
      <c r="A3" s="743"/>
      <c r="B3" s="204"/>
      <c r="C3" s="1196" t="s">
        <v>748</v>
      </c>
      <c r="D3" s="1197"/>
      <c r="E3" s="1198"/>
      <c r="F3" s="1196" t="s">
        <v>749</v>
      </c>
      <c r="G3" s="1197"/>
      <c r="H3" s="1197"/>
      <c r="I3" s="1197"/>
      <c r="J3" s="1197"/>
      <c r="K3" s="1198"/>
    </row>
    <row r="4" spans="1:11" ht="38.25" customHeight="1">
      <c r="A4" s="226"/>
      <c r="B4" s="50"/>
      <c r="C4" s="1222"/>
      <c r="D4" s="1223"/>
      <c r="E4" s="1224"/>
      <c r="F4" s="1222" t="s">
        <v>180</v>
      </c>
      <c r="G4" s="1223"/>
      <c r="H4" s="1224"/>
      <c r="I4" s="1222" t="s">
        <v>637</v>
      </c>
      <c r="J4" s="1223"/>
      <c r="K4" s="1224"/>
    </row>
    <row r="5" spans="1:11" ht="22.9" customHeight="1">
      <c r="A5" s="227"/>
      <c r="B5" s="54"/>
      <c r="C5" s="208" t="s">
        <v>182</v>
      </c>
      <c r="D5" s="193" t="s">
        <v>183</v>
      </c>
      <c r="E5" s="209" t="s">
        <v>184</v>
      </c>
      <c r="F5" s="208" t="s">
        <v>182</v>
      </c>
      <c r="G5" s="193" t="s">
        <v>183</v>
      </c>
      <c r="H5" s="209" t="s">
        <v>184</v>
      </c>
      <c r="I5" s="208" t="s">
        <v>182</v>
      </c>
      <c r="J5" s="193" t="s">
        <v>183</v>
      </c>
      <c r="K5" s="209" t="s">
        <v>184</v>
      </c>
    </row>
    <row r="6" spans="1:11">
      <c r="A6" s="226" t="s">
        <v>375</v>
      </c>
      <c r="B6" s="210">
        <v>1991</v>
      </c>
      <c r="C6" s="216">
        <v>92.2</v>
      </c>
      <c r="D6" s="216">
        <v>92.800000000000011</v>
      </c>
      <c r="E6" s="211">
        <v>91.2</v>
      </c>
      <c r="F6" s="216">
        <v>5.5</v>
      </c>
      <c r="G6" s="216">
        <v>5.6000000000000005</v>
      </c>
      <c r="H6" s="216">
        <v>5.5</v>
      </c>
      <c r="I6" s="212">
        <v>2.2999999999999998</v>
      </c>
      <c r="J6" s="216">
        <v>1.6</v>
      </c>
      <c r="K6" s="214">
        <v>3.3000000000000003</v>
      </c>
    </row>
    <row r="7" spans="1:11">
      <c r="A7" s="226"/>
      <c r="B7" s="213">
        <v>1996</v>
      </c>
      <c r="C7" s="216">
        <v>92.100000000000009</v>
      </c>
      <c r="D7" s="216">
        <v>92.600000000000009</v>
      </c>
      <c r="E7" s="214">
        <v>91</v>
      </c>
      <c r="F7" s="216">
        <v>5.6000000000000005</v>
      </c>
      <c r="G7" s="216">
        <v>5.8000000000000007</v>
      </c>
      <c r="H7" s="216">
        <v>5.2</v>
      </c>
      <c r="I7" s="215">
        <v>2.4</v>
      </c>
      <c r="J7" s="216">
        <v>1.6</v>
      </c>
      <c r="K7" s="214">
        <v>3.8</v>
      </c>
    </row>
    <row r="8" spans="1:11">
      <c r="A8" s="226"/>
      <c r="B8" s="213">
        <v>2001</v>
      </c>
      <c r="C8" s="216">
        <v>92.2</v>
      </c>
      <c r="D8" s="216">
        <v>92.9</v>
      </c>
      <c r="E8" s="214">
        <v>90.8</v>
      </c>
      <c r="F8" s="216">
        <v>5.7</v>
      </c>
      <c r="G8" s="216">
        <v>5.8000000000000007</v>
      </c>
      <c r="H8" s="216">
        <v>5.6000000000000005</v>
      </c>
      <c r="I8" s="215">
        <v>2.1</v>
      </c>
      <c r="J8" s="216">
        <v>1.4000000000000001</v>
      </c>
      <c r="K8" s="214">
        <v>3.5000000000000004</v>
      </c>
    </row>
    <row r="9" spans="1:11">
      <c r="A9" s="226"/>
      <c r="B9" s="213">
        <v>2006</v>
      </c>
      <c r="C9" s="216">
        <v>92.9</v>
      </c>
      <c r="D9" s="216">
        <v>93.899999999999991</v>
      </c>
      <c r="E9" s="214">
        <v>90.5</v>
      </c>
      <c r="F9" s="216">
        <v>5.2</v>
      </c>
      <c r="G9" s="216">
        <v>5</v>
      </c>
      <c r="H9" s="216">
        <v>5.8000000000000007</v>
      </c>
      <c r="I9" s="215">
        <v>1.9</v>
      </c>
      <c r="J9" s="216">
        <v>1.0999999999999999</v>
      </c>
      <c r="K9" s="214">
        <v>3.6999999999999997</v>
      </c>
    </row>
    <row r="10" spans="1:11">
      <c r="A10" s="226" t="s">
        <v>377</v>
      </c>
      <c r="B10" s="213">
        <v>1991</v>
      </c>
      <c r="C10" s="216">
        <v>91</v>
      </c>
      <c r="D10" s="216">
        <v>90.8</v>
      </c>
      <c r="E10" s="214">
        <v>91.4</v>
      </c>
      <c r="F10" s="216">
        <v>4.7</v>
      </c>
      <c r="G10" s="216">
        <v>4.8</v>
      </c>
      <c r="H10" s="216">
        <v>4.3</v>
      </c>
      <c r="I10" s="215">
        <v>4.3999999999999995</v>
      </c>
      <c r="J10" s="216">
        <v>4.3999999999999995</v>
      </c>
      <c r="K10" s="214">
        <v>4.2</v>
      </c>
    </row>
    <row r="11" spans="1:11">
      <c r="A11" s="226"/>
      <c r="B11" s="213">
        <v>1996</v>
      </c>
      <c r="C11" s="216">
        <v>91.7</v>
      </c>
      <c r="D11" s="216">
        <v>91.600000000000009</v>
      </c>
      <c r="E11" s="214">
        <v>91.8</v>
      </c>
      <c r="F11" s="216">
        <v>4.7</v>
      </c>
      <c r="G11" s="216">
        <v>5</v>
      </c>
      <c r="H11" s="216">
        <v>3.6999999999999997</v>
      </c>
      <c r="I11" s="215">
        <v>3.6999999999999997</v>
      </c>
      <c r="J11" s="216">
        <v>3.4000000000000004</v>
      </c>
      <c r="K11" s="214">
        <v>4.5</v>
      </c>
    </row>
    <row r="12" spans="1:11">
      <c r="A12" s="226"/>
      <c r="B12" s="213">
        <v>2001</v>
      </c>
      <c r="C12" s="216">
        <v>90.7</v>
      </c>
      <c r="D12" s="216">
        <v>90.5</v>
      </c>
      <c r="E12" s="214">
        <v>91.3</v>
      </c>
      <c r="F12" s="216">
        <v>5.4</v>
      </c>
      <c r="G12" s="216">
        <v>5.7</v>
      </c>
      <c r="H12" s="216">
        <v>4.2</v>
      </c>
      <c r="I12" s="215">
        <v>3.9</v>
      </c>
      <c r="J12" s="216">
        <v>3.6999999999999997</v>
      </c>
      <c r="K12" s="214">
        <v>4.5</v>
      </c>
    </row>
    <row r="13" spans="1:11">
      <c r="A13" s="226"/>
      <c r="B13" s="213">
        <v>2006</v>
      </c>
      <c r="C13" s="216">
        <v>92.300000000000011</v>
      </c>
      <c r="D13" s="216">
        <v>92.5</v>
      </c>
      <c r="E13" s="214">
        <v>91.3</v>
      </c>
      <c r="F13" s="216">
        <v>3.9</v>
      </c>
      <c r="G13" s="216">
        <v>4</v>
      </c>
      <c r="H13" s="216">
        <v>3.6999999999999997</v>
      </c>
      <c r="I13" s="215">
        <v>3.8</v>
      </c>
      <c r="J13" s="216">
        <v>3.5000000000000004</v>
      </c>
      <c r="K13" s="214">
        <v>4.9000000000000004</v>
      </c>
    </row>
    <row r="14" spans="1:11">
      <c r="A14" s="226" t="s">
        <v>386</v>
      </c>
      <c r="B14" s="213">
        <v>1991</v>
      </c>
      <c r="C14" s="216">
        <v>91.7</v>
      </c>
      <c r="D14" s="216">
        <v>91.100000000000009</v>
      </c>
      <c r="E14" s="214">
        <v>93.2</v>
      </c>
      <c r="F14" s="216">
        <v>5.6000000000000005</v>
      </c>
      <c r="G14" s="216">
        <v>6.1</v>
      </c>
      <c r="H14" s="216">
        <v>4</v>
      </c>
      <c r="I14" s="215">
        <v>2.8000000000000003</v>
      </c>
      <c r="J14" s="216">
        <v>2.8000000000000003</v>
      </c>
      <c r="K14" s="214">
        <v>2.9000000000000004</v>
      </c>
    </row>
    <row r="15" spans="1:11">
      <c r="A15" s="226"/>
      <c r="B15" s="213">
        <v>1996</v>
      </c>
      <c r="C15" s="216">
        <v>90.9</v>
      </c>
      <c r="D15" s="216">
        <v>90.7</v>
      </c>
      <c r="E15" s="214">
        <v>91.3</v>
      </c>
      <c r="F15" s="216">
        <v>6.2</v>
      </c>
      <c r="G15" s="216">
        <v>6.8000000000000007</v>
      </c>
      <c r="H15" s="216">
        <v>4.5</v>
      </c>
      <c r="I15" s="215">
        <v>3</v>
      </c>
      <c r="J15" s="216">
        <v>2.5</v>
      </c>
      <c r="K15" s="214">
        <v>4.2</v>
      </c>
    </row>
    <row r="16" spans="1:11">
      <c r="A16" s="226"/>
      <c r="B16" s="213">
        <v>2001</v>
      </c>
      <c r="C16" s="216">
        <v>90.7</v>
      </c>
      <c r="D16" s="216">
        <v>90.5</v>
      </c>
      <c r="E16" s="214">
        <v>91.100000000000009</v>
      </c>
      <c r="F16" s="216">
        <v>6.8000000000000007</v>
      </c>
      <c r="G16" s="216">
        <v>7.1999999999999993</v>
      </c>
      <c r="H16" s="216">
        <v>5.7</v>
      </c>
      <c r="I16" s="215">
        <v>2.5</v>
      </c>
      <c r="J16" s="216">
        <v>2.1999999999999997</v>
      </c>
      <c r="K16" s="214">
        <v>3.2</v>
      </c>
    </row>
    <row r="17" spans="1:11">
      <c r="A17" s="226"/>
      <c r="B17" s="213">
        <v>2006</v>
      </c>
      <c r="C17" s="216">
        <v>91.7</v>
      </c>
      <c r="D17" s="216">
        <v>91.600000000000009</v>
      </c>
      <c r="E17" s="214">
        <v>91.9</v>
      </c>
      <c r="F17" s="216">
        <v>5.8999999999999995</v>
      </c>
      <c r="G17" s="216">
        <v>6.3</v>
      </c>
      <c r="H17" s="216">
        <v>5</v>
      </c>
      <c r="I17" s="215">
        <v>2.4</v>
      </c>
      <c r="J17" s="216">
        <v>2.1999999999999997</v>
      </c>
      <c r="K17" s="214">
        <v>3.1</v>
      </c>
    </row>
    <row r="18" spans="1:11">
      <c r="A18" s="226" t="s">
        <v>378</v>
      </c>
      <c r="B18" s="213">
        <v>1991</v>
      </c>
      <c r="C18" s="216">
        <v>89.5</v>
      </c>
      <c r="D18" s="216">
        <v>89</v>
      </c>
      <c r="E18" s="214">
        <v>90.8</v>
      </c>
      <c r="F18" s="216">
        <v>7.3999999999999995</v>
      </c>
      <c r="G18" s="216">
        <v>8.1</v>
      </c>
      <c r="H18" s="216">
        <v>5.5</v>
      </c>
      <c r="I18" s="215">
        <v>3.1</v>
      </c>
      <c r="J18" s="216">
        <v>2.9000000000000004</v>
      </c>
      <c r="K18" s="214">
        <v>3.5999999999999996</v>
      </c>
    </row>
    <row r="19" spans="1:11">
      <c r="A19" s="226"/>
      <c r="B19" s="213">
        <v>1996</v>
      </c>
      <c r="C19" s="216">
        <v>89.4</v>
      </c>
      <c r="D19" s="216">
        <v>88.9</v>
      </c>
      <c r="E19" s="214">
        <v>90.9</v>
      </c>
      <c r="F19" s="216">
        <v>7.3999999999999995</v>
      </c>
      <c r="G19" s="216">
        <v>8.3000000000000007</v>
      </c>
      <c r="H19" s="216">
        <v>5</v>
      </c>
      <c r="I19" s="215">
        <v>3.2</v>
      </c>
      <c r="J19" s="216">
        <v>2.8000000000000003</v>
      </c>
      <c r="K19" s="214">
        <v>4.1000000000000005</v>
      </c>
    </row>
    <row r="20" spans="1:11">
      <c r="A20" s="226"/>
      <c r="B20" s="213">
        <v>2001</v>
      </c>
      <c r="C20" s="216">
        <v>89.600000000000009</v>
      </c>
      <c r="D20" s="216">
        <v>89.4</v>
      </c>
      <c r="E20" s="214">
        <v>89.9</v>
      </c>
      <c r="F20" s="216">
        <v>7.0000000000000009</v>
      </c>
      <c r="G20" s="216">
        <v>7.7</v>
      </c>
      <c r="H20" s="216">
        <v>5.2</v>
      </c>
      <c r="I20" s="215">
        <v>3.4000000000000004</v>
      </c>
      <c r="J20" s="216">
        <v>2.8000000000000003</v>
      </c>
      <c r="K20" s="214">
        <v>4.9000000000000004</v>
      </c>
    </row>
    <row r="21" spans="1:11">
      <c r="A21" s="226"/>
      <c r="B21" s="213">
        <v>2006</v>
      </c>
      <c r="C21" s="216">
        <v>90.8</v>
      </c>
      <c r="D21" s="216">
        <v>91.3</v>
      </c>
      <c r="E21" s="214">
        <v>89.5</v>
      </c>
      <c r="F21" s="216">
        <v>6.7</v>
      </c>
      <c r="G21" s="216">
        <v>6.9</v>
      </c>
      <c r="H21" s="216">
        <v>6.1</v>
      </c>
      <c r="I21" s="215">
        <v>2.5</v>
      </c>
      <c r="J21" s="216">
        <v>1.9</v>
      </c>
      <c r="K21" s="214">
        <v>4.3999999999999995</v>
      </c>
    </row>
    <row r="22" spans="1:11">
      <c r="A22" s="226" t="s">
        <v>379</v>
      </c>
      <c r="B22" s="213">
        <v>1991</v>
      </c>
      <c r="C22" s="216">
        <v>88.7</v>
      </c>
      <c r="D22" s="216">
        <v>88.2</v>
      </c>
      <c r="E22" s="214">
        <v>90.2</v>
      </c>
      <c r="F22" s="216">
        <v>6.3</v>
      </c>
      <c r="G22" s="216">
        <v>6.9</v>
      </c>
      <c r="H22" s="216">
        <v>4.5999999999999996</v>
      </c>
      <c r="I22" s="215">
        <v>5</v>
      </c>
      <c r="J22" s="216">
        <v>4.9000000000000004</v>
      </c>
      <c r="K22" s="214">
        <v>5.2</v>
      </c>
    </row>
    <row r="23" spans="1:11">
      <c r="A23" s="226"/>
      <c r="B23" s="213">
        <v>1996</v>
      </c>
      <c r="C23" s="216">
        <v>88.1</v>
      </c>
      <c r="D23" s="216">
        <v>87.6</v>
      </c>
      <c r="E23" s="214">
        <v>89.7</v>
      </c>
      <c r="F23" s="216">
        <v>8.5</v>
      </c>
      <c r="G23" s="216">
        <v>9.4</v>
      </c>
      <c r="H23" s="216">
        <v>5.7</v>
      </c>
      <c r="I23" s="215">
        <v>3.4000000000000004</v>
      </c>
      <c r="J23" s="216">
        <v>2.9000000000000004</v>
      </c>
      <c r="K23" s="214">
        <v>4.7</v>
      </c>
    </row>
    <row r="24" spans="1:11">
      <c r="A24" s="226"/>
      <c r="B24" s="213">
        <v>2001</v>
      </c>
      <c r="C24" s="216">
        <v>89.1</v>
      </c>
      <c r="D24" s="216">
        <v>89</v>
      </c>
      <c r="E24" s="214">
        <v>89.3</v>
      </c>
      <c r="F24" s="216">
        <v>8.4</v>
      </c>
      <c r="G24" s="216">
        <v>8.9</v>
      </c>
      <c r="H24" s="216">
        <v>6.6000000000000005</v>
      </c>
      <c r="I24" s="215">
        <v>2.6</v>
      </c>
      <c r="J24" s="216">
        <v>2</v>
      </c>
      <c r="K24" s="214">
        <v>4.2</v>
      </c>
    </row>
    <row r="25" spans="1:11">
      <c r="A25" s="226"/>
      <c r="B25" s="213">
        <v>2006</v>
      </c>
      <c r="C25" s="216">
        <v>90.600000000000009</v>
      </c>
      <c r="D25" s="216">
        <v>90.8</v>
      </c>
      <c r="E25" s="214">
        <v>89.9</v>
      </c>
      <c r="F25" s="216">
        <v>7.0000000000000009</v>
      </c>
      <c r="G25" s="216">
        <v>7.1999999999999993</v>
      </c>
      <c r="H25" s="216">
        <v>6.2</v>
      </c>
      <c r="I25" s="215">
        <v>2.4</v>
      </c>
      <c r="J25" s="216">
        <v>1.9</v>
      </c>
      <c r="K25" s="214">
        <v>3.9</v>
      </c>
    </row>
    <row r="26" spans="1:11">
      <c r="A26" s="226" t="s">
        <v>380</v>
      </c>
      <c r="B26" s="213">
        <v>1991</v>
      </c>
      <c r="C26" s="216">
        <v>92.2</v>
      </c>
      <c r="D26" s="216">
        <v>91.9</v>
      </c>
      <c r="E26" s="214">
        <v>92.5</v>
      </c>
      <c r="F26" s="216">
        <v>5.8999999999999995</v>
      </c>
      <c r="G26" s="216">
        <v>6.8000000000000007</v>
      </c>
      <c r="H26" s="216">
        <v>4.7</v>
      </c>
      <c r="I26" s="215">
        <v>1.9</v>
      </c>
      <c r="J26" s="216">
        <v>1.3</v>
      </c>
      <c r="K26" s="214">
        <v>2.8000000000000003</v>
      </c>
    </row>
    <row r="27" spans="1:11">
      <c r="A27" s="226"/>
      <c r="B27" s="213">
        <v>1996</v>
      </c>
      <c r="C27" s="216">
        <v>92</v>
      </c>
      <c r="D27" s="216">
        <v>91.600000000000009</v>
      </c>
      <c r="E27" s="214">
        <v>92.600000000000009</v>
      </c>
      <c r="F27" s="216">
        <v>5.8999999999999995</v>
      </c>
      <c r="G27" s="216">
        <v>7.0000000000000009</v>
      </c>
      <c r="H27" s="216">
        <v>4.3999999999999995</v>
      </c>
      <c r="I27" s="215">
        <v>2</v>
      </c>
      <c r="J27" s="216">
        <v>1.3</v>
      </c>
      <c r="K27" s="214">
        <v>3</v>
      </c>
    </row>
    <row r="28" spans="1:11">
      <c r="A28" s="226"/>
      <c r="B28" s="213">
        <v>2001</v>
      </c>
      <c r="C28" s="216">
        <v>92.4</v>
      </c>
      <c r="D28" s="216">
        <v>92.300000000000011</v>
      </c>
      <c r="E28" s="214">
        <v>92.4</v>
      </c>
      <c r="F28" s="216">
        <v>6.1</v>
      </c>
      <c r="G28" s="216">
        <v>6.7</v>
      </c>
      <c r="H28" s="216">
        <v>5.2</v>
      </c>
      <c r="I28" s="215">
        <v>1.5</v>
      </c>
      <c r="J28" s="216">
        <v>1</v>
      </c>
      <c r="K28" s="214">
        <v>2.4</v>
      </c>
    </row>
    <row r="29" spans="1:11">
      <c r="A29" s="226"/>
      <c r="B29" s="213">
        <v>2006</v>
      </c>
      <c r="C29" s="216">
        <v>92.4</v>
      </c>
      <c r="D29" s="216">
        <v>93.2</v>
      </c>
      <c r="E29" s="214">
        <v>91.2</v>
      </c>
      <c r="F29" s="216">
        <v>6.1</v>
      </c>
      <c r="G29" s="216">
        <v>6.1</v>
      </c>
      <c r="H29" s="216">
        <v>6.1</v>
      </c>
      <c r="I29" s="215">
        <v>1.5</v>
      </c>
      <c r="J29" s="216">
        <v>0.70000000000000007</v>
      </c>
      <c r="K29" s="214">
        <v>2.7</v>
      </c>
    </row>
    <row r="30" spans="1:11">
      <c r="A30" s="226" t="s">
        <v>381</v>
      </c>
      <c r="B30" s="213">
        <v>1991</v>
      </c>
      <c r="C30" s="216">
        <v>92.600000000000009</v>
      </c>
      <c r="D30" s="216">
        <v>94</v>
      </c>
      <c r="E30" s="214">
        <v>89.9</v>
      </c>
      <c r="F30" s="216">
        <v>5.6000000000000005</v>
      </c>
      <c r="G30" s="216">
        <v>4.9000000000000004</v>
      </c>
      <c r="H30" s="216">
        <v>6.7</v>
      </c>
      <c r="I30" s="215">
        <v>1.9</v>
      </c>
      <c r="J30" s="216">
        <v>1.0999999999999999</v>
      </c>
      <c r="K30" s="214">
        <v>3.3000000000000003</v>
      </c>
    </row>
    <row r="31" spans="1:11">
      <c r="A31" s="226"/>
      <c r="B31" s="213">
        <v>1996</v>
      </c>
      <c r="C31" s="216">
        <v>92.300000000000011</v>
      </c>
      <c r="D31" s="216">
        <v>93.7</v>
      </c>
      <c r="E31" s="214">
        <v>89.7</v>
      </c>
      <c r="F31" s="216">
        <v>5.4</v>
      </c>
      <c r="G31" s="216">
        <v>5.0999999999999996</v>
      </c>
      <c r="H31" s="216">
        <v>5.8999999999999995</v>
      </c>
      <c r="I31" s="215">
        <v>2.2999999999999998</v>
      </c>
      <c r="J31" s="216">
        <v>1.3</v>
      </c>
      <c r="K31" s="214">
        <v>4.3999999999999995</v>
      </c>
    </row>
    <row r="32" spans="1:11">
      <c r="A32" s="226"/>
      <c r="B32" s="213">
        <v>2001</v>
      </c>
      <c r="C32" s="216">
        <v>92.800000000000011</v>
      </c>
      <c r="D32" s="216">
        <v>94.199999999999989</v>
      </c>
      <c r="E32" s="214">
        <v>89.7</v>
      </c>
      <c r="F32" s="216">
        <v>5.0999999999999996</v>
      </c>
      <c r="G32" s="216">
        <v>4.7</v>
      </c>
      <c r="H32" s="216">
        <v>6</v>
      </c>
      <c r="I32" s="215">
        <v>2.1</v>
      </c>
      <c r="J32" s="216">
        <v>1.0999999999999999</v>
      </c>
      <c r="K32" s="214">
        <v>4.3</v>
      </c>
    </row>
    <row r="33" spans="1:11">
      <c r="A33" s="226"/>
      <c r="B33" s="213">
        <v>2006</v>
      </c>
      <c r="C33" s="216">
        <v>93.7</v>
      </c>
      <c r="D33" s="216">
        <v>95.1</v>
      </c>
      <c r="E33" s="214">
        <v>90.100000000000009</v>
      </c>
      <c r="F33" s="216">
        <v>4.5</v>
      </c>
      <c r="G33" s="216">
        <v>4.1000000000000005</v>
      </c>
      <c r="H33" s="216">
        <v>5.4</v>
      </c>
      <c r="I33" s="215">
        <v>1.7999999999999998</v>
      </c>
      <c r="J33" s="216">
        <v>0.8</v>
      </c>
      <c r="K33" s="214">
        <v>4.5</v>
      </c>
    </row>
    <row r="34" spans="1:11">
      <c r="A34" s="226" t="s">
        <v>382</v>
      </c>
      <c r="B34" s="213">
        <v>1991</v>
      </c>
      <c r="C34" s="216">
        <v>91</v>
      </c>
      <c r="D34" s="216">
        <v>91</v>
      </c>
      <c r="E34" s="214">
        <v>91.100000000000009</v>
      </c>
      <c r="F34" s="216">
        <v>6.3</v>
      </c>
      <c r="G34" s="216">
        <v>6.9</v>
      </c>
      <c r="H34" s="216">
        <v>5.0999999999999996</v>
      </c>
      <c r="I34" s="215">
        <v>2.7</v>
      </c>
      <c r="J34" s="216">
        <v>2.1999999999999997</v>
      </c>
      <c r="K34" s="214">
        <v>3.8</v>
      </c>
    </row>
    <row r="35" spans="1:11">
      <c r="A35" s="226"/>
      <c r="B35" s="213">
        <v>1996</v>
      </c>
      <c r="C35" s="216">
        <v>90.4</v>
      </c>
      <c r="D35" s="216">
        <v>90.4</v>
      </c>
      <c r="E35" s="214">
        <v>90.600000000000009</v>
      </c>
      <c r="F35" s="216">
        <v>6.5</v>
      </c>
      <c r="G35" s="216">
        <v>7.1999999999999993</v>
      </c>
      <c r="H35" s="216">
        <v>5</v>
      </c>
      <c r="I35" s="215">
        <v>3.1</v>
      </c>
      <c r="J35" s="216">
        <v>2.4</v>
      </c>
      <c r="K35" s="214">
        <v>4.5</v>
      </c>
    </row>
    <row r="36" spans="1:11">
      <c r="A36" s="226"/>
      <c r="B36" s="213">
        <v>2001</v>
      </c>
      <c r="C36" s="216">
        <v>90.2</v>
      </c>
      <c r="D36" s="216">
        <v>90.4</v>
      </c>
      <c r="E36" s="214">
        <v>89.7</v>
      </c>
      <c r="F36" s="216">
        <v>7.1999999999999993</v>
      </c>
      <c r="G36" s="216">
        <v>7.7</v>
      </c>
      <c r="H36" s="216">
        <v>6.1</v>
      </c>
      <c r="I36" s="215">
        <v>2.7</v>
      </c>
      <c r="J36" s="216">
        <v>2</v>
      </c>
      <c r="K36" s="214">
        <v>4.3</v>
      </c>
    </row>
    <row r="37" spans="1:11">
      <c r="A37" s="226"/>
      <c r="B37" s="213">
        <v>2006</v>
      </c>
      <c r="C37" s="216">
        <v>91.2</v>
      </c>
      <c r="D37" s="216">
        <v>91.9</v>
      </c>
      <c r="E37" s="214">
        <v>89.600000000000009</v>
      </c>
      <c r="F37" s="216">
        <v>6</v>
      </c>
      <c r="G37" s="216">
        <v>6.2</v>
      </c>
      <c r="H37" s="216">
        <v>5.7</v>
      </c>
      <c r="I37" s="215">
        <v>2.7</v>
      </c>
      <c r="J37" s="216">
        <v>1.9</v>
      </c>
      <c r="K37" s="214">
        <v>4.7</v>
      </c>
    </row>
    <row r="38" spans="1:11">
      <c r="A38" s="226" t="s">
        <v>383</v>
      </c>
      <c r="B38" s="213">
        <v>1991</v>
      </c>
      <c r="C38" s="216">
        <v>92.4</v>
      </c>
      <c r="D38" s="216">
        <v>92.7</v>
      </c>
      <c r="E38" s="214">
        <v>91.7</v>
      </c>
      <c r="F38" s="216">
        <v>4</v>
      </c>
      <c r="G38" s="216">
        <v>4.2</v>
      </c>
      <c r="H38" s="216">
        <v>3.5999999999999996</v>
      </c>
      <c r="I38" s="215">
        <v>3.5999999999999996</v>
      </c>
      <c r="J38" s="216">
        <v>3.1</v>
      </c>
      <c r="K38" s="214">
        <v>4.7</v>
      </c>
    </row>
    <row r="39" spans="1:11">
      <c r="A39" s="226"/>
      <c r="B39" s="213">
        <v>1996</v>
      </c>
      <c r="C39" s="216">
        <v>92</v>
      </c>
      <c r="D39" s="216">
        <v>92.600000000000009</v>
      </c>
      <c r="E39" s="214">
        <v>90.600000000000009</v>
      </c>
      <c r="F39" s="216">
        <v>5.0999999999999996</v>
      </c>
      <c r="G39" s="216">
        <v>5.2</v>
      </c>
      <c r="H39" s="216">
        <v>5.0999999999999996</v>
      </c>
      <c r="I39" s="215">
        <v>2.9000000000000004</v>
      </c>
      <c r="J39" s="216">
        <v>2.1999999999999997</v>
      </c>
      <c r="K39" s="214">
        <v>4.3</v>
      </c>
    </row>
    <row r="40" spans="1:11">
      <c r="A40" s="226"/>
      <c r="B40" s="213">
        <v>2001</v>
      </c>
      <c r="C40" s="216">
        <v>91.2</v>
      </c>
      <c r="D40" s="216">
        <v>91.3</v>
      </c>
      <c r="E40" s="214">
        <v>90.8</v>
      </c>
      <c r="F40" s="216">
        <v>6</v>
      </c>
      <c r="G40" s="216">
        <v>6.3</v>
      </c>
      <c r="H40" s="216">
        <v>5.3</v>
      </c>
      <c r="I40" s="215">
        <v>2.8000000000000003</v>
      </c>
      <c r="J40" s="216">
        <v>2.2999999999999998</v>
      </c>
      <c r="K40" s="214">
        <v>3.9</v>
      </c>
    </row>
    <row r="41" spans="1:11">
      <c r="A41" s="226"/>
      <c r="B41" s="213">
        <v>2006</v>
      </c>
      <c r="C41" s="216">
        <v>91.100000000000009</v>
      </c>
      <c r="D41" s="216">
        <v>91.7</v>
      </c>
      <c r="E41" s="214">
        <v>89.600000000000009</v>
      </c>
      <c r="F41" s="216">
        <v>5.7</v>
      </c>
      <c r="G41" s="216">
        <v>5.6000000000000005</v>
      </c>
      <c r="H41" s="216">
        <v>6</v>
      </c>
      <c r="I41" s="215">
        <v>3.1</v>
      </c>
      <c r="J41" s="216">
        <v>2.7</v>
      </c>
      <c r="K41" s="214">
        <v>4.3999999999999995</v>
      </c>
    </row>
    <row r="42" spans="1:11">
      <c r="A42" s="226" t="s">
        <v>384</v>
      </c>
      <c r="B42" s="213">
        <v>1991</v>
      </c>
      <c r="C42" s="216">
        <v>92.600000000000009</v>
      </c>
      <c r="D42" s="216">
        <v>93.2</v>
      </c>
      <c r="E42" s="214">
        <v>91.600000000000009</v>
      </c>
      <c r="F42" s="216">
        <v>5</v>
      </c>
      <c r="G42" s="216">
        <v>4.9000000000000004</v>
      </c>
      <c r="H42" s="216">
        <v>5.2</v>
      </c>
      <c r="I42" s="215">
        <v>2.4</v>
      </c>
      <c r="J42" s="216">
        <v>1.9</v>
      </c>
      <c r="K42" s="214">
        <v>3.2</v>
      </c>
    </row>
    <row r="43" spans="1:11">
      <c r="A43" s="226"/>
      <c r="B43" s="213">
        <v>1996</v>
      </c>
      <c r="C43" s="216">
        <v>93.2</v>
      </c>
      <c r="D43" s="216">
        <v>94</v>
      </c>
      <c r="E43" s="214">
        <v>91.4</v>
      </c>
      <c r="F43" s="216">
        <v>5</v>
      </c>
      <c r="G43" s="216">
        <v>4.7</v>
      </c>
      <c r="H43" s="216">
        <v>5.6000000000000005</v>
      </c>
      <c r="I43" s="215">
        <v>1.9</v>
      </c>
      <c r="J43" s="216">
        <v>1.3</v>
      </c>
      <c r="K43" s="214">
        <v>3</v>
      </c>
    </row>
    <row r="44" spans="1:11">
      <c r="A44" s="226"/>
      <c r="B44" s="213">
        <v>2001</v>
      </c>
      <c r="C44" s="216">
        <v>92.9</v>
      </c>
      <c r="D44" s="216">
        <v>93.8</v>
      </c>
      <c r="E44" s="214">
        <v>90.7</v>
      </c>
      <c r="F44" s="216">
        <v>5.5</v>
      </c>
      <c r="G44" s="216">
        <v>5.0999999999999996</v>
      </c>
      <c r="H44" s="216">
        <v>6.4</v>
      </c>
      <c r="I44" s="215">
        <v>1.7000000000000002</v>
      </c>
      <c r="J44" s="216">
        <v>1.0999999999999999</v>
      </c>
      <c r="K44" s="214">
        <v>2.9000000000000004</v>
      </c>
    </row>
    <row r="45" spans="1:11">
      <c r="A45" s="226"/>
      <c r="B45" s="213">
        <v>2006</v>
      </c>
      <c r="C45" s="216">
        <v>93.8</v>
      </c>
      <c r="D45" s="216">
        <v>94.8</v>
      </c>
      <c r="E45" s="214">
        <v>90.9</v>
      </c>
      <c r="F45" s="216">
        <v>4.5999999999999996</v>
      </c>
      <c r="G45" s="216">
        <v>4.1000000000000005</v>
      </c>
      <c r="H45" s="216">
        <v>6.2</v>
      </c>
      <c r="I45" s="215">
        <v>1.6</v>
      </c>
      <c r="J45" s="216">
        <v>1.0999999999999999</v>
      </c>
      <c r="K45" s="214">
        <v>2.8000000000000003</v>
      </c>
    </row>
    <row r="46" spans="1:11">
      <c r="A46" s="226" t="s">
        <v>385</v>
      </c>
      <c r="B46" s="213">
        <v>1991</v>
      </c>
      <c r="C46" s="216">
        <v>93</v>
      </c>
      <c r="D46" s="216">
        <v>93.899999999999991</v>
      </c>
      <c r="E46" s="214">
        <v>91.5</v>
      </c>
      <c r="F46" s="216">
        <v>4.7</v>
      </c>
      <c r="G46" s="216">
        <v>4.7</v>
      </c>
      <c r="H46" s="216">
        <v>4.8</v>
      </c>
      <c r="I46" s="215">
        <v>2.1999999999999997</v>
      </c>
      <c r="J46" s="216">
        <v>1.4000000000000001</v>
      </c>
      <c r="K46" s="214">
        <v>3.6999999999999997</v>
      </c>
    </row>
    <row r="47" spans="1:11">
      <c r="A47" s="226"/>
      <c r="B47" s="213">
        <v>1996</v>
      </c>
      <c r="C47" s="216">
        <v>92.800000000000011</v>
      </c>
      <c r="D47" s="216">
        <v>93.7</v>
      </c>
      <c r="E47" s="214">
        <v>91.100000000000009</v>
      </c>
      <c r="F47" s="216">
        <v>4.5999999999999996</v>
      </c>
      <c r="G47" s="216">
        <v>4.5</v>
      </c>
      <c r="H47" s="216">
        <v>4.8</v>
      </c>
      <c r="I47" s="215">
        <v>2.6</v>
      </c>
      <c r="J47" s="216">
        <v>1.7999999999999998</v>
      </c>
      <c r="K47" s="214">
        <v>4.2</v>
      </c>
    </row>
    <row r="48" spans="1:11">
      <c r="A48" s="226"/>
      <c r="B48" s="213">
        <v>2001</v>
      </c>
      <c r="C48" s="216">
        <v>91.9</v>
      </c>
      <c r="D48" s="216">
        <v>92.5</v>
      </c>
      <c r="E48" s="214">
        <v>90.8</v>
      </c>
      <c r="F48" s="216">
        <v>5.6000000000000005</v>
      </c>
      <c r="G48" s="216">
        <v>5.7</v>
      </c>
      <c r="H48" s="216">
        <v>5.4</v>
      </c>
      <c r="I48" s="215">
        <v>2.5</v>
      </c>
      <c r="J48" s="216">
        <v>1.7999999999999998</v>
      </c>
      <c r="K48" s="214">
        <v>3.9</v>
      </c>
    </row>
    <row r="49" spans="1:11">
      <c r="A49" s="226"/>
      <c r="B49" s="213">
        <v>2006</v>
      </c>
      <c r="C49" s="216">
        <v>93</v>
      </c>
      <c r="D49" s="216">
        <v>94</v>
      </c>
      <c r="E49" s="214">
        <v>90.600000000000009</v>
      </c>
      <c r="F49" s="216">
        <v>4.8</v>
      </c>
      <c r="G49" s="216">
        <v>4.5999999999999996</v>
      </c>
      <c r="H49" s="216">
        <v>5.4</v>
      </c>
      <c r="I49" s="215">
        <v>2.1</v>
      </c>
      <c r="J49" s="216">
        <v>1.4000000000000001</v>
      </c>
      <c r="K49" s="214">
        <v>4</v>
      </c>
    </row>
    <row r="50" spans="1:11">
      <c r="A50" s="226" t="s">
        <v>1757</v>
      </c>
      <c r="B50" s="213">
        <v>1991</v>
      </c>
      <c r="C50" s="216">
        <v>84.2</v>
      </c>
      <c r="D50" s="216">
        <v>85.2</v>
      </c>
      <c r="E50" s="214">
        <v>82.8</v>
      </c>
      <c r="F50" s="216">
        <v>8.9</v>
      </c>
      <c r="G50" s="216">
        <v>8.1</v>
      </c>
      <c r="H50" s="216">
        <v>10.299999999999999</v>
      </c>
      <c r="I50" s="215">
        <v>6.7</v>
      </c>
      <c r="J50" s="216">
        <v>6.6000000000000005</v>
      </c>
      <c r="K50" s="214">
        <v>6.9</v>
      </c>
    </row>
    <row r="51" spans="1:11">
      <c r="A51" s="226"/>
      <c r="B51" s="213">
        <v>1996</v>
      </c>
      <c r="C51" s="216">
        <v>86</v>
      </c>
      <c r="D51" s="216">
        <v>86.2</v>
      </c>
      <c r="E51" s="214">
        <v>85.9</v>
      </c>
      <c r="F51" s="216">
        <v>7.6</v>
      </c>
      <c r="G51" s="216">
        <v>7.7</v>
      </c>
      <c r="H51" s="216">
        <v>7.6</v>
      </c>
      <c r="I51" s="215">
        <v>6.3</v>
      </c>
      <c r="J51" s="216">
        <v>6.1</v>
      </c>
      <c r="K51" s="214">
        <v>6.5</v>
      </c>
    </row>
    <row r="52" spans="1:11">
      <c r="A52" s="226"/>
      <c r="B52" s="213">
        <v>2001</v>
      </c>
      <c r="C52" s="216">
        <v>87.3</v>
      </c>
      <c r="D52" s="216">
        <v>87</v>
      </c>
      <c r="E52" s="214">
        <v>87.7</v>
      </c>
      <c r="F52" s="216">
        <v>8</v>
      </c>
      <c r="G52" s="216">
        <v>8.6</v>
      </c>
      <c r="H52" s="216">
        <v>6.6000000000000005</v>
      </c>
      <c r="I52" s="215">
        <v>4.7</v>
      </c>
      <c r="J52" s="216">
        <v>4.3</v>
      </c>
      <c r="K52" s="214">
        <v>5.7</v>
      </c>
    </row>
    <row r="53" spans="1:11">
      <c r="A53" s="226"/>
      <c r="B53" s="213">
        <v>2006</v>
      </c>
      <c r="C53" s="216">
        <v>86.5</v>
      </c>
      <c r="D53" s="216">
        <v>87</v>
      </c>
      <c r="E53" s="214">
        <v>85.5</v>
      </c>
      <c r="F53" s="216">
        <v>7.5</v>
      </c>
      <c r="G53" s="216">
        <v>8.3000000000000007</v>
      </c>
      <c r="H53" s="216">
        <v>5.8000000000000007</v>
      </c>
      <c r="I53" s="215">
        <v>6</v>
      </c>
      <c r="J53" s="216">
        <v>4.7</v>
      </c>
      <c r="K53" s="214">
        <v>8.6999999999999993</v>
      </c>
    </row>
    <row r="54" spans="1:11">
      <c r="A54" s="226" t="s">
        <v>1758</v>
      </c>
      <c r="B54" s="213">
        <v>1991</v>
      </c>
      <c r="C54" s="216">
        <v>82.6</v>
      </c>
      <c r="D54" s="216">
        <v>81.8</v>
      </c>
      <c r="E54" s="214">
        <v>82.899999999999991</v>
      </c>
      <c r="F54" s="216">
        <v>7.3999999999999995</v>
      </c>
      <c r="G54" s="216">
        <v>8.6999999999999993</v>
      </c>
      <c r="H54" s="216">
        <v>6.8000000000000007</v>
      </c>
      <c r="I54" s="215">
        <v>10</v>
      </c>
      <c r="J54" s="216">
        <v>9.5</v>
      </c>
      <c r="K54" s="214">
        <v>10.299999999999999</v>
      </c>
    </row>
    <row r="55" spans="1:11">
      <c r="A55" s="226"/>
      <c r="B55" s="213">
        <v>1996</v>
      </c>
      <c r="C55" s="216">
        <v>84.2</v>
      </c>
      <c r="D55" s="216">
        <v>85.399999999999991</v>
      </c>
      <c r="E55" s="214">
        <v>83.5</v>
      </c>
      <c r="F55" s="216">
        <v>6.9</v>
      </c>
      <c r="G55" s="216">
        <v>8.6</v>
      </c>
      <c r="H55" s="216">
        <v>5.8000000000000007</v>
      </c>
      <c r="I55" s="215">
        <v>8.9</v>
      </c>
      <c r="J55" s="216">
        <v>6</v>
      </c>
      <c r="K55" s="214">
        <v>10.7</v>
      </c>
    </row>
    <row r="56" spans="1:11">
      <c r="A56" s="226"/>
      <c r="B56" s="213">
        <v>2001</v>
      </c>
      <c r="C56" s="216">
        <v>83</v>
      </c>
      <c r="D56" s="216">
        <v>82.899999999999991</v>
      </c>
      <c r="E56" s="214">
        <v>83</v>
      </c>
      <c r="F56" s="216">
        <v>7.3</v>
      </c>
      <c r="G56" s="216">
        <v>10.7</v>
      </c>
      <c r="H56" s="216">
        <v>4.8</v>
      </c>
      <c r="I56" s="215">
        <v>9.7000000000000011</v>
      </c>
      <c r="J56" s="216">
        <v>6.4</v>
      </c>
      <c r="K56" s="214">
        <v>12.2</v>
      </c>
    </row>
    <row r="57" spans="1:11">
      <c r="A57" s="226"/>
      <c r="B57" s="213">
        <v>2006</v>
      </c>
      <c r="C57" s="216">
        <v>81.699999999999989</v>
      </c>
      <c r="D57" s="216">
        <v>81.100000000000009</v>
      </c>
      <c r="E57" s="214">
        <v>82.1</v>
      </c>
      <c r="F57" s="216">
        <v>8.1</v>
      </c>
      <c r="G57" s="216">
        <v>11.700000000000001</v>
      </c>
      <c r="H57" s="216">
        <v>5.4</v>
      </c>
      <c r="I57" s="215">
        <v>10.299999999999999</v>
      </c>
      <c r="J57" s="216">
        <v>7.3</v>
      </c>
      <c r="K57" s="214">
        <v>12.4</v>
      </c>
    </row>
    <row r="58" spans="1:11">
      <c r="A58" s="226" t="s">
        <v>1759</v>
      </c>
      <c r="B58" s="213">
        <v>1991</v>
      </c>
      <c r="C58" s="216">
        <v>82.6</v>
      </c>
      <c r="D58" s="216">
        <v>81.8</v>
      </c>
      <c r="E58" s="214">
        <v>82.899999999999991</v>
      </c>
      <c r="F58" s="216">
        <v>7.3999999999999995</v>
      </c>
      <c r="G58" s="216">
        <v>8.6999999999999993</v>
      </c>
      <c r="H58" s="216">
        <v>6.8000000000000007</v>
      </c>
      <c r="I58" s="215">
        <v>10</v>
      </c>
      <c r="J58" s="216">
        <v>9.5</v>
      </c>
      <c r="K58" s="214">
        <v>10.299999999999999</v>
      </c>
    </row>
    <row r="59" spans="1:11">
      <c r="A59" s="226"/>
      <c r="B59" s="213">
        <v>1996</v>
      </c>
      <c r="C59" s="216">
        <v>84.2</v>
      </c>
      <c r="D59" s="216">
        <v>85.399999999999991</v>
      </c>
      <c r="E59" s="214">
        <v>83.5</v>
      </c>
      <c r="F59" s="216">
        <v>6.9</v>
      </c>
      <c r="G59" s="216">
        <v>8.6</v>
      </c>
      <c r="H59" s="216">
        <v>5.8000000000000007</v>
      </c>
      <c r="I59" s="215">
        <v>8.9</v>
      </c>
      <c r="J59" s="216">
        <v>6</v>
      </c>
      <c r="K59" s="214">
        <v>10.7</v>
      </c>
    </row>
    <row r="60" spans="1:11">
      <c r="A60" s="226"/>
      <c r="B60" s="213">
        <v>2001</v>
      </c>
      <c r="C60" s="216">
        <v>84.1</v>
      </c>
      <c r="D60" s="216">
        <v>82.6</v>
      </c>
      <c r="E60" s="214">
        <v>85.8</v>
      </c>
      <c r="F60" s="216">
        <v>9.8000000000000007</v>
      </c>
      <c r="G60" s="216">
        <v>11.899999999999999</v>
      </c>
      <c r="H60" s="216">
        <v>7.3999999999999995</v>
      </c>
      <c r="I60" s="215">
        <v>6.1</v>
      </c>
      <c r="J60" s="216">
        <v>5.5</v>
      </c>
      <c r="K60" s="214">
        <v>6.9</v>
      </c>
    </row>
    <row r="61" spans="1:11">
      <c r="A61" s="226"/>
      <c r="B61" s="213">
        <v>2006</v>
      </c>
      <c r="C61" s="216">
        <v>82.699999999999989</v>
      </c>
      <c r="D61" s="216">
        <v>81</v>
      </c>
      <c r="E61" s="214">
        <v>84.5</v>
      </c>
      <c r="F61" s="216">
        <v>9.8000000000000007</v>
      </c>
      <c r="G61" s="216">
        <v>12</v>
      </c>
      <c r="H61" s="216">
        <v>7.1999999999999993</v>
      </c>
      <c r="I61" s="215">
        <v>7.6</v>
      </c>
      <c r="J61" s="216">
        <v>7.0000000000000009</v>
      </c>
      <c r="K61" s="214">
        <v>8.3000000000000007</v>
      </c>
    </row>
    <row r="62" spans="1:11">
      <c r="A62" s="226" t="s">
        <v>1760</v>
      </c>
      <c r="B62" s="213">
        <v>1991</v>
      </c>
      <c r="C62" s="216" t="s">
        <v>1761</v>
      </c>
      <c r="D62" s="216" t="s">
        <v>1761</v>
      </c>
      <c r="E62" s="214" t="s">
        <v>1761</v>
      </c>
      <c r="F62" s="216" t="s">
        <v>1761</v>
      </c>
      <c r="G62" s="216" t="s">
        <v>1761</v>
      </c>
      <c r="H62" s="216" t="s">
        <v>1761</v>
      </c>
      <c r="I62" s="215" t="s">
        <v>1761</v>
      </c>
      <c r="J62" s="216" t="s">
        <v>1761</v>
      </c>
      <c r="K62" s="214" t="s">
        <v>1761</v>
      </c>
    </row>
    <row r="63" spans="1:11">
      <c r="A63" s="226"/>
      <c r="B63" s="213">
        <v>1996</v>
      </c>
      <c r="C63" s="216" t="s">
        <v>1761</v>
      </c>
      <c r="D63" s="216" t="s">
        <v>1761</v>
      </c>
      <c r="E63" s="214" t="s">
        <v>1761</v>
      </c>
      <c r="F63" s="216" t="s">
        <v>1761</v>
      </c>
      <c r="G63" s="216" t="s">
        <v>1761</v>
      </c>
      <c r="H63" s="216" t="s">
        <v>1761</v>
      </c>
      <c r="I63" s="215" t="s">
        <v>1761</v>
      </c>
      <c r="J63" s="216" t="s">
        <v>1761</v>
      </c>
      <c r="K63" s="214" t="s">
        <v>1761</v>
      </c>
    </row>
    <row r="64" spans="1:11">
      <c r="A64" s="226"/>
      <c r="B64" s="213">
        <v>2001</v>
      </c>
      <c r="C64" s="216">
        <v>81</v>
      </c>
      <c r="D64" s="216">
        <v>84.2</v>
      </c>
      <c r="E64" s="214">
        <v>80.100000000000009</v>
      </c>
      <c r="F64" s="216">
        <v>3.1</v>
      </c>
      <c r="G64" s="216">
        <v>6.1</v>
      </c>
      <c r="H64" s="216">
        <v>2.1999999999999997</v>
      </c>
      <c r="I64" s="215">
        <v>15.8</v>
      </c>
      <c r="J64" s="216">
        <v>9.9</v>
      </c>
      <c r="K64" s="214">
        <v>17.7</v>
      </c>
    </row>
    <row r="65" spans="1:12">
      <c r="A65" s="227"/>
      <c r="B65" s="217">
        <v>2006</v>
      </c>
      <c r="C65" s="218">
        <v>79.900000000000006</v>
      </c>
      <c r="D65" s="218">
        <v>81.100000000000009</v>
      </c>
      <c r="E65" s="219">
        <v>79.600000000000009</v>
      </c>
      <c r="F65" s="218">
        <v>5.0999999999999996</v>
      </c>
      <c r="G65" s="218">
        <v>10.299999999999999</v>
      </c>
      <c r="H65" s="218">
        <v>3.5000000000000004</v>
      </c>
      <c r="I65" s="220">
        <v>15</v>
      </c>
      <c r="J65" s="218">
        <v>8.9</v>
      </c>
      <c r="K65" s="219">
        <v>16.8</v>
      </c>
    </row>
    <row r="67" spans="1:12" ht="27.75" customHeight="1">
      <c r="A67" s="1220" t="s">
        <v>1762</v>
      </c>
      <c r="B67" s="1220"/>
      <c r="C67" s="1220"/>
      <c r="D67" s="1220"/>
      <c r="E67" s="1220"/>
      <c r="F67" s="1220"/>
      <c r="G67" s="1220"/>
      <c r="H67" s="1220"/>
      <c r="I67" s="1220"/>
      <c r="J67" s="1220"/>
      <c r="K67" s="1220"/>
    </row>
    <row r="68" spans="1:12" ht="128.25" customHeight="1">
      <c r="A68" s="1220" t="s">
        <v>78</v>
      </c>
      <c r="B68" s="1221"/>
      <c r="C68" s="1221"/>
      <c r="D68" s="1221"/>
      <c r="E68" s="1221"/>
      <c r="F68" s="1221"/>
      <c r="G68" s="1221"/>
      <c r="H68" s="1221"/>
      <c r="I68" s="1221"/>
      <c r="J68" s="1221"/>
      <c r="K68" s="1221"/>
      <c r="L68" s="1221"/>
    </row>
  </sheetData>
  <mergeCells count="6">
    <mergeCell ref="A67:K67"/>
    <mergeCell ref="A68:L68"/>
    <mergeCell ref="F3:K3"/>
    <mergeCell ref="F4:H4"/>
    <mergeCell ref="I4:K4"/>
    <mergeCell ref="C3:E4"/>
  </mergeCells>
  <phoneticPr fontId="35" type="noConversion"/>
  <pageMargins left="0.75" right="0.75" top="1" bottom="1" header="0.5" footer="0.5"/>
  <pageSetup scale="61" orientation="portrait" horizontalDpi="4294967292" verticalDpi="1200" r:id="rId1"/>
  <headerFooter alignWithMargins="0"/>
</worksheet>
</file>

<file path=xl/worksheets/sheet119.xml><?xml version="1.0" encoding="utf-8"?>
<worksheet xmlns="http://schemas.openxmlformats.org/spreadsheetml/2006/main" xmlns:r="http://schemas.openxmlformats.org/officeDocument/2006/relationships">
  <sheetPr codeName="Sheet88">
    <pageSetUpPr fitToPage="1"/>
  </sheetPr>
  <dimension ref="A1:L68"/>
  <sheetViews>
    <sheetView view="pageBreakPreview" zoomScaleSheetLayoutView="100" workbookViewId="0">
      <pane xSplit="2" ySplit="5" topLeftCell="C6"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20.140625" style="55" customWidth="1"/>
    <col min="2" max="16384" width="8" style="55"/>
  </cols>
  <sheetData>
    <row r="1" spans="1:11" ht="15.75">
      <c r="A1" s="745" t="s">
        <v>686</v>
      </c>
      <c r="B1" s="49"/>
      <c r="C1" s="49"/>
      <c r="D1" s="49"/>
    </row>
    <row r="2" spans="1:11" ht="15.75">
      <c r="A2" s="745" t="s">
        <v>2200</v>
      </c>
    </row>
    <row r="3" spans="1:11" ht="28.9" customHeight="1">
      <c r="A3" s="743"/>
      <c r="B3" s="204"/>
      <c r="C3" s="1196" t="s">
        <v>750</v>
      </c>
      <c r="D3" s="1197"/>
      <c r="E3" s="1198"/>
      <c r="F3" s="1196" t="s">
        <v>751</v>
      </c>
      <c r="G3" s="1197"/>
      <c r="H3" s="1197"/>
      <c r="I3" s="1197"/>
      <c r="J3" s="1197"/>
      <c r="K3" s="1198"/>
    </row>
    <row r="4" spans="1:11" ht="36.75" customHeight="1">
      <c r="A4" s="226"/>
      <c r="B4" s="50"/>
      <c r="C4" s="1222"/>
      <c r="D4" s="1223"/>
      <c r="E4" s="1224"/>
      <c r="F4" s="1222" t="s">
        <v>180</v>
      </c>
      <c r="G4" s="1223"/>
      <c r="H4" s="1224"/>
      <c r="I4" s="1222" t="s">
        <v>637</v>
      </c>
      <c r="J4" s="1223"/>
      <c r="K4" s="1224"/>
    </row>
    <row r="5" spans="1:11" ht="22.9" customHeight="1">
      <c r="A5" s="227"/>
      <c r="B5" s="54"/>
      <c r="C5" s="208" t="s">
        <v>182</v>
      </c>
      <c r="D5" s="193" t="s">
        <v>183</v>
      </c>
      <c r="E5" s="209" t="s">
        <v>184</v>
      </c>
      <c r="F5" s="208" t="s">
        <v>182</v>
      </c>
      <c r="G5" s="193" t="s">
        <v>183</v>
      </c>
      <c r="H5" s="209" t="s">
        <v>184</v>
      </c>
      <c r="I5" s="208" t="s">
        <v>182</v>
      </c>
      <c r="J5" s="193" t="s">
        <v>183</v>
      </c>
      <c r="K5" s="209" t="s">
        <v>184</v>
      </c>
    </row>
    <row r="6" spans="1:11">
      <c r="A6" s="226" t="s">
        <v>375</v>
      </c>
      <c r="B6" s="210">
        <v>1991</v>
      </c>
      <c r="C6" s="216">
        <v>80</v>
      </c>
      <c r="D6" s="216">
        <v>86.2</v>
      </c>
      <c r="E6" s="211">
        <v>69.199999999999989</v>
      </c>
      <c r="F6" s="216">
        <v>8.2000000000000011</v>
      </c>
      <c r="G6" s="216">
        <v>9.1</v>
      </c>
      <c r="H6" s="216">
        <v>6.6000000000000005</v>
      </c>
      <c r="I6" s="212">
        <v>11.799999999999999</v>
      </c>
      <c r="J6" s="216">
        <v>4.7</v>
      </c>
      <c r="K6" s="214">
        <v>24.099999999999998</v>
      </c>
    </row>
    <row r="7" spans="1:11">
      <c r="A7" s="226"/>
      <c r="B7" s="213">
        <v>1996</v>
      </c>
      <c r="C7" s="216">
        <v>77.8</v>
      </c>
      <c r="D7" s="216">
        <v>85.8</v>
      </c>
      <c r="E7" s="214">
        <v>63.1</v>
      </c>
      <c r="F7" s="216">
        <v>8.2000000000000011</v>
      </c>
      <c r="G7" s="216">
        <v>8.5</v>
      </c>
      <c r="H7" s="216">
        <v>7.8</v>
      </c>
      <c r="I7" s="215">
        <v>13.900000000000002</v>
      </c>
      <c r="J7" s="216">
        <v>5.7</v>
      </c>
      <c r="K7" s="214">
        <v>29.099999999999998</v>
      </c>
    </row>
    <row r="8" spans="1:11">
      <c r="A8" s="226"/>
      <c r="B8" s="213">
        <v>2001</v>
      </c>
      <c r="C8" s="216">
        <v>79.800000000000011</v>
      </c>
      <c r="D8" s="216">
        <v>86.6</v>
      </c>
      <c r="E8" s="214">
        <v>66.2</v>
      </c>
      <c r="F8" s="216">
        <v>7.9</v>
      </c>
      <c r="G8" s="216">
        <v>7.8</v>
      </c>
      <c r="H8" s="216">
        <v>8.1</v>
      </c>
      <c r="I8" s="215">
        <v>12.3</v>
      </c>
      <c r="J8" s="216">
        <v>5.6000000000000005</v>
      </c>
      <c r="K8" s="214">
        <v>25.7</v>
      </c>
    </row>
    <row r="9" spans="1:11">
      <c r="A9" s="226"/>
      <c r="B9" s="213">
        <v>2006</v>
      </c>
      <c r="C9" s="216">
        <v>78.600000000000009</v>
      </c>
      <c r="D9" s="216">
        <v>84.8</v>
      </c>
      <c r="E9" s="214">
        <v>64.600000000000009</v>
      </c>
      <c r="F9" s="216">
        <v>10</v>
      </c>
      <c r="G9" s="216">
        <v>9.6</v>
      </c>
      <c r="H9" s="216">
        <v>10.9</v>
      </c>
      <c r="I9" s="215">
        <v>11.4</v>
      </c>
      <c r="J9" s="216">
        <v>5.5</v>
      </c>
      <c r="K9" s="214">
        <v>24.6</v>
      </c>
    </row>
    <row r="10" spans="1:11">
      <c r="A10" s="226" t="s">
        <v>377</v>
      </c>
      <c r="B10" s="213">
        <v>1991</v>
      </c>
      <c r="C10" s="216">
        <v>87.1</v>
      </c>
      <c r="D10" s="216">
        <v>91.600000000000009</v>
      </c>
      <c r="E10" s="214">
        <v>69.899999999999991</v>
      </c>
      <c r="F10" s="216">
        <v>3.2</v>
      </c>
      <c r="G10" s="216">
        <v>3.1</v>
      </c>
      <c r="H10" s="216">
        <v>3.4000000000000004</v>
      </c>
      <c r="I10" s="215">
        <v>9.7000000000000011</v>
      </c>
      <c r="J10" s="216">
        <v>5.3</v>
      </c>
      <c r="K10" s="214">
        <v>26.700000000000003</v>
      </c>
    </row>
    <row r="11" spans="1:11">
      <c r="A11" s="226"/>
      <c r="B11" s="213">
        <v>1996</v>
      </c>
      <c r="C11" s="216">
        <v>84.6</v>
      </c>
      <c r="D11" s="216">
        <v>90.4</v>
      </c>
      <c r="E11" s="214">
        <v>63.4</v>
      </c>
      <c r="F11" s="216">
        <v>3.6999999999999997</v>
      </c>
      <c r="G11" s="216">
        <v>3.5000000000000004</v>
      </c>
      <c r="H11" s="216">
        <v>4.5999999999999996</v>
      </c>
      <c r="I11" s="215">
        <v>11.700000000000001</v>
      </c>
      <c r="J11" s="216">
        <v>6.1</v>
      </c>
      <c r="K11" s="214">
        <v>32</v>
      </c>
    </row>
    <row r="12" spans="1:11">
      <c r="A12" s="226"/>
      <c r="B12" s="213">
        <v>2001</v>
      </c>
      <c r="C12" s="216">
        <v>84</v>
      </c>
      <c r="D12" s="216">
        <v>89.8</v>
      </c>
      <c r="E12" s="214">
        <v>61.7</v>
      </c>
      <c r="F12" s="216">
        <v>4.3</v>
      </c>
      <c r="G12" s="216">
        <v>3.9</v>
      </c>
      <c r="H12" s="216">
        <v>5.8000000000000007</v>
      </c>
      <c r="I12" s="215">
        <v>11.700000000000001</v>
      </c>
      <c r="J12" s="216">
        <v>6.2</v>
      </c>
      <c r="K12" s="214">
        <v>32.5</v>
      </c>
    </row>
    <row r="13" spans="1:11">
      <c r="A13" s="226"/>
      <c r="B13" s="213">
        <v>2006</v>
      </c>
      <c r="C13" s="216">
        <v>83.6</v>
      </c>
      <c r="D13" s="216">
        <v>89.3</v>
      </c>
      <c r="E13" s="214">
        <v>61.199999999999996</v>
      </c>
      <c r="F13" s="216">
        <v>5.0999999999999996</v>
      </c>
      <c r="G13" s="216">
        <v>4.5999999999999996</v>
      </c>
      <c r="H13" s="216">
        <v>7.1999999999999993</v>
      </c>
      <c r="I13" s="215">
        <v>11.3</v>
      </c>
      <c r="J13" s="216">
        <v>6.1</v>
      </c>
      <c r="K13" s="214">
        <v>31.6</v>
      </c>
    </row>
    <row r="14" spans="1:11">
      <c r="A14" s="226" t="s">
        <v>386</v>
      </c>
      <c r="B14" s="213">
        <v>1991</v>
      </c>
      <c r="C14" s="216">
        <v>84.3</v>
      </c>
      <c r="D14" s="216">
        <v>90.600000000000009</v>
      </c>
      <c r="E14" s="214">
        <v>66.600000000000009</v>
      </c>
      <c r="F14" s="216">
        <v>4.3999999999999995</v>
      </c>
      <c r="G14" s="216">
        <v>4.1000000000000005</v>
      </c>
      <c r="H14" s="216">
        <v>5.5</v>
      </c>
      <c r="I14" s="215">
        <v>11.200000000000001</v>
      </c>
      <c r="J14" s="216">
        <v>5.3</v>
      </c>
      <c r="K14" s="214">
        <v>27.800000000000004</v>
      </c>
    </row>
    <row r="15" spans="1:11">
      <c r="A15" s="226"/>
      <c r="B15" s="213">
        <v>1996</v>
      </c>
      <c r="C15" s="216">
        <v>82.3</v>
      </c>
      <c r="D15" s="216">
        <v>89.9</v>
      </c>
      <c r="E15" s="214">
        <v>62.3</v>
      </c>
      <c r="F15" s="216">
        <v>6.4</v>
      </c>
      <c r="G15" s="216">
        <v>4.9000000000000004</v>
      </c>
      <c r="H15" s="216">
        <v>10.4</v>
      </c>
      <c r="I15" s="215">
        <v>11.4</v>
      </c>
      <c r="J15" s="216">
        <v>5.2</v>
      </c>
      <c r="K15" s="214">
        <v>27.3</v>
      </c>
    </row>
    <row r="16" spans="1:11">
      <c r="A16" s="226"/>
      <c r="B16" s="213">
        <v>2001</v>
      </c>
      <c r="C16" s="216">
        <v>82.8</v>
      </c>
      <c r="D16" s="216">
        <v>89.8</v>
      </c>
      <c r="E16" s="214">
        <v>63.4</v>
      </c>
      <c r="F16" s="216">
        <v>5.7</v>
      </c>
      <c r="G16" s="216">
        <v>4.9000000000000004</v>
      </c>
      <c r="H16" s="216">
        <v>8.1</v>
      </c>
      <c r="I16" s="215">
        <v>11.4</v>
      </c>
      <c r="J16" s="216">
        <v>5.3</v>
      </c>
      <c r="K16" s="214">
        <v>28.4</v>
      </c>
    </row>
    <row r="17" spans="1:11">
      <c r="A17" s="226"/>
      <c r="B17" s="213">
        <v>2006</v>
      </c>
      <c r="C17" s="216">
        <v>81.2</v>
      </c>
      <c r="D17" s="216">
        <v>88.1</v>
      </c>
      <c r="E17" s="214">
        <v>61.4</v>
      </c>
      <c r="F17" s="216">
        <v>7.6</v>
      </c>
      <c r="G17" s="216">
        <v>6.1</v>
      </c>
      <c r="H17" s="216">
        <v>12.1</v>
      </c>
      <c r="I17" s="215">
        <v>11.1</v>
      </c>
      <c r="J17" s="216">
        <v>5.8000000000000007</v>
      </c>
      <c r="K17" s="214">
        <v>26.5</v>
      </c>
    </row>
    <row r="18" spans="1:11">
      <c r="A18" s="226" t="s">
        <v>378</v>
      </c>
      <c r="B18" s="213">
        <v>1991</v>
      </c>
      <c r="C18" s="216">
        <v>82.6</v>
      </c>
      <c r="D18" s="216">
        <v>88.7</v>
      </c>
      <c r="E18" s="214">
        <v>67.300000000000011</v>
      </c>
      <c r="F18" s="216">
        <v>5.8999999999999995</v>
      </c>
      <c r="G18" s="216">
        <v>5.8000000000000007</v>
      </c>
      <c r="H18" s="216">
        <v>6</v>
      </c>
      <c r="I18" s="215">
        <v>11.5</v>
      </c>
      <c r="J18" s="216">
        <v>5.5</v>
      </c>
      <c r="K18" s="214">
        <v>26.700000000000003</v>
      </c>
    </row>
    <row r="19" spans="1:11">
      <c r="A19" s="226"/>
      <c r="B19" s="213">
        <v>1996</v>
      </c>
      <c r="C19" s="216">
        <v>80.800000000000011</v>
      </c>
      <c r="D19" s="216">
        <v>89.1</v>
      </c>
      <c r="E19" s="214">
        <v>59.199999999999996</v>
      </c>
      <c r="F19" s="216">
        <v>6.2</v>
      </c>
      <c r="G19" s="216">
        <v>5.0999999999999996</v>
      </c>
      <c r="H19" s="216">
        <v>9</v>
      </c>
      <c r="I19" s="215">
        <v>13</v>
      </c>
      <c r="J19" s="216">
        <v>5.8000000000000007</v>
      </c>
      <c r="K19" s="214">
        <v>31.8</v>
      </c>
    </row>
    <row r="20" spans="1:11">
      <c r="A20" s="226"/>
      <c r="B20" s="213">
        <v>2001</v>
      </c>
      <c r="C20" s="216">
        <v>81.2</v>
      </c>
      <c r="D20" s="216">
        <v>89</v>
      </c>
      <c r="E20" s="214">
        <v>60.6</v>
      </c>
      <c r="F20" s="216">
        <v>5.5</v>
      </c>
      <c r="G20" s="216">
        <v>4.7</v>
      </c>
      <c r="H20" s="216">
        <v>7.7</v>
      </c>
      <c r="I20" s="215">
        <v>13.3</v>
      </c>
      <c r="J20" s="216">
        <v>6.3</v>
      </c>
      <c r="K20" s="214">
        <v>31.8</v>
      </c>
    </row>
    <row r="21" spans="1:11">
      <c r="A21" s="226"/>
      <c r="B21" s="213">
        <v>2006</v>
      </c>
      <c r="C21" s="216">
        <v>80.400000000000006</v>
      </c>
      <c r="D21" s="216">
        <v>88.2</v>
      </c>
      <c r="E21" s="214">
        <v>59.4</v>
      </c>
      <c r="F21" s="216">
        <v>8.6999999999999993</v>
      </c>
      <c r="G21" s="216">
        <v>7.0000000000000009</v>
      </c>
      <c r="H21" s="216">
        <v>13.100000000000001</v>
      </c>
      <c r="I21" s="215">
        <v>10.9</v>
      </c>
      <c r="J21" s="216">
        <v>4.8</v>
      </c>
      <c r="K21" s="214">
        <v>27.500000000000004</v>
      </c>
    </row>
    <row r="22" spans="1:11">
      <c r="A22" s="226" t="s">
        <v>379</v>
      </c>
      <c r="B22" s="213">
        <v>1991</v>
      </c>
      <c r="C22" s="216">
        <v>84.6</v>
      </c>
      <c r="D22" s="216">
        <v>90.5</v>
      </c>
      <c r="E22" s="214">
        <v>66.900000000000006</v>
      </c>
      <c r="F22" s="216">
        <v>3.5999999999999996</v>
      </c>
      <c r="G22" s="216">
        <v>3.5000000000000004</v>
      </c>
      <c r="H22" s="216">
        <v>4.1000000000000005</v>
      </c>
      <c r="I22" s="215">
        <v>11.799999999999999</v>
      </c>
      <c r="J22" s="216">
        <v>6</v>
      </c>
      <c r="K22" s="214">
        <v>28.999999999999996</v>
      </c>
    </row>
    <row r="23" spans="1:11">
      <c r="A23" s="226"/>
      <c r="B23" s="213">
        <v>1996</v>
      </c>
      <c r="C23" s="216">
        <v>83.8</v>
      </c>
      <c r="D23" s="216">
        <v>90.2</v>
      </c>
      <c r="E23" s="214">
        <v>64.5</v>
      </c>
      <c r="F23" s="216">
        <v>4.8</v>
      </c>
      <c r="G23" s="216">
        <v>4.7</v>
      </c>
      <c r="H23" s="216">
        <v>5.0999999999999996</v>
      </c>
      <c r="I23" s="215">
        <v>11.4</v>
      </c>
      <c r="J23" s="216">
        <v>5.0999999999999996</v>
      </c>
      <c r="K23" s="214">
        <v>30.4</v>
      </c>
    </row>
    <row r="24" spans="1:11">
      <c r="A24" s="226"/>
      <c r="B24" s="213">
        <v>2001</v>
      </c>
      <c r="C24" s="216">
        <v>84.1</v>
      </c>
      <c r="D24" s="216">
        <v>89.8</v>
      </c>
      <c r="E24" s="214">
        <v>66.3</v>
      </c>
      <c r="F24" s="216">
        <v>6.1</v>
      </c>
      <c r="G24" s="216">
        <v>5.3</v>
      </c>
      <c r="H24" s="216">
        <v>8.6999999999999993</v>
      </c>
      <c r="I24" s="215">
        <v>9.8000000000000007</v>
      </c>
      <c r="J24" s="216">
        <v>4.9000000000000004</v>
      </c>
      <c r="K24" s="214">
        <v>25</v>
      </c>
    </row>
    <row r="25" spans="1:11">
      <c r="A25" s="226"/>
      <c r="B25" s="213">
        <v>2006</v>
      </c>
      <c r="C25" s="216">
        <v>83.8</v>
      </c>
      <c r="D25" s="216">
        <v>89.5</v>
      </c>
      <c r="E25" s="214">
        <v>65.3</v>
      </c>
      <c r="F25" s="216">
        <v>7.3</v>
      </c>
      <c r="G25" s="216">
        <v>6.1</v>
      </c>
      <c r="H25" s="216">
        <v>11</v>
      </c>
      <c r="I25" s="215">
        <v>9</v>
      </c>
      <c r="J25" s="216">
        <v>4.3999999999999995</v>
      </c>
      <c r="K25" s="214">
        <v>23.7</v>
      </c>
    </row>
    <row r="26" spans="1:11">
      <c r="A26" s="226" t="s">
        <v>380</v>
      </c>
      <c r="B26" s="213">
        <v>1991</v>
      </c>
      <c r="C26" s="216">
        <v>78.900000000000006</v>
      </c>
      <c r="D26" s="216">
        <v>86.4</v>
      </c>
      <c r="E26" s="214">
        <v>69.099999999999994</v>
      </c>
      <c r="F26" s="216">
        <v>7.8</v>
      </c>
      <c r="G26" s="216">
        <v>9.1999999999999993</v>
      </c>
      <c r="H26" s="216">
        <v>6</v>
      </c>
      <c r="I26" s="215">
        <v>13.4</v>
      </c>
      <c r="J26" s="216">
        <v>4.3999999999999995</v>
      </c>
      <c r="K26" s="214">
        <v>24.9</v>
      </c>
    </row>
    <row r="27" spans="1:11">
      <c r="A27" s="226"/>
      <c r="B27" s="213">
        <v>1996</v>
      </c>
      <c r="C27" s="216">
        <v>77.2</v>
      </c>
      <c r="D27" s="216">
        <v>86.5</v>
      </c>
      <c r="E27" s="214">
        <v>64.2</v>
      </c>
      <c r="F27" s="216">
        <v>7.7</v>
      </c>
      <c r="G27" s="216">
        <v>8.3000000000000007</v>
      </c>
      <c r="H27" s="216">
        <v>6.8000000000000007</v>
      </c>
      <c r="I27" s="215">
        <v>15.2</v>
      </c>
      <c r="J27" s="216">
        <v>5.2</v>
      </c>
      <c r="K27" s="214">
        <v>28.999999999999996</v>
      </c>
    </row>
    <row r="28" spans="1:11">
      <c r="A28" s="226"/>
      <c r="B28" s="213">
        <v>2001</v>
      </c>
      <c r="C28" s="216">
        <v>80.900000000000006</v>
      </c>
      <c r="D28" s="216">
        <v>88.6</v>
      </c>
      <c r="E28" s="214">
        <v>69.699999999999989</v>
      </c>
      <c r="F28" s="216">
        <v>7.3999999999999995</v>
      </c>
      <c r="G28" s="216">
        <v>7.3999999999999995</v>
      </c>
      <c r="H28" s="216">
        <v>7.5</v>
      </c>
      <c r="I28" s="215">
        <v>11.700000000000001</v>
      </c>
      <c r="J28" s="216">
        <v>4</v>
      </c>
      <c r="K28" s="214">
        <v>22.7</v>
      </c>
    </row>
    <row r="29" spans="1:11">
      <c r="A29" s="226"/>
      <c r="B29" s="213">
        <v>2006</v>
      </c>
      <c r="C29" s="216">
        <v>80.600000000000009</v>
      </c>
      <c r="D29" s="216">
        <v>88.3</v>
      </c>
      <c r="E29" s="214">
        <v>68.5</v>
      </c>
      <c r="F29" s="216">
        <v>9.6</v>
      </c>
      <c r="G29" s="216">
        <v>8.6</v>
      </c>
      <c r="H29" s="216">
        <v>11.1</v>
      </c>
      <c r="I29" s="215">
        <v>9.9</v>
      </c>
      <c r="J29" s="216">
        <v>3.1</v>
      </c>
      <c r="K29" s="214">
        <v>20.399999999999999</v>
      </c>
    </row>
    <row r="30" spans="1:11">
      <c r="A30" s="226" t="s">
        <v>381</v>
      </c>
      <c r="B30" s="213">
        <v>1991</v>
      </c>
      <c r="C30" s="216">
        <v>79.2</v>
      </c>
      <c r="D30" s="216">
        <v>83.8</v>
      </c>
      <c r="E30" s="214">
        <v>70.899999999999991</v>
      </c>
      <c r="F30" s="216">
        <v>10.4</v>
      </c>
      <c r="G30" s="216">
        <v>11.799999999999999</v>
      </c>
      <c r="H30" s="216">
        <v>7.9</v>
      </c>
      <c r="I30" s="215">
        <v>10.4</v>
      </c>
      <c r="J30" s="216">
        <v>4.3999999999999995</v>
      </c>
      <c r="K30" s="214">
        <v>21.3</v>
      </c>
    </row>
    <row r="31" spans="1:11">
      <c r="A31" s="226"/>
      <c r="B31" s="213">
        <v>1996</v>
      </c>
      <c r="C31" s="216">
        <v>76.2</v>
      </c>
      <c r="D31" s="216">
        <v>83.8</v>
      </c>
      <c r="E31" s="214">
        <v>61.7</v>
      </c>
      <c r="F31" s="216">
        <v>9.4</v>
      </c>
      <c r="G31" s="216">
        <v>9.9</v>
      </c>
      <c r="H31" s="216">
        <v>8.5</v>
      </c>
      <c r="I31" s="215">
        <v>14.399999999999999</v>
      </c>
      <c r="J31" s="216">
        <v>6.3</v>
      </c>
      <c r="K31" s="214">
        <v>29.799999999999997</v>
      </c>
    </row>
    <row r="32" spans="1:11">
      <c r="A32" s="226"/>
      <c r="B32" s="213">
        <v>2001</v>
      </c>
      <c r="C32" s="216">
        <v>78.600000000000009</v>
      </c>
      <c r="D32" s="216">
        <v>85.3</v>
      </c>
      <c r="E32" s="214">
        <v>63.7</v>
      </c>
      <c r="F32" s="216">
        <v>8.1</v>
      </c>
      <c r="G32" s="216">
        <v>8.2000000000000011</v>
      </c>
      <c r="H32" s="216">
        <v>7.8</v>
      </c>
      <c r="I32" s="215">
        <v>13.4</v>
      </c>
      <c r="J32" s="216">
        <v>6.6000000000000005</v>
      </c>
      <c r="K32" s="214">
        <v>28.499999999999996</v>
      </c>
    </row>
    <row r="33" spans="1:11">
      <c r="A33" s="226"/>
      <c r="B33" s="213">
        <v>2006</v>
      </c>
      <c r="C33" s="216">
        <v>76.099999999999994</v>
      </c>
      <c r="D33" s="216">
        <v>82.1</v>
      </c>
      <c r="E33" s="214">
        <v>60.699999999999996</v>
      </c>
      <c r="F33" s="216">
        <v>10.8</v>
      </c>
      <c r="G33" s="216">
        <v>11</v>
      </c>
      <c r="H33" s="216">
        <v>10.100000000000001</v>
      </c>
      <c r="I33" s="215">
        <v>13.100000000000001</v>
      </c>
      <c r="J33" s="216">
        <v>6.9</v>
      </c>
      <c r="K33" s="214">
        <v>29.2</v>
      </c>
    </row>
    <row r="34" spans="1:11">
      <c r="A34" s="226" t="s">
        <v>382</v>
      </c>
      <c r="B34" s="213">
        <v>1991</v>
      </c>
      <c r="C34" s="216">
        <v>82.3</v>
      </c>
      <c r="D34" s="216">
        <v>89.4</v>
      </c>
      <c r="E34" s="214">
        <v>68.2</v>
      </c>
      <c r="F34" s="216">
        <v>5.8999999999999995</v>
      </c>
      <c r="G34" s="216">
        <v>6.2</v>
      </c>
      <c r="H34" s="216">
        <v>5.3</v>
      </c>
      <c r="I34" s="215">
        <v>11.700000000000001</v>
      </c>
      <c r="J34" s="216">
        <v>4.3</v>
      </c>
      <c r="K34" s="214">
        <v>26.5</v>
      </c>
    </row>
    <row r="35" spans="1:11">
      <c r="A35" s="226"/>
      <c r="B35" s="213">
        <v>1996</v>
      </c>
      <c r="C35" s="216">
        <v>82.8</v>
      </c>
      <c r="D35" s="216">
        <v>90.9</v>
      </c>
      <c r="E35" s="214">
        <v>65.5</v>
      </c>
      <c r="F35" s="216">
        <v>5</v>
      </c>
      <c r="G35" s="216">
        <v>4.7</v>
      </c>
      <c r="H35" s="216">
        <v>5.6000000000000005</v>
      </c>
      <c r="I35" s="215">
        <v>12.2</v>
      </c>
      <c r="J35" s="216">
        <v>4.3999999999999995</v>
      </c>
      <c r="K35" s="214">
        <v>28.9</v>
      </c>
    </row>
    <row r="36" spans="1:11">
      <c r="A36" s="226"/>
      <c r="B36" s="213">
        <v>2001</v>
      </c>
      <c r="C36" s="216">
        <v>83.899999999999991</v>
      </c>
      <c r="D36" s="216">
        <v>90.8</v>
      </c>
      <c r="E36" s="214">
        <v>68</v>
      </c>
      <c r="F36" s="216">
        <v>6.5</v>
      </c>
      <c r="G36" s="216">
        <v>4.9000000000000004</v>
      </c>
      <c r="H36" s="216">
        <v>10.199999999999999</v>
      </c>
      <c r="I36" s="215">
        <v>9.6</v>
      </c>
      <c r="J36" s="216">
        <v>4.2</v>
      </c>
      <c r="K36" s="214">
        <v>21.8</v>
      </c>
    </row>
    <row r="37" spans="1:11">
      <c r="A37" s="226"/>
      <c r="B37" s="213">
        <v>2006</v>
      </c>
      <c r="C37" s="216">
        <v>84</v>
      </c>
      <c r="D37" s="216">
        <v>90.4</v>
      </c>
      <c r="E37" s="214">
        <v>68.400000000000006</v>
      </c>
      <c r="F37" s="216">
        <v>7.1</v>
      </c>
      <c r="G37" s="216">
        <v>5.0999999999999996</v>
      </c>
      <c r="H37" s="216">
        <v>11.899999999999999</v>
      </c>
      <c r="I37" s="215">
        <v>8.9</v>
      </c>
      <c r="J37" s="216">
        <v>4.5</v>
      </c>
      <c r="K37" s="214">
        <v>19.7</v>
      </c>
    </row>
    <row r="38" spans="1:11">
      <c r="A38" s="226" t="s">
        <v>383</v>
      </c>
      <c r="B38" s="213">
        <v>1991</v>
      </c>
      <c r="C38" s="216">
        <v>84.1</v>
      </c>
      <c r="D38" s="216">
        <v>89.8</v>
      </c>
      <c r="E38" s="214">
        <v>71.599999999999994</v>
      </c>
      <c r="F38" s="216">
        <v>4</v>
      </c>
      <c r="G38" s="216">
        <v>4.2</v>
      </c>
      <c r="H38" s="216">
        <v>3.6999999999999997</v>
      </c>
      <c r="I38" s="215">
        <v>11.899999999999999</v>
      </c>
      <c r="J38" s="216">
        <v>6</v>
      </c>
      <c r="K38" s="214">
        <v>24.8</v>
      </c>
    </row>
    <row r="39" spans="1:11">
      <c r="A39" s="226"/>
      <c r="B39" s="213">
        <v>1996</v>
      </c>
      <c r="C39" s="216">
        <v>85</v>
      </c>
      <c r="D39" s="216">
        <v>91.9</v>
      </c>
      <c r="E39" s="214">
        <v>69.5</v>
      </c>
      <c r="F39" s="216">
        <v>4.5</v>
      </c>
      <c r="G39" s="216">
        <v>3.9</v>
      </c>
      <c r="H39" s="216">
        <v>5.7</v>
      </c>
      <c r="I39" s="215">
        <v>10.6</v>
      </c>
      <c r="J39" s="216">
        <v>4.2</v>
      </c>
      <c r="K39" s="214">
        <v>24.8</v>
      </c>
    </row>
    <row r="40" spans="1:11">
      <c r="A40" s="226"/>
      <c r="B40" s="213">
        <v>2001</v>
      </c>
      <c r="C40" s="216">
        <v>83.8</v>
      </c>
      <c r="D40" s="216">
        <v>90.5</v>
      </c>
      <c r="E40" s="214">
        <v>67</v>
      </c>
      <c r="F40" s="216">
        <v>6.6000000000000005</v>
      </c>
      <c r="G40" s="216">
        <v>5.0999999999999996</v>
      </c>
      <c r="H40" s="216">
        <v>10.4</v>
      </c>
      <c r="I40" s="215">
        <v>9.6</v>
      </c>
      <c r="J40" s="216">
        <v>4.5</v>
      </c>
      <c r="K40" s="214">
        <v>22.6</v>
      </c>
    </row>
    <row r="41" spans="1:11">
      <c r="A41" s="226"/>
      <c r="B41" s="213">
        <v>2006</v>
      </c>
      <c r="C41" s="216">
        <v>82.5</v>
      </c>
      <c r="D41" s="216">
        <v>89</v>
      </c>
      <c r="E41" s="214">
        <v>64.7</v>
      </c>
      <c r="F41" s="216">
        <v>8</v>
      </c>
      <c r="G41" s="216">
        <v>5.8000000000000007</v>
      </c>
      <c r="H41" s="216">
        <v>14.000000000000002</v>
      </c>
      <c r="I41" s="215">
        <v>9.5</v>
      </c>
      <c r="J41" s="216">
        <v>5.2</v>
      </c>
      <c r="K41" s="214">
        <v>21.3</v>
      </c>
    </row>
    <row r="42" spans="1:11">
      <c r="A42" s="226" t="s">
        <v>384</v>
      </c>
      <c r="B42" s="213">
        <v>1991</v>
      </c>
      <c r="C42" s="216">
        <v>81.5</v>
      </c>
      <c r="D42" s="216">
        <v>87.7</v>
      </c>
      <c r="E42" s="214">
        <v>70.5</v>
      </c>
      <c r="F42" s="216">
        <v>7.5</v>
      </c>
      <c r="G42" s="216">
        <v>8</v>
      </c>
      <c r="H42" s="216">
        <v>6.6000000000000005</v>
      </c>
      <c r="I42" s="215">
        <v>11.1</v>
      </c>
      <c r="J42" s="216">
        <v>4.3</v>
      </c>
      <c r="K42" s="214">
        <v>22.8</v>
      </c>
    </row>
    <row r="43" spans="1:11">
      <c r="A43" s="226"/>
      <c r="B43" s="213">
        <v>1996</v>
      </c>
      <c r="C43" s="216">
        <v>81.2</v>
      </c>
      <c r="D43" s="216">
        <v>87.3</v>
      </c>
      <c r="E43" s="214">
        <v>68.2</v>
      </c>
      <c r="F43" s="216">
        <v>8.7999999999999989</v>
      </c>
      <c r="G43" s="216">
        <v>8.4</v>
      </c>
      <c r="H43" s="216">
        <v>9.5</v>
      </c>
      <c r="I43" s="215">
        <v>10</v>
      </c>
      <c r="J43" s="216">
        <v>4.2</v>
      </c>
      <c r="K43" s="214">
        <v>22.400000000000002</v>
      </c>
    </row>
    <row r="44" spans="1:11">
      <c r="A44" s="226"/>
      <c r="B44" s="213">
        <v>2001</v>
      </c>
      <c r="C44" s="216">
        <v>81.899999999999991</v>
      </c>
      <c r="D44" s="216">
        <v>86.9</v>
      </c>
      <c r="E44" s="214">
        <v>69.5</v>
      </c>
      <c r="F44" s="216">
        <v>8.6</v>
      </c>
      <c r="G44" s="216">
        <v>8.4</v>
      </c>
      <c r="H44" s="216">
        <v>9.1</v>
      </c>
      <c r="I44" s="215">
        <v>9.5</v>
      </c>
      <c r="J44" s="216">
        <v>4.7</v>
      </c>
      <c r="K44" s="214">
        <v>21.3</v>
      </c>
    </row>
    <row r="45" spans="1:11">
      <c r="A45" s="226"/>
      <c r="B45" s="213">
        <v>2006</v>
      </c>
      <c r="C45" s="216">
        <v>80.900000000000006</v>
      </c>
      <c r="D45" s="216">
        <v>85.7</v>
      </c>
      <c r="E45" s="214">
        <v>67.2</v>
      </c>
      <c r="F45" s="216">
        <v>10.100000000000001</v>
      </c>
      <c r="G45" s="216">
        <v>9.5</v>
      </c>
      <c r="H45" s="216">
        <v>11.799999999999999</v>
      </c>
      <c r="I45" s="215">
        <v>9</v>
      </c>
      <c r="J45" s="216">
        <v>4.8</v>
      </c>
      <c r="K45" s="214">
        <v>20.9</v>
      </c>
    </row>
    <row r="46" spans="1:11">
      <c r="A46" s="226" t="s">
        <v>385</v>
      </c>
      <c r="B46" s="213">
        <v>1991</v>
      </c>
      <c r="C46" s="216">
        <v>78.7</v>
      </c>
      <c r="D46" s="216">
        <v>87.1</v>
      </c>
      <c r="E46" s="214">
        <v>63.6</v>
      </c>
      <c r="F46" s="216">
        <v>7.3999999999999995</v>
      </c>
      <c r="G46" s="216">
        <v>7.8</v>
      </c>
      <c r="H46" s="216">
        <v>6.9</v>
      </c>
      <c r="I46" s="215">
        <v>13.8</v>
      </c>
      <c r="J46" s="216">
        <v>5.2</v>
      </c>
      <c r="K46" s="214">
        <v>29.599999999999998</v>
      </c>
    </row>
    <row r="47" spans="1:11">
      <c r="A47" s="226"/>
      <c r="B47" s="213">
        <v>1996</v>
      </c>
      <c r="C47" s="216">
        <v>75.2</v>
      </c>
      <c r="D47" s="216">
        <v>83.399999999999991</v>
      </c>
      <c r="E47" s="214">
        <v>59.099999999999994</v>
      </c>
      <c r="F47" s="216">
        <v>9.5</v>
      </c>
      <c r="G47" s="216">
        <v>9.8000000000000007</v>
      </c>
      <c r="H47" s="216">
        <v>8.6999999999999993</v>
      </c>
      <c r="I47" s="215">
        <v>15.299999999999999</v>
      </c>
      <c r="J47" s="216">
        <v>6.7</v>
      </c>
      <c r="K47" s="214">
        <v>32.200000000000003</v>
      </c>
    </row>
    <row r="48" spans="1:11">
      <c r="A48" s="226"/>
      <c r="B48" s="213">
        <v>2001</v>
      </c>
      <c r="C48" s="216">
        <v>75.900000000000006</v>
      </c>
      <c r="D48" s="216">
        <v>82.399999999999991</v>
      </c>
      <c r="E48" s="214">
        <v>62.3</v>
      </c>
      <c r="F48" s="216">
        <v>10.199999999999999</v>
      </c>
      <c r="G48" s="216">
        <v>10.7</v>
      </c>
      <c r="H48" s="216">
        <v>9</v>
      </c>
      <c r="I48" s="215">
        <v>14.000000000000002</v>
      </c>
      <c r="J48" s="216">
        <v>6.9</v>
      </c>
      <c r="K48" s="214">
        <v>28.7</v>
      </c>
    </row>
    <row r="49" spans="1:11">
      <c r="A49" s="226"/>
      <c r="B49" s="213">
        <v>2006</v>
      </c>
      <c r="C49" s="216">
        <v>75.400000000000006</v>
      </c>
      <c r="D49" s="216">
        <v>80.800000000000011</v>
      </c>
      <c r="E49" s="214">
        <v>62.3</v>
      </c>
      <c r="F49" s="216">
        <v>11.700000000000001</v>
      </c>
      <c r="G49" s="216">
        <v>12.1</v>
      </c>
      <c r="H49" s="216">
        <v>10.8</v>
      </c>
      <c r="I49" s="215">
        <v>12.9</v>
      </c>
      <c r="J49" s="216">
        <v>7.1</v>
      </c>
      <c r="K49" s="214">
        <v>26.900000000000002</v>
      </c>
    </row>
    <row r="50" spans="1:11">
      <c r="A50" s="226" t="s">
        <v>1757</v>
      </c>
      <c r="B50" s="213">
        <v>1991</v>
      </c>
      <c r="C50" s="216">
        <v>86.1</v>
      </c>
      <c r="D50" s="216">
        <v>88.2</v>
      </c>
      <c r="E50" s="214">
        <v>83</v>
      </c>
      <c r="F50" s="216">
        <v>4.7</v>
      </c>
      <c r="G50" s="216">
        <v>6.3</v>
      </c>
      <c r="H50" s="216">
        <v>2.4</v>
      </c>
      <c r="I50" s="215">
        <v>9.3000000000000007</v>
      </c>
      <c r="J50" s="216">
        <v>5.5</v>
      </c>
      <c r="K50" s="214">
        <v>14.7</v>
      </c>
    </row>
    <row r="51" spans="1:11">
      <c r="A51" s="226"/>
      <c r="B51" s="213">
        <v>1996</v>
      </c>
      <c r="C51" s="216">
        <v>82.699999999999989</v>
      </c>
      <c r="D51" s="216">
        <v>85.9</v>
      </c>
      <c r="E51" s="214">
        <v>77</v>
      </c>
      <c r="F51" s="216">
        <v>3.8</v>
      </c>
      <c r="G51" s="216">
        <v>4.5999999999999996</v>
      </c>
      <c r="H51" s="216">
        <v>2.2999999999999998</v>
      </c>
      <c r="I51" s="215">
        <v>13.5</v>
      </c>
      <c r="J51" s="216">
        <v>9.4</v>
      </c>
      <c r="K51" s="214">
        <v>20.7</v>
      </c>
    </row>
    <row r="52" spans="1:11">
      <c r="A52" s="226"/>
      <c r="B52" s="213">
        <v>2001</v>
      </c>
      <c r="C52" s="216">
        <v>82.6</v>
      </c>
      <c r="D52" s="216">
        <v>87.4</v>
      </c>
      <c r="E52" s="214">
        <v>72.3</v>
      </c>
      <c r="F52" s="216">
        <v>5.8000000000000007</v>
      </c>
      <c r="G52" s="216">
        <v>6.7</v>
      </c>
      <c r="H52" s="216">
        <v>3.8</v>
      </c>
      <c r="I52" s="215">
        <v>11.700000000000001</v>
      </c>
      <c r="J52" s="216">
        <v>6</v>
      </c>
      <c r="K52" s="214">
        <v>23.7</v>
      </c>
    </row>
    <row r="53" spans="1:11">
      <c r="A53" s="226"/>
      <c r="B53" s="213">
        <v>2006</v>
      </c>
      <c r="C53" s="216">
        <v>84.399999999999991</v>
      </c>
      <c r="D53" s="216">
        <v>89.3</v>
      </c>
      <c r="E53" s="214">
        <v>74.2</v>
      </c>
      <c r="F53" s="216">
        <v>3.9</v>
      </c>
      <c r="G53" s="216">
        <v>4.9000000000000004</v>
      </c>
      <c r="H53" s="216">
        <v>1.9</v>
      </c>
      <c r="I53" s="215">
        <v>11.700000000000001</v>
      </c>
      <c r="J53" s="216">
        <v>5.8999999999999995</v>
      </c>
      <c r="K53" s="214">
        <v>23.9</v>
      </c>
    </row>
    <row r="54" spans="1:11">
      <c r="A54" s="226" t="s">
        <v>1758</v>
      </c>
      <c r="B54" s="213">
        <v>1991</v>
      </c>
      <c r="C54" s="216">
        <v>88.1</v>
      </c>
      <c r="D54" s="216">
        <v>86.1</v>
      </c>
      <c r="E54" s="214">
        <v>89</v>
      </c>
      <c r="F54" s="216">
        <v>3.5000000000000004</v>
      </c>
      <c r="G54" s="216">
        <v>7.0000000000000009</v>
      </c>
      <c r="H54" s="216">
        <v>1.9</v>
      </c>
      <c r="I54" s="215">
        <v>8.4</v>
      </c>
      <c r="J54" s="216">
        <v>6.9</v>
      </c>
      <c r="K54" s="214">
        <v>9.1</v>
      </c>
    </row>
    <row r="55" spans="1:11">
      <c r="A55" s="226"/>
      <c r="B55" s="213">
        <v>1996</v>
      </c>
      <c r="C55" s="216">
        <v>89.5</v>
      </c>
      <c r="D55" s="216">
        <v>89.4</v>
      </c>
      <c r="E55" s="214">
        <v>89.600000000000009</v>
      </c>
      <c r="F55" s="216">
        <v>3.1</v>
      </c>
      <c r="G55" s="216">
        <v>5</v>
      </c>
      <c r="H55" s="216">
        <v>1.9</v>
      </c>
      <c r="I55" s="215">
        <v>7.3999999999999995</v>
      </c>
      <c r="J55" s="216">
        <v>5.6000000000000005</v>
      </c>
      <c r="K55" s="214">
        <v>8.5</v>
      </c>
    </row>
    <row r="56" spans="1:11">
      <c r="A56" s="226"/>
      <c r="B56" s="213">
        <v>2001</v>
      </c>
      <c r="C56" s="216">
        <v>88.2</v>
      </c>
      <c r="D56" s="216">
        <v>88.3</v>
      </c>
      <c r="E56" s="214">
        <v>88</v>
      </c>
      <c r="F56" s="216">
        <v>2.7</v>
      </c>
      <c r="G56" s="216">
        <v>4</v>
      </c>
      <c r="H56" s="216">
        <v>1.7000000000000002</v>
      </c>
      <c r="I56" s="215">
        <v>9.1999999999999993</v>
      </c>
      <c r="J56" s="216">
        <v>7.7</v>
      </c>
      <c r="K56" s="214">
        <v>10.299999999999999</v>
      </c>
    </row>
    <row r="57" spans="1:11">
      <c r="A57" s="226"/>
      <c r="B57" s="213">
        <v>2006</v>
      </c>
      <c r="C57" s="216">
        <v>89.600000000000009</v>
      </c>
      <c r="D57" s="216">
        <v>91.4</v>
      </c>
      <c r="E57" s="214">
        <v>88.2</v>
      </c>
      <c r="F57" s="216">
        <v>2.2999999999999998</v>
      </c>
      <c r="G57" s="216">
        <v>2.6</v>
      </c>
      <c r="H57" s="216">
        <v>2</v>
      </c>
      <c r="I57" s="215">
        <v>8.2000000000000011</v>
      </c>
      <c r="J57" s="216">
        <v>5.8999999999999995</v>
      </c>
      <c r="K57" s="214">
        <v>9.8000000000000007</v>
      </c>
    </row>
    <row r="58" spans="1:11">
      <c r="A58" s="226" t="s">
        <v>1759</v>
      </c>
      <c r="B58" s="213">
        <v>1991</v>
      </c>
      <c r="C58" s="216">
        <v>88.1</v>
      </c>
      <c r="D58" s="216">
        <v>86.1</v>
      </c>
      <c r="E58" s="214">
        <v>89</v>
      </c>
      <c r="F58" s="216">
        <v>3.5000000000000004</v>
      </c>
      <c r="G58" s="216">
        <v>7.0000000000000009</v>
      </c>
      <c r="H58" s="216">
        <v>1.9</v>
      </c>
      <c r="I58" s="215">
        <v>8.4</v>
      </c>
      <c r="J58" s="216">
        <v>6.9</v>
      </c>
      <c r="K58" s="214">
        <v>9.1</v>
      </c>
    </row>
    <row r="59" spans="1:11">
      <c r="A59" s="226"/>
      <c r="B59" s="213">
        <v>1996</v>
      </c>
      <c r="C59" s="216">
        <v>89.5</v>
      </c>
      <c r="D59" s="216">
        <v>89.4</v>
      </c>
      <c r="E59" s="214">
        <v>89.600000000000009</v>
      </c>
      <c r="F59" s="216">
        <v>3.1</v>
      </c>
      <c r="G59" s="216">
        <v>5</v>
      </c>
      <c r="H59" s="216">
        <v>1.9</v>
      </c>
      <c r="I59" s="215">
        <v>7.3999999999999995</v>
      </c>
      <c r="J59" s="216">
        <v>5.6000000000000005</v>
      </c>
      <c r="K59" s="214">
        <v>8.5</v>
      </c>
    </row>
    <row r="60" spans="1:11">
      <c r="A60" s="226"/>
      <c r="B60" s="213">
        <v>2001</v>
      </c>
      <c r="C60" s="216">
        <v>86.5</v>
      </c>
      <c r="D60" s="216">
        <v>88.5</v>
      </c>
      <c r="E60" s="214">
        <v>84.1</v>
      </c>
      <c r="F60" s="216">
        <v>4</v>
      </c>
      <c r="G60" s="216">
        <v>4.9000000000000004</v>
      </c>
      <c r="H60" s="216">
        <v>3.1</v>
      </c>
      <c r="I60" s="215">
        <v>9.5</v>
      </c>
      <c r="J60" s="216">
        <v>6.5</v>
      </c>
      <c r="K60" s="214">
        <v>12.8</v>
      </c>
    </row>
    <row r="61" spans="1:11">
      <c r="A61" s="226"/>
      <c r="B61" s="213">
        <v>2006</v>
      </c>
      <c r="C61" s="216">
        <v>88</v>
      </c>
      <c r="D61" s="216">
        <v>92</v>
      </c>
      <c r="E61" s="214">
        <v>83.5</v>
      </c>
      <c r="F61" s="216">
        <v>3.3000000000000003</v>
      </c>
      <c r="G61" s="216">
        <v>3.1</v>
      </c>
      <c r="H61" s="216">
        <v>3.5999999999999996</v>
      </c>
      <c r="I61" s="215">
        <v>8.6999999999999993</v>
      </c>
      <c r="J61" s="216">
        <v>5</v>
      </c>
      <c r="K61" s="214">
        <v>12.9</v>
      </c>
    </row>
    <row r="62" spans="1:11">
      <c r="A62" s="226" t="s">
        <v>1760</v>
      </c>
      <c r="B62" s="213">
        <v>1991</v>
      </c>
      <c r="C62" s="216" t="s">
        <v>1761</v>
      </c>
      <c r="D62" s="216" t="s">
        <v>1761</v>
      </c>
      <c r="E62" s="214" t="s">
        <v>1761</v>
      </c>
      <c r="F62" s="216" t="s">
        <v>1761</v>
      </c>
      <c r="G62" s="216" t="s">
        <v>1761</v>
      </c>
      <c r="H62" s="216" t="s">
        <v>1761</v>
      </c>
      <c r="I62" s="215" t="s">
        <v>1761</v>
      </c>
      <c r="J62" s="216" t="s">
        <v>1761</v>
      </c>
      <c r="K62" s="214" t="s">
        <v>1761</v>
      </c>
    </row>
    <row r="63" spans="1:11">
      <c r="A63" s="226"/>
      <c r="B63" s="213">
        <v>1996</v>
      </c>
      <c r="C63" s="216" t="s">
        <v>1761</v>
      </c>
      <c r="D63" s="216" t="s">
        <v>1761</v>
      </c>
      <c r="E63" s="214" t="s">
        <v>1761</v>
      </c>
      <c r="F63" s="216" t="s">
        <v>1761</v>
      </c>
      <c r="G63" s="216" t="s">
        <v>1761</v>
      </c>
      <c r="H63" s="216" t="s">
        <v>1761</v>
      </c>
      <c r="I63" s="215" t="s">
        <v>1761</v>
      </c>
      <c r="J63" s="216" t="s">
        <v>1761</v>
      </c>
      <c r="K63" s="214" t="s">
        <v>1761</v>
      </c>
    </row>
    <row r="64" spans="1:11">
      <c r="A64" s="226"/>
      <c r="B64" s="213">
        <v>2001</v>
      </c>
      <c r="C64" s="216">
        <v>90.9</v>
      </c>
      <c r="D64" s="216">
        <v>87.4</v>
      </c>
      <c r="E64" s="214">
        <v>92.100000000000009</v>
      </c>
      <c r="F64" s="216">
        <v>0.4</v>
      </c>
      <c r="G64" s="216">
        <v>0.6</v>
      </c>
      <c r="H64" s="216">
        <v>0.4</v>
      </c>
      <c r="I64" s="215">
        <v>8.6999999999999993</v>
      </c>
      <c r="J64" s="216">
        <v>12.3</v>
      </c>
      <c r="K64" s="214">
        <v>7.6</v>
      </c>
    </row>
    <row r="65" spans="1:12">
      <c r="A65" s="227"/>
      <c r="B65" s="217">
        <v>2006</v>
      </c>
      <c r="C65" s="218">
        <v>92.300000000000011</v>
      </c>
      <c r="D65" s="218">
        <v>89.1</v>
      </c>
      <c r="E65" s="219">
        <v>93.2</v>
      </c>
      <c r="F65" s="218">
        <v>0.4</v>
      </c>
      <c r="G65" s="218">
        <v>0.89999999999999991</v>
      </c>
      <c r="H65" s="218">
        <v>0.3</v>
      </c>
      <c r="I65" s="220">
        <v>7.3</v>
      </c>
      <c r="J65" s="218">
        <v>9.7000000000000011</v>
      </c>
      <c r="K65" s="219">
        <v>6.5</v>
      </c>
    </row>
    <row r="67" spans="1:12" ht="27" customHeight="1">
      <c r="A67" s="1220" t="s">
        <v>1762</v>
      </c>
      <c r="B67" s="1220"/>
      <c r="C67" s="1220"/>
      <c r="D67" s="1220"/>
      <c r="E67" s="1220"/>
      <c r="F67" s="1220"/>
      <c r="G67" s="1220"/>
      <c r="H67" s="1220"/>
      <c r="I67" s="1220"/>
      <c r="J67" s="1220"/>
      <c r="K67" s="1220"/>
    </row>
    <row r="68" spans="1:12" ht="131.25" customHeight="1">
      <c r="A68" s="1220" t="s">
        <v>78</v>
      </c>
      <c r="B68" s="1221"/>
      <c r="C68" s="1221"/>
      <c r="D68" s="1221"/>
      <c r="E68" s="1221"/>
      <c r="F68" s="1221"/>
      <c r="G68" s="1221"/>
      <c r="H68" s="1221"/>
      <c r="I68" s="1221"/>
      <c r="J68" s="1221"/>
      <c r="K68" s="1221"/>
      <c r="L68" s="1221"/>
    </row>
  </sheetData>
  <mergeCells count="6">
    <mergeCell ref="A67:K67"/>
    <mergeCell ref="A68:L68"/>
    <mergeCell ref="F3:K3"/>
    <mergeCell ref="F4:H4"/>
    <mergeCell ref="I4:K4"/>
    <mergeCell ref="C3:E4"/>
  </mergeCells>
  <phoneticPr fontId="35" type="noConversion"/>
  <pageMargins left="0.75" right="0.75" top="1" bottom="1" header="0.5" footer="0.5"/>
  <pageSetup scale="61" orientation="portrait" horizontalDpi="4294967292" verticalDpi="1200" r:id="rId1"/>
  <headerFooter alignWithMargins="0"/>
</worksheet>
</file>

<file path=xl/worksheets/sheet12.xml><?xml version="1.0" encoding="utf-8"?>
<worksheet xmlns="http://schemas.openxmlformats.org/spreadsheetml/2006/main" xmlns:r="http://schemas.openxmlformats.org/officeDocument/2006/relationships">
  <sheetPr codeName="Sheet192">
    <pageSetUpPr fitToPage="1"/>
  </sheetPr>
  <dimension ref="A1:X4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24" ht="15.75">
      <c r="A1" s="3" t="s">
        <v>2097</v>
      </c>
    </row>
    <row r="2" spans="1:24">
      <c r="A2" s="4"/>
      <c r="B2" s="4"/>
    </row>
    <row r="3" spans="1:24" ht="12.75" customHeight="1">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24" s="4" customFormat="1" ht="12.75" customHeight="1">
      <c r="A4" s="7"/>
      <c r="B4" s="1167"/>
      <c r="C4" s="1165"/>
      <c r="D4" s="1165"/>
      <c r="E4" s="1165"/>
      <c r="F4" s="1165"/>
      <c r="G4" s="1165"/>
      <c r="H4" s="1165"/>
      <c r="I4" s="1165"/>
      <c r="J4" s="1165"/>
      <c r="K4" s="1165"/>
      <c r="L4" s="1165"/>
    </row>
    <row r="5" spans="1:24" ht="12.75" customHeight="1">
      <c r="A5" s="432">
        <v>1981</v>
      </c>
      <c r="B5" s="39">
        <v>360471</v>
      </c>
      <c r="C5" s="39">
        <v>5154</v>
      </c>
      <c r="D5" s="39">
        <v>1067</v>
      </c>
      <c r="E5" s="39">
        <v>7970</v>
      </c>
      <c r="F5" s="39">
        <v>6346</v>
      </c>
      <c r="G5" s="39">
        <v>80494</v>
      </c>
      <c r="H5" s="39">
        <v>131064</v>
      </c>
      <c r="I5" s="39">
        <v>13625</v>
      </c>
      <c r="J5" s="39">
        <v>14776</v>
      </c>
      <c r="K5" s="39">
        <v>53391</v>
      </c>
      <c r="L5" s="39">
        <v>44869</v>
      </c>
      <c r="N5" s="815"/>
      <c r="O5" s="815"/>
      <c r="P5" s="815"/>
      <c r="Q5" s="815"/>
      <c r="R5" s="815"/>
      <c r="S5" s="815"/>
      <c r="T5" s="815"/>
      <c r="U5" s="815"/>
      <c r="V5" s="815"/>
      <c r="W5" s="815"/>
      <c r="X5" s="815"/>
    </row>
    <row r="6" spans="1:24" ht="12.75" customHeight="1">
      <c r="A6" s="120">
        <v>1982</v>
      </c>
      <c r="B6" s="39">
        <v>379859</v>
      </c>
      <c r="C6" s="39">
        <v>5609</v>
      </c>
      <c r="D6" s="39">
        <v>1153</v>
      </c>
      <c r="E6" s="39">
        <v>9186</v>
      </c>
      <c r="F6" s="39">
        <v>7052</v>
      </c>
      <c r="G6" s="39">
        <v>85218</v>
      </c>
      <c r="H6" s="39">
        <v>138741</v>
      </c>
      <c r="I6" s="39">
        <v>14053</v>
      </c>
      <c r="J6" s="39">
        <v>15008</v>
      </c>
      <c r="K6" s="39">
        <v>56803</v>
      </c>
      <c r="L6" s="39">
        <v>45024</v>
      </c>
      <c r="N6" s="815"/>
      <c r="O6" s="815"/>
      <c r="P6" s="815"/>
      <c r="Q6" s="815"/>
      <c r="R6" s="815"/>
      <c r="S6" s="815"/>
      <c r="T6" s="815"/>
      <c r="U6" s="815"/>
      <c r="V6" s="815"/>
      <c r="W6" s="815"/>
      <c r="X6" s="815"/>
    </row>
    <row r="7" spans="1:24" ht="12.75" customHeight="1">
      <c r="A7" s="120">
        <v>1983</v>
      </c>
      <c r="B7" s="39">
        <v>411386</v>
      </c>
      <c r="C7" s="39">
        <v>5988</v>
      </c>
      <c r="D7" s="39">
        <v>1356</v>
      </c>
      <c r="E7" s="39">
        <v>10364</v>
      </c>
      <c r="F7" s="39">
        <v>8046</v>
      </c>
      <c r="G7" s="39">
        <v>91832</v>
      </c>
      <c r="H7" s="39">
        <v>154682</v>
      </c>
      <c r="I7" s="39">
        <v>15106</v>
      </c>
      <c r="J7" s="39">
        <v>15969</v>
      </c>
      <c r="K7" s="39">
        <v>58397</v>
      </c>
      <c r="L7" s="39">
        <v>47477</v>
      </c>
      <c r="N7" s="815"/>
      <c r="O7" s="815"/>
      <c r="P7" s="815"/>
      <c r="Q7" s="815"/>
      <c r="R7" s="815"/>
      <c r="S7" s="815"/>
      <c r="T7" s="815"/>
      <c r="U7" s="815"/>
      <c r="V7" s="815"/>
      <c r="W7" s="815"/>
      <c r="X7" s="815"/>
    </row>
    <row r="8" spans="1:24" ht="12.75" customHeight="1">
      <c r="A8" s="120">
        <v>1984</v>
      </c>
      <c r="B8" s="39">
        <v>449582</v>
      </c>
      <c r="C8" s="39">
        <v>6373</v>
      </c>
      <c r="D8" s="39">
        <v>1389</v>
      </c>
      <c r="E8" s="39">
        <v>11437</v>
      </c>
      <c r="F8" s="39">
        <v>8818</v>
      </c>
      <c r="G8" s="39">
        <v>100292</v>
      </c>
      <c r="H8" s="39">
        <v>172842</v>
      </c>
      <c r="I8" s="39">
        <v>16998</v>
      </c>
      <c r="J8" s="39">
        <v>17031</v>
      </c>
      <c r="K8" s="39">
        <v>62282</v>
      </c>
      <c r="L8" s="39">
        <v>49840</v>
      </c>
      <c r="N8" s="815"/>
      <c r="O8" s="815"/>
      <c r="P8" s="815"/>
      <c r="Q8" s="815"/>
      <c r="R8" s="815"/>
      <c r="S8" s="815"/>
      <c r="T8" s="815"/>
      <c r="U8" s="815"/>
      <c r="V8" s="815"/>
      <c r="W8" s="815"/>
      <c r="X8" s="815"/>
    </row>
    <row r="9" spans="1:24" ht="12.75" customHeight="1">
      <c r="A9" s="120">
        <v>1985</v>
      </c>
      <c r="B9" s="39">
        <v>485714</v>
      </c>
      <c r="C9" s="39">
        <v>6647</v>
      </c>
      <c r="D9" s="39">
        <v>1445</v>
      </c>
      <c r="E9" s="39">
        <v>12393</v>
      </c>
      <c r="F9" s="39">
        <v>9373</v>
      </c>
      <c r="G9" s="39">
        <v>107391</v>
      </c>
      <c r="H9" s="39">
        <v>189125</v>
      </c>
      <c r="I9" s="39">
        <v>18536</v>
      </c>
      <c r="J9" s="39">
        <v>17926</v>
      </c>
      <c r="K9" s="39">
        <v>66785</v>
      </c>
      <c r="L9" s="39">
        <v>53540</v>
      </c>
      <c r="N9" s="815"/>
      <c r="O9" s="815"/>
      <c r="P9" s="815"/>
      <c r="Q9" s="815"/>
      <c r="R9" s="815"/>
      <c r="S9" s="815"/>
      <c r="T9" s="815"/>
      <c r="U9" s="815"/>
      <c r="V9" s="815"/>
      <c r="W9" s="815"/>
      <c r="X9" s="815"/>
    </row>
    <row r="10" spans="1:24" ht="12.75" customHeight="1">
      <c r="A10" s="120">
        <v>1986</v>
      </c>
      <c r="B10" s="39">
        <v>512541</v>
      </c>
      <c r="C10" s="39">
        <v>7244</v>
      </c>
      <c r="D10" s="39">
        <v>1630</v>
      </c>
      <c r="E10" s="39">
        <v>13403</v>
      </c>
      <c r="F10" s="39">
        <v>10462</v>
      </c>
      <c r="G10" s="39">
        <v>117156</v>
      </c>
      <c r="H10" s="39">
        <v>208460</v>
      </c>
      <c r="I10" s="39">
        <v>19260</v>
      </c>
      <c r="J10" s="39">
        <v>17772</v>
      </c>
      <c r="K10" s="39">
        <v>57961</v>
      </c>
      <c r="L10" s="39">
        <v>56547</v>
      </c>
      <c r="N10" s="815"/>
      <c r="O10" s="815"/>
      <c r="P10" s="815"/>
      <c r="Q10" s="815"/>
      <c r="R10" s="815"/>
      <c r="S10" s="815"/>
      <c r="T10" s="815"/>
      <c r="U10" s="815"/>
      <c r="V10" s="815"/>
      <c r="W10" s="815"/>
      <c r="X10" s="815"/>
    </row>
    <row r="11" spans="1:24" ht="12.75" customHeight="1">
      <c r="A11" s="120">
        <v>1987</v>
      </c>
      <c r="B11" s="39">
        <v>558949</v>
      </c>
      <c r="C11" s="39">
        <v>7763</v>
      </c>
      <c r="D11" s="39">
        <v>1737</v>
      </c>
      <c r="E11" s="39">
        <v>14432</v>
      </c>
      <c r="F11" s="39">
        <v>11572</v>
      </c>
      <c r="G11" s="39">
        <v>128438</v>
      </c>
      <c r="H11" s="39">
        <v>230778</v>
      </c>
      <c r="I11" s="39">
        <v>20385</v>
      </c>
      <c r="J11" s="39">
        <v>18195</v>
      </c>
      <c r="K11" s="39">
        <v>60070</v>
      </c>
      <c r="L11" s="39">
        <v>62515</v>
      </c>
      <c r="N11" s="815"/>
      <c r="O11" s="815"/>
      <c r="P11" s="815"/>
      <c r="Q11" s="815"/>
      <c r="R11" s="815"/>
      <c r="S11" s="815"/>
      <c r="T11" s="815"/>
      <c r="U11" s="815"/>
      <c r="V11" s="815"/>
      <c r="W11" s="815"/>
      <c r="X11" s="815"/>
    </row>
    <row r="12" spans="1:24" ht="12.75" customHeight="1">
      <c r="A12" s="120">
        <v>1988</v>
      </c>
      <c r="B12" s="39">
        <v>613094</v>
      </c>
      <c r="C12" s="39">
        <v>8467</v>
      </c>
      <c r="D12" s="39">
        <v>1911</v>
      </c>
      <c r="E12" s="39">
        <v>15294</v>
      </c>
      <c r="F12" s="39">
        <v>12438</v>
      </c>
      <c r="G12" s="39">
        <v>140845</v>
      </c>
      <c r="H12" s="39">
        <v>256441</v>
      </c>
      <c r="I12" s="39">
        <v>22016</v>
      </c>
      <c r="J12" s="39">
        <v>18850</v>
      </c>
      <c r="K12" s="39">
        <v>63936</v>
      </c>
      <c r="L12" s="39">
        <v>69408</v>
      </c>
      <c r="N12" s="815"/>
      <c r="O12" s="815"/>
      <c r="P12" s="815"/>
      <c r="Q12" s="815"/>
      <c r="R12" s="815"/>
      <c r="S12" s="815"/>
      <c r="T12" s="815"/>
      <c r="U12" s="815"/>
      <c r="V12" s="815"/>
      <c r="W12" s="815"/>
      <c r="X12" s="815"/>
    </row>
    <row r="13" spans="1:24" ht="12.75" customHeight="1">
      <c r="A13" s="120">
        <v>1989</v>
      </c>
      <c r="B13" s="39">
        <v>657728</v>
      </c>
      <c r="C13" s="39">
        <v>8995</v>
      </c>
      <c r="D13" s="39">
        <v>2059</v>
      </c>
      <c r="E13" s="39">
        <v>16306</v>
      </c>
      <c r="F13" s="39">
        <v>13128</v>
      </c>
      <c r="G13" s="39">
        <v>148431</v>
      </c>
      <c r="H13" s="39">
        <v>278791</v>
      </c>
      <c r="I13" s="39">
        <v>23370</v>
      </c>
      <c r="J13" s="39">
        <v>19977</v>
      </c>
      <c r="K13" s="39">
        <v>67377</v>
      </c>
      <c r="L13" s="39">
        <v>75582</v>
      </c>
      <c r="N13" s="815"/>
      <c r="O13" s="815"/>
      <c r="P13" s="815"/>
      <c r="Q13" s="815"/>
      <c r="R13" s="815"/>
      <c r="S13" s="815"/>
      <c r="T13" s="815"/>
      <c r="U13" s="815"/>
      <c r="V13" s="815"/>
      <c r="W13" s="815"/>
      <c r="X13" s="815"/>
    </row>
    <row r="14" spans="1:24" ht="12.75" customHeight="1">
      <c r="A14" s="120">
        <v>1990</v>
      </c>
      <c r="B14" s="39">
        <v>679921</v>
      </c>
      <c r="C14" s="39">
        <v>9219</v>
      </c>
      <c r="D14" s="39">
        <v>2169</v>
      </c>
      <c r="E14" s="39">
        <v>16993</v>
      </c>
      <c r="F14" s="39">
        <v>13458</v>
      </c>
      <c r="G14" s="39">
        <v>153330</v>
      </c>
      <c r="H14" s="39">
        <v>282834</v>
      </c>
      <c r="I14" s="39">
        <v>24193</v>
      </c>
      <c r="J14" s="39">
        <v>21227</v>
      </c>
      <c r="K14" s="39">
        <v>73257</v>
      </c>
      <c r="L14" s="39">
        <v>79350</v>
      </c>
      <c r="N14" s="815"/>
      <c r="O14" s="815"/>
      <c r="P14" s="815"/>
      <c r="Q14" s="815"/>
      <c r="R14" s="815"/>
      <c r="S14" s="815"/>
      <c r="T14" s="815"/>
      <c r="U14" s="815"/>
      <c r="V14" s="815"/>
      <c r="W14" s="815"/>
      <c r="X14" s="815"/>
    </row>
    <row r="15" spans="1:24" ht="12.75" customHeight="1">
      <c r="A15" s="120">
        <v>1991</v>
      </c>
      <c r="B15" s="39">
        <v>685367</v>
      </c>
      <c r="C15" s="39">
        <v>9587</v>
      </c>
      <c r="D15" s="39">
        <v>2255</v>
      </c>
      <c r="E15" s="39">
        <v>17650</v>
      </c>
      <c r="F15" s="39">
        <v>13647</v>
      </c>
      <c r="G15" s="39">
        <v>155156</v>
      </c>
      <c r="H15" s="39">
        <v>283094</v>
      </c>
      <c r="I15" s="39">
        <v>24029</v>
      </c>
      <c r="J15" s="39">
        <v>21393</v>
      </c>
      <c r="K15" s="39">
        <v>72892</v>
      </c>
      <c r="L15" s="39">
        <v>81849</v>
      </c>
      <c r="N15" s="815"/>
      <c r="O15" s="815"/>
      <c r="P15" s="815"/>
      <c r="Q15" s="815"/>
      <c r="R15" s="815"/>
      <c r="S15" s="815"/>
      <c r="T15" s="815"/>
      <c r="U15" s="815"/>
      <c r="V15" s="815"/>
      <c r="W15" s="815"/>
      <c r="X15" s="815"/>
    </row>
    <row r="16" spans="1:24" ht="12.75" customHeight="1">
      <c r="A16" s="120">
        <v>1992</v>
      </c>
      <c r="B16" s="39">
        <v>700480</v>
      </c>
      <c r="C16" s="39">
        <v>9549</v>
      </c>
      <c r="D16" s="39">
        <v>2345</v>
      </c>
      <c r="E16" s="39">
        <v>18094</v>
      </c>
      <c r="F16" s="39">
        <v>14038</v>
      </c>
      <c r="G16" s="39">
        <v>158362</v>
      </c>
      <c r="H16" s="39">
        <v>286493</v>
      </c>
      <c r="I16" s="39">
        <v>24434</v>
      </c>
      <c r="J16" s="39">
        <v>21220</v>
      </c>
      <c r="K16" s="39">
        <v>74936</v>
      </c>
      <c r="L16" s="39">
        <v>87242</v>
      </c>
      <c r="N16" s="815"/>
      <c r="O16" s="815"/>
      <c r="P16" s="815"/>
      <c r="Q16" s="815"/>
      <c r="R16" s="815"/>
      <c r="S16" s="815"/>
      <c r="T16" s="815"/>
      <c r="U16" s="815"/>
      <c r="V16" s="815"/>
      <c r="W16" s="815"/>
      <c r="X16" s="815"/>
    </row>
    <row r="17" spans="1:24" ht="12.75" customHeight="1">
      <c r="A17" s="120">
        <v>1993</v>
      </c>
      <c r="B17" s="39">
        <v>727184</v>
      </c>
      <c r="C17" s="39">
        <v>9771</v>
      </c>
      <c r="D17" s="39">
        <v>2471</v>
      </c>
      <c r="E17" s="39">
        <v>18343</v>
      </c>
      <c r="F17" s="39">
        <v>14693</v>
      </c>
      <c r="G17" s="39">
        <v>162229</v>
      </c>
      <c r="H17" s="39">
        <v>293405</v>
      </c>
      <c r="I17" s="39">
        <v>24590</v>
      </c>
      <c r="J17" s="39">
        <v>22928</v>
      </c>
      <c r="K17" s="39">
        <v>81179</v>
      </c>
      <c r="L17" s="39">
        <v>94077</v>
      </c>
      <c r="N17" s="815"/>
      <c r="O17" s="815"/>
      <c r="P17" s="815"/>
      <c r="Q17" s="815"/>
      <c r="R17" s="815"/>
      <c r="S17" s="815"/>
      <c r="T17" s="815"/>
      <c r="U17" s="815"/>
      <c r="V17" s="815"/>
      <c r="W17" s="815"/>
      <c r="X17" s="815"/>
    </row>
    <row r="18" spans="1:24" ht="12.75" customHeight="1">
      <c r="A18" s="120">
        <v>1994</v>
      </c>
      <c r="B18" s="39">
        <v>770873</v>
      </c>
      <c r="C18" s="39">
        <v>10264</v>
      </c>
      <c r="D18" s="39">
        <v>2521</v>
      </c>
      <c r="E18" s="39">
        <v>18667</v>
      </c>
      <c r="F18" s="39">
        <v>15286</v>
      </c>
      <c r="G18" s="39">
        <v>170478</v>
      </c>
      <c r="H18" s="39">
        <v>311096</v>
      </c>
      <c r="I18" s="39">
        <v>25958</v>
      </c>
      <c r="J18" s="39">
        <v>24480</v>
      </c>
      <c r="K18" s="39">
        <v>88041</v>
      </c>
      <c r="L18" s="39">
        <v>100512</v>
      </c>
      <c r="N18" s="815"/>
      <c r="O18" s="815"/>
      <c r="P18" s="815"/>
      <c r="Q18" s="815"/>
      <c r="R18" s="815"/>
      <c r="S18" s="815"/>
      <c r="T18" s="815"/>
      <c r="U18" s="815"/>
      <c r="V18" s="815"/>
      <c r="W18" s="815"/>
      <c r="X18" s="815"/>
    </row>
    <row r="19" spans="1:24" ht="12.75" customHeight="1">
      <c r="A19" s="120">
        <v>1995</v>
      </c>
      <c r="B19" s="39">
        <v>810426</v>
      </c>
      <c r="C19" s="39">
        <v>10652</v>
      </c>
      <c r="D19" s="39">
        <v>2662</v>
      </c>
      <c r="E19" s="39">
        <v>19296</v>
      </c>
      <c r="F19" s="39">
        <v>16380</v>
      </c>
      <c r="G19" s="39">
        <v>177331</v>
      </c>
      <c r="H19" s="39">
        <v>329317</v>
      </c>
      <c r="I19" s="39">
        <v>26966</v>
      </c>
      <c r="J19" s="39">
        <v>26425</v>
      </c>
      <c r="K19" s="39">
        <v>92036</v>
      </c>
      <c r="L19" s="39">
        <v>105670</v>
      </c>
      <c r="N19" s="815"/>
      <c r="O19" s="815"/>
      <c r="P19" s="815"/>
      <c r="Q19" s="815"/>
      <c r="R19" s="815"/>
      <c r="S19" s="815"/>
      <c r="T19" s="815"/>
      <c r="U19" s="815"/>
      <c r="V19" s="815"/>
      <c r="W19" s="815"/>
      <c r="X19" s="815"/>
    </row>
    <row r="20" spans="1:24" ht="12.75" customHeight="1">
      <c r="A20" s="120">
        <v>1996</v>
      </c>
      <c r="B20" s="39">
        <v>836864</v>
      </c>
      <c r="C20" s="39">
        <v>10417</v>
      </c>
      <c r="D20" s="39">
        <v>2823</v>
      </c>
      <c r="E20" s="39">
        <v>19512</v>
      </c>
      <c r="F20" s="39">
        <v>16626</v>
      </c>
      <c r="G20" s="39">
        <v>180526</v>
      </c>
      <c r="H20" s="39">
        <v>338173</v>
      </c>
      <c r="I20" s="39">
        <v>28434</v>
      </c>
      <c r="J20" s="39">
        <v>28944</v>
      </c>
      <c r="K20" s="39">
        <v>98634</v>
      </c>
      <c r="L20" s="39">
        <v>108865</v>
      </c>
      <c r="N20" s="815"/>
      <c r="O20" s="815"/>
      <c r="P20" s="815"/>
      <c r="Q20" s="815"/>
      <c r="R20" s="815"/>
      <c r="S20" s="815"/>
      <c r="T20" s="815"/>
      <c r="U20" s="815"/>
      <c r="V20" s="815"/>
      <c r="W20" s="815"/>
      <c r="X20" s="815"/>
    </row>
    <row r="21" spans="1:24" ht="12.75" customHeight="1">
      <c r="A21" s="120">
        <v>1997</v>
      </c>
      <c r="B21" s="39">
        <v>882733</v>
      </c>
      <c r="C21" s="39">
        <v>10533</v>
      </c>
      <c r="D21" s="39">
        <v>2800</v>
      </c>
      <c r="E21" s="39">
        <v>20368</v>
      </c>
      <c r="F21" s="39">
        <v>16845</v>
      </c>
      <c r="G21" s="39">
        <v>188424</v>
      </c>
      <c r="H21" s="39">
        <v>359353</v>
      </c>
      <c r="I21" s="39">
        <v>29751</v>
      </c>
      <c r="J21" s="39">
        <v>29157</v>
      </c>
      <c r="K21" s="39">
        <v>107048</v>
      </c>
      <c r="L21" s="39">
        <v>114383</v>
      </c>
      <c r="N21" s="815"/>
      <c r="O21" s="815"/>
      <c r="P21" s="815"/>
      <c r="Q21" s="815"/>
      <c r="R21" s="815"/>
      <c r="S21" s="815"/>
      <c r="T21" s="815"/>
      <c r="U21" s="815"/>
      <c r="V21" s="815"/>
      <c r="W21" s="815"/>
      <c r="X21" s="815"/>
    </row>
    <row r="22" spans="1:24" ht="12.75" customHeight="1">
      <c r="A22" s="120">
        <v>1998</v>
      </c>
      <c r="B22" s="39">
        <v>914973</v>
      </c>
      <c r="C22" s="39">
        <v>11176</v>
      </c>
      <c r="D22" s="39">
        <v>2981</v>
      </c>
      <c r="E22" s="39">
        <v>21401</v>
      </c>
      <c r="F22" s="39">
        <v>17633</v>
      </c>
      <c r="G22" s="39">
        <v>196258</v>
      </c>
      <c r="H22" s="39">
        <v>377897</v>
      </c>
      <c r="I22" s="39">
        <v>30972</v>
      </c>
      <c r="J22" s="39">
        <v>29550</v>
      </c>
      <c r="K22" s="39">
        <v>107439</v>
      </c>
      <c r="L22" s="39">
        <v>115641</v>
      </c>
      <c r="N22" s="815"/>
      <c r="O22" s="815"/>
      <c r="P22" s="815"/>
      <c r="Q22" s="815"/>
      <c r="R22" s="815"/>
      <c r="S22" s="815"/>
      <c r="T22" s="815"/>
      <c r="U22" s="815"/>
      <c r="V22" s="815"/>
      <c r="W22" s="815"/>
      <c r="X22" s="815"/>
    </row>
    <row r="23" spans="1:24" ht="12.75" customHeight="1">
      <c r="A23" s="120">
        <v>1999</v>
      </c>
      <c r="B23" s="39">
        <v>982441</v>
      </c>
      <c r="C23" s="39">
        <v>12184</v>
      </c>
      <c r="D23" s="39">
        <v>3159</v>
      </c>
      <c r="E23" s="39">
        <v>23059</v>
      </c>
      <c r="F23" s="39">
        <v>19041</v>
      </c>
      <c r="G23" s="39">
        <v>210809</v>
      </c>
      <c r="H23" s="39">
        <v>409020</v>
      </c>
      <c r="I23" s="39">
        <v>31966</v>
      </c>
      <c r="J23" s="39">
        <v>30778</v>
      </c>
      <c r="K23" s="39">
        <v>117080</v>
      </c>
      <c r="L23" s="39">
        <v>120921</v>
      </c>
      <c r="N23" s="815"/>
      <c r="O23" s="815"/>
      <c r="P23" s="815"/>
      <c r="Q23" s="815"/>
      <c r="R23" s="815"/>
      <c r="S23" s="815"/>
      <c r="T23" s="815"/>
      <c r="U23" s="815"/>
      <c r="V23" s="815"/>
      <c r="W23" s="815"/>
      <c r="X23" s="815"/>
    </row>
    <row r="24" spans="1:24" ht="12.75" customHeight="1">
      <c r="A24" s="120">
        <v>2000</v>
      </c>
      <c r="B24" s="39">
        <v>1076577</v>
      </c>
      <c r="C24" s="39">
        <v>13922</v>
      </c>
      <c r="D24" s="39">
        <v>3366</v>
      </c>
      <c r="E24" s="39">
        <v>24658</v>
      </c>
      <c r="F24" s="39">
        <v>20085</v>
      </c>
      <c r="G24" s="39">
        <v>224928</v>
      </c>
      <c r="H24" s="39">
        <v>440759</v>
      </c>
      <c r="I24" s="39">
        <v>34057</v>
      </c>
      <c r="J24" s="39">
        <v>33828</v>
      </c>
      <c r="K24" s="39">
        <v>144789</v>
      </c>
      <c r="L24" s="39">
        <v>131333</v>
      </c>
      <c r="N24" s="815"/>
      <c r="O24" s="815"/>
      <c r="P24" s="815"/>
      <c r="Q24" s="815"/>
      <c r="R24" s="815"/>
      <c r="S24" s="815"/>
      <c r="T24" s="815"/>
      <c r="U24" s="815"/>
      <c r="V24" s="815"/>
      <c r="W24" s="815"/>
      <c r="X24" s="815"/>
    </row>
    <row r="25" spans="1:24" ht="12.75" customHeight="1">
      <c r="A25" s="120">
        <v>2001</v>
      </c>
      <c r="B25" s="39">
        <v>1108048</v>
      </c>
      <c r="C25" s="39">
        <v>14179</v>
      </c>
      <c r="D25" s="39">
        <v>3431</v>
      </c>
      <c r="E25" s="39">
        <v>25909</v>
      </c>
      <c r="F25" s="39">
        <v>20684</v>
      </c>
      <c r="G25" s="39">
        <v>231624</v>
      </c>
      <c r="H25" s="39">
        <v>453701</v>
      </c>
      <c r="I25" s="39">
        <v>35157</v>
      </c>
      <c r="J25" s="39">
        <v>33127</v>
      </c>
      <c r="K25" s="39">
        <v>151274</v>
      </c>
      <c r="L25" s="39">
        <v>133514</v>
      </c>
      <c r="N25" s="815"/>
      <c r="O25" s="815"/>
      <c r="P25" s="815"/>
      <c r="Q25" s="815"/>
      <c r="R25" s="815"/>
      <c r="S25" s="815"/>
      <c r="T25" s="815"/>
      <c r="U25" s="815"/>
      <c r="V25" s="815"/>
      <c r="W25" s="815"/>
      <c r="X25" s="815"/>
    </row>
    <row r="26" spans="1:24" ht="12.75" customHeight="1">
      <c r="A26" s="120">
        <v>2002</v>
      </c>
      <c r="B26" s="39">
        <v>1152905</v>
      </c>
      <c r="C26" s="39">
        <v>16457</v>
      </c>
      <c r="D26" s="39">
        <v>3701</v>
      </c>
      <c r="E26" s="39">
        <v>27082</v>
      </c>
      <c r="F26" s="39">
        <v>21169</v>
      </c>
      <c r="G26" s="39">
        <v>241448</v>
      </c>
      <c r="H26" s="39">
        <v>477763</v>
      </c>
      <c r="I26" s="39">
        <v>36559</v>
      </c>
      <c r="J26" s="39">
        <v>34343</v>
      </c>
      <c r="K26" s="39">
        <v>150594</v>
      </c>
      <c r="L26" s="39">
        <v>138193</v>
      </c>
      <c r="N26" s="815"/>
      <c r="O26" s="815"/>
      <c r="P26" s="815"/>
      <c r="Q26" s="815"/>
      <c r="R26" s="815"/>
      <c r="S26" s="815"/>
      <c r="T26" s="815"/>
      <c r="U26" s="815"/>
      <c r="V26" s="815"/>
      <c r="W26" s="815"/>
      <c r="X26" s="815"/>
    </row>
    <row r="27" spans="1:24" ht="12.75" customHeight="1">
      <c r="A27" s="120">
        <v>2003</v>
      </c>
      <c r="B27" s="39">
        <v>1213175</v>
      </c>
      <c r="C27" s="39">
        <v>18119</v>
      </c>
      <c r="D27" s="39">
        <v>3798</v>
      </c>
      <c r="E27" s="39">
        <v>28851</v>
      </c>
      <c r="F27" s="39">
        <v>22366</v>
      </c>
      <c r="G27" s="39">
        <v>250752</v>
      </c>
      <c r="H27" s="39">
        <v>493081</v>
      </c>
      <c r="I27" s="39">
        <v>37451</v>
      </c>
      <c r="J27" s="39">
        <v>36653</v>
      </c>
      <c r="K27" s="39">
        <v>170113</v>
      </c>
      <c r="L27" s="39">
        <v>145642</v>
      </c>
      <c r="N27" s="815"/>
      <c r="O27" s="815"/>
      <c r="P27" s="815"/>
      <c r="Q27" s="815"/>
      <c r="R27" s="815"/>
      <c r="S27" s="815"/>
      <c r="T27" s="815"/>
      <c r="U27" s="815"/>
      <c r="V27" s="815"/>
      <c r="W27" s="815"/>
      <c r="X27" s="815"/>
    </row>
    <row r="28" spans="1:24" ht="12.75" customHeight="1">
      <c r="A28" s="119">
        <v>2004</v>
      </c>
      <c r="B28" s="39">
        <v>1290906</v>
      </c>
      <c r="C28" s="39">
        <v>19407</v>
      </c>
      <c r="D28" s="39">
        <v>3983</v>
      </c>
      <c r="E28" s="39">
        <v>29853</v>
      </c>
      <c r="F28" s="39">
        <v>23672</v>
      </c>
      <c r="G28" s="39">
        <v>262761</v>
      </c>
      <c r="H28" s="39">
        <v>516106</v>
      </c>
      <c r="I28" s="39">
        <v>39748</v>
      </c>
      <c r="J28" s="39">
        <v>40796</v>
      </c>
      <c r="K28" s="39">
        <v>189743</v>
      </c>
      <c r="L28" s="39">
        <v>157675</v>
      </c>
      <c r="N28" s="815"/>
      <c r="O28" s="815"/>
      <c r="P28" s="815"/>
      <c r="Q28" s="815"/>
      <c r="R28" s="815"/>
      <c r="S28" s="815"/>
      <c r="T28" s="815"/>
      <c r="U28" s="815"/>
      <c r="V28" s="815"/>
      <c r="W28" s="815"/>
      <c r="X28" s="815"/>
    </row>
    <row r="29" spans="1:24" ht="12.75" customHeight="1">
      <c r="A29" s="119">
        <v>2005</v>
      </c>
      <c r="B29" s="39">
        <v>1372626</v>
      </c>
      <c r="C29" s="39">
        <v>21939</v>
      </c>
      <c r="D29" s="39">
        <v>4151</v>
      </c>
      <c r="E29" s="39">
        <v>31275</v>
      </c>
      <c r="F29" s="39">
        <v>24748</v>
      </c>
      <c r="G29" s="39">
        <v>271059</v>
      </c>
      <c r="H29" s="39">
        <v>536844</v>
      </c>
      <c r="I29" s="39">
        <v>41517</v>
      </c>
      <c r="J29" s="39">
        <v>44066</v>
      </c>
      <c r="K29" s="39">
        <v>220419</v>
      </c>
      <c r="L29" s="39">
        <v>169308</v>
      </c>
      <c r="N29" s="815"/>
      <c r="O29" s="815"/>
      <c r="P29" s="815"/>
      <c r="Q29" s="815"/>
      <c r="R29" s="815"/>
      <c r="S29" s="815"/>
      <c r="T29" s="815"/>
      <c r="U29" s="815"/>
      <c r="V29" s="815"/>
      <c r="W29" s="815"/>
      <c r="X29" s="815"/>
    </row>
    <row r="30" spans="1:24" ht="12.75" customHeight="1">
      <c r="A30" s="119">
        <v>2006</v>
      </c>
      <c r="B30" s="39">
        <v>1450490</v>
      </c>
      <c r="C30" s="39">
        <v>25994</v>
      </c>
      <c r="D30" s="39">
        <v>4321</v>
      </c>
      <c r="E30" s="39">
        <v>31737</v>
      </c>
      <c r="F30" s="39">
        <v>25825</v>
      </c>
      <c r="G30" s="39">
        <v>281521</v>
      </c>
      <c r="H30" s="39">
        <v>559778</v>
      </c>
      <c r="I30" s="39">
        <v>44911</v>
      </c>
      <c r="J30" s="39">
        <v>46494</v>
      </c>
      <c r="K30" s="39">
        <v>239584</v>
      </c>
      <c r="L30" s="39">
        <v>182743</v>
      </c>
      <c r="N30" s="815"/>
      <c r="O30" s="815"/>
      <c r="P30" s="815"/>
      <c r="Q30" s="815"/>
      <c r="R30" s="815"/>
      <c r="S30" s="815"/>
      <c r="T30" s="815"/>
      <c r="U30" s="815"/>
      <c r="V30" s="815"/>
      <c r="W30" s="815"/>
      <c r="X30" s="815"/>
    </row>
    <row r="31" spans="1:24" ht="12.75" customHeight="1">
      <c r="A31" s="119">
        <v>2007</v>
      </c>
      <c r="B31" s="39">
        <v>1535646</v>
      </c>
      <c r="C31" s="39">
        <v>29524</v>
      </c>
      <c r="D31" s="39">
        <v>4549</v>
      </c>
      <c r="E31" s="39">
        <v>33010</v>
      </c>
      <c r="F31" s="39">
        <v>26947</v>
      </c>
      <c r="G31" s="39">
        <v>296692</v>
      </c>
      <c r="H31" s="39">
        <v>584957</v>
      </c>
      <c r="I31" s="39">
        <v>48549</v>
      </c>
      <c r="J31" s="39">
        <v>51628</v>
      </c>
      <c r="K31" s="39">
        <v>258936</v>
      </c>
      <c r="L31" s="39">
        <v>192528</v>
      </c>
      <c r="N31" s="815"/>
      <c r="O31" s="815"/>
      <c r="P31" s="815"/>
      <c r="Q31" s="815"/>
      <c r="R31" s="815"/>
      <c r="S31" s="815"/>
      <c r="T31" s="815"/>
      <c r="U31" s="815"/>
      <c r="V31" s="815"/>
      <c r="W31" s="815"/>
      <c r="X31" s="815"/>
    </row>
    <row r="32" spans="1:24" ht="12.75" customHeight="1">
      <c r="A32" s="119">
        <v>2008</v>
      </c>
      <c r="B32" s="39">
        <v>1602474</v>
      </c>
      <c r="C32" s="39">
        <v>31458</v>
      </c>
      <c r="D32" s="39">
        <v>4716</v>
      </c>
      <c r="E32" s="39">
        <v>34209</v>
      </c>
      <c r="F32" s="39">
        <v>27288</v>
      </c>
      <c r="G32" s="39">
        <v>301479</v>
      </c>
      <c r="H32" s="39">
        <v>587905</v>
      </c>
      <c r="I32" s="39">
        <v>50886</v>
      </c>
      <c r="J32" s="39">
        <v>64323</v>
      </c>
      <c r="K32" s="39">
        <v>291662</v>
      </c>
      <c r="L32" s="39">
        <v>199214</v>
      </c>
      <c r="N32" s="815"/>
      <c r="O32" s="815"/>
      <c r="P32" s="815"/>
      <c r="Q32" s="815"/>
      <c r="R32" s="815"/>
      <c r="S32" s="815"/>
      <c r="T32" s="815"/>
      <c r="U32" s="815"/>
      <c r="V32" s="815"/>
      <c r="W32" s="815"/>
      <c r="X32" s="815"/>
    </row>
    <row r="33" spans="1:12">
      <c r="A33" s="120"/>
      <c r="B33" s="23"/>
      <c r="C33" s="644"/>
      <c r="D33" s="666" t="s">
        <v>802</v>
      </c>
      <c r="E33" s="644"/>
      <c r="F33" s="644"/>
      <c r="G33" s="644"/>
      <c r="H33" s="644"/>
      <c r="I33" s="644"/>
      <c r="J33" s="644"/>
      <c r="K33" s="644"/>
      <c r="L33" s="644"/>
    </row>
    <row r="34" spans="1:12">
      <c r="A34" s="448" t="s">
        <v>603</v>
      </c>
      <c r="B34" s="23">
        <f t="shared" ref="B34:L34" si="0">((((B13/B5))^(1/8))-1)*100</f>
        <v>7.8070096863650074</v>
      </c>
      <c r="C34" s="23">
        <f t="shared" si="0"/>
        <v>7.2092095989557903</v>
      </c>
      <c r="D34" s="23">
        <f t="shared" si="0"/>
        <v>8.5641636193422688</v>
      </c>
      <c r="E34" s="23">
        <f t="shared" si="0"/>
        <v>9.3606642822404709</v>
      </c>
      <c r="F34" s="23">
        <f t="shared" si="0"/>
        <v>9.5121518136590311</v>
      </c>
      <c r="G34" s="23">
        <f t="shared" si="0"/>
        <v>7.9493764357705388</v>
      </c>
      <c r="H34" s="23">
        <f t="shared" si="0"/>
        <v>9.8941100710501662</v>
      </c>
      <c r="I34" s="23">
        <f t="shared" si="0"/>
        <v>6.9769656500289878</v>
      </c>
      <c r="J34" s="23">
        <f t="shared" si="0"/>
        <v>3.8416722678579429</v>
      </c>
      <c r="K34" s="23">
        <f t="shared" si="0"/>
        <v>2.950972123709561</v>
      </c>
      <c r="L34" s="23">
        <f t="shared" si="0"/>
        <v>6.7355269822107156</v>
      </c>
    </row>
    <row r="35" spans="1:12">
      <c r="A35" s="448" t="s">
        <v>604</v>
      </c>
      <c r="B35" s="23">
        <f t="shared" ref="B35:L35" si="1">((((B24/B13))^(1/11))-1)*100</f>
        <v>4.581395675554556</v>
      </c>
      <c r="C35" s="23">
        <f t="shared" si="1"/>
        <v>4.0508174576290301</v>
      </c>
      <c r="D35" s="23">
        <f t="shared" si="1"/>
        <v>4.5695529535251467</v>
      </c>
      <c r="E35" s="23">
        <f t="shared" si="1"/>
        <v>3.8312826822642698</v>
      </c>
      <c r="F35" s="23">
        <f t="shared" si="1"/>
        <v>3.9413800914973596</v>
      </c>
      <c r="G35" s="23">
        <f t="shared" si="1"/>
        <v>3.8510303814234037</v>
      </c>
      <c r="H35" s="23">
        <f t="shared" si="1"/>
        <v>4.2518710393948167</v>
      </c>
      <c r="I35" s="23">
        <f t="shared" si="1"/>
        <v>3.4827522124882826</v>
      </c>
      <c r="J35" s="23">
        <f t="shared" si="1"/>
        <v>4.9047361184523242</v>
      </c>
      <c r="K35" s="23">
        <f t="shared" si="1"/>
        <v>7.201823465003665</v>
      </c>
      <c r="L35" s="23">
        <f t="shared" si="1"/>
        <v>5.1511762067406153</v>
      </c>
    </row>
    <row r="36" spans="1:12">
      <c r="A36" s="448" t="s">
        <v>1408</v>
      </c>
      <c r="B36" s="23">
        <f>((((B32/B5))^(1/27))-1)*100</f>
        <v>5.6810358657651383</v>
      </c>
      <c r="C36" s="23">
        <f t="shared" ref="C36:L36" si="2">((((C32/C5))^(1/27))-1)*100</f>
        <v>6.9290734100817097</v>
      </c>
      <c r="D36" s="23">
        <f t="shared" si="2"/>
        <v>5.6584051532191371</v>
      </c>
      <c r="E36" s="23">
        <f t="shared" si="2"/>
        <v>5.5437859863803007</v>
      </c>
      <c r="F36" s="23">
        <f t="shared" si="2"/>
        <v>5.5508931431992758</v>
      </c>
      <c r="G36" s="23">
        <f t="shared" si="2"/>
        <v>5.0123801595596262</v>
      </c>
      <c r="H36" s="23">
        <f t="shared" si="2"/>
        <v>5.7162184847911579</v>
      </c>
      <c r="I36" s="23">
        <f t="shared" si="2"/>
        <v>5.0013496999999241</v>
      </c>
      <c r="J36" s="23">
        <f t="shared" si="2"/>
        <v>5.5989519056740322</v>
      </c>
      <c r="K36" s="23">
        <f t="shared" si="2"/>
        <v>6.4906671740369015</v>
      </c>
      <c r="L36" s="23">
        <f t="shared" si="2"/>
        <v>5.6761043413129375</v>
      </c>
    </row>
    <row r="37" spans="1:12">
      <c r="A37" s="448" t="s">
        <v>449</v>
      </c>
      <c r="B37" s="644">
        <f>((((B31/B24))^(1/7)-1)*100)</f>
        <v>5.2047006790741479</v>
      </c>
      <c r="C37" s="644">
        <f t="shared" ref="C37:L37" si="3">((((C31/C24))^(1/7)-1)*100)</f>
        <v>11.336888755177332</v>
      </c>
      <c r="D37" s="644">
        <f t="shared" si="3"/>
        <v>4.396508722468595</v>
      </c>
      <c r="E37" s="644">
        <f t="shared" si="3"/>
        <v>4.2553233134114743</v>
      </c>
      <c r="F37" s="644">
        <f t="shared" si="3"/>
        <v>4.2879387594814355</v>
      </c>
      <c r="G37" s="644">
        <f t="shared" si="3"/>
        <v>4.0352058065213914</v>
      </c>
      <c r="H37" s="644">
        <f t="shared" si="3"/>
        <v>4.1262896400787508</v>
      </c>
      <c r="I37" s="644">
        <f t="shared" si="3"/>
        <v>5.1952842226128171</v>
      </c>
      <c r="J37" s="644">
        <f t="shared" si="3"/>
        <v>6.2257617720022251</v>
      </c>
      <c r="K37" s="644">
        <f t="shared" si="3"/>
        <v>8.6588905987830209</v>
      </c>
      <c r="L37" s="644">
        <f t="shared" si="3"/>
        <v>5.6164178242405383</v>
      </c>
    </row>
    <row r="38" spans="1:12">
      <c r="A38" s="448" t="s">
        <v>1410</v>
      </c>
      <c r="B38" s="644">
        <f>((((B32/B24))^(1/8)-1)*100)</f>
        <v>5.0977060402965346</v>
      </c>
      <c r="C38" s="644">
        <f t="shared" ref="C38:L38" si="4">((((C32/C24))^(1/8)-1)*100)</f>
        <v>10.727038597538542</v>
      </c>
      <c r="D38" s="644">
        <f t="shared" si="4"/>
        <v>4.3055603650097307</v>
      </c>
      <c r="E38" s="644">
        <f t="shared" si="4"/>
        <v>4.177232563625588</v>
      </c>
      <c r="F38" s="644">
        <f t="shared" si="4"/>
        <v>3.9052481263247119</v>
      </c>
      <c r="G38" s="644">
        <f t="shared" si="4"/>
        <v>3.7293587348431467</v>
      </c>
      <c r="H38" s="644">
        <f t="shared" si="4"/>
        <v>3.6664545289497585</v>
      </c>
      <c r="I38" s="644">
        <f t="shared" si="4"/>
        <v>5.1475094968886692</v>
      </c>
      <c r="J38" s="644">
        <f t="shared" si="4"/>
        <v>8.3643040610179131</v>
      </c>
      <c r="K38" s="644">
        <f t="shared" si="4"/>
        <v>9.1485662052408259</v>
      </c>
      <c r="L38" s="644">
        <f t="shared" si="4"/>
        <v>5.3460482264402476</v>
      </c>
    </row>
    <row r="39" spans="1:12">
      <c r="A39" s="2"/>
      <c r="D39" s="27" t="s">
        <v>276</v>
      </c>
    </row>
    <row r="40" spans="1:12">
      <c r="A40" s="448" t="s">
        <v>1408</v>
      </c>
      <c r="B40" s="10">
        <f>(B32/B5-1)*100</f>
        <v>344.5500470218131</v>
      </c>
      <c r="C40" s="10">
        <f t="shared" ref="C40:L40" si="5">(C32/C5-1)*100</f>
        <v>510.36088474970899</v>
      </c>
      <c r="D40" s="10">
        <f t="shared" si="5"/>
        <v>341.98687910028116</v>
      </c>
      <c r="E40" s="10">
        <f t="shared" si="5"/>
        <v>329.22208281053952</v>
      </c>
      <c r="F40" s="10">
        <f t="shared" si="5"/>
        <v>330.00315159155377</v>
      </c>
      <c r="G40" s="10">
        <f t="shared" si="5"/>
        <v>274.53599026014359</v>
      </c>
      <c r="H40" s="10">
        <f t="shared" si="5"/>
        <v>348.56329732039308</v>
      </c>
      <c r="I40" s="10">
        <f t="shared" si="5"/>
        <v>273.47522935779818</v>
      </c>
      <c r="J40" s="10">
        <f t="shared" si="5"/>
        <v>335.32079047103406</v>
      </c>
      <c r="K40" s="10">
        <f t="shared" si="5"/>
        <v>446.27558951883276</v>
      </c>
      <c r="L40" s="10">
        <f t="shared" si="5"/>
        <v>343.99028282333018</v>
      </c>
    </row>
    <row r="42" spans="1:12">
      <c r="A42" s="9" t="s">
        <v>1720</v>
      </c>
      <c r="B42" s="9"/>
      <c r="C42" s="9"/>
      <c r="D42" s="9"/>
      <c r="E42" s="9"/>
      <c r="F42" s="9"/>
      <c r="G42" s="9"/>
      <c r="H42" s="9"/>
      <c r="I42" s="9"/>
      <c r="J42" s="9"/>
      <c r="K42" s="9"/>
      <c r="L42" s="9"/>
    </row>
    <row r="43" spans="1:12">
      <c r="A43" s="4" t="s">
        <v>1718</v>
      </c>
    </row>
    <row r="44" spans="1:12">
      <c r="A44" s="1" t="s">
        <v>388</v>
      </c>
    </row>
    <row r="46" spans="1:12">
      <c r="E46" s="114"/>
    </row>
    <row r="47" spans="1:12">
      <c r="E47" s="114"/>
    </row>
  </sheetData>
  <mergeCells count="11">
    <mergeCell ref="G3:G4"/>
    <mergeCell ref="B3:B4"/>
    <mergeCell ref="C3:C4"/>
    <mergeCell ref="D3:D4"/>
    <mergeCell ref="E3:E4"/>
    <mergeCell ref="F3:F4"/>
    <mergeCell ref="H3:H4"/>
    <mergeCell ref="I3:I4"/>
    <mergeCell ref="J3:J4"/>
    <mergeCell ref="K3:K4"/>
    <mergeCell ref="L3:L4"/>
  </mergeCells>
  <pageMargins left="0.75" right="0.75" top="1" bottom="1" header="0.5" footer="0.5"/>
  <pageSetup scale="84" orientation="landscape" horizontalDpi="300" verticalDpi="300" r:id="rId1"/>
  <headerFooter alignWithMargins="0"/>
</worksheet>
</file>

<file path=xl/worksheets/sheet120.xml><?xml version="1.0" encoding="utf-8"?>
<worksheet xmlns="http://schemas.openxmlformats.org/spreadsheetml/2006/main" xmlns:r="http://schemas.openxmlformats.org/officeDocument/2006/relationships">
  <sheetPr codeName="Sheet89"/>
  <dimension ref="A1:S38"/>
  <sheetViews>
    <sheetView view="pageBreakPreview" zoomScaleSheetLayoutView="100" workbookViewId="0">
      <selection activeCell="H62" sqref="H62"/>
    </sheetView>
  </sheetViews>
  <sheetFormatPr defaultColWidth="8" defaultRowHeight="12.75"/>
  <cols>
    <col min="1" max="1" width="9.140625" customWidth="1"/>
    <col min="2" max="2" width="15.140625" customWidth="1"/>
  </cols>
  <sheetData>
    <row r="1" spans="1:19" ht="15.75">
      <c r="A1" s="40" t="s">
        <v>1803</v>
      </c>
      <c r="B1" s="739"/>
      <c r="C1" s="739"/>
      <c r="D1" s="739"/>
      <c r="E1" s="739"/>
      <c r="F1" s="739"/>
      <c r="G1" s="739"/>
      <c r="H1" s="739"/>
      <c r="I1" s="739"/>
      <c r="J1" s="739"/>
      <c r="O1" s="942" t="s">
        <v>1793</v>
      </c>
      <c r="P1" s="943"/>
      <c r="Q1" s="943"/>
      <c r="R1" s="943"/>
      <c r="S1" s="943"/>
    </row>
    <row r="2" spans="1:19" ht="15.75">
      <c r="A2" s="739"/>
      <c r="B2" s="739"/>
      <c r="C2" s="739"/>
      <c r="D2" s="739"/>
      <c r="E2" s="739"/>
      <c r="F2" s="739"/>
      <c r="G2" s="739"/>
      <c r="H2" s="739"/>
      <c r="I2" s="739"/>
      <c r="J2" s="739"/>
      <c r="O2" s="942" t="s">
        <v>1794</v>
      </c>
      <c r="P2" s="943"/>
      <c r="Q2" s="943"/>
      <c r="R2" s="943"/>
      <c r="S2" s="943"/>
    </row>
    <row r="3" spans="1:19" ht="15" customHeight="1">
      <c r="A3" s="1054" t="s">
        <v>752</v>
      </c>
      <c r="B3" s="1054" t="s">
        <v>753</v>
      </c>
      <c r="C3" s="739"/>
      <c r="D3" s="739"/>
      <c r="E3" s="739"/>
      <c r="F3" s="739"/>
      <c r="G3" s="739"/>
      <c r="H3" s="739"/>
      <c r="I3" s="739"/>
      <c r="J3" s="739"/>
      <c r="O3" t="s">
        <v>1577</v>
      </c>
      <c r="P3" s="944" t="s">
        <v>1795</v>
      </c>
      <c r="Q3" s="944" t="s">
        <v>1796</v>
      </c>
      <c r="R3" s="944" t="s">
        <v>1797</v>
      </c>
      <c r="S3" s="944" t="s">
        <v>1798</v>
      </c>
    </row>
    <row r="4" spans="1:19">
      <c r="A4" s="2">
        <v>1985</v>
      </c>
      <c r="B4" s="121">
        <f>AVERAGE(P4:S4)</f>
        <v>36.336919941644233</v>
      </c>
      <c r="C4" s="133"/>
      <c r="D4" s="739"/>
      <c r="E4" s="739"/>
      <c r="F4" s="739"/>
      <c r="G4" s="739"/>
      <c r="H4" s="739"/>
      <c r="I4" s="739"/>
      <c r="J4" s="739"/>
      <c r="K4">
        <v>1</v>
      </c>
      <c r="L4">
        <v>1990</v>
      </c>
      <c r="M4">
        <v>46.236308386146099</v>
      </c>
      <c r="O4">
        <v>1985</v>
      </c>
      <c r="P4" s="945">
        <v>38.624052131429067</v>
      </c>
      <c r="Q4" s="945">
        <v>35.602233361434052</v>
      </c>
      <c r="R4" s="945">
        <v>35.700203617738097</v>
      </c>
      <c r="S4" s="945">
        <v>35.4211906559757</v>
      </c>
    </row>
    <row r="5" spans="1:19">
      <c r="A5" s="2">
        <f t="shared" ref="A5:A23" si="0">A4+1</f>
        <v>1986</v>
      </c>
      <c r="B5" s="121">
        <f>AVERAGE(P5:S5)</f>
        <v>35.70452138008465</v>
      </c>
      <c r="C5" s="739"/>
      <c r="D5" s="739"/>
      <c r="E5" s="739"/>
      <c r="F5" s="739"/>
      <c r="G5" s="739"/>
      <c r="H5" s="739"/>
      <c r="I5" s="739"/>
      <c r="J5" s="739"/>
      <c r="K5">
        <f>K4+1</f>
        <v>2</v>
      </c>
      <c r="L5">
        <v>1989</v>
      </c>
      <c r="M5">
        <v>41.318890063796523</v>
      </c>
      <c r="O5">
        <v>1986</v>
      </c>
      <c r="P5" s="945">
        <v>35.458727727357484</v>
      </c>
      <c r="Q5" s="945">
        <v>34.946488453383481</v>
      </c>
      <c r="R5" s="945">
        <v>36.185379692668924</v>
      </c>
      <c r="S5" s="945">
        <v>36.227489646928717</v>
      </c>
    </row>
    <row r="6" spans="1:19">
      <c r="A6" s="2">
        <f t="shared" si="0"/>
        <v>1987</v>
      </c>
      <c r="B6" s="121">
        <f>AVERAGE(P6:S6)</f>
        <v>38.809125101800412</v>
      </c>
      <c r="C6" s="739"/>
      <c r="D6" s="739"/>
      <c r="E6" s="739"/>
      <c r="F6" s="739"/>
      <c r="G6" s="739"/>
      <c r="H6" s="739"/>
      <c r="I6" s="739"/>
      <c r="J6" s="739"/>
      <c r="K6">
        <f t="shared" ref="K6:K25" si="1">K5+1</f>
        <v>3</v>
      </c>
      <c r="L6">
        <v>2007</v>
      </c>
      <c r="M6">
        <v>40.969576744696646</v>
      </c>
      <c r="O6">
        <v>1987</v>
      </c>
      <c r="P6" s="945">
        <v>34.803396541611541</v>
      </c>
      <c r="Q6" s="945">
        <v>38.555070372085034</v>
      </c>
      <c r="R6" s="945">
        <v>41.143840125847809</v>
      </c>
      <c r="S6" s="945">
        <v>40.734193367657276</v>
      </c>
    </row>
    <row r="7" spans="1:19">
      <c r="A7" s="2">
        <f t="shared" si="0"/>
        <v>1988</v>
      </c>
      <c r="B7" s="121">
        <f>AVERAGE(P7:S7)</f>
        <v>41.306565420256156</v>
      </c>
      <c r="C7" s="739"/>
      <c r="D7" s="739"/>
      <c r="E7" s="739"/>
      <c r="F7" s="739"/>
      <c r="G7" s="739"/>
      <c r="H7" s="739"/>
      <c r="I7" s="739"/>
      <c r="J7" s="739"/>
      <c r="K7">
        <f t="shared" si="1"/>
        <v>4</v>
      </c>
      <c r="L7">
        <v>1991</v>
      </c>
      <c r="M7">
        <v>40.166135182041209</v>
      </c>
      <c r="O7">
        <v>1988</v>
      </c>
      <c r="P7" s="945">
        <v>39.155398659441452</v>
      </c>
      <c r="Q7" s="945">
        <v>40.220675622730475</v>
      </c>
      <c r="R7" s="945">
        <v>42.252441330364491</v>
      </c>
      <c r="S7" s="945">
        <v>43.597746068488199</v>
      </c>
    </row>
    <row r="8" spans="1:19">
      <c r="A8" s="2">
        <f t="shared" si="0"/>
        <v>1989</v>
      </c>
      <c r="B8" s="121">
        <f t="shared" ref="B8:B28" si="2">AVERAGE(P8:S8)</f>
        <v>44.276153576939869</v>
      </c>
      <c r="C8" s="739"/>
      <c r="D8" s="739"/>
      <c r="E8" s="739"/>
      <c r="F8" s="739"/>
      <c r="G8" s="739"/>
      <c r="H8" s="739"/>
      <c r="I8" s="739"/>
      <c r="J8" s="739"/>
      <c r="K8">
        <f t="shared" si="1"/>
        <v>5</v>
      </c>
      <c r="L8">
        <v>1988</v>
      </c>
      <c r="M8">
        <v>39.037292308034438</v>
      </c>
      <c r="O8">
        <v>1989</v>
      </c>
      <c r="P8" s="945">
        <v>45.036025731538516</v>
      </c>
      <c r="Q8" s="945">
        <v>44.242940216618017</v>
      </c>
      <c r="R8" s="945">
        <v>43.280155301070295</v>
      </c>
      <c r="S8" s="945">
        <v>44.545493058532649</v>
      </c>
    </row>
    <row r="9" spans="1:19">
      <c r="A9" s="2">
        <f t="shared" si="0"/>
        <v>1990</v>
      </c>
      <c r="B9" s="121">
        <f t="shared" si="2"/>
        <v>49.045189183568809</v>
      </c>
      <c r="C9" s="739"/>
      <c r="D9" s="739"/>
      <c r="E9" s="739"/>
      <c r="F9" s="739"/>
      <c r="G9" s="739"/>
      <c r="H9" s="739"/>
      <c r="I9" s="739"/>
      <c r="J9" s="739"/>
      <c r="K9">
        <f t="shared" si="1"/>
        <v>6</v>
      </c>
      <c r="L9">
        <v>2006</v>
      </c>
      <c r="M9">
        <v>37.572667691477577</v>
      </c>
      <c r="O9">
        <v>1990</v>
      </c>
      <c r="P9" s="945">
        <v>48.782683132370003</v>
      </c>
      <c r="Q9" s="945">
        <v>52.590553946673403</v>
      </c>
      <c r="R9" s="945">
        <v>48.483476270197364</v>
      </c>
      <c r="S9" s="945">
        <v>46.324043385034464</v>
      </c>
    </row>
    <row r="10" spans="1:19">
      <c r="A10" s="2">
        <f t="shared" si="0"/>
        <v>1991</v>
      </c>
      <c r="B10" s="121">
        <f t="shared" si="2"/>
        <v>42.604717245704762</v>
      </c>
      <c r="C10" s="739"/>
      <c r="D10" s="739"/>
      <c r="E10" s="739"/>
      <c r="F10" s="739"/>
      <c r="G10" s="739"/>
      <c r="H10" s="739"/>
      <c r="I10" s="739"/>
      <c r="J10" s="739"/>
      <c r="K10">
        <f t="shared" si="1"/>
        <v>7</v>
      </c>
      <c r="L10">
        <v>1994</v>
      </c>
      <c r="M10">
        <v>36.984658063889142</v>
      </c>
      <c r="O10">
        <v>1991</v>
      </c>
      <c r="P10" s="945">
        <v>43.052373922276935</v>
      </c>
      <c r="Q10" s="945">
        <v>43.049214145816819</v>
      </c>
      <c r="R10" s="945">
        <v>43.498116504642795</v>
      </c>
      <c r="S10" s="945">
        <v>40.819164410082507</v>
      </c>
    </row>
    <row r="11" spans="1:19">
      <c r="A11" s="2">
        <f t="shared" si="0"/>
        <v>1992</v>
      </c>
      <c r="B11" s="121">
        <f t="shared" si="2"/>
        <v>40.046640439513659</v>
      </c>
      <c r="C11" s="739"/>
      <c r="D11" s="739"/>
      <c r="E11" s="739"/>
      <c r="F11" s="739"/>
      <c r="G11" s="739"/>
      <c r="H11" s="739"/>
      <c r="I11" s="739"/>
      <c r="J11" s="739"/>
      <c r="K11">
        <f t="shared" si="1"/>
        <v>8</v>
      </c>
      <c r="L11">
        <v>1992</v>
      </c>
      <c r="M11">
        <v>36.70919488794695</v>
      </c>
      <c r="O11">
        <v>1992</v>
      </c>
      <c r="P11" s="945">
        <v>42.221064872874656</v>
      </c>
      <c r="Q11" s="945">
        <v>40.27016944097906</v>
      </c>
      <c r="R11" s="945">
        <v>37.559214238059383</v>
      </c>
      <c r="S11" s="945">
        <v>40.136113206141545</v>
      </c>
    </row>
    <row r="12" spans="1:19">
      <c r="A12" s="2">
        <f t="shared" si="0"/>
        <v>1993</v>
      </c>
      <c r="B12" s="121">
        <f t="shared" si="2"/>
        <v>38.871139657505232</v>
      </c>
      <c r="C12" s="739"/>
      <c r="D12" s="739"/>
      <c r="E12" s="739"/>
      <c r="F12" s="739"/>
      <c r="G12" s="739"/>
      <c r="H12" s="739"/>
      <c r="I12" s="739"/>
      <c r="J12" s="739"/>
      <c r="K12">
        <f t="shared" si="1"/>
        <v>9</v>
      </c>
      <c r="L12">
        <v>1987</v>
      </c>
      <c r="M12">
        <v>36.029220205595166</v>
      </c>
      <c r="O12">
        <v>1993</v>
      </c>
      <c r="P12" s="945">
        <v>39.286865821927087</v>
      </c>
      <c r="Q12" s="945">
        <v>39.857722714522474</v>
      </c>
      <c r="R12" s="945">
        <v>39.48085480328173</v>
      </c>
      <c r="S12" s="945">
        <v>36.859115290289637</v>
      </c>
    </row>
    <row r="13" spans="1:19">
      <c r="A13" s="2">
        <f t="shared" si="0"/>
        <v>1994</v>
      </c>
      <c r="B13" s="121">
        <f t="shared" si="2"/>
        <v>42.499823425967932</v>
      </c>
      <c r="C13" s="739"/>
      <c r="D13" s="739"/>
      <c r="E13" s="739"/>
      <c r="F13" s="739"/>
      <c r="G13" s="739"/>
      <c r="H13" s="739"/>
      <c r="I13" s="739"/>
      <c r="J13" s="739"/>
      <c r="K13">
        <f t="shared" si="1"/>
        <v>10</v>
      </c>
      <c r="L13">
        <v>1993</v>
      </c>
      <c r="M13">
        <v>35.995964728932393</v>
      </c>
      <c r="O13">
        <v>1994</v>
      </c>
      <c r="P13" s="945">
        <v>39.629299669287455</v>
      </c>
      <c r="Q13" s="945">
        <v>44.164832949522506</v>
      </c>
      <c r="R13" s="945">
        <v>42.539927844165589</v>
      </c>
      <c r="S13" s="945">
        <v>43.665233240896193</v>
      </c>
    </row>
    <row r="14" spans="1:19">
      <c r="A14" s="2">
        <f t="shared" si="0"/>
        <v>1995</v>
      </c>
      <c r="B14" s="121">
        <f t="shared" si="2"/>
        <v>39.242321619577368</v>
      </c>
      <c r="C14" s="739"/>
      <c r="D14" s="739"/>
      <c r="E14" s="739"/>
      <c r="F14" s="739"/>
      <c r="G14" s="739"/>
      <c r="H14" s="739"/>
      <c r="I14" s="739"/>
      <c r="J14" s="739"/>
      <c r="K14">
        <f t="shared" si="1"/>
        <v>11</v>
      </c>
      <c r="L14">
        <v>1995</v>
      </c>
      <c r="M14">
        <v>35.539912285987072</v>
      </c>
      <c r="O14">
        <v>1995</v>
      </c>
      <c r="P14" s="945">
        <v>41.76736919125554</v>
      </c>
      <c r="Q14" s="945">
        <v>38.385570414508969</v>
      </c>
      <c r="R14" s="945">
        <v>38.961610891570551</v>
      </c>
      <c r="S14" s="945">
        <v>37.854735980974404</v>
      </c>
    </row>
    <row r="15" spans="1:19">
      <c r="A15" s="2">
        <f t="shared" si="0"/>
        <v>1996</v>
      </c>
      <c r="B15" s="121">
        <f t="shared" si="2"/>
        <v>36.695206865948158</v>
      </c>
      <c r="C15" s="739"/>
      <c r="D15" s="739"/>
      <c r="E15" s="739"/>
      <c r="F15" s="739"/>
      <c r="G15" s="739"/>
      <c r="H15" s="739"/>
      <c r="I15" s="739"/>
      <c r="J15" s="739"/>
      <c r="K15">
        <f t="shared" si="1"/>
        <v>12</v>
      </c>
      <c r="L15">
        <v>2005</v>
      </c>
      <c r="M15">
        <v>33.459490513629959</v>
      </c>
      <c r="O15">
        <v>1996</v>
      </c>
      <c r="P15" s="945">
        <v>38.02940668666615</v>
      </c>
      <c r="Q15" s="945">
        <v>37.786963428704532</v>
      </c>
      <c r="R15" s="945">
        <v>36.577660108494207</v>
      </c>
      <c r="S15" s="945">
        <v>34.386797239927752</v>
      </c>
    </row>
    <row r="16" spans="1:19">
      <c r="A16" s="2">
        <f t="shared" si="0"/>
        <v>1997</v>
      </c>
      <c r="B16" s="121">
        <f t="shared" si="2"/>
        <v>35.105052324728518</v>
      </c>
      <c r="C16" s="739"/>
      <c r="D16" s="739"/>
      <c r="E16" s="739"/>
      <c r="F16" s="739"/>
      <c r="G16" s="739"/>
      <c r="H16" s="739"/>
      <c r="I16" s="739"/>
      <c r="J16" s="739"/>
      <c r="K16">
        <f t="shared" si="1"/>
        <v>13</v>
      </c>
      <c r="L16">
        <v>2000</v>
      </c>
      <c r="M16">
        <v>33.416564811212936</v>
      </c>
      <c r="O16">
        <v>1997</v>
      </c>
      <c r="P16" s="945">
        <v>35.257057491446588</v>
      </c>
      <c r="Q16" s="945">
        <v>34.982194708472505</v>
      </c>
      <c r="R16" s="945">
        <v>34.953007599857656</v>
      </c>
      <c r="S16" s="945">
        <v>35.227949499137317</v>
      </c>
    </row>
    <row r="17" spans="1:19">
      <c r="A17" s="2">
        <f t="shared" si="0"/>
        <v>1998</v>
      </c>
      <c r="B17" s="121">
        <f t="shared" si="2"/>
        <v>34.533135214522396</v>
      </c>
      <c r="C17" s="739"/>
      <c r="D17" s="739"/>
      <c r="E17" s="739"/>
      <c r="F17" s="739"/>
      <c r="G17" s="739"/>
      <c r="H17" s="739"/>
      <c r="I17" s="739"/>
      <c r="J17" s="739"/>
      <c r="K17">
        <f t="shared" si="1"/>
        <v>14</v>
      </c>
      <c r="L17">
        <v>2004</v>
      </c>
      <c r="M17">
        <v>33.092600546342084</v>
      </c>
      <c r="O17">
        <v>1998</v>
      </c>
      <c r="P17" s="945">
        <v>34.579200621062625</v>
      </c>
      <c r="Q17" s="945">
        <v>34.612795027370694</v>
      </c>
      <c r="R17" s="945">
        <v>35.239025855207984</v>
      </c>
      <c r="S17" s="945">
        <v>33.701519354448287</v>
      </c>
    </row>
    <row r="18" spans="1:19">
      <c r="A18" s="2">
        <f t="shared" si="0"/>
        <v>1999</v>
      </c>
      <c r="B18" s="121">
        <f t="shared" si="2"/>
        <v>35.551221002231017</v>
      </c>
      <c r="C18" s="739"/>
      <c r="D18" s="739"/>
      <c r="E18" s="739"/>
      <c r="F18" s="739"/>
      <c r="G18" s="739"/>
      <c r="H18" s="739"/>
      <c r="I18" s="739"/>
      <c r="J18" s="739"/>
      <c r="K18">
        <f t="shared" si="1"/>
        <v>15</v>
      </c>
      <c r="L18">
        <v>1985</v>
      </c>
      <c r="M18">
        <v>33.080085062650824</v>
      </c>
      <c r="O18">
        <v>1999</v>
      </c>
      <c r="P18" s="945">
        <v>34.375040555275696</v>
      </c>
      <c r="Q18" s="945">
        <v>35.433716476468405</v>
      </c>
      <c r="R18" s="945">
        <v>35.549837044097067</v>
      </c>
      <c r="S18" s="945">
        <v>36.846289933082886</v>
      </c>
    </row>
    <row r="19" spans="1:19">
      <c r="A19" s="2">
        <f t="shared" si="0"/>
        <v>2000</v>
      </c>
      <c r="B19" s="121">
        <f t="shared" si="2"/>
        <v>36.631447479311007</v>
      </c>
      <c r="C19" s="739"/>
      <c r="D19" s="739"/>
      <c r="E19" s="739"/>
      <c r="F19" s="739"/>
      <c r="G19" s="739"/>
      <c r="H19" s="739"/>
      <c r="I19" s="739"/>
      <c r="J19" s="739"/>
      <c r="K19">
        <f t="shared" si="1"/>
        <v>16</v>
      </c>
      <c r="L19">
        <v>1986</v>
      </c>
      <c r="M19">
        <v>32.881932614337785</v>
      </c>
      <c r="O19">
        <v>2000</v>
      </c>
      <c r="P19" s="945">
        <v>37.147716384354254</v>
      </c>
      <c r="Q19" s="945">
        <v>36.874410246403464</v>
      </c>
      <c r="R19" s="945">
        <v>36.561086911137068</v>
      </c>
      <c r="S19" s="945">
        <v>35.942576375349233</v>
      </c>
    </row>
    <row r="20" spans="1:19">
      <c r="A20" s="2">
        <f t="shared" si="0"/>
        <v>2001</v>
      </c>
      <c r="B20" s="121">
        <f t="shared" si="2"/>
        <v>34.270360205856107</v>
      </c>
      <c r="C20" s="739"/>
      <c r="D20" s="739"/>
      <c r="E20" s="739"/>
      <c r="F20" s="739"/>
      <c r="G20" s="739"/>
      <c r="H20" s="739"/>
      <c r="I20" s="739"/>
      <c r="J20" s="739"/>
      <c r="K20">
        <f t="shared" si="1"/>
        <v>17</v>
      </c>
      <c r="L20">
        <v>1996</v>
      </c>
      <c r="M20">
        <v>32.560964427436183</v>
      </c>
      <c r="O20">
        <v>2001</v>
      </c>
      <c r="P20" s="945">
        <v>34.204935231960967</v>
      </c>
      <c r="Q20" s="945">
        <v>35.200692048272572</v>
      </c>
      <c r="R20" s="945">
        <v>33.970727002625019</v>
      </c>
      <c r="S20" s="945">
        <v>33.705086540565887</v>
      </c>
    </row>
    <row r="21" spans="1:19">
      <c r="A21" s="2">
        <f t="shared" si="0"/>
        <v>2002</v>
      </c>
      <c r="B21" s="121">
        <f t="shared" si="2"/>
        <v>35.081837647169337</v>
      </c>
      <c r="C21" s="739"/>
      <c r="D21" s="739"/>
      <c r="E21" s="739"/>
      <c r="F21" s="739"/>
      <c r="G21" s="739"/>
      <c r="H21" s="739"/>
      <c r="I21" s="739"/>
      <c r="J21" s="739"/>
      <c r="K21">
        <f t="shared" si="1"/>
        <v>18</v>
      </c>
      <c r="L21">
        <v>2003</v>
      </c>
      <c r="M21">
        <v>31.908685782898505</v>
      </c>
      <c r="O21">
        <v>2002</v>
      </c>
      <c r="P21" s="945">
        <v>35.549056413146999</v>
      </c>
      <c r="Q21" s="945">
        <v>35.394158726427435</v>
      </c>
      <c r="R21" s="945">
        <v>34.544443627887269</v>
      </c>
      <c r="S21" s="945">
        <v>34.839691821215631</v>
      </c>
    </row>
    <row r="22" spans="1:19">
      <c r="A22" s="2">
        <f t="shared" si="0"/>
        <v>2003</v>
      </c>
      <c r="B22" s="121">
        <f t="shared" si="2"/>
        <v>35.479570509847299</v>
      </c>
      <c r="C22" s="739"/>
      <c r="D22" s="739"/>
      <c r="E22" s="739"/>
      <c r="F22" s="739"/>
      <c r="G22" s="739"/>
      <c r="H22" s="739"/>
      <c r="I22" s="739"/>
      <c r="J22" s="739"/>
      <c r="K22">
        <f t="shared" si="1"/>
        <v>19</v>
      </c>
      <c r="L22">
        <v>2002</v>
      </c>
      <c r="M22">
        <v>31.760786828021125</v>
      </c>
      <c r="O22">
        <v>2003</v>
      </c>
      <c r="P22" s="945">
        <v>35.816729726938092</v>
      </c>
      <c r="Q22" s="945">
        <v>34.041430965149353</v>
      </c>
      <c r="R22" s="945">
        <v>35.810588036452465</v>
      </c>
      <c r="S22" s="945">
        <v>36.249533310849301</v>
      </c>
    </row>
    <row r="23" spans="1:19">
      <c r="A23" s="2">
        <f t="shared" si="0"/>
        <v>2004</v>
      </c>
      <c r="B23" s="121">
        <f t="shared" si="2"/>
        <v>36.652078466656071</v>
      </c>
      <c r="C23" s="739"/>
      <c r="D23" s="739"/>
      <c r="E23" s="739"/>
      <c r="F23" s="739"/>
      <c r="G23" s="739"/>
      <c r="H23" s="739"/>
      <c r="I23" s="739"/>
      <c r="J23" s="739"/>
      <c r="K23">
        <f t="shared" si="1"/>
        <v>20</v>
      </c>
      <c r="L23">
        <v>1999</v>
      </c>
      <c r="M23">
        <v>31.469516237498624</v>
      </c>
      <c r="O23">
        <v>2004</v>
      </c>
      <c r="P23" s="945">
        <v>34.911166301164116</v>
      </c>
      <c r="Q23" s="945">
        <v>37.761335237924335</v>
      </c>
      <c r="R23" s="945">
        <v>37.304971036860309</v>
      </c>
      <c r="S23" s="945">
        <v>36.630841290675527</v>
      </c>
    </row>
    <row r="24" spans="1:19">
      <c r="A24" s="2">
        <v>2005</v>
      </c>
      <c r="B24" s="121">
        <f t="shared" si="2"/>
        <v>37.29265033417196</v>
      </c>
      <c r="C24" s="739"/>
      <c r="D24" s="739"/>
      <c r="E24" s="739"/>
      <c r="F24" s="739"/>
      <c r="G24" s="739"/>
      <c r="H24" s="739"/>
      <c r="I24" s="739"/>
      <c r="J24" s="739"/>
      <c r="K24">
        <f t="shared" si="1"/>
        <v>21</v>
      </c>
      <c r="L24">
        <v>1997</v>
      </c>
      <c r="M24">
        <v>31.273395397136461</v>
      </c>
      <c r="O24">
        <v>2005</v>
      </c>
      <c r="P24" s="945">
        <v>37.583392654417977</v>
      </c>
      <c r="Q24" s="945">
        <v>36.344619037156285</v>
      </c>
      <c r="R24" s="945">
        <v>36.773908406308266</v>
      </c>
      <c r="S24" s="945">
        <v>38.468681238805317</v>
      </c>
    </row>
    <row r="25" spans="1:19">
      <c r="A25" s="2">
        <v>2006</v>
      </c>
      <c r="B25" s="121">
        <f t="shared" si="2"/>
        <v>40.982921825453957</v>
      </c>
      <c r="C25" s="739"/>
      <c r="D25" s="739"/>
      <c r="E25" s="739"/>
      <c r="F25" s="739"/>
      <c r="G25" s="739"/>
      <c r="H25" s="739"/>
      <c r="I25" s="739"/>
      <c r="J25" s="739"/>
      <c r="K25">
        <f t="shared" si="1"/>
        <v>22</v>
      </c>
      <c r="L25">
        <v>2001</v>
      </c>
      <c r="M25">
        <v>31.079804109993098</v>
      </c>
      <c r="O25">
        <v>2006</v>
      </c>
      <c r="P25" s="945">
        <v>39.700150974684725</v>
      </c>
      <c r="Q25" s="945">
        <v>41.401499567159249</v>
      </c>
      <c r="R25" s="945">
        <v>41.476537356939154</v>
      </c>
      <c r="S25" s="945">
        <v>41.353499403032686</v>
      </c>
    </row>
    <row r="26" spans="1:19">
      <c r="A26" s="2">
        <v>2007</v>
      </c>
      <c r="B26" s="121">
        <f t="shared" si="2"/>
        <v>44.911344147757603</v>
      </c>
      <c r="C26" s="739"/>
      <c r="D26" s="739"/>
      <c r="E26" s="739"/>
      <c r="F26" s="739"/>
      <c r="G26" s="739"/>
      <c r="H26" s="739"/>
      <c r="I26" s="739"/>
      <c r="J26" s="739"/>
      <c r="K26">
        <v>23</v>
      </c>
      <c r="L26">
        <v>1998</v>
      </c>
      <c r="M26">
        <v>30.67593734050968</v>
      </c>
      <c r="O26">
        <v>2007</v>
      </c>
      <c r="P26" s="945">
        <v>42.041012291672644</v>
      </c>
      <c r="Q26" s="945">
        <v>45.488830092929817</v>
      </c>
      <c r="R26" s="945">
        <v>45.55183529880189</v>
      </c>
      <c r="S26" s="945">
        <v>46.563698907626069</v>
      </c>
    </row>
    <row r="27" spans="1:19">
      <c r="A27" s="2">
        <v>2008</v>
      </c>
      <c r="B27" s="121">
        <f t="shared" si="2"/>
        <v>45.240055533254235</v>
      </c>
      <c r="C27" s="739"/>
      <c r="D27" s="739"/>
      <c r="E27" s="739"/>
      <c r="F27" s="739"/>
      <c r="G27" s="739"/>
      <c r="H27" s="739"/>
      <c r="I27" s="739"/>
      <c r="J27" s="739"/>
      <c r="O27">
        <v>2008</v>
      </c>
      <c r="P27" s="945">
        <v>45.983697150773217</v>
      </c>
      <c r="Q27" s="945">
        <v>46.338843304120999</v>
      </c>
      <c r="R27" s="945">
        <v>45.206594780136037</v>
      </c>
      <c r="S27" s="945">
        <v>43.431086897986702</v>
      </c>
    </row>
    <row r="28" spans="1:19">
      <c r="A28" s="119" t="s">
        <v>1799</v>
      </c>
      <c r="B28" s="121">
        <f t="shared" si="2"/>
        <v>39.38345871675876</v>
      </c>
      <c r="C28" s="739"/>
      <c r="D28" s="739"/>
      <c r="E28" s="739"/>
      <c r="F28" s="739"/>
      <c r="G28" s="739"/>
      <c r="H28" s="739"/>
      <c r="I28" s="739"/>
      <c r="J28" s="739"/>
      <c r="M28">
        <f>AVERAGE(M4:M26)</f>
        <v>35.35737322696567</v>
      </c>
      <c r="O28">
        <v>2009</v>
      </c>
      <c r="P28" s="945">
        <v>39.38345871675876</v>
      </c>
    </row>
    <row r="29" spans="1:19">
      <c r="A29" s="739" t="s">
        <v>655</v>
      </c>
      <c r="B29" s="739"/>
      <c r="C29" s="739"/>
      <c r="D29" s="739"/>
      <c r="E29" s="739"/>
      <c r="F29" s="739"/>
      <c r="G29" s="739"/>
      <c r="H29" s="739"/>
      <c r="I29" s="739"/>
      <c r="J29" s="739"/>
    </row>
    <row r="30" spans="1:19">
      <c r="A30" s="119" t="s">
        <v>1800</v>
      </c>
      <c r="B30" s="6">
        <f>(B27/B4-1)*100</f>
        <v>24.501624259590837</v>
      </c>
      <c r="C30" s="739"/>
      <c r="D30" s="739"/>
      <c r="E30" s="739"/>
      <c r="F30" s="739"/>
      <c r="G30" s="739"/>
      <c r="H30" s="739"/>
      <c r="I30" s="739"/>
      <c r="J30" s="739"/>
    </row>
    <row r="31" spans="1:19">
      <c r="A31" s="119" t="s">
        <v>1804</v>
      </c>
      <c r="B31" s="6">
        <f>(B28/B4-1)*100</f>
        <v>8.3841414737604545</v>
      </c>
      <c r="C31" s="739"/>
      <c r="D31" s="739"/>
      <c r="E31" s="739"/>
      <c r="F31" s="739"/>
      <c r="G31" s="739"/>
      <c r="H31" s="739"/>
      <c r="I31" s="739"/>
      <c r="J31" s="739"/>
    </row>
    <row r="32" spans="1:19">
      <c r="A32" s="739" t="s">
        <v>1801</v>
      </c>
      <c r="B32" s="739"/>
      <c r="C32" s="739"/>
      <c r="D32" s="739"/>
      <c r="E32" s="739"/>
      <c r="F32" s="739"/>
      <c r="G32" s="739"/>
      <c r="H32" s="739"/>
      <c r="I32" s="739"/>
      <c r="J32" s="739"/>
    </row>
    <row r="33" spans="1:10" ht="15" customHeight="1">
      <c r="A33" s="726" t="s">
        <v>1802</v>
      </c>
      <c r="B33" s="727"/>
      <c r="C33" s="727"/>
      <c r="D33" s="727"/>
      <c r="E33" s="727"/>
      <c r="F33" s="727"/>
      <c r="G33" s="727"/>
      <c r="H33" s="727"/>
      <c r="I33" s="727"/>
      <c r="J33" s="727"/>
    </row>
    <row r="34" spans="1:10" ht="15" customHeight="1">
      <c r="A34" s="739" t="s">
        <v>1124</v>
      </c>
      <c r="B34" s="739"/>
      <c r="C34" s="739"/>
      <c r="D34" s="739"/>
      <c r="E34" s="739"/>
      <c r="F34" s="739"/>
      <c r="G34" s="739"/>
      <c r="H34" s="739"/>
      <c r="I34" s="739"/>
      <c r="J34" s="739"/>
    </row>
    <row r="35" spans="1:10" ht="12.75" customHeight="1">
      <c r="A35" s="1168" t="s">
        <v>1965</v>
      </c>
      <c r="B35" s="1168"/>
      <c r="C35" s="1168"/>
      <c r="D35" s="1168"/>
      <c r="E35" s="1168"/>
      <c r="F35" s="1168"/>
      <c r="G35" s="1168"/>
      <c r="H35" s="1168"/>
      <c r="I35" s="1168"/>
      <c r="J35" s="1168"/>
    </row>
    <row r="36" spans="1:10">
      <c r="A36" s="1168"/>
      <c r="B36" s="1168"/>
      <c r="C36" s="1168"/>
      <c r="D36" s="1168"/>
      <c r="E36" s="1168"/>
      <c r="F36" s="1168"/>
      <c r="G36" s="1168"/>
      <c r="H36" s="1168"/>
      <c r="I36" s="1168"/>
      <c r="J36" s="1168"/>
    </row>
    <row r="37" spans="1:10">
      <c r="A37" s="1168"/>
      <c r="B37" s="1168"/>
      <c r="C37" s="1168"/>
      <c r="D37" s="1168"/>
      <c r="E37" s="1168"/>
      <c r="F37" s="1168"/>
      <c r="G37" s="1168"/>
      <c r="H37" s="1168"/>
      <c r="I37" s="1168"/>
      <c r="J37" s="1168"/>
    </row>
    <row r="38" spans="1:10">
      <c r="A38" s="1168"/>
      <c r="B38" s="1168"/>
      <c r="C38" s="1168"/>
      <c r="D38" s="1168"/>
      <c r="E38" s="1168"/>
      <c r="F38" s="1168"/>
      <c r="G38" s="1168"/>
      <c r="H38" s="1168"/>
      <c r="I38" s="1168"/>
      <c r="J38" s="1168"/>
    </row>
  </sheetData>
  <sortState ref="L4:M26">
    <sortCondition descending="1" ref="M4:M26"/>
  </sortState>
  <mergeCells count="1">
    <mergeCell ref="A35:J38"/>
  </mergeCells>
  <phoneticPr fontId="35" type="noConversion"/>
  <pageMargins left="0.75" right="0.75" top="1" bottom="1" header="0.5" footer="0.5"/>
  <pageSetup orientation="portrait" horizontalDpi="4294967292" verticalDpi="1200" r:id="rId1"/>
  <headerFooter alignWithMargins="0"/>
</worksheet>
</file>

<file path=xl/worksheets/sheet121.xml><?xml version="1.0" encoding="utf-8"?>
<worksheet xmlns="http://schemas.openxmlformats.org/spreadsheetml/2006/main" xmlns:r="http://schemas.openxmlformats.org/officeDocument/2006/relationships">
  <sheetPr codeName="Sheet90">
    <pageSetUpPr fitToPage="1"/>
  </sheetPr>
  <dimension ref="A1:AE34"/>
  <sheetViews>
    <sheetView view="pageBreakPreview" zoomScale="90" zoomScaleSheetLayoutView="9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14.7109375" style="55" customWidth="1"/>
    <col min="2" max="20" width="8" style="55" customWidth="1"/>
    <col min="21" max="21" width="8.42578125" style="55" customWidth="1"/>
    <col min="22" max="16384" width="8" style="55"/>
  </cols>
  <sheetData>
    <row r="1" spans="1:31" ht="15.75">
      <c r="A1" s="745" t="s">
        <v>685</v>
      </c>
      <c r="B1" s="49"/>
      <c r="C1" s="49"/>
      <c r="D1" s="49"/>
    </row>
    <row r="2" spans="1:31" ht="28.9" customHeight="1">
      <c r="A2" s="55" t="s">
        <v>805</v>
      </c>
    </row>
    <row r="3" spans="1:31">
      <c r="A3" s="204" t="s">
        <v>806</v>
      </c>
      <c r="B3" s="205">
        <v>1991</v>
      </c>
      <c r="C3" s="205">
        <v>1992</v>
      </c>
      <c r="D3" s="205">
        <v>1993</v>
      </c>
      <c r="E3" s="205">
        <v>1994</v>
      </c>
      <c r="F3" s="205">
        <v>1995</v>
      </c>
      <c r="G3" s="205">
        <v>1996</v>
      </c>
      <c r="H3" s="205">
        <v>1997</v>
      </c>
      <c r="I3" s="205">
        <v>1998</v>
      </c>
      <c r="J3" s="205">
        <v>1999</v>
      </c>
      <c r="K3" s="205">
        <v>2000</v>
      </c>
      <c r="L3" s="205">
        <v>2001</v>
      </c>
      <c r="M3" s="205">
        <v>2002</v>
      </c>
      <c r="N3" s="205">
        <v>2003</v>
      </c>
      <c r="O3" s="205">
        <v>2003</v>
      </c>
      <c r="P3" s="205">
        <v>2003</v>
      </c>
      <c r="Q3" s="205">
        <v>2003</v>
      </c>
      <c r="R3" s="205">
        <v>2003</v>
      </c>
      <c r="S3" s="205">
        <v>2004</v>
      </c>
      <c r="T3" s="205">
        <v>2004</v>
      </c>
      <c r="U3" s="205">
        <v>2004</v>
      </c>
      <c r="V3" s="197">
        <v>2005</v>
      </c>
      <c r="W3" s="197">
        <v>2005</v>
      </c>
      <c r="X3" s="197">
        <v>2005</v>
      </c>
      <c r="Y3" s="197">
        <v>2006</v>
      </c>
      <c r="Z3" s="197">
        <v>2007</v>
      </c>
      <c r="AA3" s="197">
        <v>2008</v>
      </c>
      <c r="AB3" s="197">
        <v>2008</v>
      </c>
      <c r="AC3" s="197">
        <v>2009</v>
      </c>
      <c r="AD3" s="197">
        <v>2009</v>
      </c>
      <c r="AE3" s="197">
        <v>2009</v>
      </c>
    </row>
    <row r="4" spans="1:31">
      <c r="A4" s="54"/>
      <c r="B4" s="193" t="s">
        <v>754</v>
      </c>
      <c r="C4" s="193" t="s">
        <v>754</v>
      </c>
      <c r="D4" s="193" t="s">
        <v>754</v>
      </c>
      <c r="E4" s="193" t="s">
        <v>754</v>
      </c>
      <c r="F4" s="193" t="s">
        <v>754</v>
      </c>
      <c r="G4" s="193" t="s">
        <v>755</v>
      </c>
      <c r="H4" s="193" t="s">
        <v>756</v>
      </c>
      <c r="I4" s="193" t="s">
        <v>755</v>
      </c>
      <c r="J4" s="193" t="s">
        <v>754</v>
      </c>
      <c r="K4" s="193" t="s">
        <v>754</v>
      </c>
      <c r="L4" s="193" t="s">
        <v>754</v>
      </c>
      <c r="M4" s="193" t="s">
        <v>756</v>
      </c>
      <c r="N4" s="193" t="s">
        <v>757</v>
      </c>
      <c r="O4" s="193" t="s">
        <v>758</v>
      </c>
      <c r="P4" s="193" t="s">
        <v>759</v>
      </c>
      <c r="Q4" s="193" t="s">
        <v>760</v>
      </c>
      <c r="R4" s="193" t="s">
        <v>756</v>
      </c>
      <c r="S4" s="193" t="s">
        <v>757</v>
      </c>
      <c r="T4" s="193" t="s">
        <v>755</v>
      </c>
      <c r="U4" s="193" t="s">
        <v>761</v>
      </c>
      <c r="V4" s="203" t="s">
        <v>757</v>
      </c>
      <c r="W4" s="203" t="s">
        <v>755</v>
      </c>
      <c r="X4" s="203" t="s">
        <v>760</v>
      </c>
      <c r="Y4" s="203" t="s">
        <v>757</v>
      </c>
      <c r="Z4" s="203" t="s">
        <v>2260</v>
      </c>
      <c r="AA4" s="203" t="s">
        <v>758</v>
      </c>
      <c r="AB4" s="203" t="s">
        <v>756</v>
      </c>
      <c r="AC4" s="203" t="s">
        <v>2261</v>
      </c>
      <c r="AD4" s="203" t="s">
        <v>754</v>
      </c>
      <c r="AE4" s="203" t="s">
        <v>755</v>
      </c>
    </row>
    <row r="5" spans="1:31">
      <c r="A5" s="206" t="s">
        <v>762</v>
      </c>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row>
    <row r="6" spans="1:31">
      <c r="A6" s="50" t="s">
        <v>763</v>
      </c>
      <c r="B6" s="207">
        <v>29</v>
      </c>
      <c r="C6" s="194">
        <v>24</v>
      </c>
      <c r="D6" s="194">
        <v>28</v>
      </c>
      <c r="E6" s="194">
        <v>27</v>
      </c>
      <c r="F6" s="194">
        <v>27</v>
      </c>
      <c r="G6" s="194">
        <v>27</v>
      </c>
      <c r="H6" s="194">
        <v>32</v>
      </c>
      <c r="I6" s="194">
        <v>34</v>
      </c>
      <c r="J6" s="194">
        <v>33</v>
      </c>
      <c r="K6" s="194">
        <v>38</v>
      </c>
      <c r="L6" s="194">
        <v>29</v>
      </c>
      <c r="M6" s="194">
        <v>35</v>
      </c>
      <c r="N6" s="194">
        <v>44</v>
      </c>
      <c r="O6" s="194">
        <v>36</v>
      </c>
      <c r="P6" s="194">
        <v>35</v>
      </c>
      <c r="Q6" s="194">
        <v>37</v>
      </c>
      <c r="R6" s="194">
        <v>34</v>
      </c>
      <c r="S6" s="194">
        <v>37</v>
      </c>
      <c r="T6" s="194">
        <v>33</v>
      </c>
      <c r="U6" s="194">
        <v>35</v>
      </c>
      <c r="V6" s="194">
        <v>36</v>
      </c>
      <c r="W6" s="194">
        <v>33</v>
      </c>
      <c r="X6" s="194">
        <v>36</v>
      </c>
      <c r="Y6" s="194">
        <v>34</v>
      </c>
      <c r="Z6" s="194">
        <v>38</v>
      </c>
      <c r="AA6" s="194">
        <v>31</v>
      </c>
      <c r="AB6" s="194">
        <v>21</v>
      </c>
      <c r="AC6" s="194">
        <v>26</v>
      </c>
      <c r="AD6" s="194">
        <v>30</v>
      </c>
      <c r="AE6" s="194">
        <v>35</v>
      </c>
    </row>
    <row r="7" spans="1:31">
      <c r="A7" s="50" t="s">
        <v>764</v>
      </c>
      <c r="B7" s="207">
        <v>50</v>
      </c>
      <c r="C7" s="207">
        <v>57</v>
      </c>
      <c r="D7" s="207">
        <v>53</v>
      </c>
      <c r="E7" s="207">
        <v>54</v>
      </c>
      <c r="F7" s="207">
        <v>55</v>
      </c>
      <c r="G7" s="207">
        <v>53</v>
      </c>
      <c r="H7" s="207">
        <v>53</v>
      </c>
      <c r="I7" s="207">
        <v>53</v>
      </c>
      <c r="J7" s="207">
        <v>55</v>
      </c>
      <c r="K7" s="207">
        <v>48</v>
      </c>
      <c r="L7" s="207">
        <v>55</v>
      </c>
      <c r="M7" s="207">
        <v>47</v>
      </c>
      <c r="N7" s="207">
        <v>46</v>
      </c>
      <c r="O7" s="207">
        <v>54</v>
      </c>
      <c r="P7" s="207">
        <v>51</v>
      </c>
      <c r="Q7" s="207">
        <v>50</v>
      </c>
      <c r="R7" s="207">
        <v>52</v>
      </c>
      <c r="S7" s="207">
        <v>49</v>
      </c>
      <c r="T7" s="207">
        <v>46</v>
      </c>
      <c r="U7" s="207">
        <v>50</v>
      </c>
      <c r="V7" s="194">
        <f>100-V6-V8</f>
        <v>52</v>
      </c>
      <c r="W7" s="194">
        <f t="shared" ref="W7:AE7" si="0">100-W6-W8</f>
        <v>54</v>
      </c>
      <c r="X7" s="194">
        <f t="shared" si="0"/>
        <v>48</v>
      </c>
      <c r="Y7" s="194">
        <f t="shared" si="0"/>
        <v>52</v>
      </c>
      <c r="Z7" s="194">
        <f t="shared" si="0"/>
        <v>52</v>
      </c>
      <c r="AA7" s="194">
        <f t="shared" si="0"/>
        <v>51</v>
      </c>
      <c r="AB7" s="194">
        <f t="shared" si="0"/>
        <v>61</v>
      </c>
      <c r="AC7" s="194">
        <f t="shared" si="0"/>
        <v>55</v>
      </c>
      <c r="AD7" s="194">
        <f t="shared" si="0"/>
        <v>55</v>
      </c>
      <c r="AE7" s="194">
        <f t="shared" si="0"/>
        <v>54</v>
      </c>
    </row>
    <row r="8" spans="1:31">
      <c r="A8" s="54" t="s">
        <v>765</v>
      </c>
      <c r="B8" s="193">
        <v>19</v>
      </c>
      <c r="C8" s="193">
        <v>18</v>
      </c>
      <c r="D8" s="193">
        <v>17</v>
      </c>
      <c r="E8" s="193">
        <v>19</v>
      </c>
      <c r="F8" s="193">
        <v>17</v>
      </c>
      <c r="G8" s="193">
        <v>19</v>
      </c>
      <c r="H8" s="193">
        <v>15</v>
      </c>
      <c r="I8" s="193">
        <v>12</v>
      </c>
      <c r="J8" s="193">
        <v>11</v>
      </c>
      <c r="K8" s="193">
        <v>13</v>
      </c>
      <c r="L8" s="193">
        <v>16</v>
      </c>
      <c r="M8" s="193">
        <v>17</v>
      </c>
      <c r="N8" s="193">
        <v>10</v>
      </c>
      <c r="O8" s="193">
        <v>9</v>
      </c>
      <c r="P8" s="193">
        <v>13</v>
      </c>
      <c r="Q8" s="193">
        <v>12</v>
      </c>
      <c r="R8" s="193">
        <v>13</v>
      </c>
      <c r="S8" s="193">
        <v>13</v>
      </c>
      <c r="T8" s="193">
        <v>20</v>
      </c>
      <c r="U8" s="193">
        <v>15</v>
      </c>
      <c r="V8" s="194">
        <v>12</v>
      </c>
      <c r="W8" s="194">
        <v>13</v>
      </c>
      <c r="X8" s="194">
        <v>16</v>
      </c>
      <c r="Y8" s="194">
        <v>14</v>
      </c>
      <c r="Z8" s="194">
        <v>10</v>
      </c>
      <c r="AA8" s="194">
        <v>18</v>
      </c>
      <c r="AB8" s="194">
        <v>18</v>
      </c>
      <c r="AC8" s="194">
        <v>19</v>
      </c>
      <c r="AD8" s="194">
        <v>15</v>
      </c>
      <c r="AE8" s="194">
        <v>11</v>
      </c>
    </row>
    <row r="9" spans="1:31">
      <c r="A9" s="206" t="s">
        <v>766</v>
      </c>
      <c r="B9" s="206"/>
      <c r="C9" s="206"/>
      <c r="D9" s="206"/>
      <c r="E9" s="206"/>
      <c r="F9" s="206"/>
      <c r="G9" s="206"/>
      <c r="H9" s="206"/>
      <c r="I9" s="206"/>
      <c r="J9" s="206"/>
      <c r="K9" s="206"/>
      <c r="L9" s="206"/>
      <c r="M9" s="206"/>
      <c r="N9" s="206"/>
      <c r="O9" s="206"/>
      <c r="P9" s="206"/>
      <c r="Q9" s="206"/>
      <c r="R9" s="206"/>
      <c r="S9" s="206"/>
      <c r="T9" s="206"/>
      <c r="U9" s="206"/>
      <c r="V9" s="1143"/>
      <c r="W9" s="1143"/>
      <c r="X9" s="1143"/>
      <c r="Y9" s="1143"/>
      <c r="Z9" s="1143"/>
      <c r="AA9" s="1143"/>
      <c r="AB9" s="1143"/>
      <c r="AC9" s="1143"/>
      <c r="AD9" s="1143"/>
      <c r="AE9" s="1143"/>
    </row>
    <row r="10" spans="1:31">
      <c r="A10" s="50" t="s">
        <v>763</v>
      </c>
      <c r="B10" s="207">
        <v>37</v>
      </c>
      <c r="C10" s="194">
        <v>31</v>
      </c>
      <c r="D10" s="194">
        <v>31</v>
      </c>
      <c r="E10" s="194">
        <v>33</v>
      </c>
      <c r="F10" s="194">
        <v>28</v>
      </c>
      <c r="G10" s="194">
        <v>25</v>
      </c>
      <c r="H10" s="194">
        <v>38</v>
      </c>
      <c r="I10" s="194">
        <v>25</v>
      </c>
      <c r="J10" s="194">
        <v>34</v>
      </c>
      <c r="K10" s="194">
        <v>38</v>
      </c>
      <c r="L10" s="194">
        <v>23</v>
      </c>
      <c r="M10" s="194">
        <v>30</v>
      </c>
      <c r="N10" s="194">
        <v>43</v>
      </c>
      <c r="O10" s="194">
        <v>33</v>
      </c>
      <c r="P10" s="194">
        <v>38</v>
      </c>
      <c r="Q10" s="194">
        <v>40</v>
      </c>
      <c r="R10" s="194">
        <v>32</v>
      </c>
      <c r="S10" s="194">
        <v>34</v>
      </c>
      <c r="T10" s="194">
        <v>37</v>
      </c>
      <c r="U10" s="194">
        <v>35</v>
      </c>
      <c r="V10" s="194">
        <v>38</v>
      </c>
      <c r="W10" s="194">
        <v>39</v>
      </c>
      <c r="X10" s="194">
        <v>39</v>
      </c>
      <c r="Y10" s="194">
        <v>35</v>
      </c>
      <c r="Z10" s="194">
        <v>37</v>
      </c>
      <c r="AA10" s="194">
        <v>29</v>
      </c>
      <c r="AB10" s="194">
        <v>20</v>
      </c>
      <c r="AC10" s="194">
        <v>20</v>
      </c>
      <c r="AD10" s="194">
        <v>27</v>
      </c>
      <c r="AE10" s="194">
        <v>37</v>
      </c>
    </row>
    <row r="11" spans="1:31">
      <c r="A11" s="50" t="s">
        <v>764</v>
      </c>
      <c r="B11" s="207">
        <v>44</v>
      </c>
      <c r="C11" s="207">
        <v>52</v>
      </c>
      <c r="D11" s="207">
        <v>49</v>
      </c>
      <c r="E11" s="207">
        <v>51</v>
      </c>
      <c r="F11" s="207">
        <v>51</v>
      </c>
      <c r="G11" s="207">
        <v>58</v>
      </c>
      <c r="H11" s="207">
        <v>50</v>
      </c>
      <c r="I11" s="207">
        <v>59</v>
      </c>
      <c r="J11" s="207">
        <v>58</v>
      </c>
      <c r="K11" s="207">
        <v>45</v>
      </c>
      <c r="L11" s="207">
        <v>56</v>
      </c>
      <c r="M11" s="207">
        <v>42</v>
      </c>
      <c r="N11" s="207">
        <v>48</v>
      </c>
      <c r="O11" s="207">
        <v>54</v>
      </c>
      <c r="P11" s="207">
        <v>48</v>
      </c>
      <c r="Q11" s="207">
        <v>44</v>
      </c>
      <c r="R11" s="207">
        <v>50</v>
      </c>
      <c r="S11" s="207">
        <v>48</v>
      </c>
      <c r="T11" s="207">
        <v>44</v>
      </c>
      <c r="U11" s="207">
        <v>53</v>
      </c>
      <c r="V11" s="194">
        <f>100-V10-V12</f>
        <v>46</v>
      </c>
      <c r="W11" s="194">
        <v>51</v>
      </c>
      <c r="X11" s="194">
        <v>51</v>
      </c>
      <c r="Y11" s="194">
        <v>49</v>
      </c>
      <c r="Z11" s="194">
        <v>53</v>
      </c>
      <c r="AA11" s="194">
        <v>51</v>
      </c>
      <c r="AB11" s="194">
        <v>61</v>
      </c>
      <c r="AC11" s="194">
        <v>55</v>
      </c>
      <c r="AD11" s="194">
        <v>58</v>
      </c>
      <c r="AE11" s="194">
        <v>49</v>
      </c>
    </row>
    <row r="12" spans="1:31">
      <c r="A12" s="54" t="s">
        <v>765</v>
      </c>
      <c r="B12" s="193">
        <v>18</v>
      </c>
      <c r="C12" s="193">
        <v>16</v>
      </c>
      <c r="D12" s="193">
        <v>20</v>
      </c>
      <c r="E12" s="193">
        <v>15</v>
      </c>
      <c r="F12" s="193">
        <v>19</v>
      </c>
      <c r="G12" s="193">
        <v>16</v>
      </c>
      <c r="H12" s="193">
        <v>11</v>
      </c>
      <c r="I12" s="193">
        <v>15</v>
      </c>
      <c r="J12" s="193">
        <v>8</v>
      </c>
      <c r="K12" s="193">
        <v>16</v>
      </c>
      <c r="L12" s="193">
        <v>20</v>
      </c>
      <c r="M12" s="193">
        <v>27</v>
      </c>
      <c r="N12" s="193">
        <v>10</v>
      </c>
      <c r="O12" s="193">
        <v>12</v>
      </c>
      <c r="P12" s="193">
        <v>13</v>
      </c>
      <c r="Q12" s="193">
        <v>15</v>
      </c>
      <c r="R12" s="193">
        <v>18</v>
      </c>
      <c r="S12" s="193">
        <v>16</v>
      </c>
      <c r="T12" s="193">
        <v>19</v>
      </c>
      <c r="U12" s="193">
        <v>13</v>
      </c>
      <c r="V12" s="194">
        <v>16</v>
      </c>
      <c r="W12" s="194">
        <v>10</v>
      </c>
      <c r="X12" s="194">
        <v>10</v>
      </c>
      <c r="Y12" s="194">
        <v>16</v>
      </c>
      <c r="Z12" s="194">
        <v>10</v>
      </c>
      <c r="AA12" s="194">
        <v>20</v>
      </c>
      <c r="AB12" s="194">
        <v>19</v>
      </c>
      <c r="AC12" s="194">
        <v>25</v>
      </c>
      <c r="AD12" s="194">
        <v>15</v>
      </c>
      <c r="AE12" s="194">
        <v>14</v>
      </c>
    </row>
    <row r="13" spans="1:31">
      <c r="A13" s="206" t="s">
        <v>767</v>
      </c>
      <c r="B13" s="206"/>
      <c r="C13" s="206"/>
      <c r="D13" s="206"/>
      <c r="E13" s="206"/>
      <c r="F13" s="206"/>
      <c r="G13" s="206"/>
      <c r="H13" s="206"/>
      <c r="I13" s="206"/>
      <c r="J13" s="206"/>
      <c r="K13" s="206"/>
      <c r="L13" s="206"/>
      <c r="M13" s="206"/>
      <c r="N13" s="206"/>
      <c r="O13" s="206"/>
      <c r="P13" s="206"/>
      <c r="Q13" s="206"/>
      <c r="R13" s="206"/>
      <c r="S13" s="206"/>
      <c r="T13" s="206"/>
      <c r="U13" s="206"/>
      <c r="V13" s="1143"/>
      <c r="W13" s="1143"/>
      <c r="X13" s="1143"/>
      <c r="Y13" s="1143"/>
      <c r="Z13" s="1143"/>
      <c r="AA13" s="1143"/>
      <c r="AB13" s="1143"/>
      <c r="AC13" s="1143"/>
      <c r="AD13" s="1143"/>
      <c r="AE13" s="1143"/>
    </row>
    <row r="14" spans="1:31">
      <c r="A14" s="50" t="s">
        <v>763</v>
      </c>
      <c r="B14" s="207">
        <v>32</v>
      </c>
      <c r="C14" s="194">
        <v>24</v>
      </c>
      <c r="D14" s="194">
        <v>31</v>
      </c>
      <c r="E14" s="194">
        <v>22</v>
      </c>
      <c r="F14" s="194">
        <v>28</v>
      </c>
      <c r="G14" s="194">
        <v>40</v>
      </c>
      <c r="H14" s="194">
        <v>49</v>
      </c>
      <c r="I14" s="194">
        <v>36</v>
      </c>
      <c r="J14" s="194">
        <v>32</v>
      </c>
      <c r="K14" s="194">
        <v>38</v>
      </c>
      <c r="L14" s="194">
        <v>34</v>
      </c>
      <c r="M14" s="194">
        <v>28</v>
      </c>
      <c r="N14" s="194">
        <v>56</v>
      </c>
      <c r="O14" s="194">
        <v>35</v>
      </c>
      <c r="P14" s="194">
        <v>34</v>
      </c>
      <c r="Q14" s="194">
        <v>41</v>
      </c>
      <c r="R14" s="194">
        <v>38</v>
      </c>
      <c r="S14" s="194">
        <v>51</v>
      </c>
      <c r="T14" s="194">
        <v>39</v>
      </c>
      <c r="U14" s="194">
        <v>39</v>
      </c>
      <c r="V14" s="194">
        <v>38</v>
      </c>
      <c r="W14" s="194">
        <v>43</v>
      </c>
      <c r="X14" s="194">
        <v>45</v>
      </c>
      <c r="Y14" s="194">
        <v>45</v>
      </c>
      <c r="Z14" s="194">
        <v>41</v>
      </c>
      <c r="AA14" s="194">
        <v>32</v>
      </c>
      <c r="AB14" s="194">
        <v>22</v>
      </c>
      <c r="AC14" s="194">
        <v>27</v>
      </c>
      <c r="AD14" s="194">
        <v>33</v>
      </c>
      <c r="AE14" s="194">
        <v>35</v>
      </c>
    </row>
    <row r="15" spans="1:31">
      <c r="A15" s="50" t="s">
        <v>764</v>
      </c>
      <c r="B15" s="207">
        <v>52</v>
      </c>
      <c r="C15" s="207">
        <v>56</v>
      </c>
      <c r="D15" s="207">
        <v>53</v>
      </c>
      <c r="E15" s="207">
        <v>47</v>
      </c>
      <c r="F15" s="207">
        <v>52</v>
      </c>
      <c r="G15" s="207">
        <v>48</v>
      </c>
      <c r="H15" s="207">
        <v>38</v>
      </c>
      <c r="I15" s="207">
        <v>50</v>
      </c>
      <c r="J15" s="207">
        <v>54</v>
      </c>
      <c r="K15" s="207">
        <v>43</v>
      </c>
      <c r="L15" s="207">
        <v>55</v>
      </c>
      <c r="M15" s="207">
        <v>47</v>
      </c>
      <c r="N15" s="207">
        <v>31</v>
      </c>
      <c r="O15" s="207">
        <v>54</v>
      </c>
      <c r="P15" s="207">
        <v>47</v>
      </c>
      <c r="Q15" s="207">
        <v>48</v>
      </c>
      <c r="R15" s="207">
        <v>54</v>
      </c>
      <c r="S15" s="207">
        <v>34</v>
      </c>
      <c r="T15" s="207">
        <v>45</v>
      </c>
      <c r="U15" s="207">
        <v>45</v>
      </c>
      <c r="V15" s="194">
        <f>100-V14-V16</f>
        <v>54</v>
      </c>
      <c r="W15" s="194">
        <v>48</v>
      </c>
      <c r="X15" s="194">
        <v>39</v>
      </c>
      <c r="Y15" s="194">
        <v>50</v>
      </c>
      <c r="Z15" s="194">
        <v>50</v>
      </c>
      <c r="AA15" s="194">
        <v>50</v>
      </c>
      <c r="AB15" s="194">
        <v>60</v>
      </c>
      <c r="AC15" s="194">
        <v>62</v>
      </c>
      <c r="AD15" s="194">
        <v>50</v>
      </c>
      <c r="AE15" s="194">
        <v>54</v>
      </c>
    </row>
    <row r="16" spans="1:31">
      <c r="A16" s="54" t="s">
        <v>765</v>
      </c>
      <c r="B16" s="193">
        <v>14</v>
      </c>
      <c r="C16" s="193">
        <v>18</v>
      </c>
      <c r="D16" s="193">
        <v>16</v>
      </c>
      <c r="E16" s="193">
        <v>29</v>
      </c>
      <c r="F16" s="193">
        <v>18</v>
      </c>
      <c r="G16" s="193">
        <v>8</v>
      </c>
      <c r="H16" s="193">
        <v>13</v>
      </c>
      <c r="I16" s="193">
        <v>15</v>
      </c>
      <c r="J16" s="193">
        <v>14</v>
      </c>
      <c r="K16" s="193">
        <v>18</v>
      </c>
      <c r="L16" s="193">
        <v>12</v>
      </c>
      <c r="M16" s="193">
        <v>24</v>
      </c>
      <c r="N16" s="193">
        <v>13</v>
      </c>
      <c r="O16" s="193">
        <v>10</v>
      </c>
      <c r="P16" s="193">
        <v>18</v>
      </c>
      <c r="Q16" s="193">
        <v>8</v>
      </c>
      <c r="R16" s="193">
        <v>8</v>
      </c>
      <c r="S16" s="193">
        <v>16</v>
      </c>
      <c r="T16" s="193">
        <v>17</v>
      </c>
      <c r="U16" s="193">
        <v>15</v>
      </c>
      <c r="V16" s="194">
        <v>8</v>
      </c>
      <c r="W16" s="194">
        <v>9</v>
      </c>
      <c r="X16" s="194">
        <v>16</v>
      </c>
      <c r="Y16" s="194">
        <v>5</v>
      </c>
      <c r="Z16" s="194">
        <v>9</v>
      </c>
      <c r="AA16" s="194">
        <v>18</v>
      </c>
      <c r="AB16" s="194">
        <v>18</v>
      </c>
      <c r="AC16" s="194">
        <v>11</v>
      </c>
      <c r="AD16" s="194">
        <v>17</v>
      </c>
      <c r="AE16" s="194">
        <v>11</v>
      </c>
    </row>
    <row r="17" spans="1:31">
      <c r="A17" s="206" t="s">
        <v>768</v>
      </c>
      <c r="B17" s="206"/>
      <c r="C17" s="206"/>
      <c r="D17" s="206"/>
      <c r="E17" s="206"/>
      <c r="F17" s="206"/>
      <c r="G17" s="206"/>
      <c r="H17" s="206"/>
      <c r="I17" s="206"/>
      <c r="J17" s="206"/>
      <c r="K17" s="206"/>
      <c r="L17" s="206"/>
      <c r="M17" s="206"/>
      <c r="N17" s="206"/>
      <c r="O17" s="206"/>
      <c r="P17" s="206"/>
      <c r="Q17" s="206"/>
      <c r="R17" s="206"/>
      <c r="S17" s="206"/>
      <c r="T17" s="206"/>
      <c r="U17" s="206"/>
      <c r="V17" s="1143"/>
      <c r="W17" s="1143"/>
      <c r="X17" s="1143"/>
      <c r="Y17" s="1143"/>
      <c r="Z17" s="1143"/>
      <c r="AA17" s="1143"/>
      <c r="AB17" s="1143"/>
      <c r="AC17" s="1143"/>
      <c r="AD17" s="1143"/>
      <c r="AE17" s="1143"/>
    </row>
    <row r="18" spans="1:31">
      <c r="A18" s="50" t="s">
        <v>763</v>
      </c>
      <c r="B18" s="207">
        <v>19</v>
      </c>
      <c r="C18" s="194">
        <v>28</v>
      </c>
      <c r="D18" s="194">
        <v>15</v>
      </c>
      <c r="E18" s="194">
        <v>24</v>
      </c>
      <c r="F18" s="194">
        <v>23</v>
      </c>
      <c r="G18" s="194">
        <v>27</v>
      </c>
      <c r="H18" s="194">
        <v>33</v>
      </c>
      <c r="I18" s="194">
        <v>25</v>
      </c>
      <c r="J18" s="194">
        <v>32</v>
      </c>
      <c r="K18" s="194">
        <v>27</v>
      </c>
      <c r="L18" s="194">
        <v>30</v>
      </c>
      <c r="M18" s="194">
        <v>36</v>
      </c>
      <c r="N18" s="194">
        <v>45</v>
      </c>
      <c r="O18" s="194">
        <v>36</v>
      </c>
      <c r="P18" s="194">
        <v>35</v>
      </c>
      <c r="Q18" s="194">
        <v>24</v>
      </c>
      <c r="R18" s="194">
        <v>37</v>
      </c>
      <c r="S18" s="194">
        <v>33</v>
      </c>
      <c r="T18" s="194">
        <v>33</v>
      </c>
      <c r="U18" s="194">
        <v>23</v>
      </c>
      <c r="V18" s="194">
        <v>35</v>
      </c>
      <c r="W18" s="194">
        <v>29</v>
      </c>
      <c r="X18" s="194">
        <v>31</v>
      </c>
      <c r="Y18" s="194">
        <v>27</v>
      </c>
      <c r="Z18" s="194">
        <v>48</v>
      </c>
      <c r="AA18" s="194">
        <v>37</v>
      </c>
      <c r="AB18" s="194">
        <v>23</v>
      </c>
      <c r="AC18" s="194">
        <v>37</v>
      </c>
      <c r="AD18" s="194">
        <v>33</v>
      </c>
      <c r="AE18" s="194">
        <v>33</v>
      </c>
    </row>
    <row r="19" spans="1:31">
      <c r="A19" s="50" t="s">
        <v>764</v>
      </c>
      <c r="B19" s="207">
        <v>55</v>
      </c>
      <c r="C19" s="207">
        <v>50</v>
      </c>
      <c r="D19" s="207">
        <v>55</v>
      </c>
      <c r="E19" s="207">
        <v>50</v>
      </c>
      <c r="F19" s="207">
        <v>54</v>
      </c>
      <c r="G19" s="207">
        <v>50</v>
      </c>
      <c r="H19" s="207">
        <v>51</v>
      </c>
      <c r="I19" s="207">
        <v>58</v>
      </c>
      <c r="J19" s="207">
        <v>54</v>
      </c>
      <c r="K19" s="207">
        <v>57</v>
      </c>
      <c r="L19" s="207">
        <v>47</v>
      </c>
      <c r="M19" s="207">
        <v>47</v>
      </c>
      <c r="N19" s="207">
        <v>41</v>
      </c>
      <c r="O19" s="207">
        <v>51</v>
      </c>
      <c r="P19" s="207">
        <v>44</v>
      </c>
      <c r="Q19" s="207">
        <v>60</v>
      </c>
      <c r="R19" s="207">
        <v>49</v>
      </c>
      <c r="S19" s="207">
        <v>47</v>
      </c>
      <c r="T19" s="207">
        <v>52</v>
      </c>
      <c r="U19" s="207">
        <v>60</v>
      </c>
      <c r="V19" s="194">
        <f>100-V18-V20</f>
        <v>55</v>
      </c>
      <c r="W19" s="194">
        <v>62</v>
      </c>
      <c r="X19" s="194">
        <v>51</v>
      </c>
      <c r="Y19" s="194">
        <v>56</v>
      </c>
      <c r="Z19" s="194">
        <v>47</v>
      </c>
      <c r="AA19" s="194">
        <v>49</v>
      </c>
      <c r="AB19" s="194">
        <v>64</v>
      </c>
      <c r="AC19" s="194">
        <v>46</v>
      </c>
      <c r="AD19" s="194">
        <v>59</v>
      </c>
      <c r="AE19" s="194">
        <v>65</v>
      </c>
    </row>
    <row r="20" spans="1:31">
      <c r="A20" s="54" t="s">
        <v>765</v>
      </c>
      <c r="B20" s="193">
        <v>23</v>
      </c>
      <c r="C20" s="193">
        <v>19</v>
      </c>
      <c r="D20" s="193">
        <v>25</v>
      </c>
      <c r="E20" s="193">
        <v>25</v>
      </c>
      <c r="F20" s="193">
        <v>22</v>
      </c>
      <c r="G20" s="193">
        <v>22</v>
      </c>
      <c r="H20" s="193">
        <v>15</v>
      </c>
      <c r="I20" s="193">
        <v>16</v>
      </c>
      <c r="J20" s="193">
        <v>12</v>
      </c>
      <c r="K20" s="193">
        <v>17</v>
      </c>
      <c r="L20" s="193">
        <v>22</v>
      </c>
      <c r="M20" s="193">
        <v>15</v>
      </c>
      <c r="N20" s="193">
        <v>11</v>
      </c>
      <c r="O20" s="193">
        <v>12</v>
      </c>
      <c r="P20" s="193">
        <v>21</v>
      </c>
      <c r="Q20" s="193">
        <v>11</v>
      </c>
      <c r="R20" s="193">
        <v>12</v>
      </c>
      <c r="S20" s="193">
        <v>20</v>
      </c>
      <c r="T20" s="193">
        <v>14</v>
      </c>
      <c r="U20" s="193">
        <v>14</v>
      </c>
      <c r="V20" s="194">
        <v>10</v>
      </c>
      <c r="W20" s="194">
        <v>9</v>
      </c>
      <c r="X20" s="194">
        <v>18</v>
      </c>
      <c r="Y20" s="194">
        <v>17</v>
      </c>
      <c r="Z20" s="194">
        <v>5</v>
      </c>
      <c r="AA20" s="194">
        <v>14</v>
      </c>
      <c r="AB20" s="194">
        <v>13</v>
      </c>
      <c r="AC20" s="194">
        <v>17</v>
      </c>
      <c r="AD20" s="194">
        <v>8</v>
      </c>
      <c r="AE20" s="194">
        <v>2</v>
      </c>
    </row>
    <row r="21" spans="1:31">
      <c r="A21" s="206" t="s">
        <v>769</v>
      </c>
      <c r="B21" s="206"/>
      <c r="C21" s="206"/>
      <c r="D21" s="206"/>
      <c r="E21" s="206"/>
      <c r="F21" s="206"/>
      <c r="G21" s="206"/>
      <c r="H21" s="206"/>
      <c r="I21" s="206"/>
      <c r="J21" s="206"/>
      <c r="K21" s="206"/>
      <c r="L21" s="206"/>
      <c r="M21" s="206"/>
      <c r="N21" s="206"/>
      <c r="O21" s="206"/>
      <c r="P21" s="206"/>
      <c r="Q21" s="206"/>
      <c r="R21" s="206"/>
      <c r="S21" s="206"/>
      <c r="T21" s="206"/>
      <c r="U21" s="206"/>
      <c r="V21" s="1143"/>
      <c r="W21" s="1143"/>
      <c r="X21" s="1143"/>
      <c r="Y21" s="1143"/>
      <c r="Z21" s="1143"/>
      <c r="AA21" s="1143"/>
      <c r="AB21" s="1143"/>
      <c r="AC21" s="1143"/>
      <c r="AD21" s="1143"/>
      <c r="AE21" s="1143"/>
    </row>
    <row r="22" spans="1:31">
      <c r="A22" s="50" t="s">
        <v>763</v>
      </c>
      <c r="B22" s="207">
        <v>32</v>
      </c>
      <c r="C22" s="194">
        <v>24</v>
      </c>
      <c r="D22" s="194">
        <v>31</v>
      </c>
      <c r="E22" s="194">
        <v>28</v>
      </c>
      <c r="F22" s="194">
        <v>30</v>
      </c>
      <c r="G22" s="194">
        <v>31</v>
      </c>
      <c r="H22" s="194">
        <v>30</v>
      </c>
      <c r="I22" s="194">
        <v>39</v>
      </c>
      <c r="J22" s="194">
        <v>36</v>
      </c>
      <c r="K22" s="194">
        <v>40</v>
      </c>
      <c r="L22" s="194">
        <v>33</v>
      </c>
      <c r="M22" s="194">
        <v>39</v>
      </c>
      <c r="N22" s="194">
        <v>42</v>
      </c>
      <c r="O22" s="194">
        <v>40</v>
      </c>
      <c r="P22" s="194">
        <v>39</v>
      </c>
      <c r="Q22" s="194">
        <v>41</v>
      </c>
      <c r="R22" s="194">
        <v>39</v>
      </c>
      <c r="S22" s="194">
        <v>39</v>
      </c>
      <c r="T22" s="194">
        <v>33</v>
      </c>
      <c r="U22" s="194">
        <v>36</v>
      </c>
      <c r="V22" s="194">
        <v>41</v>
      </c>
      <c r="W22" s="194">
        <v>35</v>
      </c>
      <c r="X22" s="194">
        <v>39</v>
      </c>
      <c r="Y22" s="194">
        <v>35</v>
      </c>
      <c r="Z22" s="194">
        <v>37</v>
      </c>
      <c r="AA22" s="194">
        <v>32</v>
      </c>
      <c r="AB22" s="194">
        <v>25</v>
      </c>
      <c r="AC22" s="194">
        <v>29</v>
      </c>
      <c r="AD22" s="194">
        <v>34</v>
      </c>
      <c r="AE22" s="194">
        <v>39</v>
      </c>
    </row>
    <row r="23" spans="1:31">
      <c r="A23" s="50" t="s">
        <v>764</v>
      </c>
      <c r="B23" s="207">
        <v>47</v>
      </c>
      <c r="C23" s="207">
        <v>56</v>
      </c>
      <c r="D23" s="207">
        <v>51</v>
      </c>
      <c r="E23" s="207">
        <v>54</v>
      </c>
      <c r="F23" s="207">
        <v>55</v>
      </c>
      <c r="G23" s="207">
        <v>50</v>
      </c>
      <c r="H23" s="207">
        <v>57</v>
      </c>
      <c r="I23" s="207">
        <v>49</v>
      </c>
      <c r="J23" s="207">
        <v>53</v>
      </c>
      <c r="K23" s="207">
        <v>47</v>
      </c>
      <c r="L23" s="207">
        <v>50</v>
      </c>
      <c r="M23" s="207">
        <v>42</v>
      </c>
      <c r="N23" s="207">
        <v>47</v>
      </c>
      <c r="O23" s="207">
        <v>51</v>
      </c>
      <c r="P23" s="207">
        <v>48</v>
      </c>
      <c r="Q23" s="207">
        <v>46</v>
      </c>
      <c r="R23" s="207">
        <v>50</v>
      </c>
      <c r="S23" s="207">
        <v>51</v>
      </c>
      <c r="T23" s="207">
        <v>42</v>
      </c>
      <c r="U23" s="207">
        <v>46</v>
      </c>
      <c r="V23" s="194">
        <f>100-V22-V24</f>
        <v>50</v>
      </c>
      <c r="W23" s="194">
        <v>52</v>
      </c>
      <c r="X23" s="194">
        <v>43</v>
      </c>
      <c r="Y23" s="194">
        <v>49</v>
      </c>
      <c r="Z23" s="194">
        <v>52</v>
      </c>
      <c r="AA23" s="194">
        <v>48</v>
      </c>
      <c r="AB23" s="194">
        <v>55</v>
      </c>
      <c r="AC23" s="194">
        <v>52</v>
      </c>
      <c r="AD23" s="194">
        <v>51</v>
      </c>
      <c r="AE23" s="194">
        <v>49</v>
      </c>
    </row>
    <row r="24" spans="1:31">
      <c r="A24" s="54" t="s">
        <v>765</v>
      </c>
      <c r="B24" s="193">
        <v>19</v>
      </c>
      <c r="C24" s="193">
        <v>18</v>
      </c>
      <c r="D24" s="193">
        <v>17</v>
      </c>
      <c r="E24" s="193">
        <v>18</v>
      </c>
      <c r="F24" s="193">
        <v>15</v>
      </c>
      <c r="G24" s="193">
        <v>18</v>
      </c>
      <c r="H24" s="193">
        <v>12</v>
      </c>
      <c r="I24" s="193">
        <v>11</v>
      </c>
      <c r="J24" s="193">
        <v>10</v>
      </c>
      <c r="K24" s="193">
        <v>13</v>
      </c>
      <c r="L24" s="193">
        <v>17</v>
      </c>
      <c r="M24" s="193">
        <v>17</v>
      </c>
      <c r="N24" s="193">
        <v>10</v>
      </c>
      <c r="O24" s="193">
        <v>8</v>
      </c>
      <c r="P24" s="193">
        <v>13</v>
      </c>
      <c r="Q24" s="193">
        <v>13</v>
      </c>
      <c r="R24" s="193">
        <v>11</v>
      </c>
      <c r="S24" s="193">
        <v>10</v>
      </c>
      <c r="T24" s="193">
        <v>23</v>
      </c>
      <c r="U24" s="193">
        <v>17</v>
      </c>
      <c r="V24" s="194">
        <v>9</v>
      </c>
      <c r="W24" s="194">
        <v>13</v>
      </c>
      <c r="X24" s="194">
        <v>18</v>
      </c>
      <c r="Y24" s="194">
        <v>16</v>
      </c>
      <c r="Z24" s="194">
        <v>11</v>
      </c>
      <c r="AA24" s="194">
        <v>20</v>
      </c>
      <c r="AB24" s="194">
        <v>20</v>
      </c>
      <c r="AC24" s="194">
        <v>19</v>
      </c>
      <c r="AD24" s="194">
        <v>15</v>
      </c>
      <c r="AE24" s="194">
        <v>12</v>
      </c>
    </row>
    <row r="25" spans="1:31">
      <c r="A25" s="206" t="s">
        <v>770</v>
      </c>
      <c r="B25" s="206"/>
      <c r="C25" s="206"/>
      <c r="D25" s="206"/>
      <c r="E25" s="206"/>
      <c r="F25" s="206"/>
      <c r="G25" s="206"/>
      <c r="H25" s="206"/>
      <c r="I25" s="206"/>
      <c r="J25" s="206"/>
      <c r="K25" s="206"/>
      <c r="L25" s="206"/>
      <c r="M25" s="206"/>
      <c r="N25" s="206"/>
      <c r="O25" s="206"/>
      <c r="P25" s="206"/>
      <c r="Q25" s="206"/>
      <c r="R25" s="206"/>
      <c r="S25" s="206"/>
      <c r="T25" s="206"/>
      <c r="U25" s="206"/>
      <c r="V25" s="1143"/>
      <c r="W25" s="1143"/>
      <c r="X25" s="1143"/>
      <c r="Y25" s="1143"/>
      <c r="Z25" s="1143"/>
      <c r="AA25" s="1143"/>
      <c r="AB25" s="1143"/>
      <c r="AC25" s="1143"/>
      <c r="AD25" s="1143"/>
      <c r="AE25" s="1143"/>
    </row>
    <row r="26" spans="1:31">
      <c r="A26" s="50" t="s">
        <v>763</v>
      </c>
      <c r="B26" s="207">
        <v>25</v>
      </c>
      <c r="C26" s="194">
        <v>21</v>
      </c>
      <c r="D26" s="194">
        <v>28</v>
      </c>
      <c r="E26" s="194">
        <v>26</v>
      </c>
      <c r="F26" s="194">
        <v>22</v>
      </c>
      <c r="G26" s="194">
        <v>19</v>
      </c>
      <c r="H26" s="194">
        <v>26</v>
      </c>
      <c r="I26" s="194">
        <v>34</v>
      </c>
      <c r="J26" s="194">
        <v>30</v>
      </c>
      <c r="K26" s="194">
        <v>43</v>
      </c>
      <c r="L26" s="194">
        <v>23</v>
      </c>
      <c r="M26" s="194">
        <v>31</v>
      </c>
      <c r="N26" s="194">
        <v>44</v>
      </c>
      <c r="O26" s="194">
        <v>33</v>
      </c>
      <c r="P26" s="194">
        <v>32</v>
      </c>
      <c r="Q26" s="194">
        <v>33</v>
      </c>
      <c r="R26" s="194">
        <v>27</v>
      </c>
      <c r="S26" s="194">
        <v>34</v>
      </c>
      <c r="T26" s="194">
        <v>28</v>
      </c>
      <c r="U26" s="194">
        <v>34</v>
      </c>
      <c r="V26" s="194">
        <v>29</v>
      </c>
      <c r="W26" s="194">
        <v>25</v>
      </c>
      <c r="X26" s="194">
        <v>30</v>
      </c>
      <c r="Y26" s="194">
        <v>30</v>
      </c>
      <c r="Z26" s="194">
        <v>39</v>
      </c>
      <c r="AA26" s="194">
        <v>30</v>
      </c>
      <c r="AB26" s="194">
        <v>17</v>
      </c>
      <c r="AC26" s="194">
        <v>21</v>
      </c>
      <c r="AD26" s="194">
        <v>21</v>
      </c>
      <c r="AE26" s="194">
        <v>28</v>
      </c>
    </row>
    <row r="27" spans="1:31">
      <c r="A27" s="50" t="s">
        <v>764</v>
      </c>
      <c r="B27" s="207">
        <v>54</v>
      </c>
      <c r="C27" s="207">
        <v>61</v>
      </c>
      <c r="D27" s="207">
        <v>58</v>
      </c>
      <c r="E27" s="207">
        <v>57</v>
      </c>
      <c r="F27" s="207">
        <v>59</v>
      </c>
      <c r="G27" s="207">
        <v>58</v>
      </c>
      <c r="H27" s="207">
        <v>55</v>
      </c>
      <c r="I27" s="207">
        <v>52</v>
      </c>
      <c r="J27" s="207">
        <v>59</v>
      </c>
      <c r="K27" s="207">
        <v>47</v>
      </c>
      <c r="L27" s="207">
        <v>62</v>
      </c>
      <c r="M27" s="207">
        <v>57</v>
      </c>
      <c r="N27" s="207">
        <v>47</v>
      </c>
      <c r="O27" s="207">
        <v>60</v>
      </c>
      <c r="P27" s="207">
        <v>58</v>
      </c>
      <c r="Q27" s="207">
        <v>55</v>
      </c>
      <c r="R27" s="207">
        <v>57</v>
      </c>
      <c r="S27" s="207">
        <v>53</v>
      </c>
      <c r="T27" s="207">
        <v>50</v>
      </c>
      <c r="U27" s="207">
        <v>53</v>
      </c>
      <c r="V27" s="194">
        <f>100-V26-V28</f>
        <v>55</v>
      </c>
      <c r="W27" s="194">
        <v>60</v>
      </c>
      <c r="X27" s="194">
        <v>53</v>
      </c>
      <c r="Y27" s="194">
        <v>57</v>
      </c>
      <c r="Z27" s="194">
        <v>53</v>
      </c>
      <c r="AA27" s="194">
        <v>56</v>
      </c>
      <c r="AB27" s="194">
        <v>67</v>
      </c>
      <c r="AC27" s="194">
        <v>62</v>
      </c>
      <c r="AD27" s="194">
        <v>63</v>
      </c>
      <c r="AE27" s="194">
        <v>63</v>
      </c>
    </row>
    <row r="28" spans="1:31">
      <c r="A28" s="54" t="s">
        <v>765</v>
      </c>
      <c r="B28" s="193">
        <v>18</v>
      </c>
      <c r="C28" s="193">
        <v>17</v>
      </c>
      <c r="D28" s="193">
        <v>12</v>
      </c>
      <c r="E28" s="193">
        <v>16</v>
      </c>
      <c r="F28" s="193">
        <v>17</v>
      </c>
      <c r="G28" s="193">
        <v>22</v>
      </c>
      <c r="H28" s="193">
        <v>18</v>
      </c>
      <c r="I28" s="193">
        <v>13</v>
      </c>
      <c r="J28" s="193">
        <v>11</v>
      </c>
      <c r="K28" s="193">
        <v>9</v>
      </c>
      <c r="L28" s="193">
        <v>13</v>
      </c>
      <c r="M28" s="193">
        <v>11</v>
      </c>
      <c r="N28" s="193">
        <v>8</v>
      </c>
      <c r="O28" s="193">
        <v>6</v>
      </c>
      <c r="P28" s="193">
        <v>10</v>
      </c>
      <c r="Q28" s="193">
        <v>11</v>
      </c>
      <c r="R28" s="193">
        <v>16</v>
      </c>
      <c r="S28" s="193">
        <v>14</v>
      </c>
      <c r="T28" s="193">
        <v>22</v>
      </c>
      <c r="U28" s="193">
        <v>11</v>
      </c>
      <c r="V28" s="194">
        <v>16</v>
      </c>
      <c r="W28" s="194">
        <v>15</v>
      </c>
      <c r="X28" s="194">
        <v>17</v>
      </c>
      <c r="Y28" s="194">
        <v>13</v>
      </c>
      <c r="Z28" s="194">
        <v>8</v>
      </c>
      <c r="AA28" s="194">
        <v>14</v>
      </c>
      <c r="AB28" s="194">
        <v>16</v>
      </c>
      <c r="AC28" s="194">
        <v>17</v>
      </c>
      <c r="AD28" s="194">
        <v>16</v>
      </c>
      <c r="AE28" s="194">
        <v>9</v>
      </c>
    </row>
    <row r="29" spans="1:31">
      <c r="A29" s="206" t="s">
        <v>771</v>
      </c>
      <c r="B29" s="206"/>
      <c r="C29" s="206"/>
      <c r="D29" s="206"/>
      <c r="E29" s="206"/>
      <c r="F29" s="206"/>
      <c r="G29" s="206"/>
      <c r="H29" s="206"/>
      <c r="I29" s="206"/>
      <c r="J29" s="206"/>
      <c r="K29" s="206"/>
      <c r="L29" s="206"/>
      <c r="M29" s="206"/>
      <c r="N29" s="206"/>
      <c r="O29" s="206"/>
      <c r="P29" s="206"/>
      <c r="Q29" s="206"/>
      <c r="R29" s="206"/>
      <c r="S29" s="206"/>
      <c r="T29" s="206"/>
      <c r="U29" s="206"/>
      <c r="V29" s="1143"/>
      <c r="W29" s="1143"/>
      <c r="X29" s="1143"/>
      <c r="Y29" s="1143"/>
      <c r="Z29" s="1143"/>
      <c r="AA29" s="1143"/>
      <c r="AB29" s="1143"/>
      <c r="AC29" s="1143"/>
      <c r="AD29" s="1143"/>
      <c r="AE29" s="1143"/>
    </row>
    <row r="30" spans="1:31">
      <c r="A30" s="50" t="s">
        <v>763</v>
      </c>
      <c r="B30" s="207">
        <v>25</v>
      </c>
      <c r="C30" s="194">
        <v>19</v>
      </c>
      <c r="D30" s="194">
        <v>22</v>
      </c>
      <c r="E30" s="194">
        <v>19</v>
      </c>
      <c r="F30" s="194">
        <v>29</v>
      </c>
      <c r="G30" s="194">
        <v>23</v>
      </c>
      <c r="H30" s="194">
        <v>26</v>
      </c>
      <c r="I30" s="194">
        <v>32</v>
      </c>
      <c r="J30" s="194">
        <v>36</v>
      </c>
      <c r="K30" s="194">
        <v>25</v>
      </c>
      <c r="L30" s="194">
        <v>22</v>
      </c>
      <c r="M30" s="194">
        <v>44</v>
      </c>
      <c r="N30" s="194">
        <v>43</v>
      </c>
      <c r="O30" s="194">
        <v>34</v>
      </c>
      <c r="P30" s="194">
        <v>26</v>
      </c>
      <c r="Q30" s="194">
        <v>37</v>
      </c>
      <c r="R30" s="194">
        <v>34</v>
      </c>
      <c r="S30" s="194">
        <v>35</v>
      </c>
      <c r="T30" s="194">
        <v>33</v>
      </c>
      <c r="U30" s="194">
        <v>32</v>
      </c>
      <c r="V30" s="194">
        <v>36</v>
      </c>
      <c r="W30" s="194">
        <v>33</v>
      </c>
      <c r="X30" s="194">
        <v>38</v>
      </c>
      <c r="Y30" s="194">
        <v>27</v>
      </c>
      <c r="Z30" s="194">
        <v>29</v>
      </c>
      <c r="AA30" s="194">
        <v>27</v>
      </c>
      <c r="AB30" s="194">
        <v>20</v>
      </c>
      <c r="AC30" s="194">
        <v>29</v>
      </c>
      <c r="AD30" s="194">
        <v>40</v>
      </c>
      <c r="AE30" s="194">
        <v>31</v>
      </c>
    </row>
    <row r="31" spans="1:31">
      <c r="A31" s="50" t="s">
        <v>764</v>
      </c>
      <c r="B31" s="207">
        <v>52</v>
      </c>
      <c r="C31" s="207">
        <v>59</v>
      </c>
      <c r="D31" s="207">
        <v>57</v>
      </c>
      <c r="E31" s="207">
        <v>56</v>
      </c>
      <c r="F31" s="207">
        <v>52</v>
      </c>
      <c r="G31" s="207">
        <v>50</v>
      </c>
      <c r="H31" s="207">
        <v>49</v>
      </c>
      <c r="I31" s="207">
        <v>60</v>
      </c>
      <c r="J31" s="207">
        <v>52</v>
      </c>
      <c r="K31" s="207">
        <v>54</v>
      </c>
      <c r="L31" s="207">
        <v>58</v>
      </c>
      <c r="M31" s="207">
        <v>46</v>
      </c>
      <c r="N31" s="207">
        <v>51</v>
      </c>
      <c r="O31" s="207">
        <v>53</v>
      </c>
      <c r="P31" s="207">
        <v>62</v>
      </c>
      <c r="Q31" s="207">
        <v>51</v>
      </c>
      <c r="R31" s="207">
        <v>56</v>
      </c>
      <c r="S31" s="207">
        <v>54</v>
      </c>
      <c r="T31" s="207">
        <v>51</v>
      </c>
      <c r="U31" s="207">
        <v>49</v>
      </c>
      <c r="V31" s="194">
        <f>100-V30-V32</f>
        <v>51</v>
      </c>
      <c r="W31" s="194">
        <v>53</v>
      </c>
      <c r="X31" s="194">
        <v>49</v>
      </c>
      <c r="Y31" s="194">
        <v>57</v>
      </c>
      <c r="Z31" s="194">
        <v>60</v>
      </c>
      <c r="AA31" s="194">
        <v>55</v>
      </c>
      <c r="AB31" s="194">
        <v>65</v>
      </c>
      <c r="AC31" s="194">
        <v>52</v>
      </c>
      <c r="AD31" s="194">
        <v>52</v>
      </c>
      <c r="AE31" s="194">
        <v>59</v>
      </c>
    </row>
    <row r="32" spans="1:31">
      <c r="A32" s="54" t="s">
        <v>765</v>
      </c>
      <c r="B32" s="193">
        <v>19</v>
      </c>
      <c r="C32" s="193">
        <v>23</v>
      </c>
      <c r="D32" s="193">
        <v>21</v>
      </c>
      <c r="E32" s="193">
        <v>24</v>
      </c>
      <c r="F32" s="193">
        <v>18</v>
      </c>
      <c r="G32" s="193">
        <v>26</v>
      </c>
      <c r="H32" s="193">
        <v>25</v>
      </c>
      <c r="I32" s="193">
        <v>9</v>
      </c>
      <c r="J32" s="193">
        <v>12</v>
      </c>
      <c r="K32" s="193">
        <v>21</v>
      </c>
      <c r="L32" s="193">
        <v>19</v>
      </c>
      <c r="M32" s="193">
        <v>8</v>
      </c>
      <c r="N32" s="193">
        <v>5</v>
      </c>
      <c r="O32" s="193">
        <v>13</v>
      </c>
      <c r="P32" s="193">
        <v>12</v>
      </c>
      <c r="Q32" s="193">
        <v>10</v>
      </c>
      <c r="R32" s="193">
        <v>10</v>
      </c>
      <c r="S32" s="193">
        <v>12</v>
      </c>
      <c r="T32" s="193">
        <v>14</v>
      </c>
      <c r="U32" s="207">
        <v>19</v>
      </c>
      <c r="V32" s="194">
        <v>13</v>
      </c>
      <c r="W32" s="194">
        <v>14</v>
      </c>
      <c r="X32" s="194">
        <v>13</v>
      </c>
      <c r="Y32" s="194">
        <v>16</v>
      </c>
      <c r="Z32" s="194">
        <v>11</v>
      </c>
      <c r="AA32" s="194">
        <v>18</v>
      </c>
      <c r="AB32" s="194">
        <v>15</v>
      </c>
      <c r="AC32" s="194">
        <v>19</v>
      </c>
      <c r="AD32" s="194">
        <v>8</v>
      </c>
      <c r="AE32" s="194">
        <v>10</v>
      </c>
    </row>
    <row r="33" spans="1:31">
      <c r="U33" s="204"/>
      <c r="V33" s="204"/>
      <c r="W33" s="204"/>
      <c r="X33" s="204"/>
      <c r="Y33" s="204"/>
      <c r="Z33" s="204"/>
      <c r="AA33" s="204"/>
      <c r="AB33" s="204"/>
      <c r="AC33" s="204"/>
      <c r="AD33" s="204"/>
      <c r="AE33" s="204"/>
    </row>
    <row r="34" spans="1:31">
      <c r="A34" s="55" t="s">
        <v>2267</v>
      </c>
    </row>
  </sheetData>
  <phoneticPr fontId="35" type="noConversion"/>
  <pageMargins left="0.75" right="0.75" top="1" bottom="1" header="0.5" footer="0.5"/>
  <pageSetup scale="48" orientation="landscape" horizontalDpi="4294967292" verticalDpi="1200" r:id="rId1"/>
  <headerFooter alignWithMargins="0"/>
</worksheet>
</file>

<file path=xl/worksheets/sheet122.xml><?xml version="1.0" encoding="utf-8"?>
<worksheet xmlns="http://schemas.openxmlformats.org/spreadsheetml/2006/main" xmlns:r="http://schemas.openxmlformats.org/officeDocument/2006/relationships">
  <sheetPr codeName="Sheet91">
    <pageSetUpPr fitToPage="1"/>
  </sheetPr>
  <dimension ref="A1:AF34"/>
  <sheetViews>
    <sheetView view="pageBreakPreview" zoomScale="90" zoomScaleSheetLayoutView="9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14.7109375" style="195" customWidth="1"/>
    <col min="2" max="20" width="8" style="195"/>
    <col min="21" max="21" width="9" style="195" customWidth="1"/>
    <col min="22" max="22" width="8" style="195"/>
    <col min="23" max="23" width="8.85546875" style="195" customWidth="1"/>
    <col min="24" max="24" width="8" style="195"/>
    <col min="25" max="25" width="8.7109375" style="195" customWidth="1"/>
    <col min="26" max="16384" width="8" style="195"/>
  </cols>
  <sheetData>
    <row r="1" spans="1:32" ht="15.75">
      <c r="A1" s="1136" t="s">
        <v>989</v>
      </c>
      <c r="B1" s="94"/>
      <c r="C1" s="94"/>
      <c r="D1" s="94"/>
    </row>
    <row r="2" spans="1:32" ht="28.9" customHeight="1">
      <c r="A2" s="195" t="s">
        <v>986</v>
      </c>
    </row>
    <row r="3" spans="1:32">
      <c r="A3" s="196" t="s">
        <v>987</v>
      </c>
      <c r="B3" s="197">
        <v>1991</v>
      </c>
      <c r="C3" s="197">
        <v>1992</v>
      </c>
      <c r="D3" s="197">
        <v>1993</v>
      </c>
      <c r="E3" s="197">
        <v>1995</v>
      </c>
      <c r="F3" s="197">
        <v>1996</v>
      </c>
      <c r="G3" s="197">
        <v>1997</v>
      </c>
      <c r="H3" s="197">
        <v>1998</v>
      </c>
      <c r="I3" s="197">
        <v>1999</v>
      </c>
      <c r="J3" s="197">
        <v>2000</v>
      </c>
      <c r="K3" s="197">
        <v>2001</v>
      </c>
      <c r="L3" s="197">
        <v>2002</v>
      </c>
      <c r="M3" s="197">
        <v>2002</v>
      </c>
      <c r="N3" s="197">
        <v>2003</v>
      </c>
      <c r="O3" s="197">
        <v>2003</v>
      </c>
      <c r="P3" s="197">
        <v>2003</v>
      </c>
      <c r="Q3" s="197">
        <v>2003</v>
      </c>
      <c r="R3" s="197">
        <v>2003</v>
      </c>
      <c r="S3" s="197">
        <v>2004</v>
      </c>
      <c r="T3" s="197">
        <v>2004</v>
      </c>
      <c r="U3" s="197">
        <v>2004</v>
      </c>
      <c r="V3" s="197">
        <v>2005</v>
      </c>
      <c r="W3" s="197">
        <v>2005</v>
      </c>
      <c r="X3" s="197">
        <v>2006</v>
      </c>
      <c r="Y3" s="197">
        <v>2006</v>
      </c>
      <c r="Z3" s="197">
        <v>2007</v>
      </c>
      <c r="AA3" s="197">
        <v>2007</v>
      </c>
      <c r="AB3" s="197">
        <v>2008</v>
      </c>
      <c r="AC3" s="197">
        <v>2008</v>
      </c>
      <c r="AD3" s="197">
        <v>2009</v>
      </c>
      <c r="AE3" s="197">
        <v>2009</v>
      </c>
      <c r="AF3" s="197">
        <v>2009</v>
      </c>
    </row>
    <row r="4" spans="1:32">
      <c r="A4" s="198"/>
      <c r="B4" s="199" t="s">
        <v>754</v>
      </c>
      <c r="C4" s="199" t="s">
        <v>754</v>
      </c>
      <c r="D4" s="199" t="s">
        <v>754</v>
      </c>
      <c r="E4" s="199" t="s">
        <v>754</v>
      </c>
      <c r="F4" s="199" t="s">
        <v>754</v>
      </c>
      <c r="G4" s="199" t="s">
        <v>755</v>
      </c>
      <c r="H4" s="199" t="s">
        <v>755</v>
      </c>
      <c r="I4" s="199" t="s">
        <v>755</v>
      </c>
      <c r="J4" s="199" t="s">
        <v>988</v>
      </c>
      <c r="K4" s="199" t="s">
        <v>988</v>
      </c>
      <c r="L4" s="199" t="s">
        <v>988</v>
      </c>
      <c r="M4" s="199" t="s">
        <v>756</v>
      </c>
      <c r="N4" s="199" t="s">
        <v>757</v>
      </c>
      <c r="O4" s="199" t="s">
        <v>758</v>
      </c>
      <c r="P4" s="199" t="s">
        <v>759</v>
      </c>
      <c r="Q4" s="199" t="s">
        <v>760</v>
      </c>
      <c r="R4" s="199" t="s">
        <v>756</v>
      </c>
      <c r="S4" s="199" t="s">
        <v>757</v>
      </c>
      <c r="T4" s="199" t="s">
        <v>755</v>
      </c>
      <c r="U4" s="199" t="s">
        <v>761</v>
      </c>
      <c r="V4" s="203" t="s">
        <v>757</v>
      </c>
      <c r="W4" s="203" t="s">
        <v>760</v>
      </c>
      <c r="X4" s="203" t="s">
        <v>757</v>
      </c>
      <c r="Y4" s="203" t="s">
        <v>756</v>
      </c>
      <c r="Z4" s="203" t="s">
        <v>758</v>
      </c>
      <c r="AA4" s="203" t="s">
        <v>2260</v>
      </c>
      <c r="AB4" s="203" t="s">
        <v>758</v>
      </c>
      <c r="AC4" s="203" t="s">
        <v>756</v>
      </c>
      <c r="AD4" s="203" t="s">
        <v>2261</v>
      </c>
      <c r="AE4" s="203" t="s">
        <v>754</v>
      </c>
      <c r="AF4" s="203" t="s">
        <v>755</v>
      </c>
    </row>
    <row r="5" spans="1:32">
      <c r="A5" s="200" t="s">
        <v>762</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row>
    <row r="6" spans="1:32">
      <c r="A6" s="201" t="s">
        <v>763</v>
      </c>
      <c r="B6" s="202">
        <v>38</v>
      </c>
      <c r="C6" s="203">
        <v>33</v>
      </c>
      <c r="D6" s="203">
        <v>41</v>
      </c>
      <c r="E6" s="203">
        <v>33</v>
      </c>
      <c r="F6" s="203">
        <v>27</v>
      </c>
      <c r="G6" s="203">
        <v>41</v>
      </c>
      <c r="H6" s="203">
        <v>44</v>
      </c>
      <c r="I6" s="203">
        <v>36</v>
      </c>
      <c r="J6" s="203">
        <v>37</v>
      </c>
      <c r="K6" s="203">
        <v>26</v>
      </c>
      <c r="L6" s="203">
        <v>32</v>
      </c>
      <c r="M6" s="203">
        <v>31</v>
      </c>
      <c r="N6" s="203">
        <v>29</v>
      </c>
      <c r="O6" s="203">
        <v>38</v>
      </c>
      <c r="P6" s="203">
        <v>32</v>
      </c>
      <c r="Q6" s="203">
        <v>37</v>
      </c>
      <c r="R6" s="203">
        <v>36</v>
      </c>
      <c r="S6" s="203">
        <v>34</v>
      </c>
      <c r="T6" s="203">
        <v>27</v>
      </c>
      <c r="U6" s="203">
        <v>25</v>
      </c>
      <c r="V6" s="203">
        <v>27</v>
      </c>
      <c r="W6" s="203">
        <v>22</v>
      </c>
      <c r="X6" s="203">
        <v>29</v>
      </c>
      <c r="Y6" s="203">
        <v>24</v>
      </c>
      <c r="Z6" s="203">
        <v>26</v>
      </c>
      <c r="AA6" s="203">
        <v>25</v>
      </c>
      <c r="AB6" s="203">
        <v>20</v>
      </c>
      <c r="AC6" s="203">
        <v>20</v>
      </c>
      <c r="AD6" s="203">
        <v>31</v>
      </c>
      <c r="AE6" s="203">
        <v>44</v>
      </c>
      <c r="AF6" s="203">
        <v>52</v>
      </c>
    </row>
    <row r="7" spans="1:32">
      <c r="A7" s="201" t="s">
        <v>764</v>
      </c>
      <c r="B7" s="202">
        <v>29</v>
      </c>
      <c r="C7" s="202">
        <v>39</v>
      </c>
      <c r="D7" s="202">
        <v>36</v>
      </c>
      <c r="E7" s="202">
        <v>41</v>
      </c>
      <c r="F7" s="202">
        <v>42</v>
      </c>
      <c r="G7" s="202">
        <v>41</v>
      </c>
      <c r="H7" s="202">
        <v>41</v>
      </c>
      <c r="I7" s="202">
        <v>48</v>
      </c>
      <c r="J7" s="202">
        <v>48</v>
      </c>
      <c r="K7" s="202">
        <v>49</v>
      </c>
      <c r="L7" s="202">
        <v>45</v>
      </c>
      <c r="M7" s="202">
        <v>46</v>
      </c>
      <c r="N7" s="202">
        <v>48</v>
      </c>
      <c r="O7" s="202">
        <v>48</v>
      </c>
      <c r="P7" s="202">
        <v>47</v>
      </c>
      <c r="Q7" s="202">
        <v>45</v>
      </c>
      <c r="R7" s="202">
        <v>45</v>
      </c>
      <c r="S7" s="202">
        <v>47</v>
      </c>
      <c r="T7" s="202">
        <v>45</v>
      </c>
      <c r="U7" s="202">
        <v>53</v>
      </c>
      <c r="V7" s="203">
        <f>100-V6-V8</f>
        <v>54</v>
      </c>
      <c r="W7" s="203">
        <f t="shared" ref="W7:AC7" si="0">100-W6-W8</f>
        <v>50</v>
      </c>
      <c r="X7" s="203">
        <f t="shared" si="0"/>
        <v>50</v>
      </c>
      <c r="Y7" s="203">
        <f t="shared" si="0"/>
        <v>55</v>
      </c>
      <c r="Z7" s="203">
        <f t="shared" si="0"/>
        <v>56</v>
      </c>
      <c r="AA7" s="203">
        <f t="shared" si="0"/>
        <v>56</v>
      </c>
      <c r="AB7" s="203">
        <f t="shared" si="0"/>
        <v>44</v>
      </c>
      <c r="AC7" s="203">
        <f t="shared" si="0"/>
        <v>40</v>
      </c>
      <c r="AD7" s="203">
        <f>100-AD6-AD8</f>
        <v>32</v>
      </c>
      <c r="AE7" s="203">
        <v>29</v>
      </c>
      <c r="AF7" s="203">
        <v>29</v>
      </c>
    </row>
    <row r="8" spans="1:32">
      <c r="A8" s="198" t="s">
        <v>765</v>
      </c>
      <c r="B8" s="199">
        <v>31</v>
      </c>
      <c r="C8" s="199">
        <v>27</v>
      </c>
      <c r="D8" s="199">
        <v>21</v>
      </c>
      <c r="E8" s="199">
        <v>25</v>
      </c>
      <c r="F8" s="199">
        <v>29</v>
      </c>
      <c r="G8" s="199">
        <v>15</v>
      </c>
      <c r="H8" s="199">
        <v>14</v>
      </c>
      <c r="I8" s="199">
        <v>15</v>
      </c>
      <c r="J8" s="199">
        <v>14</v>
      </c>
      <c r="K8" s="199">
        <v>24</v>
      </c>
      <c r="L8" s="199">
        <v>20</v>
      </c>
      <c r="M8" s="199">
        <v>21</v>
      </c>
      <c r="N8" s="199">
        <v>21</v>
      </c>
      <c r="O8" s="199">
        <v>13</v>
      </c>
      <c r="P8" s="199">
        <v>20</v>
      </c>
      <c r="Q8" s="199">
        <v>16</v>
      </c>
      <c r="R8" s="199">
        <v>17</v>
      </c>
      <c r="S8" s="199">
        <v>18</v>
      </c>
      <c r="T8" s="199">
        <v>26</v>
      </c>
      <c r="U8" s="199">
        <v>20</v>
      </c>
      <c r="V8" s="203">
        <v>19</v>
      </c>
      <c r="W8" s="203">
        <v>28</v>
      </c>
      <c r="X8" s="203">
        <v>21</v>
      </c>
      <c r="Y8" s="203">
        <v>21</v>
      </c>
      <c r="Z8" s="203">
        <v>18</v>
      </c>
      <c r="AA8" s="203">
        <v>19</v>
      </c>
      <c r="AB8" s="203">
        <v>36</v>
      </c>
      <c r="AC8" s="203">
        <v>40</v>
      </c>
      <c r="AD8" s="203">
        <v>37</v>
      </c>
      <c r="AE8" s="203">
        <v>27</v>
      </c>
      <c r="AF8" s="203">
        <v>19</v>
      </c>
    </row>
    <row r="9" spans="1:32">
      <c r="A9" s="200" t="s">
        <v>766</v>
      </c>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row>
    <row r="10" spans="1:32">
      <c r="A10" s="201" t="s">
        <v>763</v>
      </c>
      <c r="B10" s="202">
        <v>38</v>
      </c>
      <c r="C10" s="203">
        <v>40</v>
      </c>
      <c r="D10" s="203">
        <v>41</v>
      </c>
      <c r="E10" s="203">
        <v>28</v>
      </c>
      <c r="F10" s="203">
        <v>28</v>
      </c>
      <c r="G10" s="203">
        <v>38</v>
      </c>
      <c r="H10" s="203">
        <v>29</v>
      </c>
      <c r="I10" s="203">
        <v>33</v>
      </c>
      <c r="J10" s="203">
        <v>34</v>
      </c>
      <c r="K10" s="203">
        <v>38</v>
      </c>
      <c r="L10" s="203">
        <v>35</v>
      </c>
      <c r="M10" s="203">
        <v>33</v>
      </c>
      <c r="N10" s="203">
        <v>28</v>
      </c>
      <c r="O10" s="203">
        <v>41</v>
      </c>
      <c r="P10" s="203">
        <v>37</v>
      </c>
      <c r="Q10" s="203">
        <v>41</v>
      </c>
      <c r="R10" s="203">
        <v>46</v>
      </c>
      <c r="S10" s="203">
        <v>35</v>
      </c>
      <c r="T10" s="203">
        <v>36</v>
      </c>
      <c r="U10" s="203">
        <v>30</v>
      </c>
      <c r="V10" s="203">
        <v>31</v>
      </c>
      <c r="W10" s="203">
        <v>25</v>
      </c>
      <c r="X10" s="203">
        <v>34</v>
      </c>
      <c r="Y10" s="203">
        <v>34</v>
      </c>
      <c r="Z10" s="203">
        <v>28</v>
      </c>
      <c r="AA10" s="203">
        <v>27</v>
      </c>
      <c r="AB10" s="203">
        <v>19</v>
      </c>
      <c r="AC10" s="203">
        <v>20</v>
      </c>
      <c r="AD10" s="203">
        <v>31</v>
      </c>
      <c r="AE10" s="203">
        <v>42</v>
      </c>
      <c r="AF10" s="203">
        <v>56</v>
      </c>
    </row>
    <row r="11" spans="1:32">
      <c r="A11" s="201" t="s">
        <v>764</v>
      </c>
      <c r="B11" s="202">
        <v>27</v>
      </c>
      <c r="C11" s="202">
        <v>27</v>
      </c>
      <c r="D11" s="202">
        <v>27</v>
      </c>
      <c r="E11" s="202">
        <v>39</v>
      </c>
      <c r="F11" s="202">
        <v>42</v>
      </c>
      <c r="G11" s="202">
        <v>43</v>
      </c>
      <c r="H11" s="202">
        <v>46</v>
      </c>
      <c r="I11" s="202">
        <v>46</v>
      </c>
      <c r="J11" s="202">
        <v>43</v>
      </c>
      <c r="K11" s="202">
        <v>37</v>
      </c>
      <c r="L11" s="202">
        <v>36</v>
      </c>
      <c r="M11" s="202">
        <v>34</v>
      </c>
      <c r="N11" s="202">
        <v>46</v>
      </c>
      <c r="O11" s="202">
        <v>44</v>
      </c>
      <c r="P11" s="202">
        <v>39</v>
      </c>
      <c r="Q11" s="202">
        <v>44</v>
      </c>
      <c r="R11" s="202">
        <v>36</v>
      </c>
      <c r="S11" s="202">
        <v>43</v>
      </c>
      <c r="T11" s="202">
        <v>43</v>
      </c>
      <c r="U11" s="202">
        <v>57</v>
      </c>
      <c r="V11" s="203">
        <f>100-V10-V12</f>
        <v>51</v>
      </c>
      <c r="W11" s="203">
        <f t="shared" ref="W11:AD11" si="1">100-W10-W12</f>
        <v>54</v>
      </c>
      <c r="X11" s="203">
        <f t="shared" si="1"/>
        <v>50</v>
      </c>
      <c r="Y11" s="203">
        <f t="shared" si="1"/>
        <v>49</v>
      </c>
      <c r="Z11" s="203">
        <f t="shared" si="1"/>
        <v>59</v>
      </c>
      <c r="AA11" s="203">
        <f t="shared" si="1"/>
        <v>56</v>
      </c>
      <c r="AB11" s="203">
        <f t="shared" si="1"/>
        <v>45</v>
      </c>
      <c r="AC11" s="203">
        <f t="shared" si="1"/>
        <v>39</v>
      </c>
      <c r="AD11" s="203">
        <f t="shared" si="1"/>
        <v>31</v>
      </c>
      <c r="AE11" s="203">
        <f>100-AE10-AE12</f>
        <v>28</v>
      </c>
      <c r="AF11" s="203">
        <v>26</v>
      </c>
    </row>
    <row r="12" spans="1:32">
      <c r="A12" s="198" t="s">
        <v>765</v>
      </c>
      <c r="B12" s="199">
        <v>30</v>
      </c>
      <c r="C12" s="199">
        <v>32</v>
      </c>
      <c r="D12" s="199">
        <v>30</v>
      </c>
      <c r="E12" s="199">
        <v>31</v>
      </c>
      <c r="F12" s="199">
        <v>28</v>
      </c>
      <c r="G12" s="199">
        <v>17</v>
      </c>
      <c r="H12" s="199">
        <v>24</v>
      </c>
      <c r="I12" s="199">
        <v>20</v>
      </c>
      <c r="J12" s="199">
        <v>22</v>
      </c>
      <c r="K12" s="199">
        <v>23</v>
      </c>
      <c r="L12" s="199">
        <v>25</v>
      </c>
      <c r="M12" s="199">
        <v>32</v>
      </c>
      <c r="N12" s="199">
        <v>23</v>
      </c>
      <c r="O12" s="199">
        <v>13</v>
      </c>
      <c r="P12" s="199">
        <v>23</v>
      </c>
      <c r="Q12" s="199">
        <v>14</v>
      </c>
      <c r="R12" s="199">
        <v>16</v>
      </c>
      <c r="S12" s="199">
        <v>20</v>
      </c>
      <c r="T12" s="199">
        <v>19</v>
      </c>
      <c r="U12" s="199">
        <v>14</v>
      </c>
      <c r="V12" s="203">
        <v>18</v>
      </c>
      <c r="W12" s="203">
        <v>21</v>
      </c>
      <c r="X12" s="203">
        <v>16</v>
      </c>
      <c r="Y12" s="203">
        <v>17</v>
      </c>
      <c r="Z12" s="203">
        <v>13</v>
      </c>
      <c r="AA12" s="203">
        <v>17</v>
      </c>
      <c r="AB12" s="203">
        <v>36</v>
      </c>
      <c r="AC12" s="203">
        <v>41</v>
      </c>
      <c r="AD12" s="203">
        <v>38</v>
      </c>
      <c r="AE12" s="203">
        <v>30</v>
      </c>
      <c r="AF12" s="203">
        <v>18</v>
      </c>
    </row>
    <row r="13" spans="1:32">
      <c r="A13" s="200" t="s">
        <v>767</v>
      </c>
      <c r="B13" s="200"/>
      <c r="C13" s="200"/>
      <c r="D13" s="200"/>
      <c r="E13" s="200"/>
      <c r="F13" s="200"/>
      <c r="G13" s="200"/>
      <c r="H13" s="200"/>
      <c r="I13" s="200"/>
      <c r="J13" s="200"/>
      <c r="K13" s="200"/>
      <c r="L13" s="200"/>
      <c r="M13" s="200"/>
      <c r="N13" s="200"/>
      <c r="O13" s="200"/>
      <c r="P13" s="200"/>
      <c r="Q13" s="200"/>
      <c r="R13" s="200"/>
      <c r="S13" s="200"/>
      <c r="T13" s="200"/>
      <c r="U13" s="200"/>
      <c r="V13" s="1142"/>
      <c r="W13" s="1142"/>
      <c r="X13" s="1142"/>
      <c r="Y13" s="1142"/>
      <c r="Z13" s="1142"/>
      <c r="AA13" s="1142"/>
      <c r="AB13" s="1142"/>
      <c r="AC13" s="1142"/>
      <c r="AD13" s="1142"/>
      <c r="AE13" s="1142"/>
      <c r="AF13" s="1142"/>
    </row>
    <row r="14" spans="1:32">
      <c r="A14" s="201" t="s">
        <v>763</v>
      </c>
      <c r="B14" s="202">
        <v>30</v>
      </c>
      <c r="C14" s="203">
        <v>19</v>
      </c>
      <c r="D14" s="203">
        <v>34</v>
      </c>
      <c r="E14" s="203">
        <v>36</v>
      </c>
      <c r="F14" s="203">
        <v>38</v>
      </c>
      <c r="G14" s="203">
        <v>45</v>
      </c>
      <c r="H14" s="203">
        <v>41</v>
      </c>
      <c r="I14" s="203">
        <v>40</v>
      </c>
      <c r="J14" s="203">
        <v>40</v>
      </c>
      <c r="K14" s="203">
        <v>27</v>
      </c>
      <c r="L14" s="203">
        <v>38</v>
      </c>
      <c r="M14" s="203">
        <v>21</v>
      </c>
      <c r="N14" s="203">
        <v>35</v>
      </c>
      <c r="O14" s="203">
        <v>28</v>
      </c>
      <c r="P14" s="203">
        <v>33</v>
      </c>
      <c r="Q14" s="203">
        <v>37</v>
      </c>
      <c r="R14" s="203">
        <v>37</v>
      </c>
      <c r="S14" s="203">
        <v>36</v>
      </c>
      <c r="T14" s="203">
        <v>26</v>
      </c>
      <c r="U14" s="203">
        <v>24</v>
      </c>
      <c r="V14" s="203">
        <v>30</v>
      </c>
      <c r="W14" s="203">
        <v>24</v>
      </c>
      <c r="X14" s="203">
        <v>46</v>
      </c>
      <c r="Y14" s="203">
        <v>33</v>
      </c>
      <c r="Z14" s="203">
        <v>29</v>
      </c>
      <c r="AA14" s="203">
        <v>20</v>
      </c>
      <c r="AB14" s="203">
        <v>17</v>
      </c>
      <c r="AC14" s="203">
        <v>11</v>
      </c>
      <c r="AD14" s="203">
        <v>32</v>
      </c>
      <c r="AE14" s="203">
        <v>52</v>
      </c>
      <c r="AF14" s="203">
        <v>59</v>
      </c>
    </row>
    <row r="15" spans="1:32">
      <c r="A15" s="201" t="s">
        <v>764</v>
      </c>
      <c r="B15" s="202">
        <v>37</v>
      </c>
      <c r="C15" s="202">
        <v>51</v>
      </c>
      <c r="D15" s="202">
        <v>29</v>
      </c>
      <c r="E15" s="202">
        <v>40</v>
      </c>
      <c r="F15" s="202">
        <v>42</v>
      </c>
      <c r="G15" s="202">
        <v>33</v>
      </c>
      <c r="H15" s="202">
        <v>42</v>
      </c>
      <c r="I15" s="202">
        <v>42</v>
      </c>
      <c r="J15" s="202">
        <v>46</v>
      </c>
      <c r="K15" s="202">
        <v>49</v>
      </c>
      <c r="L15" s="202">
        <v>36</v>
      </c>
      <c r="M15" s="202">
        <v>44</v>
      </c>
      <c r="N15" s="202">
        <v>42</v>
      </c>
      <c r="O15" s="202">
        <v>55</v>
      </c>
      <c r="P15" s="202">
        <v>36</v>
      </c>
      <c r="Q15" s="202">
        <v>41</v>
      </c>
      <c r="R15" s="202">
        <v>56</v>
      </c>
      <c r="S15" s="202">
        <v>47</v>
      </c>
      <c r="T15" s="202">
        <v>52</v>
      </c>
      <c r="U15" s="202">
        <v>59</v>
      </c>
      <c r="V15" s="203">
        <f>100-V14-V16</f>
        <v>48</v>
      </c>
      <c r="W15" s="203">
        <v>53</v>
      </c>
      <c r="X15" s="203">
        <v>40</v>
      </c>
      <c r="Y15" s="203">
        <v>58</v>
      </c>
      <c r="Z15" s="203">
        <v>61</v>
      </c>
      <c r="AA15" s="203">
        <v>56</v>
      </c>
      <c r="AB15" s="203">
        <v>42</v>
      </c>
      <c r="AC15" s="203">
        <v>50</v>
      </c>
      <c r="AD15" s="203">
        <v>32</v>
      </c>
      <c r="AE15" s="203">
        <f>100-AE14-AE16</f>
        <v>20</v>
      </c>
      <c r="AF15" s="203">
        <v>25</v>
      </c>
    </row>
    <row r="16" spans="1:32">
      <c r="A16" s="198" t="s">
        <v>765</v>
      </c>
      <c r="B16" s="199">
        <v>32</v>
      </c>
      <c r="C16" s="199">
        <v>29</v>
      </c>
      <c r="D16" s="199">
        <v>34</v>
      </c>
      <c r="E16" s="199">
        <v>22</v>
      </c>
      <c r="F16" s="199">
        <v>19</v>
      </c>
      <c r="G16" s="199">
        <v>20</v>
      </c>
      <c r="H16" s="199">
        <v>15</v>
      </c>
      <c r="I16" s="199">
        <v>19</v>
      </c>
      <c r="J16" s="199">
        <v>14</v>
      </c>
      <c r="K16" s="199">
        <v>24</v>
      </c>
      <c r="L16" s="199">
        <v>23</v>
      </c>
      <c r="M16" s="199">
        <v>34</v>
      </c>
      <c r="N16" s="199">
        <v>22</v>
      </c>
      <c r="O16" s="199">
        <v>16</v>
      </c>
      <c r="P16" s="199">
        <v>31</v>
      </c>
      <c r="Q16" s="199">
        <v>16</v>
      </c>
      <c r="R16" s="199">
        <v>7</v>
      </c>
      <c r="S16" s="199">
        <v>16</v>
      </c>
      <c r="T16" s="199">
        <v>22</v>
      </c>
      <c r="U16" s="199">
        <v>15</v>
      </c>
      <c r="V16" s="203">
        <v>22</v>
      </c>
      <c r="W16" s="203">
        <v>23</v>
      </c>
      <c r="X16" s="203">
        <v>14</v>
      </c>
      <c r="Y16" s="203">
        <v>9</v>
      </c>
      <c r="Z16" s="203">
        <v>10</v>
      </c>
      <c r="AA16" s="203">
        <v>24</v>
      </c>
      <c r="AB16" s="203">
        <v>41</v>
      </c>
      <c r="AC16" s="203">
        <v>39</v>
      </c>
      <c r="AD16" s="203">
        <v>36</v>
      </c>
      <c r="AE16" s="203">
        <v>28</v>
      </c>
      <c r="AF16" s="203">
        <v>16</v>
      </c>
    </row>
    <row r="17" spans="1:32">
      <c r="A17" s="200" t="s">
        <v>768</v>
      </c>
      <c r="B17" s="200"/>
      <c r="C17" s="200"/>
      <c r="D17" s="200"/>
      <c r="E17" s="200"/>
      <c r="F17" s="200"/>
      <c r="G17" s="200"/>
      <c r="H17" s="200"/>
      <c r="I17" s="200"/>
      <c r="J17" s="200"/>
      <c r="K17" s="200"/>
      <c r="L17" s="200"/>
      <c r="M17" s="200"/>
      <c r="N17" s="200"/>
      <c r="O17" s="200"/>
      <c r="P17" s="200"/>
      <c r="Q17" s="200"/>
      <c r="R17" s="200"/>
      <c r="S17" s="200"/>
      <c r="T17" s="200"/>
      <c r="U17" s="200"/>
      <c r="V17" s="1142"/>
      <c r="W17" s="1142"/>
      <c r="X17" s="1142"/>
      <c r="Y17" s="1142"/>
      <c r="Z17" s="1142"/>
      <c r="AA17" s="1142"/>
      <c r="AB17" s="1142"/>
      <c r="AC17" s="1142"/>
      <c r="AD17" s="1142"/>
      <c r="AE17" s="1142"/>
      <c r="AF17" s="1142"/>
    </row>
    <row r="18" spans="1:32">
      <c r="A18" s="201" t="s">
        <v>763</v>
      </c>
      <c r="B18" s="202">
        <v>25</v>
      </c>
      <c r="C18" s="203">
        <v>40</v>
      </c>
      <c r="D18" s="203">
        <v>27</v>
      </c>
      <c r="E18" s="203">
        <v>35</v>
      </c>
      <c r="F18" s="203">
        <v>24</v>
      </c>
      <c r="G18" s="203">
        <v>38</v>
      </c>
      <c r="H18" s="203">
        <v>39</v>
      </c>
      <c r="I18" s="203">
        <v>27</v>
      </c>
      <c r="J18" s="203">
        <v>28</v>
      </c>
      <c r="K18" s="203">
        <v>26</v>
      </c>
      <c r="L18" s="203">
        <v>20</v>
      </c>
      <c r="M18" s="203">
        <v>28</v>
      </c>
      <c r="N18" s="203">
        <v>23</v>
      </c>
      <c r="O18" s="203">
        <v>33</v>
      </c>
      <c r="P18" s="203">
        <v>38</v>
      </c>
      <c r="Q18" s="203">
        <v>34</v>
      </c>
      <c r="R18" s="203">
        <v>37</v>
      </c>
      <c r="S18" s="203">
        <v>38</v>
      </c>
      <c r="T18" s="203">
        <v>28</v>
      </c>
      <c r="U18" s="203">
        <v>28</v>
      </c>
      <c r="V18" s="203">
        <v>30</v>
      </c>
      <c r="W18" s="203">
        <v>24</v>
      </c>
      <c r="X18" s="203">
        <v>46</v>
      </c>
      <c r="Y18" s="203">
        <v>33</v>
      </c>
      <c r="Z18" s="203">
        <v>29</v>
      </c>
      <c r="AA18" s="203">
        <v>20</v>
      </c>
      <c r="AB18" s="203">
        <v>17</v>
      </c>
      <c r="AC18" s="203">
        <v>11</v>
      </c>
      <c r="AD18" s="203">
        <v>32</v>
      </c>
      <c r="AE18" s="203">
        <v>52</v>
      </c>
      <c r="AF18" s="203">
        <v>59</v>
      </c>
    </row>
    <row r="19" spans="1:32">
      <c r="A19" s="201" t="s">
        <v>764</v>
      </c>
      <c r="B19" s="202">
        <v>24</v>
      </c>
      <c r="C19" s="202">
        <v>33</v>
      </c>
      <c r="D19" s="202">
        <v>39</v>
      </c>
      <c r="E19" s="202">
        <v>44</v>
      </c>
      <c r="F19" s="202">
        <v>47</v>
      </c>
      <c r="G19" s="202">
        <v>45</v>
      </c>
      <c r="H19" s="202">
        <v>41</v>
      </c>
      <c r="I19" s="202">
        <v>53</v>
      </c>
      <c r="J19" s="202">
        <v>56</v>
      </c>
      <c r="K19" s="202">
        <v>49</v>
      </c>
      <c r="L19" s="202">
        <v>53</v>
      </c>
      <c r="M19" s="202">
        <v>47</v>
      </c>
      <c r="N19" s="202">
        <v>48</v>
      </c>
      <c r="O19" s="202">
        <v>47</v>
      </c>
      <c r="P19" s="202">
        <v>42</v>
      </c>
      <c r="Q19" s="202">
        <v>39</v>
      </c>
      <c r="R19" s="202">
        <v>43</v>
      </c>
      <c r="S19" s="202">
        <v>38</v>
      </c>
      <c r="T19" s="202">
        <v>47</v>
      </c>
      <c r="U19" s="202">
        <v>51</v>
      </c>
      <c r="V19" s="203">
        <f>100-V18-V20</f>
        <v>48</v>
      </c>
      <c r="W19" s="203">
        <v>53</v>
      </c>
      <c r="X19" s="203">
        <v>40</v>
      </c>
      <c r="Y19" s="203">
        <v>58</v>
      </c>
      <c r="Z19" s="203">
        <v>61</v>
      </c>
      <c r="AA19" s="203">
        <v>56</v>
      </c>
      <c r="AB19" s="203">
        <v>42</v>
      </c>
      <c r="AC19" s="203">
        <v>50</v>
      </c>
      <c r="AD19" s="203">
        <v>32</v>
      </c>
      <c r="AE19" s="203">
        <f>100-AE18-AE20</f>
        <v>20</v>
      </c>
      <c r="AF19" s="203">
        <v>25</v>
      </c>
    </row>
    <row r="20" spans="1:32">
      <c r="A20" s="198" t="s">
        <v>765</v>
      </c>
      <c r="B20" s="199">
        <v>47</v>
      </c>
      <c r="C20" s="199">
        <v>26</v>
      </c>
      <c r="D20" s="199">
        <v>31</v>
      </c>
      <c r="E20" s="199">
        <v>20</v>
      </c>
      <c r="F20" s="199">
        <v>30</v>
      </c>
      <c r="G20" s="199">
        <v>15</v>
      </c>
      <c r="H20" s="199">
        <v>19</v>
      </c>
      <c r="I20" s="199">
        <v>19</v>
      </c>
      <c r="J20" s="199">
        <v>15</v>
      </c>
      <c r="K20" s="199">
        <v>25</v>
      </c>
      <c r="L20" s="199">
        <v>26</v>
      </c>
      <c r="M20" s="199">
        <v>24</v>
      </c>
      <c r="N20" s="199">
        <v>23</v>
      </c>
      <c r="O20" s="199">
        <v>20</v>
      </c>
      <c r="P20" s="199">
        <v>20</v>
      </c>
      <c r="Q20" s="199">
        <v>18</v>
      </c>
      <c r="R20" s="199">
        <v>17</v>
      </c>
      <c r="S20" s="199">
        <v>23</v>
      </c>
      <c r="T20" s="199">
        <v>26</v>
      </c>
      <c r="U20" s="199">
        <v>20</v>
      </c>
      <c r="V20" s="203">
        <v>22</v>
      </c>
      <c r="W20" s="203">
        <v>23</v>
      </c>
      <c r="X20" s="203">
        <v>14</v>
      </c>
      <c r="Y20" s="203">
        <v>9</v>
      </c>
      <c r="Z20" s="203">
        <v>10</v>
      </c>
      <c r="AA20" s="203">
        <v>24</v>
      </c>
      <c r="AB20" s="203">
        <v>41</v>
      </c>
      <c r="AC20" s="203">
        <v>39</v>
      </c>
      <c r="AD20" s="203">
        <v>36</v>
      </c>
      <c r="AE20" s="203">
        <v>28</v>
      </c>
      <c r="AF20" s="203">
        <v>16</v>
      </c>
    </row>
    <row r="21" spans="1:32">
      <c r="A21" s="200" t="s">
        <v>769</v>
      </c>
      <c r="B21" s="200"/>
      <c r="C21" s="200"/>
      <c r="D21" s="200"/>
      <c r="E21" s="200"/>
      <c r="F21" s="200"/>
      <c r="G21" s="200"/>
      <c r="H21" s="200"/>
      <c r="I21" s="200"/>
      <c r="J21" s="200"/>
      <c r="K21" s="200"/>
      <c r="L21" s="200"/>
      <c r="M21" s="200"/>
      <c r="N21" s="200"/>
      <c r="O21" s="200"/>
      <c r="P21" s="200"/>
      <c r="Q21" s="200"/>
      <c r="R21" s="200"/>
      <c r="S21" s="200"/>
      <c r="T21" s="200"/>
      <c r="U21" s="200"/>
      <c r="V21" s="1142"/>
      <c r="W21" s="1142"/>
      <c r="X21" s="1142"/>
      <c r="Y21" s="1142"/>
      <c r="Z21" s="1142"/>
      <c r="AA21" s="1142"/>
      <c r="AB21" s="1142"/>
      <c r="AC21" s="1142"/>
      <c r="AD21" s="1142"/>
      <c r="AE21" s="1142"/>
      <c r="AF21" s="1142"/>
    </row>
    <row r="22" spans="1:32">
      <c r="A22" s="201" t="s">
        <v>763</v>
      </c>
      <c r="B22" s="202">
        <v>42</v>
      </c>
      <c r="C22" s="203">
        <v>28</v>
      </c>
      <c r="D22" s="203">
        <v>46</v>
      </c>
      <c r="E22" s="203">
        <v>38</v>
      </c>
      <c r="F22" s="203">
        <v>29</v>
      </c>
      <c r="G22" s="203">
        <v>47</v>
      </c>
      <c r="H22" s="203">
        <v>54</v>
      </c>
      <c r="I22" s="203">
        <v>40</v>
      </c>
      <c r="J22" s="203">
        <v>39</v>
      </c>
      <c r="K22" s="203">
        <v>23</v>
      </c>
      <c r="L22" s="203">
        <v>39</v>
      </c>
      <c r="M22" s="203">
        <v>33</v>
      </c>
      <c r="N22" s="203">
        <v>30</v>
      </c>
      <c r="O22" s="203">
        <v>43</v>
      </c>
      <c r="P22" s="203">
        <v>34</v>
      </c>
      <c r="Q22" s="203">
        <v>40</v>
      </c>
      <c r="R22" s="203">
        <v>37</v>
      </c>
      <c r="S22" s="203">
        <v>36</v>
      </c>
      <c r="T22" s="203">
        <v>25</v>
      </c>
      <c r="U22" s="203">
        <v>25</v>
      </c>
      <c r="V22" s="203">
        <v>21</v>
      </c>
      <c r="W22" s="203">
        <v>20</v>
      </c>
      <c r="X22" s="203">
        <v>27</v>
      </c>
      <c r="Y22" s="203">
        <v>33</v>
      </c>
      <c r="Z22" s="203">
        <v>30</v>
      </c>
      <c r="AA22" s="203">
        <v>39</v>
      </c>
      <c r="AB22" s="203">
        <v>23</v>
      </c>
      <c r="AC22" s="203">
        <v>29</v>
      </c>
      <c r="AD22" s="203">
        <v>28</v>
      </c>
      <c r="AE22" s="203">
        <v>37</v>
      </c>
      <c r="AF22" s="203">
        <v>60</v>
      </c>
    </row>
    <row r="23" spans="1:32">
      <c r="A23" s="201" t="s">
        <v>764</v>
      </c>
      <c r="B23" s="202">
        <v>29</v>
      </c>
      <c r="C23" s="202">
        <v>32</v>
      </c>
      <c r="D23" s="202">
        <v>34</v>
      </c>
      <c r="E23" s="202">
        <v>42</v>
      </c>
      <c r="F23" s="202">
        <v>40</v>
      </c>
      <c r="G23" s="202">
        <v>37</v>
      </c>
      <c r="H23" s="202">
        <v>34</v>
      </c>
      <c r="I23" s="202">
        <v>45</v>
      </c>
      <c r="J23" s="202">
        <v>48</v>
      </c>
      <c r="K23" s="202">
        <v>49</v>
      </c>
      <c r="L23" s="202">
        <v>41</v>
      </c>
      <c r="M23" s="202">
        <v>45</v>
      </c>
      <c r="N23" s="202">
        <v>48</v>
      </c>
      <c r="O23" s="202">
        <v>43</v>
      </c>
      <c r="P23" s="202">
        <v>45</v>
      </c>
      <c r="Q23" s="202">
        <v>44</v>
      </c>
      <c r="R23" s="202">
        <v>43</v>
      </c>
      <c r="S23" s="202">
        <v>46</v>
      </c>
      <c r="T23" s="202">
        <v>41</v>
      </c>
      <c r="U23" s="202">
        <v>48</v>
      </c>
      <c r="V23" s="203">
        <f>100-V22-V24</f>
        <v>55</v>
      </c>
      <c r="W23" s="203">
        <v>55</v>
      </c>
      <c r="X23" s="203">
        <v>51</v>
      </c>
      <c r="Y23" s="203">
        <v>57</v>
      </c>
      <c r="Z23" s="203">
        <v>55</v>
      </c>
      <c r="AA23" s="203">
        <v>51</v>
      </c>
      <c r="AB23" s="203">
        <v>44</v>
      </c>
      <c r="AC23" s="203">
        <v>42</v>
      </c>
      <c r="AD23" s="203">
        <v>42</v>
      </c>
      <c r="AE23" s="203">
        <f>100-AE22-AE24</f>
        <v>35</v>
      </c>
      <c r="AF23" s="203">
        <v>22</v>
      </c>
    </row>
    <row r="24" spans="1:32">
      <c r="A24" s="198" t="s">
        <v>765</v>
      </c>
      <c r="B24" s="199">
        <v>27</v>
      </c>
      <c r="C24" s="199">
        <v>25</v>
      </c>
      <c r="D24" s="199">
        <v>18</v>
      </c>
      <c r="E24" s="199">
        <v>19</v>
      </c>
      <c r="F24" s="199">
        <v>30</v>
      </c>
      <c r="G24" s="199">
        <v>14</v>
      </c>
      <c r="H24" s="199">
        <v>11</v>
      </c>
      <c r="I24" s="199">
        <v>13</v>
      </c>
      <c r="J24" s="199">
        <v>12</v>
      </c>
      <c r="K24" s="199">
        <v>27</v>
      </c>
      <c r="L24" s="199">
        <v>17</v>
      </c>
      <c r="M24" s="199">
        <v>20</v>
      </c>
      <c r="N24" s="199">
        <v>21</v>
      </c>
      <c r="O24" s="199">
        <v>11</v>
      </c>
      <c r="P24" s="199">
        <v>19</v>
      </c>
      <c r="Q24" s="199">
        <v>14</v>
      </c>
      <c r="R24" s="199">
        <v>18</v>
      </c>
      <c r="S24" s="199">
        <v>17</v>
      </c>
      <c r="T24" s="199">
        <v>31</v>
      </c>
      <c r="U24" s="199">
        <v>25</v>
      </c>
      <c r="V24" s="203">
        <v>24</v>
      </c>
      <c r="W24" s="203">
        <v>25</v>
      </c>
      <c r="X24" s="203">
        <v>22</v>
      </c>
      <c r="Y24" s="203">
        <v>10</v>
      </c>
      <c r="Z24" s="203">
        <v>15</v>
      </c>
      <c r="AA24" s="203">
        <v>10</v>
      </c>
      <c r="AB24" s="203">
        <v>33</v>
      </c>
      <c r="AC24" s="203">
        <v>29</v>
      </c>
      <c r="AD24" s="203">
        <v>30</v>
      </c>
      <c r="AE24" s="203">
        <v>28</v>
      </c>
      <c r="AF24" s="203">
        <v>18</v>
      </c>
    </row>
    <row r="25" spans="1:32">
      <c r="A25" s="200" t="s">
        <v>770</v>
      </c>
      <c r="B25" s="200"/>
      <c r="C25" s="200"/>
      <c r="D25" s="200"/>
      <c r="E25" s="200"/>
      <c r="F25" s="200"/>
      <c r="G25" s="200"/>
      <c r="H25" s="200"/>
      <c r="I25" s="200"/>
      <c r="J25" s="200"/>
      <c r="K25" s="200"/>
      <c r="L25" s="200"/>
      <c r="M25" s="200"/>
      <c r="N25" s="200"/>
      <c r="O25" s="200"/>
      <c r="P25" s="200"/>
      <c r="Q25" s="200"/>
      <c r="R25" s="200"/>
      <c r="S25" s="200"/>
      <c r="T25" s="200"/>
      <c r="U25" s="200"/>
      <c r="V25" s="1142"/>
      <c r="W25" s="1142"/>
      <c r="X25" s="1142"/>
      <c r="Y25" s="1142"/>
      <c r="Z25" s="1142"/>
      <c r="AA25" s="1142"/>
      <c r="AB25" s="1142"/>
      <c r="AC25" s="1142"/>
      <c r="AD25" s="1142"/>
      <c r="AE25" s="1142"/>
      <c r="AF25" s="1142"/>
    </row>
    <row r="26" spans="1:32">
      <c r="A26" s="201" t="s">
        <v>763</v>
      </c>
      <c r="B26" s="202">
        <v>40</v>
      </c>
      <c r="C26" s="203">
        <v>25</v>
      </c>
      <c r="D26" s="203">
        <v>41</v>
      </c>
      <c r="E26" s="203">
        <v>28</v>
      </c>
      <c r="F26" s="203">
        <v>24</v>
      </c>
      <c r="G26" s="203">
        <v>35</v>
      </c>
      <c r="H26" s="203">
        <v>40</v>
      </c>
      <c r="I26" s="203">
        <v>36</v>
      </c>
      <c r="J26" s="203">
        <v>37</v>
      </c>
      <c r="K26" s="203">
        <v>24</v>
      </c>
      <c r="L26" s="203">
        <v>22</v>
      </c>
      <c r="M26" s="203">
        <v>30</v>
      </c>
      <c r="N26" s="203">
        <v>24</v>
      </c>
      <c r="O26" s="203">
        <v>35</v>
      </c>
      <c r="P26" s="203">
        <v>25</v>
      </c>
      <c r="Q26" s="203">
        <v>30</v>
      </c>
      <c r="R26" s="203">
        <v>29</v>
      </c>
      <c r="S26" s="203">
        <v>28</v>
      </c>
      <c r="T26" s="203">
        <v>26</v>
      </c>
      <c r="U26" s="203">
        <v>20</v>
      </c>
      <c r="V26" s="203">
        <v>28</v>
      </c>
      <c r="W26" s="203">
        <v>25</v>
      </c>
      <c r="X26" s="203">
        <v>31</v>
      </c>
      <c r="Y26" s="203">
        <v>21</v>
      </c>
      <c r="Z26" s="203">
        <v>24</v>
      </c>
      <c r="AA26" s="203">
        <v>23</v>
      </c>
      <c r="AB26" s="203">
        <v>16</v>
      </c>
      <c r="AC26" s="203">
        <v>23</v>
      </c>
      <c r="AD26" s="203">
        <v>38</v>
      </c>
      <c r="AE26" s="203">
        <v>53</v>
      </c>
      <c r="AF26" s="203">
        <v>52</v>
      </c>
    </row>
    <row r="27" spans="1:32">
      <c r="A27" s="201" t="s">
        <v>764</v>
      </c>
      <c r="B27" s="202">
        <v>28</v>
      </c>
      <c r="C27" s="202">
        <v>49</v>
      </c>
      <c r="D27" s="202">
        <v>43</v>
      </c>
      <c r="E27" s="202">
        <v>38</v>
      </c>
      <c r="F27" s="202">
        <v>45</v>
      </c>
      <c r="G27" s="202">
        <v>49</v>
      </c>
      <c r="H27" s="202">
        <v>47</v>
      </c>
      <c r="I27" s="202">
        <v>51</v>
      </c>
      <c r="J27" s="202">
        <v>51</v>
      </c>
      <c r="K27" s="202">
        <v>53</v>
      </c>
      <c r="L27" s="202">
        <v>57</v>
      </c>
      <c r="M27" s="202">
        <v>56</v>
      </c>
      <c r="N27" s="202">
        <v>54</v>
      </c>
      <c r="O27" s="202">
        <v>54</v>
      </c>
      <c r="P27" s="202">
        <v>59</v>
      </c>
      <c r="Q27" s="202">
        <v>50</v>
      </c>
      <c r="R27" s="202">
        <v>46</v>
      </c>
      <c r="S27" s="202">
        <v>51</v>
      </c>
      <c r="T27" s="202">
        <v>48</v>
      </c>
      <c r="U27" s="202">
        <v>61</v>
      </c>
      <c r="V27" s="203">
        <f>100-V26-V28</f>
        <v>51</v>
      </c>
      <c r="W27" s="203">
        <v>43</v>
      </c>
      <c r="X27" s="203">
        <v>41</v>
      </c>
      <c r="Y27" s="203">
        <v>56</v>
      </c>
      <c r="Z27" s="203">
        <v>54</v>
      </c>
      <c r="AA27" s="203">
        <v>54</v>
      </c>
      <c r="AB27" s="203">
        <v>41</v>
      </c>
      <c r="AC27" s="203">
        <v>37</v>
      </c>
      <c r="AD27" s="203">
        <v>27</v>
      </c>
      <c r="AE27" s="203">
        <f>100-AE26-AE28</f>
        <v>25</v>
      </c>
      <c r="AF27" s="203">
        <v>28</v>
      </c>
    </row>
    <row r="28" spans="1:32">
      <c r="A28" s="198" t="s">
        <v>765</v>
      </c>
      <c r="B28" s="199">
        <v>28</v>
      </c>
      <c r="C28" s="199">
        <v>25</v>
      </c>
      <c r="D28" s="199">
        <v>13</v>
      </c>
      <c r="E28" s="199">
        <v>31</v>
      </c>
      <c r="F28" s="199">
        <v>29</v>
      </c>
      <c r="G28" s="199">
        <v>15</v>
      </c>
      <c r="H28" s="199">
        <v>12</v>
      </c>
      <c r="I28" s="199">
        <v>12</v>
      </c>
      <c r="J28" s="199">
        <v>11</v>
      </c>
      <c r="K28" s="199">
        <v>23</v>
      </c>
      <c r="L28" s="199">
        <v>18</v>
      </c>
      <c r="M28" s="199">
        <v>12</v>
      </c>
      <c r="N28" s="199">
        <v>19</v>
      </c>
      <c r="O28" s="199">
        <v>11</v>
      </c>
      <c r="P28" s="199">
        <v>14</v>
      </c>
      <c r="Q28" s="199">
        <v>19</v>
      </c>
      <c r="R28" s="199">
        <v>22</v>
      </c>
      <c r="S28" s="199">
        <v>20</v>
      </c>
      <c r="T28" s="199">
        <v>26</v>
      </c>
      <c r="U28" s="199">
        <v>15</v>
      </c>
      <c r="V28" s="203">
        <v>21</v>
      </c>
      <c r="W28" s="203">
        <v>32</v>
      </c>
      <c r="X28" s="203">
        <v>28</v>
      </c>
      <c r="Y28" s="203">
        <v>23</v>
      </c>
      <c r="Z28" s="203">
        <v>22</v>
      </c>
      <c r="AA28" s="203">
        <v>23</v>
      </c>
      <c r="AB28" s="203">
        <v>43</v>
      </c>
      <c r="AC28" s="203">
        <v>40</v>
      </c>
      <c r="AD28" s="203">
        <v>35</v>
      </c>
      <c r="AE28" s="203">
        <v>22</v>
      </c>
      <c r="AF28" s="203">
        <v>20</v>
      </c>
    </row>
    <row r="29" spans="1:32">
      <c r="A29" s="200" t="s">
        <v>771</v>
      </c>
      <c r="B29" s="200"/>
      <c r="C29" s="200"/>
      <c r="D29" s="200"/>
      <c r="E29" s="200"/>
      <c r="F29" s="200"/>
      <c r="G29" s="200"/>
      <c r="H29" s="200"/>
      <c r="I29" s="200"/>
      <c r="J29" s="200"/>
      <c r="K29" s="200"/>
      <c r="L29" s="200"/>
      <c r="M29" s="200"/>
      <c r="N29" s="200"/>
      <c r="O29" s="200"/>
      <c r="P29" s="200"/>
      <c r="Q29" s="200"/>
      <c r="R29" s="200"/>
      <c r="S29" s="200"/>
      <c r="T29" s="200"/>
      <c r="U29" s="200"/>
      <c r="V29" s="1142"/>
      <c r="W29" s="1142"/>
      <c r="X29" s="1142"/>
      <c r="Y29" s="1142"/>
      <c r="Z29" s="1142"/>
      <c r="AA29" s="1142"/>
      <c r="AB29" s="1142"/>
      <c r="AC29" s="1142"/>
      <c r="AD29" s="1142"/>
      <c r="AE29" s="1142"/>
      <c r="AF29" s="1142"/>
    </row>
    <row r="30" spans="1:32">
      <c r="A30" s="201" t="s">
        <v>763</v>
      </c>
      <c r="B30" s="202">
        <v>31</v>
      </c>
      <c r="C30" s="203">
        <v>34</v>
      </c>
      <c r="D30" s="203">
        <v>36</v>
      </c>
      <c r="E30" s="203">
        <v>32</v>
      </c>
      <c r="F30" s="203">
        <v>23</v>
      </c>
      <c r="G30" s="203">
        <v>35</v>
      </c>
      <c r="H30" s="203">
        <v>40</v>
      </c>
      <c r="I30" s="203">
        <v>29</v>
      </c>
      <c r="J30" s="203">
        <v>30</v>
      </c>
      <c r="K30" s="203">
        <v>28</v>
      </c>
      <c r="L30" s="203">
        <v>36</v>
      </c>
      <c r="M30" s="203">
        <v>37</v>
      </c>
      <c r="N30" s="203">
        <v>34</v>
      </c>
      <c r="O30" s="203">
        <v>33</v>
      </c>
      <c r="P30" s="203">
        <v>30</v>
      </c>
      <c r="Q30" s="203">
        <v>40</v>
      </c>
      <c r="R30" s="203">
        <v>34</v>
      </c>
      <c r="S30" s="203">
        <v>35</v>
      </c>
      <c r="T30" s="203">
        <v>31</v>
      </c>
      <c r="U30" s="203">
        <v>30</v>
      </c>
      <c r="V30" s="203">
        <v>21</v>
      </c>
      <c r="W30" s="203">
        <v>17</v>
      </c>
      <c r="X30" s="203">
        <v>20</v>
      </c>
      <c r="Y30" s="203">
        <v>15</v>
      </c>
      <c r="Z30" s="203">
        <v>23</v>
      </c>
      <c r="AA30" s="203">
        <v>26</v>
      </c>
      <c r="AB30" s="203">
        <v>24</v>
      </c>
      <c r="AC30" s="203">
        <v>14</v>
      </c>
      <c r="AD30" s="203">
        <v>20</v>
      </c>
      <c r="AE30" s="203">
        <v>31</v>
      </c>
      <c r="AF30" s="203">
        <v>46</v>
      </c>
    </row>
    <row r="31" spans="1:32">
      <c r="A31" s="201" t="s">
        <v>764</v>
      </c>
      <c r="B31" s="202">
        <v>26</v>
      </c>
      <c r="C31" s="202">
        <v>32</v>
      </c>
      <c r="D31" s="202">
        <v>39</v>
      </c>
      <c r="E31" s="202">
        <v>41</v>
      </c>
      <c r="F31" s="202">
        <v>38</v>
      </c>
      <c r="G31" s="202">
        <v>46</v>
      </c>
      <c r="H31" s="202">
        <v>44</v>
      </c>
      <c r="I31" s="202">
        <v>52</v>
      </c>
      <c r="J31" s="202">
        <v>50</v>
      </c>
      <c r="K31" s="202">
        <v>52</v>
      </c>
      <c r="L31" s="202">
        <v>43</v>
      </c>
      <c r="M31" s="202">
        <v>42</v>
      </c>
      <c r="N31" s="202">
        <v>47</v>
      </c>
      <c r="O31" s="202">
        <v>46</v>
      </c>
      <c r="P31" s="202">
        <v>48</v>
      </c>
      <c r="Q31" s="202">
        <v>42</v>
      </c>
      <c r="R31" s="202">
        <v>54</v>
      </c>
      <c r="S31" s="202">
        <v>51</v>
      </c>
      <c r="T31" s="202">
        <v>44</v>
      </c>
      <c r="U31" s="202">
        <v>40</v>
      </c>
      <c r="V31" s="203">
        <f>100-V30-V32</f>
        <v>60</v>
      </c>
      <c r="W31" s="203">
        <v>58</v>
      </c>
      <c r="X31" s="203">
        <v>69</v>
      </c>
      <c r="Y31" s="203">
        <v>56</v>
      </c>
      <c r="Z31" s="203">
        <v>59</v>
      </c>
      <c r="AA31" s="203">
        <v>57</v>
      </c>
      <c r="AB31" s="203">
        <v>51</v>
      </c>
      <c r="AC31" s="203">
        <v>41</v>
      </c>
      <c r="AD31" s="203">
        <v>34</v>
      </c>
      <c r="AE31" s="203">
        <f>100-AE30-AE32</f>
        <v>34</v>
      </c>
      <c r="AF31" s="203">
        <v>35</v>
      </c>
    </row>
    <row r="32" spans="1:32">
      <c r="A32" s="198" t="s">
        <v>765</v>
      </c>
      <c r="B32" s="199">
        <v>43</v>
      </c>
      <c r="C32" s="199">
        <v>32</v>
      </c>
      <c r="D32" s="199">
        <v>24</v>
      </c>
      <c r="E32" s="199">
        <v>27</v>
      </c>
      <c r="F32" s="199">
        <v>39</v>
      </c>
      <c r="G32" s="199">
        <v>17</v>
      </c>
      <c r="H32" s="199">
        <v>15</v>
      </c>
      <c r="I32" s="199">
        <v>19</v>
      </c>
      <c r="J32" s="199">
        <v>20</v>
      </c>
      <c r="K32" s="199">
        <v>20</v>
      </c>
      <c r="L32" s="199">
        <v>20</v>
      </c>
      <c r="M32" s="199">
        <v>20</v>
      </c>
      <c r="N32" s="199">
        <v>17</v>
      </c>
      <c r="O32" s="199">
        <v>19</v>
      </c>
      <c r="P32" s="199">
        <v>21</v>
      </c>
      <c r="Q32" s="199">
        <v>15</v>
      </c>
      <c r="R32" s="199">
        <v>8</v>
      </c>
      <c r="S32" s="199">
        <v>13</v>
      </c>
      <c r="T32" s="199">
        <v>18</v>
      </c>
      <c r="U32" s="202">
        <v>29</v>
      </c>
      <c r="V32" s="203">
        <v>19</v>
      </c>
      <c r="W32" s="203">
        <v>25</v>
      </c>
      <c r="X32" s="203">
        <v>11</v>
      </c>
      <c r="Y32" s="203">
        <v>29</v>
      </c>
      <c r="Z32" s="203">
        <v>18</v>
      </c>
      <c r="AA32" s="203">
        <v>17</v>
      </c>
      <c r="AB32" s="203">
        <v>25</v>
      </c>
      <c r="AC32" s="203">
        <v>45</v>
      </c>
      <c r="AD32" s="203">
        <v>46</v>
      </c>
      <c r="AE32" s="203">
        <v>35</v>
      </c>
      <c r="AF32" s="203">
        <v>19</v>
      </c>
    </row>
    <row r="33" spans="1:32">
      <c r="U33" s="196"/>
      <c r="V33" s="196"/>
      <c r="W33" s="196"/>
      <c r="X33" s="196"/>
      <c r="Y33" s="196"/>
      <c r="Z33" s="196"/>
      <c r="AA33" s="196"/>
      <c r="AB33" s="196"/>
      <c r="AC33" s="196"/>
      <c r="AD33" s="196"/>
      <c r="AE33" s="196"/>
      <c r="AF33" s="196"/>
    </row>
    <row r="34" spans="1:32">
      <c r="A34" s="55" t="s">
        <v>2267</v>
      </c>
    </row>
  </sheetData>
  <phoneticPr fontId="35" type="noConversion"/>
  <pageMargins left="0.75" right="0.75" top="1" bottom="1" header="0.5" footer="0.5"/>
  <pageSetup scale="46" orientation="landscape" horizontalDpi="4294967292" verticalDpi="1200" r:id="rId1"/>
  <headerFooter alignWithMargins="0"/>
</worksheet>
</file>

<file path=xl/worksheets/sheet123.xml><?xml version="1.0" encoding="utf-8"?>
<worksheet xmlns="http://schemas.openxmlformats.org/spreadsheetml/2006/main" xmlns:r="http://schemas.openxmlformats.org/officeDocument/2006/relationships">
  <sheetPr codeName="Sheet92">
    <pageSetUpPr fitToPage="1"/>
  </sheetPr>
  <dimension ref="A1:I33"/>
  <sheetViews>
    <sheetView view="pageBreakPreview" topLeftCell="A13" zoomScale="98" zoomScaleSheetLayoutView="98" workbookViewId="0">
      <selection activeCell="H62" sqref="H62"/>
    </sheetView>
  </sheetViews>
  <sheetFormatPr defaultColWidth="8" defaultRowHeight="12.75"/>
  <cols>
    <col min="1" max="1" width="27.140625" style="55" customWidth="1"/>
    <col min="2" max="2" width="15.85546875" style="55" customWidth="1"/>
    <col min="3" max="3" width="8" style="55"/>
    <col min="4" max="4" width="22.28515625" style="55" customWidth="1"/>
    <col min="5" max="5" width="13.28515625" style="55" customWidth="1"/>
    <col min="6" max="16384" width="8" style="55"/>
  </cols>
  <sheetData>
    <row r="1" spans="1:2" ht="15.75">
      <c r="A1" s="745" t="s">
        <v>815</v>
      </c>
    </row>
    <row r="2" spans="1:2">
      <c r="A2" s="55" t="s">
        <v>1056</v>
      </c>
    </row>
    <row r="3" spans="1:2" ht="9.6" customHeight="1"/>
    <row r="4" spans="1:2">
      <c r="A4" s="51" t="s">
        <v>1057</v>
      </c>
    </row>
    <row r="5" spans="1:2" s="52" customFormat="1" ht="42" customHeight="1">
      <c r="A5" s="52" t="s">
        <v>1058</v>
      </c>
      <c r="B5" s="52" t="s">
        <v>807</v>
      </c>
    </row>
    <row r="6" spans="1:2">
      <c r="A6" s="194">
        <v>1990</v>
      </c>
      <c r="B6" s="234">
        <v>26</v>
      </c>
    </row>
    <row r="7" spans="1:2">
      <c r="A7" s="194">
        <v>1993</v>
      </c>
      <c r="B7" s="234">
        <v>35</v>
      </c>
    </row>
    <row r="8" spans="1:2">
      <c r="A8" s="194">
        <v>1995</v>
      </c>
      <c r="B8" s="234">
        <v>32</v>
      </c>
    </row>
    <row r="9" spans="1:2">
      <c r="A9" s="194">
        <v>1997</v>
      </c>
      <c r="B9" s="234">
        <v>25</v>
      </c>
    </row>
    <row r="10" spans="1:2">
      <c r="A10" s="194">
        <v>1999</v>
      </c>
      <c r="B10" s="234">
        <v>21</v>
      </c>
    </row>
    <row r="11" spans="1:2">
      <c r="A11" s="194">
        <v>2000</v>
      </c>
      <c r="B11" s="234">
        <v>19</v>
      </c>
    </row>
    <row r="12" spans="1:2">
      <c r="A12" s="194">
        <v>2001</v>
      </c>
      <c r="B12" s="234">
        <v>21</v>
      </c>
    </row>
    <row r="13" spans="1:2">
      <c r="A13" s="194">
        <v>2002</v>
      </c>
      <c r="B13" s="234">
        <v>22</v>
      </c>
    </row>
    <row r="14" spans="1:2">
      <c r="A14" s="194">
        <v>2003</v>
      </c>
      <c r="B14" s="234">
        <v>19</v>
      </c>
    </row>
    <row r="15" spans="1:2">
      <c r="A15" s="234">
        <f>A14+1</f>
        <v>2004</v>
      </c>
      <c r="B15" s="234">
        <v>18</v>
      </c>
    </row>
    <row r="16" spans="1:2">
      <c r="A16" s="234">
        <v>2005</v>
      </c>
      <c r="B16" s="234">
        <v>16.666666666659999</v>
      </c>
    </row>
    <row r="17" spans="1:9">
      <c r="A17" s="234">
        <v>2006</v>
      </c>
      <c r="B17" s="234">
        <v>15.5</v>
      </c>
    </row>
    <row r="18" spans="1:9">
      <c r="A18" s="234">
        <v>2007</v>
      </c>
      <c r="B18" s="234">
        <v>15</v>
      </c>
    </row>
    <row r="19" spans="1:9">
      <c r="A19" s="234">
        <v>2008</v>
      </c>
      <c r="B19" s="234">
        <v>17.5</v>
      </c>
    </row>
    <row r="20" spans="1:9">
      <c r="A20" s="234">
        <v>2009</v>
      </c>
      <c r="B20" s="234">
        <v>25.3333333333333</v>
      </c>
    </row>
    <row r="21" spans="1:9" ht="16.149999999999999" customHeight="1">
      <c r="A21" s="55" t="s">
        <v>2266</v>
      </c>
      <c r="B21" s="234">
        <f>B20-B6</f>
        <v>-0.66666666666669983</v>
      </c>
    </row>
    <row r="22" spans="1:9" ht="13.9" customHeight="1"/>
    <row r="23" spans="1:9">
      <c r="A23" s="51" t="s">
        <v>1059</v>
      </c>
      <c r="D23" s="51" t="s">
        <v>2264</v>
      </c>
    </row>
    <row r="24" spans="1:9" s="52" customFormat="1" ht="54.75" customHeight="1">
      <c r="A24" s="52" t="s">
        <v>1060</v>
      </c>
      <c r="B24" s="52" t="s">
        <v>807</v>
      </c>
      <c r="D24" s="52" t="s">
        <v>1060</v>
      </c>
      <c r="E24" s="52" t="s">
        <v>807</v>
      </c>
    </row>
    <row r="25" spans="1:9">
      <c r="A25" s="55" t="s">
        <v>742</v>
      </c>
      <c r="B25" s="194">
        <v>18</v>
      </c>
      <c r="D25" s="55" t="s">
        <v>742</v>
      </c>
      <c r="E25" s="194">
        <v>29</v>
      </c>
    </row>
    <row r="26" spans="1:9">
      <c r="A26" s="55" t="s">
        <v>741</v>
      </c>
      <c r="B26" s="194">
        <v>16</v>
      </c>
      <c r="D26" s="55" t="s">
        <v>741</v>
      </c>
      <c r="E26" s="194">
        <v>24</v>
      </c>
    </row>
    <row r="27" spans="1:9" ht="14.25" customHeight="1">
      <c r="A27" s="658" t="s">
        <v>1061</v>
      </c>
      <c r="B27" s="194">
        <v>17</v>
      </c>
      <c r="D27" s="1146" t="s">
        <v>1061</v>
      </c>
      <c r="E27" s="194">
        <v>5</v>
      </c>
    </row>
    <row r="28" spans="1:9">
      <c r="A28" s="55" t="s">
        <v>738</v>
      </c>
      <c r="B28" s="194">
        <v>21</v>
      </c>
      <c r="D28" s="55" t="s">
        <v>738</v>
      </c>
      <c r="E28" s="194">
        <v>27</v>
      </c>
    </row>
    <row r="29" spans="1:9">
      <c r="A29" s="50" t="s">
        <v>793</v>
      </c>
      <c r="B29" s="194">
        <v>20</v>
      </c>
      <c r="D29" s="50" t="s">
        <v>793</v>
      </c>
      <c r="E29" s="194">
        <v>23</v>
      </c>
    </row>
    <row r="30" spans="1:9">
      <c r="A30" s="50" t="s">
        <v>772</v>
      </c>
      <c r="B30" s="194">
        <v>19</v>
      </c>
      <c r="D30" s="50" t="s">
        <v>772</v>
      </c>
      <c r="E30" s="194">
        <v>21</v>
      </c>
    </row>
    <row r="32" spans="1:9" ht="43.5" customHeight="1">
      <c r="A32" s="1220" t="s">
        <v>2265</v>
      </c>
      <c r="B32" s="1220"/>
      <c r="C32" s="1220"/>
      <c r="D32" s="1220"/>
      <c r="E32" s="1220"/>
      <c r="F32" s="1146"/>
      <c r="G32" s="1146"/>
      <c r="H32" s="1146"/>
      <c r="I32" s="655"/>
    </row>
    <row r="33" spans="1:9">
      <c r="A33" s="1146"/>
      <c r="B33" s="1146"/>
      <c r="C33" s="1146"/>
      <c r="D33" s="1146"/>
      <c r="E33" s="1146"/>
      <c r="F33" s="1146"/>
      <c r="G33" s="1146"/>
      <c r="H33" s="1146"/>
      <c r="I33" s="655"/>
    </row>
  </sheetData>
  <mergeCells count="1">
    <mergeCell ref="A32:E32"/>
  </mergeCells>
  <phoneticPr fontId="35" type="noConversion"/>
  <pageMargins left="0.75" right="0.75" top="1" bottom="1" header="0.5" footer="0.5"/>
  <pageSetup orientation="portrait" horizontalDpi="4294967292" verticalDpi="1200" r:id="rId1"/>
  <headerFooter alignWithMargins="0"/>
</worksheet>
</file>

<file path=xl/worksheets/sheet124.xml><?xml version="1.0" encoding="utf-8"?>
<worksheet xmlns="http://schemas.openxmlformats.org/spreadsheetml/2006/main" xmlns:r="http://schemas.openxmlformats.org/officeDocument/2006/relationships">
  <dimension ref="A1:BD41"/>
  <sheetViews>
    <sheetView view="pageBreakPreview" zoomScale="60" zoomScaleNormal="100" workbookViewId="0">
      <pane xSplit="11" ySplit="3" topLeftCell="L4" activePane="bottomRight" state="frozen"/>
      <selection activeCell="H62" sqref="H62"/>
      <selection pane="topRight" activeCell="H62" sqref="H62"/>
      <selection pane="bottomLeft" activeCell="H62" sqref="H62"/>
      <selection pane="bottomRight" activeCell="H62" sqref="H62"/>
    </sheetView>
  </sheetViews>
  <sheetFormatPr defaultRowHeight="12.75" outlineLevelCol="1"/>
  <cols>
    <col min="1" max="1" width="41" customWidth="1"/>
    <col min="2" max="11" width="9.140625" hidden="1" customWidth="1" outlineLevel="1"/>
    <col min="12" max="12" width="6.7109375" style="236" customWidth="1" collapsed="1"/>
    <col min="13" max="28" width="6.7109375" customWidth="1" outlineLevel="1"/>
    <col min="29" max="33" width="6.7109375" customWidth="1"/>
  </cols>
  <sheetData>
    <row r="1" spans="1:56" ht="15.75">
      <c r="A1" s="1081" t="s">
        <v>1973</v>
      </c>
      <c r="B1" s="1036"/>
      <c r="C1" s="1036"/>
      <c r="D1" s="1036"/>
      <c r="E1" s="1036"/>
      <c r="F1" s="1036"/>
      <c r="G1" s="1036"/>
      <c r="H1" s="1036"/>
      <c r="I1" s="1036"/>
      <c r="J1" s="1036"/>
      <c r="K1" s="1036"/>
      <c r="L1" s="1040"/>
      <c r="M1" s="1036"/>
      <c r="N1" s="1036"/>
      <c r="O1" s="1036"/>
      <c r="P1" s="1036"/>
      <c r="Q1" s="1036"/>
      <c r="R1" s="1036"/>
      <c r="S1" s="1036"/>
      <c r="T1" s="1036"/>
      <c r="U1" s="1036"/>
      <c r="V1" s="1036"/>
      <c r="W1" s="1036"/>
    </row>
    <row r="2" spans="1:56" ht="15">
      <c r="A2" s="1036"/>
      <c r="B2" s="1036"/>
      <c r="C2" s="1036"/>
      <c r="D2" s="1036"/>
      <c r="E2" s="1036"/>
      <c r="F2" s="1036"/>
      <c r="G2" s="1036"/>
      <c r="H2" s="1036"/>
      <c r="I2" s="1036"/>
      <c r="J2" s="1036"/>
      <c r="K2" s="1036"/>
      <c r="L2" s="1226">
        <v>2004</v>
      </c>
      <c r="M2" s="1226"/>
      <c r="N2" s="1226"/>
      <c r="O2" s="1226"/>
      <c r="P2" s="1226">
        <v>2005</v>
      </c>
      <c r="Q2" s="1226"/>
      <c r="R2" s="1226"/>
      <c r="S2" s="1226"/>
      <c r="T2" s="1226">
        <v>2006</v>
      </c>
      <c r="U2" s="1226"/>
      <c r="V2" s="1226"/>
      <c r="W2" s="1226"/>
    </row>
    <row r="3" spans="1:56" ht="15">
      <c r="A3" s="1082" t="s">
        <v>800</v>
      </c>
      <c r="B3" s="1082" t="s">
        <v>1974</v>
      </c>
      <c r="C3" s="1082" t="s">
        <v>1975</v>
      </c>
      <c r="D3" s="1082" t="s">
        <v>1976</v>
      </c>
      <c r="E3" s="1082" t="s">
        <v>1977</v>
      </c>
      <c r="F3" s="1082" t="s">
        <v>1978</v>
      </c>
      <c r="G3" s="1082" t="s">
        <v>1979</v>
      </c>
      <c r="H3" s="1082" t="s">
        <v>1980</v>
      </c>
      <c r="I3" s="1082" t="s">
        <v>1981</v>
      </c>
      <c r="J3" s="1082" t="s">
        <v>1982</v>
      </c>
      <c r="K3" s="1082" t="s">
        <v>1983</v>
      </c>
      <c r="L3" s="1088" t="s">
        <v>1984</v>
      </c>
      <c r="M3" s="1083" t="s">
        <v>755</v>
      </c>
      <c r="N3" s="1083" t="s">
        <v>1985</v>
      </c>
      <c r="O3" s="1083" t="s">
        <v>1986</v>
      </c>
      <c r="P3" s="1083" t="s">
        <v>1987</v>
      </c>
      <c r="Q3" s="1084" t="s">
        <v>755</v>
      </c>
      <c r="R3" s="1083" t="s">
        <v>1988</v>
      </c>
      <c r="S3" s="1083" t="s">
        <v>1989</v>
      </c>
      <c r="T3" s="1083" t="s">
        <v>1987</v>
      </c>
      <c r="U3" s="1083" t="s">
        <v>755</v>
      </c>
      <c r="V3" s="1083" t="s">
        <v>1985</v>
      </c>
      <c r="W3" s="1083" t="s">
        <v>1989</v>
      </c>
    </row>
    <row r="4" spans="1:56" ht="15">
      <c r="A4" s="1091" t="s">
        <v>1990</v>
      </c>
      <c r="B4" s="1098">
        <v>71</v>
      </c>
      <c r="C4" s="1098">
        <v>79</v>
      </c>
      <c r="D4" s="1098">
        <v>87</v>
      </c>
      <c r="E4" s="1098">
        <v>91</v>
      </c>
      <c r="F4" s="1098">
        <v>87</v>
      </c>
      <c r="G4" s="1098">
        <v>93</v>
      </c>
      <c r="H4" s="1098">
        <v>80</v>
      </c>
      <c r="I4" s="1098">
        <v>88</v>
      </c>
      <c r="J4" s="1098">
        <v>86</v>
      </c>
      <c r="K4" s="1098">
        <v>93</v>
      </c>
      <c r="L4" s="1094">
        <v>87</v>
      </c>
      <c r="M4" s="1095">
        <v>80</v>
      </c>
      <c r="N4" s="1095">
        <v>88</v>
      </c>
      <c r="O4" s="1095">
        <v>88</v>
      </c>
      <c r="P4" s="1095">
        <v>88</v>
      </c>
      <c r="Q4" s="1095">
        <v>88</v>
      </c>
      <c r="R4" s="1095">
        <v>75</v>
      </c>
      <c r="S4" s="1095">
        <v>85</v>
      </c>
      <c r="T4" s="1095">
        <v>88</v>
      </c>
      <c r="U4" s="1095">
        <v>89</v>
      </c>
      <c r="V4" s="1095">
        <v>86</v>
      </c>
      <c r="W4" s="1099">
        <v>87</v>
      </c>
      <c r="AI4" s="246"/>
      <c r="AJ4" s="246"/>
      <c r="AK4" s="246"/>
      <c r="AL4" s="246"/>
      <c r="AM4" s="246"/>
      <c r="AN4" s="246"/>
      <c r="AO4" s="246"/>
      <c r="AP4" s="246"/>
      <c r="AQ4" s="246"/>
      <c r="AR4" s="246"/>
      <c r="AS4" s="246"/>
      <c r="AT4" s="246"/>
      <c r="AU4" s="246"/>
      <c r="AV4" s="246"/>
      <c r="AW4" s="246"/>
      <c r="AX4" s="246"/>
      <c r="AY4" s="246"/>
      <c r="AZ4" s="246"/>
      <c r="BA4" s="246"/>
      <c r="BB4" s="246"/>
      <c r="BC4" s="246"/>
      <c r="BD4" s="246"/>
    </row>
    <row r="5" spans="1:56" ht="15">
      <c r="A5" s="1085" t="s">
        <v>1997</v>
      </c>
      <c r="B5" s="1037"/>
      <c r="C5" s="1037"/>
      <c r="D5" s="1037"/>
      <c r="E5" s="1037"/>
      <c r="F5" s="1037"/>
      <c r="G5" s="1037"/>
      <c r="H5" s="1036"/>
      <c r="I5" s="1036"/>
      <c r="J5" s="1036"/>
      <c r="K5" s="1037"/>
      <c r="L5" s="1089"/>
      <c r="M5" s="1038"/>
      <c r="N5" s="1038"/>
      <c r="O5" s="1038"/>
      <c r="P5" s="1038"/>
      <c r="Q5" s="1038"/>
      <c r="R5" s="1038"/>
      <c r="S5" s="1038"/>
      <c r="T5" s="1038"/>
      <c r="U5" s="1038"/>
      <c r="V5" s="1038"/>
      <c r="W5" s="1038"/>
      <c r="AI5" s="236"/>
      <c r="AJ5" s="236"/>
      <c r="AK5" s="236"/>
      <c r="AL5" s="236"/>
      <c r="AM5" s="236"/>
      <c r="AN5" s="236"/>
      <c r="AO5" s="236"/>
      <c r="AP5" s="236"/>
      <c r="AQ5" s="236"/>
      <c r="AR5" s="236"/>
      <c r="AS5" s="236"/>
      <c r="AT5" s="236"/>
      <c r="AU5" s="236"/>
      <c r="AV5" s="236"/>
      <c r="AW5" s="236"/>
      <c r="AX5" s="236"/>
      <c r="AY5" s="236"/>
      <c r="AZ5" s="236"/>
      <c r="BA5" s="236"/>
      <c r="BB5" s="236"/>
      <c r="BC5" s="236"/>
      <c r="BD5" s="236"/>
    </row>
    <row r="6" spans="1:56" ht="15">
      <c r="A6" s="1037" t="s">
        <v>1998</v>
      </c>
      <c r="B6" s="1037"/>
      <c r="C6" s="1037"/>
      <c r="D6" s="1037"/>
      <c r="E6" s="1037"/>
      <c r="F6" s="1037"/>
      <c r="G6" s="1037"/>
      <c r="H6" s="1036"/>
      <c r="I6" s="1036"/>
      <c r="J6" s="1036"/>
      <c r="K6" s="1036"/>
      <c r="L6" s="1089">
        <v>60</v>
      </c>
      <c r="M6" s="1038">
        <v>56.000000000000007</v>
      </c>
      <c r="N6" s="1038">
        <v>63</v>
      </c>
      <c r="O6" s="1038">
        <v>62</v>
      </c>
      <c r="P6" s="1038">
        <v>60</v>
      </c>
      <c r="Q6" s="1038">
        <v>63</v>
      </c>
      <c r="R6" s="1038">
        <v>48</v>
      </c>
      <c r="S6" s="1038">
        <v>54</v>
      </c>
      <c r="T6" s="1038">
        <v>56.999999999999993</v>
      </c>
      <c r="U6" s="1038">
        <v>57.999999999999993</v>
      </c>
      <c r="V6" s="1038">
        <v>56.000000000000007</v>
      </c>
      <c r="W6" s="1038">
        <v>56.000000000000007</v>
      </c>
      <c r="AI6" s="236"/>
      <c r="AJ6" s="236"/>
      <c r="AK6" s="236"/>
      <c r="AL6" s="236"/>
      <c r="AM6" s="236"/>
      <c r="AN6" s="236"/>
      <c r="AO6" s="236"/>
      <c r="AP6" s="236"/>
      <c r="AQ6" s="236"/>
      <c r="AR6" s="236"/>
      <c r="AS6" s="236"/>
      <c r="AT6" s="236"/>
      <c r="AU6" s="236"/>
      <c r="AV6" s="236"/>
      <c r="AW6" s="236"/>
      <c r="AX6" s="236"/>
      <c r="AY6" s="236"/>
      <c r="AZ6" s="236"/>
      <c r="BA6" s="236"/>
      <c r="BB6" s="236"/>
      <c r="BC6" s="236"/>
      <c r="BD6" s="236"/>
    </row>
    <row r="7" spans="1:56" ht="15">
      <c r="A7" s="1036" t="s">
        <v>1999</v>
      </c>
      <c r="B7" s="1037"/>
      <c r="C7" s="1037"/>
      <c r="D7" s="1037"/>
      <c r="E7" s="1037"/>
      <c r="F7" s="1037"/>
      <c r="G7" s="1037"/>
      <c r="H7" s="1036"/>
      <c r="I7" s="1036"/>
      <c r="J7" s="1036"/>
      <c r="K7" s="1036"/>
      <c r="L7" s="1089">
        <v>48</v>
      </c>
      <c r="M7" s="1038">
        <v>41</v>
      </c>
      <c r="N7" s="1038">
        <v>49</v>
      </c>
      <c r="O7" s="1038">
        <v>51</v>
      </c>
      <c r="P7" s="1038">
        <v>48</v>
      </c>
      <c r="Q7" s="1038">
        <v>51</v>
      </c>
      <c r="R7" s="1038">
        <v>43</v>
      </c>
      <c r="S7" s="1038">
        <v>47</v>
      </c>
      <c r="T7" s="1038">
        <v>48</v>
      </c>
      <c r="U7" s="1038">
        <v>51</v>
      </c>
      <c r="V7" s="1038">
        <v>48</v>
      </c>
      <c r="W7" s="1038">
        <v>48</v>
      </c>
      <c r="AI7" s="236"/>
      <c r="AJ7" s="236"/>
      <c r="AK7" s="236"/>
      <c r="AL7" s="236"/>
      <c r="AM7" s="236"/>
      <c r="AN7" s="236"/>
      <c r="AO7" s="236"/>
      <c r="AP7" s="236"/>
      <c r="AQ7" s="236"/>
      <c r="AR7" s="236"/>
      <c r="AS7" s="236"/>
      <c r="AT7" s="236"/>
      <c r="AU7" s="236"/>
      <c r="AV7" s="236"/>
      <c r="AW7" s="236"/>
      <c r="AX7" s="236"/>
      <c r="AY7" s="236"/>
      <c r="AZ7" s="236"/>
      <c r="BA7" s="236"/>
      <c r="BB7" s="236"/>
      <c r="BC7" s="236"/>
      <c r="BD7" s="236"/>
    </row>
    <row r="8" spans="1:56" ht="15">
      <c r="A8" s="1036" t="s">
        <v>2000</v>
      </c>
      <c r="B8" s="1037"/>
      <c r="C8" s="1037"/>
      <c r="D8" s="1037"/>
      <c r="E8" s="1037"/>
      <c r="F8" s="1037"/>
      <c r="G8" s="1037"/>
      <c r="H8" s="1036"/>
      <c r="I8" s="1036"/>
      <c r="J8" s="1036"/>
      <c r="K8" s="1036"/>
      <c r="L8" s="1089">
        <v>23</v>
      </c>
      <c r="M8" s="1038">
        <v>16</v>
      </c>
      <c r="N8" s="1038">
        <v>19</v>
      </c>
      <c r="O8" s="1038">
        <v>24</v>
      </c>
      <c r="P8" s="1038">
        <v>21</v>
      </c>
      <c r="Q8" s="1038">
        <v>18</v>
      </c>
      <c r="R8" s="1038">
        <v>16</v>
      </c>
      <c r="S8" s="1038">
        <v>22</v>
      </c>
      <c r="T8" s="1038">
        <v>24</v>
      </c>
      <c r="U8" s="1038">
        <v>25</v>
      </c>
      <c r="V8" s="1038">
        <v>18</v>
      </c>
      <c r="W8" s="1038">
        <v>21</v>
      </c>
      <c r="AI8" s="236"/>
      <c r="AJ8" s="236"/>
      <c r="AK8" s="236"/>
      <c r="AL8" s="236"/>
      <c r="AM8" s="236"/>
      <c r="AN8" s="236"/>
      <c r="AO8" s="236"/>
      <c r="AP8" s="236"/>
      <c r="AQ8" s="236"/>
      <c r="AR8" s="236"/>
      <c r="AS8" s="236"/>
      <c r="AT8" s="236"/>
      <c r="AU8" s="236"/>
      <c r="AV8" s="236"/>
      <c r="AW8" s="236"/>
      <c r="AX8" s="236"/>
      <c r="AY8" s="236"/>
      <c r="AZ8" s="236"/>
      <c r="BA8" s="236"/>
      <c r="BB8" s="236"/>
      <c r="BC8" s="236"/>
      <c r="BD8" s="236"/>
    </row>
    <row r="9" spans="1:56" ht="15">
      <c r="A9" s="1036" t="s">
        <v>2001</v>
      </c>
      <c r="B9" s="1037"/>
      <c r="C9" s="1037"/>
      <c r="D9" s="1037"/>
      <c r="E9" s="1037"/>
      <c r="F9" s="1037"/>
      <c r="G9" s="1037"/>
      <c r="H9" s="1036"/>
      <c r="I9" s="1036"/>
      <c r="J9" s="1036"/>
      <c r="K9" s="1036"/>
      <c r="L9" s="1089">
        <v>32</v>
      </c>
      <c r="M9" s="1038">
        <v>26</v>
      </c>
      <c r="N9" s="1038">
        <v>28.000000000000004</v>
      </c>
      <c r="O9" s="1038">
        <v>27</v>
      </c>
      <c r="P9" s="1038">
        <v>30</v>
      </c>
      <c r="Q9" s="1038">
        <v>27</v>
      </c>
      <c r="R9" s="1038">
        <v>25</v>
      </c>
      <c r="S9" s="1038">
        <v>28.999999999999996</v>
      </c>
      <c r="T9" s="1038">
        <v>30</v>
      </c>
      <c r="U9" s="1038">
        <v>30</v>
      </c>
      <c r="V9" s="1038">
        <v>28.999999999999996</v>
      </c>
      <c r="W9" s="1038">
        <v>27</v>
      </c>
      <c r="AI9" s="236"/>
      <c r="AJ9" s="236"/>
      <c r="AK9" s="236"/>
      <c r="AL9" s="236"/>
      <c r="AM9" s="236"/>
      <c r="AN9" s="236"/>
      <c r="AO9" s="236"/>
      <c r="AP9" s="236"/>
      <c r="AQ9" s="236"/>
      <c r="AR9" s="236"/>
      <c r="AS9" s="236"/>
      <c r="AT9" s="236"/>
      <c r="AU9" s="236"/>
      <c r="AV9" s="236"/>
      <c r="AW9" s="236"/>
      <c r="AX9" s="236"/>
      <c r="AY9" s="236"/>
      <c r="AZ9" s="236"/>
      <c r="BA9" s="236"/>
      <c r="BB9" s="236"/>
      <c r="BC9" s="236"/>
      <c r="BD9" s="236"/>
    </row>
    <row r="10" spans="1:56" ht="15">
      <c r="A10" s="1036" t="s">
        <v>2002</v>
      </c>
      <c r="B10" s="1037"/>
      <c r="C10" s="1037"/>
      <c r="D10" s="1037"/>
      <c r="E10" s="1037"/>
      <c r="F10" s="1037"/>
      <c r="G10" s="1037"/>
      <c r="H10" s="1036"/>
      <c r="I10" s="1036"/>
      <c r="J10" s="1036"/>
      <c r="K10" s="1036"/>
      <c r="L10" s="1089">
        <v>22</v>
      </c>
      <c r="M10" s="1038">
        <v>20</v>
      </c>
      <c r="N10" s="1038">
        <v>21</v>
      </c>
      <c r="O10" s="1038">
        <v>19</v>
      </c>
      <c r="P10" s="1038">
        <v>20</v>
      </c>
      <c r="Q10" s="1038">
        <v>20</v>
      </c>
      <c r="R10" s="1038">
        <v>19</v>
      </c>
      <c r="S10" s="1038">
        <v>22</v>
      </c>
      <c r="T10" s="1038">
        <v>23</v>
      </c>
      <c r="U10" s="1038">
        <v>23</v>
      </c>
      <c r="V10" s="1038">
        <v>23</v>
      </c>
      <c r="W10" s="1038">
        <v>22</v>
      </c>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row>
    <row r="11" spans="1:56" ht="15">
      <c r="A11" s="1100" t="s">
        <v>1991</v>
      </c>
      <c r="B11" s="1101"/>
      <c r="C11" s="1101"/>
      <c r="D11" s="1090"/>
      <c r="E11" s="1090"/>
      <c r="F11" s="1090"/>
      <c r="G11" s="1090"/>
      <c r="H11" s="1090"/>
      <c r="I11" s="1090"/>
      <c r="J11" s="1090"/>
      <c r="K11" s="1090"/>
      <c r="L11" s="1102"/>
      <c r="M11" s="1101"/>
      <c r="N11" s="1101"/>
      <c r="O11" s="1101"/>
      <c r="P11" s="1101"/>
      <c r="Q11" s="1101"/>
      <c r="R11" s="1101"/>
      <c r="S11" s="1101"/>
      <c r="T11" s="1101"/>
      <c r="U11" s="1101"/>
      <c r="V11" s="1101"/>
      <c r="W11" s="1101"/>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row>
    <row r="12" spans="1:56" ht="15">
      <c r="A12" s="1036" t="s">
        <v>1992</v>
      </c>
      <c r="B12" s="1037"/>
      <c r="C12" s="1037"/>
      <c r="D12" s="1037"/>
      <c r="E12" s="1037"/>
      <c r="F12" s="1037"/>
      <c r="G12" s="1037"/>
      <c r="H12" s="1036"/>
      <c r="I12" s="1036"/>
      <c r="J12" s="1036"/>
      <c r="K12" s="1036"/>
      <c r="L12" s="1089">
        <v>25</v>
      </c>
      <c r="M12" s="1038">
        <v>28.000000000000004</v>
      </c>
      <c r="N12" s="1038">
        <v>21</v>
      </c>
      <c r="O12" s="1038">
        <v>23</v>
      </c>
      <c r="P12" s="1038">
        <v>21</v>
      </c>
      <c r="Q12" s="1038">
        <v>20</v>
      </c>
      <c r="R12" s="1038">
        <v>36</v>
      </c>
      <c r="S12" s="1038">
        <v>30</v>
      </c>
      <c r="T12" s="1038">
        <v>26</v>
      </c>
      <c r="U12" s="1038">
        <v>24</v>
      </c>
      <c r="V12" s="1038">
        <v>26</v>
      </c>
      <c r="W12" s="1038">
        <v>26</v>
      </c>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row>
    <row r="13" spans="1:56" ht="15">
      <c r="A13" s="1036" t="s">
        <v>1993</v>
      </c>
      <c r="B13" s="1037"/>
      <c r="C13" s="1037"/>
      <c r="D13" s="1037"/>
      <c r="E13" s="1037"/>
      <c r="F13" s="1037"/>
      <c r="G13" s="1037"/>
      <c r="H13" s="1036"/>
      <c r="I13" s="1036"/>
      <c r="J13" s="1036"/>
      <c r="K13" s="1036"/>
      <c r="L13" s="1089">
        <v>36</v>
      </c>
      <c r="M13" s="1038">
        <v>43</v>
      </c>
      <c r="N13" s="1038">
        <v>36</v>
      </c>
      <c r="O13" s="1038">
        <v>34</v>
      </c>
      <c r="P13" s="1038">
        <v>35</v>
      </c>
      <c r="Q13" s="1038">
        <v>34</v>
      </c>
      <c r="R13" s="1038">
        <v>43</v>
      </c>
      <c r="S13" s="1038">
        <v>36</v>
      </c>
      <c r="T13" s="1038">
        <v>34</v>
      </c>
      <c r="U13" s="1038">
        <v>32</v>
      </c>
      <c r="V13" s="1038">
        <v>34</v>
      </c>
      <c r="W13" s="1038">
        <v>35</v>
      </c>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row>
    <row r="14" spans="1:56" ht="15">
      <c r="A14" s="1036" t="s">
        <v>1994</v>
      </c>
      <c r="B14" s="1037"/>
      <c r="C14" s="1037"/>
      <c r="D14" s="1037"/>
      <c r="E14" s="1037"/>
      <c r="F14" s="1037"/>
      <c r="G14" s="1037"/>
      <c r="H14" s="1036"/>
      <c r="I14" s="1036"/>
      <c r="J14" s="1036"/>
      <c r="K14" s="1036"/>
      <c r="L14" s="1089">
        <v>16</v>
      </c>
      <c r="M14" s="1038">
        <v>23</v>
      </c>
      <c r="N14" s="1038">
        <v>14.000000000000002</v>
      </c>
      <c r="O14" s="1038">
        <v>13</v>
      </c>
      <c r="P14" s="1038">
        <v>10</v>
      </c>
      <c r="Q14" s="1038">
        <v>13</v>
      </c>
      <c r="R14" s="1038">
        <v>30</v>
      </c>
      <c r="S14" s="1038">
        <v>15</v>
      </c>
      <c r="T14" s="1038">
        <v>13</v>
      </c>
      <c r="U14" s="1038">
        <v>15</v>
      </c>
      <c r="V14" s="1038">
        <v>17</v>
      </c>
      <c r="W14" s="1038">
        <v>14.000000000000002</v>
      </c>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row>
    <row r="15" spans="1:56" ht="15">
      <c r="A15" s="1036" t="s">
        <v>1995</v>
      </c>
      <c r="B15" s="1037"/>
      <c r="C15" s="1037"/>
      <c r="D15" s="1037"/>
      <c r="E15" s="1037"/>
      <c r="F15" s="1037"/>
      <c r="G15" s="1037"/>
      <c r="H15" s="1036"/>
      <c r="I15" s="1036"/>
      <c r="J15" s="1036"/>
      <c r="K15" s="1036"/>
      <c r="L15" s="1089">
        <v>12</v>
      </c>
      <c r="M15" s="1038">
        <v>18</v>
      </c>
      <c r="N15" s="1038">
        <v>12</v>
      </c>
      <c r="O15" s="1038">
        <v>12</v>
      </c>
      <c r="P15" s="1038">
        <v>11</v>
      </c>
      <c r="Q15" s="1038">
        <v>12</v>
      </c>
      <c r="R15" s="1038">
        <v>18</v>
      </c>
      <c r="S15" s="1038">
        <v>12</v>
      </c>
      <c r="T15" s="1038">
        <v>10</v>
      </c>
      <c r="U15" s="1038">
        <v>12</v>
      </c>
      <c r="V15" s="1038">
        <v>11</v>
      </c>
      <c r="W15" s="1038">
        <v>10</v>
      </c>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row>
    <row r="16" spans="1:56" ht="15">
      <c r="A16" s="1036" t="s">
        <v>1996</v>
      </c>
      <c r="B16" s="1037"/>
      <c r="C16" s="1037"/>
      <c r="D16" s="1037"/>
      <c r="E16" s="1037"/>
      <c r="F16" s="1037"/>
      <c r="G16" s="1037"/>
      <c r="H16" s="1036"/>
      <c r="I16" s="1036"/>
      <c r="J16" s="1036"/>
      <c r="K16" s="1036"/>
      <c r="L16" s="1089">
        <v>22</v>
      </c>
      <c r="M16" s="1038">
        <v>26</v>
      </c>
      <c r="N16" s="1038">
        <v>22</v>
      </c>
      <c r="O16" s="1038">
        <v>21</v>
      </c>
      <c r="P16" s="1038">
        <v>20</v>
      </c>
      <c r="Q16" s="1038">
        <v>19</v>
      </c>
      <c r="R16" s="1038">
        <v>27</v>
      </c>
      <c r="S16" s="1038">
        <v>20</v>
      </c>
      <c r="T16" s="1038">
        <v>18</v>
      </c>
      <c r="U16" s="1038">
        <v>19</v>
      </c>
      <c r="V16" s="1038">
        <v>19</v>
      </c>
      <c r="W16" s="1038">
        <v>16</v>
      </c>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row>
    <row r="17" spans="1:23" ht="15">
      <c r="A17" s="1082"/>
      <c r="B17" s="1037"/>
      <c r="C17" s="1037"/>
      <c r="D17" s="1037"/>
      <c r="E17" s="1037"/>
      <c r="F17" s="1037"/>
      <c r="G17" s="1037"/>
      <c r="H17" s="1036"/>
      <c r="I17" s="1036"/>
      <c r="J17" s="1036"/>
      <c r="K17" s="1036"/>
      <c r="L17" s="1226">
        <v>2007</v>
      </c>
      <c r="M17" s="1226"/>
      <c r="N17" s="1226"/>
      <c r="O17" s="1226"/>
      <c r="P17" s="1226">
        <v>2008</v>
      </c>
      <c r="Q17" s="1226"/>
      <c r="R17" s="1226"/>
      <c r="S17" s="1226"/>
      <c r="T17" s="1226">
        <v>2009</v>
      </c>
      <c r="U17" s="1226"/>
      <c r="V17" s="1036"/>
      <c r="W17" s="1036"/>
    </row>
    <row r="18" spans="1:23" ht="15">
      <c r="A18" s="1036"/>
      <c r="B18" s="1036"/>
      <c r="C18" s="1036"/>
      <c r="D18" s="1037"/>
      <c r="E18" s="1037"/>
      <c r="F18" s="1037"/>
      <c r="G18" s="1037"/>
      <c r="H18" s="1036"/>
      <c r="I18" s="1036"/>
      <c r="J18" s="1036"/>
      <c r="K18" s="1036"/>
      <c r="L18" s="1088" t="s">
        <v>2003</v>
      </c>
      <c r="M18" s="1083" t="s">
        <v>2004</v>
      </c>
      <c r="N18" s="1083" t="s">
        <v>1988</v>
      </c>
      <c r="O18" s="1083" t="s">
        <v>1989</v>
      </c>
      <c r="P18" s="1083" t="s">
        <v>1987</v>
      </c>
      <c r="Q18" s="1084" t="s">
        <v>755</v>
      </c>
      <c r="R18" s="1084" t="s">
        <v>2005</v>
      </c>
      <c r="S18" s="1086" t="s">
        <v>1989</v>
      </c>
      <c r="T18" s="1086" t="s">
        <v>1987</v>
      </c>
      <c r="U18" s="1086" t="s">
        <v>2004</v>
      </c>
      <c r="V18" s="1036"/>
      <c r="W18" s="1036"/>
    </row>
    <row r="19" spans="1:23" ht="15">
      <c r="A19" s="1091" t="s">
        <v>1990</v>
      </c>
      <c r="B19" s="1092"/>
      <c r="C19" s="1092"/>
      <c r="D19" s="1093"/>
      <c r="E19" s="1093"/>
      <c r="F19" s="1093"/>
      <c r="G19" s="1093"/>
      <c r="H19" s="1092"/>
      <c r="I19" s="1092"/>
      <c r="J19" s="1092"/>
      <c r="K19" s="1092"/>
      <c r="L19" s="1094">
        <v>87</v>
      </c>
      <c r="M19" s="1095">
        <v>88</v>
      </c>
      <c r="N19" s="1095">
        <v>86</v>
      </c>
      <c r="O19" s="1095">
        <v>88</v>
      </c>
      <c r="P19" s="1095">
        <v>81</v>
      </c>
      <c r="Q19" s="1095">
        <v>72</v>
      </c>
      <c r="R19" s="1095">
        <v>73.5</v>
      </c>
      <c r="S19" s="1096" t="s">
        <v>2006</v>
      </c>
      <c r="T19" s="1096">
        <v>67</v>
      </c>
      <c r="U19" s="1097">
        <v>78.5</v>
      </c>
      <c r="V19" s="1036"/>
      <c r="W19" s="1036"/>
    </row>
    <row r="20" spans="1:23" ht="15">
      <c r="A20" s="1085" t="s">
        <v>1997</v>
      </c>
      <c r="B20" s="1036"/>
      <c r="C20" s="1036"/>
      <c r="D20" s="1036"/>
      <c r="E20" s="1036"/>
      <c r="F20" s="1036"/>
      <c r="G20" s="1037"/>
      <c r="H20" s="1037"/>
      <c r="I20" s="1037"/>
      <c r="J20" s="1037"/>
      <c r="K20" s="1037"/>
      <c r="L20" s="1089"/>
      <c r="M20" s="1038"/>
      <c r="N20" s="1038"/>
      <c r="O20" s="1038"/>
      <c r="P20" s="1038"/>
      <c r="Q20" s="1038"/>
      <c r="R20" s="1038"/>
      <c r="S20" s="1038"/>
      <c r="T20" s="1038"/>
      <c r="U20" s="1038"/>
      <c r="V20" s="1036"/>
      <c r="W20" s="1036"/>
    </row>
    <row r="21" spans="1:23" ht="15">
      <c r="A21" s="1037" t="s">
        <v>1998</v>
      </c>
      <c r="B21" s="1036"/>
      <c r="C21" s="1036"/>
      <c r="D21" s="1036"/>
      <c r="E21" s="1036"/>
      <c r="F21" s="1036"/>
      <c r="G21" s="1037"/>
      <c r="H21" s="1037"/>
      <c r="I21" s="1037"/>
      <c r="J21" s="1037"/>
      <c r="K21" s="1037"/>
      <c r="L21" s="1089">
        <v>55.000000000000007</v>
      </c>
      <c r="M21" s="1038">
        <v>57.999999999999993</v>
      </c>
      <c r="N21" s="1038">
        <v>55.000000000000007</v>
      </c>
      <c r="O21" s="1038">
        <v>71</v>
      </c>
      <c r="P21" s="1038">
        <v>53</v>
      </c>
      <c r="Q21" s="1038">
        <v>43</v>
      </c>
      <c r="R21" s="1038">
        <v>42</v>
      </c>
      <c r="S21" s="1038">
        <v>35</v>
      </c>
      <c r="T21" s="1038">
        <v>41</v>
      </c>
      <c r="U21" s="1038">
        <v>49</v>
      </c>
      <c r="V21" s="1036"/>
      <c r="W21" s="1036"/>
    </row>
    <row r="22" spans="1:23" ht="15">
      <c r="A22" s="1036" t="s">
        <v>1999</v>
      </c>
      <c r="B22" s="1036"/>
      <c r="C22" s="1036"/>
      <c r="D22" s="1036"/>
      <c r="E22" s="1036"/>
      <c r="F22" s="1036"/>
      <c r="G22" s="1037"/>
      <c r="H22" s="1037"/>
      <c r="I22" s="1037"/>
      <c r="J22" s="1037"/>
      <c r="K22" s="1037"/>
      <c r="L22" s="1089">
        <v>47</v>
      </c>
      <c r="M22" s="1038">
        <v>50</v>
      </c>
      <c r="N22" s="1038">
        <v>49</v>
      </c>
      <c r="O22" s="1038">
        <v>52</v>
      </c>
      <c r="P22" s="1038">
        <v>46</v>
      </c>
      <c r="Q22" s="1038">
        <v>40</v>
      </c>
      <c r="R22" s="1038">
        <v>43</v>
      </c>
      <c r="S22" s="1038">
        <v>36</v>
      </c>
      <c r="T22" s="1038">
        <v>39</v>
      </c>
      <c r="U22" s="1038">
        <v>51</v>
      </c>
      <c r="V22" s="1036"/>
      <c r="W22" s="1036"/>
    </row>
    <row r="23" spans="1:23" ht="15">
      <c r="A23" s="1036" t="s">
        <v>2000</v>
      </c>
      <c r="B23" s="1036"/>
      <c r="C23" s="1036"/>
      <c r="D23" s="1036"/>
      <c r="E23" s="1036"/>
      <c r="F23" s="1036"/>
      <c r="G23" s="1037"/>
      <c r="H23" s="1037"/>
      <c r="I23" s="1037"/>
      <c r="J23" s="1037"/>
      <c r="K23" s="1037"/>
      <c r="L23" s="1089">
        <v>19</v>
      </c>
      <c r="M23" s="1038">
        <v>23</v>
      </c>
      <c r="N23" s="1038">
        <v>17</v>
      </c>
      <c r="O23" s="1038">
        <v>17</v>
      </c>
      <c r="P23" s="1038">
        <v>16</v>
      </c>
      <c r="Q23" s="1038">
        <v>12</v>
      </c>
      <c r="R23" s="1038">
        <v>10</v>
      </c>
      <c r="S23" s="1038">
        <v>6</v>
      </c>
      <c r="T23" s="1038">
        <v>10</v>
      </c>
      <c r="U23" s="1038">
        <v>20</v>
      </c>
      <c r="V23" s="1036"/>
      <c r="W23" s="1036"/>
    </row>
    <row r="24" spans="1:23" ht="15">
      <c r="A24" s="1036" t="s">
        <v>2001</v>
      </c>
      <c r="B24" s="1036"/>
      <c r="C24" s="1036"/>
      <c r="D24" s="1036"/>
      <c r="E24" s="1036"/>
      <c r="F24" s="1036"/>
      <c r="G24" s="1037"/>
      <c r="H24" s="1037"/>
      <c r="I24" s="1037"/>
      <c r="J24" s="1037"/>
      <c r="K24" s="1037"/>
      <c r="L24" s="1089">
        <v>30</v>
      </c>
      <c r="M24" s="1038">
        <v>26</v>
      </c>
      <c r="N24" s="1038">
        <v>28.000000000000004</v>
      </c>
      <c r="O24" s="1038">
        <v>23</v>
      </c>
      <c r="P24" s="1038">
        <v>27</v>
      </c>
      <c r="Q24" s="1038">
        <v>25</v>
      </c>
      <c r="R24" s="1038">
        <v>25</v>
      </c>
      <c r="S24" s="1038">
        <v>20</v>
      </c>
      <c r="T24" s="1038">
        <v>27</v>
      </c>
      <c r="U24" s="1038">
        <v>25</v>
      </c>
      <c r="V24" s="1036"/>
      <c r="W24" s="1036"/>
    </row>
    <row r="25" spans="1:23" ht="15">
      <c r="A25" s="1036" t="s">
        <v>2002</v>
      </c>
      <c r="B25" s="1036"/>
      <c r="C25" s="1036"/>
      <c r="D25" s="1036"/>
      <c r="E25" s="1036"/>
      <c r="F25" s="1036"/>
      <c r="G25" s="1037"/>
      <c r="H25" s="1037"/>
      <c r="I25" s="1037"/>
      <c r="J25" s="1037"/>
      <c r="K25" s="1037"/>
      <c r="L25" s="1089">
        <v>24</v>
      </c>
      <c r="M25" s="1038">
        <v>24</v>
      </c>
      <c r="N25" s="1038">
        <v>23</v>
      </c>
      <c r="O25" s="1038">
        <v>27</v>
      </c>
      <c r="P25" s="1038">
        <v>22</v>
      </c>
      <c r="Q25" s="1038">
        <v>22</v>
      </c>
      <c r="R25" s="1038">
        <v>21</v>
      </c>
      <c r="S25" s="1038">
        <v>14.000000000000002</v>
      </c>
      <c r="T25" s="1038">
        <v>13</v>
      </c>
      <c r="U25" s="1038">
        <v>20</v>
      </c>
      <c r="V25" s="1036"/>
      <c r="W25" s="1036"/>
    </row>
    <row r="26" spans="1:23" ht="15">
      <c r="A26" s="1100" t="s">
        <v>1991</v>
      </c>
      <c r="B26" s="1090"/>
      <c r="C26" s="1090"/>
      <c r="D26" s="1101"/>
      <c r="E26" s="1101"/>
      <c r="F26" s="1101"/>
      <c r="G26" s="1101"/>
      <c r="H26" s="1090"/>
      <c r="I26" s="1090"/>
      <c r="J26" s="1090"/>
      <c r="K26" s="1090"/>
      <c r="L26" s="1103"/>
      <c r="M26" s="1104"/>
      <c r="N26" s="1104"/>
      <c r="O26" s="1104"/>
      <c r="P26" s="1104"/>
      <c r="Q26" s="1104"/>
      <c r="R26" s="1104"/>
      <c r="S26" s="1105"/>
      <c r="T26" s="1105"/>
      <c r="U26" s="1106"/>
      <c r="V26" s="1036"/>
      <c r="W26" s="1036"/>
    </row>
    <row r="27" spans="1:23" ht="15">
      <c r="A27" s="1036" t="s">
        <v>1992</v>
      </c>
      <c r="B27" s="1036"/>
      <c r="C27" s="1036"/>
      <c r="D27" s="1037"/>
      <c r="E27" s="1037"/>
      <c r="F27" s="1037"/>
      <c r="G27" s="1037"/>
      <c r="H27" s="1036"/>
      <c r="I27" s="1036"/>
      <c r="J27" s="1036"/>
      <c r="K27" s="1036"/>
      <c r="L27" s="1089">
        <v>25</v>
      </c>
      <c r="M27" s="1038">
        <v>23</v>
      </c>
      <c r="N27" s="1038">
        <v>25</v>
      </c>
      <c r="O27" s="1038">
        <v>22</v>
      </c>
      <c r="P27" s="1038">
        <v>31</v>
      </c>
      <c r="Q27" s="1038">
        <v>41</v>
      </c>
      <c r="R27" s="1038">
        <v>42</v>
      </c>
      <c r="S27" s="1038">
        <v>50</v>
      </c>
      <c r="T27" s="1038">
        <v>43</v>
      </c>
      <c r="U27" s="1038">
        <v>34</v>
      </c>
      <c r="V27" s="1036"/>
      <c r="W27" s="1036"/>
    </row>
    <row r="28" spans="1:23" ht="15">
      <c r="A28" s="1036" t="s">
        <v>1993</v>
      </c>
      <c r="B28" s="1036"/>
      <c r="C28" s="1036"/>
      <c r="D28" s="1037"/>
      <c r="E28" s="1037"/>
      <c r="F28" s="1037"/>
      <c r="G28" s="1037"/>
      <c r="H28" s="1037"/>
      <c r="I28" s="1037"/>
      <c r="J28" s="1037"/>
      <c r="K28" s="1037"/>
      <c r="L28" s="1089">
        <v>35</v>
      </c>
      <c r="M28" s="1038">
        <v>35</v>
      </c>
      <c r="N28" s="1038">
        <v>33</v>
      </c>
      <c r="O28" s="1038">
        <v>39</v>
      </c>
      <c r="P28" s="1038">
        <v>38</v>
      </c>
      <c r="Q28" s="1038">
        <v>46</v>
      </c>
      <c r="R28" s="1038">
        <v>43</v>
      </c>
      <c r="S28" s="1038">
        <v>53</v>
      </c>
      <c r="T28" s="1038">
        <v>49</v>
      </c>
      <c r="U28" s="1038">
        <v>36</v>
      </c>
      <c r="V28" s="1036"/>
      <c r="W28" s="1036"/>
    </row>
    <row r="29" spans="1:23" ht="15">
      <c r="A29" s="1036" t="s">
        <v>1994</v>
      </c>
      <c r="B29" s="1036"/>
      <c r="C29" s="1036"/>
      <c r="D29" s="1036"/>
      <c r="E29" s="1036"/>
      <c r="F29" s="1036"/>
      <c r="G29" s="1037"/>
      <c r="H29" s="1037"/>
      <c r="I29" s="1037"/>
      <c r="J29" s="1037"/>
      <c r="K29" s="1037"/>
      <c r="L29" s="1089">
        <v>14.000000000000002</v>
      </c>
      <c r="M29" s="1039">
        <v>16</v>
      </c>
      <c r="N29" s="1038">
        <v>18</v>
      </c>
      <c r="O29" s="1038">
        <v>21</v>
      </c>
      <c r="P29" s="1038">
        <v>28.000000000000004</v>
      </c>
      <c r="Q29" s="1038">
        <v>38</v>
      </c>
      <c r="R29" s="1038">
        <v>32</v>
      </c>
      <c r="S29" s="1038">
        <v>64</v>
      </c>
      <c r="T29" s="1038">
        <v>59</v>
      </c>
      <c r="U29" s="1038">
        <v>28.999999999999996</v>
      </c>
      <c r="V29" s="1036"/>
      <c r="W29" s="1036"/>
    </row>
    <row r="30" spans="1:23" ht="15">
      <c r="A30" s="1036" t="s">
        <v>1995</v>
      </c>
      <c r="B30" s="1036"/>
      <c r="C30" s="1036"/>
      <c r="D30" s="1036"/>
      <c r="E30" s="1036"/>
      <c r="F30" s="1036"/>
      <c r="G30" s="1037"/>
      <c r="H30" s="1037"/>
      <c r="I30" s="1037"/>
      <c r="J30" s="1037"/>
      <c r="K30" s="1037"/>
      <c r="L30" s="1089">
        <v>11</v>
      </c>
      <c r="M30" s="1038">
        <v>11</v>
      </c>
      <c r="N30" s="1038">
        <v>11</v>
      </c>
      <c r="O30" s="1038">
        <v>14.000000000000002</v>
      </c>
      <c r="P30" s="1038">
        <v>12</v>
      </c>
      <c r="Q30" s="1038">
        <v>20</v>
      </c>
      <c r="R30" s="1038">
        <v>17</v>
      </c>
      <c r="S30" s="1038">
        <v>18</v>
      </c>
      <c r="T30" s="1038">
        <v>13</v>
      </c>
      <c r="U30" s="1038">
        <v>11</v>
      </c>
      <c r="V30" s="1036"/>
      <c r="W30" s="1036"/>
    </row>
    <row r="31" spans="1:23" ht="15">
      <c r="A31" s="1036" t="s">
        <v>1996</v>
      </c>
      <c r="B31" s="1036"/>
      <c r="C31" s="1036"/>
      <c r="D31" s="1036"/>
      <c r="E31" s="1036"/>
      <c r="F31" s="1036"/>
      <c r="G31" s="1037"/>
      <c r="H31" s="1037"/>
      <c r="I31" s="1037"/>
      <c r="J31" s="1037"/>
      <c r="K31" s="1037"/>
      <c r="L31" s="1089">
        <v>18</v>
      </c>
      <c r="M31" s="1038">
        <v>17</v>
      </c>
      <c r="N31" s="1038">
        <v>17</v>
      </c>
      <c r="O31" s="1038">
        <v>16</v>
      </c>
      <c r="P31" s="1038">
        <v>19</v>
      </c>
      <c r="Q31" s="1038">
        <v>24</v>
      </c>
      <c r="R31" s="1038">
        <v>24</v>
      </c>
      <c r="S31" s="1038">
        <v>28.000000000000004</v>
      </c>
      <c r="T31" s="1038">
        <v>27</v>
      </c>
      <c r="U31" s="1038">
        <v>28.999999999999996</v>
      </c>
      <c r="V31" s="1036"/>
      <c r="W31" s="1036"/>
    </row>
    <row r="32" spans="1:23" ht="15">
      <c r="A32" s="1087" t="s">
        <v>2007</v>
      </c>
      <c r="B32" s="1036"/>
      <c r="C32" s="1036"/>
      <c r="D32" s="1036"/>
      <c r="E32" s="1036"/>
      <c r="F32" s="1036"/>
      <c r="G32" s="1037"/>
      <c r="H32" s="1037"/>
      <c r="I32" s="1037"/>
      <c r="J32" s="1037"/>
      <c r="K32" s="1037"/>
      <c r="L32" s="1038"/>
      <c r="M32" s="1038"/>
      <c r="N32" s="1038"/>
      <c r="O32" s="1038"/>
      <c r="P32" s="1038"/>
      <c r="Q32" s="1038"/>
      <c r="R32" s="1038"/>
      <c r="S32" s="1038"/>
      <c r="T32" s="1038"/>
      <c r="U32" s="1038"/>
      <c r="V32" s="1036"/>
      <c r="W32" s="1036"/>
    </row>
    <row r="33" spans="1:23" ht="15">
      <c r="A33" s="4" t="s">
        <v>2008</v>
      </c>
      <c r="B33" s="1036"/>
      <c r="C33" s="1036"/>
      <c r="D33" s="1036"/>
      <c r="E33" s="1036"/>
      <c r="F33" s="1036"/>
      <c r="G33" s="1037"/>
      <c r="H33" s="1037"/>
      <c r="I33" s="1037"/>
      <c r="J33" s="1037"/>
      <c r="K33" s="1037"/>
      <c r="L33" s="1040"/>
      <c r="M33" s="1036"/>
      <c r="N33" s="1037"/>
      <c r="O33" s="1037"/>
      <c r="P33" s="1037"/>
      <c r="Q33" s="1037"/>
      <c r="R33" s="1037"/>
      <c r="S33" s="1036"/>
      <c r="T33" s="1036"/>
      <c r="U33" s="1036"/>
      <c r="V33" s="1036"/>
      <c r="W33" s="1036"/>
    </row>
    <row r="34" spans="1:23" ht="15">
      <c r="A34" s="1087" t="s">
        <v>2009</v>
      </c>
      <c r="B34" s="1036"/>
      <c r="C34" s="1036"/>
      <c r="D34" s="1036"/>
      <c r="E34" s="1036"/>
      <c r="F34" s="1036"/>
      <c r="G34" s="1037"/>
      <c r="H34" s="1037"/>
      <c r="I34" s="1037"/>
      <c r="J34" s="1037"/>
      <c r="K34" s="1037"/>
      <c r="L34" s="1040"/>
      <c r="M34" s="1036"/>
      <c r="N34" s="1037"/>
      <c r="O34" s="1037"/>
      <c r="P34" s="1037"/>
      <c r="Q34" s="1037"/>
      <c r="R34" s="1037"/>
      <c r="S34" s="1036"/>
      <c r="T34" s="1036"/>
      <c r="U34" s="1036"/>
      <c r="V34" s="1036"/>
      <c r="W34" s="1036"/>
    </row>
    <row r="35" spans="1:23">
      <c r="G35" s="1041"/>
      <c r="H35" s="1041"/>
      <c r="I35" s="1041"/>
      <c r="J35" s="1041"/>
      <c r="K35" s="1041"/>
      <c r="N35" s="1041"/>
      <c r="O35" s="1041"/>
      <c r="P35" s="1041"/>
      <c r="Q35" s="1041"/>
      <c r="R35" s="1041"/>
    </row>
    <row r="36" spans="1:23">
      <c r="G36" s="1041"/>
      <c r="H36" s="1041"/>
      <c r="I36" s="1041"/>
      <c r="J36" s="1041"/>
      <c r="K36" s="1041"/>
    </row>
    <row r="37" spans="1:23">
      <c r="G37" s="1041"/>
      <c r="H37" s="1041"/>
      <c r="I37" s="1041"/>
      <c r="J37" s="1041"/>
      <c r="K37" s="1041"/>
    </row>
    <row r="38" spans="1:23">
      <c r="G38" s="1041"/>
      <c r="H38" s="1041"/>
      <c r="I38" s="1041"/>
      <c r="J38" s="1041"/>
      <c r="K38" s="1041"/>
    </row>
    <row r="39" spans="1:23">
      <c r="G39" s="1041"/>
      <c r="H39" s="1041"/>
      <c r="I39" s="1041"/>
      <c r="J39" s="1041"/>
      <c r="K39" s="1041"/>
    </row>
    <row r="40" spans="1:23">
      <c r="G40" s="1041"/>
      <c r="H40" s="1041"/>
      <c r="I40" s="1041"/>
      <c r="J40" s="1041"/>
      <c r="K40" s="1041"/>
    </row>
    <row r="41" spans="1:23">
      <c r="G41" s="1041"/>
      <c r="H41" s="1041"/>
      <c r="I41" s="1041"/>
      <c r="J41" s="1041"/>
      <c r="K41" s="1041"/>
    </row>
  </sheetData>
  <mergeCells count="6">
    <mergeCell ref="L2:O2"/>
    <mergeCell ref="P2:S2"/>
    <mergeCell ref="T2:W2"/>
    <mergeCell ref="L17:O17"/>
    <mergeCell ref="P17:S17"/>
    <mergeCell ref="T17:U17"/>
  </mergeCells>
  <pageMargins left="0.7" right="0.7" top="0.75" bottom="0.75" header="0.3" footer="0.3"/>
  <pageSetup orientation="landscape" verticalDpi="0" r:id="rId1"/>
</worksheet>
</file>

<file path=xl/worksheets/sheet125.xml><?xml version="1.0" encoding="utf-8"?>
<worksheet xmlns="http://schemas.openxmlformats.org/spreadsheetml/2006/main" xmlns:r="http://schemas.openxmlformats.org/officeDocument/2006/relationships">
  <sheetPr codeName="Sheet93">
    <pageSetUpPr fitToPage="1"/>
  </sheetPr>
  <dimension ref="A1:I46"/>
  <sheetViews>
    <sheetView view="pageBreakPreview" zoomScale="80" zoomScaleSheetLayoutView="80" workbookViewId="0">
      <pane xSplit="1" ySplit="2" topLeftCell="B12" activePane="bottomRight" state="frozen"/>
      <selection activeCell="H62" sqref="H62"/>
      <selection pane="topRight" activeCell="H62" sqref="H62"/>
      <selection pane="bottomLeft" activeCell="H62" sqref="H62"/>
      <selection pane="bottomRight" activeCell="U52" sqref="U52"/>
    </sheetView>
  </sheetViews>
  <sheetFormatPr defaultColWidth="8" defaultRowHeight="12.75"/>
  <cols>
    <col min="1" max="1" width="16.85546875" style="55" customWidth="1"/>
    <col min="2" max="16384" width="8" style="55"/>
  </cols>
  <sheetData>
    <row r="1" spans="1:9" ht="22.5" customHeight="1">
      <c r="A1" s="745" t="s">
        <v>2201</v>
      </c>
    </row>
    <row r="2" spans="1:9" s="52" customFormat="1" ht="39.75" customHeight="1">
      <c r="A2" s="660" t="s">
        <v>1062</v>
      </c>
      <c r="B2" s="660" t="s">
        <v>1063</v>
      </c>
      <c r="C2" s="660" t="s">
        <v>1064</v>
      </c>
      <c r="D2" s="660" t="s">
        <v>1065</v>
      </c>
      <c r="E2" s="660" t="s">
        <v>1066</v>
      </c>
      <c r="F2" s="660" t="s">
        <v>1067</v>
      </c>
      <c r="G2" s="660" t="s">
        <v>1068</v>
      </c>
      <c r="H2" s="660" t="s">
        <v>1069</v>
      </c>
      <c r="I2" s="660" t="s">
        <v>1070</v>
      </c>
    </row>
    <row r="3" spans="1:9">
      <c r="A3" s="51" t="s">
        <v>1071</v>
      </c>
    </row>
    <row r="4" spans="1:9">
      <c r="A4" s="55">
        <v>1981</v>
      </c>
      <c r="B4" s="55">
        <v>12.1</v>
      </c>
      <c r="C4" s="55">
        <v>10.3</v>
      </c>
      <c r="D4" s="55">
        <v>26.7</v>
      </c>
      <c r="E4" s="55">
        <v>22.9</v>
      </c>
      <c r="F4" s="55">
        <v>13.6</v>
      </c>
      <c r="G4" s="55">
        <v>7.5</v>
      </c>
      <c r="H4" s="55">
        <v>3.2</v>
      </c>
      <c r="I4" s="55">
        <v>3.8</v>
      </c>
    </row>
    <row r="5" spans="1:9">
      <c r="A5" s="55">
        <v>1984</v>
      </c>
      <c r="B5" s="55">
        <v>12</v>
      </c>
      <c r="C5" s="55">
        <v>11</v>
      </c>
      <c r="D5" s="55">
        <v>24.2</v>
      </c>
      <c r="E5" s="55">
        <v>21.8</v>
      </c>
      <c r="F5" s="55">
        <v>15.9</v>
      </c>
      <c r="G5" s="55">
        <v>8.1</v>
      </c>
      <c r="H5" s="55">
        <v>3.9</v>
      </c>
      <c r="I5" s="55">
        <v>3.2</v>
      </c>
    </row>
    <row r="6" spans="1:9">
      <c r="A6" s="55">
        <v>1986</v>
      </c>
      <c r="B6" s="55">
        <v>15</v>
      </c>
      <c r="C6" s="55">
        <v>8.6999999999999993</v>
      </c>
      <c r="D6" s="55">
        <v>26.9</v>
      </c>
      <c r="E6" s="55">
        <v>19.399999999999999</v>
      </c>
      <c r="F6" s="55">
        <v>14.5</v>
      </c>
      <c r="G6" s="55">
        <v>8.3000000000000007</v>
      </c>
      <c r="H6" s="55">
        <v>3.3</v>
      </c>
      <c r="I6" s="55">
        <v>4</v>
      </c>
    </row>
    <row r="7" spans="1:9">
      <c r="A7" s="55">
        <v>1987</v>
      </c>
      <c r="B7" s="55">
        <v>14</v>
      </c>
      <c r="C7" s="55">
        <v>10.4</v>
      </c>
      <c r="D7" s="55">
        <v>25</v>
      </c>
      <c r="E7" s="55">
        <v>21.1</v>
      </c>
      <c r="F7" s="55">
        <v>14.6</v>
      </c>
      <c r="G7" s="55">
        <v>7.9</v>
      </c>
      <c r="H7" s="55">
        <v>3.3</v>
      </c>
      <c r="I7" s="55">
        <v>3.7</v>
      </c>
    </row>
    <row r="8" spans="1:9">
      <c r="A8" s="55">
        <v>1988</v>
      </c>
      <c r="B8" s="55">
        <v>12.2</v>
      </c>
      <c r="C8" s="55">
        <v>9.5</v>
      </c>
      <c r="D8" s="55">
        <v>25.3</v>
      </c>
      <c r="E8" s="55">
        <v>21.8</v>
      </c>
      <c r="F8" s="55">
        <v>14.9</v>
      </c>
      <c r="G8" s="55">
        <v>8.1</v>
      </c>
      <c r="H8" s="55">
        <v>3.8</v>
      </c>
      <c r="I8" s="55">
        <v>4.4000000000000004</v>
      </c>
    </row>
    <row r="9" spans="1:9">
      <c r="A9" s="55">
        <v>1989</v>
      </c>
      <c r="B9" s="55">
        <v>13.7</v>
      </c>
      <c r="C9" s="55">
        <v>9.4</v>
      </c>
      <c r="D9" s="55">
        <v>25.4</v>
      </c>
      <c r="E9" s="55">
        <v>21.8</v>
      </c>
      <c r="F9" s="55">
        <v>14</v>
      </c>
      <c r="G9" s="55">
        <v>7.9</v>
      </c>
      <c r="H9" s="55">
        <v>3.7</v>
      </c>
      <c r="I9" s="55">
        <v>4.0999999999999996</v>
      </c>
    </row>
    <row r="10" spans="1:9">
      <c r="A10" s="55">
        <v>1990</v>
      </c>
      <c r="B10" s="55">
        <v>13.2</v>
      </c>
      <c r="C10" s="55">
        <v>10.6</v>
      </c>
      <c r="D10" s="55">
        <v>25.5</v>
      </c>
      <c r="E10" s="55">
        <v>21.1</v>
      </c>
      <c r="F10" s="55">
        <v>14.4</v>
      </c>
      <c r="G10" s="55">
        <v>7.7</v>
      </c>
      <c r="H10" s="55">
        <v>3.8</v>
      </c>
      <c r="I10" s="55">
        <v>3.9</v>
      </c>
    </row>
    <row r="11" spans="1:9">
      <c r="A11" s="55">
        <v>1997</v>
      </c>
      <c r="B11" s="55">
        <v>12.4</v>
      </c>
      <c r="C11" s="55">
        <v>11.2</v>
      </c>
      <c r="D11" s="55">
        <v>24.3</v>
      </c>
      <c r="E11" s="55">
        <v>21.7</v>
      </c>
      <c r="F11" s="55">
        <v>15.1</v>
      </c>
      <c r="G11" s="55">
        <v>7.5</v>
      </c>
      <c r="H11" s="55">
        <v>4.2</v>
      </c>
      <c r="I11" s="55">
        <v>3.7</v>
      </c>
    </row>
    <row r="12" spans="1:9">
      <c r="A12" s="55">
        <v>1998</v>
      </c>
      <c r="B12" s="55">
        <v>12</v>
      </c>
      <c r="C12" s="55">
        <v>11.5</v>
      </c>
      <c r="D12" s="55">
        <v>24.1</v>
      </c>
      <c r="E12" s="55">
        <v>22.1</v>
      </c>
      <c r="F12" s="55">
        <v>14.4</v>
      </c>
      <c r="G12" s="55">
        <v>7.9</v>
      </c>
      <c r="H12" s="55">
        <v>4.2</v>
      </c>
      <c r="I12" s="55">
        <v>3.9</v>
      </c>
    </row>
    <row r="13" spans="1:9">
      <c r="A13" s="55">
        <v>1999</v>
      </c>
      <c r="B13" s="55">
        <v>12.7</v>
      </c>
      <c r="C13" s="55">
        <v>10</v>
      </c>
      <c r="D13" s="55">
        <v>25.7</v>
      </c>
      <c r="E13" s="55">
        <v>20.3</v>
      </c>
      <c r="F13" s="55">
        <v>14.7</v>
      </c>
      <c r="G13" s="55">
        <v>8.6</v>
      </c>
      <c r="H13" s="55">
        <v>4</v>
      </c>
      <c r="I13" s="55">
        <v>4.0999999999999996</v>
      </c>
    </row>
    <row r="14" spans="1:9">
      <c r="A14" s="55">
        <v>2000</v>
      </c>
      <c r="B14" s="55">
        <v>11.7</v>
      </c>
      <c r="C14" s="55">
        <v>10.5</v>
      </c>
      <c r="D14" s="55">
        <v>25.4</v>
      </c>
      <c r="E14" s="55">
        <v>21.6</v>
      </c>
      <c r="F14" s="55">
        <v>14.4</v>
      </c>
      <c r="G14" s="55">
        <v>8.6</v>
      </c>
      <c r="H14" s="55">
        <v>3.8</v>
      </c>
      <c r="I14" s="55">
        <v>4</v>
      </c>
    </row>
    <row r="15" spans="1:9">
      <c r="A15" s="55">
        <v>2001</v>
      </c>
      <c r="B15" s="55">
        <v>10.6</v>
      </c>
      <c r="C15" s="55">
        <v>9.6</v>
      </c>
      <c r="D15" s="55">
        <v>26.1</v>
      </c>
      <c r="E15" s="55">
        <v>21.4</v>
      </c>
      <c r="F15" s="55">
        <v>14.1</v>
      </c>
      <c r="G15" s="55">
        <v>9</v>
      </c>
      <c r="H15" s="55">
        <v>4.5</v>
      </c>
      <c r="I15" s="55">
        <v>4.7</v>
      </c>
    </row>
    <row r="16" spans="1:9">
      <c r="A16" s="55">
        <v>2002</v>
      </c>
      <c r="B16" s="55">
        <v>12.3</v>
      </c>
      <c r="C16" s="55">
        <v>11.5</v>
      </c>
      <c r="D16" s="55">
        <v>24.3</v>
      </c>
      <c r="E16" s="55">
        <v>20.7</v>
      </c>
      <c r="F16" s="55">
        <v>13.3</v>
      </c>
      <c r="G16" s="55">
        <v>8.3000000000000007</v>
      </c>
      <c r="H16" s="55">
        <v>4.5999999999999996</v>
      </c>
      <c r="I16" s="55">
        <v>4.9000000000000004</v>
      </c>
    </row>
    <row r="17" spans="1:9">
      <c r="A17" s="55">
        <v>2003</v>
      </c>
      <c r="B17" s="55">
        <v>11.9</v>
      </c>
      <c r="C17" s="55">
        <v>11.9</v>
      </c>
      <c r="D17" s="55">
        <v>24.5</v>
      </c>
      <c r="E17" s="55">
        <v>21.3</v>
      </c>
      <c r="F17" s="55">
        <v>12.9</v>
      </c>
      <c r="G17" s="55">
        <v>8.6</v>
      </c>
      <c r="H17" s="55">
        <v>4.5</v>
      </c>
      <c r="I17" s="55">
        <v>4.5</v>
      </c>
    </row>
    <row r="18" spans="1:9">
      <c r="A18" s="55">
        <v>2004</v>
      </c>
      <c r="B18" s="55">
        <v>12.6</v>
      </c>
      <c r="C18" s="55">
        <v>11</v>
      </c>
      <c r="D18" s="55">
        <v>25.2</v>
      </c>
      <c r="E18" s="55">
        <v>19.7</v>
      </c>
      <c r="F18" s="55">
        <v>13.4</v>
      </c>
      <c r="G18" s="55">
        <v>8.6</v>
      </c>
      <c r="H18" s="55">
        <v>4.5999999999999996</v>
      </c>
      <c r="I18" s="55">
        <v>5</v>
      </c>
    </row>
    <row r="19" spans="1:9">
      <c r="A19" s="55" t="s">
        <v>655</v>
      </c>
    </row>
    <row r="20" spans="1:9">
      <c r="A20" s="122" t="s">
        <v>603</v>
      </c>
      <c r="B20" s="55">
        <f>B9-B4</f>
        <v>1.5999999999999996</v>
      </c>
      <c r="C20" s="55">
        <f t="shared" ref="C20:I20" si="0">C9-C4</f>
        <v>-0.90000000000000036</v>
      </c>
      <c r="D20" s="55">
        <f t="shared" si="0"/>
        <v>-1.3000000000000007</v>
      </c>
      <c r="E20" s="55">
        <f t="shared" si="0"/>
        <v>-1.0999999999999979</v>
      </c>
      <c r="F20" s="55">
        <f t="shared" si="0"/>
        <v>0.40000000000000036</v>
      </c>
      <c r="G20" s="55">
        <f t="shared" si="0"/>
        <v>0.40000000000000036</v>
      </c>
      <c r="H20" s="55">
        <f t="shared" si="0"/>
        <v>0.5</v>
      </c>
      <c r="I20" s="55">
        <f t="shared" si="0"/>
        <v>0.29999999999999982</v>
      </c>
    </row>
    <row r="21" spans="1:9">
      <c r="A21" s="122" t="s">
        <v>428</v>
      </c>
      <c r="B21" s="55">
        <f>B18-B4</f>
        <v>0.5</v>
      </c>
      <c r="C21" s="55">
        <f t="shared" ref="C21:I21" si="1">C18-C4</f>
        <v>0.69999999999999929</v>
      </c>
      <c r="D21" s="55">
        <f t="shared" si="1"/>
        <v>-1.5</v>
      </c>
      <c r="E21" s="55">
        <f t="shared" si="1"/>
        <v>-3.1999999999999993</v>
      </c>
      <c r="F21" s="55">
        <f t="shared" si="1"/>
        <v>-0.19999999999999929</v>
      </c>
      <c r="G21" s="55">
        <f t="shared" si="1"/>
        <v>1.0999999999999996</v>
      </c>
      <c r="H21" s="55">
        <f t="shared" si="1"/>
        <v>1.3999999999999995</v>
      </c>
      <c r="I21" s="55">
        <f t="shared" si="1"/>
        <v>1.2000000000000002</v>
      </c>
    </row>
    <row r="22" spans="1:9" ht="9.6" customHeight="1"/>
    <row r="23" spans="1:9" ht="5.25" customHeight="1"/>
    <row r="24" spans="1:9">
      <c r="A24" s="51" t="s">
        <v>1072</v>
      </c>
    </row>
    <row r="25" spans="1:9">
      <c r="A25" s="55">
        <v>1981</v>
      </c>
      <c r="B25" s="55">
        <v>8.8000000000000007</v>
      </c>
      <c r="C25" s="55">
        <v>8.4</v>
      </c>
      <c r="D25" s="55">
        <v>24.8</v>
      </c>
      <c r="E25" s="55">
        <v>24.7</v>
      </c>
      <c r="F25" s="55">
        <v>15.6</v>
      </c>
      <c r="G25" s="55">
        <v>9.1</v>
      </c>
      <c r="H25" s="55">
        <v>3.9</v>
      </c>
      <c r="I25" s="55">
        <v>4.5999999999999996</v>
      </c>
    </row>
    <row r="26" spans="1:9">
      <c r="A26" s="55">
        <v>1984</v>
      </c>
      <c r="B26" s="55">
        <v>6.9</v>
      </c>
      <c r="C26" s="55">
        <v>8</v>
      </c>
      <c r="D26" s="55">
        <v>23.4</v>
      </c>
      <c r="E26" s="55">
        <v>24</v>
      </c>
      <c r="F26" s="55">
        <v>18.899999999999999</v>
      </c>
      <c r="G26" s="55">
        <v>10</v>
      </c>
      <c r="H26" s="55">
        <v>4.9000000000000004</v>
      </c>
      <c r="I26" s="55">
        <v>4</v>
      </c>
    </row>
    <row r="27" spans="1:9">
      <c r="A27" s="55">
        <v>1986</v>
      </c>
      <c r="B27" s="55">
        <v>9</v>
      </c>
      <c r="C27" s="55">
        <v>6.9</v>
      </c>
      <c r="D27" s="55">
        <v>26</v>
      </c>
      <c r="E27" s="55">
        <v>21.8</v>
      </c>
      <c r="F27" s="55">
        <v>17.3</v>
      </c>
      <c r="G27" s="55">
        <v>10.1</v>
      </c>
      <c r="H27" s="55">
        <v>4</v>
      </c>
      <c r="I27" s="55">
        <v>4.8</v>
      </c>
    </row>
    <row r="28" spans="1:9">
      <c r="A28" s="55">
        <v>1987</v>
      </c>
      <c r="B28" s="55">
        <v>8.4</v>
      </c>
      <c r="C28" s="55">
        <v>8.1999999999999993</v>
      </c>
      <c r="D28" s="55">
        <v>24.2</v>
      </c>
      <c r="E28" s="55">
        <v>23.8</v>
      </c>
      <c r="F28" s="55">
        <v>17.3</v>
      </c>
      <c r="G28" s="55">
        <v>9.6</v>
      </c>
      <c r="H28" s="55">
        <v>4.0999999999999996</v>
      </c>
      <c r="I28" s="55">
        <v>4.5</v>
      </c>
    </row>
    <row r="29" spans="1:9">
      <c r="A29" s="55">
        <v>1988</v>
      </c>
      <c r="B29" s="55">
        <v>7.5</v>
      </c>
      <c r="C29" s="55">
        <v>7.2</v>
      </c>
      <c r="D29" s="55">
        <v>23.8</v>
      </c>
      <c r="E29" s="55">
        <v>24.1</v>
      </c>
      <c r="F29" s="55">
        <v>17.399999999999999</v>
      </c>
      <c r="G29" s="55">
        <v>9.8000000000000007</v>
      </c>
      <c r="H29" s="55">
        <v>4.7</v>
      </c>
      <c r="I29" s="55">
        <v>5.5</v>
      </c>
    </row>
    <row r="30" spans="1:9">
      <c r="A30" s="55">
        <v>1989</v>
      </c>
      <c r="B30" s="55">
        <v>8.1999999999999993</v>
      </c>
      <c r="C30" s="55">
        <v>7.3</v>
      </c>
      <c r="D30" s="55">
        <v>24.9</v>
      </c>
      <c r="E30" s="55">
        <v>24.1</v>
      </c>
      <c r="F30" s="55">
        <v>16.399999999999999</v>
      </c>
      <c r="G30" s="55">
        <v>9.6</v>
      </c>
      <c r="H30" s="55">
        <v>4.5999999999999996</v>
      </c>
      <c r="I30" s="55">
        <v>5</v>
      </c>
    </row>
    <row r="31" spans="1:9">
      <c r="A31" s="55">
        <v>1990</v>
      </c>
      <c r="B31" s="55">
        <v>8.4</v>
      </c>
      <c r="C31" s="55">
        <v>8.3000000000000007</v>
      </c>
      <c r="D31" s="55">
        <v>24.8</v>
      </c>
      <c r="E31" s="55">
        <v>23.4</v>
      </c>
      <c r="F31" s="55">
        <v>16.600000000000001</v>
      </c>
      <c r="G31" s="55">
        <v>9.1999999999999993</v>
      </c>
      <c r="H31" s="55">
        <v>4.5</v>
      </c>
      <c r="I31" s="55">
        <v>4.7</v>
      </c>
    </row>
    <row r="32" spans="1:9">
      <c r="A32" s="55">
        <v>1997</v>
      </c>
      <c r="B32" s="55">
        <v>7</v>
      </c>
      <c r="C32" s="55">
        <v>8.6999999999999993</v>
      </c>
      <c r="D32" s="55">
        <v>24.3</v>
      </c>
      <c r="E32" s="55">
        <v>24.3</v>
      </c>
      <c r="F32" s="55">
        <v>17.5</v>
      </c>
      <c r="G32" s="55">
        <v>8.9</v>
      </c>
      <c r="H32" s="55">
        <v>5</v>
      </c>
      <c r="I32" s="55">
        <v>4.4000000000000004</v>
      </c>
    </row>
    <row r="33" spans="1:9">
      <c r="A33" s="55">
        <v>1998</v>
      </c>
      <c r="B33" s="55">
        <v>6.6</v>
      </c>
      <c r="C33" s="55">
        <v>9.1999999999999993</v>
      </c>
      <c r="D33" s="55">
        <v>23.9</v>
      </c>
      <c r="E33" s="55">
        <v>24.7</v>
      </c>
      <c r="F33" s="55">
        <v>16.7</v>
      </c>
      <c r="G33" s="55">
        <v>9.3000000000000007</v>
      </c>
      <c r="H33" s="55">
        <v>5</v>
      </c>
      <c r="I33" s="55">
        <v>4.5999999999999996</v>
      </c>
    </row>
    <row r="34" spans="1:9">
      <c r="A34" s="55">
        <v>1999</v>
      </c>
      <c r="B34" s="55">
        <v>7</v>
      </c>
      <c r="C34" s="55">
        <v>8</v>
      </c>
      <c r="D34" s="55">
        <v>25.3</v>
      </c>
      <c r="E34" s="55">
        <v>22.6</v>
      </c>
      <c r="F34" s="55">
        <v>17.100000000000001</v>
      </c>
      <c r="G34" s="55">
        <v>10.199999999999999</v>
      </c>
      <c r="H34" s="55">
        <v>4.8</v>
      </c>
      <c r="I34" s="55">
        <v>4.8</v>
      </c>
    </row>
    <row r="35" spans="1:9">
      <c r="A35" s="55">
        <v>2000</v>
      </c>
      <c r="B35" s="55">
        <v>6.4</v>
      </c>
      <c r="C35" s="55">
        <v>8.3000000000000007</v>
      </c>
      <c r="D35" s="55">
        <v>25</v>
      </c>
      <c r="E35" s="55">
        <v>24.1</v>
      </c>
      <c r="F35" s="55">
        <v>16.8</v>
      </c>
      <c r="G35" s="55">
        <v>10.199999999999999</v>
      </c>
      <c r="H35" s="55">
        <v>4.5</v>
      </c>
      <c r="I35" s="55">
        <v>4.8</v>
      </c>
    </row>
    <row r="36" spans="1:9">
      <c r="A36" s="55">
        <v>2001</v>
      </c>
      <c r="B36" s="55">
        <v>5.7</v>
      </c>
      <c r="C36" s="55">
        <v>7.3</v>
      </c>
      <c r="D36" s="55">
        <v>25.2</v>
      </c>
      <c r="E36" s="55">
        <v>23.7</v>
      </c>
      <c r="F36" s="55">
        <v>16.399999999999999</v>
      </c>
      <c r="G36" s="55">
        <v>10.7</v>
      </c>
      <c r="H36" s="55">
        <v>5.4</v>
      </c>
      <c r="I36" s="55">
        <v>5.6</v>
      </c>
    </row>
    <row r="37" spans="1:9">
      <c r="A37" s="55">
        <v>2002</v>
      </c>
      <c r="B37" s="55">
        <v>6.8</v>
      </c>
      <c r="C37" s="55">
        <v>9.4</v>
      </c>
      <c r="D37" s="55">
        <v>24.1</v>
      </c>
      <c r="E37" s="55">
        <v>23.1</v>
      </c>
      <c r="F37" s="55">
        <v>15.5</v>
      </c>
      <c r="G37" s="55">
        <v>9.8000000000000007</v>
      </c>
      <c r="H37" s="55">
        <v>5.5</v>
      </c>
      <c r="I37" s="55">
        <v>5.8</v>
      </c>
    </row>
    <row r="38" spans="1:9">
      <c r="A38" s="55">
        <v>2003</v>
      </c>
      <c r="B38" s="55">
        <v>6.5</v>
      </c>
      <c r="C38" s="55">
        <v>9.4</v>
      </c>
      <c r="D38" s="55">
        <v>24.4</v>
      </c>
      <c r="E38" s="55">
        <v>23.9</v>
      </c>
      <c r="F38" s="55">
        <v>15.1</v>
      </c>
      <c r="G38" s="55">
        <v>10.1</v>
      </c>
      <c r="H38" s="55">
        <v>5.4</v>
      </c>
      <c r="I38" s="55">
        <v>5.3</v>
      </c>
    </row>
    <row r="39" spans="1:9">
      <c r="A39" s="55">
        <v>2004</v>
      </c>
      <c r="B39" s="55">
        <v>6.9</v>
      </c>
      <c r="C39" s="55">
        <v>8.8000000000000007</v>
      </c>
      <c r="D39" s="55">
        <v>25.1</v>
      </c>
      <c r="E39" s="55">
        <v>22.2</v>
      </c>
      <c r="F39" s="55">
        <v>15.6</v>
      </c>
      <c r="G39" s="55">
        <v>10.199999999999999</v>
      </c>
      <c r="H39" s="55">
        <v>5.5</v>
      </c>
      <c r="I39" s="55">
        <v>5.9</v>
      </c>
    </row>
    <row r="40" spans="1:9">
      <c r="A40" s="55" t="s">
        <v>655</v>
      </c>
    </row>
    <row r="41" spans="1:9">
      <c r="A41" s="122" t="s">
        <v>603</v>
      </c>
      <c r="B41" s="55">
        <f>B30-B25</f>
        <v>-0.60000000000000142</v>
      </c>
      <c r="C41" s="55">
        <f t="shared" ref="C41:I41" si="2">C30-C25</f>
        <v>-1.1000000000000005</v>
      </c>
      <c r="D41" s="55">
        <f t="shared" si="2"/>
        <v>9.9999999999997868E-2</v>
      </c>
      <c r="E41" s="55">
        <f t="shared" si="2"/>
        <v>-0.59999999999999787</v>
      </c>
      <c r="F41" s="55">
        <f t="shared" si="2"/>
        <v>0.79999999999999893</v>
      </c>
      <c r="G41" s="55">
        <f t="shared" si="2"/>
        <v>0.5</v>
      </c>
      <c r="H41" s="55">
        <f t="shared" si="2"/>
        <v>0.69999999999999973</v>
      </c>
      <c r="I41" s="55">
        <f t="shared" si="2"/>
        <v>0.40000000000000036</v>
      </c>
    </row>
    <row r="42" spans="1:9">
      <c r="A42" s="122" t="s">
        <v>428</v>
      </c>
      <c r="B42" s="55">
        <f>B39-B25</f>
        <v>-1.9000000000000004</v>
      </c>
      <c r="C42" s="55">
        <f t="shared" ref="C42:I42" si="3">C39-C25</f>
        <v>0.40000000000000036</v>
      </c>
      <c r="D42" s="55">
        <f t="shared" si="3"/>
        <v>0.30000000000000071</v>
      </c>
      <c r="E42" s="55">
        <f t="shared" si="3"/>
        <v>-2.5</v>
      </c>
      <c r="F42" s="55">
        <f t="shared" si="3"/>
        <v>0</v>
      </c>
      <c r="G42" s="55">
        <f t="shared" si="3"/>
        <v>1.0999999999999996</v>
      </c>
      <c r="H42" s="55">
        <f t="shared" si="3"/>
        <v>1.6</v>
      </c>
      <c r="I42" s="55">
        <f t="shared" si="3"/>
        <v>1.3000000000000007</v>
      </c>
    </row>
    <row r="43" spans="1:9" ht="9" customHeight="1"/>
    <row r="45" spans="1:9">
      <c r="A45" s="1220" t="s">
        <v>1136</v>
      </c>
      <c r="B45" s="1220"/>
      <c r="C45" s="1220"/>
      <c r="D45" s="1220"/>
      <c r="E45" s="1220"/>
      <c r="F45" s="1220"/>
      <c r="G45" s="1220"/>
      <c r="H45" s="1220"/>
      <c r="I45" s="1220"/>
    </row>
    <row r="46" spans="1:9" ht="39" customHeight="1">
      <c r="A46" s="1220"/>
      <c r="B46" s="1220"/>
      <c r="C46" s="1220"/>
      <c r="D46" s="1220"/>
      <c r="E46" s="1220"/>
      <c r="F46" s="1220"/>
      <c r="G46" s="1220"/>
      <c r="H46" s="1220"/>
      <c r="I46" s="1220"/>
    </row>
  </sheetData>
  <mergeCells count="1">
    <mergeCell ref="A45:I46"/>
  </mergeCells>
  <phoneticPr fontId="35" type="noConversion"/>
  <pageMargins left="0.75" right="0.75" top="1" bottom="1" header="0.5" footer="0.5"/>
  <pageSetup scale="79" orientation="portrait" horizontalDpi="4294967292" verticalDpi="1200" r:id="rId1"/>
  <headerFooter alignWithMargins="0"/>
</worksheet>
</file>

<file path=xl/worksheets/sheet126.xml><?xml version="1.0" encoding="utf-8"?>
<worksheet xmlns="http://schemas.openxmlformats.org/spreadsheetml/2006/main" xmlns:r="http://schemas.openxmlformats.org/officeDocument/2006/relationships">
  <sheetPr codeName="Sheet94">
    <pageSetUpPr fitToPage="1"/>
  </sheetPr>
  <dimension ref="A1:K56"/>
  <sheetViews>
    <sheetView view="pageBreakPreview" zoomScale="60" workbookViewId="0">
      <pane xSplit="1" ySplit="4" topLeftCell="B8" activePane="bottomRight" state="frozen"/>
      <selection activeCell="H62" sqref="H62"/>
      <selection pane="topRight" activeCell="H62" sqref="H62"/>
      <selection pane="bottomLeft" activeCell="H62" sqref="H62"/>
      <selection pane="bottomRight" activeCell="K69" sqref="K69"/>
    </sheetView>
  </sheetViews>
  <sheetFormatPr defaultColWidth="8" defaultRowHeight="12.75"/>
  <cols>
    <col min="1" max="1" width="28.140625" style="55" customWidth="1"/>
    <col min="2" max="16384" width="8" style="55"/>
  </cols>
  <sheetData>
    <row r="1" spans="1:11" ht="21.75" customHeight="1">
      <c r="A1" s="745" t="s">
        <v>2202</v>
      </c>
    </row>
    <row r="2" spans="1:11" ht="7.15" customHeight="1">
      <c r="A2" s="49"/>
    </row>
    <row r="3" spans="1:11" ht="15.75">
      <c r="A3" s="53"/>
      <c r="B3" s="1227" t="s">
        <v>1073</v>
      </c>
      <c r="C3" s="1227"/>
      <c r="D3" s="1227"/>
      <c r="E3" s="1227" t="s">
        <v>1074</v>
      </c>
      <c r="F3" s="1227" t="s">
        <v>1074</v>
      </c>
      <c r="G3" s="1227"/>
      <c r="H3" s="1227" t="s">
        <v>1075</v>
      </c>
      <c r="I3" s="1227"/>
      <c r="J3" s="1227"/>
    </row>
    <row r="4" spans="1:11">
      <c r="A4" s="54" t="s">
        <v>1076</v>
      </c>
      <c r="B4" s="193">
        <v>1980</v>
      </c>
      <c r="C4" s="193">
        <v>1990</v>
      </c>
      <c r="D4" s="193">
        <v>2000</v>
      </c>
      <c r="E4" s="193">
        <v>1980</v>
      </c>
      <c r="F4" s="193">
        <v>1990</v>
      </c>
      <c r="G4" s="193">
        <v>2000</v>
      </c>
      <c r="H4" s="193">
        <v>1980</v>
      </c>
      <c r="I4" s="193">
        <v>1990</v>
      </c>
      <c r="J4" s="193">
        <v>2000</v>
      </c>
      <c r="K4" s="194"/>
    </row>
    <row r="5" spans="1:11">
      <c r="A5" s="51" t="s">
        <v>1077</v>
      </c>
      <c r="B5" s="194">
        <v>15.4</v>
      </c>
      <c r="C5" s="194">
        <v>16.899999999999999</v>
      </c>
      <c r="D5" s="194">
        <v>16.3</v>
      </c>
      <c r="E5" s="194">
        <v>9</v>
      </c>
      <c r="F5" s="194">
        <v>11.2</v>
      </c>
      <c r="G5" s="194">
        <v>12.1</v>
      </c>
      <c r="H5" s="194">
        <v>26.1</v>
      </c>
      <c r="I5" s="194">
        <v>24.9</v>
      </c>
      <c r="J5" s="194">
        <v>21.9</v>
      </c>
      <c r="K5" s="194"/>
    </row>
    <row r="6" spans="1:11" ht="8.4499999999999993" customHeight="1">
      <c r="A6" s="51"/>
      <c r="B6" s="194"/>
      <c r="C6" s="194"/>
      <c r="D6" s="194"/>
      <c r="E6" s="194"/>
      <c r="F6" s="194"/>
      <c r="G6" s="194"/>
      <c r="H6" s="194"/>
      <c r="I6" s="194"/>
      <c r="J6" s="194"/>
      <c r="K6" s="194"/>
    </row>
    <row r="7" spans="1:11">
      <c r="A7" s="51" t="s">
        <v>1078</v>
      </c>
      <c r="B7" s="194"/>
      <c r="C7" s="194"/>
      <c r="D7" s="194"/>
      <c r="E7" s="194"/>
      <c r="F7" s="194"/>
      <c r="G7" s="194"/>
      <c r="H7" s="194"/>
      <c r="I7" s="194"/>
      <c r="J7" s="194"/>
      <c r="K7" s="194"/>
    </row>
    <row r="8" spans="1:11">
      <c r="A8" s="55" t="s">
        <v>1079</v>
      </c>
      <c r="B8" s="194">
        <v>21.4</v>
      </c>
      <c r="C8" s="194">
        <v>25.3</v>
      </c>
      <c r="D8" s="194">
        <v>26.3</v>
      </c>
      <c r="E8" s="194">
        <v>12.5</v>
      </c>
      <c r="F8" s="194">
        <v>16.3</v>
      </c>
      <c r="G8" s="194">
        <v>19</v>
      </c>
      <c r="H8" s="194">
        <v>38.6</v>
      </c>
      <c r="I8" s="194">
        <v>40.9</v>
      </c>
      <c r="J8" s="194">
        <v>39.200000000000003</v>
      </c>
      <c r="K8" s="194"/>
    </row>
    <row r="9" spans="1:11">
      <c r="A9" s="55" t="s">
        <v>1080</v>
      </c>
      <c r="B9" s="194">
        <v>17.2</v>
      </c>
      <c r="C9" s="194">
        <v>19.600000000000001</v>
      </c>
      <c r="D9" s="194">
        <v>20.7</v>
      </c>
      <c r="E9" s="194">
        <v>10</v>
      </c>
      <c r="F9" s="194">
        <v>13.4</v>
      </c>
      <c r="G9" s="194">
        <v>15.6</v>
      </c>
      <c r="H9" s="194">
        <v>26</v>
      </c>
      <c r="I9" s="194">
        <v>26.9</v>
      </c>
      <c r="J9" s="194">
        <v>27</v>
      </c>
      <c r="K9" s="194"/>
    </row>
    <row r="10" spans="1:11">
      <c r="A10" s="55" t="s">
        <v>1081</v>
      </c>
      <c r="B10" s="194">
        <v>11.3</v>
      </c>
      <c r="C10" s="194">
        <v>13.9</v>
      </c>
      <c r="D10" s="194">
        <v>13.5</v>
      </c>
      <c r="E10" s="194">
        <v>6.4</v>
      </c>
      <c r="F10" s="194">
        <v>8.8000000000000007</v>
      </c>
      <c r="G10" s="194">
        <v>9.1999999999999993</v>
      </c>
      <c r="H10" s="194">
        <v>19.5</v>
      </c>
      <c r="I10" s="194">
        <v>20.8</v>
      </c>
      <c r="J10" s="194">
        <v>19</v>
      </c>
      <c r="K10" s="194"/>
    </row>
    <row r="11" spans="1:11">
      <c r="A11" s="55" t="s">
        <v>1082</v>
      </c>
      <c r="B11" s="194">
        <v>4.9000000000000004</v>
      </c>
      <c r="C11" s="194">
        <v>5.8</v>
      </c>
      <c r="D11" s="194">
        <v>6.5</v>
      </c>
      <c r="E11" s="194">
        <v>3.6</v>
      </c>
      <c r="F11" s="194">
        <v>4.5999999999999996</v>
      </c>
      <c r="G11" s="194">
        <v>5.4</v>
      </c>
      <c r="H11" s="194">
        <v>7.6</v>
      </c>
      <c r="I11" s="194">
        <v>7.6</v>
      </c>
      <c r="J11" s="194">
        <v>7.8</v>
      </c>
      <c r="K11" s="194"/>
    </row>
    <row r="12" spans="1:11" ht="6.75" customHeight="1">
      <c r="B12" s="194"/>
      <c r="C12" s="194"/>
      <c r="D12" s="194"/>
      <c r="E12" s="194"/>
      <c r="F12" s="194"/>
      <c r="G12" s="194"/>
      <c r="H12" s="194"/>
      <c r="I12" s="194"/>
      <c r="J12" s="194"/>
      <c r="K12" s="194"/>
    </row>
    <row r="13" spans="1:11">
      <c r="A13" s="51" t="s">
        <v>1083</v>
      </c>
      <c r="B13" s="194"/>
      <c r="C13" s="194"/>
      <c r="D13" s="194"/>
      <c r="E13" s="194"/>
      <c r="F13" s="194"/>
      <c r="G13" s="194"/>
      <c r="H13" s="194"/>
      <c r="I13" s="194"/>
      <c r="J13" s="194"/>
      <c r="K13" s="194"/>
    </row>
    <row r="14" spans="1:11">
      <c r="A14" s="55" t="s">
        <v>1084</v>
      </c>
      <c r="B14" s="194">
        <v>31.2</v>
      </c>
      <c r="C14" s="194">
        <v>40.700000000000003</v>
      </c>
      <c r="D14" s="194">
        <v>45</v>
      </c>
      <c r="E14" s="194">
        <v>23.9</v>
      </c>
      <c r="F14" s="194">
        <v>35.1</v>
      </c>
      <c r="G14" s="194">
        <v>39.9</v>
      </c>
      <c r="H14" s="194">
        <v>39.700000000000003</v>
      </c>
      <c r="I14" s="194">
        <v>47.4</v>
      </c>
      <c r="J14" s="194">
        <v>52.4</v>
      </c>
      <c r="K14" s="194"/>
    </row>
    <row r="15" spans="1:11">
      <c r="A15" s="55" t="s">
        <v>1085</v>
      </c>
      <c r="B15" s="194">
        <v>11.7</v>
      </c>
      <c r="C15" s="194">
        <v>15.8</v>
      </c>
      <c r="D15" s="194">
        <v>16.3</v>
      </c>
      <c r="E15" s="194">
        <v>6.6</v>
      </c>
      <c r="F15" s="194">
        <v>10.8</v>
      </c>
      <c r="G15" s="194">
        <v>12.2</v>
      </c>
      <c r="H15" s="194">
        <v>19.899999999999999</v>
      </c>
      <c r="I15" s="194">
        <v>22.4</v>
      </c>
      <c r="J15" s="194">
        <v>21.5</v>
      </c>
      <c r="K15" s="194"/>
    </row>
    <row r="16" spans="1:11">
      <c r="A16" s="55" t="s">
        <v>1086</v>
      </c>
      <c r="B16" s="194">
        <v>10.6</v>
      </c>
      <c r="C16" s="194">
        <v>12.5</v>
      </c>
      <c r="D16" s="194">
        <v>13.1</v>
      </c>
      <c r="E16" s="194">
        <v>4.7</v>
      </c>
      <c r="F16" s="194">
        <v>6.8</v>
      </c>
      <c r="G16" s="194">
        <v>8.5</v>
      </c>
      <c r="H16" s="194">
        <v>21.8</v>
      </c>
      <c r="I16" s="194">
        <v>20.3</v>
      </c>
      <c r="J16" s="194">
        <v>19</v>
      </c>
      <c r="K16" s="194"/>
    </row>
    <row r="17" spans="1:11">
      <c r="A17" s="55" t="s">
        <v>980</v>
      </c>
      <c r="B17" s="194">
        <v>11.1</v>
      </c>
      <c r="C17" s="194">
        <v>13</v>
      </c>
      <c r="D17" s="194">
        <v>12</v>
      </c>
      <c r="E17" s="194">
        <v>5.0999999999999996</v>
      </c>
      <c r="F17" s="194">
        <v>7</v>
      </c>
      <c r="G17" s="194">
        <v>8</v>
      </c>
      <c r="H17" s="194">
        <v>23.4</v>
      </c>
      <c r="I17" s="194">
        <v>21.9</v>
      </c>
      <c r="J17" s="194">
        <v>17.100000000000001</v>
      </c>
      <c r="K17" s="194"/>
    </row>
    <row r="18" spans="1:11">
      <c r="A18" s="55" t="s">
        <v>981</v>
      </c>
      <c r="B18" s="194">
        <v>12</v>
      </c>
      <c r="C18" s="194">
        <v>15</v>
      </c>
      <c r="D18" s="194">
        <v>14.4</v>
      </c>
      <c r="E18" s="194">
        <v>6.8</v>
      </c>
      <c r="F18" s="194">
        <v>9.5</v>
      </c>
      <c r="G18" s="194">
        <v>10.5</v>
      </c>
      <c r="H18" s="194">
        <v>24.4</v>
      </c>
      <c r="I18" s="194">
        <v>25.7</v>
      </c>
      <c r="J18" s="194">
        <v>20.9</v>
      </c>
      <c r="K18" s="194"/>
    </row>
    <row r="19" spans="1:11" ht="6" customHeight="1">
      <c r="B19" s="194"/>
      <c r="C19" s="194"/>
      <c r="D19" s="194"/>
      <c r="E19" s="194"/>
      <c r="F19" s="194"/>
      <c r="G19" s="194"/>
      <c r="H19" s="194"/>
      <c r="I19" s="194"/>
      <c r="J19" s="194"/>
      <c r="K19" s="194"/>
    </row>
    <row r="20" spans="1:11">
      <c r="A20" s="51" t="s">
        <v>982</v>
      </c>
      <c r="B20" s="194"/>
      <c r="C20" s="194"/>
      <c r="D20" s="194"/>
      <c r="E20" s="194"/>
      <c r="F20" s="194"/>
      <c r="G20" s="194"/>
      <c r="H20" s="194"/>
      <c r="I20" s="194"/>
      <c r="J20" s="194"/>
      <c r="K20" s="194"/>
    </row>
    <row r="21" spans="1:11">
      <c r="A21" s="55" t="s">
        <v>80</v>
      </c>
      <c r="B21" s="194">
        <v>22.4</v>
      </c>
      <c r="C21" s="194">
        <v>29.3</v>
      </c>
      <c r="D21" s="194">
        <v>27.4</v>
      </c>
      <c r="E21" s="194">
        <v>12.1</v>
      </c>
      <c r="F21" s="194">
        <v>22.5</v>
      </c>
      <c r="G21" s="194">
        <v>20.5</v>
      </c>
      <c r="H21" s="194">
        <v>36.4</v>
      </c>
      <c r="I21" s="194">
        <v>38.200000000000003</v>
      </c>
      <c r="J21" s="194">
        <v>36.4</v>
      </c>
      <c r="K21" s="194"/>
    </row>
    <row r="22" spans="1:11">
      <c r="A22" s="55" t="s">
        <v>81</v>
      </c>
      <c r="B22" s="194">
        <v>14.3</v>
      </c>
      <c r="C22" s="194">
        <v>19.5</v>
      </c>
      <c r="D22" s="194">
        <v>22.4</v>
      </c>
      <c r="E22" s="194">
        <v>7.6</v>
      </c>
      <c r="F22" s="194">
        <v>13.4</v>
      </c>
      <c r="G22" s="194">
        <v>17.399999999999999</v>
      </c>
      <c r="H22" s="194">
        <v>24.6</v>
      </c>
      <c r="I22" s="194">
        <v>26.9</v>
      </c>
      <c r="J22" s="194">
        <v>28.4</v>
      </c>
      <c r="K22" s="194"/>
    </row>
    <row r="23" spans="1:11">
      <c r="A23" s="55" t="s">
        <v>82</v>
      </c>
      <c r="B23" s="194">
        <v>10.7</v>
      </c>
      <c r="C23" s="194">
        <v>12.6</v>
      </c>
      <c r="D23" s="194">
        <v>12.5</v>
      </c>
      <c r="E23" s="194">
        <v>5.2</v>
      </c>
      <c r="F23" s="194">
        <v>7.8</v>
      </c>
      <c r="G23" s="194">
        <v>9.3000000000000007</v>
      </c>
      <c r="H23" s="194">
        <v>21.4</v>
      </c>
      <c r="I23" s="194">
        <v>19.600000000000001</v>
      </c>
      <c r="J23" s="194">
        <v>16.8</v>
      </c>
      <c r="K23" s="194"/>
    </row>
    <row r="24" spans="1:11">
      <c r="A24" s="55" t="s">
        <v>938</v>
      </c>
      <c r="B24" s="194">
        <v>15.8</v>
      </c>
      <c r="C24" s="194">
        <v>16.899999999999999</v>
      </c>
      <c r="D24" s="194">
        <v>16</v>
      </c>
      <c r="E24" s="194">
        <v>9.5</v>
      </c>
      <c r="F24" s="194">
        <v>11.2</v>
      </c>
      <c r="G24" s="194">
        <v>11.8</v>
      </c>
      <c r="H24" s="194">
        <v>26.4</v>
      </c>
      <c r="I24" s="194">
        <v>25</v>
      </c>
      <c r="J24" s="194">
        <v>21.5</v>
      </c>
      <c r="K24" s="194"/>
    </row>
    <row r="25" spans="1:11" ht="8.25" customHeight="1">
      <c r="B25" s="194"/>
      <c r="C25" s="194"/>
      <c r="D25" s="194"/>
      <c r="E25" s="194"/>
      <c r="F25" s="194"/>
      <c r="G25" s="194"/>
      <c r="H25" s="194"/>
      <c r="I25" s="194"/>
      <c r="J25" s="194"/>
      <c r="K25" s="194"/>
    </row>
    <row r="26" spans="1:11">
      <c r="A26" s="51" t="s">
        <v>939</v>
      </c>
      <c r="B26" s="194"/>
      <c r="C26" s="194"/>
      <c r="D26" s="194"/>
      <c r="E26" s="194"/>
      <c r="F26" s="194"/>
      <c r="G26" s="194"/>
      <c r="H26" s="194"/>
      <c r="I26" s="194"/>
      <c r="J26" s="194"/>
      <c r="K26" s="194"/>
    </row>
    <row r="27" spans="1:11">
      <c r="A27" s="55" t="s">
        <v>940</v>
      </c>
      <c r="B27" s="194">
        <v>17</v>
      </c>
      <c r="C27" s="194">
        <v>20.3</v>
      </c>
      <c r="D27" s="194">
        <v>21.2</v>
      </c>
      <c r="E27" s="194">
        <v>10.1</v>
      </c>
      <c r="F27" s="194">
        <v>15.5</v>
      </c>
      <c r="G27" s="194">
        <v>17.2</v>
      </c>
      <c r="H27" s="194">
        <v>26.1</v>
      </c>
      <c r="I27" s="194">
        <v>26.1</v>
      </c>
      <c r="J27" s="194">
        <v>26</v>
      </c>
      <c r="K27" s="194"/>
    </row>
    <row r="28" spans="1:11" ht="15" customHeight="1">
      <c r="A28" s="55" t="s">
        <v>941</v>
      </c>
      <c r="B28" s="194">
        <v>15.3</v>
      </c>
      <c r="C28" s="194">
        <v>16.5</v>
      </c>
      <c r="D28" s="194">
        <v>15.6</v>
      </c>
      <c r="E28" s="194">
        <v>8.9</v>
      </c>
      <c r="F28" s="194">
        <v>10.8</v>
      </c>
      <c r="G28" s="194">
        <v>11.5</v>
      </c>
      <c r="H28" s="194">
        <v>26.1</v>
      </c>
      <c r="I28" s="194">
        <v>24.7</v>
      </c>
      <c r="J28" s="194">
        <v>21.3</v>
      </c>
      <c r="K28" s="194"/>
    </row>
    <row r="29" spans="1:11" ht="9.75" customHeight="1">
      <c r="B29" s="194"/>
      <c r="C29" s="194"/>
      <c r="D29" s="194"/>
      <c r="E29" s="194"/>
      <c r="F29" s="194"/>
      <c r="G29" s="194"/>
      <c r="H29" s="194"/>
      <c r="I29" s="194"/>
      <c r="J29" s="194"/>
      <c r="K29" s="194"/>
    </row>
    <row r="30" spans="1:11">
      <c r="A30" s="55" t="s">
        <v>942</v>
      </c>
      <c r="B30" s="194">
        <v>14</v>
      </c>
      <c r="C30" s="194">
        <v>17.2</v>
      </c>
      <c r="D30" s="194">
        <v>17.100000000000001</v>
      </c>
      <c r="E30" s="194">
        <v>10.199999999999999</v>
      </c>
      <c r="F30" s="194">
        <v>14</v>
      </c>
      <c r="G30" s="194">
        <v>16.600000000000001</v>
      </c>
      <c r="H30" s="194">
        <v>19.3</v>
      </c>
      <c r="I30" s="194">
        <v>21.3</v>
      </c>
      <c r="J30" s="194">
        <v>17.7</v>
      </c>
      <c r="K30" s="194"/>
    </row>
    <row r="31" spans="1:11">
      <c r="A31" s="55" t="s">
        <v>943</v>
      </c>
      <c r="B31" s="194">
        <v>15.9</v>
      </c>
      <c r="C31" s="194">
        <v>16.899999999999999</v>
      </c>
      <c r="D31" s="194">
        <v>16</v>
      </c>
      <c r="E31" s="194">
        <v>9.5</v>
      </c>
      <c r="F31" s="194">
        <v>11.1</v>
      </c>
      <c r="G31" s="194">
        <v>11.8</v>
      </c>
      <c r="H31" s="194">
        <v>26.4</v>
      </c>
      <c r="I31" s="194">
        <v>25</v>
      </c>
      <c r="J31" s="194">
        <v>21.6</v>
      </c>
      <c r="K31" s="194"/>
    </row>
    <row r="32" spans="1:11">
      <c r="A32" s="55" t="s">
        <v>944</v>
      </c>
      <c r="B32" s="194">
        <v>26.2</v>
      </c>
      <c r="C32" s="194">
        <v>31.8</v>
      </c>
      <c r="D32" s="194">
        <v>31.1</v>
      </c>
      <c r="E32" s="194">
        <v>15.9</v>
      </c>
      <c r="F32" s="194">
        <v>25.2</v>
      </c>
      <c r="G32" s="194">
        <v>23.8</v>
      </c>
      <c r="H32" s="194">
        <v>38.700000000000003</v>
      </c>
      <c r="I32" s="194">
        <v>40.1</v>
      </c>
      <c r="J32" s="194">
        <v>40.1</v>
      </c>
      <c r="K32" s="194"/>
    </row>
    <row r="33" spans="1:11">
      <c r="A33" s="55" t="s">
        <v>945</v>
      </c>
      <c r="B33" s="194">
        <v>17.8</v>
      </c>
      <c r="C33" s="194">
        <v>23.4</v>
      </c>
      <c r="D33" s="194">
        <v>18.7</v>
      </c>
      <c r="E33" s="194">
        <v>8</v>
      </c>
      <c r="F33" s="194">
        <v>16.600000000000001</v>
      </c>
      <c r="G33" s="194">
        <v>13</v>
      </c>
      <c r="H33" s="194">
        <v>33.200000000000003</v>
      </c>
      <c r="I33" s="194">
        <v>33.4</v>
      </c>
      <c r="J33" s="194">
        <v>26.8</v>
      </c>
      <c r="K33" s="194"/>
    </row>
    <row r="34" spans="1:11">
      <c r="A34" s="55" t="s">
        <v>946</v>
      </c>
      <c r="B34" s="194">
        <v>13.7</v>
      </c>
      <c r="C34" s="194">
        <v>20.9</v>
      </c>
      <c r="D34" s="194">
        <v>24.7</v>
      </c>
      <c r="E34" s="194">
        <v>7.7</v>
      </c>
      <c r="F34" s="194">
        <v>15.7</v>
      </c>
      <c r="G34" s="194">
        <v>19.7</v>
      </c>
      <c r="H34" s="194">
        <v>21.6</v>
      </c>
      <c r="I34" s="194">
        <v>27</v>
      </c>
      <c r="J34" s="194">
        <v>30.7</v>
      </c>
      <c r="K34" s="194"/>
    </row>
    <row r="35" spans="1:11">
      <c r="A35" s="55" t="s">
        <v>947</v>
      </c>
      <c r="B35" s="194">
        <v>14.6</v>
      </c>
      <c r="C35" s="194">
        <v>17.3</v>
      </c>
      <c r="D35" s="194">
        <v>16.8</v>
      </c>
      <c r="E35" s="194">
        <v>7.5</v>
      </c>
      <c r="F35" s="194">
        <v>10.199999999999999</v>
      </c>
      <c r="G35" s="194">
        <v>12.3</v>
      </c>
      <c r="H35" s="194">
        <v>26.6</v>
      </c>
      <c r="I35" s="194">
        <v>26.8</v>
      </c>
      <c r="J35" s="194">
        <v>22.8</v>
      </c>
      <c r="K35" s="194"/>
    </row>
    <row r="36" spans="1:11">
      <c r="A36" s="55" t="s">
        <v>948</v>
      </c>
      <c r="B36" s="194">
        <v>11.5</v>
      </c>
      <c r="C36" s="194">
        <v>12.9</v>
      </c>
      <c r="D36" s="194">
        <v>14.5</v>
      </c>
      <c r="E36" s="194">
        <v>6.8</v>
      </c>
      <c r="F36" s="194">
        <v>9.1999999999999993</v>
      </c>
      <c r="G36" s="194">
        <v>11.6</v>
      </c>
      <c r="H36" s="194">
        <v>19.3</v>
      </c>
      <c r="I36" s="194">
        <v>17.5</v>
      </c>
      <c r="J36" s="194">
        <v>17.8</v>
      </c>
      <c r="K36" s="194"/>
    </row>
    <row r="37" spans="1:11">
      <c r="A37" s="55" t="s">
        <v>949</v>
      </c>
      <c r="B37" s="194">
        <v>10.6</v>
      </c>
      <c r="C37" s="194">
        <v>12.4</v>
      </c>
      <c r="D37" s="194">
        <v>11.4</v>
      </c>
      <c r="E37" s="194">
        <v>5.0999999999999996</v>
      </c>
      <c r="F37" s="194">
        <v>7.4</v>
      </c>
      <c r="G37" s="194">
        <v>8</v>
      </c>
      <c r="H37" s="194">
        <v>21.5</v>
      </c>
      <c r="I37" s="194">
        <v>20.399999999999999</v>
      </c>
      <c r="J37" s="194">
        <v>16.100000000000001</v>
      </c>
      <c r="K37" s="194"/>
    </row>
    <row r="38" spans="1:11" ht="6.75" customHeight="1">
      <c r="B38" s="194"/>
      <c r="C38" s="194"/>
      <c r="D38" s="194"/>
      <c r="E38" s="194"/>
      <c r="F38" s="194"/>
      <c r="G38" s="194"/>
      <c r="H38" s="194"/>
      <c r="I38" s="194"/>
      <c r="J38" s="194"/>
      <c r="K38" s="194"/>
    </row>
    <row r="39" spans="1:11">
      <c r="A39" s="51" t="s">
        <v>950</v>
      </c>
      <c r="B39" s="194"/>
      <c r="C39" s="194"/>
      <c r="D39" s="194"/>
      <c r="E39" s="194"/>
      <c r="F39" s="194"/>
      <c r="G39" s="194"/>
      <c r="H39" s="194"/>
      <c r="I39" s="194"/>
      <c r="J39" s="194"/>
      <c r="K39" s="194"/>
    </row>
    <row r="40" spans="1:11">
      <c r="A40" s="55" t="s">
        <v>951</v>
      </c>
      <c r="B40" s="194">
        <v>11.9</v>
      </c>
      <c r="C40" s="194">
        <v>14.1</v>
      </c>
      <c r="D40" s="194">
        <v>13.4</v>
      </c>
      <c r="E40" s="194">
        <v>5.0999999999999996</v>
      </c>
      <c r="F40" s="194">
        <v>7.3</v>
      </c>
      <c r="G40" s="194">
        <v>8.4</v>
      </c>
      <c r="H40" s="194">
        <v>25.1</v>
      </c>
      <c r="I40" s="194">
        <v>24.3</v>
      </c>
      <c r="J40" s="194">
        <v>20.5</v>
      </c>
      <c r="K40" s="194"/>
    </row>
    <row r="41" spans="1:11">
      <c r="A41" s="55" t="s">
        <v>952</v>
      </c>
      <c r="B41" s="194">
        <v>7</v>
      </c>
      <c r="C41" s="194">
        <v>7.7</v>
      </c>
      <c r="D41" s="194">
        <v>10.7</v>
      </c>
      <c r="E41" s="194">
        <v>7</v>
      </c>
      <c r="F41" s="194">
        <v>7.7</v>
      </c>
      <c r="G41" s="194">
        <v>10.7</v>
      </c>
      <c r="H41" s="194" t="s">
        <v>744</v>
      </c>
      <c r="I41" s="194" t="s">
        <v>744</v>
      </c>
      <c r="J41" s="194" t="s">
        <v>744</v>
      </c>
      <c r="K41" s="194"/>
    </row>
    <row r="42" spans="1:11">
      <c r="A42" s="55" t="s">
        <v>953</v>
      </c>
      <c r="B42" s="194">
        <v>23.6</v>
      </c>
      <c r="C42" s="194">
        <v>22.8</v>
      </c>
      <c r="D42" s="194">
        <v>23.3</v>
      </c>
      <c r="E42" s="194" t="s">
        <v>744</v>
      </c>
      <c r="F42" s="194" t="s">
        <v>744</v>
      </c>
      <c r="G42" s="194" t="s">
        <v>744</v>
      </c>
      <c r="H42" s="194">
        <v>23.6</v>
      </c>
      <c r="I42" s="194">
        <v>22.8</v>
      </c>
      <c r="J42" s="194">
        <v>23.3</v>
      </c>
      <c r="K42" s="194"/>
    </row>
    <row r="43" spans="1:11">
      <c r="A43" s="55" t="s">
        <v>954</v>
      </c>
      <c r="B43" s="194">
        <v>22.9</v>
      </c>
      <c r="C43" s="194">
        <v>24.7</v>
      </c>
      <c r="D43" s="194">
        <v>28.3</v>
      </c>
      <c r="E43" s="194">
        <v>18.899999999999999</v>
      </c>
      <c r="F43" s="194">
        <v>21.4</v>
      </c>
      <c r="G43" s="194">
        <v>26.3</v>
      </c>
      <c r="H43" s="194">
        <v>28.3</v>
      </c>
      <c r="I43" s="194">
        <v>29.5</v>
      </c>
      <c r="J43" s="194">
        <v>31</v>
      </c>
      <c r="K43" s="194"/>
    </row>
    <row r="44" spans="1:11">
      <c r="A44" s="55" t="s">
        <v>955</v>
      </c>
      <c r="B44" s="194">
        <v>22.3</v>
      </c>
      <c r="C44" s="194">
        <v>23.6</v>
      </c>
      <c r="D44" s="194">
        <v>23.1</v>
      </c>
      <c r="E44" s="194">
        <v>16.7</v>
      </c>
      <c r="F44" s="194">
        <v>20.399999999999999</v>
      </c>
      <c r="G44" s="194">
        <v>20</v>
      </c>
      <c r="H44" s="194">
        <v>30.9</v>
      </c>
      <c r="I44" s="194">
        <v>28.7</v>
      </c>
      <c r="J44" s="194">
        <v>28.4</v>
      </c>
      <c r="K44" s="194"/>
    </row>
    <row r="45" spans="1:11">
      <c r="A45" s="55" t="s">
        <v>956</v>
      </c>
      <c r="B45" s="194">
        <v>22.3</v>
      </c>
      <c r="C45" s="194">
        <v>24.7</v>
      </c>
      <c r="D45" s="194">
        <v>25.3</v>
      </c>
      <c r="E45" s="194">
        <v>16.3</v>
      </c>
      <c r="F45" s="194">
        <v>21.4</v>
      </c>
      <c r="G45" s="194">
        <v>22.2</v>
      </c>
      <c r="H45" s="194">
        <v>31.3</v>
      </c>
      <c r="I45" s="194">
        <v>30.2</v>
      </c>
      <c r="J45" s="194">
        <v>30.7</v>
      </c>
      <c r="K45" s="194"/>
    </row>
    <row r="46" spans="1:11">
      <c r="A46" s="55" t="s">
        <v>957</v>
      </c>
      <c r="B46" s="194">
        <v>22.6</v>
      </c>
      <c r="C46" s="194">
        <v>19.3</v>
      </c>
      <c r="D46" s="194">
        <v>17.2</v>
      </c>
      <c r="E46" s="194">
        <v>18.600000000000001</v>
      </c>
      <c r="F46" s="194">
        <v>16.600000000000001</v>
      </c>
      <c r="G46" s="194">
        <v>13.5</v>
      </c>
      <c r="H46" s="194">
        <v>28.8</v>
      </c>
      <c r="I46" s="194">
        <v>23.2</v>
      </c>
      <c r="J46" s="194">
        <v>22.5</v>
      </c>
      <c r="K46" s="194"/>
    </row>
    <row r="47" spans="1:11">
      <c r="A47" s="55" t="s">
        <v>958</v>
      </c>
      <c r="B47" s="194">
        <v>12.6</v>
      </c>
      <c r="C47" s="194">
        <v>13.3</v>
      </c>
      <c r="D47" s="194">
        <v>13.5</v>
      </c>
      <c r="E47" s="194">
        <v>9.6</v>
      </c>
      <c r="F47" s="194">
        <v>11.4</v>
      </c>
      <c r="G47" s="194">
        <v>12.2</v>
      </c>
      <c r="H47" s="194">
        <v>15.9</v>
      </c>
      <c r="I47" s="194">
        <v>15.6</v>
      </c>
      <c r="J47" s="194">
        <v>15.1</v>
      </c>
      <c r="K47" s="194"/>
    </row>
    <row r="48" spans="1:11">
      <c r="A48" s="55" t="s">
        <v>959</v>
      </c>
      <c r="B48" s="194">
        <v>32.4</v>
      </c>
      <c r="C48" s="194">
        <v>35.1</v>
      </c>
      <c r="D48" s="194">
        <v>33</v>
      </c>
      <c r="E48" s="194">
        <v>27.4</v>
      </c>
      <c r="F48" s="194">
        <v>32</v>
      </c>
      <c r="G48" s="194">
        <v>31.1</v>
      </c>
      <c r="H48" s="194">
        <v>41</v>
      </c>
      <c r="I48" s="194">
        <v>40.700000000000003</v>
      </c>
      <c r="J48" s="194">
        <v>36.700000000000003</v>
      </c>
      <c r="K48" s="194"/>
    </row>
    <row r="49" spans="1:11" ht="8.25" customHeight="1">
      <c r="B49" s="194"/>
      <c r="C49" s="194"/>
      <c r="D49" s="194"/>
      <c r="E49" s="194"/>
      <c r="F49" s="194"/>
      <c r="G49" s="194"/>
      <c r="H49" s="194"/>
      <c r="I49" s="194"/>
      <c r="J49" s="194"/>
      <c r="K49" s="194"/>
    </row>
    <row r="50" spans="1:11">
      <c r="A50" s="51" t="s">
        <v>960</v>
      </c>
      <c r="B50" s="194"/>
      <c r="C50" s="194"/>
      <c r="D50" s="194"/>
      <c r="E50" s="194"/>
      <c r="F50" s="194"/>
      <c r="G50" s="194"/>
      <c r="H50" s="194"/>
      <c r="I50" s="194"/>
      <c r="J50" s="194"/>
      <c r="K50" s="194"/>
    </row>
    <row r="51" spans="1:11">
      <c r="A51" s="55" t="s">
        <v>961</v>
      </c>
      <c r="B51" s="194"/>
      <c r="C51" s="194">
        <v>23.3</v>
      </c>
      <c r="D51" s="194">
        <v>19.899999999999999</v>
      </c>
      <c r="E51" s="194" t="s">
        <v>744</v>
      </c>
      <c r="F51" s="194">
        <v>18</v>
      </c>
      <c r="G51" s="194">
        <v>15.1</v>
      </c>
      <c r="H51" s="194" t="s">
        <v>744</v>
      </c>
      <c r="I51" s="194">
        <v>32.299999999999997</v>
      </c>
      <c r="J51" s="194">
        <v>26.3</v>
      </c>
      <c r="K51" s="194"/>
    </row>
    <row r="52" spans="1:11">
      <c r="A52" s="54" t="s">
        <v>962</v>
      </c>
      <c r="B52" s="193"/>
      <c r="C52" s="193">
        <v>16.600000000000001</v>
      </c>
      <c r="D52" s="193">
        <v>16</v>
      </c>
      <c r="E52" s="193" t="s">
        <v>744</v>
      </c>
      <c r="F52" s="193">
        <v>10.8</v>
      </c>
      <c r="G52" s="193">
        <v>11.8</v>
      </c>
      <c r="H52" s="193" t="s">
        <v>744</v>
      </c>
      <c r="I52" s="193">
        <v>24.6</v>
      </c>
      <c r="J52" s="193">
        <v>21.4</v>
      </c>
      <c r="K52" s="194"/>
    </row>
    <row r="54" spans="1:11" ht="51.75" customHeight="1">
      <c r="A54" s="1220" t="s">
        <v>520</v>
      </c>
      <c r="B54" s="1220"/>
      <c r="C54" s="1220"/>
      <c r="D54" s="1220"/>
      <c r="E54" s="1220"/>
      <c r="F54" s="1220"/>
      <c r="G54" s="1220"/>
      <c r="H54" s="1220"/>
      <c r="I54" s="1220"/>
      <c r="J54" s="1220"/>
    </row>
    <row r="55" spans="1:11" ht="15.75" customHeight="1">
      <c r="A55" s="1168" t="s">
        <v>98</v>
      </c>
      <c r="B55" s="1168"/>
      <c r="C55" s="1168"/>
      <c r="D55" s="1168"/>
      <c r="E55" s="1168"/>
      <c r="F55" s="1168"/>
      <c r="G55" s="1168"/>
      <c r="H55" s="1168"/>
      <c r="I55" s="1168"/>
      <c r="J55" s="1168"/>
    </row>
    <row r="56" spans="1:11" ht="38.25" customHeight="1">
      <c r="A56" s="1168"/>
      <c r="B56" s="1168"/>
      <c r="C56" s="1168"/>
      <c r="D56" s="1168"/>
      <c r="E56" s="1168"/>
      <c r="F56" s="1168"/>
      <c r="G56" s="1168"/>
      <c r="H56" s="1168"/>
      <c r="I56" s="1168"/>
      <c r="J56" s="1168"/>
    </row>
  </sheetData>
  <mergeCells count="5">
    <mergeCell ref="A55:J56"/>
    <mergeCell ref="B3:D3"/>
    <mergeCell ref="E3:G3"/>
    <mergeCell ref="H3:J3"/>
    <mergeCell ref="A54:J54"/>
  </mergeCells>
  <phoneticPr fontId="35" type="noConversion"/>
  <pageMargins left="0.75" right="0.75" top="1" bottom="1" header="0.5" footer="0.5"/>
  <pageSetup scale="88" orientation="portrait" horizontalDpi="4294967292" verticalDpi="1200" r:id="rId1"/>
  <headerFooter alignWithMargins="0"/>
</worksheet>
</file>

<file path=xl/worksheets/sheet127.xml><?xml version="1.0" encoding="utf-8"?>
<worksheet xmlns="http://schemas.openxmlformats.org/spreadsheetml/2006/main" xmlns:r="http://schemas.openxmlformats.org/officeDocument/2006/relationships">
  <sheetPr codeName="Sheet95">
    <pageSetUpPr fitToPage="1"/>
  </sheetPr>
  <dimension ref="A1:F15"/>
  <sheetViews>
    <sheetView view="pageBreakPreview" zoomScale="60" workbookViewId="0">
      <selection activeCell="H62" sqref="H62"/>
    </sheetView>
  </sheetViews>
  <sheetFormatPr defaultColWidth="8" defaultRowHeight="12.75"/>
  <cols>
    <col min="1" max="1" width="27.85546875" style="55" customWidth="1"/>
    <col min="2" max="6" width="20.5703125" style="55" customWidth="1"/>
    <col min="7" max="16384" width="8" style="55"/>
  </cols>
  <sheetData>
    <row r="1" spans="1:6" ht="15.75">
      <c r="A1" s="745" t="s">
        <v>2203</v>
      </c>
    </row>
    <row r="3" spans="1:6" s="52" customFormat="1" ht="48.75" customHeight="1">
      <c r="A3" s="660"/>
      <c r="B3" s="660" t="s">
        <v>99</v>
      </c>
      <c r="C3" s="660" t="s">
        <v>100</v>
      </c>
      <c r="D3" s="660" t="s">
        <v>395</v>
      </c>
      <c r="E3" s="660" t="s">
        <v>396</v>
      </c>
      <c r="F3" s="660" t="s">
        <v>397</v>
      </c>
    </row>
    <row r="4" spans="1:6" s="655" customFormat="1" ht="38.25" customHeight="1">
      <c r="A4" s="1107" t="s">
        <v>65</v>
      </c>
      <c r="B4" s="659">
        <v>25.9</v>
      </c>
      <c r="C4" s="659">
        <v>56.2</v>
      </c>
      <c r="D4" s="659">
        <v>62.1</v>
      </c>
      <c r="E4" s="190" t="s">
        <v>374</v>
      </c>
      <c r="F4" s="654" t="s">
        <v>374</v>
      </c>
    </row>
    <row r="5" spans="1:6" ht="20.100000000000001" customHeight="1">
      <c r="A5" s="213" t="s">
        <v>66</v>
      </c>
      <c r="B5" s="191"/>
      <c r="C5" s="191"/>
      <c r="D5" s="191"/>
    </row>
    <row r="6" spans="1:6" ht="20.100000000000001" customHeight="1">
      <c r="A6" s="213" t="s">
        <v>67</v>
      </c>
      <c r="B6" s="191">
        <v>3.7</v>
      </c>
      <c r="C6" s="191">
        <v>10.3</v>
      </c>
      <c r="D6" s="191">
        <v>13.1</v>
      </c>
      <c r="E6" s="191">
        <v>30.2</v>
      </c>
      <c r="F6" s="191">
        <v>25.6</v>
      </c>
    </row>
    <row r="7" spans="1:6" ht="20.100000000000001" customHeight="1">
      <c r="A7" s="213" t="s">
        <v>68</v>
      </c>
      <c r="B7" s="191">
        <v>5.5</v>
      </c>
      <c r="C7" s="191">
        <v>19</v>
      </c>
      <c r="D7" s="191">
        <v>16.600000000000001</v>
      </c>
      <c r="E7" s="191">
        <v>37.1</v>
      </c>
      <c r="F7" s="191">
        <v>33.700000000000003</v>
      </c>
    </row>
    <row r="8" spans="1:6" ht="20.100000000000001" customHeight="1">
      <c r="A8" s="213" t="s">
        <v>1487</v>
      </c>
      <c r="B8" s="191">
        <v>5.5</v>
      </c>
      <c r="C8" s="191">
        <v>11.7</v>
      </c>
      <c r="D8" s="191">
        <v>16.600000000000001</v>
      </c>
      <c r="E8" s="191">
        <v>22.8</v>
      </c>
      <c r="F8" s="191">
        <v>24.2</v>
      </c>
    </row>
    <row r="9" spans="1:6" ht="20.100000000000001" customHeight="1">
      <c r="A9" s="213" t="s">
        <v>677</v>
      </c>
      <c r="B9" s="191">
        <v>10.7</v>
      </c>
      <c r="C9" s="191">
        <v>22.6</v>
      </c>
      <c r="D9" s="191">
        <v>26.3</v>
      </c>
      <c r="E9" s="191">
        <v>22.8</v>
      </c>
      <c r="F9" s="191">
        <v>23.3</v>
      </c>
    </row>
    <row r="10" spans="1:6" ht="20.100000000000001" customHeight="1">
      <c r="A10" s="213" t="s">
        <v>678</v>
      </c>
      <c r="B10" s="191">
        <v>3.1</v>
      </c>
      <c r="C10" s="191">
        <v>5.0999999999999996</v>
      </c>
      <c r="D10" s="191">
        <v>5.5</v>
      </c>
      <c r="E10" s="191">
        <v>17.399999999999999</v>
      </c>
      <c r="F10" s="191">
        <v>17.2</v>
      </c>
    </row>
    <row r="11" spans="1:6" ht="20.100000000000001" customHeight="1">
      <c r="A11" s="217" t="s">
        <v>679</v>
      </c>
      <c r="B11" s="192">
        <v>74.099999999999994</v>
      </c>
      <c r="C11" s="192">
        <v>43.8</v>
      </c>
      <c r="D11" s="192">
        <v>37.9</v>
      </c>
      <c r="E11" s="192">
        <v>6.4</v>
      </c>
      <c r="F11" s="192">
        <v>4.2</v>
      </c>
    </row>
    <row r="13" spans="1:6" ht="12.75" customHeight="1">
      <c r="A13" s="1220" t="s">
        <v>519</v>
      </c>
      <c r="B13" s="1220"/>
      <c r="C13" s="1220"/>
      <c r="D13" s="1220"/>
      <c r="E13" s="1220"/>
      <c r="F13" s="1220"/>
    </row>
    <row r="14" spans="1:6" ht="29.25" customHeight="1">
      <c r="A14" s="1220"/>
      <c r="B14" s="1220"/>
      <c r="C14" s="1220"/>
      <c r="D14" s="1220"/>
      <c r="E14" s="1220"/>
      <c r="F14" s="1220"/>
    </row>
    <row r="15" spans="1:6" ht="29.25" customHeight="1">
      <c r="A15" s="1220" t="s">
        <v>730</v>
      </c>
      <c r="B15" s="1220"/>
      <c r="C15" s="1220"/>
      <c r="D15" s="1220"/>
      <c r="E15" s="1220"/>
      <c r="F15" s="1220"/>
    </row>
  </sheetData>
  <mergeCells count="2">
    <mergeCell ref="A13:F14"/>
    <mergeCell ref="A15:F15"/>
  </mergeCells>
  <phoneticPr fontId="35" type="noConversion"/>
  <pageMargins left="0.75" right="0.75" top="1" bottom="1" header="0.5" footer="0.5"/>
  <pageSetup scale="94" orientation="landscape" verticalDpi="0" r:id="rId1"/>
  <headerFooter alignWithMargins="0"/>
</worksheet>
</file>

<file path=xl/worksheets/sheet128.xml><?xml version="1.0" encoding="utf-8"?>
<worksheet xmlns="http://schemas.openxmlformats.org/spreadsheetml/2006/main" xmlns:r="http://schemas.openxmlformats.org/officeDocument/2006/relationships">
  <sheetPr codeName="Sheet96">
    <pageSetUpPr fitToPage="1"/>
  </sheetPr>
  <dimension ref="A1:AX94"/>
  <sheetViews>
    <sheetView view="pageBreakPreview" zoomScale="55" zoomScaleSheetLayoutView="5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5.85546875" style="56" customWidth="1"/>
    <col min="2" max="2" width="11.85546875" style="56" customWidth="1"/>
    <col min="3" max="3" width="9.42578125" style="56" customWidth="1"/>
    <col min="4" max="4" width="7.85546875" style="56" customWidth="1"/>
    <col min="5" max="5" width="10.42578125" style="56" customWidth="1"/>
    <col min="6" max="6" width="11.140625" style="56" customWidth="1"/>
    <col min="7" max="7" width="9.28515625" style="56" customWidth="1"/>
    <col min="8" max="8" width="8.5703125" style="56" customWidth="1"/>
    <col min="9" max="10" width="8.140625" style="56" customWidth="1"/>
    <col min="11" max="11" width="7.85546875" style="56" customWidth="1"/>
    <col min="12" max="12" width="7" style="56" hidden="1" customWidth="1"/>
    <col min="13" max="13" width="5.7109375" style="56" hidden="1" customWidth="1"/>
    <col min="14" max="14" width="10" style="56" hidden="1" customWidth="1"/>
    <col min="15" max="25" width="8.140625" style="56" customWidth="1"/>
    <col min="26" max="26" width="10.5703125" style="56" customWidth="1"/>
    <col min="27" max="27" width="9.28515625" style="56" customWidth="1"/>
    <col min="28" max="28" width="7.7109375" style="56" customWidth="1"/>
    <col min="29" max="29" width="8.85546875" style="56" customWidth="1"/>
    <col min="30" max="30" width="10.140625" style="56" customWidth="1"/>
    <col min="31" max="31" width="9.140625" style="56"/>
    <col min="32" max="32" width="8.5703125" style="56" customWidth="1"/>
    <col min="33" max="33" width="7.28515625" style="56" customWidth="1"/>
    <col min="34" max="34" width="5.85546875" style="56" customWidth="1"/>
    <col min="35" max="35" width="9.5703125" style="56" customWidth="1"/>
    <col min="36" max="37" width="8.7109375" style="56" customWidth="1"/>
    <col min="38" max="38" width="9.7109375" style="56" customWidth="1"/>
    <col min="39" max="39" width="10" style="56" customWidth="1"/>
    <col min="40" max="40" width="9.28515625" style="56" customWidth="1"/>
    <col min="41" max="41" width="8.5703125" style="56" customWidth="1"/>
    <col min="42" max="42" width="8.140625" style="56" customWidth="1"/>
    <col min="43" max="43" width="10.5703125" style="56" customWidth="1"/>
    <col min="44" max="44" width="9.140625" style="56"/>
    <col min="45" max="45" width="8.42578125" style="56" customWidth="1"/>
    <col min="46" max="46" width="8.85546875" style="56" customWidth="1"/>
    <col min="47" max="47" width="10.140625" style="56" customWidth="1"/>
    <col min="48" max="48" width="9.140625" style="56"/>
    <col min="49" max="49" width="8.5703125" style="56" customWidth="1"/>
    <col min="50" max="50" width="7.28515625" style="56" customWidth="1"/>
    <col min="51" max="16384" width="9.140625" style="56"/>
  </cols>
  <sheetData>
    <row r="1" spans="1:34" ht="15.75">
      <c r="A1" s="86" t="s">
        <v>2204</v>
      </c>
    </row>
    <row r="3" spans="1:34" s="59" customFormat="1" ht="66" customHeight="1">
      <c r="A3" s="57" t="s">
        <v>752</v>
      </c>
      <c r="B3" s="58" t="s">
        <v>1395</v>
      </c>
      <c r="C3" s="58" t="s">
        <v>576</v>
      </c>
      <c r="D3" s="58" t="s">
        <v>577</v>
      </c>
      <c r="E3" s="58" t="s">
        <v>578</v>
      </c>
      <c r="F3" s="57" t="s">
        <v>579</v>
      </c>
      <c r="G3" s="58" t="s">
        <v>580</v>
      </c>
      <c r="H3" s="58" t="s">
        <v>581</v>
      </c>
      <c r="I3" s="58" t="s">
        <v>582</v>
      </c>
      <c r="J3" s="58" t="s">
        <v>1553</v>
      </c>
      <c r="W3" s="58"/>
      <c r="X3" s="58"/>
      <c r="Y3" s="58"/>
      <c r="Z3" s="58" t="s">
        <v>583</v>
      </c>
      <c r="AA3" s="60" t="s">
        <v>576</v>
      </c>
      <c r="AB3" s="60" t="s">
        <v>577</v>
      </c>
      <c r="AC3" s="58" t="s">
        <v>578</v>
      </c>
      <c r="AD3" s="57" t="s">
        <v>579</v>
      </c>
      <c r="AE3" s="58" t="s">
        <v>580</v>
      </c>
      <c r="AF3" s="60" t="s">
        <v>581</v>
      </c>
      <c r="AG3" s="58" t="s">
        <v>582</v>
      </c>
      <c r="AH3" s="333" t="s">
        <v>1139</v>
      </c>
    </row>
    <row r="4" spans="1:34" s="59" customFormat="1" ht="22.5" customHeight="1">
      <c r="A4" s="57"/>
      <c r="B4" s="61" t="s">
        <v>584</v>
      </c>
      <c r="C4" s="61" t="s">
        <v>585</v>
      </c>
      <c r="D4" s="61" t="s">
        <v>586</v>
      </c>
      <c r="E4" s="61" t="s">
        <v>587</v>
      </c>
      <c r="F4" s="62" t="s">
        <v>588</v>
      </c>
      <c r="G4" s="63" t="s">
        <v>589</v>
      </c>
      <c r="H4" s="61" t="s">
        <v>590</v>
      </c>
      <c r="I4" s="61" t="s">
        <v>591</v>
      </c>
      <c r="J4" s="61" t="s">
        <v>592</v>
      </c>
      <c r="K4" s="64"/>
      <c r="L4" s="64"/>
      <c r="M4" s="64"/>
      <c r="N4" s="64"/>
      <c r="O4" s="64"/>
      <c r="P4" s="64"/>
      <c r="Q4" s="64"/>
      <c r="R4" s="64"/>
      <c r="S4" s="64"/>
      <c r="T4" s="64"/>
      <c r="U4" s="64"/>
      <c r="V4" s="64"/>
      <c r="W4" s="61"/>
      <c r="X4" s="61"/>
      <c r="Y4" s="61"/>
      <c r="Z4" s="61" t="s">
        <v>592</v>
      </c>
      <c r="AA4" s="61" t="s">
        <v>593</v>
      </c>
      <c r="AB4" s="61" t="s">
        <v>594</v>
      </c>
      <c r="AC4" s="61" t="s">
        <v>595</v>
      </c>
      <c r="AD4" s="62" t="s">
        <v>596</v>
      </c>
      <c r="AE4" s="61" t="s">
        <v>597</v>
      </c>
      <c r="AF4" s="61" t="s">
        <v>598</v>
      </c>
      <c r="AG4" s="61" t="s">
        <v>599</v>
      </c>
      <c r="AH4" s="333" t="s">
        <v>721</v>
      </c>
    </row>
    <row r="5" spans="1:34">
      <c r="A5" s="65">
        <v>1961</v>
      </c>
      <c r="B5" s="488">
        <v>264475</v>
      </c>
      <c r="C5" s="66">
        <v>6453.9222749051796</v>
      </c>
      <c r="D5" s="1026">
        <v>39.49449429244639</v>
      </c>
      <c r="E5" s="66">
        <v>13254.50861540703</v>
      </c>
      <c r="F5" s="68">
        <v>323214.8</v>
      </c>
      <c r="G5" s="69">
        <v>40978.956475562089</v>
      </c>
      <c r="H5" s="70">
        <v>19.953587694120511</v>
      </c>
      <c r="I5" s="71">
        <v>0.81826389138121158</v>
      </c>
      <c r="J5" s="489" t="s">
        <v>303</v>
      </c>
      <c r="K5" s="71"/>
      <c r="L5" s="71"/>
      <c r="M5" s="71"/>
      <c r="N5" s="71"/>
      <c r="O5" s="71"/>
      <c r="P5" s="71"/>
      <c r="Q5" s="71">
        <f>'6d'!B5</f>
        <v>647165.17055655294</v>
      </c>
      <c r="R5" s="71">
        <f>'57'!B5</f>
        <v>344183.1</v>
      </c>
      <c r="S5" s="71">
        <f>Q5/R5</f>
        <v>1.8802932815601725</v>
      </c>
      <c r="T5" s="71"/>
      <c r="U5" s="71"/>
      <c r="V5" s="71"/>
      <c r="W5" s="71"/>
      <c r="X5" s="71"/>
      <c r="Y5" s="71"/>
      <c r="Z5" s="69">
        <v>38872.468455833427</v>
      </c>
      <c r="AA5" s="69">
        <v>1364.2826642495922</v>
      </c>
      <c r="AB5" s="67">
        <f t="shared" ref="AB5:AB47" si="0">AC5/AA5*1000/52</f>
        <v>38.501758595821677</v>
      </c>
      <c r="AC5" s="69">
        <v>2731.4186533609168</v>
      </c>
      <c r="AD5" s="72">
        <v>63431.5</v>
      </c>
      <c r="AE5" s="69">
        <f t="shared" ref="AE5:AE47" si="1">Z5/AA5*1000</f>
        <v>28492.972515497568</v>
      </c>
      <c r="AF5" s="70">
        <f t="shared" ref="AF5:AF47" si="2">Z5/AC5</f>
        <v>14.231603935193966</v>
      </c>
      <c r="AG5" s="71">
        <f t="shared" ref="AG5:AG47" si="3">Z5/AD5</f>
        <v>0.61282593752052883</v>
      </c>
      <c r="AH5" s="334">
        <v>15.567823045656489</v>
      </c>
    </row>
    <row r="6" spans="1:34">
      <c r="A6" s="65">
        <v>1962</v>
      </c>
      <c r="B6" s="488">
        <v>282972</v>
      </c>
      <c r="C6" s="66">
        <v>6650.3463644339163</v>
      </c>
      <c r="D6" s="1026">
        <v>39.516434633927616</v>
      </c>
      <c r="E6" s="66">
        <v>13665.494824962812</v>
      </c>
      <c r="F6" s="68">
        <v>334933.7</v>
      </c>
      <c r="G6" s="69">
        <v>42549.96424146201</v>
      </c>
      <c r="H6" s="70">
        <v>20.707043808109599</v>
      </c>
      <c r="I6" s="71">
        <v>0.84485974388364027</v>
      </c>
      <c r="J6" s="489" t="s">
        <v>303</v>
      </c>
      <c r="K6" s="71"/>
      <c r="L6" s="71"/>
      <c r="M6" s="71"/>
      <c r="N6" s="71"/>
      <c r="O6" s="71"/>
      <c r="P6" s="71"/>
      <c r="Q6" s="71"/>
      <c r="R6" s="71"/>
      <c r="S6" s="71"/>
      <c r="T6" s="71"/>
      <c r="U6" s="71"/>
      <c r="V6" s="71"/>
      <c r="W6" s="71"/>
      <c r="X6" s="71"/>
      <c r="Y6" s="71"/>
      <c r="Z6" s="69">
        <v>43379.536464771336</v>
      </c>
      <c r="AA6" s="69">
        <v>1402.6569834038942</v>
      </c>
      <c r="AB6" s="67">
        <f t="shared" si="0"/>
        <v>38.799286790279687</v>
      </c>
      <c r="AC6" s="69">
        <v>2829.9487095087657</v>
      </c>
      <c r="AD6" s="72">
        <v>64309.3</v>
      </c>
      <c r="AE6" s="69">
        <f t="shared" si="1"/>
        <v>30926.689117891219</v>
      </c>
      <c r="AF6" s="70">
        <f t="shared" si="2"/>
        <v>15.328735930447777</v>
      </c>
      <c r="AG6" s="71">
        <f t="shared" si="3"/>
        <v>0.67454530627407439</v>
      </c>
      <c r="AH6" s="334">
        <v>15.784247204670427</v>
      </c>
    </row>
    <row r="7" spans="1:34">
      <c r="A7" s="65">
        <v>1963</v>
      </c>
      <c r="B7" s="488">
        <v>297989</v>
      </c>
      <c r="C7" s="66">
        <v>6814.1795302862565</v>
      </c>
      <c r="D7" s="1026">
        <v>39.193321926224456</v>
      </c>
      <c r="E7" s="66">
        <v>13887.657263667106</v>
      </c>
      <c r="F7" s="68">
        <v>347211.9</v>
      </c>
      <c r="G7" s="69">
        <v>43730.723365235695</v>
      </c>
      <c r="H7" s="70">
        <v>21.45711075255284</v>
      </c>
      <c r="I7" s="71">
        <v>0.8582338335754045</v>
      </c>
      <c r="J7" s="489" t="s">
        <v>303</v>
      </c>
      <c r="K7" s="71"/>
      <c r="L7" s="71"/>
      <c r="M7" s="71"/>
      <c r="N7" s="71"/>
      <c r="O7" s="71"/>
      <c r="P7" s="71"/>
      <c r="Q7" s="71"/>
      <c r="R7" s="71"/>
      <c r="S7" s="71"/>
      <c r="T7" s="71"/>
      <c r="U7" s="71"/>
      <c r="V7" s="71"/>
      <c r="W7" s="71"/>
      <c r="X7" s="71"/>
      <c r="Y7" s="71"/>
      <c r="Z7" s="69">
        <v>46243.130669392427</v>
      </c>
      <c r="AA7" s="69">
        <v>1434.3218619735549</v>
      </c>
      <c r="AB7" s="67">
        <f t="shared" si="0"/>
        <v>38.909399485981496</v>
      </c>
      <c r="AC7" s="69">
        <v>2902.0473205883045</v>
      </c>
      <c r="AD7" s="72">
        <v>65329.2</v>
      </c>
      <c r="AE7" s="69">
        <f t="shared" si="1"/>
        <v>32240.414020995402</v>
      </c>
      <c r="AF7" s="70">
        <f t="shared" si="2"/>
        <v>15.934657695387957</v>
      </c>
      <c r="AG7" s="71">
        <f t="shared" si="3"/>
        <v>0.70784780265780733</v>
      </c>
      <c r="AH7" s="334">
        <v>16.094889408669445</v>
      </c>
    </row>
    <row r="8" spans="1:34">
      <c r="A8" s="65">
        <v>1964</v>
      </c>
      <c r="B8" s="488">
        <v>317283</v>
      </c>
      <c r="C8" s="66">
        <v>7062.5305565237632</v>
      </c>
      <c r="D8" s="1026">
        <v>39.020734627285478</v>
      </c>
      <c r="E8" s="66">
        <v>14330.426793446846</v>
      </c>
      <c r="F8" s="68">
        <v>363596.9</v>
      </c>
      <c r="G8" s="69">
        <v>44924.832177458127</v>
      </c>
      <c r="H8" s="70">
        <v>22.140512950046276</v>
      </c>
      <c r="I8" s="71">
        <v>0.87262295140580126</v>
      </c>
      <c r="J8" s="489" t="s">
        <v>303</v>
      </c>
      <c r="K8" s="71"/>
      <c r="L8" s="71"/>
      <c r="M8" s="71"/>
      <c r="N8" s="71"/>
      <c r="O8" s="71"/>
      <c r="P8" s="71"/>
      <c r="Q8" s="71"/>
      <c r="R8" s="71"/>
      <c r="S8" s="71"/>
      <c r="T8" s="71"/>
      <c r="U8" s="71"/>
      <c r="V8" s="71"/>
      <c r="W8" s="71"/>
      <c r="X8" s="71"/>
      <c r="Y8" s="71"/>
      <c r="Z8" s="69">
        <v>50743.38870400306</v>
      </c>
      <c r="AA8" s="69">
        <v>1499.6585022137688</v>
      </c>
      <c r="AB8" s="67">
        <f t="shared" si="0"/>
        <v>39.078079225974747</v>
      </c>
      <c r="AC8" s="69">
        <v>3047.3962355936465</v>
      </c>
      <c r="AD8" s="72">
        <v>67570.7</v>
      </c>
      <c r="AE8" s="69">
        <f t="shared" si="1"/>
        <v>33836.629225318022</v>
      </c>
      <c r="AF8" s="70">
        <f t="shared" si="2"/>
        <v>16.65139180501679</v>
      </c>
      <c r="AG8" s="71">
        <f t="shared" si="3"/>
        <v>0.75096733797345683</v>
      </c>
      <c r="AH8" s="334">
        <v>16.562185808883552</v>
      </c>
    </row>
    <row r="9" spans="1:34">
      <c r="A9" s="65">
        <v>1965</v>
      </c>
      <c r="B9" s="488">
        <v>337487</v>
      </c>
      <c r="C9" s="66">
        <v>7324.9343579446986</v>
      </c>
      <c r="D9" s="1026">
        <v>38.708362332231978</v>
      </c>
      <c r="E9" s="66">
        <v>14743.883085731197</v>
      </c>
      <c r="F9" s="68">
        <v>384471.3</v>
      </c>
      <c r="G9" s="69">
        <v>46073.72346401414</v>
      </c>
      <c r="H9" s="70">
        <v>22.889967184195353</v>
      </c>
      <c r="I9" s="71">
        <v>0.87779503957772664</v>
      </c>
      <c r="J9" s="489" t="s">
        <v>303</v>
      </c>
      <c r="K9" s="71"/>
      <c r="L9" s="71"/>
      <c r="M9" s="71"/>
      <c r="N9" s="71"/>
      <c r="O9" s="71"/>
      <c r="P9" s="71"/>
      <c r="Q9" s="71"/>
      <c r="R9" s="71"/>
      <c r="S9" s="71"/>
      <c r="T9" s="71"/>
      <c r="U9" s="71"/>
      <c r="V9" s="71"/>
      <c r="W9" s="71"/>
      <c r="X9" s="71"/>
      <c r="Y9" s="71"/>
      <c r="Z9" s="69">
        <v>55714.6699629172</v>
      </c>
      <c r="AA9" s="69">
        <v>1571.1998412490061</v>
      </c>
      <c r="AB9" s="67">
        <f t="shared" si="0"/>
        <v>39.083407877824342</v>
      </c>
      <c r="AC9" s="69">
        <v>3193.2079011616038</v>
      </c>
      <c r="AD9" s="72">
        <v>71613.7</v>
      </c>
      <c r="AE9" s="69">
        <f t="shared" si="1"/>
        <v>35459.951369793613</v>
      </c>
      <c r="AF9" s="70">
        <f t="shared" si="2"/>
        <v>17.447868002158486</v>
      </c>
      <c r="AG9" s="71">
        <f t="shared" si="3"/>
        <v>0.77798898762272028</v>
      </c>
      <c r="AH9" s="334">
        <v>17.165105618883096</v>
      </c>
    </row>
    <row r="10" spans="1:34">
      <c r="A10" s="65">
        <v>1966</v>
      </c>
      <c r="B10" s="488">
        <v>359913</v>
      </c>
      <c r="C10" s="66">
        <v>7718.3323762353211</v>
      </c>
      <c r="D10" s="1026">
        <v>38.420414109058008</v>
      </c>
      <c r="E10" s="66">
        <v>15420.15935856816</v>
      </c>
      <c r="F10" s="68">
        <v>410956.1</v>
      </c>
      <c r="G10" s="69">
        <v>46630.927829458218</v>
      </c>
      <c r="H10" s="70">
        <v>23.340420266150851</v>
      </c>
      <c r="I10" s="71">
        <v>0.87579427583627556</v>
      </c>
      <c r="J10" s="489" t="s">
        <v>303</v>
      </c>
      <c r="K10" s="71"/>
      <c r="L10" s="71"/>
      <c r="M10" s="71"/>
      <c r="N10" s="71"/>
      <c r="O10" s="71"/>
      <c r="P10" s="71"/>
      <c r="Q10" s="71"/>
      <c r="R10" s="71"/>
      <c r="S10" s="71"/>
      <c r="T10" s="71"/>
      <c r="U10" s="71"/>
      <c r="V10" s="71"/>
      <c r="W10" s="71"/>
      <c r="X10" s="71"/>
      <c r="Y10" s="71"/>
      <c r="Z10" s="69">
        <v>59381.841138157288</v>
      </c>
      <c r="AA10" s="69">
        <v>1659.8847398163221</v>
      </c>
      <c r="AB10" s="67">
        <f t="shared" si="0"/>
        <v>38.796547974959637</v>
      </c>
      <c r="AC10" s="69">
        <v>3348.6854929417409</v>
      </c>
      <c r="AD10" s="72">
        <v>77226.7</v>
      </c>
      <c r="AE10" s="69">
        <f t="shared" si="1"/>
        <v>35774.677430149946</v>
      </c>
      <c r="AF10" s="70">
        <f t="shared" si="2"/>
        <v>17.732880935913677</v>
      </c>
      <c r="AG10" s="71">
        <f t="shared" si="3"/>
        <v>0.76892889555240984</v>
      </c>
      <c r="AH10" s="334">
        <v>18.009352260129532</v>
      </c>
    </row>
    <row r="11" spans="1:34">
      <c r="A11" s="65">
        <v>1967</v>
      </c>
      <c r="B11" s="488">
        <v>370406</v>
      </c>
      <c r="C11" s="66">
        <v>7945.0653574057769</v>
      </c>
      <c r="D11" s="1026">
        <v>38.263147855738424</v>
      </c>
      <c r="E11" s="66">
        <v>15808.16694568397</v>
      </c>
      <c r="F11" s="68">
        <v>433820.2</v>
      </c>
      <c r="G11" s="69">
        <v>46620.887725578759</v>
      </c>
      <c r="H11" s="70">
        <v>23.431306189559834</v>
      </c>
      <c r="I11" s="71">
        <v>0.85382377307465163</v>
      </c>
      <c r="J11" s="489" t="s">
        <v>303</v>
      </c>
      <c r="K11" s="71"/>
      <c r="L11" s="71"/>
      <c r="M11" s="71"/>
      <c r="N11" s="71"/>
      <c r="O11" s="71"/>
      <c r="P11" s="71"/>
      <c r="Q11" s="71"/>
      <c r="R11" s="71"/>
      <c r="S11" s="71"/>
      <c r="T11" s="71"/>
      <c r="U11" s="71"/>
      <c r="V11" s="71"/>
      <c r="W11" s="71"/>
      <c r="X11" s="71"/>
      <c r="Y11" s="71"/>
      <c r="Z11" s="69">
        <v>60549.751735285747</v>
      </c>
      <c r="AA11" s="69">
        <v>1675.5354534660319</v>
      </c>
      <c r="AB11" s="67">
        <f t="shared" si="0"/>
        <v>38.821604935742897</v>
      </c>
      <c r="AC11" s="69">
        <v>3382.442722375034</v>
      </c>
      <c r="AD11" s="72">
        <v>80907</v>
      </c>
      <c r="AE11" s="69">
        <f t="shared" si="1"/>
        <v>36137.553287835137</v>
      </c>
      <c r="AF11" s="70">
        <f t="shared" si="2"/>
        <v>17.901190561113125</v>
      </c>
      <c r="AG11" s="71">
        <f t="shared" si="3"/>
        <v>0.74838705841627728</v>
      </c>
      <c r="AH11" s="334">
        <v>18.816649838285556</v>
      </c>
    </row>
    <row r="12" spans="1:34">
      <c r="A12" s="65">
        <v>1968</v>
      </c>
      <c r="B12" s="488">
        <v>388481</v>
      </c>
      <c r="C12" s="66">
        <v>8081.3896281460702</v>
      </c>
      <c r="D12" s="1026">
        <v>37.586702899583003</v>
      </c>
      <c r="E12" s="66">
        <v>15795.145130382689</v>
      </c>
      <c r="F12" s="68">
        <v>452581</v>
      </c>
      <c r="G12" s="69">
        <v>48071.064244568588</v>
      </c>
      <c r="H12" s="70">
        <v>24.594962363007284</v>
      </c>
      <c r="I12" s="71">
        <v>0.85836789436587047</v>
      </c>
      <c r="J12" s="489" t="s">
        <v>303</v>
      </c>
      <c r="K12" s="71"/>
      <c r="L12" s="71"/>
      <c r="M12" s="71"/>
      <c r="N12" s="71"/>
      <c r="O12" s="71"/>
      <c r="P12" s="71"/>
      <c r="Q12" s="71"/>
      <c r="R12" s="71"/>
      <c r="S12" s="71"/>
      <c r="T12" s="71"/>
      <c r="U12" s="71"/>
      <c r="V12" s="71"/>
      <c r="W12" s="71"/>
      <c r="X12" s="71"/>
      <c r="Y12" s="71"/>
      <c r="Z12" s="69">
        <v>64502.941832271579</v>
      </c>
      <c r="AA12" s="69">
        <v>1682.9392625899818</v>
      </c>
      <c r="AB12" s="67">
        <f t="shared" si="0"/>
        <v>38.737402202141986</v>
      </c>
      <c r="AC12" s="69">
        <v>3390.0201450296677</v>
      </c>
      <c r="AD12" s="72">
        <v>83051.399999999994</v>
      </c>
      <c r="AE12" s="69">
        <f t="shared" si="1"/>
        <v>38327.55184105927</v>
      </c>
      <c r="AF12" s="70">
        <f t="shared" si="2"/>
        <v>19.027303400200616</v>
      </c>
      <c r="AG12" s="71">
        <f t="shared" si="3"/>
        <v>0.77666290793739279</v>
      </c>
      <c r="AH12" s="334">
        <v>19.59709741274348</v>
      </c>
    </row>
    <row r="13" spans="1:34">
      <c r="A13" s="65">
        <v>1969</v>
      </c>
      <c r="B13" s="488">
        <v>408033</v>
      </c>
      <c r="C13" s="66">
        <v>8317.6043478316278</v>
      </c>
      <c r="D13" s="1026">
        <v>37.271934289049121</v>
      </c>
      <c r="E13" s="66">
        <v>16120.686540123865</v>
      </c>
      <c r="F13" s="68">
        <v>471007.2</v>
      </c>
      <c r="G13" s="69">
        <v>49056.553177643371</v>
      </c>
      <c r="H13" s="70">
        <v>25.311142858861448</v>
      </c>
      <c r="I13" s="71">
        <v>0.86629885912572036</v>
      </c>
      <c r="J13" s="489" t="s">
        <v>303</v>
      </c>
      <c r="K13" s="71"/>
      <c r="L13" s="71"/>
      <c r="M13" s="71"/>
      <c r="N13" s="71"/>
      <c r="O13" s="71"/>
      <c r="P13" s="71"/>
      <c r="Q13" s="71"/>
      <c r="R13" s="71"/>
      <c r="S13" s="71"/>
      <c r="T13" s="71"/>
      <c r="U13" s="71"/>
      <c r="V13" s="71"/>
      <c r="W13" s="71"/>
      <c r="X13" s="71"/>
      <c r="Y13" s="71"/>
      <c r="Z13" s="69">
        <v>68889.700294760885</v>
      </c>
      <c r="AA13" s="69">
        <v>1713.4068899164977</v>
      </c>
      <c r="AB13" s="67">
        <f t="shared" si="0"/>
        <v>38.598461930352812</v>
      </c>
      <c r="AC13" s="69">
        <v>3439.0132718055993</v>
      </c>
      <c r="AD13" s="72">
        <v>86016.4</v>
      </c>
      <c r="AE13" s="69">
        <f t="shared" si="1"/>
        <v>40206.270151112913</v>
      </c>
      <c r="AF13" s="70">
        <f t="shared" si="2"/>
        <v>20.031821586600461</v>
      </c>
      <c r="AG13" s="71">
        <f t="shared" si="3"/>
        <v>0.80089029876582707</v>
      </c>
      <c r="AH13" s="334">
        <v>20.543681515955818</v>
      </c>
    </row>
    <row r="14" spans="1:34">
      <c r="A14" s="65">
        <v>1970</v>
      </c>
      <c r="B14" s="488">
        <v>420398</v>
      </c>
      <c r="C14" s="66">
        <v>8384.4835249910957</v>
      </c>
      <c r="D14" s="1026">
        <v>36.914618941941711</v>
      </c>
      <c r="E14" s="66">
        <v>16094.520746201793</v>
      </c>
      <c r="F14" s="68">
        <v>489425.7</v>
      </c>
      <c r="G14" s="69">
        <v>50139.999529720168</v>
      </c>
      <c r="H14" s="70">
        <v>26.120566534993674</v>
      </c>
      <c r="I14" s="71">
        <v>0.85896184037740553</v>
      </c>
      <c r="J14" s="489" t="s">
        <v>303</v>
      </c>
      <c r="K14" s="71"/>
      <c r="L14" s="71"/>
      <c r="M14" s="71"/>
      <c r="N14" s="71"/>
      <c r="O14" s="71"/>
      <c r="P14" s="71"/>
      <c r="Q14" s="71"/>
      <c r="R14" s="71"/>
      <c r="S14" s="71"/>
      <c r="T14" s="71"/>
      <c r="U14" s="71"/>
      <c r="V14" s="71"/>
      <c r="W14" s="71"/>
      <c r="X14" s="71"/>
      <c r="Y14" s="71"/>
      <c r="Z14" s="69">
        <v>66014.756132927665</v>
      </c>
      <c r="AA14" s="69">
        <v>1684.096543488829</v>
      </c>
      <c r="AB14" s="67">
        <f t="shared" si="0"/>
        <v>38.346067333635283</v>
      </c>
      <c r="AC14" s="69">
        <v>3358.0809315541842</v>
      </c>
      <c r="AD14" s="72">
        <v>90534.7</v>
      </c>
      <c r="AE14" s="69">
        <f t="shared" si="1"/>
        <v>39198.914330748135</v>
      </c>
      <c r="AF14" s="70">
        <f t="shared" si="2"/>
        <v>19.658476814129305</v>
      </c>
      <c r="AG14" s="71">
        <f t="shared" si="3"/>
        <v>0.7291652386645967</v>
      </c>
      <c r="AH14" s="334">
        <v>21.450863229606227</v>
      </c>
    </row>
    <row r="15" spans="1:34">
      <c r="A15" s="65">
        <v>1971</v>
      </c>
      <c r="B15" s="488">
        <v>437709</v>
      </c>
      <c r="C15" s="66">
        <v>8554.9874758876249</v>
      </c>
      <c r="D15" s="1026">
        <v>36.623142290617288</v>
      </c>
      <c r="E15" s="66">
        <v>16292.147228441831</v>
      </c>
      <c r="F15" s="68">
        <v>508961.9</v>
      </c>
      <c r="G15" s="69">
        <v>51164.189454828556</v>
      </c>
      <c r="H15" s="70">
        <v>26.866256108702142</v>
      </c>
      <c r="I15" s="71">
        <v>0.86000346980785791</v>
      </c>
      <c r="J15" s="489" t="s">
        <v>303</v>
      </c>
      <c r="K15" s="71"/>
      <c r="L15" s="71"/>
      <c r="M15" s="71"/>
      <c r="N15" s="71"/>
      <c r="O15" s="71"/>
      <c r="P15" s="71"/>
      <c r="Q15" s="71"/>
      <c r="R15" s="71"/>
      <c r="S15" s="71"/>
      <c r="T15" s="71"/>
      <c r="U15" s="71"/>
      <c r="V15" s="71"/>
      <c r="W15" s="71"/>
      <c r="X15" s="71"/>
      <c r="Y15" s="71"/>
      <c r="Z15" s="69">
        <v>70233.5352286774</v>
      </c>
      <c r="AA15" s="69">
        <v>1693.1698116443683</v>
      </c>
      <c r="AB15" s="67">
        <f t="shared" si="0"/>
        <v>38.219696559606071</v>
      </c>
      <c r="AC15" s="69">
        <v>3365.0466940965221</v>
      </c>
      <c r="AD15" s="72">
        <v>93346</v>
      </c>
      <c r="AE15" s="69">
        <f t="shared" si="1"/>
        <v>41480.502868444237</v>
      </c>
      <c r="AF15" s="70">
        <f t="shared" si="2"/>
        <v>20.87148905003065</v>
      </c>
      <c r="AG15" s="71">
        <f t="shared" si="3"/>
        <v>0.75240005172880897</v>
      </c>
      <c r="AH15" s="334">
        <v>22.487314631410367</v>
      </c>
    </row>
    <row r="16" spans="1:34">
      <c r="A16" s="65">
        <v>1972</v>
      </c>
      <c r="B16" s="488">
        <v>461546</v>
      </c>
      <c r="C16" s="66">
        <v>8782.8002138130323</v>
      </c>
      <c r="D16" s="1026">
        <v>36.433287243943077</v>
      </c>
      <c r="E16" s="66">
        <v>16639.286715792776</v>
      </c>
      <c r="F16" s="68">
        <v>528221.69999999995</v>
      </c>
      <c r="G16" s="69">
        <v>52551.121369481873</v>
      </c>
      <c r="H16" s="70">
        <v>27.738328444207575</v>
      </c>
      <c r="I16" s="71">
        <v>0.87377326603583316</v>
      </c>
      <c r="J16" s="489" t="s">
        <v>303</v>
      </c>
      <c r="K16" s="71"/>
      <c r="L16" s="71"/>
      <c r="M16" s="71"/>
      <c r="N16" s="71"/>
      <c r="O16" s="71"/>
      <c r="P16" s="71"/>
      <c r="Q16" s="71"/>
      <c r="R16" s="71"/>
      <c r="S16" s="71"/>
      <c r="T16" s="71"/>
      <c r="U16" s="71"/>
      <c r="V16" s="71"/>
      <c r="W16" s="71"/>
      <c r="X16" s="71"/>
      <c r="Y16" s="71"/>
      <c r="Z16" s="69">
        <v>76079.89818864697</v>
      </c>
      <c r="AA16" s="69">
        <v>1746.0561544073462</v>
      </c>
      <c r="AB16" s="67">
        <f t="shared" si="0"/>
        <v>38.251282543255648</v>
      </c>
      <c r="AC16" s="69">
        <v>3473.0221395285421</v>
      </c>
      <c r="AD16" s="72">
        <v>95464.2</v>
      </c>
      <c r="AE16" s="69">
        <f t="shared" si="1"/>
        <v>43572.423485125735</v>
      </c>
      <c r="AF16" s="70">
        <f t="shared" si="2"/>
        <v>21.905964065917157</v>
      </c>
      <c r="AG16" s="71">
        <f t="shared" si="3"/>
        <v>0.79694689934705332</v>
      </c>
      <c r="AH16" s="334">
        <v>23.81409436979196</v>
      </c>
    </row>
    <row r="17" spans="1:34">
      <c r="A17" s="65">
        <v>1973</v>
      </c>
      <c r="B17" s="488">
        <v>493689</v>
      </c>
      <c r="C17" s="66">
        <v>9192.3467713206755</v>
      </c>
      <c r="D17" s="1026">
        <v>36.29176205191137</v>
      </c>
      <c r="E17" s="66">
        <v>17347.536009618136</v>
      </c>
      <c r="F17" s="68">
        <v>551325</v>
      </c>
      <c r="G17" s="69">
        <v>53706.52481695608</v>
      </c>
      <c r="H17" s="70">
        <v>28.458739023586979</v>
      </c>
      <c r="I17" s="71">
        <v>0.89545912120799886</v>
      </c>
      <c r="J17" s="489" t="s">
        <v>303</v>
      </c>
      <c r="K17" s="71"/>
      <c r="L17" s="71"/>
      <c r="M17" s="71"/>
      <c r="N17" s="71"/>
      <c r="O17" s="71"/>
      <c r="P17" s="71"/>
      <c r="Q17" s="71"/>
      <c r="R17" s="71"/>
      <c r="S17" s="71"/>
      <c r="T17" s="71"/>
      <c r="U17" s="71"/>
      <c r="V17" s="71"/>
      <c r="W17" s="71"/>
      <c r="X17" s="71"/>
      <c r="Y17" s="71"/>
      <c r="Z17" s="69">
        <v>83850.078896073042</v>
      </c>
      <c r="AA17" s="69">
        <v>1824.624837695824</v>
      </c>
      <c r="AB17" s="67">
        <f t="shared" si="0"/>
        <v>37.951482690752059</v>
      </c>
      <c r="AC17" s="69">
        <v>3600.855333136326</v>
      </c>
      <c r="AD17" s="72">
        <v>98652.4</v>
      </c>
      <c r="AE17" s="69">
        <f t="shared" si="1"/>
        <v>45954.695542761954</v>
      </c>
      <c r="AF17" s="70">
        <f t="shared" si="2"/>
        <v>23.286155965349508</v>
      </c>
      <c r="AG17" s="71">
        <f t="shared" si="3"/>
        <v>0.8499547795702187</v>
      </c>
      <c r="AH17" s="334">
        <v>26.12089797423074</v>
      </c>
    </row>
    <row r="18" spans="1:34">
      <c r="A18" s="65">
        <v>1974</v>
      </c>
      <c r="B18" s="488">
        <v>511911</v>
      </c>
      <c r="C18" s="66">
        <v>9552.6787331193009</v>
      </c>
      <c r="D18" s="1026">
        <v>36.122160930776815</v>
      </c>
      <c r="E18" s="66">
        <v>17943.296722922718</v>
      </c>
      <c r="F18" s="68">
        <v>576550.6</v>
      </c>
      <c r="G18" s="69">
        <v>53588.21481404957</v>
      </c>
      <c r="H18" s="70">
        <v>28.529372718115354</v>
      </c>
      <c r="I18" s="71">
        <v>0.88788564264784398</v>
      </c>
      <c r="J18" s="489" t="s">
        <v>303</v>
      </c>
      <c r="K18" s="71"/>
      <c r="L18" s="71"/>
      <c r="M18" s="71"/>
      <c r="N18" s="71"/>
      <c r="O18" s="71"/>
      <c r="P18" s="71"/>
      <c r="Q18" s="71"/>
      <c r="R18" s="71"/>
      <c r="S18" s="71"/>
      <c r="T18" s="71"/>
      <c r="U18" s="71"/>
      <c r="V18" s="71"/>
      <c r="W18" s="71"/>
      <c r="X18" s="71"/>
      <c r="Y18" s="71"/>
      <c r="Z18" s="69">
        <v>85916.906104402413</v>
      </c>
      <c r="AA18" s="69">
        <v>1846.4449275107136</v>
      </c>
      <c r="AB18" s="67">
        <f t="shared" si="0"/>
        <v>37.711170172764277</v>
      </c>
      <c r="AC18" s="69">
        <v>3620.8431415516839</v>
      </c>
      <c r="AD18" s="72">
        <v>103170.6</v>
      </c>
      <c r="AE18" s="69">
        <f t="shared" si="1"/>
        <v>46530.987642415828</v>
      </c>
      <c r="AF18" s="70">
        <f t="shared" si="2"/>
        <v>23.728425326810317</v>
      </c>
      <c r="AG18" s="71">
        <f t="shared" si="3"/>
        <v>0.83276540123254505</v>
      </c>
      <c r="AH18" s="334">
        <v>30.090777498432349</v>
      </c>
    </row>
    <row r="19" spans="1:34">
      <c r="A19" s="65">
        <v>1975</v>
      </c>
      <c r="B19" s="488">
        <v>521243</v>
      </c>
      <c r="C19" s="66">
        <v>9699.7218806492783</v>
      </c>
      <c r="D19" s="1026">
        <v>35.744428788871865</v>
      </c>
      <c r="E19" s="66">
        <v>18028.972937805982</v>
      </c>
      <c r="F19" s="68">
        <v>603033.30000000005</v>
      </c>
      <c r="G19" s="69">
        <v>53737.932531845865</v>
      </c>
      <c r="H19" s="70">
        <v>28.911408420108934</v>
      </c>
      <c r="I19" s="71">
        <v>0.86436851828912264</v>
      </c>
      <c r="J19" s="489" t="s">
        <v>303</v>
      </c>
      <c r="K19" s="71"/>
      <c r="L19" s="71"/>
      <c r="M19" s="71"/>
      <c r="N19" s="71"/>
      <c r="O19" s="71"/>
      <c r="P19" s="71"/>
      <c r="Q19" s="71"/>
      <c r="R19" s="71"/>
      <c r="S19" s="71"/>
      <c r="T19" s="71"/>
      <c r="U19" s="71"/>
      <c r="V19" s="71"/>
      <c r="W19" s="71"/>
      <c r="X19" s="71"/>
      <c r="Y19" s="71"/>
      <c r="Z19" s="69">
        <v>79664.214676238495</v>
      </c>
      <c r="AA19" s="69">
        <v>1797.725725526476</v>
      </c>
      <c r="AB19" s="67">
        <f t="shared" si="0"/>
        <v>37.237513188660913</v>
      </c>
      <c r="AC19" s="69">
        <v>3481.027441522132</v>
      </c>
      <c r="AD19" s="72">
        <v>107424</v>
      </c>
      <c r="AE19" s="69">
        <f t="shared" si="1"/>
        <v>44313.887010160179</v>
      </c>
      <c r="AF19" s="70">
        <f t="shared" si="2"/>
        <v>22.885259026112163</v>
      </c>
      <c r="AG19" s="71">
        <f t="shared" si="3"/>
        <v>0.74158674668824931</v>
      </c>
      <c r="AH19" s="334">
        <v>33.309032447438142</v>
      </c>
    </row>
    <row r="20" spans="1:34">
      <c r="A20" s="65">
        <v>1976</v>
      </c>
      <c r="B20" s="488">
        <v>548344</v>
      </c>
      <c r="C20" s="66">
        <v>9838.1947079582314</v>
      </c>
      <c r="D20" s="1026">
        <v>35.555709041838739</v>
      </c>
      <c r="E20" s="66">
        <v>18189.807403722269</v>
      </c>
      <c r="F20" s="68">
        <v>625408.19999999995</v>
      </c>
      <c r="G20" s="69">
        <v>55736.241889626166</v>
      </c>
      <c r="H20" s="70">
        <v>30.145673773752531</v>
      </c>
      <c r="I20" s="71">
        <v>0.87677775891010068</v>
      </c>
      <c r="J20" s="489" t="s">
        <v>303</v>
      </c>
      <c r="K20" s="71"/>
      <c r="L20" s="71"/>
      <c r="M20" s="71"/>
      <c r="N20" s="71"/>
      <c r="O20" s="71"/>
      <c r="P20" s="71"/>
      <c r="Q20" s="71"/>
      <c r="R20" s="71"/>
      <c r="S20" s="71"/>
      <c r="T20" s="71"/>
      <c r="U20" s="71"/>
      <c r="V20" s="71"/>
      <c r="W20" s="71"/>
      <c r="X20" s="71"/>
      <c r="Y20" s="71"/>
      <c r="Z20" s="69">
        <v>86165.470167348118</v>
      </c>
      <c r="AA20" s="69">
        <v>1795.0848941741669</v>
      </c>
      <c r="AB20" s="67">
        <f t="shared" si="0"/>
        <v>37.289801123047631</v>
      </c>
      <c r="AC20" s="69">
        <v>3480.7946525425677</v>
      </c>
      <c r="AD20" s="72">
        <v>110566.7</v>
      </c>
      <c r="AE20" s="69">
        <f t="shared" si="1"/>
        <v>48000.777259611859</v>
      </c>
      <c r="AF20" s="70">
        <f t="shared" si="2"/>
        <v>24.754539916455002</v>
      </c>
      <c r="AG20" s="71">
        <f t="shared" si="3"/>
        <v>0.77930760497824503</v>
      </c>
      <c r="AH20" s="334">
        <v>36.472360416089174</v>
      </c>
    </row>
    <row r="21" spans="1:34">
      <c r="A21" s="65">
        <v>1977</v>
      </c>
      <c r="B21" s="488">
        <v>567307</v>
      </c>
      <c r="C21" s="66">
        <v>10010.892039273949</v>
      </c>
      <c r="D21" s="1026">
        <v>35.198515603045401</v>
      </c>
      <c r="E21" s="66">
        <v>18323.164061528929</v>
      </c>
      <c r="F21" s="68">
        <v>646852.9</v>
      </c>
      <c r="G21" s="69">
        <v>56668.975928856838</v>
      </c>
      <c r="H21" s="70">
        <v>30.961191969628771</v>
      </c>
      <c r="I21" s="71">
        <v>0.87702629144895228</v>
      </c>
      <c r="J21" s="489" t="s">
        <v>303</v>
      </c>
      <c r="K21" s="71"/>
      <c r="L21" s="71"/>
      <c r="M21" s="71"/>
      <c r="N21" s="71"/>
      <c r="O21" s="71"/>
      <c r="P21" s="71"/>
      <c r="Q21" s="71"/>
      <c r="R21" s="71"/>
      <c r="S21" s="71"/>
      <c r="T21" s="71"/>
      <c r="U21" s="71"/>
      <c r="V21" s="71"/>
      <c r="W21" s="71"/>
      <c r="X21" s="71"/>
      <c r="Y21" s="71"/>
      <c r="Z21" s="69">
        <v>89007.499453266151</v>
      </c>
      <c r="AA21" s="69">
        <v>1759.6116783815532</v>
      </c>
      <c r="AB21" s="67">
        <f t="shared" si="0"/>
        <v>37.260447043466954</v>
      </c>
      <c r="AC21" s="69">
        <v>3409.3237234888975</v>
      </c>
      <c r="AD21" s="72">
        <v>113997.3</v>
      </c>
      <c r="AE21" s="69">
        <f t="shared" si="1"/>
        <v>50583.603500025085</v>
      </c>
      <c r="AF21" s="70">
        <f t="shared" si="2"/>
        <v>26.10708359550592</v>
      </c>
      <c r="AG21" s="71">
        <f t="shared" si="3"/>
        <v>0.78078603136448099</v>
      </c>
      <c r="AH21" s="334">
        <v>38.951220415048645</v>
      </c>
    </row>
    <row r="22" spans="1:34">
      <c r="A22" s="65">
        <v>1978</v>
      </c>
      <c r="B22" s="488">
        <v>589736</v>
      </c>
      <c r="C22" s="66">
        <v>10295.162907153759</v>
      </c>
      <c r="D22" s="1026">
        <v>35.260410037359463</v>
      </c>
      <c r="E22" s="66">
        <v>18876.606606398072</v>
      </c>
      <c r="F22" s="68">
        <v>667472.9</v>
      </c>
      <c r="G22" s="69">
        <v>57282.823527757144</v>
      </c>
      <c r="H22" s="70">
        <v>31.241632158616568</v>
      </c>
      <c r="I22" s="71">
        <v>0.88353549634749218</v>
      </c>
      <c r="J22" s="489" t="s">
        <v>303</v>
      </c>
      <c r="K22" s="71"/>
      <c r="L22" s="71"/>
      <c r="M22" s="71"/>
      <c r="N22" s="71"/>
      <c r="O22" s="71"/>
      <c r="P22" s="71"/>
      <c r="Q22" s="71"/>
      <c r="R22" s="71"/>
      <c r="S22" s="71"/>
      <c r="T22" s="71"/>
      <c r="U22" s="71"/>
      <c r="V22" s="71"/>
      <c r="W22" s="71"/>
      <c r="X22" s="71"/>
      <c r="Y22" s="71"/>
      <c r="Z22" s="69">
        <v>93948.13582770752</v>
      </c>
      <c r="AA22" s="69">
        <v>1810.7746486252843</v>
      </c>
      <c r="AB22" s="67">
        <f t="shared" si="0"/>
        <v>37.548590150727108</v>
      </c>
      <c r="AC22" s="69">
        <v>3535.5858271009997</v>
      </c>
      <c r="AD22" s="72">
        <v>116520.8</v>
      </c>
      <c r="AE22" s="69">
        <f t="shared" si="1"/>
        <v>51882.842461391687</v>
      </c>
      <c r="AF22" s="70">
        <f t="shared" si="2"/>
        <v>26.572155343415947</v>
      </c>
      <c r="AG22" s="71">
        <f t="shared" si="3"/>
        <v>0.80627781329777615</v>
      </c>
      <c r="AH22" s="334">
        <v>41.523156124096204</v>
      </c>
    </row>
    <row r="23" spans="1:34">
      <c r="A23" s="65">
        <v>1979</v>
      </c>
      <c r="B23" s="488">
        <v>612175</v>
      </c>
      <c r="C23" s="66">
        <v>10751.175860290248</v>
      </c>
      <c r="D23" s="1026">
        <v>35.123082943299636</v>
      </c>
      <c r="E23" s="66">
        <v>19635.950956906709</v>
      </c>
      <c r="F23" s="68">
        <v>693080.2</v>
      </c>
      <c r="G23" s="69">
        <v>56940.283365755786</v>
      </c>
      <c r="H23" s="70">
        <v>31.176233906037275</v>
      </c>
      <c r="I23" s="71">
        <v>0.88326718899198109</v>
      </c>
      <c r="J23" s="489" t="s">
        <v>303</v>
      </c>
      <c r="K23" s="71"/>
      <c r="L23" s="71"/>
      <c r="M23" s="71"/>
      <c r="N23" s="71"/>
      <c r="O23" s="71"/>
      <c r="P23" s="71"/>
      <c r="Q23" s="71"/>
      <c r="R23" s="71"/>
      <c r="S23" s="71"/>
      <c r="T23" s="71"/>
      <c r="U23" s="71"/>
      <c r="V23" s="71"/>
      <c r="W23" s="71"/>
      <c r="X23" s="71"/>
      <c r="Y23" s="71"/>
      <c r="Z23" s="69">
        <v>97733.346557953788</v>
      </c>
      <c r="AA23" s="69">
        <v>1875.6130538761145</v>
      </c>
      <c r="AB23" s="67">
        <f t="shared" si="0"/>
        <v>37.353934021838718</v>
      </c>
      <c r="AC23" s="69">
        <v>3643.1993657793655</v>
      </c>
      <c r="AD23" s="72">
        <v>119811.7</v>
      </c>
      <c r="AE23" s="69">
        <f t="shared" si="1"/>
        <v>52107.414349659965</v>
      </c>
      <c r="AF23" s="70">
        <f t="shared" si="2"/>
        <v>26.8262416479221</v>
      </c>
      <c r="AG23" s="71">
        <f t="shared" si="3"/>
        <v>0.81572456244218039</v>
      </c>
      <c r="AH23" s="334">
        <v>45.669457263037536</v>
      </c>
    </row>
    <row r="24" spans="1:34">
      <c r="A24" s="65">
        <v>1980</v>
      </c>
      <c r="B24" s="488">
        <v>625414</v>
      </c>
      <c r="C24" s="66">
        <v>11095.911114276132</v>
      </c>
      <c r="D24" s="1026">
        <v>34.55457791730116</v>
      </c>
      <c r="E24" s="66">
        <v>19937.55530840853</v>
      </c>
      <c r="F24" s="68">
        <v>722728.4</v>
      </c>
      <c r="G24" s="69">
        <v>56364.366437230638</v>
      </c>
      <c r="H24" s="70">
        <v>31.368640253313096</v>
      </c>
      <c r="I24" s="71">
        <v>0.86535135467210089</v>
      </c>
      <c r="J24" s="489" t="s">
        <v>303</v>
      </c>
      <c r="K24" s="71"/>
      <c r="L24" s="71"/>
      <c r="M24" s="71"/>
      <c r="N24" s="71"/>
      <c r="O24" s="71"/>
      <c r="P24" s="71"/>
      <c r="Q24" s="71"/>
      <c r="R24" s="71"/>
      <c r="S24" s="71"/>
      <c r="T24" s="71"/>
      <c r="U24" s="71"/>
      <c r="V24" s="71"/>
      <c r="W24" s="71"/>
      <c r="X24" s="71"/>
      <c r="Y24" s="71"/>
      <c r="Z24" s="69">
        <v>93256.923433488628</v>
      </c>
      <c r="AA24" s="69">
        <v>1866.722905670031</v>
      </c>
      <c r="AB24" s="67">
        <f t="shared" si="0"/>
        <v>37.001106895295905</v>
      </c>
      <c r="AC24" s="69">
        <v>3591.6823163828981</v>
      </c>
      <c r="AD24" s="72">
        <v>125724.2</v>
      </c>
      <c r="AE24" s="69">
        <f t="shared" si="1"/>
        <v>49957.561001811097</v>
      </c>
      <c r="AF24" s="70">
        <f t="shared" si="2"/>
        <v>25.964691534134779</v>
      </c>
      <c r="AG24" s="71">
        <f t="shared" si="3"/>
        <v>0.74175793867440498</v>
      </c>
      <c r="AH24" s="334">
        <v>50.269101747002786</v>
      </c>
    </row>
    <row r="25" spans="1:34">
      <c r="A25" s="65">
        <v>1981</v>
      </c>
      <c r="B25" s="488">
        <v>647323</v>
      </c>
      <c r="C25" s="66">
        <v>11436.516597500002</v>
      </c>
      <c r="D25" s="1026">
        <v>34.528613958074772</v>
      </c>
      <c r="E25" s="66">
        <v>20534.127464249999</v>
      </c>
      <c r="F25" s="68">
        <v>758834.9</v>
      </c>
      <c r="G25" s="69">
        <v>56601.413068512782</v>
      </c>
      <c r="H25" s="70">
        <v>31.524251572266316</v>
      </c>
      <c r="I25" s="71">
        <v>0.8530485353269861</v>
      </c>
      <c r="J25" s="253">
        <v>74.400000000000006</v>
      </c>
      <c r="L25" s="71"/>
      <c r="M25" s="71"/>
      <c r="N25" s="71"/>
      <c r="O25" s="71"/>
      <c r="P25" s="71"/>
      <c r="Q25" s="71"/>
      <c r="R25" s="71"/>
      <c r="S25" s="71"/>
      <c r="T25" s="71"/>
      <c r="U25" s="71"/>
      <c r="V25" s="71"/>
      <c r="W25" s="71"/>
      <c r="X25" s="71"/>
      <c r="Y25" s="71"/>
      <c r="Z25" s="69">
        <v>95494</v>
      </c>
      <c r="AA25" s="69">
        <v>1860.7598880265734</v>
      </c>
      <c r="AB25" s="67">
        <f t="shared" si="0"/>
        <v>36.667283767730716</v>
      </c>
      <c r="AC25" s="69">
        <v>3547.9085635698225</v>
      </c>
      <c r="AD25" s="72">
        <v>134435.4</v>
      </c>
      <c r="AE25" s="69">
        <f t="shared" si="1"/>
        <v>51319.893885543745</v>
      </c>
      <c r="AF25" s="70">
        <f t="shared" si="2"/>
        <v>26.915575271735914</v>
      </c>
      <c r="AG25" s="71">
        <f t="shared" si="3"/>
        <v>0.71033373650095144</v>
      </c>
      <c r="AH25" s="334">
        <v>55.686419299175213</v>
      </c>
    </row>
    <row r="26" spans="1:34">
      <c r="A26" s="65">
        <v>1982</v>
      </c>
      <c r="B26" s="488">
        <v>628816</v>
      </c>
      <c r="C26" s="66">
        <v>11078.0295355</v>
      </c>
      <c r="D26" s="1026">
        <v>34.088446346615662</v>
      </c>
      <c r="E26" s="66">
        <v>19636.906403249999</v>
      </c>
      <c r="F26" s="68">
        <v>779241</v>
      </c>
      <c r="G26" s="69">
        <v>56762.441189106183</v>
      </c>
      <c r="H26" s="70">
        <v>32.022151915738014</v>
      </c>
      <c r="I26" s="71">
        <v>0.80695959273190199</v>
      </c>
      <c r="J26" s="253">
        <v>75.524999999999991</v>
      </c>
      <c r="L26" s="71"/>
      <c r="M26" s="71"/>
      <c r="N26" s="71"/>
      <c r="O26" s="71"/>
      <c r="P26" s="71"/>
      <c r="Q26" s="71"/>
      <c r="R26" s="71"/>
      <c r="S26" s="71"/>
      <c r="T26" s="71"/>
      <c r="U26" s="71"/>
      <c r="V26" s="71"/>
      <c r="W26" s="71"/>
      <c r="X26" s="71"/>
      <c r="Y26" s="71"/>
      <c r="Z26" s="69">
        <v>85049</v>
      </c>
      <c r="AA26" s="69">
        <v>1690.8887133907369</v>
      </c>
      <c r="AB26" s="67">
        <f t="shared" si="0"/>
        <v>36.352426873445275</v>
      </c>
      <c r="AC26" s="69">
        <v>3196.331231842878</v>
      </c>
      <c r="AD26" s="72">
        <v>139290.4</v>
      </c>
      <c r="AE26" s="69">
        <f t="shared" si="1"/>
        <v>50298.401856057899</v>
      </c>
      <c r="AF26" s="70">
        <f t="shared" si="2"/>
        <v>26.608318672581412</v>
      </c>
      <c r="AG26" s="71">
        <f t="shared" si="3"/>
        <v>0.61058766433293321</v>
      </c>
      <c r="AH26" s="334">
        <v>60.408609195694766</v>
      </c>
    </row>
    <row r="27" spans="1:34">
      <c r="A27" s="65">
        <v>1983</v>
      </c>
      <c r="B27" s="488">
        <v>645906</v>
      </c>
      <c r="C27" s="66">
        <v>11159.858103999999</v>
      </c>
      <c r="D27" s="1026">
        <v>33.932199147200109</v>
      </c>
      <c r="E27" s="66">
        <v>19691.283437249996</v>
      </c>
      <c r="F27" s="68">
        <v>790591.3</v>
      </c>
      <c r="G27" s="69">
        <v>57877.617616705145</v>
      </c>
      <c r="H27" s="70">
        <v>32.801620171600383</v>
      </c>
      <c r="I27" s="71">
        <v>0.81699102937257206</v>
      </c>
      <c r="J27" s="253">
        <v>77.400000000000006</v>
      </c>
      <c r="L27" s="71"/>
      <c r="M27" s="71"/>
      <c r="N27" s="71"/>
      <c r="O27" s="71"/>
      <c r="P27" s="71"/>
      <c r="Q27" s="71"/>
      <c r="R27" s="71"/>
      <c r="S27" s="71"/>
      <c r="T27" s="71"/>
      <c r="U27" s="71"/>
      <c r="V27" s="71"/>
      <c r="W27" s="71"/>
      <c r="X27" s="71"/>
      <c r="Y27" s="71"/>
      <c r="Z27" s="69">
        <v>89555</v>
      </c>
      <c r="AA27" s="69">
        <v>1646.9864026657972</v>
      </c>
      <c r="AB27" s="67">
        <f t="shared" si="0"/>
        <v>36.845275808497853</v>
      </c>
      <c r="AC27" s="69">
        <v>3155.5507494714839</v>
      </c>
      <c r="AD27" s="72">
        <v>140131.29999999999</v>
      </c>
      <c r="AE27" s="69">
        <f t="shared" si="1"/>
        <v>54375.069432903081</v>
      </c>
      <c r="AF27" s="70">
        <f t="shared" si="2"/>
        <v>28.380148858325086</v>
      </c>
      <c r="AG27" s="71">
        <f t="shared" si="3"/>
        <v>0.63907920642996963</v>
      </c>
      <c r="AH27" s="334">
        <v>63.691311119574678</v>
      </c>
    </row>
    <row r="28" spans="1:34">
      <c r="A28" s="65">
        <v>1984</v>
      </c>
      <c r="B28" s="488">
        <v>683462</v>
      </c>
      <c r="C28" s="73">
        <v>11436.516597500002</v>
      </c>
      <c r="D28" s="1026">
        <v>34.025714582319956</v>
      </c>
      <c r="E28" s="73">
        <v>20235.053777250003</v>
      </c>
      <c r="F28" s="68">
        <v>801329.6</v>
      </c>
      <c r="G28" s="69">
        <v>59761.378753160148</v>
      </c>
      <c r="H28" s="70">
        <v>33.776139540998258</v>
      </c>
      <c r="I28" s="71">
        <v>0.85290996364042959</v>
      </c>
      <c r="J28" s="253">
        <v>79.650000000000006</v>
      </c>
      <c r="L28" s="71"/>
      <c r="M28" s="71"/>
      <c r="N28" s="71"/>
      <c r="O28" s="71"/>
      <c r="P28" s="71"/>
      <c r="Q28" s="71"/>
      <c r="R28" s="71"/>
      <c r="S28" s="71"/>
      <c r="T28" s="71"/>
      <c r="U28" s="71"/>
      <c r="V28" s="71"/>
      <c r="W28" s="71"/>
      <c r="X28" s="71"/>
      <c r="Y28" s="71"/>
      <c r="Z28" s="69">
        <v>101575</v>
      </c>
      <c r="AA28" s="69">
        <v>1693.1335594716334</v>
      </c>
      <c r="AB28" s="67">
        <f t="shared" si="0"/>
        <v>36.794029096296313</v>
      </c>
      <c r="AC28" s="69">
        <v>3239.454683457981</v>
      </c>
      <c r="AD28" s="72">
        <v>140326.29999999999</v>
      </c>
      <c r="AE28" s="69">
        <f t="shared" si="1"/>
        <v>59992.313915092403</v>
      </c>
      <c r="AF28" s="70">
        <f t="shared" si="2"/>
        <v>31.355586024612322</v>
      </c>
      <c r="AG28" s="71">
        <f t="shared" si="3"/>
        <v>0.72384862994321097</v>
      </c>
      <c r="AH28" s="334">
        <v>65.780101893009416</v>
      </c>
    </row>
    <row r="29" spans="1:34">
      <c r="A29" s="65">
        <v>1985</v>
      </c>
      <c r="B29" s="488">
        <v>716132</v>
      </c>
      <c r="C29" s="73">
        <v>11787.210462500001</v>
      </c>
      <c r="D29" s="1026">
        <v>34.188864056738382</v>
      </c>
      <c r="E29" s="73">
        <v>20955.549477749999</v>
      </c>
      <c r="F29" s="68">
        <v>816469.6</v>
      </c>
      <c r="G29" s="69">
        <v>60755.00240521814</v>
      </c>
      <c r="H29" s="70">
        <v>34.173859328306726</v>
      </c>
      <c r="I29" s="71">
        <v>0.87710797805576601</v>
      </c>
      <c r="J29" s="253">
        <v>80.625</v>
      </c>
      <c r="L29" s="71"/>
      <c r="M29" s="71"/>
      <c r="N29" s="71"/>
      <c r="O29" s="71"/>
      <c r="P29" s="71"/>
      <c r="Q29" s="71"/>
      <c r="R29" s="71"/>
      <c r="S29" s="71"/>
      <c r="T29" s="71"/>
      <c r="U29" s="71"/>
      <c r="V29" s="71"/>
      <c r="W29" s="71"/>
      <c r="X29" s="71"/>
      <c r="Y29" s="71"/>
      <c r="Z29" s="69">
        <v>106674</v>
      </c>
      <c r="AA29" s="69">
        <v>1732.5536143779059</v>
      </c>
      <c r="AB29" s="67">
        <f t="shared" si="0"/>
        <v>37.017370007025391</v>
      </c>
      <c r="AC29" s="69">
        <v>3334.9980664226787</v>
      </c>
      <c r="AD29" s="72">
        <v>143043.20000000001</v>
      </c>
      <c r="AE29" s="69">
        <f t="shared" si="1"/>
        <v>61570.388999651579</v>
      </c>
      <c r="AF29" s="70">
        <f t="shared" si="2"/>
        <v>31.986225441631216</v>
      </c>
      <c r="AG29" s="71">
        <f t="shared" si="3"/>
        <v>0.74574673944654479</v>
      </c>
      <c r="AH29" s="334">
        <v>67.824646852814837</v>
      </c>
    </row>
    <row r="30" spans="1:34">
      <c r="A30" s="65">
        <v>1986</v>
      </c>
      <c r="B30" s="488">
        <v>733468</v>
      </c>
      <c r="C30" s="73">
        <v>12149.594122999999</v>
      </c>
      <c r="D30" s="1026">
        <v>34.158921040535851</v>
      </c>
      <c r="E30" s="73">
        <v>21580.885368749998</v>
      </c>
      <c r="F30" s="68">
        <v>829902.9</v>
      </c>
      <c r="G30" s="69">
        <v>60369.753308178071</v>
      </c>
      <c r="H30" s="70">
        <v>33.986928129560965</v>
      </c>
      <c r="I30" s="71">
        <v>0.88379977946817634</v>
      </c>
      <c r="J30" s="253">
        <v>80.174999999999997</v>
      </c>
      <c r="L30" s="71"/>
      <c r="M30" s="71"/>
      <c r="N30" s="71"/>
      <c r="O30" s="71"/>
      <c r="P30" s="71"/>
      <c r="Q30" s="71"/>
      <c r="R30" s="71"/>
      <c r="S30" s="71"/>
      <c r="T30" s="71"/>
      <c r="U30" s="71"/>
      <c r="V30" s="71"/>
      <c r="W30" s="71"/>
      <c r="X30" s="71"/>
      <c r="Y30" s="71"/>
      <c r="Z30" s="69">
        <v>107814</v>
      </c>
      <c r="AA30" s="69">
        <v>1790.7522947608929</v>
      </c>
      <c r="AB30" s="67">
        <f t="shared" si="0"/>
        <v>37.186283578113866</v>
      </c>
      <c r="AC30" s="69">
        <v>3462.753977859109</v>
      </c>
      <c r="AD30" s="72">
        <v>148017.79999999999</v>
      </c>
      <c r="AE30" s="69">
        <f t="shared" si="1"/>
        <v>60205.981762762822</v>
      </c>
      <c r="AF30" s="70">
        <f t="shared" si="2"/>
        <v>31.135333520476483</v>
      </c>
      <c r="AG30" s="71">
        <f t="shared" si="3"/>
        <v>0.7283853698676781</v>
      </c>
      <c r="AH30" s="334">
        <v>69.879122197560079</v>
      </c>
    </row>
    <row r="31" spans="1:34">
      <c r="A31" s="65">
        <v>1987</v>
      </c>
      <c r="B31" s="488">
        <v>764664</v>
      </c>
      <c r="C31" s="73">
        <v>12527.5641775</v>
      </c>
      <c r="D31" s="1026">
        <v>34.328232766823398</v>
      </c>
      <c r="E31" s="73">
        <v>22362.555232500003</v>
      </c>
      <c r="F31" s="68">
        <v>848389.4</v>
      </c>
      <c r="G31" s="69">
        <v>61038.521867911622</v>
      </c>
      <c r="H31" s="70">
        <v>34.193945729810729</v>
      </c>
      <c r="I31" s="71">
        <v>0.90131253407928003</v>
      </c>
      <c r="J31" s="253">
        <v>80.600000000000009</v>
      </c>
      <c r="L31" s="71"/>
      <c r="M31" s="71"/>
      <c r="N31" s="71"/>
      <c r="O31" s="71"/>
      <c r="P31" s="71"/>
      <c r="Q31" s="71"/>
      <c r="R31" s="71"/>
      <c r="S31" s="71"/>
      <c r="T31" s="71"/>
      <c r="U31" s="71"/>
      <c r="V31" s="71"/>
      <c r="W31" s="71"/>
      <c r="X31" s="71"/>
      <c r="Y31" s="71"/>
      <c r="Z31" s="69">
        <v>112727</v>
      </c>
      <c r="AA31" s="69">
        <v>1842.9786620715163</v>
      </c>
      <c r="AB31" s="67">
        <f t="shared" si="0"/>
        <v>37.504416914661292</v>
      </c>
      <c r="AC31" s="69">
        <v>3594.2316855720501</v>
      </c>
      <c r="AD31" s="72">
        <v>152947.29999999999</v>
      </c>
      <c r="AE31" s="69">
        <f t="shared" si="1"/>
        <v>61165.656618777313</v>
      </c>
      <c r="AF31" s="70">
        <f t="shared" si="2"/>
        <v>31.363309285961797</v>
      </c>
      <c r="AG31" s="71">
        <f t="shared" si="3"/>
        <v>0.73703164423301359</v>
      </c>
      <c r="AH31" s="334">
        <v>73.097334253999151</v>
      </c>
    </row>
    <row r="32" spans="1:34">
      <c r="A32" s="65">
        <v>1988</v>
      </c>
      <c r="B32" s="488">
        <v>802702</v>
      </c>
      <c r="C32" s="73">
        <v>12960.086611000001</v>
      </c>
      <c r="D32" s="1026">
        <v>34.433232698348029</v>
      </c>
      <c r="E32" s="73">
        <v>23205.399259500002</v>
      </c>
      <c r="F32" s="68">
        <v>875910.8</v>
      </c>
      <c r="G32" s="69">
        <v>61936.468797878159</v>
      </c>
      <c r="H32" s="70">
        <v>34.591173848102777</v>
      </c>
      <c r="I32" s="71">
        <v>0.91641979982436561</v>
      </c>
      <c r="J32" s="253">
        <v>81.574999999999989</v>
      </c>
      <c r="L32" s="71"/>
      <c r="M32" s="71"/>
      <c r="N32" s="71"/>
      <c r="O32" s="71"/>
      <c r="P32" s="71"/>
      <c r="Q32" s="71"/>
      <c r="R32" s="71"/>
      <c r="S32" s="71"/>
      <c r="T32" s="71"/>
      <c r="U32" s="71"/>
      <c r="V32" s="71"/>
      <c r="W32" s="71"/>
      <c r="X32" s="71"/>
      <c r="Y32" s="71"/>
      <c r="Z32" s="69">
        <v>120082</v>
      </c>
      <c r="AA32" s="69">
        <v>1907.5865406854682</v>
      </c>
      <c r="AB32" s="67">
        <f t="shared" si="0"/>
        <v>38.287152160529494</v>
      </c>
      <c r="AC32" s="69">
        <v>3797.8749194153356</v>
      </c>
      <c r="AD32" s="72">
        <v>159568.6</v>
      </c>
      <c r="AE32" s="69">
        <f t="shared" si="1"/>
        <v>62949.69975875903</v>
      </c>
      <c r="AF32" s="70">
        <f t="shared" si="2"/>
        <v>31.618208221161229</v>
      </c>
      <c r="AG32" s="71">
        <f t="shared" si="3"/>
        <v>0.75254154012756891</v>
      </c>
      <c r="AH32" s="334">
        <v>76.378780668292848</v>
      </c>
    </row>
    <row r="33" spans="1:34">
      <c r="A33" s="65">
        <v>1989</v>
      </c>
      <c r="B33" s="488">
        <v>823728</v>
      </c>
      <c r="C33" s="73">
        <v>13275.711089500002</v>
      </c>
      <c r="D33" s="1026">
        <v>34.264439816984464</v>
      </c>
      <c r="E33" s="73">
        <v>23654.009789999996</v>
      </c>
      <c r="F33" s="68">
        <v>905015</v>
      </c>
      <c r="G33" s="69">
        <v>62047.749792589355</v>
      </c>
      <c r="H33" s="70">
        <v>34.824032259775272</v>
      </c>
      <c r="I33" s="71">
        <v>0.91018159920001329</v>
      </c>
      <c r="J33" s="253">
        <v>82.125</v>
      </c>
      <c r="L33" s="71"/>
      <c r="M33" s="71"/>
      <c r="N33" s="71"/>
      <c r="O33" s="71"/>
      <c r="P33" s="71"/>
      <c r="Q33" s="71"/>
      <c r="R33" s="71"/>
      <c r="S33" s="71"/>
      <c r="T33" s="71"/>
      <c r="U33" s="71"/>
      <c r="V33" s="71"/>
      <c r="W33" s="71"/>
      <c r="X33" s="71"/>
      <c r="Y33" s="71"/>
      <c r="Z33" s="69">
        <v>122046</v>
      </c>
      <c r="AA33" s="69">
        <v>1935.7684220438998</v>
      </c>
      <c r="AB33" s="67">
        <f t="shared" si="0"/>
        <v>37.437393288544385</v>
      </c>
      <c r="AC33" s="69">
        <v>3768.4464340433278</v>
      </c>
      <c r="AD33" s="72">
        <v>168071.3</v>
      </c>
      <c r="AE33" s="69">
        <f t="shared" si="1"/>
        <v>63047.830830475352</v>
      </c>
      <c r="AF33" s="70">
        <f t="shared" si="2"/>
        <v>32.386290248804627</v>
      </c>
      <c r="AG33" s="71">
        <f t="shared" si="3"/>
        <v>0.7261561016068776</v>
      </c>
      <c r="AH33" s="334">
        <v>79.847716722024742</v>
      </c>
    </row>
    <row r="34" spans="1:34">
      <c r="A34" s="65">
        <v>1990</v>
      </c>
      <c r="B34" s="488">
        <v>825318</v>
      </c>
      <c r="C34" s="73">
        <v>13345.849862500001</v>
      </c>
      <c r="D34" s="1026">
        <v>34.11374700124771</v>
      </c>
      <c r="E34" s="73">
        <v>23674.401177750002</v>
      </c>
      <c r="F34" s="68">
        <v>928038.1</v>
      </c>
      <c r="G34" s="69">
        <v>61840.797588996553</v>
      </c>
      <c r="H34" s="70">
        <v>34.861198549581971</v>
      </c>
      <c r="I34" s="71">
        <v>0.88931478136511855</v>
      </c>
      <c r="J34" s="253">
        <v>82.224999999999994</v>
      </c>
      <c r="L34" s="71"/>
      <c r="M34" s="71"/>
      <c r="N34" s="71"/>
      <c r="O34" s="71"/>
      <c r="P34" s="71"/>
      <c r="Q34" s="71"/>
      <c r="R34" s="71"/>
      <c r="S34" s="71"/>
      <c r="T34" s="71"/>
      <c r="U34" s="71"/>
      <c r="V34" s="71"/>
      <c r="W34" s="71"/>
      <c r="X34" s="71"/>
      <c r="Y34" s="71"/>
      <c r="Z34" s="69">
        <v>117566</v>
      </c>
      <c r="AA34" s="69">
        <v>1836.2376170285934</v>
      </c>
      <c r="AB34" s="67">
        <f t="shared" si="0"/>
        <v>37.25029589343562</v>
      </c>
      <c r="AC34" s="69">
        <v>3556.8205173785555</v>
      </c>
      <c r="AD34" s="72">
        <v>174341.4</v>
      </c>
      <c r="AE34" s="69">
        <f t="shared" si="1"/>
        <v>64025.482818637458</v>
      </c>
      <c r="AF34" s="70">
        <f t="shared" si="2"/>
        <v>33.053677976039225</v>
      </c>
      <c r="AG34" s="71">
        <f t="shared" si="3"/>
        <v>0.67434355809922375</v>
      </c>
      <c r="AH34" s="334">
        <v>82.382911798846024</v>
      </c>
    </row>
    <row r="35" spans="1:34">
      <c r="A35" s="65">
        <v>1991</v>
      </c>
      <c r="B35" s="488">
        <v>808051</v>
      </c>
      <c r="C35" s="73">
        <v>13108.157353999999</v>
      </c>
      <c r="D35" s="1026">
        <v>33.705225633042851</v>
      </c>
      <c r="E35" s="73">
        <v>22974.296864999997</v>
      </c>
      <c r="F35" s="68">
        <v>945842.4</v>
      </c>
      <c r="G35" s="69">
        <v>61644.896241150207</v>
      </c>
      <c r="H35" s="70">
        <v>35.171957807815161</v>
      </c>
      <c r="I35" s="71">
        <v>0.85431885904036442</v>
      </c>
      <c r="J35" s="253">
        <v>82.95</v>
      </c>
      <c r="L35" s="71"/>
      <c r="M35" s="71"/>
      <c r="N35" s="71"/>
      <c r="O35" s="71"/>
      <c r="P35" s="71"/>
      <c r="Q35" s="71"/>
      <c r="R35" s="71"/>
      <c r="S35" s="71"/>
      <c r="T35" s="71"/>
      <c r="U35" s="71"/>
      <c r="V35" s="71"/>
      <c r="W35" s="71"/>
      <c r="X35" s="71"/>
      <c r="Y35" s="71"/>
      <c r="Z35" s="69">
        <v>109282</v>
      </c>
      <c r="AA35" s="69">
        <v>1687.9429919702986</v>
      </c>
      <c r="AB35" s="67">
        <f t="shared" si="0"/>
        <v>37.089647414323949</v>
      </c>
      <c r="AC35" s="69">
        <v>3255.4709422381857</v>
      </c>
      <c r="AD35" s="72">
        <v>177481.1</v>
      </c>
      <c r="AE35" s="69">
        <f t="shared" si="1"/>
        <v>64742.707852021427</v>
      </c>
      <c r="AF35" s="70">
        <f t="shared" si="2"/>
        <v>33.568722295173359</v>
      </c>
      <c r="AG35" s="71">
        <f t="shared" si="3"/>
        <v>0.61573880261053149</v>
      </c>
      <c r="AH35" s="334">
        <v>84.817294947967397</v>
      </c>
    </row>
    <row r="36" spans="1:34">
      <c r="A36" s="65">
        <v>1992</v>
      </c>
      <c r="B36" s="488">
        <v>815123</v>
      </c>
      <c r="C36" s="73">
        <v>13018.535588500001</v>
      </c>
      <c r="D36" s="1026">
        <v>33.686242793423723</v>
      </c>
      <c r="E36" s="73">
        <v>22804.36863375</v>
      </c>
      <c r="F36" s="68">
        <v>952432.3</v>
      </c>
      <c r="G36" s="69">
        <v>62612.495426908361</v>
      </c>
      <c r="H36" s="70">
        <v>35.74415994984551</v>
      </c>
      <c r="I36" s="71">
        <v>0.85583300776338644</v>
      </c>
      <c r="J36" s="253">
        <v>84.300000000000011</v>
      </c>
      <c r="L36" s="71"/>
      <c r="M36" s="71"/>
      <c r="N36" s="71"/>
      <c r="O36" s="71"/>
      <c r="P36" s="71"/>
      <c r="Q36" s="71"/>
      <c r="R36" s="71"/>
      <c r="S36" s="71"/>
      <c r="T36" s="71"/>
      <c r="U36" s="71"/>
      <c r="V36" s="71"/>
      <c r="W36" s="71"/>
      <c r="X36" s="71"/>
      <c r="Y36" s="71"/>
      <c r="Z36" s="69">
        <v>110926</v>
      </c>
      <c r="AA36" s="69">
        <v>1621.5754886643649</v>
      </c>
      <c r="AB36" s="67">
        <f t="shared" si="0"/>
        <v>37.167332840564796</v>
      </c>
      <c r="AC36" s="69">
        <v>3134.0210674910782</v>
      </c>
      <c r="AD36" s="72">
        <v>177071.7</v>
      </c>
      <c r="AE36" s="69">
        <f t="shared" si="1"/>
        <v>68406.312734392573</v>
      </c>
      <c r="AF36" s="70">
        <f t="shared" si="2"/>
        <v>35.394146245736998</v>
      </c>
      <c r="AG36" s="71">
        <f t="shared" si="3"/>
        <v>0.62644680092866334</v>
      </c>
      <c r="AH36" s="334">
        <v>85.935496851395428</v>
      </c>
    </row>
    <row r="37" spans="1:34">
      <c r="A37" s="65">
        <v>1993</v>
      </c>
      <c r="B37" s="488">
        <v>834185</v>
      </c>
      <c r="C37" s="73">
        <v>13162.709733</v>
      </c>
      <c r="D37" s="1026">
        <v>33.704564378130115</v>
      </c>
      <c r="E37" s="73">
        <v>23069.456674499997</v>
      </c>
      <c r="F37" s="68">
        <v>955534.3</v>
      </c>
      <c r="G37" s="69">
        <v>63374.868619082998</v>
      </c>
      <c r="H37" s="70">
        <v>36.159715929594164</v>
      </c>
      <c r="I37" s="71">
        <v>0.8730037215827835</v>
      </c>
      <c r="J37" s="253">
        <v>85.274999999999991</v>
      </c>
      <c r="L37" s="71"/>
      <c r="M37" s="71"/>
      <c r="N37" s="71"/>
      <c r="O37" s="71"/>
      <c r="P37" s="71"/>
      <c r="Q37" s="71"/>
      <c r="R37" s="71"/>
      <c r="S37" s="71"/>
      <c r="T37" s="71"/>
      <c r="U37" s="71"/>
      <c r="V37" s="71"/>
      <c r="W37" s="71"/>
      <c r="X37" s="71"/>
      <c r="Y37" s="71"/>
      <c r="Z37" s="69">
        <v>117004</v>
      </c>
      <c r="AA37" s="69">
        <v>1606.3728146879432</v>
      </c>
      <c r="AB37" s="67">
        <f t="shared" si="0"/>
        <v>37.557253205757107</v>
      </c>
      <c r="AC37" s="69">
        <v>3137.2094282921512</v>
      </c>
      <c r="AD37" s="72">
        <v>175875.5</v>
      </c>
      <c r="AE37" s="69">
        <f t="shared" si="1"/>
        <v>72837.388014892043</v>
      </c>
      <c r="AF37" s="70">
        <f t="shared" si="2"/>
        <v>37.295565589223408</v>
      </c>
      <c r="AG37" s="71">
        <f t="shared" si="3"/>
        <v>0.66526605468072586</v>
      </c>
      <c r="AH37" s="334">
        <v>87.172989205032465</v>
      </c>
    </row>
    <row r="38" spans="1:34">
      <c r="A38" s="65">
        <v>1994</v>
      </c>
      <c r="B38" s="488">
        <v>874261</v>
      </c>
      <c r="C38" s="73">
        <v>13404.298840000001</v>
      </c>
      <c r="D38" s="1026">
        <v>33.857727052998058</v>
      </c>
      <c r="E38" s="73">
        <v>23599.632756000003</v>
      </c>
      <c r="F38" s="68">
        <v>965879.9</v>
      </c>
      <c r="G38" s="69">
        <v>65222.434267960554</v>
      </c>
      <c r="H38" s="70">
        <v>37.045534099581559</v>
      </c>
      <c r="I38" s="71">
        <v>0.90514462512368254</v>
      </c>
      <c r="J38" s="253">
        <v>87.35</v>
      </c>
      <c r="L38" s="71"/>
      <c r="M38" s="71"/>
      <c r="N38" s="71"/>
      <c r="O38" s="71"/>
      <c r="P38" s="71"/>
      <c r="Q38" s="71"/>
      <c r="R38" s="71"/>
      <c r="S38" s="71"/>
      <c r="T38" s="71"/>
      <c r="U38" s="71"/>
      <c r="V38" s="71"/>
      <c r="W38" s="71"/>
      <c r="X38" s="71"/>
      <c r="Y38" s="71"/>
      <c r="Z38" s="69">
        <v>125812</v>
      </c>
      <c r="AA38" s="69">
        <v>1636.8069784703964</v>
      </c>
      <c r="AB38" s="67">
        <f t="shared" si="0"/>
        <v>37.918723232781694</v>
      </c>
      <c r="AC38" s="69">
        <v>3227.4128017094408</v>
      </c>
      <c r="AD38" s="72">
        <v>176794.7</v>
      </c>
      <c r="AE38" s="69">
        <f t="shared" si="1"/>
        <v>76864.286171098734</v>
      </c>
      <c r="AF38" s="70">
        <f t="shared" si="2"/>
        <v>38.982308037373478</v>
      </c>
      <c r="AG38" s="71">
        <f t="shared" si="3"/>
        <v>0.71162766757148255</v>
      </c>
      <c r="AH38" s="334">
        <v>88.174240873148875</v>
      </c>
    </row>
    <row r="39" spans="1:34">
      <c r="A39" s="65">
        <v>1995</v>
      </c>
      <c r="B39" s="488">
        <v>898814</v>
      </c>
      <c r="C39" s="73">
        <v>13626.404954500003</v>
      </c>
      <c r="D39" s="1026">
        <v>33.814269888068502</v>
      </c>
      <c r="E39" s="73">
        <v>23959.880606250001</v>
      </c>
      <c r="F39" s="68">
        <v>974900.5</v>
      </c>
      <c r="G39" s="69">
        <v>65961.198349912127</v>
      </c>
      <c r="H39" s="70">
        <v>37.513292105701971</v>
      </c>
      <c r="I39" s="71">
        <v>0.92195459946938174</v>
      </c>
      <c r="J39" s="253">
        <v>88.45</v>
      </c>
      <c r="L39" s="71"/>
      <c r="M39" s="71"/>
      <c r="N39" s="71"/>
      <c r="O39" s="71"/>
      <c r="P39" s="71"/>
      <c r="Q39" s="71"/>
      <c r="R39" s="71"/>
      <c r="S39" s="71"/>
      <c r="T39" s="71"/>
      <c r="U39" s="71"/>
      <c r="V39" s="71"/>
      <c r="W39" s="71"/>
      <c r="X39" s="71"/>
      <c r="Y39" s="71"/>
      <c r="Z39" s="69">
        <v>132123</v>
      </c>
      <c r="AA39" s="69">
        <v>1699.3271037519703</v>
      </c>
      <c r="AB39" s="67">
        <f t="shared" si="0"/>
        <v>37.743614314304814</v>
      </c>
      <c r="AC39" s="69">
        <v>3335.2148334886683</v>
      </c>
      <c r="AD39" s="72">
        <v>179284.4</v>
      </c>
      <c r="AE39" s="69">
        <f t="shared" si="1"/>
        <v>77750.186946517599</v>
      </c>
      <c r="AF39" s="70">
        <f t="shared" si="2"/>
        <v>39.61453957129293</v>
      </c>
      <c r="AG39" s="71">
        <f t="shared" si="3"/>
        <v>0.73694643817309258</v>
      </c>
      <c r="AH39" s="334">
        <v>90.166152285122394</v>
      </c>
    </row>
    <row r="40" spans="1:34">
      <c r="A40" s="65">
        <v>1996</v>
      </c>
      <c r="B40" s="488">
        <v>913364</v>
      </c>
      <c r="C40" s="73">
        <v>13762.785902000001</v>
      </c>
      <c r="D40" s="1026">
        <v>33.935077622732834</v>
      </c>
      <c r="E40" s="73">
        <v>24286.142810250003</v>
      </c>
      <c r="F40" s="68">
        <v>982767.2</v>
      </c>
      <c r="G40" s="69">
        <v>66364.761212137324</v>
      </c>
      <c r="H40" s="70">
        <v>37.6084422765773</v>
      </c>
      <c r="I40" s="71">
        <v>0.92937981650181245</v>
      </c>
      <c r="J40" s="253">
        <v>88.674999999999997</v>
      </c>
      <c r="L40" s="71"/>
      <c r="M40" s="71"/>
      <c r="N40" s="71"/>
      <c r="O40" s="71"/>
      <c r="P40" s="71"/>
      <c r="Q40" s="71"/>
      <c r="R40" s="71"/>
      <c r="S40" s="71"/>
      <c r="T40" s="71"/>
      <c r="U40" s="71"/>
      <c r="V40" s="71"/>
      <c r="W40" s="71"/>
      <c r="X40" s="71"/>
      <c r="Y40" s="71"/>
      <c r="Z40" s="69">
        <v>133569</v>
      </c>
      <c r="AA40" s="69">
        <v>1728.2368171937733</v>
      </c>
      <c r="AB40" s="67">
        <f t="shared" si="0"/>
        <v>38.017770547469539</v>
      </c>
      <c r="AC40" s="69">
        <v>3416.5929599236206</v>
      </c>
      <c r="AD40" s="72">
        <v>182412</v>
      </c>
      <c r="AE40" s="69">
        <f t="shared" si="1"/>
        <v>77286.283147747556</v>
      </c>
      <c r="AF40" s="70">
        <f t="shared" si="2"/>
        <v>39.094209221512294</v>
      </c>
      <c r="AG40" s="71">
        <f t="shared" si="3"/>
        <v>0.73223801065719363</v>
      </c>
      <c r="AH40" s="334">
        <v>91.624368816813444</v>
      </c>
    </row>
    <row r="41" spans="1:34">
      <c r="A41" s="65">
        <v>1997</v>
      </c>
      <c r="B41" s="488">
        <v>951962</v>
      </c>
      <c r="C41" s="73">
        <v>14021.547</v>
      </c>
      <c r="D41" s="1026">
        <v>33.986705768464226</v>
      </c>
      <c r="E41" s="73">
        <v>24780.401999999998</v>
      </c>
      <c r="F41" s="68">
        <v>1004542.1</v>
      </c>
      <c r="G41" s="69">
        <v>67892.793855057505</v>
      </c>
      <c r="H41" s="70">
        <v>38.415922388991106</v>
      </c>
      <c r="I41" s="71">
        <v>0.94765764421421461</v>
      </c>
      <c r="J41" s="253">
        <v>90.6</v>
      </c>
      <c r="L41" s="71"/>
      <c r="M41" s="71"/>
      <c r="N41" s="71"/>
      <c r="O41" s="71"/>
      <c r="P41" s="71"/>
      <c r="Q41" s="71"/>
      <c r="R41" s="71"/>
      <c r="S41" s="71"/>
      <c r="T41" s="71"/>
      <c r="U41" s="71"/>
      <c r="V41" s="71"/>
      <c r="W41" s="71"/>
      <c r="X41" s="71"/>
      <c r="Y41" s="71"/>
      <c r="Z41" s="69">
        <v>142282</v>
      </c>
      <c r="AA41" s="69">
        <v>1783.9090000000001</v>
      </c>
      <c r="AB41" s="67">
        <f t="shared" si="0"/>
        <v>37.990252779796414</v>
      </c>
      <c r="AC41" s="69">
        <v>3524.1</v>
      </c>
      <c r="AD41" s="72">
        <v>187134.5</v>
      </c>
      <c r="AE41" s="69">
        <f t="shared" si="1"/>
        <v>79758.552706444112</v>
      </c>
      <c r="AF41" s="70">
        <f t="shared" si="2"/>
        <v>40.373996197610737</v>
      </c>
      <c r="AG41" s="71">
        <f t="shared" si="3"/>
        <v>0.76031944937999141</v>
      </c>
      <c r="AH41" s="334">
        <v>92.727755939837934</v>
      </c>
    </row>
    <row r="42" spans="1:34">
      <c r="A42" s="65">
        <v>1998</v>
      </c>
      <c r="B42" s="488">
        <v>990968</v>
      </c>
      <c r="C42" s="73">
        <v>14336.001</v>
      </c>
      <c r="D42" s="1026">
        <v>33.974829682816868</v>
      </c>
      <c r="E42" s="73">
        <v>25327.286</v>
      </c>
      <c r="F42" s="68">
        <v>1025354</v>
      </c>
      <c r="G42" s="69">
        <v>69124.437142547627</v>
      </c>
      <c r="H42" s="70">
        <v>39.126497801619962</v>
      </c>
      <c r="I42" s="71">
        <v>0.96646426502456717</v>
      </c>
      <c r="J42" s="253">
        <v>92.3</v>
      </c>
      <c r="L42" s="21"/>
      <c r="M42" s="71"/>
      <c r="N42" s="71"/>
      <c r="O42" s="71"/>
      <c r="P42" s="71"/>
      <c r="Q42" s="71"/>
      <c r="R42" s="71"/>
      <c r="S42" s="71"/>
      <c r="T42" s="71"/>
      <c r="U42" s="71"/>
      <c r="V42" s="71"/>
      <c r="W42" s="71"/>
      <c r="X42" s="71"/>
      <c r="Y42" s="71"/>
      <c r="Z42" s="69">
        <v>149390</v>
      </c>
      <c r="AA42" s="69">
        <v>1846.2159999999999</v>
      </c>
      <c r="AB42" s="67">
        <f t="shared" si="0"/>
        <v>37.846413337417644</v>
      </c>
      <c r="AC42" s="69">
        <v>3633.3780000000002</v>
      </c>
      <c r="AD42" s="72">
        <v>191360.5</v>
      </c>
      <c r="AE42" s="69">
        <f t="shared" si="1"/>
        <v>80916.859132409212</v>
      </c>
      <c r="AF42" s="70">
        <f t="shared" si="2"/>
        <v>41.116008298613572</v>
      </c>
      <c r="AG42" s="71">
        <f t="shared" si="3"/>
        <v>0.78067312742180339</v>
      </c>
      <c r="AH42" s="334">
        <v>92.331235721032371</v>
      </c>
    </row>
    <row r="43" spans="1:34">
      <c r="A43" s="65">
        <v>1999</v>
      </c>
      <c r="B43" s="488">
        <v>1045786</v>
      </c>
      <c r="C43" s="73">
        <v>14716.59</v>
      </c>
      <c r="D43" s="1026">
        <v>34.021274890864923</v>
      </c>
      <c r="E43" s="73">
        <v>26035.212</v>
      </c>
      <c r="F43" s="68">
        <v>1047715.7</v>
      </c>
      <c r="G43" s="69">
        <v>71061.706550226649</v>
      </c>
      <c r="H43" s="70">
        <v>40.168138442659888</v>
      </c>
      <c r="I43" s="71">
        <v>0.99815818356067398</v>
      </c>
      <c r="J43" s="253">
        <v>94.75</v>
      </c>
      <c r="L43" s="21"/>
      <c r="M43" s="71"/>
      <c r="N43" s="71"/>
      <c r="O43" s="71"/>
      <c r="P43" s="71"/>
      <c r="Q43" s="71"/>
      <c r="R43" s="71"/>
      <c r="S43" s="71"/>
      <c r="T43" s="71"/>
      <c r="U43" s="71"/>
      <c r="V43" s="71"/>
      <c r="W43" s="71"/>
      <c r="X43" s="71"/>
      <c r="Y43" s="71"/>
      <c r="Z43" s="69">
        <v>161536</v>
      </c>
      <c r="AA43" s="69">
        <v>1876.7739999999999</v>
      </c>
      <c r="AB43" s="67">
        <f t="shared" si="0"/>
        <v>38.116203655847748</v>
      </c>
      <c r="AC43" s="69">
        <v>3719.846</v>
      </c>
      <c r="AD43" s="72">
        <v>194965.5</v>
      </c>
      <c r="AE43" s="69">
        <f t="shared" si="1"/>
        <v>86071.098597913238</v>
      </c>
      <c r="AF43" s="70">
        <f t="shared" si="2"/>
        <v>43.425453634370882</v>
      </c>
      <c r="AG43" s="71">
        <f t="shared" si="3"/>
        <v>0.82853633078672895</v>
      </c>
      <c r="AH43" s="334">
        <v>93.942833428636447</v>
      </c>
    </row>
    <row r="44" spans="1:34">
      <c r="A44" s="65">
        <v>2000</v>
      </c>
      <c r="B44" s="488">
        <v>1100515</v>
      </c>
      <c r="C44" s="74">
        <v>15050.57</v>
      </c>
      <c r="D44" s="1026">
        <v>33.995714754682687</v>
      </c>
      <c r="E44" s="73">
        <v>26606.054</v>
      </c>
      <c r="F44" s="68">
        <v>1069854.8</v>
      </c>
      <c r="G44" s="69">
        <v>73121.150893288432</v>
      </c>
      <c r="H44" s="70">
        <v>41.363330315724383</v>
      </c>
      <c r="I44" s="71">
        <v>1.0286582814789447</v>
      </c>
      <c r="J44" s="253">
        <v>97.575000000000003</v>
      </c>
      <c r="L44" s="21"/>
      <c r="M44" s="71"/>
      <c r="N44" s="71"/>
      <c r="O44" s="71"/>
      <c r="P44" s="71"/>
      <c r="Q44" s="71"/>
      <c r="R44" s="71"/>
      <c r="S44" s="71"/>
      <c r="T44" s="71"/>
      <c r="U44" s="71"/>
      <c r="V44" s="71"/>
      <c r="W44" s="71"/>
      <c r="X44" s="71"/>
      <c r="Y44" s="71"/>
      <c r="Z44" s="69">
        <v>179827</v>
      </c>
      <c r="AA44" s="69">
        <v>1952.837</v>
      </c>
      <c r="AB44" s="67">
        <f t="shared" si="0"/>
        <v>37.996475423664684</v>
      </c>
      <c r="AC44" s="69">
        <v>3858.4479999999999</v>
      </c>
      <c r="AD44" s="72">
        <v>198638</v>
      </c>
      <c r="AE44" s="69">
        <f t="shared" si="1"/>
        <v>92085.002486126599</v>
      </c>
      <c r="AF44" s="70">
        <f t="shared" si="2"/>
        <v>46.606044710204728</v>
      </c>
      <c r="AG44" s="71">
        <f t="shared" si="3"/>
        <v>0.9053000936376725</v>
      </c>
      <c r="AH44" s="334">
        <v>97.824836553795265</v>
      </c>
    </row>
    <row r="45" spans="1:34">
      <c r="A45" s="65">
        <v>2001</v>
      </c>
      <c r="B45" s="488">
        <v>1120146</v>
      </c>
      <c r="C45" s="74">
        <v>15204.924999999999</v>
      </c>
      <c r="D45" s="1026">
        <v>33.885332700272599</v>
      </c>
      <c r="E45" s="73">
        <v>26791.645</v>
      </c>
      <c r="F45" s="68">
        <v>1087482.5</v>
      </c>
      <c r="G45" s="69">
        <v>73669.945757706795</v>
      </c>
      <c r="H45" s="70">
        <v>41.809526813303179</v>
      </c>
      <c r="I45" s="71">
        <v>1.0300358856349412</v>
      </c>
      <c r="J45" s="253">
        <v>98.674999999999997</v>
      </c>
      <c r="L45" s="21">
        <v>31021.251</v>
      </c>
      <c r="M45" s="848">
        <v>33484</v>
      </c>
      <c r="N45" s="71">
        <f>L45*M45/1000</f>
        <v>1038715.5684839999</v>
      </c>
      <c r="O45" s="849"/>
      <c r="P45" s="71"/>
      <c r="Q45" s="71"/>
      <c r="R45" s="71"/>
      <c r="S45" s="71"/>
      <c r="T45" s="71"/>
      <c r="U45" s="71"/>
      <c r="V45" s="71"/>
      <c r="W45" s="71"/>
      <c r="X45" s="71"/>
      <c r="Y45" s="71"/>
      <c r="Z45" s="69">
        <v>172943</v>
      </c>
      <c r="AA45" s="69">
        <v>1937.433</v>
      </c>
      <c r="AB45" s="67">
        <f t="shared" si="0"/>
        <v>37.617519200366196</v>
      </c>
      <c r="AC45" s="69">
        <v>3789.8339999999998</v>
      </c>
      <c r="AD45" s="72">
        <v>198194.9</v>
      </c>
      <c r="AE45" s="69">
        <f t="shared" si="1"/>
        <v>89263.990032171438</v>
      </c>
      <c r="AF45" s="70">
        <f t="shared" si="2"/>
        <v>45.633397135600134</v>
      </c>
      <c r="AG45" s="71">
        <f t="shared" si="3"/>
        <v>0.87259056615483044</v>
      </c>
      <c r="AH45" s="334">
        <v>98.919962219210717</v>
      </c>
    </row>
    <row r="46" spans="1:34">
      <c r="A46" s="65">
        <v>2002</v>
      </c>
      <c r="B46" s="488">
        <v>1152905</v>
      </c>
      <c r="C46" s="74">
        <v>15586.394</v>
      </c>
      <c r="D46" s="1026">
        <v>33.545674269099457</v>
      </c>
      <c r="E46" s="73">
        <v>27188.517</v>
      </c>
      <c r="F46" s="68">
        <v>1096862.8999999999</v>
      </c>
      <c r="G46" s="69">
        <v>73968.680632608157</v>
      </c>
      <c r="H46" s="70">
        <v>42.404114943084245</v>
      </c>
      <c r="I46" s="71">
        <v>1.0510930764455613</v>
      </c>
      <c r="J46" s="253">
        <v>100.02500000000001</v>
      </c>
      <c r="L46" s="21">
        <v>31372.587</v>
      </c>
      <c r="M46" s="848">
        <v>34083</v>
      </c>
      <c r="N46" s="71">
        <f>L46*M46/1000</f>
        <v>1069271.8827209999</v>
      </c>
      <c r="O46" s="849"/>
      <c r="P46" s="71"/>
      <c r="Q46" s="71"/>
      <c r="R46" s="71"/>
      <c r="S46" s="71"/>
      <c r="T46" s="71"/>
      <c r="U46" s="71"/>
      <c r="V46" s="71"/>
      <c r="W46" s="71"/>
      <c r="X46" s="71"/>
      <c r="Y46" s="71"/>
      <c r="Z46" s="69">
        <v>177432</v>
      </c>
      <c r="AA46" s="69">
        <v>1943.2</v>
      </c>
      <c r="AB46" s="67">
        <f t="shared" si="0"/>
        <v>37.555291430471542</v>
      </c>
      <c r="AC46" s="69">
        <v>3794.8270000000002</v>
      </c>
      <c r="AD46" s="72">
        <v>195901.4</v>
      </c>
      <c r="AE46" s="69">
        <f t="shared" si="1"/>
        <v>91309.180732811859</v>
      </c>
      <c r="AF46" s="70">
        <f t="shared" si="2"/>
        <v>46.756281643405615</v>
      </c>
      <c r="AG46" s="71">
        <f t="shared" si="3"/>
        <v>0.90572093920717256</v>
      </c>
      <c r="AH46" s="334">
        <v>100</v>
      </c>
    </row>
    <row r="47" spans="1:34">
      <c r="A47" s="65">
        <v>2003</v>
      </c>
      <c r="B47" s="488">
        <v>1174592</v>
      </c>
      <c r="C47" s="74">
        <v>15915.993</v>
      </c>
      <c r="D47" s="1026">
        <v>33.347936206730502</v>
      </c>
      <c r="E47" s="73">
        <v>27599.807000000001</v>
      </c>
      <c r="F47" s="68">
        <v>1114199.8999999999</v>
      </c>
      <c r="G47" s="69">
        <v>73799.479554935708</v>
      </c>
      <c r="H47" s="70">
        <v>42.557978756880438</v>
      </c>
      <c r="I47" s="71">
        <v>1.0542022127268187</v>
      </c>
      <c r="J47" s="253">
        <v>100.30000000000001</v>
      </c>
      <c r="L47" s="21">
        <v>31669.15</v>
      </c>
      <c r="M47" s="848">
        <v>34380</v>
      </c>
      <c r="N47" s="71">
        <f>L47*M47/1000</f>
        <v>1088785.3770000001</v>
      </c>
      <c r="O47" s="849"/>
      <c r="P47" s="71"/>
      <c r="Q47" s="71"/>
      <c r="R47" s="71"/>
      <c r="S47" s="71"/>
      <c r="T47" s="71"/>
      <c r="U47" s="71"/>
      <c r="V47" s="71"/>
      <c r="W47" s="71"/>
      <c r="X47" s="71"/>
      <c r="Y47" s="71"/>
      <c r="Z47" s="69">
        <v>176988</v>
      </c>
      <c r="AA47" s="69">
        <v>1928.5730000000001</v>
      </c>
      <c r="AB47" s="67">
        <f t="shared" si="0"/>
        <v>37.208619254515369</v>
      </c>
      <c r="AC47" s="69">
        <v>3731.4960000000001</v>
      </c>
      <c r="AD47" s="72">
        <v>194496.5</v>
      </c>
      <c r="AE47" s="69">
        <f t="shared" si="1"/>
        <v>91771.480778793426</v>
      </c>
      <c r="AF47" s="70">
        <f t="shared" si="2"/>
        <v>47.43084275046791</v>
      </c>
      <c r="AG47" s="71">
        <f t="shared" si="3"/>
        <v>0.90998038525114844</v>
      </c>
      <c r="AH47" s="334">
        <v>103.28480016890971</v>
      </c>
    </row>
    <row r="48" spans="1:34">
      <c r="A48" s="65">
        <v>2004</v>
      </c>
      <c r="B48" s="488">
        <v>1211239</v>
      </c>
      <c r="C48" s="74">
        <v>16193.258</v>
      </c>
      <c r="D48" s="1026">
        <v>33.702404467910704</v>
      </c>
      <c r="E48" s="74">
        <v>28379.09</v>
      </c>
      <c r="F48" s="68">
        <v>1139081.1000000001</v>
      </c>
      <c r="G48" s="69">
        <v>74798.968805412733</v>
      </c>
      <c r="H48" s="70">
        <v>42.680684969109301</v>
      </c>
      <c r="I48" s="71">
        <v>1.063347464899558</v>
      </c>
      <c r="J48" s="253">
        <v>100.47499999999999</v>
      </c>
      <c r="L48" s="21">
        <v>31974.363000000001</v>
      </c>
      <c r="M48" s="848">
        <v>35175</v>
      </c>
      <c r="N48" s="71">
        <f>L48*M48/1000</f>
        <v>1124698.2185250001</v>
      </c>
      <c r="O48" s="849"/>
      <c r="P48" s="71"/>
      <c r="Q48" s="71"/>
      <c r="R48" s="71"/>
      <c r="S48" s="71"/>
      <c r="T48" s="71"/>
      <c r="U48" s="71"/>
      <c r="V48" s="71"/>
      <c r="W48" s="71"/>
      <c r="X48" s="71"/>
      <c r="Y48" s="71"/>
      <c r="Z48" s="69"/>
      <c r="AA48" s="69"/>
      <c r="AB48" s="67"/>
      <c r="AC48" s="69"/>
      <c r="AD48" s="72"/>
      <c r="AE48" s="69"/>
      <c r="AF48" s="70"/>
      <c r="AG48" s="71"/>
      <c r="AH48" s="334">
        <v>106.62219490920626</v>
      </c>
    </row>
    <row r="49" spans="1:50">
      <c r="A49" s="65">
        <v>2005</v>
      </c>
      <c r="B49" s="488">
        <v>1246064</v>
      </c>
      <c r="C49" s="74">
        <v>16458.607</v>
      </c>
      <c r="D49" s="1026">
        <v>33.430977902508815</v>
      </c>
      <c r="E49" s="73">
        <v>28611.821</v>
      </c>
      <c r="F49" s="68">
        <v>1173998.6000000001</v>
      </c>
      <c r="G49" s="69">
        <v>75708.958844451423</v>
      </c>
      <c r="H49" s="70">
        <v>43.550670892286092</v>
      </c>
      <c r="I49" s="71">
        <v>1.0613845706459957</v>
      </c>
      <c r="J49" s="253">
        <v>102.30000000000001</v>
      </c>
      <c r="L49" s="21">
        <v>32270.507000000001</v>
      </c>
      <c r="M49" s="848">
        <v>35875</v>
      </c>
      <c r="N49" s="71">
        <f>L49*M49/1000</f>
        <v>1157704.438625</v>
      </c>
      <c r="O49" s="849"/>
      <c r="P49" s="71"/>
      <c r="Q49" s="71"/>
      <c r="R49" s="71"/>
      <c r="S49" s="71"/>
      <c r="T49" s="71"/>
      <c r="U49" s="71"/>
      <c r="V49" s="71"/>
      <c r="W49" s="71"/>
      <c r="X49" s="71"/>
      <c r="Y49" s="71"/>
      <c r="Z49" s="69"/>
      <c r="AA49" s="69"/>
      <c r="AB49" s="67"/>
      <c r="AC49" s="69"/>
      <c r="AD49" s="69"/>
      <c r="AE49" s="69"/>
      <c r="AF49" s="70"/>
      <c r="AG49" s="71"/>
      <c r="AH49" s="334">
        <v>110.20211896327878</v>
      </c>
    </row>
    <row r="50" spans="1:50">
      <c r="A50" s="65">
        <v>2006</v>
      </c>
      <c r="B50" s="488">
        <v>1284819</v>
      </c>
      <c r="C50" s="74">
        <v>16757.698</v>
      </c>
      <c r="D50" s="1026">
        <v>33.423940907176373</v>
      </c>
      <c r="E50" s="73">
        <v>29125.632000000001</v>
      </c>
      <c r="F50" s="68">
        <v>1215452.3999999999</v>
      </c>
      <c r="G50" s="69">
        <v>76670.375608869421</v>
      </c>
      <c r="H50" s="70">
        <v>44.112999848380973</v>
      </c>
      <c r="I50" s="71">
        <v>1.0570706018598508</v>
      </c>
      <c r="J50" s="253">
        <v>103.77499999999999</v>
      </c>
      <c r="L50" s="21"/>
      <c r="M50" s="848"/>
      <c r="N50" s="71"/>
      <c r="O50" s="849"/>
      <c r="P50" s="71"/>
      <c r="Q50" s="71"/>
      <c r="R50" s="71"/>
      <c r="S50" s="71"/>
      <c r="T50" s="71"/>
      <c r="U50" s="71"/>
      <c r="V50" s="71"/>
      <c r="W50" s="71"/>
      <c r="X50" s="71"/>
      <c r="Y50" s="71"/>
      <c r="Z50" s="69"/>
      <c r="AA50" s="69"/>
      <c r="AB50" s="67"/>
      <c r="AC50" s="69"/>
      <c r="AD50" s="69"/>
      <c r="AE50" s="69"/>
      <c r="AF50" s="70"/>
      <c r="AG50" s="71"/>
      <c r="AH50" s="334">
        <v>112.79850944155531</v>
      </c>
    </row>
    <row r="51" spans="1:50">
      <c r="A51" s="65">
        <v>2007</v>
      </c>
      <c r="B51" s="488">
        <v>1319681</v>
      </c>
      <c r="C51" s="74">
        <v>17109.964013500001</v>
      </c>
      <c r="D51" s="1026">
        <v>33.476917478295107</v>
      </c>
      <c r="E51" s="73">
        <v>29785.020373500003</v>
      </c>
      <c r="F51" s="68">
        <v>1256593.5</v>
      </c>
      <c r="G51" s="69">
        <v>77129.38489869138</v>
      </c>
      <c r="H51" s="70">
        <v>44.306869139298357</v>
      </c>
      <c r="I51" s="71">
        <v>1.0502051777285175</v>
      </c>
      <c r="J51" s="253">
        <v>104.5</v>
      </c>
      <c r="L51" s="21"/>
      <c r="M51" s="848"/>
      <c r="N51" s="71"/>
      <c r="O51" s="849"/>
      <c r="P51" s="71"/>
      <c r="Q51" s="71"/>
      <c r="R51" s="71"/>
      <c r="S51" s="71"/>
      <c r="T51" s="71"/>
      <c r="U51" s="71"/>
      <c r="V51" s="71"/>
      <c r="W51" s="71"/>
      <c r="X51" s="71"/>
      <c r="Y51" s="71"/>
      <c r="Z51" s="69"/>
      <c r="AA51" s="69"/>
      <c r="AB51" s="67"/>
      <c r="AC51" s="69"/>
      <c r="AD51" s="69"/>
      <c r="AE51" s="69"/>
      <c r="AF51" s="70"/>
      <c r="AG51" s="71"/>
      <c r="AH51" s="334"/>
    </row>
    <row r="52" spans="1:50">
      <c r="A52" s="75"/>
      <c r="B52" s="488"/>
      <c r="C52" s="74"/>
      <c r="D52" s="66"/>
      <c r="E52" s="73"/>
      <c r="F52" s="74"/>
      <c r="G52" s="69"/>
      <c r="H52" s="70"/>
      <c r="I52" s="71"/>
      <c r="J52" s="253"/>
      <c r="L52" s="21"/>
      <c r="M52" s="848"/>
      <c r="N52" s="71"/>
      <c r="O52" s="849"/>
      <c r="P52" s="71"/>
      <c r="Q52" s="71"/>
      <c r="R52" s="71"/>
      <c r="S52" s="71"/>
      <c r="T52" s="71"/>
      <c r="U52" s="71"/>
      <c r="V52" s="71"/>
      <c r="W52" s="71"/>
      <c r="X52" s="71"/>
      <c r="Y52" s="71"/>
      <c r="Z52" s="69"/>
      <c r="AA52" s="69"/>
      <c r="AB52" s="67"/>
      <c r="AC52" s="69"/>
      <c r="AD52" s="69"/>
      <c r="AE52" s="69"/>
      <c r="AF52" s="70"/>
      <c r="AG52" s="71"/>
      <c r="AH52" s="334"/>
    </row>
    <row r="53" spans="1:50">
      <c r="A53" s="76" t="s">
        <v>600</v>
      </c>
      <c r="B53" s="76"/>
      <c r="C53" s="77"/>
      <c r="D53" s="77"/>
      <c r="E53" s="77"/>
      <c r="F53" s="77"/>
      <c r="G53" s="76"/>
      <c r="H53" s="78"/>
      <c r="I53" s="78"/>
      <c r="J53" s="78"/>
      <c r="K53" s="79"/>
      <c r="L53" s="79"/>
      <c r="M53" s="79"/>
      <c r="N53" s="79"/>
      <c r="O53" s="79"/>
      <c r="P53" s="79"/>
      <c r="Q53" s="79"/>
      <c r="R53" s="79"/>
      <c r="S53" s="79"/>
      <c r="T53" s="79"/>
      <c r="U53" s="79"/>
      <c r="V53" s="79"/>
      <c r="W53" s="78"/>
      <c r="X53" s="78"/>
      <c r="Y53" s="78"/>
      <c r="Z53" s="76"/>
      <c r="AA53" s="80"/>
      <c r="AB53" s="80"/>
      <c r="AC53" s="80"/>
      <c r="AD53" s="80"/>
      <c r="AE53" s="80"/>
      <c r="AF53" s="78"/>
      <c r="AG53" s="78"/>
      <c r="AH53" s="75"/>
      <c r="AJ53" s="81"/>
      <c r="AK53" s="81"/>
      <c r="AL53" s="81"/>
      <c r="AM53" s="81"/>
      <c r="AO53" s="79"/>
      <c r="AP53" s="79"/>
      <c r="AQ53" s="82"/>
      <c r="AR53" s="82"/>
      <c r="AS53" s="82"/>
      <c r="AT53" s="82"/>
      <c r="AU53" s="82"/>
      <c r="AV53" s="82"/>
      <c r="AW53" s="79"/>
      <c r="AX53" s="79"/>
    </row>
    <row r="54" spans="1:50">
      <c r="A54" s="332" t="s">
        <v>601</v>
      </c>
      <c r="B54" s="70">
        <f t="shared" ref="B54:I54" si="4">(POWER(B17/B5,1/12)-1)*100</f>
        <v>5.3389702942487682</v>
      </c>
      <c r="C54" s="70">
        <f t="shared" si="4"/>
        <v>2.9912246678553744</v>
      </c>
      <c r="D54" s="70">
        <f t="shared" si="4"/>
        <v>-0.70227661796810059</v>
      </c>
      <c r="E54" s="70">
        <f t="shared" si="4"/>
        <v>2.2679413784540303</v>
      </c>
      <c r="F54" s="70">
        <f t="shared" si="4"/>
        <v>4.5505617452779923</v>
      </c>
      <c r="G54" s="70">
        <f t="shared" si="4"/>
        <v>2.2795588983088866</v>
      </c>
      <c r="H54" s="70">
        <f t="shared" si="4"/>
        <v>3.0029243518553184</v>
      </c>
      <c r="I54" s="70">
        <f t="shared" si="4"/>
        <v>0.75409307784648494</v>
      </c>
      <c r="J54" s="70" t="s">
        <v>304</v>
      </c>
      <c r="K54" s="70"/>
      <c r="L54" s="70"/>
      <c r="M54" s="70"/>
      <c r="N54" s="70"/>
      <c r="O54" s="70"/>
      <c r="P54" s="70"/>
      <c r="Q54" s="70"/>
      <c r="R54" s="70"/>
      <c r="S54" s="70"/>
      <c r="T54" s="70"/>
      <c r="U54" s="70"/>
      <c r="V54" s="70"/>
      <c r="W54" s="70"/>
      <c r="X54" s="70"/>
      <c r="Y54" s="70"/>
      <c r="Z54" s="83">
        <f t="shared" ref="Z54:AG54" si="5">(POWER(Z17/Z5,1/12)-1)*100</f>
        <v>6.6158514613073871</v>
      </c>
      <c r="AA54" s="70">
        <f t="shared" si="5"/>
        <v>2.4524704693733579</v>
      </c>
      <c r="AB54" s="70">
        <f t="shared" si="5"/>
        <v>-0.11988928697369561</v>
      </c>
      <c r="AC54" s="70">
        <f t="shared" si="5"/>
        <v>2.3296409330406886</v>
      </c>
      <c r="AD54" s="70">
        <f t="shared" si="5"/>
        <v>3.7489132214309162</v>
      </c>
      <c r="AE54" s="83">
        <f t="shared" si="5"/>
        <v>4.0637194719268299</v>
      </c>
      <c r="AF54" s="70">
        <f t="shared" si="5"/>
        <v>4.1886304781147077</v>
      </c>
      <c r="AG54" s="70">
        <f t="shared" si="5"/>
        <v>2.7633429120915931</v>
      </c>
      <c r="AI54" s="84"/>
      <c r="AJ54" s="84"/>
      <c r="AK54" s="84"/>
      <c r="AL54" s="84"/>
      <c r="AM54" s="84"/>
      <c r="AN54" s="84"/>
      <c r="AO54" s="84"/>
      <c r="AP54" s="84"/>
      <c r="AQ54" s="84"/>
      <c r="AR54" s="84"/>
      <c r="AS54" s="84"/>
      <c r="AT54" s="84"/>
      <c r="AU54" s="84"/>
      <c r="AV54" s="84"/>
      <c r="AW54" s="84"/>
      <c r="AX54" s="84"/>
    </row>
    <row r="55" spans="1:50">
      <c r="A55" s="332" t="s">
        <v>602</v>
      </c>
      <c r="B55" s="70">
        <f t="shared" ref="B55:I55" si="6">(POWER(B25/B17,1/8)-1)*100</f>
        <v>3.4447485874572914</v>
      </c>
      <c r="C55" s="70">
        <f t="shared" si="6"/>
        <v>2.7681221008595935</v>
      </c>
      <c r="D55" s="70">
        <f t="shared" si="6"/>
        <v>-0.62059635166866745</v>
      </c>
      <c r="E55" s="70">
        <f t="shared" si="6"/>
        <v>2.130346884423262</v>
      </c>
      <c r="F55" s="70">
        <f t="shared" si="6"/>
        <v>4.0740490451231626</v>
      </c>
      <c r="G55" s="70">
        <f t="shared" si="6"/>
        <v>0.65840113915249798</v>
      </c>
      <c r="H55" s="70">
        <f t="shared" si="6"/>
        <v>1.2869844694853416</v>
      </c>
      <c r="I55" s="70">
        <f t="shared" si="6"/>
        <v>-0.60466606559435032</v>
      </c>
      <c r="J55" s="70" t="s">
        <v>304</v>
      </c>
      <c r="K55" s="70"/>
      <c r="L55" s="70"/>
      <c r="M55" s="70"/>
      <c r="N55" s="70"/>
      <c r="O55" s="70"/>
      <c r="P55" s="70"/>
      <c r="Q55" s="70"/>
      <c r="R55" s="70"/>
      <c r="S55" s="70"/>
      <c r="T55" s="70"/>
      <c r="U55" s="70"/>
      <c r="V55" s="70"/>
      <c r="W55" s="70"/>
      <c r="X55" s="70"/>
      <c r="Y55" s="70"/>
      <c r="Z55" s="85">
        <f t="shared" ref="Z55:AG55" si="7">(POWER(Z25/Z17,1/8)-1)*100</f>
        <v>1.638694053676093</v>
      </c>
      <c r="AA55" s="70">
        <f t="shared" si="7"/>
        <v>0.24543255288793642</v>
      </c>
      <c r="AB55" s="70">
        <f t="shared" si="7"/>
        <v>-0.4293713746070571</v>
      </c>
      <c r="AC55" s="70">
        <f t="shared" si="7"/>
        <v>-0.1849926388451939</v>
      </c>
      <c r="AD55" s="70">
        <f t="shared" si="7"/>
        <v>3.9443166778200256</v>
      </c>
      <c r="AE55" s="85">
        <f t="shared" si="7"/>
        <v>1.3898503555791253</v>
      </c>
      <c r="AF55" s="70">
        <f t="shared" si="7"/>
        <v>1.8270666312959705</v>
      </c>
      <c r="AG55" s="70">
        <f t="shared" si="7"/>
        <v>-2.2181324557554505</v>
      </c>
      <c r="AI55" s="84"/>
      <c r="AJ55" s="84"/>
      <c r="AK55" s="84"/>
      <c r="AL55" s="84"/>
      <c r="AM55" s="84"/>
      <c r="AN55" s="84"/>
      <c r="AO55" s="84"/>
      <c r="AP55" s="84"/>
      <c r="AQ55" s="84"/>
      <c r="AR55" s="84"/>
      <c r="AS55" s="84"/>
      <c r="AT55" s="84"/>
      <c r="AU55" s="84"/>
      <c r="AV55" s="84"/>
      <c r="AW55" s="84"/>
      <c r="AX55" s="84"/>
    </row>
    <row r="56" spans="1:50">
      <c r="A56" s="332" t="s">
        <v>603</v>
      </c>
      <c r="B56" s="70">
        <f t="shared" ref="B56:J56" si="8">(POWER(B33/B25,1/8)-1)*100</f>
        <v>3.0582702284391194</v>
      </c>
      <c r="C56" s="70">
        <f t="shared" si="8"/>
        <v>1.8815405953333642</v>
      </c>
      <c r="D56" s="70">
        <f t="shared" si="8"/>
        <v>-9.5957606427010678E-2</v>
      </c>
      <c r="E56" s="70">
        <f t="shared" si="8"/>
        <v>1.7837775075871143</v>
      </c>
      <c r="F56" s="70">
        <f t="shared" si="8"/>
        <v>2.2265160766092196</v>
      </c>
      <c r="G56" s="70">
        <f t="shared" si="8"/>
        <v>1.1549978791346005</v>
      </c>
      <c r="H56" s="70">
        <f t="shared" si="8"/>
        <v>1.252157025471945</v>
      </c>
      <c r="I56" s="70">
        <f t="shared" si="8"/>
        <v>0.81363836287502433</v>
      </c>
      <c r="J56" s="70">
        <f t="shared" si="8"/>
        <v>1.2424872120457175</v>
      </c>
      <c r="K56" s="70"/>
      <c r="L56" s="70"/>
      <c r="M56" s="70"/>
      <c r="N56" s="70"/>
      <c r="O56" s="70"/>
      <c r="P56" s="70"/>
      <c r="Q56" s="70"/>
      <c r="R56" s="70"/>
      <c r="S56" s="70"/>
      <c r="T56" s="70"/>
      <c r="U56" s="70"/>
      <c r="V56" s="70"/>
      <c r="W56" s="70"/>
      <c r="X56" s="70"/>
      <c r="Y56" s="70"/>
      <c r="Z56" s="85">
        <f t="shared" ref="Z56:AG56" si="9">(POWER(Z33/Z25,1/8)-1)*100</f>
        <v>3.1141896535554991</v>
      </c>
      <c r="AA56" s="70">
        <f t="shared" si="9"/>
        <v>0.49521489001407293</v>
      </c>
      <c r="AB56" s="70">
        <f t="shared" si="9"/>
        <v>0.26015178989877707</v>
      </c>
      <c r="AC56" s="70">
        <f t="shared" si="9"/>
        <v>0.75665499031305483</v>
      </c>
      <c r="AD56" s="70">
        <f t="shared" si="9"/>
        <v>2.8306283169024837</v>
      </c>
      <c r="AE56" s="85">
        <f t="shared" si="9"/>
        <v>2.6060691212091314</v>
      </c>
      <c r="AF56" s="70">
        <f t="shared" si="9"/>
        <v>2.3398302211095512</v>
      </c>
      <c r="AG56" s="70">
        <f t="shared" si="9"/>
        <v>0.27575571723548187</v>
      </c>
      <c r="AI56" s="84"/>
      <c r="AJ56" s="84"/>
      <c r="AK56" s="84"/>
      <c r="AL56" s="84"/>
      <c r="AM56" s="84"/>
      <c r="AN56" s="84"/>
      <c r="AO56" s="84"/>
      <c r="AP56" s="84"/>
      <c r="AQ56" s="84"/>
      <c r="AR56" s="84"/>
      <c r="AS56" s="84"/>
      <c r="AT56" s="84"/>
      <c r="AU56" s="84"/>
      <c r="AV56" s="84"/>
      <c r="AW56" s="84"/>
      <c r="AX56" s="84"/>
    </row>
    <row r="57" spans="1:50">
      <c r="A57" s="332" t="s">
        <v>604</v>
      </c>
      <c r="B57" s="70">
        <f>(POWER(B44/B33,1/11)-1)*100</f>
        <v>2.6685591221855764</v>
      </c>
      <c r="C57" s="70">
        <f t="shared" ref="C57:J57" si="10">(POWER(C44/C33,1/11)-1)*100</f>
        <v>1.1472559167311047</v>
      </c>
      <c r="D57" s="70">
        <f t="shared" si="10"/>
        <v>-7.155253722458399E-2</v>
      </c>
      <c r="E57" s="70">
        <f t="shared" si="10"/>
        <v>1.0748824887896413</v>
      </c>
      <c r="F57" s="70">
        <f t="shared" si="10"/>
        <v>1.5327802118060951</v>
      </c>
      <c r="G57" s="70">
        <f t="shared" si="10"/>
        <v>1.5040479266257734</v>
      </c>
      <c r="H57" s="70">
        <f t="shared" si="10"/>
        <v>1.5767286532068825</v>
      </c>
      <c r="I57" s="70">
        <f t="shared" si="10"/>
        <v>1.1186327292625586</v>
      </c>
      <c r="J57" s="70">
        <f t="shared" si="10"/>
        <v>1.5794234245694705</v>
      </c>
      <c r="K57" s="70"/>
      <c r="L57" s="70"/>
      <c r="M57" s="70"/>
      <c r="N57" s="70"/>
      <c r="O57" s="70"/>
      <c r="P57" s="70"/>
      <c r="Q57" s="70"/>
      <c r="R57" s="70"/>
      <c r="S57" s="70"/>
      <c r="T57" s="70"/>
      <c r="U57" s="70"/>
      <c r="V57" s="70"/>
      <c r="W57" s="70"/>
      <c r="X57" s="70"/>
      <c r="Y57" s="70"/>
      <c r="Z57" s="85"/>
      <c r="AA57" s="70"/>
      <c r="AB57" s="70"/>
      <c r="AC57" s="70"/>
      <c r="AD57" s="70"/>
      <c r="AE57" s="85"/>
      <c r="AF57" s="70"/>
      <c r="AG57" s="70"/>
      <c r="AI57" s="84"/>
      <c r="AJ57" s="84"/>
      <c r="AK57" s="84"/>
      <c r="AL57" s="84"/>
      <c r="AM57" s="84"/>
      <c r="AN57" s="84"/>
      <c r="AO57" s="84"/>
      <c r="AP57" s="84"/>
      <c r="AQ57" s="84"/>
      <c r="AR57" s="84"/>
      <c r="AS57" s="84"/>
      <c r="AT57" s="84"/>
      <c r="AU57" s="84"/>
      <c r="AV57" s="84"/>
      <c r="AW57" s="84"/>
      <c r="AX57" s="84"/>
    </row>
    <row r="58" spans="1:50">
      <c r="A58" s="332" t="s">
        <v>605</v>
      </c>
      <c r="B58" s="70">
        <f t="shared" ref="B58:J58" si="11">(POWER(B40/B33,1/7)-1)*100</f>
        <v>1.4865712930253627</v>
      </c>
      <c r="C58" s="70">
        <f t="shared" si="11"/>
        <v>0.51607200288432686</v>
      </c>
      <c r="D58" s="70">
        <f t="shared" si="11"/>
        <v>-0.13788854352408952</v>
      </c>
      <c r="E58" s="70">
        <f t="shared" si="11"/>
        <v>0.37747185519192428</v>
      </c>
      <c r="F58" s="70">
        <f t="shared" si="11"/>
        <v>1.1843983580885897</v>
      </c>
      <c r="G58" s="70">
        <f t="shared" si="11"/>
        <v>0.96551652964829149</v>
      </c>
      <c r="H58" s="70">
        <f t="shared" si="11"/>
        <v>1.1049286431854544</v>
      </c>
      <c r="I58" s="70">
        <f t="shared" si="11"/>
        <v>0.29863589628451592</v>
      </c>
      <c r="J58" s="70">
        <f t="shared" si="11"/>
        <v>1.1022522960310255</v>
      </c>
      <c r="K58" s="70"/>
      <c r="L58" s="70"/>
      <c r="M58" s="70"/>
      <c r="N58" s="70"/>
      <c r="O58" s="70"/>
      <c r="P58" s="70"/>
      <c r="Q58" s="70"/>
      <c r="R58" s="70"/>
      <c r="S58" s="70"/>
      <c r="T58" s="70"/>
      <c r="U58" s="70"/>
      <c r="V58" s="70"/>
      <c r="W58" s="70"/>
      <c r="X58" s="70"/>
      <c r="Y58" s="70"/>
      <c r="Z58" s="85">
        <f t="shared" ref="Z58:AG58" si="12">(POWER(Z44/Z33,1/11)-1)*100</f>
        <v>3.5864262053878049</v>
      </c>
      <c r="AA58" s="70">
        <f t="shared" si="12"/>
        <v>7.98393281199683E-2</v>
      </c>
      <c r="AB58" s="70">
        <f t="shared" si="12"/>
        <v>0.13484882058270031</v>
      </c>
      <c r="AC58" s="70">
        <f t="shared" si="12"/>
        <v>0.21479581109498103</v>
      </c>
      <c r="AD58" s="70">
        <f t="shared" si="12"/>
        <v>1.5306487785631706</v>
      </c>
      <c r="AE58" s="85">
        <f t="shared" si="12"/>
        <v>3.5037894752920407</v>
      </c>
      <c r="AF58" s="70">
        <f t="shared" si="12"/>
        <v>3.3644037958709738</v>
      </c>
      <c r="AG58" s="70">
        <f t="shared" si="12"/>
        <v>2.0247850787482591</v>
      </c>
      <c r="AI58" s="84"/>
      <c r="AJ58" s="84"/>
      <c r="AK58" s="84"/>
      <c r="AL58" s="84"/>
      <c r="AM58" s="84"/>
      <c r="AN58" s="84"/>
      <c r="AO58" s="84"/>
      <c r="AP58" s="84"/>
      <c r="AQ58" s="84"/>
      <c r="AR58" s="84"/>
      <c r="AS58" s="84"/>
      <c r="AT58" s="84"/>
      <c r="AU58" s="84"/>
      <c r="AV58" s="84"/>
      <c r="AW58" s="84"/>
      <c r="AX58" s="84"/>
    </row>
    <row r="59" spans="1:50">
      <c r="A59" s="332" t="s">
        <v>1145</v>
      </c>
      <c r="B59" s="70">
        <f>(POWER(B50/B40,1/10)-1)*100</f>
        <v>3.4712762926974783</v>
      </c>
      <c r="C59" s="70">
        <f t="shared" ref="C59:J59" si="13">(POWER(C50/C40,1/10)-1)*100</f>
        <v>1.9884051563023419</v>
      </c>
      <c r="D59" s="70">
        <f t="shared" si="13"/>
        <v>-0.15165269801171721</v>
      </c>
      <c r="E59" s="70">
        <f t="shared" si="13"/>
        <v>1.8337369882236887</v>
      </c>
      <c r="F59" s="70">
        <f t="shared" si="13"/>
        <v>2.1477324314171709</v>
      </c>
      <c r="G59" s="70">
        <f t="shared" si="13"/>
        <v>1.4539605106311582</v>
      </c>
      <c r="H59" s="70">
        <f t="shared" si="13"/>
        <v>1.6080518626780504</v>
      </c>
      <c r="I59" s="70">
        <f t="shared" si="13"/>
        <v>1.2957153622269013</v>
      </c>
      <c r="J59" s="70">
        <f t="shared" si="13"/>
        <v>1.5848993157491664</v>
      </c>
      <c r="K59" s="70"/>
      <c r="L59" s="70"/>
      <c r="M59" s="70"/>
      <c r="N59" s="70"/>
      <c r="O59" s="70"/>
      <c r="P59" s="70"/>
      <c r="Q59" s="70"/>
      <c r="R59" s="70"/>
      <c r="S59" s="70"/>
      <c r="T59" s="70"/>
      <c r="U59" s="70"/>
      <c r="V59" s="70"/>
      <c r="W59" s="70"/>
      <c r="X59" s="70"/>
      <c r="Y59" s="70"/>
      <c r="Z59" s="85">
        <f t="shared" ref="Z59:AG59" si="14">(POWER(Z40/Z33,1/7)-1)*100</f>
        <v>1.2972012431866631</v>
      </c>
      <c r="AA59" s="70">
        <f t="shared" si="14"/>
        <v>-1.6069859200449566</v>
      </c>
      <c r="AB59" s="70">
        <f t="shared" si="14"/>
        <v>0.22000839147204854</v>
      </c>
      <c r="AC59" s="70">
        <f t="shared" si="14"/>
        <v>-1.3905130324467718</v>
      </c>
      <c r="AD59" s="70">
        <f t="shared" si="14"/>
        <v>1.1765759921537722</v>
      </c>
      <c r="AE59" s="85">
        <f t="shared" si="14"/>
        <v>2.95161926930263</v>
      </c>
      <c r="AF59" s="70">
        <f t="shared" si="14"/>
        <v>2.7256142976565867</v>
      </c>
      <c r="AG59" s="70">
        <f t="shared" si="14"/>
        <v>0.11922250763085618</v>
      </c>
      <c r="AI59" s="84"/>
      <c r="AJ59" s="84"/>
      <c r="AK59" s="84"/>
      <c r="AL59" s="84"/>
      <c r="AM59" s="84"/>
      <c r="AN59" s="84"/>
      <c r="AO59" s="84"/>
      <c r="AP59" s="84"/>
      <c r="AQ59" s="84"/>
      <c r="AR59" s="84"/>
      <c r="AS59" s="84"/>
      <c r="AT59" s="84"/>
      <c r="AU59" s="84"/>
      <c r="AV59" s="84"/>
      <c r="AW59" s="84"/>
      <c r="AX59" s="84"/>
    </row>
    <row r="60" spans="1:50">
      <c r="A60" s="332" t="s">
        <v>1146</v>
      </c>
      <c r="B60" s="70">
        <f>(((B50/B33)^(1/17))-1)*100</f>
        <v>2.649386975683421</v>
      </c>
      <c r="C60" s="70">
        <f t="shared" ref="C60:J60" si="15">(((C50/C33)^(1/17))-1)*100</f>
        <v>1.379556332713272</v>
      </c>
      <c r="D60" s="70">
        <f t="shared" si="15"/>
        <v>-0.14598533475919107</v>
      </c>
      <c r="E60" s="70">
        <f t="shared" si="15"/>
        <v>1.2315570480235793</v>
      </c>
      <c r="F60" s="70">
        <f t="shared" si="15"/>
        <v>1.7499596729731337</v>
      </c>
      <c r="G60" s="70">
        <f t="shared" si="15"/>
        <v>1.2525509963791537</v>
      </c>
      <c r="H60" s="70">
        <f t="shared" si="15"/>
        <v>1.4005809739617403</v>
      </c>
      <c r="I60" s="70">
        <f t="shared" si="15"/>
        <v>0.88395838740484844</v>
      </c>
      <c r="J60" s="70">
        <f t="shared" si="15"/>
        <v>1.3858838913116234</v>
      </c>
      <c r="K60" s="70"/>
      <c r="L60" s="70"/>
      <c r="M60" s="70"/>
      <c r="N60" s="70"/>
      <c r="O60" s="70"/>
      <c r="P60" s="70"/>
      <c r="Q60" s="70"/>
      <c r="R60" s="70"/>
      <c r="S60" s="70"/>
      <c r="T60" s="70"/>
      <c r="U60" s="70"/>
      <c r="V60" s="70"/>
      <c r="W60" s="70"/>
      <c r="X60" s="70"/>
      <c r="Y60" s="70"/>
      <c r="Z60" s="85">
        <f t="shared" ref="Z60:AG60" si="16">(((Z47/Z40)^(1/7))-1)*100</f>
        <v>4.1028435747373138</v>
      </c>
      <c r="AA60" s="70">
        <f t="shared" si="16"/>
        <v>1.5791770243701819</v>
      </c>
      <c r="AB60" s="70">
        <f t="shared" si="16"/>
        <v>-0.30686052583038803</v>
      </c>
      <c r="AC60" s="70">
        <f t="shared" si="16"/>
        <v>1.2674706276190051</v>
      </c>
      <c r="AD60" s="70">
        <f t="shared" si="16"/>
        <v>0.92058733584921004</v>
      </c>
      <c r="AE60" s="85">
        <f t="shared" si="16"/>
        <v>2.4844329559410294</v>
      </c>
      <c r="AF60" s="70">
        <f t="shared" si="16"/>
        <v>2.7998852242933525</v>
      </c>
      <c r="AG60" s="70">
        <f t="shared" si="16"/>
        <v>3.1532280210557984</v>
      </c>
      <c r="AI60" s="84"/>
      <c r="AJ60" s="84"/>
      <c r="AK60" s="84"/>
      <c r="AL60" s="84"/>
      <c r="AM60" s="84"/>
      <c r="AN60" s="84"/>
      <c r="AO60" s="84"/>
      <c r="AP60" s="84"/>
      <c r="AQ60" s="84"/>
      <c r="AR60" s="84"/>
      <c r="AS60" s="84"/>
      <c r="AT60" s="84"/>
      <c r="AU60" s="84"/>
      <c r="AV60" s="84"/>
      <c r="AW60" s="84"/>
      <c r="AX60" s="84"/>
    </row>
    <row r="61" spans="1:50">
      <c r="A61" s="332" t="s">
        <v>606</v>
      </c>
      <c r="B61" s="70">
        <f t="shared" ref="B61:J61" si="17">(POWER(B44/B40,1/4)-1)*100</f>
        <v>4.7702593778894409</v>
      </c>
      <c r="C61" s="70">
        <f t="shared" si="17"/>
        <v>2.2613798483941405</v>
      </c>
      <c r="D61" s="70">
        <f t="shared" si="17"/>
        <v>4.4641523820732054E-2</v>
      </c>
      <c r="E61" s="70">
        <f t="shared" si="17"/>
        <v>2.3070308866385503</v>
      </c>
      <c r="F61" s="70">
        <f t="shared" si="17"/>
        <v>2.1453372182379082</v>
      </c>
      <c r="G61" s="70">
        <f t="shared" si="17"/>
        <v>2.4533988620286662</v>
      </c>
      <c r="H61" s="70">
        <f t="shared" si="17"/>
        <v>2.4076825120457945</v>
      </c>
      <c r="I61" s="70">
        <f t="shared" si="17"/>
        <v>2.5697914668814104</v>
      </c>
      <c r="J61" s="70">
        <f t="shared" si="17"/>
        <v>2.4198984050880945</v>
      </c>
      <c r="K61" s="70"/>
      <c r="L61" s="70"/>
      <c r="M61" s="70"/>
      <c r="N61" s="70"/>
      <c r="O61" s="70"/>
      <c r="P61" s="70"/>
      <c r="Q61" s="70"/>
      <c r="R61" s="70"/>
      <c r="S61" s="70"/>
      <c r="T61" s="70"/>
      <c r="U61" s="70"/>
      <c r="V61" s="70"/>
      <c r="W61" s="70"/>
      <c r="X61" s="70"/>
      <c r="Y61" s="70"/>
      <c r="Z61" s="85">
        <f t="shared" ref="Z61:AG61" si="18">(((Z47/Z33)^(1/14))-1)*100</f>
        <v>2.6904411110310944</v>
      </c>
      <c r="AA61" s="70">
        <f t="shared" si="18"/>
        <v>-2.6596560939773362E-2</v>
      </c>
      <c r="AB61" s="70">
        <f t="shared" si="18"/>
        <v>-4.3773207100927802E-2</v>
      </c>
      <c r="AC61" s="70">
        <f t="shared" si="18"/>
        <v>-7.0358125873004607E-2</v>
      </c>
      <c r="AD61" s="70">
        <f t="shared" si="18"/>
        <v>1.0485006012377118</v>
      </c>
      <c r="AE61" s="85">
        <f t="shared" si="18"/>
        <v>2.7177605027991936</v>
      </c>
      <c r="AF61" s="70">
        <f t="shared" si="18"/>
        <v>2.7627430511375728</v>
      </c>
      <c r="AG61" s="70">
        <f t="shared" si="18"/>
        <v>1.6249033880006536</v>
      </c>
    </row>
    <row r="62" spans="1:50">
      <c r="A62" s="332" t="s">
        <v>818</v>
      </c>
      <c r="B62" s="70">
        <f>(((B50/B44)^(1/6))-1)*100</f>
        <v>2.6142473384519915</v>
      </c>
      <c r="C62" s="70">
        <f>(((C50/C44)^(1/6))-1)*100</f>
        <v>1.8068269671632109</v>
      </c>
      <c r="D62" s="70">
        <f t="shared" ref="D62:J62" si="19">(((D50/D44)^(1/6))-1)*100</f>
        <v>-0.28230149795518411</v>
      </c>
      <c r="E62" s="70">
        <f t="shared" si="19"/>
        <v>1.519424769614286</v>
      </c>
      <c r="F62" s="70">
        <f t="shared" si="19"/>
        <v>2.1493292714063417</v>
      </c>
      <c r="G62" s="70">
        <f t="shared" si="19"/>
        <v>0.79309059651686553</v>
      </c>
      <c r="H62" s="70">
        <f t="shared" si="19"/>
        <v>1.0784365369704174</v>
      </c>
      <c r="I62" s="70">
        <f t="shared" si="19"/>
        <v>0.45513570217419197</v>
      </c>
      <c r="J62" s="70">
        <f t="shared" si="19"/>
        <v>1.0320186359899175</v>
      </c>
      <c r="K62" s="70"/>
      <c r="L62" s="70"/>
      <c r="M62" s="70"/>
      <c r="N62" s="70"/>
      <c r="O62" s="70"/>
      <c r="P62" s="70"/>
      <c r="Q62" s="70"/>
      <c r="R62" s="70"/>
      <c r="S62" s="70"/>
      <c r="T62" s="70"/>
      <c r="U62" s="70"/>
      <c r="V62" s="70"/>
      <c r="W62" s="70"/>
      <c r="X62" s="70"/>
      <c r="Y62" s="70"/>
      <c r="Z62" s="85"/>
      <c r="AA62" s="70"/>
      <c r="AB62" s="70"/>
      <c r="AC62" s="70"/>
      <c r="AD62" s="70"/>
      <c r="AE62" s="85"/>
      <c r="AF62" s="70"/>
      <c r="AG62" s="70"/>
    </row>
    <row r="63" spans="1:50">
      <c r="A63" s="252"/>
      <c r="B63" s="70"/>
      <c r="C63" s="70"/>
      <c r="D63" s="70"/>
      <c r="E63" s="70"/>
      <c r="F63" s="70"/>
      <c r="G63" s="70"/>
      <c r="H63" s="70"/>
      <c r="I63" s="70"/>
      <c r="J63" s="70"/>
      <c r="K63" s="70"/>
      <c r="L63" s="70"/>
      <c r="M63" s="70"/>
      <c r="N63" s="70"/>
      <c r="O63" s="70"/>
      <c r="P63" s="70"/>
      <c r="Q63" s="70"/>
      <c r="R63" s="70"/>
      <c r="S63" s="70"/>
      <c r="T63" s="70"/>
      <c r="U63" s="70"/>
      <c r="V63" s="70"/>
      <c r="W63" s="70"/>
      <c r="X63" s="70"/>
      <c r="Y63" s="70"/>
      <c r="Z63" s="85">
        <f t="shared" ref="Z63:AG63" si="20">(((Z47/Z44)^(1/3))-1)*100</f>
        <v>-0.52904042416337393</v>
      </c>
      <c r="AA63" s="70">
        <f t="shared" si="20"/>
        <v>-0.41589395127263895</v>
      </c>
      <c r="AB63" s="70">
        <f t="shared" si="20"/>
        <v>-0.69599891631481059</v>
      </c>
      <c r="AC63" s="70">
        <f t="shared" si="20"/>
        <v>-1.1089982501935824</v>
      </c>
      <c r="AD63" s="70">
        <f t="shared" si="20"/>
        <v>-0.69986958044573333</v>
      </c>
      <c r="AE63" s="85">
        <f t="shared" si="20"/>
        <v>-0.11361900747030029</v>
      </c>
      <c r="AF63" s="70">
        <f t="shared" si="20"/>
        <v>0.58646167575235886</v>
      </c>
      <c r="AG63" s="70">
        <f t="shared" si="20"/>
        <v>0.17203316406593228</v>
      </c>
    </row>
    <row r="64" spans="1:50">
      <c r="A64" s="56" t="s">
        <v>1140</v>
      </c>
      <c r="B64" s="487"/>
    </row>
    <row r="71" spans="1:2">
      <c r="A71" s="1"/>
    </row>
    <row r="72" spans="1:2">
      <c r="B72" s="56">
        <v>1.0329999999999999</v>
      </c>
    </row>
    <row r="74" spans="1:2">
      <c r="A74" s="56" t="s">
        <v>607</v>
      </c>
    </row>
    <row r="75" spans="1:2">
      <c r="A75" s="56" t="s">
        <v>572</v>
      </c>
    </row>
    <row r="76" spans="1:2">
      <c r="A76" s="56" t="s">
        <v>573</v>
      </c>
    </row>
    <row r="77" spans="1:2">
      <c r="A77" s="56" t="s">
        <v>574</v>
      </c>
    </row>
    <row r="78" spans="1:2">
      <c r="A78" s="56" t="s">
        <v>1141</v>
      </c>
    </row>
    <row r="79" spans="1:2">
      <c r="A79" s="56" t="s">
        <v>575</v>
      </c>
    </row>
    <row r="80" spans="1:2">
      <c r="A80" s="56" t="s">
        <v>1142</v>
      </c>
    </row>
    <row r="82" spans="1:5">
      <c r="A82" s="56" t="s">
        <v>1143</v>
      </c>
    </row>
    <row r="83" spans="1:5">
      <c r="A83" s="56" t="s">
        <v>1144</v>
      </c>
    </row>
    <row r="87" spans="1:5">
      <c r="C87" s="56" t="s">
        <v>262</v>
      </c>
      <c r="D87" s="56">
        <v>112.8</v>
      </c>
      <c r="E87" s="56">
        <v>111</v>
      </c>
    </row>
    <row r="88" spans="1:5">
      <c r="C88" s="56" t="s">
        <v>263</v>
      </c>
      <c r="D88" s="56">
        <v>112.8</v>
      </c>
      <c r="E88" s="56">
        <v>110.6</v>
      </c>
    </row>
    <row r="89" spans="1:5">
      <c r="C89" s="56" t="s">
        <v>264</v>
      </c>
      <c r="D89" s="56">
        <v>113.1</v>
      </c>
      <c r="E89" s="56">
        <v>110.7</v>
      </c>
    </row>
    <row r="90" spans="1:5">
      <c r="C90" s="56" t="s">
        <v>265</v>
      </c>
      <c r="D90" s="56">
        <v>114.2</v>
      </c>
      <c r="E90" s="56">
        <v>111.8</v>
      </c>
    </row>
    <row r="91" spans="1:5">
      <c r="C91" s="56" t="s">
        <v>266</v>
      </c>
      <c r="D91" s="56">
        <v>114.2</v>
      </c>
      <c r="E91" s="56">
        <v>112.4</v>
      </c>
    </row>
    <row r="92" spans="1:5">
      <c r="C92" s="56" t="s">
        <v>267</v>
      </c>
      <c r="D92" s="56">
        <v>115</v>
      </c>
      <c r="E92" s="56">
        <v>113.6</v>
      </c>
    </row>
    <row r="93" spans="1:5">
      <c r="C93" s="56" t="s">
        <v>268</v>
      </c>
      <c r="D93" s="56">
        <v>115.6</v>
      </c>
      <c r="E93" s="56">
        <v>114.4</v>
      </c>
    </row>
    <row r="94" spans="1:5">
      <c r="C94" s="56" t="s">
        <v>269</v>
      </c>
      <c r="D94" s="56">
        <v>116</v>
      </c>
      <c r="E94" s="56">
        <v>114.5</v>
      </c>
    </row>
  </sheetData>
  <phoneticPr fontId="35" type="noConversion"/>
  <pageMargins left="0.35433070866141736" right="0.39370078740157483" top="0.39370078740157483" bottom="0.39370078740157483" header="0.51181102362204722" footer="0.51181102362204722"/>
  <pageSetup scale="84" orientation="portrait" horizontalDpi="360" r:id="rId1"/>
  <headerFooter alignWithMargins="0"/>
  <colBreaks count="1" manualBreakCount="1">
    <brk id="33" max="1048575" man="1"/>
  </colBreaks>
</worksheet>
</file>

<file path=xl/worksheets/sheet129.xml><?xml version="1.0" encoding="utf-8"?>
<worksheet xmlns="http://schemas.openxmlformats.org/spreadsheetml/2006/main" xmlns:r="http://schemas.openxmlformats.org/officeDocument/2006/relationships">
  <sheetPr codeName="Sheet60"/>
  <dimension ref="A1:AK56"/>
  <sheetViews>
    <sheetView view="pageBreakPreview" zoomScale="55" zoomScaleSheetLayoutView="5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22.140625" customWidth="1"/>
    <col min="2" max="11" width="15.42578125" customWidth="1"/>
  </cols>
  <sheetData>
    <row r="1" spans="1:37" ht="15.75">
      <c r="A1" s="739"/>
      <c r="B1" s="40" t="s">
        <v>2205</v>
      </c>
      <c r="C1" s="40"/>
      <c r="D1" s="40"/>
      <c r="E1" s="40"/>
      <c r="F1" s="739"/>
      <c r="G1" s="739"/>
      <c r="H1" s="739"/>
      <c r="I1" s="739"/>
      <c r="J1" s="739"/>
    </row>
    <row r="2" spans="1:37">
      <c r="A2" s="739"/>
      <c r="B2" s="739"/>
      <c r="C2" s="739"/>
      <c r="D2" s="739"/>
      <c r="E2" s="739"/>
      <c r="F2" s="739"/>
      <c r="G2" s="739"/>
      <c r="H2" s="739"/>
      <c r="I2" s="739"/>
      <c r="J2" s="739"/>
    </row>
    <row r="3" spans="1:37" ht="12.75" customHeight="1">
      <c r="A3" s="2"/>
      <c r="B3" s="1179" t="s">
        <v>794</v>
      </c>
      <c r="C3" s="1172" t="s">
        <v>661</v>
      </c>
      <c r="D3" s="1172" t="s">
        <v>992</v>
      </c>
      <c r="E3" s="1172" t="s">
        <v>993</v>
      </c>
      <c r="F3" s="1172" t="s">
        <v>795</v>
      </c>
      <c r="G3" s="1172" t="s">
        <v>796</v>
      </c>
      <c r="H3" s="1172" t="s">
        <v>797</v>
      </c>
      <c r="I3" s="1172" t="s">
        <v>798</v>
      </c>
      <c r="J3" s="1228" t="s">
        <v>32</v>
      </c>
    </row>
    <row r="4" spans="1:37" ht="66" customHeight="1">
      <c r="A4" s="2"/>
      <c r="B4" s="1180"/>
      <c r="C4" s="1173"/>
      <c r="D4" s="1173"/>
      <c r="E4" s="1173"/>
      <c r="F4" s="1173"/>
      <c r="G4" s="1173"/>
      <c r="H4" s="1173"/>
      <c r="I4" s="1173"/>
      <c r="J4" s="1228"/>
      <c r="L4" t="s">
        <v>1805</v>
      </c>
      <c r="M4" t="s">
        <v>1806</v>
      </c>
      <c r="N4" t="s">
        <v>1807</v>
      </c>
      <c r="O4" t="s">
        <v>1808</v>
      </c>
      <c r="P4" t="s">
        <v>1809</v>
      </c>
      <c r="Q4" t="s">
        <v>1810</v>
      </c>
      <c r="R4" t="s">
        <v>1811</v>
      </c>
      <c r="S4" t="s">
        <v>1812</v>
      </c>
      <c r="T4" t="s">
        <v>1813</v>
      </c>
      <c r="U4" t="s">
        <v>1814</v>
      </c>
      <c r="V4" t="s">
        <v>1815</v>
      </c>
      <c r="W4" t="s">
        <v>1816</v>
      </c>
      <c r="Z4" t="s">
        <v>1805</v>
      </c>
      <c r="AA4" t="s">
        <v>1806</v>
      </c>
      <c r="AB4" t="s">
        <v>1807</v>
      </c>
      <c r="AC4" t="s">
        <v>1808</v>
      </c>
      <c r="AD4" t="s">
        <v>1809</v>
      </c>
      <c r="AE4" t="s">
        <v>1810</v>
      </c>
      <c r="AF4" t="s">
        <v>1811</v>
      </c>
      <c r="AG4" t="s">
        <v>1812</v>
      </c>
      <c r="AH4" t="s">
        <v>1813</v>
      </c>
      <c r="AI4" t="s">
        <v>1814</v>
      </c>
      <c r="AJ4" t="s">
        <v>1815</v>
      </c>
      <c r="AK4" t="s">
        <v>1816</v>
      </c>
    </row>
    <row r="5" spans="1:37" ht="20.25" customHeight="1">
      <c r="A5" s="2"/>
      <c r="B5" s="728" t="s">
        <v>996</v>
      </c>
      <c r="C5" s="728" t="s">
        <v>997</v>
      </c>
      <c r="D5" s="728" t="s">
        <v>998</v>
      </c>
      <c r="E5" s="728" t="s">
        <v>999</v>
      </c>
      <c r="F5" s="728" t="s">
        <v>1000</v>
      </c>
      <c r="G5" s="728" t="s">
        <v>983</v>
      </c>
      <c r="H5" s="728" t="s">
        <v>984</v>
      </c>
      <c r="I5" s="728" t="s">
        <v>985</v>
      </c>
      <c r="J5" s="134" t="s">
        <v>33</v>
      </c>
      <c r="L5" t="s">
        <v>1147</v>
      </c>
      <c r="M5" t="s">
        <v>1148</v>
      </c>
      <c r="N5" t="s">
        <v>1149</v>
      </c>
      <c r="O5" t="s">
        <v>1150</v>
      </c>
      <c r="P5" t="s">
        <v>1151</v>
      </c>
      <c r="Q5" t="s">
        <v>1152</v>
      </c>
      <c r="R5" t="s">
        <v>1153</v>
      </c>
      <c r="S5" t="s">
        <v>1154</v>
      </c>
      <c r="T5" t="s">
        <v>1155</v>
      </c>
      <c r="U5" t="s">
        <v>1156</v>
      </c>
      <c r="V5" t="s">
        <v>1157</v>
      </c>
      <c r="W5" t="s">
        <v>1158</v>
      </c>
      <c r="Y5" s="946"/>
      <c r="Z5" s="946" t="s">
        <v>1817</v>
      </c>
      <c r="AA5" s="946" t="s">
        <v>1818</v>
      </c>
      <c r="AB5" s="946" t="s">
        <v>1819</v>
      </c>
      <c r="AC5" s="946" t="s">
        <v>1820</v>
      </c>
      <c r="AD5" s="946" t="s">
        <v>1821</v>
      </c>
      <c r="AE5" s="946" t="s">
        <v>1822</v>
      </c>
      <c r="AF5" s="946" t="s">
        <v>1823</v>
      </c>
      <c r="AG5" s="946" t="s">
        <v>1824</v>
      </c>
      <c r="AH5" s="946" t="s">
        <v>1825</v>
      </c>
      <c r="AI5" s="946" t="s">
        <v>1826</v>
      </c>
      <c r="AJ5" s="946" t="s">
        <v>1827</v>
      </c>
      <c r="AK5" s="946" t="s">
        <v>1828</v>
      </c>
    </row>
    <row r="6" spans="1:37">
      <c r="A6" s="2">
        <v>1981</v>
      </c>
      <c r="B6" s="725">
        <f>L6/1000</f>
        <v>360.471</v>
      </c>
      <c r="C6" s="725">
        <f>M6/1000</f>
        <v>196.71600000000001</v>
      </c>
      <c r="D6" s="725">
        <f t="shared" ref="D6:D33" si="0">(N6+O6)/1000</f>
        <v>17.503</v>
      </c>
      <c r="E6" s="725">
        <f t="shared" ref="E6:F33" si="1">P6/1000</f>
        <v>33.277000000000001</v>
      </c>
      <c r="F6" s="725">
        <f t="shared" si="1"/>
        <v>43.012</v>
      </c>
      <c r="G6" s="725">
        <f t="shared" ref="G6:G33" si="2">(R6+S6)/1000</f>
        <v>40.784999999999997</v>
      </c>
      <c r="H6" s="725">
        <f t="shared" ref="H6:H33" si="3">(T6+U6)/1000</f>
        <v>37.936</v>
      </c>
      <c r="I6" s="725">
        <f t="shared" ref="I6:I33" si="4">(V6+W6)/1000</f>
        <v>-8.7579999999999991</v>
      </c>
      <c r="J6" s="725">
        <f>B6-C6-I6</f>
        <v>172.51300000000001</v>
      </c>
      <c r="K6">
        <f t="shared" ref="K6:K31" si="5">100*G6/B6</f>
        <v>11.314363707482709</v>
      </c>
      <c r="L6">
        <f t="shared" ref="L6:W21" si="6">Z6/1000000</f>
        <v>360471</v>
      </c>
      <c r="M6">
        <f t="shared" si="6"/>
        <v>196716</v>
      </c>
      <c r="N6">
        <f t="shared" si="6"/>
        <v>2823</v>
      </c>
      <c r="O6">
        <f t="shared" si="6"/>
        <v>14680</v>
      </c>
      <c r="P6">
        <f t="shared" si="6"/>
        <v>33277</v>
      </c>
      <c r="Q6">
        <f t="shared" si="6"/>
        <v>43012</v>
      </c>
      <c r="R6">
        <f t="shared" si="6"/>
        <v>35831</v>
      </c>
      <c r="S6">
        <f t="shared" si="6"/>
        <v>4954</v>
      </c>
      <c r="T6">
        <f t="shared" si="6"/>
        <v>21953</v>
      </c>
      <c r="U6">
        <f t="shared" si="6"/>
        <v>15983</v>
      </c>
      <c r="V6">
        <f t="shared" si="6"/>
        <v>-1541</v>
      </c>
      <c r="W6">
        <f t="shared" si="6"/>
        <v>-7217</v>
      </c>
      <c r="Y6" s="946">
        <v>1981</v>
      </c>
      <c r="Z6" s="947">
        <v>360471000000</v>
      </c>
      <c r="AA6" s="947">
        <v>196716000000</v>
      </c>
      <c r="AB6" s="947">
        <v>2823000000</v>
      </c>
      <c r="AC6" s="947">
        <v>14680000000</v>
      </c>
      <c r="AD6" s="947">
        <v>33277000000</v>
      </c>
      <c r="AE6" s="947">
        <v>43012000000</v>
      </c>
      <c r="AF6" s="947">
        <v>35831000000</v>
      </c>
      <c r="AG6" s="947">
        <v>4954000000</v>
      </c>
      <c r="AH6" s="947">
        <v>21953000000</v>
      </c>
      <c r="AI6" s="947">
        <v>15983000000</v>
      </c>
      <c r="AJ6" s="947">
        <v>-1541000000</v>
      </c>
      <c r="AK6" s="947">
        <v>-7217000000</v>
      </c>
    </row>
    <row r="7" spans="1:37">
      <c r="A7" s="2">
        <v>1982</v>
      </c>
      <c r="B7" s="725">
        <f t="shared" ref="B7:C30" si="7">L7/1000</f>
        <v>379.85899999999998</v>
      </c>
      <c r="C7" s="725">
        <f t="shared" si="7"/>
        <v>210.08500000000001</v>
      </c>
      <c r="D7" s="725">
        <f t="shared" si="0"/>
        <v>19.175000000000001</v>
      </c>
      <c r="E7" s="725">
        <f t="shared" si="1"/>
        <v>37.991</v>
      </c>
      <c r="F7" s="725">
        <f t="shared" si="1"/>
        <v>46.716999999999999</v>
      </c>
      <c r="G7" s="725">
        <f t="shared" si="2"/>
        <v>29.206</v>
      </c>
      <c r="H7" s="725">
        <f t="shared" si="3"/>
        <v>40.685000000000002</v>
      </c>
      <c r="I7" s="725">
        <f t="shared" si="4"/>
        <v>-4</v>
      </c>
      <c r="J7" s="725">
        <f t="shared" ref="J7:J30" si="8">B7-C7-I7</f>
        <v>173.77399999999997</v>
      </c>
      <c r="K7">
        <f t="shared" si="5"/>
        <v>7.6886423646668893</v>
      </c>
      <c r="L7">
        <f t="shared" si="6"/>
        <v>379859</v>
      </c>
      <c r="M7">
        <f t="shared" si="6"/>
        <v>210085</v>
      </c>
      <c r="N7">
        <f t="shared" si="6"/>
        <v>2191</v>
      </c>
      <c r="O7">
        <f t="shared" si="6"/>
        <v>16984</v>
      </c>
      <c r="P7">
        <f t="shared" si="6"/>
        <v>37991</v>
      </c>
      <c r="Q7">
        <f t="shared" si="6"/>
        <v>46717</v>
      </c>
      <c r="R7">
        <f t="shared" si="6"/>
        <v>26697</v>
      </c>
      <c r="S7">
        <f t="shared" si="6"/>
        <v>2509</v>
      </c>
      <c r="T7">
        <f t="shared" si="6"/>
        <v>22587</v>
      </c>
      <c r="U7">
        <f t="shared" si="6"/>
        <v>18098</v>
      </c>
      <c r="V7">
        <f t="shared" si="6"/>
        <v>-724</v>
      </c>
      <c r="W7">
        <f t="shared" si="6"/>
        <v>-3276</v>
      </c>
      <c r="Y7" s="946">
        <v>1982</v>
      </c>
      <c r="Z7" s="947">
        <v>379859000000</v>
      </c>
      <c r="AA7" s="947">
        <v>210085000000</v>
      </c>
      <c r="AB7" s="947">
        <v>2191000000</v>
      </c>
      <c r="AC7" s="947">
        <v>16984000000</v>
      </c>
      <c r="AD7" s="947">
        <v>37991000000</v>
      </c>
      <c r="AE7" s="947">
        <v>46717000000</v>
      </c>
      <c r="AF7" s="947">
        <v>26697000000</v>
      </c>
      <c r="AG7" s="947">
        <v>2509000000</v>
      </c>
      <c r="AH7" s="947">
        <v>22587000000</v>
      </c>
      <c r="AI7" s="947">
        <v>18098000000</v>
      </c>
      <c r="AJ7" s="947">
        <v>-724000000</v>
      </c>
      <c r="AK7" s="947">
        <v>-3276000000</v>
      </c>
    </row>
    <row r="8" spans="1:37">
      <c r="A8" s="2">
        <v>1983</v>
      </c>
      <c r="B8" s="725">
        <f t="shared" si="7"/>
        <v>411.38600000000002</v>
      </c>
      <c r="C8" s="725">
        <f t="shared" si="7"/>
        <v>220.28200000000001</v>
      </c>
      <c r="D8" s="725">
        <f t="shared" si="0"/>
        <v>22.728000000000002</v>
      </c>
      <c r="E8" s="725">
        <f t="shared" si="1"/>
        <v>37.061999999999998</v>
      </c>
      <c r="F8" s="725">
        <f t="shared" si="1"/>
        <v>49.648000000000003</v>
      </c>
      <c r="G8" s="725">
        <f t="shared" si="2"/>
        <v>41.161999999999999</v>
      </c>
      <c r="H8" s="725">
        <f t="shared" si="3"/>
        <v>42.292999999999999</v>
      </c>
      <c r="I8" s="725">
        <f t="shared" si="4"/>
        <v>-1.7889999999999999</v>
      </c>
      <c r="J8" s="725">
        <f t="shared" si="8"/>
        <v>192.893</v>
      </c>
      <c r="K8">
        <f t="shared" si="5"/>
        <v>10.005688088559163</v>
      </c>
      <c r="L8">
        <f t="shared" si="6"/>
        <v>411386</v>
      </c>
      <c r="M8">
        <f t="shared" si="6"/>
        <v>220282</v>
      </c>
      <c r="N8">
        <f t="shared" si="6"/>
        <v>1827</v>
      </c>
      <c r="O8">
        <f t="shared" si="6"/>
        <v>20901</v>
      </c>
      <c r="P8">
        <f t="shared" si="6"/>
        <v>37062</v>
      </c>
      <c r="Q8">
        <f t="shared" si="6"/>
        <v>49648</v>
      </c>
      <c r="R8">
        <f t="shared" si="6"/>
        <v>36730</v>
      </c>
      <c r="S8">
        <f t="shared" si="6"/>
        <v>4432</v>
      </c>
      <c r="T8">
        <f t="shared" si="6"/>
        <v>22420</v>
      </c>
      <c r="U8">
        <f t="shared" si="6"/>
        <v>19873</v>
      </c>
      <c r="V8">
        <f t="shared" si="6"/>
        <v>870</v>
      </c>
      <c r="W8">
        <f t="shared" si="6"/>
        <v>-2659</v>
      </c>
      <c r="Y8" s="946">
        <v>1983</v>
      </c>
      <c r="Z8" s="947">
        <v>411386000000</v>
      </c>
      <c r="AA8" s="947">
        <v>220282000000</v>
      </c>
      <c r="AB8" s="947">
        <v>1827000000</v>
      </c>
      <c r="AC8" s="947">
        <v>20901000000</v>
      </c>
      <c r="AD8" s="947">
        <v>37062000000</v>
      </c>
      <c r="AE8" s="947">
        <v>49648000000</v>
      </c>
      <c r="AF8" s="947">
        <v>36730000000</v>
      </c>
      <c r="AG8" s="947">
        <v>4432000000</v>
      </c>
      <c r="AH8" s="947">
        <v>22420000000</v>
      </c>
      <c r="AI8" s="947">
        <v>19873000000</v>
      </c>
      <c r="AJ8" s="947">
        <v>870000000</v>
      </c>
      <c r="AK8" s="947">
        <v>-2659000000</v>
      </c>
    </row>
    <row r="9" spans="1:37">
      <c r="A9" s="2">
        <v>1984</v>
      </c>
      <c r="B9" s="725">
        <f t="shared" si="7"/>
        <v>449.58199999999999</v>
      </c>
      <c r="C9" s="725">
        <f t="shared" si="7"/>
        <v>237.24799999999999</v>
      </c>
      <c r="D9" s="725">
        <f t="shared" si="0"/>
        <v>25.571999999999999</v>
      </c>
      <c r="E9" s="725">
        <f t="shared" si="1"/>
        <v>39.618000000000002</v>
      </c>
      <c r="F9" s="725">
        <f t="shared" si="1"/>
        <v>53.316000000000003</v>
      </c>
      <c r="G9" s="725">
        <f t="shared" si="2"/>
        <v>50.622</v>
      </c>
      <c r="H9" s="725">
        <f t="shared" si="3"/>
        <v>45.058999999999997</v>
      </c>
      <c r="I9" s="725">
        <f t="shared" si="4"/>
        <v>-1.853</v>
      </c>
      <c r="J9" s="725">
        <f t="shared" si="8"/>
        <v>214.18700000000001</v>
      </c>
      <c r="K9">
        <f t="shared" si="5"/>
        <v>11.25979242941221</v>
      </c>
      <c r="L9">
        <f t="shared" si="6"/>
        <v>449582</v>
      </c>
      <c r="M9">
        <f t="shared" si="6"/>
        <v>237248</v>
      </c>
      <c r="N9">
        <f t="shared" si="6"/>
        <v>2099</v>
      </c>
      <c r="O9">
        <f t="shared" si="6"/>
        <v>23473</v>
      </c>
      <c r="P9">
        <f t="shared" si="6"/>
        <v>39618</v>
      </c>
      <c r="Q9">
        <f t="shared" si="6"/>
        <v>53316</v>
      </c>
      <c r="R9">
        <f t="shared" si="6"/>
        <v>45686</v>
      </c>
      <c r="S9">
        <f t="shared" si="6"/>
        <v>4936</v>
      </c>
      <c r="T9">
        <f t="shared" si="6"/>
        <v>24283</v>
      </c>
      <c r="U9">
        <f t="shared" si="6"/>
        <v>20776</v>
      </c>
      <c r="V9">
        <f t="shared" si="6"/>
        <v>772</v>
      </c>
      <c r="W9">
        <f t="shared" si="6"/>
        <v>-2625</v>
      </c>
      <c r="Y9" s="946">
        <v>1984</v>
      </c>
      <c r="Z9" s="947">
        <v>449582000000</v>
      </c>
      <c r="AA9" s="947">
        <v>237248000000</v>
      </c>
      <c r="AB9" s="947">
        <v>2099000000</v>
      </c>
      <c r="AC9" s="947">
        <v>23473000000</v>
      </c>
      <c r="AD9" s="947">
        <v>39618000000</v>
      </c>
      <c r="AE9" s="947">
        <v>53316000000</v>
      </c>
      <c r="AF9" s="947">
        <v>45686000000</v>
      </c>
      <c r="AG9" s="947">
        <v>4936000000</v>
      </c>
      <c r="AH9" s="947">
        <v>24283000000</v>
      </c>
      <c r="AI9" s="947">
        <v>20776000000</v>
      </c>
      <c r="AJ9" s="947">
        <v>772000000</v>
      </c>
      <c r="AK9" s="947">
        <v>-2625000000</v>
      </c>
    </row>
    <row r="10" spans="1:37">
      <c r="A10" s="2">
        <v>1985</v>
      </c>
      <c r="B10" s="725">
        <f t="shared" si="7"/>
        <v>485.714</v>
      </c>
      <c r="C10" s="725">
        <f t="shared" si="7"/>
        <v>255.82599999999999</v>
      </c>
      <c r="D10" s="725">
        <f t="shared" si="0"/>
        <v>28.742999999999999</v>
      </c>
      <c r="E10" s="725">
        <f t="shared" si="1"/>
        <v>40.762999999999998</v>
      </c>
      <c r="F10" s="725">
        <f t="shared" si="1"/>
        <v>58.365000000000002</v>
      </c>
      <c r="G10" s="725">
        <f t="shared" si="2"/>
        <v>54.664999999999999</v>
      </c>
      <c r="H10" s="725">
        <f t="shared" si="3"/>
        <v>49.21</v>
      </c>
      <c r="I10" s="725">
        <f t="shared" si="4"/>
        <v>-1.8580000000000001</v>
      </c>
      <c r="J10" s="725">
        <f t="shared" si="8"/>
        <v>231.74600000000001</v>
      </c>
      <c r="K10">
        <f t="shared" si="5"/>
        <v>11.254565443862026</v>
      </c>
      <c r="L10">
        <f t="shared" si="6"/>
        <v>485714</v>
      </c>
      <c r="M10">
        <f t="shared" si="6"/>
        <v>255826</v>
      </c>
      <c r="N10">
        <f t="shared" si="6"/>
        <v>2839</v>
      </c>
      <c r="O10">
        <f t="shared" si="6"/>
        <v>25904</v>
      </c>
      <c r="P10">
        <f t="shared" si="6"/>
        <v>40763</v>
      </c>
      <c r="Q10">
        <f t="shared" si="6"/>
        <v>58365</v>
      </c>
      <c r="R10">
        <f t="shared" si="6"/>
        <v>49728</v>
      </c>
      <c r="S10">
        <f t="shared" si="6"/>
        <v>4937</v>
      </c>
      <c r="T10">
        <f t="shared" si="6"/>
        <v>27247</v>
      </c>
      <c r="U10">
        <f t="shared" si="6"/>
        <v>21963</v>
      </c>
      <c r="V10">
        <f t="shared" si="6"/>
        <v>-98</v>
      </c>
      <c r="W10">
        <f t="shared" si="6"/>
        <v>-1760</v>
      </c>
      <c r="Y10" s="946">
        <v>1985</v>
      </c>
      <c r="Z10" s="947">
        <v>485714000000</v>
      </c>
      <c r="AA10" s="947">
        <v>255826000000</v>
      </c>
      <c r="AB10" s="947">
        <v>2839000000</v>
      </c>
      <c r="AC10" s="947">
        <v>25904000000</v>
      </c>
      <c r="AD10" s="947">
        <v>40763000000</v>
      </c>
      <c r="AE10" s="947">
        <v>58365000000</v>
      </c>
      <c r="AF10" s="947">
        <v>49728000000</v>
      </c>
      <c r="AG10" s="947">
        <v>4937000000</v>
      </c>
      <c r="AH10" s="947">
        <v>27247000000</v>
      </c>
      <c r="AI10" s="947">
        <v>21963000000</v>
      </c>
      <c r="AJ10" s="947">
        <v>-98000000</v>
      </c>
      <c r="AK10" s="947">
        <v>-1760000000</v>
      </c>
    </row>
    <row r="11" spans="1:37">
      <c r="A11" s="2">
        <v>1986</v>
      </c>
      <c r="B11" s="725">
        <f t="shared" si="7"/>
        <v>512.54100000000005</v>
      </c>
      <c r="C11" s="725">
        <f t="shared" si="7"/>
        <v>272.755</v>
      </c>
      <c r="D11" s="725">
        <f t="shared" si="0"/>
        <v>32.399000000000001</v>
      </c>
      <c r="E11" s="725">
        <f t="shared" si="1"/>
        <v>39.481000000000002</v>
      </c>
      <c r="F11" s="725">
        <f t="shared" si="1"/>
        <v>62.64</v>
      </c>
      <c r="G11" s="725">
        <f t="shared" si="2"/>
        <v>49.780999999999999</v>
      </c>
      <c r="H11" s="725">
        <f t="shared" si="3"/>
        <v>56.320999999999998</v>
      </c>
      <c r="I11" s="725">
        <f t="shared" si="4"/>
        <v>-0.83599999999999997</v>
      </c>
      <c r="J11" s="725">
        <f t="shared" si="8"/>
        <v>240.62200000000007</v>
      </c>
      <c r="K11">
        <f t="shared" si="5"/>
        <v>9.7125888465508101</v>
      </c>
      <c r="L11">
        <f t="shared" si="6"/>
        <v>512541</v>
      </c>
      <c r="M11">
        <f t="shared" si="6"/>
        <v>272755</v>
      </c>
      <c r="N11">
        <f t="shared" si="6"/>
        <v>3825</v>
      </c>
      <c r="O11">
        <f t="shared" si="6"/>
        <v>28574</v>
      </c>
      <c r="P11">
        <f t="shared" si="6"/>
        <v>39481</v>
      </c>
      <c r="Q11">
        <f t="shared" si="6"/>
        <v>62640</v>
      </c>
      <c r="R11">
        <f t="shared" si="6"/>
        <v>45217</v>
      </c>
      <c r="S11">
        <f t="shared" si="6"/>
        <v>4564</v>
      </c>
      <c r="T11">
        <f t="shared" si="6"/>
        <v>33003</v>
      </c>
      <c r="U11">
        <f t="shared" si="6"/>
        <v>23318</v>
      </c>
      <c r="V11">
        <f t="shared" si="6"/>
        <v>571</v>
      </c>
      <c r="W11">
        <f t="shared" si="6"/>
        <v>-1407</v>
      </c>
      <c r="Y11" s="946">
        <v>1986</v>
      </c>
      <c r="Z11" s="947">
        <v>512541000000</v>
      </c>
      <c r="AA11" s="947">
        <v>272755000000</v>
      </c>
      <c r="AB11" s="947">
        <v>3825000000</v>
      </c>
      <c r="AC11" s="947">
        <v>28574000000</v>
      </c>
      <c r="AD11" s="947">
        <v>39481000000</v>
      </c>
      <c r="AE11" s="947">
        <v>62640000000</v>
      </c>
      <c r="AF11" s="947">
        <v>45217000000</v>
      </c>
      <c r="AG11" s="947">
        <v>4564000000</v>
      </c>
      <c r="AH11" s="947">
        <v>33003000000</v>
      </c>
      <c r="AI11" s="947">
        <v>23318000000</v>
      </c>
      <c r="AJ11" s="947">
        <v>571000000</v>
      </c>
      <c r="AK11" s="947">
        <v>-1407000000</v>
      </c>
    </row>
    <row r="12" spans="1:37">
      <c r="A12" s="2">
        <v>1987</v>
      </c>
      <c r="B12" s="725">
        <f t="shared" si="7"/>
        <v>558.94899999999996</v>
      </c>
      <c r="C12" s="725">
        <f t="shared" si="7"/>
        <v>296.44200000000001</v>
      </c>
      <c r="D12" s="725">
        <f t="shared" si="0"/>
        <v>32.746000000000002</v>
      </c>
      <c r="E12" s="725">
        <f t="shared" si="1"/>
        <v>38.841000000000001</v>
      </c>
      <c r="F12" s="725">
        <f t="shared" si="1"/>
        <v>66.253</v>
      </c>
      <c r="G12" s="725">
        <f t="shared" si="2"/>
        <v>63.014000000000003</v>
      </c>
      <c r="H12" s="725">
        <f t="shared" si="3"/>
        <v>63.585000000000001</v>
      </c>
      <c r="I12" s="725">
        <f t="shared" si="4"/>
        <v>-1.9319999999999999</v>
      </c>
      <c r="J12" s="725">
        <f t="shared" si="8"/>
        <v>264.43899999999996</v>
      </c>
      <c r="K12">
        <f t="shared" si="5"/>
        <v>11.273658240733951</v>
      </c>
      <c r="L12">
        <f t="shared" si="6"/>
        <v>558949</v>
      </c>
      <c r="M12">
        <f t="shared" si="6"/>
        <v>296442</v>
      </c>
      <c r="N12">
        <f t="shared" si="6"/>
        <v>1985</v>
      </c>
      <c r="O12">
        <f t="shared" si="6"/>
        <v>30761</v>
      </c>
      <c r="P12">
        <f t="shared" si="6"/>
        <v>38841</v>
      </c>
      <c r="Q12">
        <f t="shared" si="6"/>
        <v>66253</v>
      </c>
      <c r="R12">
        <f t="shared" si="6"/>
        <v>57888</v>
      </c>
      <c r="S12">
        <f t="shared" si="6"/>
        <v>5126</v>
      </c>
      <c r="T12">
        <f t="shared" si="6"/>
        <v>38049</v>
      </c>
      <c r="U12">
        <f t="shared" si="6"/>
        <v>25536</v>
      </c>
      <c r="V12">
        <f t="shared" si="6"/>
        <v>1305</v>
      </c>
      <c r="W12">
        <f t="shared" si="6"/>
        <v>-3237</v>
      </c>
      <c r="Y12" s="946">
        <v>1987</v>
      </c>
      <c r="Z12" s="947">
        <v>558949000000</v>
      </c>
      <c r="AA12" s="947">
        <v>296442000000</v>
      </c>
      <c r="AB12" s="947">
        <v>1985000000</v>
      </c>
      <c r="AC12" s="947">
        <v>30761000000</v>
      </c>
      <c r="AD12" s="947">
        <v>38841000000</v>
      </c>
      <c r="AE12" s="947">
        <v>66253000000</v>
      </c>
      <c r="AF12" s="947">
        <v>57888000000</v>
      </c>
      <c r="AG12" s="947">
        <v>5126000000</v>
      </c>
      <c r="AH12" s="947">
        <v>38049000000</v>
      </c>
      <c r="AI12" s="947">
        <v>25536000000</v>
      </c>
      <c r="AJ12" s="947">
        <v>1305000000</v>
      </c>
      <c r="AK12" s="947">
        <v>-3237000000</v>
      </c>
    </row>
    <row r="13" spans="1:37">
      <c r="A13" s="2">
        <v>1988</v>
      </c>
      <c r="B13" s="725">
        <f t="shared" si="7"/>
        <v>613.09400000000005</v>
      </c>
      <c r="C13" s="725">
        <f t="shared" si="7"/>
        <v>325.24799999999999</v>
      </c>
      <c r="D13" s="725">
        <f t="shared" si="0"/>
        <v>36.396000000000001</v>
      </c>
      <c r="E13" s="725">
        <f t="shared" si="1"/>
        <v>42.188000000000002</v>
      </c>
      <c r="F13" s="725">
        <f t="shared" si="1"/>
        <v>70.477000000000004</v>
      </c>
      <c r="G13" s="725">
        <f t="shared" si="2"/>
        <v>71.72</v>
      </c>
      <c r="H13" s="725">
        <f t="shared" si="3"/>
        <v>71.953999999999994</v>
      </c>
      <c r="I13" s="725">
        <f t="shared" si="4"/>
        <v>-4.8890000000000002</v>
      </c>
      <c r="J13" s="725">
        <f t="shared" si="8"/>
        <v>292.73500000000007</v>
      </c>
      <c r="K13">
        <f t="shared" si="5"/>
        <v>11.698043040708276</v>
      </c>
      <c r="L13">
        <f t="shared" si="6"/>
        <v>613094</v>
      </c>
      <c r="M13">
        <f t="shared" si="6"/>
        <v>325248</v>
      </c>
      <c r="N13">
        <f t="shared" si="6"/>
        <v>3283</v>
      </c>
      <c r="O13">
        <f t="shared" si="6"/>
        <v>33113</v>
      </c>
      <c r="P13">
        <f t="shared" si="6"/>
        <v>42188</v>
      </c>
      <c r="Q13">
        <f t="shared" si="6"/>
        <v>70477</v>
      </c>
      <c r="R13">
        <f t="shared" si="6"/>
        <v>64891</v>
      </c>
      <c r="S13">
        <f t="shared" si="6"/>
        <v>6829</v>
      </c>
      <c r="T13">
        <f t="shared" si="6"/>
        <v>44210</v>
      </c>
      <c r="U13">
        <f t="shared" si="6"/>
        <v>27744</v>
      </c>
      <c r="V13">
        <f t="shared" si="6"/>
        <v>-1796</v>
      </c>
      <c r="W13">
        <f t="shared" si="6"/>
        <v>-3093</v>
      </c>
      <c r="Y13" s="946">
        <v>1988</v>
      </c>
      <c r="Z13" s="947">
        <v>613094000000</v>
      </c>
      <c r="AA13" s="947">
        <v>325248000000</v>
      </c>
      <c r="AB13" s="947">
        <v>3283000000</v>
      </c>
      <c r="AC13" s="947">
        <v>33113000000</v>
      </c>
      <c r="AD13" s="947">
        <v>42188000000</v>
      </c>
      <c r="AE13" s="947">
        <v>70477000000</v>
      </c>
      <c r="AF13" s="947">
        <v>64891000000</v>
      </c>
      <c r="AG13" s="947">
        <v>6829000000</v>
      </c>
      <c r="AH13" s="947">
        <v>44210000000</v>
      </c>
      <c r="AI13" s="947">
        <v>27744000000</v>
      </c>
      <c r="AJ13" s="947">
        <v>-1796000000</v>
      </c>
      <c r="AK13" s="947">
        <v>-3093000000</v>
      </c>
    </row>
    <row r="14" spans="1:37">
      <c r="A14" s="2">
        <v>1989</v>
      </c>
      <c r="B14" s="725">
        <f t="shared" si="7"/>
        <v>657.72799999999995</v>
      </c>
      <c r="C14" s="725">
        <f t="shared" si="7"/>
        <v>350.74299999999999</v>
      </c>
      <c r="D14" s="725">
        <f t="shared" si="0"/>
        <v>36.841999999999999</v>
      </c>
      <c r="E14" s="725">
        <f t="shared" si="1"/>
        <v>48.012999999999998</v>
      </c>
      <c r="F14" s="725">
        <f t="shared" si="1"/>
        <v>75.94</v>
      </c>
      <c r="G14" s="725">
        <f t="shared" si="2"/>
        <v>66.906999999999996</v>
      </c>
      <c r="H14" s="725">
        <f t="shared" si="3"/>
        <v>81.120999999999995</v>
      </c>
      <c r="I14" s="725">
        <f t="shared" si="4"/>
        <v>-1.8380000000000001</v>
      </c>
      <c r="J14" s="725">
        <f t="shared" si="8"/>
        <v>308.82299999999998</v>
      </c>
      <c r="K14">
        <f t="shared" si="5"/>
        <v>10.17244210372677</v>
      </c>
      <c r="L14">
        <f t="shared" si="6"/>
        <v>657728</v>
      </c>
      <c r="M14">
        <f t="shared" si="6"/>
        <v>350743</v>
      </c>
      <c r="N14">
        <f t="shared" si="6"/>
        <v>1986</v>
      </c>
      <c r="O14">
        <f t="shared" si="6"/>
        <v>34856</v>
      </c>
      <c r="P14">
        <f t="shared" si="6"/>
        <v>48013</v>
      </c>
      <c r="Q14">
        <f t="shared" si="6"/>
        <v>75940</v>
      </c>
      <c r="R14">
        <f t="shared" si="6"/>
        <v>59661</v>
      </c>
      <c r="S14">
        <f t="shared" si="6"/>
        <v>7246</v>
      </c>
      <c r="T14">
        <f t="shared" si="6"/>
        <v>50055</v>
      </c>
      <c r="U14">
        <f t="shared" si="6"/>
        <v>31066</v>
      </c>
      <c r="V14">
        <f t="shared" si="6"/>
        <v>-386</v>
      </c>
      <c r="W14">
        <f t="shared" si="6"/>
        <v>-1452</v>
      </c>
      <c r="Y14" s="946">
        <v>1989</v>
      </c>
      <c r="Z14" s="947">
        <v>657728000000</v>
      </c>
      <c r="AA14" s="947">
        <v>350743000000</v>
      </c>
      <c r="AB14" s="947">
        <v>1986000000</v>
      </c>
      <c r="AC14" s="947">
        <v>34856000000</v>
      </c>
      <c r="AD14" s="947">
        <v>48013000000</v>
      </c>
      <c r="AE14" s="947">
        <v>75940000000</v>
      </c>
      <c r="AF14" s="947">
        <v>59661000000</v>
      </c>
      <c r="AG14" s="947">
        <v>7246000000</v>
      </c>
      <c r="AH14" s="947">
        <v>50055000000</v>
      </c>
      <c r="AI14" s="947">
        <v>31066000000</v>
      </c>
      <c r="AJ14" s="947">
        <v>-386000000</v>
      </c>
      <c r="AK14" s="947">
        <v>-1452000000</v>
      </c>
    </row>
    <row r="15" spans="1:37">
      <c r="A15" s="2">
        <v>1990</v>
      </c>
      <c r="B15" s="725">
        <f t="shared" si="7"/>
        <v>679.92100000000005</v>
      </c>
      <c r="C15" s="725">
        <f t="shared" si="7"/>
        <v>368.89100000000002</v>
      </c>
      <c r="D15" s="725">
        <f t="shared" si="0"/>
        <v>37.597000000000001</v>
      </c>
      <c r="E15" s="725">
        <f t="shared" si="1"/>
        <v>54.874000000000002</v>
      </c>
      <c r="F15" s="725">
        <f t="shared" si="1"/>
        <v>82.244</v>
      </c>
      <c r="G15" s="725">
        <f t="shared" si="2"/>
        <v>51.396000000000001</v>
      </c>
      <c r="H15" s="725">
        <f t="shared" si="3"/>
        <v>84.641000000000005</v>
      </c>
      <c r="I15" s="725">
        <f t="shared" si="4"/>
        <v>0.27800000000000002</v>
      </c>
      <c r="J15" s="725">
        <f t="shared" si="8"/>
        <v>310.75200000000001</v>
      </c>
      <c r="K15">
        <f t="shared" si="5"/>
        <v>7.5591134852431381</v>
      </c>
      <c r="L15">
        <f t="shared" si="6"/>
        <v>679921</v>
      </c>
      <c r="M15">
        <f t="shared" si="6"/>
        <v>368891</v>
      </c>
      <c r="N15">
        <f t="shared" si="6"/>
        <v>2053</v>
      </c>
      <c r="O15">
        <f t="shared" si="6"/>
        <v>35544</v>
      </c>
      <c r="P15">
        <f t="shared" si="6"/>
        <v>54874</v>
      </c>
      <c r="Q15">
        <f t="shared" si="6"/>
        <v>82244</v>
      </c>
      <c r="R15">
        <f t="shared" si="6"/>
        <v>44936</v>
      </c>
      <c r="S15">
        <f t="shared" si="6"/>
        <v>6460</v>
      </c>
      <c r="T15">
        <f t="shared" si="6"/>
        <v>48517</v>
      </c>
      <c r="U15">
        <f t="shared" si="6"/>
        <v>36124</v>
      </c>
      <c r="V15">
        <f t="shared" si="6"/>
        <v>-22</v>
      </c>
      <c r="W15">
        <f t="shared" si="6"/>
        <v>300</v>
      </c>
      <c r="Y15" s="946">
        <v>1990</v>
      </c>
      <c r="Z15" s="947">
        <v>679921000000</v>
      </c>
      <c r="AA15" s="947">
        <v>368891000000</v>
      </c>
      <c r="AB15" s="947">
        <v>2053000000</v>
      </c>
      <c r="AC15" s="947">
        <v>35544000000</v>
      </c>
      <c r="AD15" s="947">
        <v>54874000000</v>
      </c>
      <c r="AE15" s="947">
        <v>82244000000</v>
      </c>
      <c r="AF15" s="947">
        <v>44936000000</v>
      </c>
      <c r="AG15" s="947">
        <v>6460000000</v>
      </c>
      <c r="AH15" s="947">
        <v>48517000000</v>
      </c>
      <c r="AI15" s="947">
        <v>36124000000</v>
      </c>
      <c r="AJ15" s="947">
        <v>-22000000</v>
      </c>
      <c r="AK15" s="947">
        <v>300000000</v>
      </c>
    </row>
    <row r="16" spans="1:37">
      <c r="A16" s="2">
        <v>1991</v>
      </c>
      <c r="B16" s="725">
        <f t="shared" si="7"/>
        <v>685.36699999999996</v>
      </c>
      <c r="C16" s="725">
        <f t="shared" si="7"/>
        <v>379.09100000000001</v>
      </c>
      <c r="D16" s="725">
        <f t="shared" si="0"/>
        <v>38.875</v>
      </c>
      <c r="E16" s="725">
        <f t="shared" si="1"/>
        <v>54.485999999999997</v>
      </c>
      <c r="F16" s="725">
        <f t="shared" si="1"/>
        <v>85.906000000000006</v>
      </c>
      <c r="G16" s="725">
        <f t="shared" si="2"/>
        <v>38.098999999999997</v>
      </c>
      <c r="H16" s="725">
        <f t="shared" si="3"/>
        <v>87.838999999999999</v>
      </c>
      <c r="I16" s="725">
        <f t="shared" si="4"/>
        <v>1.071</v>
      </c>
      <c r="J16" s="725">
        <f t="shared" si="8"/>
        <v>305.20499999999993</v>
      </c>
      <c r="K16">
        <f t="shared" si="5"/>
        <v>5.558919527785843</v>
      </c>
      <c r="L16">
        <f t="shared" si="6"/>
        <v>685367</v>
      </c>
      <c r="M16">
        <f t="shared" si="6"/>
        <v>379091</v>
      </c>
      <c r="N16">
        <f t="shared" si="6"/>
        <v>1853</v>
      </c>
      <c r="O16">
        <f t="shared" si="6"/>
        <v>37022</v>
      </c>
      <c r="P16">
        <f t="shared" si="6"/>
        <v>54486</v>
      </c>
      <c r="Q16">
        <f t="shared" si="6"/>
        <v>85906</v>
      </c>
      <c r="R16">
        <f t="shared" si="6"/>
        <v>32920</v>
      </c>
      <c r="S16">
        <f t="shared" si="6"/>
        <v>5179</v>
      </c>
      <c r="T16">
        <f t="shared" si="6"/>
        <v>49275</v>
      </c>
      <c r="U16">
        <f t="shared" si="6"/>
        <v>38564</v>
      </c>
      <c r="V16">
        <f t="shared" si="6"/>
        <v>-13</v>
      </c>
      <c r="W16">
        <f t="shared" si="6"/>
        <v>1084</v>
      </c>
      <c r="Y16" s="946">
        <v>1991</v>
      </c>
      <c r="Z16" s="947">
        <v>685367000000</v>
      </c>
      <c r="AA16" s="947">
        <v>379091000000</v>
      </c>
      <c r="AB16" s="947">
        <v>1853000000</v>
      </c>
      <c r="AC16" s="947">
        <v>37022000000</v>
      </c>
      <c r="AD16" s="947">
        <v>54486000000</v>
      </c>
      <c r="AE16" s="947">
        <v>85906000000</v>
      </c>
      <c r="AF16" s="947">
        <v>32920000000</v>
      </c>
      <c r="AG16" s="947">
        <v>5179000000</v>
      </c>
      <c r="AH16" s="947">
        <v>49275000000</v>
      </c>
      <c r="AI16" s="947">
        <v>38564000000</v>
      </c>
      <c r="AJ16" s="947">
        <v>-13000000</v>
      </c>
      <c r="AK16" s="947">
        <v>1084000000</v>
      </c>
    </row>
    <row r="17" spans="1:37">
      <c r="A17" s="2">
        <v>1992</v>
      </c>
      <c r="B17" s="725">
        <f t="shared" si="7"/>
        <v>700.48</v>
      </c>
      <c r="C17" s="725">
        <f t="shared" si="7"/>
        <v>387.78800000000001</v>
      </c>
      <c r="D17" s="725">
        <f t="shared" si="0"/>
        <v>41.133000000000003</v>
      </c>
      <c r="E17" s="725">
        <f t="shared" si="1"/>
        <v>52.741999999999997</v>
      </c>
      <c r="F17" s="725">
        <f t="shared" si="1"/>
        <v>89.572999999999993</v>
      </c>
      <c r="G17" s="725">
        <f t="shared" si="2"/>
        <v>38.640999999999998</v>
      </c>
      <c r="H17" s="725">
        <f t="shared" si="3"/>
        <v>92.353999999999999</v>
      </c>
      <c r="I17" s="725">
        <f t="shared" si="4"/>
        <v>-1.7509999999999999</v>
      </c>
      <c r="J17" s="725">
        <f t="shared" si="8"/>
        <v>314.44299999999998</v>
      </c>
      <c r="K17">
        <f t="shared" si="5"/>
        <v>5.5163602101416167</v>
      </c>
      <c r="L17">
        <f t="shared" si="6"/>
        <v>700480</v>
      </c>
      <c r="M17">
        <f t="shared" si="6"/>
        <v>387788</v>
      </c>
      <c r="N17">
        <f t="shared" si="6"/>
        <v>1727</v>
      </c>
      <c r="O17">
        <f t="shared" si="6"/>
        <v>39406</v>
      </c>
      <c r="P17">
        <f t="shared" si="6"/>
        <v>52742</v>
      </c>
      <c r="Q17">
        <f t="shared" si="6"/>
        <v>89573</v>
      </c>
      <c r="R17">
        <f t="shared" si="6"/>
        <v>32648</v>
      </c>
      <c r="S17">
        <f t="shared" si="6"/>
        <v>5993</v>
      </c>
      <c r="T17">
        <f t="shared" si="6"/>
        <v>51378</v>
      </c>
      <c r="U17">
        <f t="shared" si="6"/>
        <v>40976</v>
      </c>
      <c r="V17">
        <f t="shared" si="6"/>
        <v>1534</v>
      </c>
      <c r="W17">
        <f t="shared" si="6"/>
        <v>-3285</v>
      </c>
      <c r="Y17" s="946">
        <v>1992</v>
      </c>
      <c r="Z17" s="947">
        <v>700480000000</v>
      </c>
      <c r="AA17" s="947">
        <v>387788000000</v>
      </c>
      <c r="AB17" s="947">
        <v>1727000000</v>
      </c>
      <c r="AC17" s="947">
        <v>39406000000</v>
      </c>
      <c r="AD17" s="947">
        <v>52742000000</v>
      </c>
      <c r="AE17" s="947">
        <v>89573000000</v>
      </c>
      <c r="AF17" s="947">
        <v>32648000000</v>
      </c>
      <c r="AG17" s="947">
        <v>5993000000</v>
      </c>
      <c r="AH17" s="947">
        <v>51378000000</v>
      </c>
      <c r="AI17" s="947">
        <v>40976000000</v>
      </c>
      <c r="AJ17" s="947">
        <v>1534000000</v>
      </c>
      <c r="AK17" s="947">
        <v>-3285000000</v>
      </c>
    </row>
    <row r="18" spans="1:37">
      <c r="A18" s="2">
        <v>1993</v>
      </c>
      <c r="B18" s="725">
        <f t="shared" si="7"/>
        <v>727.18399999999997</v>
      </c>
      <c r="C18" s="725">
        <f t="shared" si="7"/>
        <v>394.81599999999997</v>
      </c>
      <c r="D18" s="725">
        <f t="shared" si="0"/>
        <v>44.085000000000001</v>
      </c>
      <c r="E18" s="725">
        <f t="shared" si="1"/>
        <v>52.381</v>
      </c>
      <c r="F18" s="725">
        <f t="shared" si="1"/>
        <v>94.034999999999997</v>
      </c>
      <c r="G18" s="725">
        <f t="shared" si="2"/>
        <v>45.795999999999999</v>
      </c>
      <c r="H18" s="725">
        <f t="shared" si="3"/>
        <v>97.227000000000004</v>
      </c>
      <c r="I18" s="725">
        <f t="shared" si="4"/>
        <v>-1.1559999999999999</v>
      </c>
      <c r="J18" s="725">
        <f t="shared" si="8"/>
        <v>333.524</v>
      </c>
      <c r="K18">
        <f t="shared" si="5"/>
        <v>6.2977183216352399</v>
      </c>
      <c r="L18">
        <f t="shared" si="6"/>
        <v>727184</v>
      </c>
      <c r="M18">
        <f t="shared" si="6"/>
        <v>394816</v>
      </c>
      <c r="N18">
        <f t="shared" si="6"/>
        <v>2017</v>
      </c>
      <c r="O18">
        <f t="shared" si="6"/>
        <v>42068</v>
      </c>
      <c r="P18">
        <f t="shared" si="6"/>
        <v>52381</v>
      </c>
      <c r="Q18">
        <f t="shared" si="6"/>
        <v>94035</v>
      </c>
      <c r="R18">
        <f t="shared" si="6"/>
        <v>41102</v>
      </c>
      <c r="S18">
        <f t="shared" si="6"/>
        <v>4694</v>
      </c>
      <c r="T18">
        <f t="shared" si="6"/>
        <v>54350</v>
      </c>
      <c r="U18">
        <f t="shared" si="6"/>
        <v>42877</v>
      </c>
      <c r="V18">
        <f t="shared" si="6"/>
        <v>1966</v>
      </c>
      <c r="W18">
        <f t="shared" si="6"/>
        <v>-3122</v>
      </c>
      <c r="Y18" s="946">
        <v>1993</v>
      </c>
      <c r="Z18" s="947">
        <v>727184000000</v>
      </c>
      <c r="AA18" s="947">
        <v>394816000000</v>
      </c>
      <c r="AB18" s="947">
        <v>2017000000</v>
      </c>
      <c r="AC18" s="947">
        <v>42068000000</v>
      </c>
      <c r="AD18" s="947">
        <v>52381000000</v>
      </c>
      <c r="AE18" s="947">
        <v>94035000000</v>
      </c>
      <c r="AF18" s="947">
        <v>41102000000</v>
      </c>
      <c r="AG18" s="947">
        <v>4694000000</v>
      </c>
      <c r="AH18" s="947">
        <v>54350000000</v>
      </c>
      <c r="AI18" s="947">
        <v>42877000000</v>
      </c>
      <c r="AJ18" s="947">
        <v>1966000000</v>
      </c>
      <c r="AK18" s="947">
        <v>-3122000000</v>
      </c>
    </row>
    <row r="19" spans="1:37">
      <c r="A19" s="2">
        <v>1994</v>
      </c>
      <c r="B19" s="725">
        <f t="shared" si="7"/>
        <v>770.87300000000005</v>
      </c>
      <c r="C19" s="725">
        <f t="shared" si="7"/>
        <v>404.91800000000001</v>
      </c>
      <c r="D19" s="725">
        <f t="shared" si="0"/>
        <v>46.186</v>
      </c>
      <c r="E19" s="725">
        <f t="shared" si="1"/>
        <v>52</v>
      </c>
      <c r="F19" s="725">
        <f t="shared" si="1"/>
        <v>99.631</v>
      </c>
      <c r="G19" s="725">
        <f t="shared" si="2"/>
        <v>71.290999999999997</v>
      </c>
      <c r="H19" s="725">
        <f t="shared" si="3"/>
        <v>101.05</v>
      </c>
      <c r="I19" s="725">
        <f t="shared" si="4"/>
        <v>-4.2030000000000003</v>
      </c>
      <c r="J19" s="725">
        <f t="shared" si="8"/>
        <v>370.15800000000002</v>
      </c>
      <c r="K19">
        <f t="shared" si="5"/>
        <v>9.2480862606421539</v>
      </c>
      <c r="L19">
        <f t="shared" si="6"/>
        <v>770873</v>
      </c>
      <c r="M19">
        <f t="shared" si="6"/>
        <v>404918</v>
      </c>
      <c r="N19">
        <f t="shared" si="6"/>
        <v>1255</v>
      </c>
      <c r="O19">
        <f t="shared" si="6"/>
        <v>44931</v>
      </c>
      <c r="P19">
        <f t="shared" si="6"/>
        <v>52000</v>
      </c>
      <c r="Q19">
        <f t="shared" si="6"/>
        <v>99631</v>
      </c>
      <c r="R19">
        <f t="shared" si="6"/>
        <v>65464</v>
      </c>
      <c r="S19">
        <f t="shared" si="6"/>
        <v>5827</v>
      </c>
      <c r="T19">
        <f t="shared" si="6"/>
        <v>56721</v>
      </c>
      <c r="U19">
        <f t="shared" si="6"/>
        <v>44329</v>
      </c>
      <c r="V19">
        <f t="shared" si="6"/>
        <v>1169</v>
      </c>
      <c r="W19">
        <f t="shared" si="6"/>
        <v>-5372</v>
      </c>
      <c r="Y19" s="946">
        <v>1994</v>
      </c>
      <c r="Z19" s="947">
        <v>770873000000</v>
      </c>
      <c r="AA19" s="947">
        <v>404918000000</v>
      </c>
      <c r="AB19" s="947">
        <v>1255000000</v>
      </c>
      <c r="AC19" s="947">
        <v>44931000000</v>
      </c>
      <c r="AD19" s="947">
        <v>52000000000</v>
      </c>
      <c r="AE19" s="947">
        <v>99631000000</v>
      </c>
      <c r="AF19" s="947">
        <v>65464000000</v>
      </c>
      <c r="AG19" s="947">
        <v>5827000000</v>
      </c>
      <c r="AH19" s="947">
        <v>56721000000</v>
      </c>
      <c r="AI19" s="947">
        <v>44329000000</v>
      </c>
      <c r="AJ19" s="947">
        <v>1169000000</v>
      </c>
      <c r="AK19" s="947">
        <v>-5372000000</v>
      </c>
    </row>
    <row r="20" spans="1:37">
      <c r="A20" s="2">
        <v>1995</v>
      </c>
      <c r="B20" s="725">
        <f t="shared" si="7"/>
        <v>810.42600000000004</v>
      </c>
      <c r="C20" s="725">
        <f t="shared" si="7"/>
        <v>418.82499999999999</v>
      </c>
      <c r="D20" s="725">
        <f t="shared" si="0"/>
        <v>49.064999999999998</v>
      </c>
      <c r="E20" s="725">
        <f t="shared" si="1"/>
        <v>50.981000000000002</v>
      </c>
      <c r="F20" s="725">
        <f t="shared" si="1"/>
        <v>105.021</v>
      </c>
      <c r="G20" s="725">
        <f t="shared" si="2"/>
        <v>82.978999999999999</v>
      </c>
      <c r="H20" s="725">
        <f t="shared" si="3"/>
        <v>105.199</v>
      </c>
      <c r="I20" s="725">
        <f t="shared" si="4"/>
        <v>-1.6439999999999999</v>
      </c>
      <c r="J20" s="725">
        <f t="shared" si="8"/>
        <v>393.24500000000006</v>
      </c>
      <c r="K20">
        <f t="shared" si="5"/>
        <v>10.238936065723458</v>
      </c>
      <c r="L20">
        <f t="shared" si="6"/>
        <v>810426</v>
      </c>
      <c r="M20">
        <f t="shared" si="6"/>
        <v>418825</v>
      </c>
      <c r="N20">
        <f t="shared" si="6"/>
        <v>2702</v>
      </c>
      <c r="O20">
        <f t="shared" si="6"/>
        <v>46363</v>
      </c>
      <c r="P20">
        <f t="shared" si="6"/>
        <v>50981</v>
      </c>
      <c r="Q20">
        <f t="shared" si="6"/>
        <v>105021</v>
      </c>
      <c r="R20">
        <f t="shared" si="6"/>
        <v>76270</v>
      </c>
      <c r="S20">
        <f t="shared" si="6"/>
        <v>6709</v>
      </c>
      <c r="T20">
        <f t="shared" si="6"/>
        <v>59758</v>
      </c>
      <c r="U20">
        <f t="shared" si="6"/>
        <v>45441</v>
      </c>
      <c r="V20">
        <f t="shared" si="6"/>
        <v>829</v>
      </c>
      <c r="W20">
        <f t="shared" si="6"/>
        <v>-2473</v>
      </c>
      <c r="Y20" s="946">
        <v>1995</v>
      </c>
      <c r="Z20" s="947">
        <v>810426000000</v>
      </c>
      <c r="AA20" s="947">
        <v>418825000000</v>
      </c>
      <c r="AB20" s="947">
        <v>2702000000</v>
      </c>
      <c r="AC20" s="947">
        <v>46363000000</v>
      </c>
      <c r="AD20" s="947">
        <v>50981000000</v>
      </c>
      <c r="AE20" s="947">
        <v>105021000000</v>
      </c>
      <c r="AF20" s="947">
        <v>76270000000</v>
      </c>
      <c r="AG20" s="947">
        <v>6709000000</v>
      </c>
      <c r="AH20" s="947">
        <v>59758000000</v>
      </c>
      <c r="AI20" s="947">
        <v>45441000000</v>
      </c>
      <c r="AJ20" s="947">
        <v>829000000</v>
      </c>
      <c r="AK20" s="947">
        <v>-2473000000</v>
      </c>
    </row>
    <row r="21" spans="1:37">
      <c r="A21" s="2">
        <v>1996</v>
      </c>
      <c r="B21" s="725">
        <f t="shared" si="7"/>
        <v>836.86400000000003</v>
      </c>
      <c r="C21" s="725">
        <f t="shared" si="7"/>
        <v>428.79199999999997</v>
      </c>
      <c r="D21" s="725">
        <f t="shared" si="0"/>
        <v>53.103000000000002</v>
      </c>
      <c r="E21" s="725">
        <f t="shared" si="1"/>
        <v>50.476999999999997</v>
      </c>
      <c r="F21" s="725">
        <f t="shared" si="1"/>
        <v>110.818</v>
      </c>
      <c r="G21" s="725">
        <f t="shared" si="2"/>
        <v>86.477999999999994</v>
      </c>
      <c r="H21" s="725">
        <f t="shared" si="3"/>
        <v>108.166</v>
      </c>
      <c r="I21" s="725">
        <f t="shared" si="4"/>
        <v>-0.97</v>
      </c>
      <c r="J21" s="725">
        <f t="shared" si="8"/>
        <v>409.04200000000009</v>
      </c>
      <c r="K21">
        <f t="shared" si="5"/>
        <v>10.333578693790148</v>
      </c>
      <c r="L21">
        <f t="shared" si="6"/>
        <v>836864</v>
      </c>
      <c r="M21">
        <f t="shared" si="6"/>
        <v>428792</v>
      </c>
      <c r="N21">
        <f t="shared" si="6"/>
        <v>3825</v>
      </c>
      <c r="O21">
        <f t="shared" si="6"/>
        <v>49278</v>
      </c>
      <c r="P21">
        <f t="shared" si="6"/>
        <v>50477</v>
      </c>
      <c r="Q21">
        <f t="shared" si="6"/>
        <v>110818</v>
      </c>
      <c r="R21">
        <f t="shared" si="6"/>
        <v>80335</v>
      </c>
      <c r="S21">
        <f t="shared" si="6"/>
        <v>6143</v>
      </c>
      <c r="T21">
        <f t="shared" si="6"/>
        <v>61126</v>
      </c>
      <c r="U21">
        <f t="shared" si="6"/>
        <v>47040</v>
      </c>
      <c r="V21">
        <f t="shared" si="6"/>
        <v>626</v>
      </c>
      <c r="W21">
        <f t="shared" si="6"/>
        <v>-1596</v>
      </c>
      <c r="Y21" s="946">
        <v>1996</v>
      </c>
      <c r="Z21" s="947">
        <v>836864000000</v>
      </c>
      <c r="AA21" s="947">
        <v>428792000000</v>
      </c>
      <c r="AB21" s="947">
        <v>3825000000</v>
      </c>
      <c r="AC21" s="947">
        <v>49278000000</v>
      </c>
      <c r="AD21" s="947">
        <v>50477000000</v>
      </c>
      <c r="AE21" s="947">
        <v>110818000000</v>
      </c>
      <c r="AF21" s="947">
        <v>80335000000</v>
      </c>
      <c r="AG21" s="947">
        <v>6143000000</v>
      </c>
      <c r="AH21" s="947">
        <v>61126000000</v>
      </c>
      <c r="AI21" s="947">
        <v>47040000000</v>
      </c>
      <c r="AJ21" s="947">
        <v>626000000</v>
      </c>
      <c r="AK21" s="947">
        <v>-1596000000</v>
      </c>
    </row>
    <row r="22" spans="1:37">
      <c r="A22" s="2">
        <v>1997</v>
      </c>
      <c r="B22" s="725">
        <f t="shared" si="7"/>
        <v>882.73299999999995</v>
      </c>
      <c r="C22" s="725">
        <f t="shared" si="7"/>
        <v>453.07299999999998</v>
      </c>
      <c r="D22" s="725">
        <f t="shared" si="0"/>
        <v>56.326000000000001</v>
      </c>
      <c r="E22" s="725">
        <f t="shared" si="1"/>
        <v>48.881</v>
      </c>
      <c r="F22" s="725">
        <f t="shared" si="1"/>
        <v>116.574</v>
      </c>
      <c r="G22" s="725">
        <f t="shared" si="2"/>
        <v>94.584999999999994</v>
      </c>
      <c r="H22" s="725">
        <f t="shared" si="3"/>
        <v>113.846</v>
      </c>
      <c r="I22" s="725">
        <f t="shared" si="4"/>
        <v>-0.55200000000000005</v>
      </c>
      <c r="J22" s="725">
        <f t="shared" si="8"/>
        <v>430.21199999999999</v>
      </c>
      <c r="K22">
        <f t="shared" si="5"/>
        <v>10.715018017905754</v>
      </c>
      <c r="L22">
        <f t="shared" ref="L22:W33" si="9">Z22/1000000</f>
        <v>882733</v>
      </c>
      <c r="M22">
        <f t="shared" si="9"/>
        <v>453073</v>
      </c>
      <c r="N22">
        <f t="shared" si="9"/>
        <v>1663</v>
      </c>
      <c r="O22">
        <f t="shared" si="9"/>
        <v>54663</v>
      </c>
      <c r="P22">
        <f t="shared" si="9"/>
        <v>48881</v>
      </c>
      <c r="Q22">
        <f t="shared" si="9"/>
        <v>116574</v>
      </c>
      <c r="R22">
        <f t="shared" si="9"/>
        <v>87932</v>
      </c>
      <c r="S22">
        <f t="shared" si="9"/>
        <v>6653</v>
      </c>
      <c r="T22">
        <f t="shared" si="9"/>
        <v>66025</v>
      </c>
      <c r="U22">
        <f t="shared" si="9"/>
        <v>47821</v>
      </c>
      <c r="V22">
        <f t="shared" si="9"/>
        <v>71</v>
      </c>
      <c r="W22">
        <f t="shared" si="9"/>
        <v>-623</v>
      </c>
      <c r="Y22" s="946">
        <v>1997</v>
      </c>
      <c r="Z22" s="947">
        <v>882733000000</v>
      </c>
      <c r="AA22" s="947">
        <v>453073000000</v>
      </c>
      <c r="AB22" s="947">
        <v>1663000000</v>
      </c>
      <c r="AC22" s="947">
        <v>54663000000</v>
      </c>
      <c r="AD22" s="947">
        <v>48881000000</v>
      </c>
      <c r="AE22" s="947">
        <v>116574000000</v>
      </c>
      <c r="AF22" s="947">
        <v>87932000000</v>
      </c>
      <c r="AG22" s="947">
        <v>6653000000</v>
      </c>
      <c r="AH22" s="947">
        <v>66025000000</v>
      </c>
      <c r="AI22" s="947">
        <v>47821000000</v>
      </c>
      <c r="AJ22" s="947">
        <v>71000000</v>
      </c>
      <c r="AK22" s="947">
        <v>-623000000</v>
      </c>
    </row>
    <row r="23" spans="1:37">
      <c r="A23" s="2">
        <v>1998</v>
      </c>
      <c r="B23" s="725">
        <f t="shared" si="7"/>
        <v>914.97299999999996</v>
      </c>
      <c r="C23" s="725">
        <f t="shared" si="7"/>
        <v>475.33499999999998</v>
      </c>
      <c r="D23" s="725">
        <f t="shared" si="0"/>
        <v>59.66</v>
      </c>
      <c r="E23" s="725">
        <f t="shared" si="1"/>
        <v>47.134</v>
      </c>
      <c r="F23" s="725">
        <f t="shared" si="1"/>
        <v>122.65900000000001</v>
      </c>
      <c r="G23" s="725">
        <f t="shared" si="2"/>
        <v>93.212000000000003</v>
      </c>
      <c r="H23" s="725">
        <f t="shared" si="3"/>
        <v>117.33799999999999</v>
      </c>
      <c r="I23" s="725">
        <f t="shared" si="4"/>
        <v>-0.36499999999999999</v>
      </c>
      <c r="J23" s="725">
        <f t="shared" si="8"/>
        <v>440.00299999999999</v>
      </c>
      <c r="K23">
        <f t="shared" si="5"/>
        <v>10.187404437070821</v>
      </c>
      <c r="L23">
        <f t="shared" si="9"/>
        <v>914973</v>
      </c>
      <c r="M23">
        <f t="shared" si="9"/>
        <v>475335</v>
      </c>
      <c r="N23">
        <f t="shared" si="9"/>
        <v>1724</v>
      </c>
      <c r="O23">
        <f t="shared" si="9"/>
        <v>57936</v>
      </c>
      <c r="P23">
        <f t="shared" si="9"/>
        <v>47134</v>
      </c>
      <c r="Q23">
        <f t="shared" si="9"/>
        <v>122659</v>
      </c>
      <c r="R23">
        <f t="shared" si="9"/>
        <v>86132</v>
      </c>
      <c r="S23">
        <f t="shared" si="9"/>
        <v>7080</v>
      </c>
      <c r="T23">
        <f t="shared" si="9"/>
        <v>68439</v>
      </c>
      <c r="U23">
        <f t="shared" si="9"/>
        <v>48899</v>
      </c>
      <c r="V23">
        <f t="shared" si="9"/>
        <v>388</v>
      </c>
      <c r="W23">
        <f t="shared" si="9"/>
        <v>-753</v>
      </c>
      <c r="Y23" s="946">
        <v>1998</v>
      </c>
      <c r="Z23" s="947">
        <v>914973000000</v>
      </c>
      <c r="AA23" s="947">
        <v>475335000000</v>
      </c>
      <c r="AB23" s="947">
        <v>1724000000</v>
      </c>
      <c r="AC23" s="947">
        <v>57936000000</v>
      </c>
      <c r="AD23" s="947">
        <v>47134000000</v>
      </c>
      <c r="AE23" s="947">
        <v>122659000000</v>
      </c>
      <c r="AF23" s="947">
        <v>86132000000</v>
      </c>
      <c r="AG23" s="947">
        <v>7080000000</v>
      </c>
      <c r="AH23" s="947">
        <v>68439000000</v>
      </c>
      <c r="AI23" s="947">
        <v>48899000000</v>
      </c>
      <c r="AJ23" s="947">
        <v>388000000</v>
      </c>
      <c r="AK23" s="947">
        <v>-753000000</v>
      </c>
    </row>
    <row r="24" spans="1:37">
      <c r="A24" s="2">
        <v>1999</v>
      </c>
      <c r="B24" s="725">
        <f t="shared" si="7"/>
        <v>982.44100000000003</v>
      </c>
      <c r="C24" s="725">
        <f t="shared" si="7"/>
        <v>502.726</v>
      </c>
      <c r="D24" s="725">
        <f t="shared" si="0"/>
        <v>63.284999999999997</v>
      </c>
      <c r="E24" s="725">
        <f t="shared" si="1"/>
        <v>47.249000000000002</v>
      </c>
      <c r="F24" s="725">
        <f t="shared" si="1"/>
        <v>128.999</v>
      </c>
      <c r="G24" s="725">
        <f t="shared" si="2"/>
        <v>119.17</v>
      </c>
      <c r="H24" s="725">
        <f t="shared" si="3"/>
        <v>123.42</v>
      </c>
      <c r="I24" s="725">
        <f t="shared" si="4"/>
        <v>-2.4079999999999999</v>
      </c>
      <c r="J24" s="725">
        <f t="shared" si="8"/>
        <v>482.12300000000005</v>
      </c>
      <c r="K24">
        <f t="shared" si="5"/>
        <v>12.129990503246505</v>
      </c>
      <c r="L24">
        <f t="shared" si="9"/>
        <v>982441</v>
      </c>
      <c r="M24">
        <f t="shared" si="9"/>
        <v>502726</v>
      </c>
      <c r="N24">
        <f t="shared" si="9"/>
        <v>1819</v>
      </c>
      <c r="O24">
        <f t="shared" si="9"/>
        <v>61466</v>
      </c>
      <c r="P24">
        <f t="shared" si="9"/>
        <v>47249</v>
      </c>
      <c r="Q24">
        <f t="shared" si="9"/>
        <v>128999</v>
      </c>
      <c r="R24">
        <f t="shared" si="9"/>
        <v>110769</v>
      </c>
      <c r="S24">
        <f t="shared" si="9"/>
        <v>8401</v>
      </c>
      <c r="T24">
        <f t="shared" si="9"/>
        <v>72747</v>
      </c>
      <c r="U24">
        <f t="shared" si="9"/>
        <v>50673</v>
      </c>
      <c r="V24">
        <f t="shared" si="9"/>
        <v>-91</v>
      </c>
      <c r="W24">
        <f t="shared" si="9"/>
        <v>-2317</v>
      </c>
      <c r="Y24" s="946">
        <v>1999</v>
      </c>
      <c r="Z24" s="947">
        <v>982441000000</v>
      </c>
      <c r="AA24" s="947">
        <v>502726000000</v>
      </c>
      <c r="AB24" s="947">
        <v>1819000000</v>
      </c>
      <c r="AC24" s="947">
        <v>61466000000</v>
      </c>
      <c r="AD24" s="947">
        <v>47249000000</v>
      </c>
      <c r="AE24" s="947">
        <v>128999000000</v>
      </c>
      <c r="AF24" s="947">
        <v>110769000000</v>
      </c>
      <c r="AG24" s="947">
        <v>8401000000</v>
      </c>
      <c r="AH24" s="947">
        <v>72747000000</v>
      </c>
      <c r="AI24" s="947">
        <v>50673000000</v>
      </c>
      <c r="AJ24" s="947">
        <v>-91000000</v>
      </c>
      <c r="AK24" s="947">
        <v>-2317000000</v>
      </c>
    </row>
    <row r="25" spans="1:37">
      <c r="A25" s="2">
        <v>2000</v>
      </c>
      <c r="B25" s="725">
        <f t="shared" si="7"/>
        <v>1076.577</v>
      </c>
      <c r="C25" s="725">
        <f t="shared" si="7"/>
        <v>545.20399999999995</v>
      </c>
      <c r="D25" s="725">
        <f t="shared" si="0"/>
        <v>66.186999999999998</v>
      </c>
      <c r="E25" s="725">
        <f t="shared" si="1"/>
        <v>55.302</v>
      </c>
      <c r="F25" s="725">
        <f t="shared" si="1"/>
        <v>137.42500000000001</v>
      </c>
      <c r="G25" s="725">
        <f t="shared" si="2"/>
        <v>147.30699999999999</v>
      </c>
      <c r="H25" s="725">
        <f t="shared" si="3"/>
        <v>128.34</v>
      </c>
      <c r="I25" s="725">
        <f t="shared" si="4"/>
        <v>-3.1880000000000002</v>
      </c>
      <c r="J25" s="725">
        <f t="shared" si="8"/>
        <v>534.56100000000004</v>
      </c>
      <c r="K25">
        <f t="shared" si="5"/>
        <v>13.682904241870297</v>
      </c>
      <c r="L25">
        <f t="shared" si="9"/>
        <v>1076577</v>
      </c>
      <c r="M25">
        <f t="shared" si="9"/>
        <v>545204</v>
      </c>
      <c r="N25">
        <f t="shared" si="9"/>
        <v>1243</v>
      </c>
      <c r="O25">
        <f t="shared" si="9"/>
        <v>64944</v>
      </c>
      <c r="P25">
        <f t="shared" si="9"/>
        <v>55302</v>
      </c>
      <c r="Q25">
        <f t="shared" si="9"/>
        <v>137425</v>
      </c>
      <c r="R25">
        <f t="shared" si="9"/>
        <v>135978</v>
      </c>
      <c r="S25">
        <f t="shared" si="9"/>
        <v>11329</v>
      </c>
      <c r="T25">
        <f t="shared" si="9"/>
        <v>76647</v>
      </c>
      <c r="U25">
        <f t="shared" si="9"/>
        <v>51693</v>
      </c>
      <c r="V25">
        <f t="shared" si="9"/>
        <v>-749</v>
      </c>
      <c r="W25">
        <f t="shared" si="9"/>
        <v>-2439</v>
      </c>
      <c r="Y25" s="946">
        <v>2000</v>
      </c>
      <c r="Z25" s="947">
        <v>1076577000000</v>
      </c>
      <c r="AA25" s="947">
        <v>545204000000</v>
      </c>
      <c r="AB25" s="947">
        <v>1243000000</v>
      </c>
      <c r="AC25" s="947">
        <v>64944000000</v>
      </c>
      <c r="AD25" s="947">
        <v>55302000000</v>
      </c>
      <c r="AE25" s="947">
        <v>137425000000</v>
      </c>
      <c r="AF25" s="947">
        <v>135978000000</v>
      </c>
      <c r="AG25" s="947">
        <v>11329000000</v>
      </c>
      <c r="AH25" s="947">
        <v>76647000000</v>
      </c>
      <c r="AI25" s="947">
        <v>51693000000</v>
      </c>
      <c r="AJ25" s="947">
        <v>-749000000</v>
      </c>
      <c r="AK25" s="947">
        <v>-2439000000</v>
      </c>
    </row>
    <row r="26" spans="1:37">
      <c r="A26" s="2">
        <v>2001</v>
      </c>
      <c r="B26" s="725">
        <f t="shared" si="7"/>
        <v>1108.048</v>
      </c>
      <c r="C26" s="725">
        <f t="shared" si="7"/>
        <v>570.00800000000004</v>
      </c>
      <c r="D26" s="725">
        <f t="shared" si="0"/>
        <v>70.531999999999996</v>
      </c>
      <c r="E26" s="725">
        <f t="shared" si="1"/>
        <v>52.579000000000001</v>
      </c>
      <c r="F26" s="725">
        <f t="shared" si="1"/>
        <v>147.536</v>
      </c>
      <c r="G26" s="725">
        <f t="shared" si="2"/>
        <v>137.86000000000001</v>
      </c>
      <c r="H26" s="725">
        <f t="shared" si="3"/>
        <v>128.52099999999999</v>
      </c>
      <c r="I26" s="725">
        <f t="shared" si="4"/>
        <v>1.012</v>
      </c>
      <c r="J26" s="725">
        <f t="shared" si="8"/>
        <v>537.02800000000002</v>
      </c>
      <c r="K26">
        <f t="shared" si="5"/>
        <v>12.441699276565638</v>
      </c>
      <c r="L26">
        <f t="shared" si="9"/>
        <v>1108048</v>
      </c>
      <c r="M26">
        <f t="shared" si="9"/>
        <v>570008</v>
      </c>
      <c r="N26">
        <f t="shared" si="9"/>
        <v>1675</v>
      </c>
      <c r="O26">
        <f t="shared" si="9"/>
        <v>68857</v>
      </c>
      <c r="P26">
        <f t="shared" si="9"/>
        <v>52579</v>
      </c>
      <c r="Q26">
        <f t="shared" si="9"/>
        <v>147536</v>
      </c>
      <c r="R26">
        <f t="shared" si="9"/>
        <v>127073</v>
      </c>
      <c r="S26">
        <f t="shared" si="9"/>
        <v>10787</v>
      </c>
      <c r="T26">
        <f t="shared" si="9"/>
        <v>75871</v>
      </c>
      <c r="U26">
        <f t="shared" si="9"/>
        <v>52650</v>
      </c>
      <c r="V26">
        <f t="shared" si="9"/>
        <v>438</v>
      </c>
      <c r="W26">
        <f t="shared" si="9"/>
        <v>574</v>
      </c>
      <c r="Y26" s="946">
        <v>2001</v>
      </c>
      <c r="Z26" s="947">
        <v>1108048000000</v>
      </c>
      <c r="AA26" s="947">
        <v>570008000000</v>
      </c>
      <c r="AB26" s="947">
        <v>1675000000</v>
      </c>
      <c r="AC26" s="947">
        <v>68857000000</v>
      </c>
      <c r="AD26" s="947">
        <v>52579000000</v>
      </c>
      <c r="AE26" s="947">
        <v>147536000000</v>
      </c>
      <c r="AF26" s="947">
        <v>127073000000</v>
      </c>
      <c r="AG26" s="947">
        <v>10787000000</v>
      </c>
      <c r="AH26" s="947">
        <v>75871000000</v>
      </c>
      <c r="AI26" s="947">
        <v>52650000000</v>
      </c>
      <c r="AJ26" s="947">
        <v>438000000</v>
      </c>
      <c r="AK26" s="947">
        <v>574000000</v>
      </c>
    </row>
    <row r="27" spans="1:37">
      <c r="A27" s="2">
        <v>2002</v>
      </c>
      <c r="B27" s="725">
        <f t="shared" si="7"/>
        <v>1152.905</v>
      </c>
      <c r="C27" s="725">
        <f t="shared" si="7"/>
        <v>593.30700000000002</v>
      </c>
      <c r="D27" s="725">
        <f t="shared" si="0"/>
        <v>75.393000000000001</v>
      </c>
      <c r="E27" s="725">
        <f t="shared" si="1"/>
        <v>46.692999999999998</v>
      </c>
      <c r="F27" s="725">
        <f t="shared" si="1"/>
        <v>155.56700000000001</v>
      </c>
      <c r="G27" s="725">
        <f t="shared" si="2"/>
        <v>146.88999999999999</v>
      </c>
      <c r="H27" s="725">
        <f t="shared" si="3"/>
        <v>138.05500000000001</v>
      </c>
      <c r="I27" s="725">
        <f t="shared" si="4"/>
        <v>-3</v>
      </c>
      <c r="J27" s="725">
        <f t="shared" si="8"/>
        <v>562.59799999999996</v>
      </c>
      <c r="K27">
        <f t="shared" si="5"/>
        <v>12.740858960625548</v>
      </c>
      <c r="L27">
        <f t="shared" si="9"/>
        <v>1152905</v>
      </c>
      <c r="M27">
        <f t="shared" si="9"/>
        <v>593307</v>
      </c>
      <c r="N27">
        <f t="shared" si="9"/>
        <v>1101</v>
      </c>
      <c r="O27">
        <f t="shared" si="9"/>
        <v>74292</v>
      </c>
      <c r="P27">
        <f t="shared" si="9"/>
        <v>46693</v>
      </c>
      <c r="Q27">
        <f t="shared" si="9"/>
        <v>155567</v>
      </c>
      <c r="R27">
        <f t="shared" si="9"/>
        <v>135229</v>
      </c>
      <c r="S27">
        <f t="shared" si="9"/>
        <v>11661</v>
      </c>
      <c r="T27">
        <f t="shared" si="9"/>
        <v>84139</v>
      </c>
      <c r="U27">
        <f t="shared" si="9"/>
        <v>53916</v>
      </c>
      <c r="V27">
        <f t="shared" si="9"/>
        <v>584</v>
      </c>
      <c r="W27">
        <f t="shared" si="9"/>
        <v>-3584</v>
      </c>
      <c r="Y27" s="946">
        <v>2002</v>
      </c>
      <c r="Z27" s="947">
        <v>1152905000000</v>
      </c>
      <c r="AA27" s="947">
        <v>593307000000</v>
      </c>
      <c r="AB27" s="947">
        <v>1101000000</v>
      </c>
      <c r="AC27" s="947">
        <v>74292000000</v>
      </c>
      <c r="AD27" s="947">
        <v>46693000000</v>
      </c>
      <c r="AE27" s="947">
        <v>155567000000</v>
      </c>
      <c r="AF27" s="947">
        <v>135229000000</v>
      </c>
      <c r="AG27" s="947">
        <v>11661000000</v>
      </c>
      <c r="AH27" s="947">
        <v>84139000000</v>
      </c>
      <c r="AI27" s="947">
        <v>53916000000</v>
      </c>
      <c r="AJ27" s="947">
        <v>584000000</v>
      </c>
      <c r="AK27" s="947">
        <v>-3584000000</v>
      </c>
    </row>
    <row r="28" spans="1:37">
      <c r="A28" s="2">
        <v>2003</v>
      </c>
      <c r="B28" s="725">
        <f t="shared" si="7"/>
        <v>1213.175</v>
      </c>
      <c r="C28" s="725">
        <f t="shared" si="7"/>
        <v>621.00300000000004</v>
      </c>
      <c r="D28" s="725">
        <f t="shared" si="0"/>
        <v>78.62</v>
      </c>
      <c r="E28" s="725">
        <f t="shared" si="1"/>
        <v>49.988999999999997</v>
      </c>
      <c r="F28" s="725">
        <f t="shared" si="1"/>
        <v>161.81700000000001</v>
      </c>
      <c r="G28" s="725">
        <f t="shared" si="2"/>
        <v>157.10499999999999</v>
      </c>
      <c r="H28" s="725">
        <f t="shared" si="3"/>
        <v>140.452</v>
      </c>
      <c r="I28" s="725">
        <f t="shared" si="4"/>
        <v>4.1890000000000001</v>
      </c>
      <c r="J28" s="725">
        <f t="shared" si="8"/>
        <v>587.98299999999995</v>
      </c>
      <c r="K28">
        <f t="shared" si="5"/>
        <v>12.949904177056071</v>
      </c>
      <c r="L28">
        <f t="shared" si="9"/>
        <v>1213175</v>
      </c>
      <c r="M28">
        <f t="shared" si="9"/>
        <v>621003</v>
      </c>
      <c r="N28">
        <f t="shared" si="9"/>
        <v>1439</v>
      </c>
      <c r="O28">
        <f t="shared" si="9"/>
        <v>77181</v>
      </c>
      <c r="P28">
        <f t="shared" si="9"/>
        <v>49989</v>
      </c>
      <c r="Q28">
        <f t="shared" si="9"/>
        <v>161817</v>
      </c>
      <c r="R28">
        <f t="shared" si="9"/>
        <v>144501</v>
      </c>
      <c r="S28">
        <f t="shared" si="9"/>
        <v>12604</v>
      </c>
      <c r="T28">
        <f t="shared" si="9"/>
        <v>84380</v>
      </c>
      <c r="U28">
        <f t="shared" si="9"/>
        <v>56072</v>
      </c>
      <c r="V28">
        <f t="shared" si="9"/>
        <v>-73</v>
      </c>
      <c r="W28">
        <f t="shared" si="9"/>
        <v>4262</v>
      </c>
      <c r="Y28" s="946">
        <v>2003</v>
      </c>
      <c r="Z28" s="947">
        <v>1213175000000</v>
      </c>
      <c r="AA28" s="947">
        <v>621003000000</v>
      </c>
      <c r="AB28" s="947">
        <v>1439000000</v>
      </c>
      <c r="AC28" s="947">
        <v>77181000000</v>
      </c>
      <c r="AD28" s="947">
        <v>49989000000</v>
      </c>
      <c r="AE28" s="947">
        <v>161817000000</v>
      </c>
      <c r="AF28" s="947">
        <v>144501000000</v>
      </c>
      <c r="AG28" s="947">
        <v>12604000000</v>
      </c>
      <c r="AH28" s="947">
        <v>84380000000</v>
      </c>
      <c r="AI28" s="947">
        <v>56072000000</v>
      </c>
      <c r="AJ28" s="947">
        <v>-73000000</v>
      </c>
      <c r="AK28" s="947">
        <v>4262000000</v>
      </c>
    </row>
    <row r="29" spans="1:37">
      <c r="A29" s="2">
        <v>2004</v>
      </c>
      <c r="B29" s="725">
        <f t="shared" si="7"/>
        <v>1290.9059999999999</v>
      </c>
      <c r="C29" s="725">
        <f t="shared" si="7"/>
        <v>657.24900000000002</v>
      </c>
      <c r="D29" s="725">
        <f t="shared" si="0"/>
        <v>84.21</v>
      </c>
      <c r="E29" s="725">
        <f t="shared" si="1"/>
        <v>54.02</v>
      </c>
      <c r="F29" s="725">
        <f t="shared" si="1"/>
        <v>167.82300000000001</v>
      </c>
      <c r="G29" s="725">
        <f t="shared" si="2"/>
        <v>181.03399999999999</v>
      </c>
      <c r="H29" s="725">
        <f t="shared" si="3"/>
        <v>148.822</v>
      </c>
      <c r="I29" s="725">
        <f t="shared" si="4"/>
        <v>-2.2519999999999998</v>
      </c>
      <c r="J29" s="725">
        <f t="shared" si="8"/>
        <v>635.90899999999988</v>
      </c>
      <c r="K29">
        <f t="shared" si="5"/>
        <v>14.023794141478929</v>
      </c>
      <c r="L29">
        <f t="shared" si="9"/>
        <v>1290906</v>
      </c>
      <c r="M29">
        <f t="shared" si="9"/>
        <v>657249</v>
      </c>
      <c r="N29">
        <f t="shared" si="9"/>
        <v>2897</v>
      </c>
      <c r="O29">
        <f t="shared" si="9"/>
        <v>81313</v>
      </c>
      <c r="P29">
        <f t="shared" si="9"/>
        <v>54020</v>
      </c>
      <c r="Q29">
        <f t="shared" si="9"/>
        <v>167823</v>
      </c>
      <c r="R29">
        <f t="shared" si="9"/>
        <v>168219</v>
      </c>
      <c r="S29">
        <f t="shared" si="9"/>
        <v>12815</v>
      </c>
      <c r="T29">
        <f t="shared" si="9"/>
        <v>89603</v>
      </c>
      <c r="U29">
        <f t="shared" si="9"/>
        <v>59219</v>
      </c>
      <c r="V29">
        <f t="shared" si="9"/>
        <v>-408</v>
      </c>
      <c r="W29">
        <f t="shared" si="9"/>
        <v>-1844</v>
      </c>
      <c r="Y29" s="946">
        <v>2004</v>
      </c>
      <c r="Z29" s="947">
        <v>1290906000000</v>
      </c>
      <c r="AA29" s="947">
        <v>657249000000</v>
      </c>
      <c r="AB29" s="947">
        <v>2897000000</v>
      </c>
      <c r="AC29" s="947">
        <v>81313000000</v>
      </c>
      <c r="AD29" s="947">
        <v>54020000000</v>
      </c>
      <c r="AE29" s="947">
        <v>167823000000</v>
      </c>
      <c r="AF29" s="947">
        <v>168219000000</v>
      </c>
      <c r="AG29" s="947">
        <v>12815000000</v>
      </c>
      <c r="AH29" s="947">
        <v>89603000000</v>
      </c>
      <c r="AI29" s="947">
        <v>59219000000</v>
      </c>
      <c r="AJ29" s="947">
        <v>-408000000</v>
      </c>
      <c r="AK29" s="947">
        <v>-1844000000</v>
      </c>
    </row>
    <row r="30" spans="1:37">
      <c r="A30" s="2">
        <v>2005</v>
      </c>
      <c r="B30" s="725">
        <f t="shared" si="7"/>
        <v>1373.845</v>
      </c>
      <c r="C30" s="725">
        <f t="shared" si="7"/>
        <v>695.09299999999996</v>
      </c>
      <c r="D30" s="725">
        <f t="shared" si="0"/>
        <v>85.233999999999995</v>
      </c>
      <c r="E30" s="725">
        <f t="shared" si="1"/>
        <v>61.420999999999999</v>
      </c>
      <c r="F30" s="725">
        <f t="shared" si="1"/>
        <v>176.24600000000001</v>
      </c>
      <c r="G30" s="725">
        <f t="shared" si="2"/>
        <v>201.87799999999999</v>
      </c>
      <c r="H30" s="725">
        <f t="shared" si="3"/>
        <v>155.28399999999999</v>
      </c>
      <c r="I30" s="725">
        <f t="shared" si="4"/>
        <v>-1.3109999999999999</v>
      </c>
      <c r="J30" s="725">
        <f t="shared" si="8"/>
        <v>680.0630000000001</v>
      </c>
      <c r="K30">
        <f t="shared" si="5"/>
        <v>14.694379642536093</v>
      </c>
      <c r="L30">
        <f t="shared" si="9"/>
        <v>1373845</v>
      </c>
      <c r="M30">
        <f t="shared" si="9"/>
        <v>695093</v>
      </c>
      <c r="N30">
        <f t="shared" si="9"/>
        <v>1210</v>
      </c>
      <c r="O30">
        <f t="shared" si="9"/>
        <v>84024</v>
      </c>
      <c r="P30">
        <f t="shared" si="9"/>
        <v>61421</v>
      </c>
      <c r="Q30">
        <f t="shared" si="9"/>
        <v>176246</v>
      </c>
      <c r="R30">
        <f t="shared" si="9"/>
        <v>186585</v>
      </c>
      <c r="S30">
        <f t="shared" si="9"/>
        <v>15293</v>
      </c>
      <c r="T30">
        <f t="shared" si="9"/>
        <v>93302</v>
      </c>
      <c r="U30">
        <f t="shared" si="9"/>
        <v>61982</v>
      </c>
      <c r="V30">
        <f t="shared" si="9"/>
        <v>-581</v>
      </c>
      <c r="W30">
        <f t="shared" si="9"/>
        <v>-730</v>
      </c>
      <c r="Y30" s="946">
        <v>2005</v>
      </c>
      <c r="Z30" s="947">
        <v>1373845000000</v>
      </c>
      <c r="AA30" s="947">
        <v>695093000000</v>
      </c>
      <c r="AB30" s="947">
        <v>1210000000</v>
      </c>
      <c r="AC30" s="947">
        <v>84024000000</v>
      </c>
      <c r="AD30" s="947">
        <v>61421000000</v>
      </c>
      <c r="AE30" s="947">
        <v>176246000000</v>
      </c>
      <c r="AF30" s="947">
        <v>186585000000</v>
      </c>
      <c r="AG30" s="947">
        <v>15293000000</v>
      </c>
      <c r="AH30" s="947">
        <v>93302000000</v>
      </c>
      <c r="AI30" s="947">
        <v>61982000000</v>
      </c>
      <c r="AJ30" s="947">
        <v>-581000000</v>
      </c>
      <c r="AK30" s="947">
        <v>-730000000</v>
      </c>
    </row>
    <row r="31" spans="1:37">
      <c r="A31" s="2">
        <v>2006</v>
      </c>
      <c r="B31" s="725">
        <f t="shared" ref="B31:C33" si="10">L31/1000</f>
        <v>1449.2149999999999</v>
      </c>
      <c r="C31" s="725">
        <f t="shared" si="10"/>
        <v>743.39200000000005</v>
      </c>
      <c r="D31" s="725">
        <f t="shared" si="0"/>
        <v>86.606999999999999</v>
      </c>
      <c r="E31" s="725">
        <f t="shared" si="1"/>
        <v>66.741</v>
      </c>
      <c r="F31" s="725">
        <f t="shared" si="1"/>
        <v>185.40799999999999</v>
      </c>
      <c r="G31" s="725">
        <f t="shared" si="2"/>
        <v>210.702</v>
      </c>
      <c r="H31" s="725">
        <f t="shared" si="3"/>
        <v>160.452</v>
      </c>
      <c r="I31" s="725">
        <f t="shared" si="4"/>
        <v>-4.0869999999999997</v>
      </c>
      <c r="J31" s="725">
        <f>B31-C31-I31</f>
        <v>709.90999999999985</v>
      </c>
      <c r="K31">
        <f t="shared" si="5"/>
        <v>14.539043551163907</v>
      </c>
      <c r="L31">
        <f t="shared" si="9"/>
        <v>1449215</v>
      </c>
      <c r="M31">
        <f t="shared" si="9"/>
        <v>743392</v>
      </c>
      <c r="N31">
        <f t="shared" si="9"/>
        <v>-44</v>
      </c>
      <c r="O31">
        <f t="shared" si="9"/>
        <v>86651</v>
      </c>
      <c r="P31">
        <f t="shared" si="9"/>
        <v>66741</v>
      </c>
      <c r="Q31">
        <f t="shared" si="9"/>
        <v>185408</v>
      </c>
      <c r="R31">
        <f t="shared" si="9"/>
        <v>196130</v>
      </c>
      <c r="S31">
        <f t="shared" si="9"/>
        <v>14572</v>
      </c>
      <c r="T31">
        <f t="shared" si="9"/>
        <v>95761</v>
      </c>
      <c r="U31">
        <f t="shared" si="9"/>
        <v>64691</v>
      </c>
      <c r="V31">
        <f t="shared" si="9"/>
        <v>-854</v>
      </c>
      <c r="W31">
        <f t="shared" si="9"/>
        <v>-3233</v>
      </c>
      <c r="Y31" s="946">
        <v>2006</v>
      </c>
      <c r="Z31" s="947">
        <v>1449215000000</v>
      </c>
      <c r="AA31" s="947">
        <v>743392000000</v>
      </c>
      <c r="AB31" s="947">
        <v>-44000000</v>
      </c>
      <c r="AC31" s="947">
        <v>86651000000</v>
      </c>
      <c r="AD31" s="947">
        <v>66741000000</v>
      </c>
      <c r="AE31" s="947">
        <v>185408000000</v>
      </c>
      <c r="AF31" s="947">
        <v>196130000000</v>
      </c>
      <c r="AG31" s="947">
        <v>14572000000</v>
      </c>
      <c r="AH31" s="947">
        <v>95761000000</v>
      </c>
      <c r="AI31" s="947">
        <v>64691000000</v>
      </c>
      <c r="AJ31" s="947">
        <v>-854000000</v>
      </c>
      <c r="AK31" s="947">
        <v>-3233000000</v>
      </c>
    </row>
    <row r="32" spans="1:37">
      <c r="A32" s="2">
        <v>2007</v>
      </c>
      <c r="B32" s="725">
        <f t="shared" si="10"/>
        <v>1532.944</v>
      </c>
      <c r="C32" s="725">
        <f t="shared" si="10"/>
        <v>784.83900000000006</v>
      </c>
      <c r="D32" s="725">
        <f t="shared" si="0"/>
        <v>90.472999999999999</v>
      </c>
      <c r="E32" s="725">
        <f t="shared" si="1"/>
        <v>71.515000000000001</v>
      </c>
      <c r="F32" s="725">
        <f t="shared" si="1"/>
        <v>195.22900000000001</v>
      </c>
      <c r="G32" s="725">
        <f t="shared" si="2"/>
        <v>218.77</v>
      </c>
      <c r="H32" s="725">
        <f t="shared" si="3"/>
        <v>167.34899999999999</v>
      </c>
      <c r="I32" s="725">
        <f t="shared" si="4"/>
        <v>3.9529999999999998</v>
      </c>
      <c r="J32" s="725">
        <f>B32-C32-I32</f>
        <v>744.15199999999993</v>
      </c>
      <c r="K32">
        <f>100*G32/B32</f>
        <v>14.271232347691763</v>
      </c>
      <c r="L32">
        <f t="shared" si="9"/>
        <v>1532944</v>
      </c>
      <c r="M32">
        <f t="shared" si="9"/>
        <v>784839</v>
      </c>
      <c r="N32">
        <v>110</v>
      </c>
      <c r="O32">
        <v>90363</v>
      </c>
      <c r="P32">
        <v>71515</v>
      </c>
      <c r="Q32">
        <v>195229</v>
      </c>
      <c r="R32">
        <v>203231</v>
      </c>
      <c r="S32">
        <v>15539</v>
      </c>
      <c r="T32">
        <v>99428</v>
      </c>
      <c r="U32">
        <v>67921</v>
      </c>
      <c r="V32">
        <v>681</v>
      </c>
      <c r="W32">
        <v>3272</v>
      </c>
      <c r="Y32" s="946">
        <v>2007</v>
      </c>
      <c r="Z32" s="947">
        <v>1532944000000</v>
      </c>
      <c r="AA32" s="947">
        <v>784839000000</v>
      </c>
      <c r="AB32" s="947">
        <v>433000000</v>
      </c>
      <c r="AC32" s="947">
        <v>89974000000</v>
      </c>
      <c r="AD32" s="947">
        <v>71847000000</v>
      </c>
      <c r="AE32" s="947">
        <v>195712000000</v>
      </c>
      <c r="AF32" s="947">
        <v>204131000000</v>
      </c>
      <c r="AG32" s="947">
        <v>15725000000</v>
      </c>
      <c r="AH32" s="947">
        <v>98495000000</v>
      </c>
      <c r="AI32" s="947">
        <v>67948000000</v>
      </c>
      <c r="AJ32" s="947">
        <v>893000000</v>
      </c>
      <c r="AK32" s="947">
        <v>2947000000</v>
      </c>
    </row>
    <row r="33" spans="1:37">
      <c r="A33" s="2">
        <v>2008</v>
      </c>
      <c r="B33" s="725">
        <f t="shared" si="10"/>
        <v>1600.0809999999999</v>
      </c>
      <c r="C33" s="725">
        <f t="shared" si="10"/>
        <v>823.11599999999999</v>
      </c>
      <c r="D33" s="725">
        <f t="shared" si="0"/>
        <v>96.245999999999995</v>
      </c>
      <c r="E33" s="725">
        <f t="shared" si="1"/>
        <v>81.483999999999995</v>
      </c>
      <c r="F33" s="725">
        <f t="shared" si="1"/>
        <v>207.52</v>
      </c>
      <c r="G33" s="725">
        <f t="shared" si="2"/>
        <v>231.374</v>
      </c>
      <c r="H33" s="725">
        <f t="shared" si="3"/>
        <v>165.017</v>
      </c>
      <c r="I33" s="725">
        <f t="shared" si="4"/>
        <v>-4.6760000000000002</v>
      </c>
      <c r="J33" s="725">
        <f>B33-C33-I33</f>
        <v>781.64099999999996</v>
      </c>
      <c r="K33">
        <f>100*G33/B33</f>
        <v>14.460142955262889</v>
      </c>
      <c r="L33">
        <f t="shared" si="9"/>
        <v>1600081</v>
      </c>
      <c r="M33">
        <f t="shared" si="9"/>
        <v>823116</v>
      </c>
      <c r="N33">
        <f t="shared" si="9"/>
        <v>2808</v>
      </c>
      <c r="O33">
        <f t="shared" si="9"/>
        <v>93438</v>
      </c>
      <c r="P33">
        <f t="shared" si="9"/>
        <v>81484</v>
      </c>
      <c r="Q33">
        <f t="shared" si="9"/>
        <v>207520</v>
      </c>
      <c r="R33">
        <f t="shared" si="9"/>
        <v>215799</v>
      </c>
      <c r="S33">
        <f t="shared" si="9"/>
        <v>15575</v>
      </c>
      <c r="T33">
        <f t="shared" si="9"/>
        <v>94675</v>
      </c>
      <c r="U33">
        <f t="shared" si="9"/>
        <v>70342</v>
      </c>
      <c r="V33">
        <f t="shared" si="9"/>
        <v>1409</v>
      </c>
      <c r="W33">
        <f t="shared" si="9"/>
        <v>-6085</v>
      </c>
      <c r="Y33" s="946">
        <v>2008</v>
      </c>
      <c r="Z33" s="947">
        <v>1600081000000</v>
      </c>
      <c r="AA33" s="947">
        <v>823116000000</v>
      </c>
      <c r="AB33" s="947">
        <v>2808000000</v>
      </c>
      <c r="AC33" s="947">
        <v>93438000000</v>
      </c>
      <c r="AD33" s="947">
        <v>81484000000</v>
      </c>
      <c r="AE33" s="947">
        <v>207520000000</v>
      </c>
      <c r="AF33" s="947">
        <v>215799000000</v>
      </c>
      <c r="AG33" s="947">
        <v>15575000000</v>
      </c>
      <c r="AH33" s="947">
        <v>94675000000</v>
      </c>
      <c r="AI33" s="947">
        <v>70342000000</v>
      </c>
      <c r="AJ33" s="947">
        <v>1409000000</v>
      </c>
      <c r="AK33" s="947">
        <v>-6085000000</v>
      </c>
    </row>
    <row r="34" spans="1:37">
      <c r="A34" s="2"/>
      <c r="B34" s="739"/>
      <c r="C34" s="739"/>
      <c r="D34" s="739"/>
      <c r="E34" s="739"/>
      <c r="F34" s="739"/>
      <c r="G34" s="739" t="s">
        <v>802</v>
      </c>
      <c r="H34" s="739"/>
      <c r="I34" s="739"/>
      <c r="J34" s="739"/>
      <c r="R34">
        <f>((((R14/R6))^(1/8))-1)*100</f>
        <v>6.5807936649234566</v>
      </c>
    </row>
    <row r="35" spans="1:37">
      <c r="A35" s="119" t="s">
        <v>603</v>
      </c>
      <c r="B35" s="725">
        <f>((((B14/B6))^(1/8))-1)*100</f>
        <v>7.8070096863649852</v>
      </c>
      <c r="C35" s="725">
        <f t="shared" ref="C35:J35" si="11">((((C14/C6))^(1/8))-1)*100</f>
        <v>7.4963370627886494</v>
      </c>
      <c r="D35" s="725">
        <f t="shared" si="11"/>
        <v>9.749825445285488</v>
      </c>
      <c r="E35" s="725">
        <f t="shared" si="11"/>
        <v>4.6891887756193018</v>
      </c>
      <c r="F35" s="725">
        <f t="shared" si="11"/>
        <v>7.3643550178033035</v>
      </c>
      <c r="G35" s="725">
        <f t="shared" si="11"/>
        <v>6.3827925393247664</v>
      </c>
      <c r="H35" s="725">
        <f t="shared" si="11"/>
        <v>9.9664537333760794</v>
      </c>
      <c r="I35" s="725">
        <f t="shared" si="11"/>
        <v>-17.729796648749605</v>
      </c>
      <c r="J35" s="725">
        <f t="shared" si="11"/>
        <v>7.5501390553355918</v>
      </c>
      <c r="R35">
        <f>((((R25/R14))^(1/11))-1)*100</f>
        <v>7.7767997228391117</v>
      </c>
    </row>
    <row r="36" spans="1:37">
      <c r="A36" s="119" t="s">
        <v>447</v>
      </c>
      <c r="B36" s="725">
        <f>((((B32/B6))^(1/26))-1)*100</f>
        <v>5.7253363167657279</v>
      </c>
      <c r="C36" s="725">
        <f t="shared" ref="C36:J36" si="12">((((C32/C6))^(1/26))-1)*100</f>
        <v>5.4661545250380694</v>
      </c>
      <c r="D36" s="725">
        <f t="shared" si="12"/>
        <v>6.5218527264371495</v>
      </c>
      <c r="E36" s="725">
        <f t="shared" si="12"/>
        <v>2.9861826527466384</v>
      </c>
      <c r="F36" s="725">
        <f t="shared" si="12"/>
        <v>5.9906335638931107</v>
      </c>
      <c r="G36" s="725">
        <f t="shared" si="12"/>
        <v>6.6736619044437173</v>
      </c>
      <c r="H36" s="725">
        <f t="shared" si="12"/>
        <v>5.8744615912761589</v>
      </c>
      <c r="I36" s="725" t="s">
        <v>304</v>
      </c>
      <c r="J36" s="725">
        <f t="shared" si="12"/>
        <v>5.7832525742494756</v>
      </c>
      <c r="R36">
        <f>((((R29/R6))^(1/23))-1)*100</f>
        <v>6.9549036396769681</v>
      </c>
    </row>
    <row r="37" spans="1:37">
      <c r="A37" s="119" t="s">
        <v>1408</v>
      </c>
      <c r="B37" s="725">
        <f>((((B33/B6))^(1/27))-1)*100</f>
        <v>5.6751866524953565</v>
      </c>
      <c r="C37" s="725">
        <f t="shared" ref="C37:J37" si="13">((((C33/C6))^(1/27))-1)*100</f>
        <v>5.4442769892433018</v>
      </c>
      <c r="D37" s="725">
        <f t="shared" si="13"/>
        <v>6.5166292681651639</v>
      </c>
      <c r="E37" s="725">
        <f t="shared" si="13"/>
        <v>3.3724351667082875</v>
      </c>
      <c r="F37" s="725">
        <f t="shared" si="13"/>
        <v>6.0019160838882035</v>
      </c>
      <c r="G37" s="725">
        <f t="shared" si="13"/>
        <v>6.6397308540919964</v>
      </c>
      <c r="H37" s="725">
        <f t="shared" si="13"/>
        <v>5.5959597700689034</v>
      </c>
      <c r="I37" s="725">
        <f t="shared" si="13"/>
        <v>-2.2973642261740035</v>
      </c>
      <c r="J37" s="725">
        <f t="shared" si="13"/>
        <v>5.755549661088577</v>
      </c>
      <c r="R37">
        <f>((((R29/R25))^(1/4))-1)*100</f>
        <v>5.4633589945271233</v>
      </c>
    </row>
    <row r="38" spans="1:37">
      <c r="A38" s="119" t="s">
        <v>604</v>
      </c>
      <c r="B38" s="725">
        <f t="shared" ref="B38:J38" si="14">((((B25/B14))^(1/11))-1)*100</f>
        <v>4.581395675554556</v>
      </c>
      <c r="C38" s="725">
        <f t="shared" si="14"/>
        <v>4.0915454269167206</v>
      </c>
      <c r="D38" s="725">
        <f t="shared" si="14"/>
        <v>5.4702448920535218</v>
      </c>
      <c r="E38" s="725">
        <f t="shared" si="14"/>
        <v>1.293174348046966</v>
      </c>
      <c r="F38" s="725">
        <f t="shared" si="14"/>
        <v>5.5401582819043282</v>
      </c>
      <c r="G38" s="725">
        <f t="shared" si="14"/>
        <v>7.4383319626563749</v>
      </c>
      <c r="H38" s="725">
        <f t="shared" si="14"/>
        <v>4.2585555186882784</v>
      </c>
      <c r="I38" s="725">
        <f t="shared" si="14"/>
        <v>5.1339501657362785</v>
      </c>
      <c r="J38" s="725">
        <f t="shared" si="14"/>
        <v>5.1144717491710789</v>
      </c>
      <c r="R38">
        <f>((((R30/R6))^(1/24))-1)*100</f>
        <v>7.1171662196327423</v>
      </c>
    </row>
    <row r="39" spans="1:37">
      <c r="A39" s="119" t="s">
        <v>449</v>
      </c>
      <c r="B39" s="725">
        <f>((((B32/B25))^(1/7))-1)*100</f>
        <v>5.178236461209984</v>
      </c>
      <c r="C39" s="725">
        <f t="shared" ref="C39:J39" si="15">((((C32/C25))^(1/7))-1)*100</f>
        <v>5.3423681929676503</v>
      </c>
      <c r="D39" s="725">
        <f t="shared" si="15"/>
        <v>4.5664412634787155</v>
      </c>
      <c r="E39" s="725">
        <f t="shared" si="15"/>
        <v>3.741112441419836</v>
      </c>
      <c r="F39" s="725">
        <f t="shared" si="15"/>
        <v>5.1435545272944694</v>
      </c>
      <c r="G39" s="725">
        <f t="shared" si="15"/>
        <v>5.8126933028308958</v>
      </c>
      <c r="H39" s="725">
        <f t="shared" si="15"/>
        <v>3.8641974059998585</v>
      </c>
      <c r="I39" s="725">
        <f t="shared" si="15"/>
        <v>-203.12027717053195</v>
      </c>
      <c r="J39" s="725">
        <f t="shared" si="15"/>
        <v>4.8391480806283083</v>
      </c>
    </row>
    <row r="40" spans="1:37">
      <c r="A40" s="119" t="s">
        <v>1410</v>
      </c>
      <c r="B40" s="725">
        <f>((((B33/B25))^(1/8))-1)*100</f>
        <v>5.078075201144161</v>
      </c>
      <c r="C40" s="725">
        <f t="shared" ref="C40:J40" si="16">((((C33/C25))^(1/8))-1)*100</f>
        <v>5.284090855383905</v>
      </c>
      <c r="D40" s="725">
        <f t="shared" si="16"/>
        <v>4.7915463559963456</v>
      </c>
      <c r="E40" s="725">
        <f t="shared" si="16"/>
        <v>4.9642574483356849</v>
      </c>
      <c r="F40" s="725">
        <f t="shared" si="16"/>
        <v>5.286884933203817</v>
      </c>
      <c r="G40" s="725">
        <f t="shared" si="16"/>
        <v>5.8062680025420699</v>
      </c>
      <c r="H40" s="725">
        <f t="shared" si="16"/>
        <v>3.1919529080324249</v>
      </c>
      <c r="I40" s="725">
        <f t="shared" si="16"/>
        <v>4.9045979643861815</v>
      </c>
      <c r="J40" s="725">
        <f t="shared" si="16"/>
        <v>4.8639608637357945</v>
      </c>
    </row>
    <row r="41" spans="1:37">
      <c r="A41" s="2"/>
      <c r="B41" s="739"/>
      <c r="C41" s="739"/>
      <c r="D41" s="739"/>
      <c r="E41" s="739"/>
      <c r="F41" s="739"/>
      <c r="G41" s="739"/>
      <c r="H41" s="739"/>
      <c r="I41" s="739"/>
      <c r="J41" s="739"/>
    </row>
    <row r="42" spans="1:37" ht="11.45" customHeight="1">
      <c r="A42" s="2"/>
      <c r="B42" s="739"/>
      <c r="C42" s="739"/>
      <c r="D42" s="739"/>
      <c r="E42" s="739"/>
      <c r="F42" s="739"/>
      <c r="G42" s="739"/>
      <c r="H42" s="739"/>
      <c r="I42" s="739"/>
      <c r="J42" s="739"/>
      <c r="R42" t="s">
        <v>276</v>
      </c>
    </row>
    <row r="43" spans="1:37">
      <c r="A43" s="2"/>
      <c r="B43" s="739"/>
      <c r="C43" s="739"/>
      <c r="D43" s="739"/>
      <c r="E43" s="739"/>
      <c r="F43" s="739"/>
      <c r="G43" s="739" t="s">
        <v>276</v>
      </c>
      <c r="H43" s="739"/>
      <c r="I43" s="739"/>
      <c r="J43" s="739"/>
      <c r="R43">
        <f>(R29/R6-1)*100</f>
        <v>369.47894281488101</v>
      </c>
    </row>
    <row r="44" spans="1:37">
      <c r="A44" s="2" t="s">
        <v>819</v>
      </c>
      <c r="B44" s="948">
        <f>(B31/B6-1)*100</f>
        <v>302.03372809463173</v>
      </c>
      <c r="C44" s="948">
        <f t="shared" ref="C44:J44" si="17">(C31/C6-1)*100</f>
        <v>277.90113666402323</v>
      </c>
      <c r="D44" s="948">
        <f t="shared" si="17"/>
        <v>394.81231788836197</v>
      </c>
      <c r="E44" s="948">
        <f t="shared" si="17"/>
        <v>100.56194969498451</v>
      </c>
      <c r="F44" s="948">
        <f t="shared" si="17"/>
        <v>331.06109922812237</v>
      </c>
      <c r="G44" s="948">
        <f t="shared" si="17"/>
        <v>416.61640308937109</v>
      </c>
      <c r="H44" s="948">
        <f t="shared" si="17"/>
        <v>322.95444959932513</v>
      </c>
      <c r="I44" s="948">
        <f t="shared" si="17"/>
        <v>-53.334094542132902</v>
      </c>
      <c r="J44" s="948">
        <f t="shared" si="17"/>
        <v>311.51101656107068</v>
      </c>
      <c r="R44">
        <f>(R30/R6-1)*100</f>
        <v>420.7362339873294</v>
      </c>
    </row>
    <row r="45" spans="1:37" ht="13.9" customHeight="1">
      <c r="A45" s="2" t="s">
        <v>447</v>
      </c>
      <c r="B45" s="948">
        <f>(B32/B6-1)*100</f>
        <v>325.26139412047013</v>
      </c>
      <c r="C45" s="948">
        <f t="shared" ref="C45:J45" si="18">(C32/C6-1)*100</f>
        <v>298.97059720612458</v>
      </c>
      <c r="D45" s="948">
        <f t="shared" si="18"/>
        <v>416.89996000685596</v>
      </c>
      <c r="E45" s="948">
        <f t="shared" si="18"/>
        <v>114.90819484929528</v>
      </c>
      <c r="F45" s="948">
        <f t="shared" si="18"/>
        <v>353.89426206640007</v>
      </c>
      <c r="G45" s="948">
        <f t="shared" si="18"/>
        <v>436.3981856074538</v>
      </c>
      <c r="H45" s="948">
        <f t="shared" si="18"/>
        <v>341.13506959088988</v>
      </c>
      <c r="I45" s="948">
        <f t="shared" si="18"/>
        <v>-145.13587577072391</v>
      </c>
      <c r="J45" s="948">
        <f t="shared" si="18"/>
        <v>331.35995548161583</v>
      </c>
    </row>
    <row r="46" spans="1:37" ht="13.9" customHeight="1">
      <c r="A46" s="2" t="s">
        <v>1408</v>
      </c>
      <c r="B46" s="948">
        <f>(B33/B6-1)*100</f>
        <v>343.88619334148933</v>
      </c>
      <c r="C46" s="948">
        <f t="shared" ref="C46:J46" si="19">(C33/C6-1)*100</f>
        <v>318.42859757213444</v>
      </c>
      <c r="D46" s="948">
        <f t="shared" si="19"/>
        <v>449.88287722104781</v>
      </c>
      <c r="E46" s="948">
        <f t="shared" si="19"/>
        <v>144.86582324127775</v>
      </c>
      <c r="F46" s="948">
        <f t="shared" si="19"/>
        <v>382.47000836975735</v>
      </c>
      <c r="G46" s="948">
        <f t="shared" si="19"/>
        <v>467.30170405786441</v>
      </c>
      <c r="H46" s="948">
        <f t="shared" si="19"/>
        <v>334.98787431463518</v>
      </c>
      <c r="I46" s="948">
        <f t="shared" si="19"/>
        <v>-46.608814797899058</v>
      </c>
      <c r="J46" s="948">
        <f t="shared" si="19"/>
        <v>353.09107139751779</v>
      </c>
      <c r="R46">
        <f>R6/$B6/10</f>
        <v>9.9400506559473563</v>
      </c>
    </row>
    <row r="47" spans="1:37" ht="15" customHeight="1">
      <c r="A47" s="2" t="s">
        <v>1002</v>
      </c>
      <c r="B47" s="948">
        <f t="shared" ref="B47:I47" si="20">B6/$B6*100</f>
        <v>100</v>
      </c>
      <c r="C47" s="948">
        <f t="shared" si="20"/>
        <v>54.571935051640772</v>
      </c>
      <c r="D47" s="948">
        <f t="shared" si="20"/>
        <v>4.855591711954637</v>
      </c>
      <c r="E47" s="948">
        <f t="shared" si="20"/>
        <v>9.2315331885227927</v>
      </c>
      <c r="F47" s="948">
        <f t="shared" si="20"/>
        <v>11.932166526572178</v>
      </c>
      <c r="G47" s="948">
        <f t="shared" si="20"/>
        <v>11.314363707482709</v>
      </c>
      <c r="H47" s="948">
        <f t="shared" si="20"/>
        <v>10.524008866177862</v>
      </c>
      <c r="I47" s="948">
        <f t="shared" si="20"/>
        <v>-2.4295990523509516</v>
      </c>
      <c r="J47" s="948">
        <f>J6/$B6*100</f>
        <v>47.85766400071018</v>
      </c>
      <c r="R47">
        <f>R30/$B30/10</f>
        <v>13.581226412004265</v>
      </c>
    </row>
    <row r="48" spans="1:37" ht="15" customHeight="1">
      <c r="A48" s="2" t="s">
        <v>1781</v>
      </c>
      <c r="B48" s="948">
        <f>B33/$B33*100</f>
        <v>100</v>
      </c>
      <c r="C48" s="948">
        <f t="shared" ref="C48:J48" si="21">C33/$B33*100</f>
        <v>51.442145741371846</v>
      </c>
      <c r="D48" s="948">
        <f t="shared" si="21"/>
        <v>6.015070487056593</v>
      </c>
      <c r="E48" s="948">
        <f t="shared" si="21"/>
        <v>5.0924921925827507</v>
      </c>
      <c r="F48" s="948">
        <f t="shared" si="21"/>
        <v>12.96934342698901</v>
      </c>
      <c r="G48" s="948">
        <f t="shared" si="21"/>
        <v>14.460142955262889</v>
      </c>
      <c r="H48" s="948">
        <f t="shared" si="21"/>
        <v>10.313040402329632</v>
      </c>
      <c r="I48" s="948">
        <f t="shared" si="21"/>
        <v>-0.29223520559271693</v>
      </c>
      <c r="J48" s="948">
        <f t="shared" si="21"/>
        <v>48.850089464220872</v>
      </c>
      <c r="R48">
        <f>R6/$J6/10</f>
        <v>20.77002892535635</v>
      </c>
    </row>
    <row r="49" spans="1:18" ht="36" customHeight="1">
      <c r="A49" s="2" t="s">
        <v>34</v>
      </c>
      <c r="B49" s="739" t="s">
        <v>374</v>
      </c>
      <c r="C49" s="725" t="s">
        <v>374</v>
      </c>
      <c r="D49" s="725">
        <f>D6/$J6*100</f>
        <v>10.145902047961602</v>
      </c>
      <c r="E49" s="725">
        <f>E6/$J6*100</f>
        <v>19.289560786723321</v>
      </c>
      <c r="F49" s="725">
        <f>F6/$J6*100</f>
        <v>24.932613774034422</v>
      </c>
      <c r="G49" s="725">
        <f>G6/$J6*100</f>
        <v>23.641696567794888</v>
      </c>
      <c r="H49" s="725">
        <f>H6/$J6*100</f>
        <v>21.990226823485763</v>
      </c>
      <c r="I49" s="725" t="s">
        <v>374</v>
      </c>
      <c r="J49" s="725">
        <f>J6/$J6*100</f>
        <v>100</v>
      </c>
      <c r="R49">
        <f>R48/100*(R44-$C$44)</f>
        <v>29.666891029611584</v>
      </c>
    </row>
    <row r="50" spans="1:18" ht="49.15" customHeight="1">
      <c r="A50" s="1015" t="s">
        <v>35</v>
      </c>
      <c r="B50" s="739" t="s">
        <v>374</v>
      </c>
      <c r="C50" s="725" t="s">
        <v>374</v>
      </c>
      <c r="D50" s="725">
        <f>D49/100*(D46-$C$46)</f>
        <v>13.337222451032273</v>
      </c>
      <c r="E50" s="967">
        <f t="shared" ref="E50:H50" si="22">E49/100*(E46-$C$46)</f>
        <v>-33.479496857674022</v>
      </c>
      <c r="F50" s="967">
        <f t="shared" si="22"/>
        <v>15.9671976096141</v>
      </c>
      <c r="G50" s="967">
        <f t="shared" si="22"/>
        <v>35.196128106406448</v>
      </c>
      <c r="H50" s="967">
        <f t="shared" si="22"/>
        <v>3.6414225160046376</v>
      </c>
      <c r="I50" s="725" t="s">
        <v>374</v>
      </c>
      <c r="J50" s="725">
        <f>J49/100*(J46-$C$46)</f>
        <v>34.662473825383358</v>
      </c>
      <c r="R50">
        <f>R49/$J$50*100</f>
        <v>85.587921909620007</v>
      </c>
    </row>
    <row r="51" spans="1:18" ht="38.450000000000003" customHeight="1">
      <c r="A51" s="1015" t="s">
        <v>1044</v>
      </c>
      <c r="B51" s="739" t="s">
        <v>374</v>
      </c>
      <c r="C51" s="725" t="s">
        <v>374</v>
      </c>
      <c r="D51" s="725">
        <f>D50/$J$50*100</f>
        <v>38.477410810954339</v>
      </c>
      <c r="E51" s="725">
        <f>E50/$J$50*100</f>
        <v>-96.587153664597807</v>
      </c>
      <c r="F51" s="725">
        <f>F50/$J$50*100</f>
        <v>46.064795288561626</v>
      </c>
      <c r="G51" s="725">
        <f>G50/$J$50*100</f>
        <v>101.5395735564387</v>
      </c>
      <c r="H51" s="725">
        <f>H50/$J$50*100</f>
        <v>10.505374008643379</v>
      </c>
      <c r="I51" s="725" t="s">
        <v>374</v>
      </c>
      <c r="J51" s="725">
        <f>J50/$J$50*100</f>
        <v>100</v>
      </c>
    </row>
    <row r="52" spans="1:18" ht="8.4499999999999993" customHeight="1">
      <c r="A52" s="739"/>
      <c r="B52" s="739"/>
      <c r="C52" s="739"/>
      <c r="D52" s="739"/>
      <c r="E52" s="739"/>
      <c r="F52" s="739"/>
      <c r="G52" s="739"/>
      <c r="H52" s="739"/>
      <c r="I52" s="739"/>
      <c r="J52" s="739"/>
    </row>
    <row r="53" spans="1:18" s="933" customFormat="1">
      <c r="A53" s="1194" t="s">
        <v>192</v>
      </c>
      <c r="B53" s="1194"/>
      <c r="C53" s="1194"/>
      <c r="D53" s="1194"/>
      <c r="E53" s="1194"/>
      <c r="F53" s="1194"/>
      <c r="G53" s="1194"/>
      <c r="H53" s="1194"/>
      <c r="I53" s="1194"/>
      <c r="J53" s="727"/>
    </row>
    <row r="54" spans="1:18">
      <c r="A54" s="739" t="s">
        <v>1125</v>
      </c>
      <c r="B54" s="739"/>
      <c r="C54" s="739"/>
      <c r="D54" s="739"/>
      <c r="E54" s="739"/>
      <c r="F54" s="739"/>
      <c r="G54" s="739"/>
      <c r="H54" s="739"/>
      <c r="I54" s="739"/>
      <c r="J54" s="739"/>
    </row>
    <row r="55" spans="1:18">
      <c r="A55" s="739" t="s">
        <v>1829</v>
      </c>
      <c r="B55" s="739"/>
      <c r="C55" s="739"/>
      <c r="D55" s="739"/>
      <c r="E55" s="739"/>
      <c r="F55" s="739"/>
      <c r="G55" s="739"/>
      <c r="H55" s="739"/>
      <c r="I55" s="739"/>
      <c r="J55" s="739"/>
    </row>
    <row r="56" spans="1:18">
      <c r="A56" s="739"/>
      <c r="B56" s="739"/>
      <c r="C56" s="739"/>
      <c r="D56" s="739"/>
      <c r="E56" s="739"/>
      <c r="F56" s="739"/>
      <c r="G56" s="739"/>
      <c r="H56" s="739"/>
      <c r="I56" s="739"/>
      <c r="J56" s="739"/>
    </row>
  </sheetData>
  <mergeCells count="10">
    <mergeCell ref="A53:I53"/>
    <mergeCell ref="I3:I4"/>
    <mergeCell ref="G3:G4"/>
    <mergeCell ref="J3:J4"/>
    <mergeCell ref="B3:B4"/>
    <mergeCell ref="C3:C4"/>
    <mergeCell ref="D3:D4"/>
    <mergeCell ref="H3:H4"/>
    <mergeCell ref="E3:E4"/>
    <mergeCell ref="F3:F4"/>
  </mergeCells>
  <phoneticPr fontId="35" type="noConversion"/>
  <pageMargins left="0.74803149606299213" right="0.74803149606299213" top="0.98425196850393704" bottom="0.98425196850393704" header="0.51181102362204722" footer="0.51181102362204722"/>
  <pageSetup scale="56"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sheetPr codeName="Sheet18">
    <pageSetUpPr fitToPage="1"/>
  </sheetPr>
  <dimension ref="A1:X4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24" ht="15.75">
      <c r="A1" s="3" t="s">
        <v>2098</v>
      </c>
    </row>
    <row r="2" spans="1:24">
      <c r="A2" s="4"/>
      <c r="B2" s="4"/>
    </row>
    <row r="3" spans="1:24" ht="12.75" customHeight="1">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24" s="4" customFormat="1" ht="12.75" customHeight="1">
      <c r="A4" s="7"/>
      <c r="B4" s="1167"/>
      <c r="C4" s="1165"/>
      <c r="D4" s="1165"/>
      <c r="E4" s="1165"/>
      <c r="F4" s="1165"/>
      <c r="G4" s="1165"/>
      <c r="H4" s="1165"/>
      <c r="I4" s="1165"/>
      <c r="J4" s="1165"/>
      <c r="K4" s="1165"/>
      <c r="L4" s="1165"/>
    </row>
    <row r="5" spans="1:24" ht="12.75" customHeight="1">
      <c r="A5" s="432">
        <v>1981</v>
      </c>
      <c r="B5" s="25">
        <v>55.7</v>
      </c>
      <c r="C5" s="25">
        <v>55</v>
      </c>
      <c r="D5" s="25">
        <v>50.5</v>
      </c>
      <c r="E5" s="25">
        <v>49.9</v>
      </c>
      <c r="F5" s="25">
        <v>52.4</v>
      </c>
      <c r="G5" s="25">
        <v>51.9</v>
      </c>
      <c r="H5" s="25">
        <v>52.1</v>
      </c>
      <c r="I5" s="25">
        <v>55.3</v>
      </c>
      <c r="J5" s="25">
        <v>63.2</v>
      </c>
      <c r="K5" s="25">
        <v>65.099999999999994</v>
      </c>
      <c r="L5" s="25">
        <v>53.1</v>
      </c>
      <c r="N5" s="815"/>
      <c r="O5" s="815"/>
      <c r="P5" s="815"/>
      <c r="Q5" s="815"/>
      <c r="R5" s="815"/>
      <c r="S5" s="815"/>
      <c r="T5" s="815"/>
      <c r="U5" s="815"/>
      <c r="V5" s="815"/>
      <c r="W5" s="815"/>
      <c r="X5" s="815"/>
    </row>
    <row r="6" spans="1:24" ht="12.75" customHeight="1">
      <c r="A6" s="120">
        <v>1982</v>
      </c>
      <c r="B6" s="25">
        <v>60.4</v>
      </c>
      <c r="C6" s="25">
        <v>59.3</v>
      </c>
      <c r="D6" s="25">
        <v>54.1</v>
      </c>
      <c r="E6" s="25">
        <v>55.4</v>
      </c>
      <c r="F6" s="25">
        <v>57.2</v>
      </c>
      <c r="G6" s="25">
        <v>57</v>
      </c>
      <c r="H6" s="25">
        <v>56.7</v>
      </c>
      <c r="I6" s="25">
        <v>58.6</v>
      </c>
      <c r="J6" s="25">
        <v>65.400000000000006</v>
      </c>
      <c r="K6" s="25">
        <v>71.599999999999994</v>
      </c>
      <c r="L6" s="25">
        <v>56.8</v>
      </c>
      <c r="N6" s="815"/>
      <c r="O6" s="815"/>
      <c r="P6" s="815"/>
      <c r="Q6" s="815"/>
      <c r="R6" s="815"/>
      <c r="S6" s="815"/>
      <c r="T6" s="815"/>
      <c r="U6" s="815"/>
      <c r="V6" s="815"/>
      <c r="W6" s="815"/>
      <c r="X6" s="815"/>
    </row>
    <row r="7" spans="1:24" ht="12.75" customHeight="1">
      <c r="A7" s="120">
        <v>1983</v>
      </c>
      <c r="B7" s="25">
        <v>63.7</v>
      </c>
      <c r="C7" s="25">
        <v>61.4</v>
      </c>
      <c r="D7" s="25">
        <v>58.1</v>
      </c>
      <c r="E7" s="25">
        <v>61</v>
      </c>
      <c r="F7" s="25">
        <v>61</v>
      </c>
      <c r="G7" s="25">
        <v>60.3</v>
      </c>
      <c r="H7" s="25">
        <v>60.5</v>
      </c>
      <c r="I7" s="25">
        <v>62.5</v>
      </c>
      <c r="J7" s="25">
        <v>67.599999999999994</v>
      </c>
      <c r="K7" s="25">
        <v>74.400000000000006</v>
      </c>
      <c r="L7" s="25">
        <v>59.5</v>
      </c>
      <c r="N7" s="815"/>
      <c r="O7" s="815"/>
      <c r="P7" s="815"/>
      <c r="Q7" s="815"/>
      <c r="R7" s="815"/>
      <c r="S7" s="815"/>
      <c r="T7" s="815"/>
      <c r="U7" s="815"/>
      <c r="V7" s="815"/>
      <c r="W7" s="815"/>
      <c r="X7" s="815"/>
    </row>
    <row r="8" spans="1:24" ht="12.75" customHeight="1">
      <c r="A8" s="120">
        <v>1984</v>
      </c>
      <c r="B8" s="25">
        <v>65.8</v>
      </c>
      <c r="C8" s="25">
        <v>63.6</v>
      </c>
      <c r="D8" s="25">
        <v>58.2</v>
      </c>
      <c r="E8" s="25">
        <v>63.4</v>
      </c>
      <c r="F8" s="25">
        <v>65.5</v>
      </c>
      <c r="G8" s="25">
        <v>63.1</v>
      </c>
      <c r="H8" s="25">
        <v>62.6</v>
      </c>
      <c r="I8" s="25">
        <v>65</v>
      </c>
      <c r="J8" s="25">
        <v>70.7</v>
      </c>
      <c r="K8" s="25">
        <v>76.2</v>
      </c>
      <c r="L8" s="25">
        <v>62</v>
      </c>
      <c r="N8" s="815"/>
      <c r="O8" s="815"/>
      <c r="P8" s="815"/>
      <c r="Q8" s="815"/>
      <c r="R8" s="815"/>
      <c r="S8" s="815"/>
      <c r="T8" s="815"/>
      <c r="U8" s="815"/>
      <c r="V8" s="815"/>
      <c r="W8" s="815"/>
      <c r="X8" s="815"/>
    </row>
    <row r="9" spans="1:24" ht="12.75" customHeight="1">
      <c r="A9" s="120">
        <v>1985</v>
      </c>
      <c r="B9" s="25">
        <v>67.8</v>
      </c>
      <c r="C9" s="25">
        <v>65.400000000000006</v>
      </c>
      <c r="D9" s="25">
        <v>60.8</v>
      </c>
      <c r="E9" s="25">
        <v>65.5</v>
      </c>
      <c r="F9" s="25">
        <v>67.5</v>
      </c>
      <c r="G9" s="25">
        <v>65.400000000000006</v>
      </c>
      <c r="H9" s="25">
        <v>65.8</v>
      </c>
      <c r="I9" s="25">
        <v>66.599999999999994</v>
      </c>
      <c r="J9" s="25">
        <v>72.5</v>
      </c>
      <c r="K9" s="25">
        <v>75.599999999999994</v>
      </c>
      <c r="L9" s="25">
        <v>62.2</v>
      </c>
      <c r="N9" s="815"/>
      <c r="O9" s="815"/>
      <c r="P9" s="815"/>
      <c r="Q9" s="815"/>
      <c r="R9" s="815"/>
      <c r="S9" s="815"/>
      <c r="T9" s="815"/>
      <c r="U9" s="815"/>
      <c r="V9" s="815"/>
      <c r="W9" s="815"/>
      <c r="X9" s="815"/>
    </row>
    <row r="10" spans="1:24" ht="12.75" customHeight="1">
      <c r="A10" s="120">
        <v>1986</v>
      </c>
      <c r="B10" s="25">
        <v>69.900000000000006</v>
      </c>
      <c r="C10" s="25">
        <v>71.2</v>
      </c>
      <c r="D10" s="25">
        <v>65.7</v>
      </c>
      <c r="E10" s="25">
        <v>69.400000000000006</v>
      </c>
      <c r="F10" s="25">
        <v>70.5</v>
      </c>
      <c r="G10" s="25">
        <v>70</v>
      </c>
      <c r="H10" s="25">
        <v>69.7</v>
      </c>
      <c r="I10" s="25">
        <v>69</v>
      </c>
      <c r="J10" s="25">
        <v>68</v>
      </c>
      <c r="K10" s="25">
        <v>67.099999999999994</v>
      </c>
      <c r="L10" s="25">
        <v>65.599999999999994</v>
      </c>
      <c r="N10" s="815"/>
      <c r="O10" s="815"/>
      <c r="P10" s="815"/>
      <c r="Q10" s="815"/>
      <c r="R10" s="815"/>
      <c r="S10" s="815"/>
      <c r="T10" s="815"/>
      <c r="U10" s="815"/>
      <c r="V10" s="815"/>
      <c r="W10" s="815"/>
      <c r="X10" s="815"/>
    </row>
    <row r="11" spans="1:24" ht="12.75" customHeight="1">
      <c r="A11" s="120">
        <v>1987</v>
      </c>
      <c r="B11" s="25">
        <v>73.099999999999994</v>
      </c>
      <c r="C11" s="25">
        <v>73.8</v>
      </c>
      <c r="D11" s="25">
        <v>69</v>
      </c>
      <c r="E11" s="25">
        <v>72.400000000000006</v>
      </c>
      <c r="F11" s="25">
        <v>74.099999999999994</v>
      </c>
      <c r="G11" s="25">
        <v>73.599999999999994</v>
      </c>
      <c r="H11" s="25">
        <v>73.5</v>
      </c>
      <c r="I11" s="25">
        <v>72</v>
      </c>
      <c r="J11" s="25">
        <v>69.3</v>
      </c>
      <c r="K11" s="25">
        <v>68.2</v>
      </c>
      <c r="L11" s="25">
        <v>68.3</v>
      </c>
      <c r="N11" s="815"/>
      <c r="O11" s="815"/>
      <c r="P11" s="815"/>
      <c r="Q11" s="815"/>
      <c r="R11" s="815"/>
      <c r="S11" s="815"/>
      <c r="T11" s="815"/>
      <c r="U11" s="815"/>
      <c r="V11" s="815"/>
      <c r="W11" s="815"/>
      <c r="X11" s="815"/>
    </row>
    <row r="12" spans="1:24" ht="12.75" customHeight="1">
      <c r="A12" s="120">
        <v>1988</v>
      </c>
      <c r="B12" s="25">
        <v>76.400000000000006</v>
      </c>
      <c r="C12" s="25">
        <v>75.8</v>
      </c>
      <c r="D12" s="25">
        <v>73.5</v>
      </c>
      <c r="E12" s="25">
        <v>75.8</v>
      </c>
      <c r="F12" s="25">
        <v>79.099999999999994</v>
      </c>
      <c r="G12" s="25">
        <v>77.2</v>
      </c>
      <c r="H12" s="25">
        <v>77.5</v>
      </c>
      <c r="I12" s="25">
        <v>78.2</v>
      </c>
      <c r="J12" s="25">
        <v>74.3</v>
      </c>
      <c r="K12" s="25">
        <v>67.2</v>
      </c>
      <c r="L12" s="25">
        <v>71.7</v>
      </c>
      <c r="N12" s="815"/>
      <c r="O12" s="815"/>
      <c r="P12" s="815"/>
      <c r="Q12" s="815"/>
      <c r="R12" s="815"/>
      <c r="S12" s="815"/>
      <c r="T12" s="815"/>
      <c r="U12" s="815"/>
      <c r="V12" s="815"/>
      <c r="W12" s="815"/>
      <c r="X12" s="815"/>
    </row>
    <row r="13" spans="1:24" ht="12.75" customHeight="1">
      <c r="A13" s="120">
        <v>1989</v>
      </c>
      <c r="B13" s="25">
        <v>79.8</v>
      </c>
      <c r="C13" s="25">
        <v>77.2</v>
      </c>
      <c r="D13" s="25">
        <v>77.099999999999994</v>
      </c>
      <c r="E13" s="25">
        <v>79</v>
      </c>
      <c r="F13" s="25">
        <v>82.8</v>
      </c>
      <c r="G13" s="25">
        <v>80.8</v>
      </c>
      <c r="H13" s="25">
        <v>81.5</v>
      </c>
      <c r="I13" s="25">
        <v>80.8</v>
      </c>
      <c r="J13" s="25">
        <v>76.900000000000006</v>
      </c>
      <c r="K13" s="25">
        <v>69.8</v>
      </c>
      <c r="L13" s="25">
        <v>75.599999999999994</v>
      </c>
      <c r="N13" s="815"/>
      <c r="O13" s="815"/>
      <c r="P13" s="815"/>
      <c r="Q13" s="815"/>
      <c r="R13" s="815"/>
      <c r="S13" s="815"/>
      <c r="T13" s="815"/>
      <c r="U13" s="815"/>
      <c r="V13" s="815"/>
      <c r="W13" s="815"/>
      <c r="X13" s="815"/>
    </row>
    <row r="14" spans="1:24" ht="12.75" customHeight="1">
      <c r="A14" s="120">
        <v>1990</v>
      </c>
      <c r="B14" s="25">
        <v>82.4</v>
      </c>
      <c r="C14" s="25">
        <v>79.099999999999994</v>
      </c>
      <c r="D14" s="25">
        <v>80.7</v>
      </c>
      <c r="E14" s="25">
        <v>82.6</v>
      </c>
      <c r="F14" s="25">
        <v>85.3</v>
      </c>
      <c r="G14" s="25">
        <v>83.2</v>
      </c>
      <c r="H14" s="25">
        <v>84.1</v>
      </c>
      <c r="I14" s="25">
        <v>81.7</v>
      </c>
      <c r="J14" s="25">
        <v>76.400000000000006</v>
      </c>
      <c r="K14" s="25">
        <v>74.2</v>
      </c>
      <c r="L14" s="25">
        <v>78.2</v>
      </c>
      <c r="N14" s="815"/>
      <c r="O14" s="815"/>
      <c r="P14" s="815"/>
      <c r="Q14" s="815"/>
      <c r="R14" s="815"/>
      <c r="S14" s="815"/>
      <c r="T14" s="815"/>
      <c r="U14" s="815"/>
      <c r="V14" s="815"/>
      <c r="W14" s="815"/>
      <c r="X14" s="815"/>
    </row>
    <row r="15" spans="1:24" ht="12.75" customHeight="1">
      <c r="A15" s="120">
        <v>1991</v>
      </c>
      <c r="B15" s="25">
        <v>84.8</v>
      </c>
      <c r="C15" s="25">
        <v>81.8</v>
      </c>
      <c r="D15" s="25">
        <v>84.1</v>
      </c>
      <c r="E15" s="25">
        <v>86.5</v>
      </c>
      <c r="F15" s="25">
        <v>86.5</v>
      </c>
      <c r="G15" s="25">
        <v>86.5</v>
      </c>
      <c r="H15" s="25">
        <v>87.6</v>
      </c>
      <c r="I15" s="25">
        <v>83.9</v>
      </c>
      <c r="J15" s="25">
        <v>76.099999999999994</v>
      </c>
      <c r="K15" s="25">
        <v>73.5</v>
      </c>
      <c r="L15" s="25">
        <v>80.599999999999994</v>
      </c>
      <c r="N15" s="815"/>
      <c r="O15" s="815"/>
      <c r="P15" s="815"/>
      <c r="Q15" s="815"/>
      <c r="R15" s="815"/>
      <c r="S15" s="815"/>
      <c r="T15" s="815"/>
      <c r="U15" s="815"/>
      <c r="V15" s="815"/>
      <c r="W15" s="815"/>
      <c r="X15" s="815"/>
    </row>
    <row r="16" spans="1:24" ht="12.75" customHeight="1">
      <c r="A16" s="120">
        <v>1992</v>
      </c>
      <c r="B16" s="25">
        <v>85.9</v>
      </c>
      <c r="C16" s="25">
        <v>82.7</v>
      </c>
      <c r="D16" s="25">
        <v>85.2</v>
      </c>
      <c r="E16" s="25">
        <v>87.5</v>
      </c>
      <c r="F16" s="25">
        <v>87.6</v>
      </c>
      <c r="G16" s="25">
        <v>87.9</v>
      </c>
      <c r="H16" s="25">
        <v>87.9</v>
      </c>
      <c r="I16" s="25">
        <v>84.5</v>
      </c>
      <c r="J16" s="25">
        <v>78.5</v>
      </c>
      <c r="K16" s="25">
        <v>74.900000000000006</v>
      </c>
      <c r="L16" s="25">
        <v>83.7</v>
      </c>
      <c r="N16" s="815"/>
      <c r="O16" s="815"/>
      <c r="P16" s="815"/>
      <c r="Q16" s="815"/>
      <c r="R16" s="815"/>
      <c r="S16" s="815"/>
      <c r="T16" s="815"/>
      <c r="U16" s="815"/>
      <c r="V16" s="815"/>
      <c r="W16" s="815"/>
      <c r="X16" s="815"/>
    </row>
    <row r="17" spans="1:24" ht="12.75" customHeight="1">
      <c r="A17" s="120">
        <v>1993</v>
      </c>
      <c r="B17" s="25">
        <v>87.2</v>
      </c>
      <c r="C17" s="25">
        <v>84</v>
      </c>
      <c r="D17" s="25">
        <v>88.7</v>
      </c>
      <c r="E17" s="25">
        <v>87.8</v>
      </c>
      <c r="F17" s="25">
        <v>89.1</v>
      </c>
      <c r="G17" s="25">
        <v>88.3</v>
      </c>
      <c r="H17" s="25">
        <v>89.2</v>
      </c>
      <c r="I17" s="25">
        <v>84.7</v>
      </c>
      <c r="J17" s="25">
        <v>79.599999999999994</v>
      </c>
      <c r="K17" s="25">
        <v>75.7</v>
      </c>
      <c r="L17" s="25">
        <v>86.4</v>
      </c>
      <c r="N17" s="815"/>
      <c r="O17" s="815"/>
      <c r="P17" s="815"/>
      <c r="Q17" s="815"/>
      <c r="R17" s="815"/>
      <c r="S17" s="815"/>
      <c r="T17" s="815"/>
      <c r="U17" s="815"/>
      <c r="V17" s="815"/>
      <c r="W17" s="815"/>
      <c r="X17" s="815"/>
    </row>
    <row r="18" spans="1:24" ht="12.75" customHeight="1">
      <c r="A18" s="120">
        <v>1994</v>
      </c>
      <c r="B18" s="25">
        <v>88.2</v>
      </c>
      <c r="C18" s="25">
        <v>84.6</v>
      </c>
      <c r="D18" s="25">
        <v>86.3</v>
      </c>
      <c r="E18" s="25">
        <v>89</v>
      </c>
      <c r="F18" s="25">
        <v>90.8</v>
      </c>
      <c r="G18" s="25">
        <v>88.9</v>
      </c>
      <c r="H18" s="25">
        <v>89.3</v>
      </c>
      <c r="I18" s="25">
        <v>86</v>
      </c>
      <c r="J18" s="25">
        <v>81.5</v>
      </c>
      <c r="K18" s="25">
        <v>77.3</v>
      </c>
      <c r="L18" s="25">
        <v>89.8</v>
      </c>
      <c r="N18" s="815"/>
      <c r="O18" s="815"/>
      <c r="P18" s="815"/>
      <c r="Q18" s="815"/>
      <c r="R18" s="815"/>
      <c r="S18" s="815"/>
      <c r="T18" s="815"/>
      <c r="U18" s="815"/>
      <c r="V18" s="815"/>
      <c r="W18" s="815"/>
      <c r="X18" s="815"/>
    </row>
    <row r="19" spans="1:24" ht="12.75" customHeight="1">
      <c r="A19" s="120">
        <v>1995</v>
      </c>
      <c r="B19" s="25">
        <v>90.2</v>
      </c>
      <c r="C19" s="25">
        <v>85.8</v>
      </c>
      <c r="D19" s="25">
        <v>85.6</v>
      </c>
      <c r="E19" s="25">
        <v>90.5</v>
      </c>
      <c r="F19" s="25">
        <v>94.2</v>
      </c>
      <c r="G19" s="25">
        <v>90.9</v>
      </c>
      <c r="H19" s="25">
        <v>91.3</v>
      </c>
      <c r="I19" s="25">
        <v>89.1</v>
      </c>
      <c r="J19" s="25">
        <v>87</v>
      </c>
      <c r="K19" s="25">
        <v>78.3</v>
      </c>
      <c r="L19" s="25">
        <v>92.2</v>
      </c>
      <c r="N19" s="815"/>
      <c r="O19" s="815"/>
      <c r="P19" s="815"/>
      <c r="Q19" s="815"/>
      <c r="R19" s="815"/>
      <c r="S19" s="815"/>
      <c r="T19" s="815"/>
      <c r="U19" s="815"/>
      <c r="V19" s="815"/>
      <c r="W19" s="815"/>
      <c r="X19" s="815"/>
    </row>
    <row r="20" spans="1:24" ht="12.75" customHeight="1">
      <c r="A20" s="120">
        <v>1996</v>
      </c>
      <c r="B20" s="25">
        <v>91.6</v>
      </c>
      <c r="C20" s="25">
        <v>88</v>
      </c>
      <c r="D20" s="25">
        <v>88.2</v>
      </c>
      <c r="E20" s="25">
        <v>90.9</v>
      </c>
      <c r="F20" s="25">
        <v>95</v>
      </c>
      <c r="G20" s="25">
        <v>91.7</v>
      </c>
      <c r="H20" s="25">
        <v>92.7</v>
      </c>
      <c r="I20" s="25">
        <v>91.2</v>
      </c>
      <c r="J20" s="25">
        <v>92.6</v>
      </c>
      <c r="K20" s="25">
        <v>82.3</v>
      </c>
      <c r="L20" s="25">
        <v>92.7</v>
      </c>
      <c r="N20" s="815"/>
      <c r="O20" s="815"/>
      <c r="P20" s="815"/>
      <c r="Q20" s="815"/>
      <c r="R20" s="815"/>
      <c r="S20" s="815"/>
      <c r="T20" s="815"/>
      <c r="U20" s="815"/>
      <c r="V20" s="815"/>
      <c r="W20" s="815"/>
      <c r="X20" s="815"/>
    </row>
    <row r="21" spans="1:24" ht="12.75" customHeight="1">
      <c r="A21" s="120">
        <v>1997</v>
      </c>
      <c r="B21" s="25">
        <v>92.7</v>
      </c>
      <c r="C21" s="25">
        <v>87.9</v>
      </c>
      <c r="D21" s="25">
        <v>87.1</v>
      </c>
      <c r="E21" s="25">
        <v>91</v>
      </c>
      <c r="F21" s="25">
        <v>95.1</v>
      </c>
      <c r="G21" s="25">
        <v>92.7</v>
      </c>
      <c r="H21" s="25">
        <v>94.3</v>
      </c>
      <c r="I21" s="25">
        <v>92</v>
      </c>
      <c r="J21" s="25">
        <v>89.8</v>
      </c>
      <c r="K21" s="25">
        <v>83.6</v>
      </c>
      <c r="L21" s="25">
        <v>94.4</v>
      </c>
      <c r="N21" s="815"/>
      <c r="O21" s="815"/>
      <c r="P21" s="815"/>
      <c r="Q21" s="815"/>
      <c r="R21" s="815"/>
      <c r="S21" s="815"/>
      <c r="T21" s="815"/>
      <c r="U21" s="815"/>
      <c r="V21" s="815"/>
      <c r="W21" s="815"/>
      <c r="X21" s="815"/>
    </row>
    <row r="22" spans="1:24" ht="12.75" customHeight="1">
      <c r="A22" s="120">
        <v>1998</v>
      </c>
      <c r="B22" s="25">
        <v>92.3</v>
      </c>
      <c r="C22" s="25">
        <v>88.5</v>
      </c>
      <c r="D22" s="25">
        <v>88.7</v>
      </c>
      <c r="E22" s="25">
        <v>92.2</v>
      </c>
      <c r="F22" s="25">
        <v>96</v>
      </c>
      <c r="G22" s="25">
        <v>93.6</v>
      </c>
      <c r="H22" s="25">
        <v>94.6</v>
      </c>
      <c r="I22" s="25">
        <v>91.9</v>
      </c>
      <c r="J22" s="25">
        <v>87.3</v>
      </c>
      <c r="K22" s="25">
        <v>79.7</v>
      </c>
      <c r="L22" s="25">
        <v>94.2</v>
      </c>
      <c r="N22" s="815"/>
      <c r="O22" s="815"/>
      <c r="P22" s="815"/>
      <c r="Q22" s="815"/>
      <c r="R22" s="815"/>
      <c r="S22" s="815"/>
      <c r="T22" s="815"/>
      <c r="U22" s="815"/>
      <c r="V22" s="815"/>
      <c r="W22" s="815"/>
      <c r="X22" s="815"/>
    </row>
    <row r="23" spans="1:24" ht="12.75" customHeight="1">
      <c r="A23" s="120">
        <v>1999</v>
      </c>
      <c r="B23" s="25">
        <v>93.9</v>
      </c>
      <c r="C23" s="25">
        <v>91.5</v>
      </c>
      <c r="D23" s="25">
        <v>90.2</v>
      </c>
      <c r="E23" s="25">
        <v>94.2</v>
      </c>
      <c r="F23" s="25">
        <v>97.6</v>
      </c>
      <c r="G23" s="25">
        <v>94.7</v>
      </c>
      <c r="H23" s="25">
        <v>95.2</v>
      </c>
      <c r="I23" s="25">
        <v>93.3</v>
      </c>
      <c r="J23" s="25">
        <v>90.7</v>
      </c>
      <c r="K23" s="25">
        <v>85.7</v>
      </c>
      <c r="L23" s="25">
        <v>95.4</v>
      </c>
      <c r="N23" s="815"/>
      <c r="O23" s="815"/>
      <c r="P23" s="815"/>
      <c r="Q23" s="815"/>
      <c r="R23" s="815"/>
      <c r="S23" s="815"/>
      <c r="T23" s="815"/>
      <c r="U23" s="815"/>
      <c r="V23" s="815"/>
      <c r="W23" s="815"/>
      <c r="X23" s="815"/>
    </row>
    <row r="24" spans="1:24" ht="12.75" customHeight="1">
      <c r="A24" s="120">
        <v>2000</v>
      </c>
      <c r="B24" s="25">
        <v>97.8</v>
      </c>
      <c r="C24" s="25">
        <v>99.4</v>
      </c>
      <c r="D24" s="25">
        <v>94.3</v>
      </c>
      <c r="E24" s="25">
        <v>97.7</v>
      </c>
      <c r="F24" s="25">
        <v>100.8</v>
      </c>
      <c r="G24" s="25">
        <v>96.8</v>
      </c>
      <c r="H24" s="25">
        <v>96.8</v>
      </c>
      <c r="I24" s="25">
        <v>95.4</v>
      </c>
      <c r="J24" s="25">
        <v>97.2</v>
      </c>
      <c r="K24" s="25">
        <v>99.9</v>
      </c>
      <c r="L24" s="25">
        <v>99.1</v>
      </c>
      <c r="N24" s="815"/>
      <c r="O24" s="815"/>
      <c r="P24" s="815"/>
      <c r="Q24" s="815"/>
      <c r="R24" s="815"/>
      <c r="S24" s="815"/>
      <c r="T24" s="815"/>
      <c r="U24" s="815"/>
      <c r="V24" s="815"/>
      <c r="W24" s="815"/>
      <c r="X24" s="815"/>
    </row>
    <row r="25" spans="1:24" ht="12.75" customHeight="1">
      <c r="A25" s="120">
        <v>2001</v>
      </c>
      <c r="B25" s="25">
        <v>98.9</v>
      </c>
      <c r="C25" s="25">
        <v>99.6</v>
      </c>
      <c r="D25" s="25">
        <v>97.1</v>
      </c>
      <c r="E25" s="25">
        <v>99.5</v>
      </c>
      <c r="F25" s="25">
        <v>102.2</v>
      </c>
      <c r="G25" s="25">
        <v>98.2</v>
      </c>
      <c r="H25" s="25">
        <v>97.9</v>
      </c>
      <c r="I25" s="25">
        <v>97.7</v>
      </c>
      <c r="J25" s="25">
        <v>96.1</v>
      </c>
      <c r="K25" s="25">
        <v>102.6</v>
      </c>
      <c r="L25" s="25">
        <v>100.1</v>
      </c>
      <c r="N25" s="815"/>
      <c r="O25" s="815"/>
      <c r="P25" s="815"/>
      <c r="Q25" s="815"/>
      <c r="R25" s="815"/>
      <c r="S25" s="815"/>
      <c r="T25" s="815"/>
      <c r="U25" s="815"/>
      <c r="V25" s="815"/>
      <c r="W25" s="815"/>
      <c r="X25" s="815"/>
    </row>
    <row r="26" spans="1:24" ht="12.75" customHeight="1">
      <c r="A26" s="120">
        <v>2002</v>
      </c>
      <c r="B26" s="25">
        <v>100</v>
      </c>
      <c r="C26" s="25">
        <v>100</v>
      </c>
      <c r="D26" s="25">
        <v>100</v>
      </c>
      <c r="E26" s="25">
        <v>100</v>
      </c>
      <c r="F26" s="25">
        <v>100</v>
      </c>
      <c r="G26" s="25">
        <v>100</v>
      </c>
      <c r="H26" s="25">
        <v>100</v>
      </c>
      <c r="I26" s="25">
        <v>100</v>
      </c>
      <c r="J26" s="25">
        <v>100</v>
      </c>
      <c r="K26" s="25">
        <v>100</v>
      </c>
      <c r="L26" s="25">
        <v>100</v>
      </c>
      <c r="N26" s="815"/>
      <c r="O26" s="815"/>
      <c r="P26" s="815"/>
      <c r="Q26" s="815"/>
      <c r="R26" s="815"/>
      <c r="S26" s="815"/>
      <c r="T26" s="815"/>
      <c r="U26" s="815"/>
      <c r="V26" s="815"/>
      <c r="W26" s="815"/>
      <c r="X26" s="815"/>
    </row>
    <row r="27" spans="1:24" ht="12.75" customHeight="1">
      <c r="A27" s="120">
        <v>2003</v>
      </c>
      <c r="B27" s="25">
        <v>103.3</v>
      </c>
      <c r="C27" s="25">
        <v>104</v>
      </c>
      <c r="D27" s="25">
        <v>100.5</v>
      </c>
      <c r="E27" s="25">
        <v>105.1</v>
      </c>
      <c r="F27" s="25">
        <v>102.8</v>
      </c>
      <c r="G27" s="25">
        <v>102.6</v>
      </c>
      <c r="H27" s="25">
        <v>101.8</v>
      </c>
      <c r="I27" s="25">
        <v>101.1</v>
      </c>
      <c r="J27" s="25">
        <v>102</v>
      </c>
      <c r="K27" s="25">
        <v>109.5</v>
      </c>
      <c r="L27" s="25">
        <v>103</v>
      </c>
      <c r="N27" s="815"/>
      <c r="O27" s="815"/>
      <c r="P27" s="815"/>
      <c r="Q27" s="815"/>
      <c r="R27" s="815"/>
      <c r="S27" s="815"/>
      <c r="T27" s="815"/>
      <c r="U27" s="815"/>
      <c r="V27" s="815"/>
      <c r="W27" s="815"/>
      <c r="X27" s="815"/>
    </row>
    <row r="28" spans="1:24" ht="12.75" customHeight="1">
      <c r="A28" s="119">
        <v>2004</v>
      </c>
      <c r="B28" s="25">
        <v>106.6</v>
      </c>
      <c r="C28" s="25">
        <v>112.8</v>
      </c>
      <c r="D28" s="25">
        <v>102.7</v>
      </c>
      <c r="E28" s="25">
        <v>107.7</v>
      </c>
      <c r="F28" s="25">
        <v>105.8</v>
      </c>
      <c r="G28" s="25">
        <v>104.7</v>
      </c>
      <c r="H28" s="25">
        <v>103.9</v>
      </c>
      <c r="I28" s="25">
        <v>105</v>
      </c>
      <c r="J28" s="25">
        <v>108.1</v>
      </c>
      <c r="K28" s="25">
        <v>116</v>
      </c>
      <c r="L28" s="25">
        <v>107.6</v>
      </c>
      <c r="N28" s="815"/>
      <c r="O28" s="815"/>
      <c r="P28" s="815"/>
      <c r="Q28" s="815"/>
      <c r="R28" s="815"/>
      <c r="S28" s="815"/>
      <c r="T28" s="815"/>
      <c r="U28" s="815"/>
      <c r="V28" s="815"/>
      <c r="W28" s="815"/>
      <c r="X28" s="815"/>
    </row>
    <row r="29" spans="1:24" ht="12.75" customHeight="1">
      <c r="A29" s="119">
        <v>2005</v>
      </c>
      <c r="B29" s="25">
        <v>110.2</v>
      </c>
      <c r="C29" s="25">
        <v>125.1</v>
      </c>
      <c r="D29" s="25">
        <v>105</v>
      </c>
      <c r="E29" s="25">
        <v>111.4</v>
      </c>
      <c r="F29" s="25">
        <v>108.9</v>
      </c>
      <c r="G29" s="25">
        <v>106.4</v>
      </c>
      <c r="H29" s="25">
        <v>105.1</v>
      </c>
      <c r="I29" s="25">
        <v>107</v>
      </c>
      <c r="J29" s="25">
        <v>113.1</v>
      </c>
      <c r="K29" s="25">
        <v>128.6</v>
      </c>
      <c r="L29" s="25">
        <v>110.7</v>
      </c>
      <c r="N29" s="815"/>
      <c r="O29" s="815"/>
      <c r="P29" s="815"/>
      <c r="Q29" s="815"/>
      <c r="R29" s="815"/>
      <c r="S29" s="815"/>
      <c r="T29" s="815"/>
      <c r="U29" s="815"/>
      <c r="V29" s="815"/>
      <c r="W29" s="815"/>
      <c r="X29" s="815"/>
    </row>
    <row r="30" spans="1:24" ht="12.75" customHeight="1">
      <c r="A30" s="119">
        <v>2006</v>
      </c>
      <c r="B30" s="25">
        <v>112.9</v>
      </c>
      <c r="C30" s="25">
        <v>143.9</v>
      </c>
      <c r="D30" s="25">
        <v>106.7</v>
      </c>
      <c r="E30" s="25">
        <v>112</v>
      </c>
      <c r="F30" s="25">
        <v>110.9</v>
      </c>
      <c r="G30" s="25">
        <v>108.7</v>
      </c>
      <c r="H30" s="25">
        <v>106.8</v>
      </c>
      <c r="I30" s="25">
        <v>111.3</v>
      </c>
      <c r="J30" s="25">
        <v>119.6</v>
      </c>
      <c r="K30" s="25">
        <v>131.80000000000001</v>
      </c>
      <c r="L30" s="25">
        <v>114.4</v>
      </c>
      <c r="N30" s="815"/>
      <c r="O30" s="815"/>
      <c r="P30" s="815"/>
      <c r="Q30" s="815"/>
      <c r="R30" s="815"/>
      <c r="S30" s="815"/>
      <c r="T30" s="815"/>
      <c r="U30" s="815"/>
      <c r="V30" s="815"/>
      <c r="W30" s="815"/>
      <c r="X30" s="815"/>
    </row>
    <row r="31" spans="1:24" ht="12.75" customHeight="1">
      <c r="A31" s="119">
        <v>2007</v>
      </c>
      <c r="B31" s="25">
        <v>116.4</v>
      </c>
      <c r="C31" s="25">
        <v>149.9</v>
      </c>
      <c r="D31" s="25">
        <v>109.6</v>
      </c>
      <c r="E31" s="25">
        <v>114.6</v>
      </c>
      <c r="F31" s="25">
        <v>113.8</v>
      </c>
      <c r="G31" s="25">
        <v>111.6</v>
      </c>
      <c r="H31" s="25">
        <v>109.1</v>
      </c>
      <c r="I31" s="25">
        <v>116.5</v>
      </c>
      <c r="J31" s="25">
        <v>129.6</v>
      </c>
      <c r="K31" s="25">
        <v>138.1</v>
      </c>
      <c r="L31" s="25">
        <v>117</v>
      </c>
      <c r="N31" s="815"/>
      <c r="O31" s="815"/>
      <c r="P31" s="815"/>
      <c r="Q31" s="815"/>
      <c r="R31" s="815"/>
      <c r="S31" s="815"/>
      <c r="T31" s="815"/>
      <c r="U31" s="815"/>
      <c r="V31" s="815"/>
      <c r="W31" s="815"/>
      <c r="X31" s="815"/>
    </row>
    <row r="32" spans="1:24" ht="12.75" customHeight="1">
      <c r="A32" s="119">
        <v>2008</v>
      </c>
      <c r="B32" s="25">
        <v>120.9</v>
      </c>
      <c r="C32" s="25">
        <v>159.80000000000001</v>
      </c>
      <c r="D32" s="25">
        <v>112.6</v>
      </c>
      <c r="E32" s="25">
        <v>116.4</v>
      </c>
      <c r="F32" s="25">
        <v>115.3</v>
      </c>
      <c r="G32" s="25">
        <v>112.2</v>
      </c>
      <c r="H32" s="25">
        <v>110.1</v>
      </c>
      <c r="I32" s="25">
        <v>119.3</v>
      </c>
      <c r="J32" s="25">
        <v>154.69999999999999</v>
      </c>
      <c r="K32" s="25">
        <v>155.9</v>
      </c>
      <c r="L32" s="25">
        <v>121.4</v>
      </c>
      <c r="N32" s="815"/>
      <c r="O32" s="815"/>
      <c r="P32" s="815"/>
      <c r="Q32" s="815"/>
      <c r="R32" s="815"/>
      <c r="S32" s="815"/>
      <c r="T32" s="815"/>
      <c r="U32" s="815"/>
      <c r="V32" s="815"/>
      <c r="W32" s="815"/>
      <c r="X32" s="815"/>
    </row>
    <row r="33" spans="1:12">
      <c r="A33" s="120"/>
      <c r="B33" s="23"/>
      <c r="C33" s="644"/>
      <c r="D33" s="666" t="s">
        <v>802</v>
      </c>
      <c r="E33" s="644"/>
      <c r="F33" s="644"/>
      <c r="G33" s="644"/>
      <c r="H33" s="644"/>
      <c r="I33" s="644"/>
      <c r="J33" s="644"/>
      <c r="K33" s="644"/>
      <c r="L33" s="644"/>
    </row>
    <row r="34" spans="1:12">
      <c r="A34" s="448" t="s">
        <v>603</v>
      </c>
      <c r="B34" s="23">
        <f t="shared" ref="B34:L34" si="0">((((B13/B5))^(1/8))-1)*100</f>
        <v>4.5968154018566354</v>
      </c>
      <c r="C34" s="23">
        <f t="shared" si="0"/>
        <v>4.3294280105689253</v>
      </c>
      <c r="D34" s="23">
        <f t="shared" si="0"/>
        <v>5.431497478810865</v>
      </c>
      <c r="E34" s="23">
        <f t="shared" si="0"/>
        <v>5.9109389329787598</v>
      </c>
      <c r="F34" s="23">
        <f t="shared" si="0"/>
        <v>5.8857168682909355</v>
      </c>
      <c r="G34" s="23">
        <f t="shared" si="0"/>
        <v>5.6891731783404786</v>
      </c>
      <c r="H34" s="23">
        <f t="shared" si="0"/>
        <v>5.7523399558885302</v>
      </c>
      <c r="I34" s="23">
        <f t="shared" si="0"/>
        <v>4.8541873485729692</v>
      </c>
      <c r="J34" s="23">
        <f t="shared" si="0"/>
        <v>2.4828413301265728</v>
      </c>
      <c r="K34" s="23">
        <f t="shared" si="0"/>
        <v>0.87517572109474528</v>
      </c>
      <c r="L34" s="23">
        <f t="shared" si="0"/>
        <v>4.5149481168380134</v>
      </c>
    </row>
    <row r="35" spans="1:12">
      <c r="A35" s="448" t="s">
        <v>604</v>
      </c>
      <c r="B35" s="23">
        <f t="shared" ref="B35:L35" si="1">((((B24/B13))^(1/11))-1)*100</f>
        <v>1.8663023882952379</v>
      </c>
      <c r="C35" s="23">
        <f t="shared" si="1"/>
        <v>2.3243530879314855</v>
      </c>
      <c r="D35" s="23">
        <f t="shared" si="1"/>
        <v>1.847568457849369</v>
      </c>
      <c r="E35" s="23">
        <f t="shared" si="1"/>
        <v>1.950169470936447</v>
      </c>
      <c r="F35" s="23">
        <f t="shared" si="1"/>
        <v>1.8043607874114631</v>
      </c>
      <c r="G35" s="23">
        <f t="shared" si="1"/>
        <v>1.6560172464032075</v>
      </c>
      <c r="H35" s="23">
        <f t="shared" si="1"/>
        <v>1.5763311887400322</v>
      </c>
      <c r="I35" s="23">
        <f t="shared" si="1"/>
        <v>1.5214729858580744</v>
      </c>
      <c r="J35" s="23">
        <f t="shared" si="1"/>
        <v>2.152519857286217</v>
      </c>
      <c r="K35" s="23">
        <f t="shared" si="1"/>
        <v>3.3131160294933348</v>
      </c>
      <c r="L35" s="23">
        <f t="shared" si="1"/>
        <v>2.4911892891322784</v>
      </c>
    </row>
    <row r="36" spans="1:12">
      <c r="A36" s="448" t="s">
        <v>1408</v>
      </c>
      <c r="B36" s="23">
        <f>((((B32/B5))^(1/27))-1)*100</f>
        <v>2.9119000276037532</v>
      </c>
      <c r="C36" s="23">
        <f t="shared" ref="C36:L36" si="2">((((C32/C5))^(1/27))-1)*100</f>
        <v>4.0293960673105422</v>
      </c>
      <c r="D36" s="23">
        <f t="shared" si="2"/>
        <v>3.0144237523113127</v>
      </c>
      <c r="E36" s="23">
        <f t="shared" si="2"/>
        <v>3.1868047052815207</v>
      </c>
      <c r="F36" s="23">
        <f t="shared" si="2"/>
        <v>2.9639302826430125</v>
      </c>
      <c r="G36" s="23">
        <f t="shared" si="2"/>
        <v>2.896580986745434</v>
      </c>
      <c r="H36" s="23">
        <f t="shared" si="2"/>
        <v>2.8099552726062349</v>
      </c>
      <c r="I36" s="23">
        <f t="shared" si="2"/>
        <v>2.8885943027411765</v>
      </c>
      <c r="J36" s="23">
        <f t="shared" si="2"/>
        <v>3.3710692894433736</v>
      </c>
      <c r="K36" s="23">
        <f t="shared" si="2"/>
        <v>3.2872837613054706</v>
      </c>
      <c r="L36" s="23">
        <f t="shared" si="2"/>
        <v>3.1100256810761007</v>
      </c>
    </row>
    <row r="37" spans="1:12">
      <c r="A37" s="448" t="s">
        <v>449</v>
      </c>
      <c r="B37" s="644">
        <f>((((B31/B24))^(1/7)-1)*100)</f>
        <v>2.5184468294025653</v>
      </c>
      <c r="C37" s="644">
        <f t="shared" ref="C37:L37" si="3">((((C31/C24))^(1/7)-1)*100)</f>
        <v>6.0444374641487109</v>
      </c>
      <c r="D37" s="644">
        <f t="shared" si="3"/>
        <v>2.1711799034520807</v>
      </c>
      <c r="E37" s="644">
        <f t="shared" si="3"/>
        <v>2.3054050382647739</v>
      </c>
      <c r="F37" s="644">
        <f t="shared" si="3"/>
        <v>1.7480187681840009</v>
      </c>
      <c r="G37" s="644">
        <f t="shared" si="3"/>
        <v>2.0532821672448742</v>
      </c>
      <c r="H37" s="644">
        <f t="shared" si="3"/>
        <v>1.7235110948973897</v>
      </c>
      <c r="I37" s="644">
        <f t="shared" si="3"/>
        <v>2.8955973940315349</v>
      </c>
      <c r="J37" s="644">
        <f t="shared" si="3"/>
        <v>4.195362743720854</v>
      </c>
      <c r="K37" s="644">
        <f t="shared" si="3"/>
        <v>4.7344946320011294</v>
      </c>
      <c r="L37" s="644">
        <f t="shared" si="3"/>
        <v>2.4004214081810415</v>
      </c>
    </row>
    <row r="38" spans="1:12">
      <c r="A38" s="448" t="s">
        <v>1410</v>
      </c>
      <c r="B38" s="644">
        <f>((((B32/B24))^(1/8)-1)*100)</f>
        <v>2.6859276367117157</v>
      </c>
      <c r="C38" s="644">
        <f t="shared" ref="C38:L38" si="4">((((C32/C24))^(1/8)-1)*100)</f>
        <v>6.1142719749866181</v>
      </c>
      <c r="D38" s="644">
        <f t="shared" si="4"/>
        <v>2.2417647918473893</v>
      </c>
      <c r="E38" s="644">
        <f t="shared" si="4"/>
        <v>2.2132746235423273</v>
      </c>
      <c r="F38" s="644">
        <f t="shared" si="4"/>
        <v>1.6941795591021824</v>
      </c>
      <c r="G38" s="644">
        <f t="shared" si="4"/>
        <v>1.8625836487565328</v>
      </c>
      <c r="H38" s="644">
        <f t="shared" si="4"/>
        <v>1.6222941993489615</v>
      </c>
      <c r="I38" s="644">
        <f t="shared" si="4"/>
        <v>2.8339477789341538</v>
      </c>
      <c r="J38" s="644">
        <f t="shared" si="4"/>
        <v>5.9809983031887892</v>
      </c>
      <c r="K38" s="644">
        <f t="shared" si="4"/>
        <v>5.7207117679156427</v>
      </c>
      <c r="L38" s="644">
        <f t="shared" si="4"/>
        <v>2.569474158801266</v>
      </c>
    </row>
    <row r="39" spans="1:12">
      <c r="A39" s="2"/>
      <c r="D39" s="27" t="s">
        <v>276</v>
      </c>
    </row>
    <row r="40" spans="1:12">
      <c r="A40" s="448" t="s">
        <v>1408</v>
      </c>
      <c r="B40" s="10">
        <f>(B32/B5-1)*100</f>
        <v>117.05565529622982</v>
      </c>
      <c r="C40" s="10">
        <f t="shared" ref="C40:L40" si="5">(C32/C5-1)*100</f>
        <v>190.54545454545456</v>
      </c>
      <c r="D40" s="10">
        <f t="shared" si="5"/>
        <v>122.97029702970295</v>
      </c>
      <c r="E40" s="10">
        <f t="shared" si="5"/>
        <v>133.26653306613227</v>
      </c>
      <c r="F40" s="10">
        <f t="shared" si="5"/>
        <v>120.03816793893129</v>
      </c>
      <c r="G40" s="10">
        <f t="shared" si="5"/>
        <v>116.1849710982659</v>
      </c>
      <c r="H40" s="10">
        <f t="shared" si="5"/>
        <v>111.3243761996161</v>
      </c>
      <c r="I40" s="10">
        <f t="shared" si="5"/>
        <v>115.73236889692589</v>
      </c>
      <c r="J40" s="10">
        <f t="shared" si="5"/>
        <v>144.77848101265818</v>
      </c>
      <c r="K40" s="10">
        <f t="shared" si="5"/>
        <v>139.47772657450082</v>
      </c>
      <c r="L40" s="10">
        <f t="shared" si="5"/>
        <v>128.62523540489642</v>
      </c>
    </row>
    <row r="42" spans="1:12">
      <c r="A42" s="9" t="s">
        <v>1586</v>
      </c>
      <c r="B42" s="9"/>
      <c r="C42" s="9"/>
      <c r="D42" s="9"/>
      <c r="E42" s="9"/>
      <c r="F42" s="9"/>
      <c r="G42" s="9"/>
      <c r="H42" s="9"/>
      <c r="I42" s="9"/>
      <c r="J42" s="9"/>
      <c r="K42" s="9"/>
      <c r="L42" s="9"/>
    </row>
    <row r="43" spans="1:12">
      <c r="A43" s="4" t="s">
        <v>1718</v>
      </c>
    </row>
    <row r="44" spans="1:12">
      <c r="A44" s="1" t="s">
        <v>388</v>
      </c>
    </row>
    <row r="46" spans="1:12">
      <c r="E46" s="114"/>
    </row>
    <row r="47" spans="1:12">
      <c r="E47" s="114"/>
    </row>
  </sheetData>
  <mergeCells count="11">
    <mergeCell ref="K3:K4"/>
    <mergeCell ref="L3:L4"/>
    <mergeCell ref="F3:F4"/>
    <mergeCell ref="G3:G4"/>
    <mergeCell ref="H3:H4"/>
    <mergeCell ref="I3:I4"/>
    <mergeCell ref="B3:B4"/>
    <mergeCell ref="C3:C4"/>
    <mergeCell ref="D3:D4"/>
    <mergeCell ref="E3:E4"/>
    <mergeCell ref="J3:J4"/>
  </mergeCells>
  <phoneticPr fontId="35" type="noConversion"/>
  <pageMargins left="0.75" right="0.75" top="1" bottom="1" header="0.5" footer="0.5"/>
  <pageSetup scale="84" orientation="landscape" horizontalDpi="300" verticalDpi="300" r:id="rId1"/>
  <headerFooter alignWithMargins="0"/>
</worksheet>
</file>

<file path=xl/worksheets/sheet130.xml><?xml version="1.0" encoding="utf-8"?>
<worksheet xmlns="http://schemas.openxmlformats.org/spreadsheetml/2006/main" xmlns:r="http://schemas.openxmlformats.org/officeDocument/2006/relationships">
  <sheetPr codeName="Sheet8"/>
  <dimension ref="A1:T79"/>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89" customWidth="1"/>
    <col min="2" max="2" width="16.5703125" style="93" customWidth="1"/>
    <col min="3" max="3" width="17.28515625" style="93" customWidth="1"/>
    <col min="4" max="7" width="16.5703125" style="93" customWidth="1"/>
    <col min="8" max="10" width="9.140625" style="93"/>
    <col min="11" max="11" width="10.7109375" style="93" bestFit="1" customWidth="1"/>
    <col min="12" max="16384" width="9.140625" style="93"/>
  </cols>
  <sheetData>
    <row r="1" spans="1:18" ht="15.75">
      <c r="A1" s="88"/>
      <c r="B1" s="87" t="s">
        <v>2206</v>
      </c>
    </row>
    <row r="2" spans="1:18">
      <c r="A2" s="88"/>
      <c r="B2" s="88"/>
    </row>
    <row r="3" spans="1:18" ht="12.75" customHeight="1">
      <c r="B3" s="1230" t="s">
        <v>660</v>
      </c>
      <c r="C3" s="1230" t="s">
        <v>661</v>
      </c>
      <c r="D3" s="1230" t="s">
        <v>992</v>
      </c>
      <c r="E3" s="1230" t="s">
        <v>993</v>
      </c>
      <c r="F3" s="1230" t="s">
        <v>994</v>
      </c>
      <c r="G3" s="1230" t="s">
        <v>995</v>
      </c>
    </row>
    <row r="4" spans="1:18" s="88" customFormat="1" ht="43.5" customHeight="1">
      <c r="A4" s="188"/>
      <c r="B4" s="1231"/>
      <c r="C4" s="1231"/>
      <c r="D4" s="1231"/>
      <c r="E4" s="1231"/>
      <c r="F4" s="1231"/>
      <c r="G4" s="1231"/>
    </row>
    <row r="5" spans="1:18">
      <c r="B5" s="941" t="s">
        <v>996</v>
      </c>
      <c r="C5" s="189" t="s">
        <v>997</v>
      </c>
      <c r="D5" s="189" t="s">
        <v>998</v>
      </c>
      <c r="E5" s="189" t="s">
        <v>999</v>
      </c>
      <c r="F5" s="189" t="s">
        <v>1000</v>
      </c>
      <c r="G5" s="189" t="s">
        <v>1001</v>
      </c>
      <c r="H5" s="123"/>
      <c r="I5" s="123"/>
      <c r="J5" s="123"/>
      <c r="K5" s="438" t="s">
        <v>1397</v>
      </c>
      <c r="L5" s="438" t="s">
        <v>1398</v>
      </c>
      <c r="M5" s="438" t="s">
        <v>1399</v>
      </c>
      <c r="N5" s="438" t="s">
        <v>1400</v>
      </c>
      <c r="O5" s="438" t="s">
        <v>1401</v>
      </c>
      <c r="P5" s="438" t="s">
        <v>1402</v>
      </c>
      <c r="Q5" s="438" t="s">
        <v>1403</v>
      </c>
      <c r="R5" s="438" t="s">
        <v>1404</v>
      </c>
    </row>
    <row r="6" spans="1:18" ht="15">
      <c r="A6" s="89">
        <v>1981</v>
      </c>
      <c r="B6" s="90">
        <f>K6/10^9</f>
        <v>290.78899999999999</v>
      </c>
      <c r="C6" s="90">
        <f>L6/10^9</f>
        <v>196.71600000000001</v>
      </c>
      <c r="D6" s="90">
        <f>(M6+N6)/10^9</f>
        <v>17.503</v>
      </c>
      <c r="E6" s="90">
        <f>O6/10^9</f>
        <v>47.298000000000002</v>
      </c>
      <c r="F6" s="90">
        <f>(P6+Q6+R6)/10^9</f>
        <v>29.271999999999998</v>
      </c>
      <c r="G6" s="90">
        <f>B6-C6-D6</f>
        <v>76.569999999999979</v>
      </c>
      <c r="H6" s="123"/>
      <c r="I6" s="123"/>
      <c r="J6" s="936">
        <v>1981</v>
      </c>
      <c r="K6" s="438">
        <v>290789000000</v>
      </c>
      <c r="L6" s="438">
        <v>196716000000</v>
      </c>
      <c r="M6" s="438">
        <v>2823000000</v>
      </c>
      <c r="N6" s="438">
        <v>14680000000</v>
      </c>
      <c r="O6" s="438">
        <v>47298000000</v>
      </c>
      <c r="P6" s="438">
        <v>28392000000</v>
      </c>
      <c r="Q6" s="438">
        <v>334000000</v>
      </c>
      <c r="R6" s="438">
        <v>546000000</v>
      </c>
    </row>
    <row r="7" spans="1:18" ht="15">
      <c r="A7" s="89">
        <v>1982</v>
      </c>
      <c r="B7" s="90">
        <f t="shared" ref="B7:B33" si="0">K7/10^9</f>
        <v>321.75200000000001</v>
      </c>
      <c r="C7" s="90">
        <f t="shared" ref="C7:C33" si="1">L7/10^9</f>
        <v>210.08500000000001</v>
      </c>
      <c r="D7" s="90">
        <f t="shared" ref="D7:D33" si="2">(M7+N7)/10^9</f>
        <v>19.175000000000001</v>
      </c>
      <c r="E7" s="90">
        <f t="shared" ref="E7:E33" si="3">O7/10^9</f>
        <v>55.337000000000003</v>
      </c>
      <c r="F7" s="90">
        <f t="shared" ref="F7:F33" si="4">(P7+Q7+R7)/10^9</f>
        <v>37.155000000000001</v>
      </c>
      <c r="G7" s="90">
        <f t="shared" ref="G7:G33" si="5">B7-C7-D7</f>
        <v>92.492000000000004</v>
      </c>
      <c r="H7" s="123"/>
      <c r="I7" s="123"/>
      <c r="J7" s="936">
        <v>1982</v>
      </c>
      <c r="K7" s="438">
        <v>321752000000</v>
      </c>
      <c r="L7" s="438">
        <v>210085000000</v>
      </c>
      <c r="M7" s="438">
        <v>2191000000</v>
      </c>
      <c r="N7" s="438">
        <v>16984000000</v>
      </c>
      <c r="O7" s="438">
        <v>55337000000</v>
      </c>
      <c r="P7" s="438">
        <v>36210000000</v>
      </c>
      <c r="Q7" s="438">
        <v>337000000</v>
      </c>
      <c r="R7" s="438">
        <v>608000000</v>
      </c>
    </row>
    <row r="8" spans="1:18" ht="15">
      <c r="A8" s="89">
        <v>1983</v>
      </c>
      <c r="B8" s="90">
        <f t="shared" si="0"/>
        <v>339.01299999999998</v>
      </c>
      <c r="C8" s="90">
        <f t="shared" si="1"/>
        <v>220.28200000000001</v>
      </c>
      <c r="D8" s="90">
        <f t="shared" si="2"/>
        <v>22.728000000000002</v>
      </c>
      <c r="E8" s="90">
        <f t="shared" si="3"/>
        <v>53.155000000000001</v>
      </c>
      <c r="F8" s="90">
        <f t="shared" si="4"/>
        <v>42.847999999999999</v>
      </c>
      <c r="G8" s="90">
        <f t="shared" si="5"/>
        <v>96.002999999999957</v>
      </c>
      <c r="H8" s="123"/>
      <c r="I8" s="123"/>
      <c r="J8" s="936">
        <v>1983</v>
      </c>
      <c r="K8" s="438">
        <v>339013000000</v>
      </c>
      <c r="L8" s="438">
        <v>220282000000</v>
      </c>
      <c r="M8" s="438">
        <v>1827000000</v>
      </c>
      <c r="N8" s="438">
        <v>20901000000</v>
      </c>
      <c r="O8" s="438">
        <v>53155000000</v>
      </c>
      <c r="P8" s="438">
        <v>41839000000</v>
      </c>
      <c r="Q8" s="438">
        <v>382000000</v>
      </c>
      <c r="R8" s="438">
        <v>627000000</v>
      </c>
    </row>
    <row r="9" spans="1:18" ht="15">
      <c r="A9" s="89">
        <v>1984</v>
      </c>
      <c r="B9" s="90">
        <f t="shared" si="0"/>
        <v>367.33300000000003</v>
      </c>
      <c r="C9" s="90">
        <f t="shared" si="1"/>
        <v>237.24799999999999</v>
      </c>
      <c r="D9" s="90">
        <f t="shared" si="2"/>
        <v>25.571999999999999</v>
      </c>
      <c r="E9" s="90">
        <f t="shared" si="3"/>
        <v>58.445999999999998</v>
      </c>
      <c r="F9" s="90">
        <f t="shared" si="4"/>
        <v>46.067</v>
      </c>
      <c r="G9" s="90">
        <f t="shared" si="5"/>
        <v>104.51300000000003</v>
      </c>
      <c r="H9" s="123"/>
      <c r="I9" s="123"/>
      <c r="J9" s="936">
        <v>1984</v>
      </c>
      <c r="K9" s="438">
        <v>367333000000</v>
      </c>
      <c r="L9" s="438">
        <v>237248000000</v>
      </c>
      <c r="M9" s="438">
        <v>2099000000</v>
      </c>
      <c r="N9" s="438">
        <v>23473000000</v>
      </c>
      <c r="O9" s="438">
        <v>58446000000</v>
      </c>
      <c r="P9" s="438">
        <v>45075000000</v>
      </c>
      <c r="Q9" s="438">
        <v>331000000</v>
      </c>
      <c r="R9" s="438">
        <v>661000000</v>
      </c>
    </row>
    <row r="10" spans="1:18" ht="15">
      <c r="A10" s="89">
        <v>1985</v>
      </c>
      <c r="B10" s="90">
        <f t="shared" si="0"/>
        <v>397.858</v>
      </c>
      <c r="C10" s="90">
        <f t="shared" si="1"/>
        <v>255.82599999999999</v>
      </c>
      <c r="D10" s="90">
        <f t="shared" si="2"/>
        <v>28.742999999999999</v>
      </c>
      <c r="E10" s="90">
        <f t="shared" si="3"/>
        <v>63.6</v>
      </c>
      <c r="F10" s="90">
        <f t="shared" si="4"/>
        <v>49.689</v>
      </c>
      <c r="G10" s="90">
        <f t="shared" si="5"/>
        <v>113.28900000000002</v>
      </c>
      <c r="H10" s="123"/>
      <c r="I10" s="123"/>
      <c r="J10" s="936">
        <v>1985</v>
      </c>
      <c r="K10" s="438">
        <v>397858000000</v>
      </c>
      <c r="L10" s="438">
        <v>255826000000</v>
      </c>
      <c r="M10" s="438">
        <v>2839000000</v>
      </c>
      <c r="N10" s="438">
        <v>25904000000</v>
      </c>
      <c r="O10" s="438">
        <v>63600000000</v>
      </c>
      <c r="P10" s="438">
        <v>48668000000</v>
      </c>
      <c r="Q10" s="438">
        <v>290000000</v>
      </c>
      <c r="R10" s="438">
        <v>731000000</v>
      </c>
    </row>
    <row r="11" spans="1:18" ht="15">
      <c r="A11" s="89">
        <v>1986</v>
      </c>
      <c r="B11" s="90">
        <f t="shared" si="0"/>
        <v>425.75700000000001</v>
      </c>
      <c r="C11" s="90">
        <f t="shared" si="1"/>
        <v>272.755</v>
      </c>
      <c r="D11" s="90">
        <f t="shared" si="2"/>
        <v>32.399000000000001</v>
      </c>
      <c r="E11" s="90">
        <f t="shared" si="3"/>
        <v>67.23</v>
      </c>
      <c r="F11" s="90">
        <f t="shared" si="4"/>
        <v>53.372999999999998</v>
      </c>
      <c r="G11" s="90">
        <f t="shared" si="5"/>
        <v>120.60300000000001</v>
      </c>
      <c r="H11" s="123"/>
      <c r="I11" s="123"/>
      <c r="J11" s="936">
        <v>1986</v>
      </c>
      <c r="K11" s="438">
        <v>425757000000</v>
      </c>
      <c r="L11" s="438">
        <v>272755000000</v>
      </c>
      <c r="M11" s="438">
        <v>3825000000</v>
      </c>
      <c r="N11" s="438">
        <v>28574000000</v>
      </c>
      <c r="O11" s="438">
        <v>67230000000</v>
      </c>
      <c r="P11" s="438">
        <v>52136000000</v>
      </c>
      <c r="Q11" s="438">
        <v>323000000</v>
      </c>
      <c r="R11" s="438">
        <v>914000000</v>
      </c>
    </row>
    <row r="12" spans="1:18" ht="15">
      <c r="A12" s="89">
        <v>1987</v>
      </c>
      <c r="B12" s="90">
        <f t="shared" si="0"/>
        <v>457.702</v>
      </c>
      <c r="C12" s="90">
        <f t="shared" si="1"/>
        <v>296.44200000000001</v>
      </c>
      <c r="D12" s="90">
        <f t="shared" si="2"/>
        <v>32.746000000000002</v>
      </c>
      <c r="E12" s="90">
        <f t="shared" si="3"/>
        <v>71.091999999999999</v>
      </c>
      <c r="F12" s="90">
        <f t="shared" si="4"/>
        <v>57.421999999999997</v>
      </c>
      <c r="G12" s="90">
        <f t="shared" si="5"/>
        <v>128.51399999999998</v>
      </c>
      <c r="H12" s="123"/>
      <c r="I12" s="123"/>
      <c r="J12" s="936">
        <v>1987</v>
      </c>
      <c r="K12" s="438">
        <v>457702000000</v>
      </c>
      <c r="L12" s="438">
        <v>296442000000</v>
      </c>
      <c r="M12" s="438">
        <v>1985000000</v>
      </c>
      <c r="N12" s="438">
        <v>30761000000</v>
      </c>
      <c r="O12" s="438">
        <v>71092000000</v>
      </c>
      <c r="P12" s="438">
        <v>56068000000</v>
      </c>
      <c r="Q12" s="438">
        <v>364000000</v>
      </c>
      <c r="R12" s="438">
        <v>990000000</v>
      </c>
    </row>
    <row r="13" spans="1:18" ht="15">
      <c r="A13" s="89">
        <v>1988</v>
      </c>
      <c r="B13" s="90">
        <f t="shared" si="0"/>
        <v>502.54199999999997</v>
      </c>
      <c r="C13" s="90">
        <f t="shared" si="1"/>
        <v>325.24799999999999</v>
      </c>
      <c r="D13" s="90">
        <f t="shared" si="2"/>
        <v>36.396000000000001</v>
      </c>
      <c r="E13" s="90">
        <f t="shared" si="3"/>
        <v>79.59</v>
      </c>
      <c r="F13" s="90">
        <f t="shared" si="4"/>
        <v>61.308</v>
      </c>
      <c r="G13" s="90">
        <f t="shared" si="5"/>
        <v>140.89799999999997</v>
      </c>
      <c r="H13" s="123"/>
      <c r="I13" s="123"/>
      <c r="J13" s="936">
        <v>1988</v>
      </c>
      <c r="K13" s="438">
        <v>502542000000</v>
      </c>
      <c r="L13" s="438">
        <v>325248000000</v>
      </c>
      <c r="M13" s="438">
        <v>3283000000</v>
      </c>
      <c r="N13" s="438">
        <v>33113000000</v>
      </c>
      <c r="O13" s="438">
        <v>79590000000</v>
      </c>
      <c r="P13" s="438">
        <v>59923000000</v>
      </c>
      <c r="Q13" s="438">
        <v>333000000</v>
      </c>
      <c r="R13" s="438">
        <v>1052000000</v>
      </c>
    </row>
    <row r="14" spans="1:18" ht="15">
      <c r="A14" s="89">
        <v>1989</v>
      </c>
      <c r="B14" s="90">
        <f t="shared" si="0"/>
        <v>546.32399999999996</v>
      </c>
      <c r="C14" s="90">
        <f t="shared" si="1"/>
        <v>350.74299999999999</v>
      </c>
      <c r="D14" s="90">
        <f t="shared" si="2"/>
        <v>36.841999999999999</v>
      </c>
      <c r="E14" s="90">
        <f t="shared" si="3"/>
        <v>92.507000000000005</v>
      </c>
      <c r="F14" s="90">
        <f t="shared" si="4"/>
        <v>66.231999999999999</v>
      </c>
      <c r="G14" s="90">
        <f t="shared" si="5"/>
        <v>158.73899999999998</v>
      </c>
      <c r="H14" s="123"/>
      <c r="I14" s="123"/>
      <c r="J14" s="936">
        <v>1989</v>
      </c>
      <c r="K14" s="438">
        <v>546324000000</v>
      </c>
      <c r="L14" s="438">
        <v>350743000000</v>
      </c>
      <c r="M14" s="438">
        <v>1986000000</v>
      </c>
      <c r="N14" s="438">
        <v>34856000000</v>
      </c>
      <c r="O14" s="438">
        <v>92507000000</v>
      </c>
      <c r="P14" s="438">
        <v>64724000000</v>
      </c>
      <c r="Q14" s="438">
        <v>413000000</v>
      </c>
      <c r="R14" s="438">
        <v>1095000000</v>
      </c>
    </row>
    <row r="15" spans="1:18" ht="15">
      <c r="A15" s="89">
        <v>1990</v>
      </c>
      <c r="B15" s="90">
        <f t="shared" si="0"/>
        <v>586.56600000000003</v>
      </c>
      <c r="C15" s="90">
        <f t="shared" si="1"/>
        <v>368.89100000000002</v>
      </c>
      <c r="D15" s="90">
        <f t="shared" si="2"/>
        <v>37.597000000000001</v>
      </c>
      <c r="E15" s="90">
        <f t="shared" si="3"/>
        <v>105.512</v>
      </c>
      <c r="F15" s="90">
        <f t="shared" si="4"/>
        <v>74.566000000000003</v>
      </c>
      <c r="G15" s="90">
        <f t="shared" si="5"/>
        <v>180.078</v>
      </c>
      <c r="H15" s="123"/>
      <c r="I15" s="123"/>
      <c r="J15" s="936">
        <v>1990</v>
      </c>
      <c r="K15" s="438">
        <v>586566000000</v>
      </c>
      <c r="L15" s="438">
        <v>368891000000</v>
      </c>
      <c r="M15" s="438">
        <v>2053000000</v>
      </c>
      <c r="N15" s="438">
        <v>35544000000</v>
      </c>
      <c r="O15" s="438">
        <v>105512000000</v>
      </c>
      <c r="P15" s="438">
        <v>73004000000</v>
      </c>
      <c r="Q15" s="438">
        <v>334000000</v>
      </c>
      <c r="R15" s="438">
        <v>1228000000</v>
      </c>
    </row>
    <row r="16" spans="1:18" ht="15">
      <c r="A16" s="89">
        <v>1991</v>
      </c>
      <c r="B16" s="90">
        <f t="shared" si="0"/>
        <v>605.322</v>
      </c>
      <c r="C16" s="90">
        <f t="shared" si="1"/>
        <v>379.09100000000001</v>
      </c>
      <c r="D16" s="90">
        <f t="shared" si="2"/>
        <v>38.875</v>
      </c>
      <c r="E16" s="90">
        <f t="shared" si="3"/>
        <v>101.798</v>
      </c>
      <c r="F16" s="90">
        <f t="shared" si="4"/>
        <v>85.558000000000007</v>
      </c>
      <c r="G16" s="90">
        <f t="shared" si="5"/>
        <v>187.35599999999999</v>
      </c>
      <c r="H16" s="123"/>
      <c r="I16" s="123"/>
      <c r="J16" s="936">
        <v>1991</v>
      </c>
      <c r="K16" s="438">
        <v>605322000000</v>
      </c>
      <c r="L16" s="438">
        <v>379091000000</v>
      </c>
      <c r="M16" s="438">
        <v>1853000000</v>
      </c>
      <c r="N16" s="438">
        <v>37022000000</v>
      </c>
      <c r="O16" s="438">
        <v>101798000000</v>
      </c>
      <c r="P16" s="438">
        <v>83830000000</v>
      </c>
      <c r="Q16" s="438">
        <v>337000000</v>
      </c>
      <c r="R16" s="438">
        <v>1391000000</v>
      </c>
    </row>
    <row r="17" spans="1:20" ht="15">
      <c r="A17" s="89">
        <v>1992</v>
      </c>
      <c r="B17" s="90">
        <f t="shared" si="0"/>
        <v>620.65300000000002</v>
      </c>
      <c r="C17" s="90">
        <f t="shared" si="1"/>
        <v>387.78800000000001</v>
      </c>
      <c r="D17" s="90">
        <f t="shared" si="2"/>
        <v>41.133000000000003</v>
      </c>
      <c r="E17" s="90">
        <f t="shared" si="3"/>
        <v>96.766999999999996</v>
      </c>
      <c r="F17" s="90">
        <f t="shared" si="4"/>
        <v>94.965000000000003</v>
      </c>
      <c r="G17" s="90">
        <f t="shared" si="5"/>
        <v>191.732</v>
      </c>
      <c r="H17" s="123"/>
      <c r="I17" s="123"/>
      <c r="J17" s="936">
        <v>1992</v>
      </c>
      <c r="K17" s="438">
        <v>620653000000</v>
      </c>
      <c r="L17" s="438">
        <v>387788000000</v>
      </c>
      <c r="M17" s="438">
        <v>1727000000</v>
      </c>
      <c r="N17" s="438">
        <v>39406000000</v>
      </c>
      <c r="O17" s="438">
        <v>96767000000</v>
      </c>
      <c r="P17" s="438">
        <v>93077000000</v>
      </c>
      <c r="Q17" s="438">
        <v>364000000</v>
      </c>
      <c r="R17" s="438">
        <v>1524000000</v>
      </c>
    </row>
    <row r="18" spans="1:20" ht="15">
      <c r="A18" s="89">
        <v>1993</v>
      </c>
      <c r="B18" s="90">
        <f t="shared" si="0"/>
        <v>633.05899999999997</v>
      </c>
      <c r="C18" s="90">
        <f t="shared" si="1"/>
        <v>394.81599999999997</v>
      </c>
      <c r="D18" s="90">
        <f t="shared" si="2"/>
        <v>44.085000000000001</v>
      </c>
      <c r="E18" s="90">
        <f t="shared" si="3"/>
        <v>93.673000000000002</v>
      </c>
      <c r="F18" s="90">
        <f t="shared" si="4"/>
        <v>100.485</v>
      </c>
      <c r="G18" s="90">
        <f t="shared" si="5"/>
        <v>194.15799999999999</v>
      </c>
      <c r="H18" s="123"/>
      <c r="I18" s="123"/>
      <c r="J18" s="936">
        <v>1993</v>
      </c>
      <c r="K18" s="438">
        <v>633059000000</v>
      </c>
      <c r="L18" s="438">
        <v>394816000000</v>
      </c>
      <c r="M18" s="438">
        <v>2017000000</v>
      </c>
      <c r="N18" s="438">
        <v>42068000000</v>
      </c>
      <c r="O18" s="438">
        <v>93673000000</v>
      </c>
      <c r="P18" s="438">
        <v>98323000000</v>
      </c>
      <c r="Q18" s="438">
        <v>465000000</v>
      </c>
      <c r="R18" s="438">
        <v>1697000000</v>
      </c>
    </row>
    <row r="19" spans="1:20" ht="15">
      <c r="A19" s="89">
        <v>1994</v>
      </c>
      <c r="B19" s="90">
        <f t="shared" si="0"/>
        <v>646.34799999999996</v>
      </c>
      <c r="C19" s="90">
        <f t="shared" si="1"/>
        <v>404.91800000000001</v>
      </c>
      <c r="D19" s="90">
        <f t="shared" si="2"/>
        <v>46.186</v>
      </c>
      <c r="E19" s="90">
        <f t="shared" si="3"/>
        <v>94.305000000000007</v>
      </c>
      <c r="F19" s="90">
        <f t="shared" si="4"/>
        <v>100.93899999999999</v>
      </c>
      <c r="G19" s="90">
        <f t="shared" si="5"/>
        <v>195.24399999999994</v>
      </c>
      <c r="H19" s="123"/>
      <c r="I19" s="123"/>
      <c r="J19" s="936">
        <v>1994</v>
      </c>
      <c r="K19" s="438">
        <v>646348000000</v>
      </c>
      <c r="L19" s="438">
        <v>404918000000</v>
      </c>
      <c r="M19" s="438">
        <v>1255000000</v>
      </c>
      <c r="N19" s="438">
        <v>44931000000</v>
      </c>
      <c r="O19" s="438">
        <v>94305000000</v>
      </c>
      <c r="P19" s="438">
        <v>98495000000</v>
      </c>
      <c r="Q19" s="438">
        <v>558000000</v>
      </c>
      <c r="R19" s="438">
        <v>1886000000</v>
      </c>
    </row>
    <row r="20" spans="1:20" ht="15">
      <c r="A20" s="89">
        <v>1995</v>
      </c>
      <c r="B20" s="90">
        <f t="shared" si="0"/>
        <v>672.11099999999999</v>
      </c>
      <c r="C20" s="90">
        <f t="shared" si="1"/>
        <v>418.82499999999999</v>
      </c>
      <c r="D20" s="90">
        <f t="shared" si="2"/>
        <v>49.064999999999998</v>
      </c>
      <c r="E20" s="90">
        <f t="shared" si="3"/>
        <v>103.09099999999999</v>
      </c>
      <c r="F20" s="90">
        <f t="shared" si="4"/>
        <v>101.13</v>
      </c>
      <c r="G20" s="90">
        <f t="shared" si="5"/>
        <v>204.221</v>
      </c>
      <c r="H20" s="123"/>
      <c r="I20" s="123"/>
      <c r="J20" s="936">
        <v>1995</v>
      </c>
      <c r="K20" s="438">
        <v>672111000000</v>
      </c>
      <c r="L20" s="438">
        <v>418825000000</v>
      </c>
      <c r="M20" s="438">
        <v>2702000000</v>
      </c>
      <c r="N20" s="438">
        <v>46363000000</v>
      </c>
      <c r="O20" s="438">
        <v>103091000000</v>
      </c>
      <c r="P20" s="438">
        <v>98512000000</v>
      </c>
      <c r="Q20" s="438">
        <v>628000000</v>
      </c>
      <c r="R20" s="438">
        <v>1990000000</v>
      </c>
    </row>
    <row r="21" spans="1:20" ht="15">
      <c r="A21" s="89">
        <v>1996</v>
      </c>
      <c r="B21" s="90">
        <f t="shared" si="0"/>
        <v>687.20299999999997</v>
      </c>
      <c r="C21" s="90">
        <f t="shared" si="1"/>
        <v>428.79199999999997</v>
      </c>
      <c r="D21" s="90">
        <f t="shared" si="2"/>
        <v>53.103000000000002</v>
      </c>
      <c r="E21" s="90">
        <f t="shared" si="3"/>
        <v>103.61499999999999</v>
      </c>
      <c r="F21" s="90">
        <f t="shared" si="4"/>
        <v>101.693</v>
      </c>
      <c r="G21" s="90">
        <f t="shared" si="5"/>
        <v>205.30799999999999</v>
      </c>
      <c r="H21" s="123"/>
      <c r="I21" s="123"/>
      <c r="J21" s="936">
        <v>1996</v>
      </c>
      <c r="K21" s="438">
        <v>687203000000</v>
      </c>
      <c r="L21" s="438">
        <v>428792000000</v>
      </c>
      <c r="M21" s="438">
        <v>3825000000</v>
      </c>
      <c r="N21" s="438">
        <v>49278000000</v>
      </c>
      <c r="O21" s="438">
        <v>103615000000</v>
      </c>
      <c r="P21" s="438">
        <v>98865000000</v>
      </c>
      <c r="Q21" s="438">
        <v>775000000</v>
      </c>
      <c r="R21" s="438">
        <v>2053000000</v>
      </c>
    </row>
    <row r="22" spans="1:20" ht="15">
      <c r="A22" s="89">
        <v>1997</v>
      </c>
      <c r="B22" s="90">
        <f t="shared" si="0"/>
        <v>715.495</v>
      </c>
      <c r="C22" s="90">
        <f t="shared" si="1"/>
        <v>453.07299999999998</v>
      </c>
      <c r="D22" s="90">
        <f t="shared" si="2"/>
        <v>56.326000000000001</v>
      </c>
      <c r="E22" s="90">
        <f t="shared" si="3"/>
        <v>102.43</v>
      </c>
      <c r="F22" s="90">
        <f t="shared" si="4"/>
        <v>103.666</v>
      </c>
      <c r="G22" s="90">
        <f t="shared" si="5"/>
        <v>206.09600000000003</v>
      </c>
      <c r="H22" s="123"/>
      <c r="I22" s="123"/>
      <c r="J22" s="936">
        <v>1997</v>
      </c>
      <c r="K22" s="438">
        <v>715495000000</v>
      </c>
      <c r="L22" s="438">
        <v>453073000000</v>
      </c>
      <c r="M22" s="438">
        <v>1663000000</v>
      </c>
      <c r="N22" s="438">
        <v>54663000000</v>
      </c>
      <c r="O22" s="438">
        <v>102430000000</v>
      </c>
      <c r="P22" s="438">
        <v>100431000000</v>
      </c>
      <c r="Q22" s="438">
        <v>1163000000</v>
      </c>
      <c r="R22" s="438">
        <v>2072000000</v>
      </c>
    </row>
    <row r="23" spans="1:20" ht="15">
      <c r="A23" s="89">
        <v>1998</v>
      </c>
      <c r="B23" s="90">
        <f t="shared" si="0"/>
        <v>748.32100000000003</v>
      </c>
      <c r="C23" s="90">
        <f t="shared" si="1"/>
        <v>475.33499999999998</v>
      </c>
      <c r="D23" s="90">
        <f t="shared" si="2"/>
        <v>59.66</v>
      </c>
      <c r="E23" s="90">
        <f t="shared" si="3"/>
        <v>105.523</v>
      </c>
      <c r="F23" s="90">
        <f t="shared" si="4"/>
        <v>107.803</v>
      </c>
      <c r="G23" s="90">
        <f t="shared" si="5"/>
        <v>213.32600000000005</v>
      </c>
      <c r="H23" s="123"/>
      <c r="I23" s="123"/>
      <c r="J23" s="936">
        <v>1998</v>
      </c>
      <c r="K23" s="438">
        <v>748321000000</v>
      </c>
      <c r="L23" s="438">
        <v>475335000000</v>
      </c>
      <c r="M23" s="438">
        <v>1724000000</v>
      </c>
      <c r="N23" s="438">
        <v>57936000000</v>
      </c>
      <c r="O23" s="438">
        <v>105523000000</v>
      </c>
      <c r="P23" s="438">
        <v>104558000000</v>
      </c>
      <c r="Q23" s="438">
        <v>1009000000</v>
      </c>
      <c r="R23" s="438">
        <v>2236000000</v>
      </c>
    </row>
    <row r="24" spans="1:20" ht="15">
      <c r="A24" s="89">
        <v>1999</v>
      </c>
      <c r="B24" s="90">
        <f t="shared" si="0"/>
        <v>783.06</v>
      </c>
      <c r="C24" s="90">
        <f t="shared" si="1"/>
        <v>502.726</v>
      </c>
      <c r="D24" s="90">
        <f t="shared" si="2"/>
        <v>63.284999999999997</v>
      </c>
      <c r="E24" s="90">
        <f t="shared" si="3"/>
        <v>107.649</v>
      </c>
      <c r="F24" s="90">
        <f t="shared" si="4"/>
        <v>109.4</v>
      </c>
      <c r="G24" s="90">
        <f t="shared" si="5"/>
        <v>217.04899999999995</v>
      </c>
      <c r="H24" s="123"/>
      <c r="I24" s="123"/>
      <c r="J24" s="936">
        <v>1999</v>
      </c>
      <c r="K24" s="438">
        <v>783060000000</v>
      </c>
      <c r="L24" s="438">
        <v>502726000000</v>
      </c>
      <c r="M24" s="438">
        <v>1819000000</v>
      </c>
      <c r="N24" s="438">
        <v>61466000000</v>
      </c>
      <c r="O24" s="438">
        <v>107649000000</v>
      </c>
      <c r="P24" s="438">
        <v>106006000000</v>
      </c>
      <c r="Q24" s="438">
        <v>1137000000</v>
      </c>
      <c r="R24" s="438">
        <v>2257000000</v>
      </c>
    </row>
    <row r="25" spans="1:20" ht="15">
      <c r="A25" s="89">
        <v>2000</v>
      </c>
      <c r="B25" s="90">
        <f t="shared" si="0"/>
        <v>840.38199999999995</v>
      </c>
      <c r="C25" s="90">
        <f t="shared" si="1"/>
        <v>545.20399999999995</v>
      </c>
      <c r="D25" s="90">
        <f t="shared" si="2"/>
        <v>66.186999999999998</v>
      </c>
      <c r="E25" s="90">
        <f t="shared" si="3"/>
        <v>114.676</v>
      </c>
      <c r="F25" s="90">
        <f t="shared" si="4"/>
        <v>114.315</v>
      </c>
      <c r="G25" s="90">
        <f t="shared" si="5"/>
        <v>228.99099999999999</v>
      </c>
      <c r="H25" s="123"/>
      <c r="I25" s="123"/>
      <c r="J25" s="936">
        <v>2000</v>
      </c>
      <c r="K25" s="438">
        <v>840382000000</v>
      </c>
      <c r="L25" s="438">
        <v>545204000000</v>
      </c>
      <c r="M25" s="438">
        <v>1243000000</v>
      </c>
      <c r="N25" s="438">
        <v>64944000000</v>
      </c>
      <c r="O25" s="438">
        <v>114676000000</v>
      </c>
      <c r="P25" s="438">
        <v>110487000000</v>
      </c>
      <c r="Q25" s="438">
        <v>1467000000</v>
      </c>
      <c r="R25" s="438">
        <v>2361000000</v>
      </c>
      <c r="T25" s="21"/>
    </row>
    <row r="26" spans="1:20" ht="15">
      <c r="A26" s="89">
        <v>2001</v>
      </c>
      <c r="B26" s="90">
        <f t="shared" si="0"/>
        <v>876.471</v>
      </c>
      <c r="C26" s="90">
        <f t="shared" si="1"/>
        <v>570.00800000000004</v>
      </c>
      <c r="D26" s="90">
        <f t="shared" si="2"/>
        <v>70.531999999999996</v>
      </c>
      <c r="E26" s="90">
        <f t="shared" si="3"/>
        <v>113.062</v>
      </c>
      <c r="F26" s="90">
        <f t="shared" si="4"/>
        <v>122.869</v>
      </c>
      <c r="G26" s="90">
        <f t="shared" si="5"/>
        <v>235.93099999999998</v>
      </c>
      <c r="H26" s="123"/>
      <c r="I26" s="123"/>
      <c r="J26" s="936">
        <v>2001</v>
      </c>
      <c r="K26" s="438">
        <v>876471000000</v>
      </c>
      <c r="L26" s="438">
        <v>570008000000</v>
      </c>
      <c r="M26" s="438">
        <v>1675000000</v>
      </c>
      <c r="N26" s="438">
        <v>68857000000</v>
      </c>
      <c r="O26" s="438">
        <v>113062000000</v>
      </c>
      <c r="P26" s="438">
        <v>117633000000</v>
      </c>
      <c r="Q26" s="438">
        <v>2797000000</v>
      </c>
      <c r="R26" s="438">
        <v>2439000000</v>
      </c>
      <c r="T26" s="21"/>
    </row>
    <row r="27" spans="1:20" ht="15">
      <c r="A27" s="89">
        <v>2002</v>
      </c>
      <c r="B27" s="90">
        <f t="shared" si="0"/>
        <v>898.84299999999996</v>
      </c>
      <c r="C27" s="90">
        <f t="shared" si="1"/>
        <v>593.30700000000002</v>
      </c>
      <c r="D27" s="90">
        <f t="shared" si="2"/>
        <v>75.393000000000001</v>
      </c>
      <c r="E27" s="90">
        <f t="shared" si="3"/>
        <v>105.29</v>
      </c>
      <c r="F27" s="90">
        <f t="shared" si="4"/>
        <v>124.85299999999999</v>
      </c>
      <c r="G27" s="90">
        <f t="shared" si="5"/>
        <v>230.14299999999994</v>
      </c>
      <c r="H27" s="123"/>
      <c r="I27" s="123"/>
      <c r="J27" s="936">
        <v>2002</v>
      </c>
      <c r="K27" s="438">
        <v>898843000000</v>
      </c>
      <c r="L27" s="438">
        <v>593307000000</v>
      </c>
      <c r="M27" s="438">
        <v>1101000000</v>
      </c>
      <c r="N27" s="438">
        <v>74292000000</v>
      </c>
      <c r="O27" s="438">
        <v>105290000000</v>
      </c>
      <c r="P27" s="438">
        <v>121047000000</v>
      </c>
      <c r="Q27" s="438">
        <v>1301000000</v>
      </c>
      <c r="R27" s="438">
        <v>2505000000</v>
      </c>
      <c r="T27" s="21"/>
    </row>
    <row r="28" spans="1:20" ht="15">
      <c r="A28" s="89">
        <v>2003</v>
      </c>
      <c r="B28" s="90">
        <f t="shared" si="0"/>
        <v>931.77300000000002</v>
      </c>
      <c r="C28" s="90">
        <f t="shared" si="1"/>
        <v>621.00300000000004</v>
      </c>
      <c r="D28" s="90">
        <f t="shared" si="2"/>
        <v>78.62</v>
      </c>
      <c r="E28" s="90">
        <f t="shared" si="3"/>
        <v>103.59699999999999</v>
      </c>
      <c r="F28" s="90">
        <f t="shared" si="4"/>
        <v>128.553</v>
      </c>
      <c r="G28" s="90">
        <f t="shared" si="5"/>
        <v>232.14999999999998</v>
      </c>
      <c r="H28" s="123"/>
      <c r="I28" s="123"/>
      <c r="J28" s="936">
        <v>2003</v>
      </c>
      <c r="K28" s="438">
        <v>931773000000</v>
      </c>
      <c r="L28" s="438">
        <v>621003000000</v>
      </c>
      <c r="M28" s="438">
        <v>1439000000</v>
      </c>
      <c r="N28" s="438">
        <v>77181000000</v>
      </c>
      <c r="O28" s="438">
        <v>103597000000</v>
      </c>
      <c r="P28" s="438">
        <v>124775000000</v>
      </c>
      <c r="Q28" s="438">
        <v>1192000000</v>
      </c>
      <c r="R28" s="438">
        <v>2586000000</v>
      </c>
      <c r="T28" s="21"/>
    </row>
    <row r="29" spans="1:20" ht="15">
      <c r="A29" s="89">
        <v>2004</v>
      </c>
      <c r="B29" s="90">
        <f t="shared" si="0"/>
        <v>984.16399999999999</v>
      </c>
      <c r="C29" s="90">
        <f t="shared" si="1"/>
        <v>657.24900000000002</v>
      </c>
      <c r="D29" s="90">
        <f t="shared" si="2"/>
        <v>84.21</v>
      </c>
      <c r="E29" s="90">
        <f t="shared" si="3"/>
        <v>108.199</v>
      </c>
      <c r="F29" s="90">
        <f t="shared" si="4"/>
        <v>134.506</v>
      </c>
      <c r="G29" s="90">
        <f t="shared" si="5"/>
        <v>242.70499999999998</v>
      </c>
      <c r="H29" s="123"/>
      <c r="I29" s="123"/>
      <c r="J29" s="936">
        <v>2004</v>
      </c>
      <c r="K29" s="438">
        <v>984164000000</v>
      </c>
      <c r="L29" s="438">
        <v>657249000000</v>
      </c>
      <c r="M29" s="438">
        <v>2897000000</v>
      </c>
      <c r="N29" s="438">
        <v>81313000000</v>
      </c>
      <c r="O29" s="438">
        <v>108199000000</v>
      </c>
      <c r="P29" s="438">
        <v>130153000000</v>
      </c>
      <c r="Q29" s="438">
        <v>1841000000</v>
      </c>
      <c r="R29" s="438">
        <v>2512000000</v>
      </c>
      <c r="T29" s="21"/>
    </row>
    <row r="30" spans="1:20" ht="15">
      <c r="A30" s="89">
        <v>2005</v>
      </c>
      <c r="B30" s="90">
        <f t="shared" si="0"/>
        <v>1034.8589999999999</v>
      </c>
      <c r="C30" s="90">
        <f t="shared" si="1"/>
        <v>695.09299999999996</v>
      </c>
      <c r="D30" s="90">
        <f t="shared" si="2"/>
        <v>85.052999999999997</v>
      </c>
      <c r="E30" s="90">
        <f t="shared" si="3"/>
        <v>114.04900000000001</v>
      </c>
      <c r="F30" s="90">
        <f t="shared" si="4"/>
        <v>140.66399999999999</v>
      </c>
      <c r="G30" s="90">
        <f t="shared" si="5"/>
        <v>254.71299999999997</v>
      </c>
      <c r="H30" s="123"/>
      <c r="I30" s="123"/>
      <c r="J30" s="936">
        <v>2005</v>
      </c>
      <c r="K30" s="438">
        <v>1034859000000</v>
      </c>
      <c r="L30" s="438">
        <v>695093000000</v>
      </c>
      <c r="M30" s="438">
        <v>1098000000</v>
      </c>
      <c r="N30" s="438">
        <v>83955000000</v>
      </c>
      <c r="O30" s="438">
        <v>114049000000</v>
      </c>
      <c r="P30" s="438">
        <v>135897000000</v>
      </c>
      <c r="Q30" s="438">
        <v>2069000000</v>
      </c>
      <c r="R30" s="438">
        <v>2698000000</v>
      </c>
      <c r="T30" s="21"/>
    </row>
    <row r="31" spans="1:20" ht="15">
      <c r="A31" s="89">
        <v>2006</v>
      </c>
      <c r="B31" s="90">
        <f t="shared" si="0"/>
        <v>1103.201</v>
      </c>
      <c r="C31" s="90">
        <f t="shared" si="1"/>
        <v>743.31299999999999</v>
      </c>
      <c r="D31" s="90">
        <f t="shared" si="2"/>
        <v>86.385999999999996</v>
      </c>
      <c r="E31" s="90">
        <f t="shared" si="3"/>
        <v>123.419</v>
      </c>
      <c r="F31" s="90">
        <f t="shared" si="4"/>
        <v>150.083</v>
      </c>
      <c r="G31" s="90">
        <f t="shared" si="5"/>
        <v>273.50200000000007</v>
      </c>
      <c r="H31" s="123"/>
      <c r="I31" s="123"/>
      <c r="J31" s="936">
        <v>2006</v>
      </c>
      <c r="K31" s="438">
        <v>1103201000000</v>
      </c>
      <c r="L31" s="438">
        <v>743313000000</v>
      </c>
      <c r="M31" s="438">
        <v>-154000000</v>
      </c>
      <c r="N31" s="438">
        <v>86540000000</v>
      </c>
      <c r="O31" s="438">
        <v>123419000000</v>
      </c>
      <c r="P31" s="438">
        <v>145028000000</v>
      </c>
      <c r="Q31" s="438">
        <v>2357000000</v>
      </c>
      <c r="R31" s="438">
        <v>2698000000</v>
      </c>
      <c r="T31" s="21"/>
    </row>
    <row r="32" spans="1:20" ht="15">
      <c r="A32" s="89">
        <v>2007</v>
      </c>
      <c r="B32" s="90">
        <f t="shared" si="0"/>
        <v>1171.741</v>
      </c>
      <c r="C32" s="90">
        <f t="shared" si="1"/>
        <v>788.35699999999997</v>
      </c>
      <c r="D32" s="90">
        <f t="shared" si="2"/>
        <v>90.472999999999999</v>
      </c>
      <c r="E32" s="90">
        <f t="shared" si="3"/>
        <v>135.04499999999999</v>
      </c>
      <c r="F32" s="90">
        <f t="shared" si="4"/>
        <v>157.86600000000001</v>
      </c>
      <c r="G32" s="90">
        <f t="shared" si="5"/>
        <v>292.911</v>
      </c>
      <c r="H32" s="123">
        <f>100*(C32/B32)</f>
        <v>67.280824004622175</v>
      </c>
      <c r="I32" s="123"/>
      <c r="J32" s="936">
        <v>2007</v>
      </c>
      <c r="K32" s="438">
        <v>1171741000000</v>
      </c>
      <c r="L32" s="438">
        <v>788357000000</v>
      </c>
      <c r="M32" s="438">
        <v>110000000</v>
      </c>
      <c r="N32" s="438">
        <v>90363000000</v>
      </c>
      <c r="O32" s="438">
        <v>135045000000</v>
      </c>
      <c r="P32" s="438">
        <v>152576000000</v>
      </c>
      <c r="Q32" s="438">
        <v>2635000000</v>
      </c>
      <c r="R32" s="438">
        <v>2655000000</v>
      </c>
      <c r="T32" s="21"/>
    </row>
    <row r="33" spans="1:20" ht="15">
      <c r="A33" s="89">
        <v>2008</v>
      </c>
      <c r="B33" s="90">
        <f t="shared" si="0"/>
        <v>1227.93</v>
      </c>
      <c r="C33" s="90">
        <f t="shared" si="1"/>
        <v>827.029</v>
      </c>
      <c r="D33" s="90">
        <f t="shared" si="2"/>
        <v>97.536000000000001</v>
      </c>
      <c r="E33" s="90">
        <f t="shared" si="3"/>
        <v>138.04300000000001</v>
      </c>
      <c r="F33" s="90">
        <f t="shared" si="4"/>
        <v>165.322</v>
      </c>
      <c r="G33" s="90">
        <f t="shared" si="5"/>
        <v>303.36500000000007</v>
      </c>
      <c r="H33" s="123">
        <f>100*(C33/B33)</f>
        <v>67.351477690096345</v>
      </c>
      <c r="I33" s="123"/>
      <c r="J33" s="936">
        <v>2008</v>
      </c>
      <c r="K33" s="438">
        <v>1227930000000</v>
      </c>
      <c r="L33" s="438">
        <v>827029000000</v>
      </c>
      <c r="M33" s="438">
        <v>2527000000</v>
      </c>
      <c r="N33" s="438">
        <v>95009000000</v>
      </c>
      <c r="O33" s="438">
        <v>138043000000</v>
      </c>
      <c r="P33" s="438">
        <v>160064000000</v>
      </c>
      <c r="Q33" s="438">
        <v>2737000000</v>
      </c>
      <c r="R33" s="438">
        <v>2521000000</v>
      </c>
      <c r="T33" s="21"/>
    </row>
    <row r="34" spans="1:20">
      <c r="A34" s="377"/>
      <c r="B34" s="254" t="s">
        <v>802</v>
      </c>
      <c r="C34" s="254"/>
      <c r="D34" s="254"/>
      <c r="E34" s="254"/>
      <c r="F34" s="254"/>
      <c r="G34" s="255"/>
      <c r="H34" s="644"/>
      <c r="I34" s="644"/>
      <c r="J34" s="644"/>
      <c r="K34" s="123"/>
      <c r="L34" s="123"/>
      <c r="M34" s="123"/>
      <c r="N34" s="123"/>
      <c r="O34" s="123"/>
      <c r="P34" s="123"/>
      <c r="Q34" s="123"/>
    </row>
    <row r="35" spans="1:20">
      <c r="A35" s="431" t="s">
        <v>603</v>
      </c>
      <c r="B35" s="27">
        <f t="shared" ref="B35:G35" si="6">((((B14/B6))^(1/8))-1)*100</f>
        <v>8.2016885375941548</v>
      </c>
      <c r="C35" s="27">
        <f t="shared" si="6"/>
        <v>7.4963370627886494</v>
      </c>
      <c r="D35" s="27">
        <f t="shared" si="6"/>
        <v>9.749825445285488</v>
      </c>
      <c r="E35" s="27">
        <f t="shared" si="6"/>
        <v>8.7467978242710132</v>
      </c>
      <c r="F35" s="27">
        <f t="shared" si="6"/>
        <v>10.745715700048407</v>
      </c>
      <c r="G35" s="27">
        <f t="shared" si="6"/>
        <v>9.541358879083095</v>
      </c>
      <c r="H35" s="27"/>
      <c r="I35" s="27"/>
      <c r="J35" s="27"/>
      <c r="K35" s="123"/>
      <c r="L35" s="1"/>
      <c r="M35" s="123"/>
      <c r="N35" s="123"/>
      <c r="O35" s="123"/>
      <c r="P35" s="123"/>
      <c r="Q35" s="123"/>
    </row>
    <row r="36" spans="1:20">
      <c r="A36" s="431" t="s">
        <v>447</v>
      </c>
      <c r="B36" s="644">
        <f t="shared" ref="B36:G36" si="7">((((B32/B6))^(1/26))-1)*100</f>
        <v>5.5064442080851039</v>
      </c>
      <c r="C36" s="644">
        <f t="shared" si="7"/>
        <v>5.4842980153803067</v>
      </c>
      <c r="D36" s="644">
        <f t="shared" si="7"/>
        <v>6.5218527264371495</v>
      </c>
      <c r="E36" s="644">
        <f t="shared" si="7"/>
        <v>4.1176725328507358</v>
      </c>
      <c r="F36" s="644">
        <f t="shared" si="7"/>
        <v>6.6958546373489414</v>
      </c>
      <c r="G36" s="644">
        <f t="shared" si="7"/>
        <v>5.2957046233286453</v>
      </c>
      <c r="H36" s="27"/>
      <c r="I36" s="27"/>
      <c r="J36" s="27"/>
      <c r="K36" s="123"/>
      <c r="L36" s="1"/>
      <c r="M36" s="123"/>
      <c r="N36" s="123"/>
      <c r="O36" s="123"/>
      <c r="P36" s="123"/>
      <c r="Q36" s="123"/>
    </row>
    <row r="37" spans="1:20">
      <c r="A37" s="431" t="s">
        <v>1408</v>
      </c>
      <c r="B37" s="725">
        <f t="shared" ref="B37:G37" si="8">((((B33/B6))^(1/27))-1)*100</f>
        <v>5.4800212801907167</v>
      </c>
      <c r="C37" s="725">
        <f t="shared" si="8"/>
        <v>5.4628001860879571</v>
      </c>
      <c r="D37" s="725">
        <f t="shared" si="8"/>
        <v>6.5691672542477209</v>
      </c>
      <c r="E37" s="725">
        <f t="shared" si="8"/>
        <v>4.0467641512995201</v>
      </c>
      <c r="F37" s="725">
        <f t="shared" si="8"/>
        <v>6.622127183520421</v>
      </c>
      <c r="G37" s="725">
        <f t="shared" si="8"/>
        <v>5.2312422561670902</v>
      </c>
      <c r="H37" s="23"/>
      <c r="I37" s="23"/>
      <c r="J37" s="23"/>
      <c r="K37" s="123"/>
      <c r="L37" s="1"/>
      <c r="M37" s="17"/>
      <c r="N37" s="17"/>
      <c r="O37" s="17"/>
      <c r="P37" s="17"/>
      <c r="Q37" s="17"/>
    </row>
    <row r="38" spans="1:20">
      <c r="A38" s="431" t="s">
        <v>604</v>
      </c>
      <c r="B38" s="27">
        <f t="shared" ref="B38:G38" si="9">((((B25/B14))^(1/11))-1)*100</f>
        <v>3.9925926212122098</v>
      </c>
      <c r="C38" s="27">
        <f t="shared" si="9"/>
        <v>4.0915454269167206</v>
      </c>
      <c r="D38" s="27">
        <f t="shared" si="9"/>
        <v>5.4702448920535218</v>
      </c>
      <c r="E38" s="27">
        <f t="shared" si="9"/>
        <v>1.9721628357674881</v>
      </c>
      <c r="F38" s="27">
        <f t="shared" si="9"/>
        <v>5.086921167636671</v>
      </c>
      <c r="G38" s="27">
        <f t="shared" si="9"/>
        <v>3.387205704226548</v>
      </c>
      <c r="H38" s="644"/>
      <c r="I38" s="644"/>
      <c r="J38" s="644"/>
      <c r="K38" s="123"/>
      <c r="L38" s="1"/>
      <c r="M38" s="17"/>
      <c r="N38" s="17"/>
      <c r="O38" s="17"/>
      <c r="P38" s="17"/>
      <c r="Q38" s="17"/>
    </row>
    <row r="39" spans="1:20">
      <c r="A39" s="431" t="s">
        <v>449</v>
      </c>
      <c r="B39" s="644">
        <f t="shared" ref="B39:G39" si="10">((((B32/B6))^(1/26))-1)*100</f>
        <v>5.5064442080851039</v>
      </c>
      <c r="C39" s="644">
        <f t="shared" si="10"/>
        <v>5.4842980153803067</v>
      </c>
      <c r="D39" s="644">
        <f t="shared" si="10"/>
        <v>6.5218527264371495</v>
      </c>
      <c r="E39" s="644">
        <f t="shared" si="10"/>
        <v>4.1176725328507358</v>
      </c>
      <c r="F39" s="644">
        <f t="shared" si="10"/>
        <v>6.6958546373489414</v>
      </c>
      <c r="G39" s="644">
        <f t="shared" si="10"/>
        <v>5.2957046233286453</v>
      </c>
      <c r="H39" s="644"/>
      <c r="P39" s="17"/>
      <c r="Q39" s="17"/>
    </row>
    <row r="40" spans="1:20">
      <c r="A40" s="937" t="s">
        <v>1410</v>
      </c>
      <c r="B40" s="725">
        <f t="shared" ref="B40:G40" si="11">((((B33/B6))^(1/27))-1)*100</f>
        <v>5.4800212801907167</v>
      </c>
      <c r="C40" s="725">
        <f t="shared" si="11"/>
        <v>5.4628001860879571</v>
      </c>
      <c r="D40" s="725">
        <f t="shared" si="11"/>
        <v>6.5691672542477209</v>
      </c>
      <c r="E40" s="725">
        <f t="shared" si="11"/>
        <v>4.0467641512995201</v>
      </c>
      <c r="F40" s="725">
        <f t="shared" si="11"/>
        <v>6.622127183520421</v>
      </c>
      <c r="G40" s="725">
        <f t="shared" si="11"/>
        <v>5.2312422561670902</v>
      </c>
      <c r="H40" s="644"/>
      <c r="I40" s="644"/>
      <c r="J40" s="644"/>
      <c r="L40" s="1"/>
      <c r="M40" s="17"/>
      <c r="N40" s="17"/>
      <c r="O40" s="17"/>
      <c r="P40" s="17"/>
      <c r="Q40" s="17"/>
    </row>
    <row r="41" spans="1:20">
      <c r="A41" s="431"/>
      <c r="B41" s="254" t="s">
        <v>276</v>
      </c>
      <c r="C41" s="254"/>
      <c r="D41" s="254"/>
      <c r="E41" s="254"/>
      <c r="F41" s="255"/>
      <c r="G41" s="255"/>
      <c r="H41" s="644"/>
      <c r="I41" s="23"/>
      <c r="J41" s="644"/>
      <c r="K41" s="123"/>
      <c r="L41" s="123"/>
      <c r="M41" s="17"/>
      <c r="N41" s="17"/>
      <c r="O41" s="17"/>
      <c r="P41" s="17"/>
      <c r="Q41" s="17"/>
    </row>
    <row r="42" spans="1:20">
      <c r="A42" s="431" t="s">
        <v>447</v>
      </c>
      <c r="B42" s="10">
        <f t="shared" ref="B42:G42" si="12">(B32/B6-1)*100</f>
        <v>302.95231250150454</v>
      </c>
      <c r="C42" s="10">
        <f t="shared" si="12"/>
        <v>300.75896215864492</v>
      </c>
      <c r="D42" s="10">
        <f t="shared" si="12"/>
        <v>416.89996000685596</v>
      </c>
      <c r="E42" s="10">
        <f t="shared" si="12"/>
        <v>185.51947228212606</v>
      </c>
      <c r="F42" s="10">
        <f t="shared" si="12"/>
        <v>439.30718775621767</v>
      </c>
      <c r="G42" s="10">
        <f t="shared" si="12"/>
        <v>282.54015933133087</v>
      </c>
      <c r="H42" s="10"/>
      <c r="I42" s="10"/>
      <c r="J42" s="10"/>
      <c r="K42" s="123"/>
      <c r="L42" s="123"/>
      <c r="M42" s="17"/>
      <c r="N42" s="17"/>
      <c r="O42" s="17"/>
      <c r="P42" s="17"/>
      <c r="Q42" s="17"/>
    </row>
    <row r="43" spans="1:20">
      <c r="A43" s="431" t="s">
        <v>1408</v>
      </c>
      <c r="B43" s="10">
        <f t="shared" ref="B43:G43" si="13">(B33/B6-1)*100</f>
        <v>322.27525800494516</v>
      </c>
      <c r="C43" s="10">
        <f t="shared" si="13"/>
        <v>320.41775961284287</v>
      </c>
      <c r="D43" s="10">
        <f t="shared" si="13"/>
        <v>457.25304233559962</v>
      </c>
      <c r="E43" s="10">
        <f t="shared" si="13"/>
        <v>191.85800668104358</v>
      </c>
      <c r="F43" s="10">
        <f t="shared" si="13"/>
        <v>464.77862804044827</v>
      </c>
      <c r="G43" s="10">
        <f t="shared" si="13"/>
        <v>296.19302598929107</v>
      </c>
      <c r="H43" s="10"/>
      <c r="I43" s="10"/>
      <c r="J43" s="10"/>
      <c r="K43" s="123"/>
      <c r="L43" s="123"/>
      <c r="M43" s="123"/>
      <c r="N43" s="123"/>
      <c r="O43" s="123"/>
      <c r="P43" s="123"/>
      <c r="Q43" s="123"/>
    </row>
    <row r="44" spans="1:20">
      <c r="H44" s="10"/>
      <c r="I44" s="10"/>
      <c r="J44" s="10"/>
      <c r="K44" s="123"/>
      <c r="L44" s="123"/>
      <c r="M44" s="123"/>
      <c r="N44" s="123"/>
      <c r="O44" s="123"/>
      <c r="P44" s="123"/>
      <c r="Q44" s="123"/>
    </row>
    <row r="45" spans="1:20">
      <c r="B45" s="91"/>
    </row>
    <row r="46" spans="1:20" ht="25.5">
      <c r="A46" s="940" t="s">
        <v>1002</v>
      </c>
      <c r="B46" s="92">
        <f t="shared" ref="B46:G46" si="14">B6/$B6*100</f>
        <v>100</v>
      </c>
      <c r="C46" s="92">
        <f t="shared" si="14"/>
        <v>67.649051374020345</v>
      </c>
      <c r="D46" s="92">
        <f t="shared" si="14"/>
        <v>6.019141026655066</v>
      </c>
      <c r="E46" s="92">
        <f t="shared" si="14"/>
        <v>16.265402061288427</v>
      </c>
      <c r="F46" s="92">
        <f t="shared" si="14"/>
        <v>10.06640553803617</v>
      </c>
      <c r="G46" s="92">
        <f t="shared" si="14"/>
        <v>26.331807599324591</v>
      </c>
      <c r="H46" s="91"/>
      <c r="I46" s="91"/>
    </row>
    <row r="47" spans="1:20" ht="25.5">
      <c r="A47" s="940" t="s">
        <v>1138</v>
      </c>
      <c r="B47" s="92">
        <f t="shared" ref="B47:G49" si="15">B31/$B31*100</f>
        <v>100</v>
      </c>
      <c r="C47" s="92">
        <f t="shared" si="15"/>
        <v>67.377839577737873</v>
      </c>
      <c r="D47" s="92">
        <f t="shared" si="15"/>
        <v>7.83048601297497</v>
      </c>
      <c r="E47" s="92">
        <f t="shared" si="15"/>
        <v>11.18735389108603</v>
      </c>
      <c r="F47" s="92">
        <f t="shared" si="15"/>
        <v>13.604320518201124</v>
      </c>
      <c r="G47" s="92">
        <f t="shared" si="15"/>
        <v>24.791674409287161</v>
      </c>
      <c r="H47" s="91"/>
      <c r="I47" s="91"/>
    </row>
    <row r="48" spans="1:20" ht="24.75" customHeight="1">
      <c r="A48" s="940" t="s">
        <v>1396</v>
      </c>
      <c r="B48" s="92">
        <f t="shared" si="15"/>
        <v>100</v>
      </c>
      <c r="C48" s="92">
        <f t="shared" si="15"/>
        <v>67.280824004622175</v>
      </c>
      <c r="D48" s="92">
        <f t="shared" si="15"/>
        <v>7.7212455653595802</v>
      </c>
      <c r="E48" s="92">
        <f t="shared" si="15"/>
        <v>11.525157863384484</v>
      </c>
      <c r="F48" s="92">
        <f t="shared" si="15"/>
        <v>13.472772566633754</v>
      </c>
      <c r="G48" s="92">
        <f t="shared" si="15"/>
        <v>24.99793043001824</v>
      </c>
      <c r="H48" s="91"/>
      <c r="I48" s="91"/>
    </row>
    <row r="49" spans="1:9" ht="24.75" customHeight="1">
      <c r="A49" s="940" t="s">
        <v>1781</v>
      </c>
      <c r="B49" s="92">
        <f t="shared" si="15"/>
        <v>100</v>
      </c>
      <c r="C49" s="92">
        <f t="shared" si="15"/>
        <v>67.351477690096345</v>
      </c>
      <c r="D49" s="92">
        <f t="shared" si="15"/>
        <v>7.943123793701595</v>
      </c>
      <c r="E49" s="92">
        <f t="shared" si="15"/>
        <v>11.241927471435668</v>
      </c>
      <c r="F49" s="92">
        <f t="shared" si="15"/>
        <v>13.463471044766395</v>
      </c>
      <c r="G49" s="92">
        <f t="shared" si="15"/>
        <v>24.705398516202067</v>
      </c>
      <c r="H49" s="91"/>
      <c r="I49" s="91"/>
    </row>
    <row r="50" spans="1:9" ht="25.5" customHeight="1">
      <c r="A50" s="1229" t="s">
        <v>194</v>
      </c>
      <c r="B50" s="1188"/>
      <c r="C50" s="1188"/>
      <c r="D50" s="1188"/>
      <c r="E50" s="1188"/>
      <c r="F50" s="1188"/>
      <c r="G50" s="1188"/>
    </row>
    <row r="51" spans="1:9">
      <c r="A51" s="88" t="s">
        <v>193</v>
      </c>
      <c r="B51" s="88"/>
    </row>
    <row r="52" spans="1:9">
      <c r="A52" s="4" t="s">
        <v>1782</v>
      </c>
    </row>
    <row r="53" spans="1:9">
      <c r="A53" s="93"/>
      <c r="B53" s="88"/>
    </row>
    <row r="54" spans="1:9">
      <c r="A54" s="88"/>
      <c r="B54" s="88"/>
    </row>
    <row r="55" spans="1:9">
      <c r="A55" s="88"/>
    </row>
    <row r="56" spans="1:9">
      <c r="A56" s="88"/>
    </row>
    <row r="57" spans="1:9">
      <c r="A57" s="88"/>
    </row>
    <row r="58" spans="1:9">
      <c r="A58" s="88"/>
    </row>
    <row r="59" spans="1:9">
      <c r="A59" s="88"/>
    </row>
    <row r="60" spans="1:9">
      <c r="A60" s="88"/>
    </row>
    <row r="61" spans="1:9">
      <c r="A61" s="88"/>
    </row>
    <row r="62" spans="1:9">
      <c r="A62" s="88"/>
    </row>
    <row r="63" spans="1:9">
      <c r="A63" s="88"/>
    </row>
    <row r="64" spans="1:9">
      <c r="A64" s="88"/>
      <c r="B64" s="88"/>
    </row>
    <row r="65" spans="1:2">
      <c r="A65" s="88"/>
      <c r="B65" s="88"/>
    </row>
    <row r="66" spans="1:2">
      <c r="A66" s="88"/>
      <c r="B66" s="88"/>
    </row>
    <row r="67" spans="1:2">
      <c r="A67" s="88"/>
      <c r="B67" s="88"/>
    </row>
    <row r="68" spans="1:2">
      <c r="A68" s="88"/>
      <c r="B68" s="88"/>
    </row>
    <row r="69" spans="1:2">
      <c r="A69" s="88"/>
      <c r="B69" s="88"/>
    </row>
    <row r="70" spans="1:2">
      <c r="A70" s="88"/>
      <c r="B70" s="88"/>
    </row>
    <row r="71" spans="1:2">
      <c r="A71" s="88"/>
      <c r="B71" s="88"/>
    </row>
    <row r="72" spans="1:2">
      <c r="A72" s="88"/>
      <c r="B72" s="88"/>
    </row>
    <row r="73" spans="1:2">
      <c r="A73" s="88"/>
      <c r="B73" s="88"/>
    </row>
    <row r="74" spans="1:2">
      <c r="A74" s="88"/>
      <c r="B74" s="88"/>
    </row>
    <row r="75" spans="1:2">
      <c r="A75" s="88"/>
      <c r="B75" s="88"/>
    </row>
    <row r="76" spans="1:2">
      <c r="A76" s="88"/>
      <c r="B76" s="88"/>
    </row>
    <row r="77" spans="1:2">
      <c r="A77" s="88"/>
      <c r="B77" s="88"/>
    </row>
    <row r="78" spans="1:2">
      <c r="A78" s="88"/>
      <c r="B78" s="88"/>
    </row>
    <row r="79" spans="1:2">
      <c r="A79" s="88"/>
      <c r="B79" s="88"/>
    </row>
  </sheetData>
  <mergeCells count="7">
    <mergeCell ref="A50:G50"/>
    <mergeCell ref="G3:G4"/>
    <mergeCell ref="B3:B4"/>
    <mergeCell ref="C3:C4"/>
    <mergeCell ref="D3:D4"/>
    <mergeCell ref="E3:E4"/>
    <mergeCell ref="F3:F4"/>
  </mergeCells>
  <phoneticPr fontId="35" type="noConversion"/>
  <pageMargins left="0.75" right="0.75" top="1" bottom="1" header="0.5" footer="0.5"/>
  <pageSetup scale="56" orientation="landscape" horizontalDpi="300" verticalDpi="300" r:id="rId1"/>
  <headerFooter alignWithMargins="0"/>
  <rowBreaks count="1" manualBreakCount="1">
    <brk id="52" max="6" man="1"/>
  </rowBreaks>
</worksheet>
</file>

<file path=xl/worksheets/sheet131.xml><?xml version="1.0" encoding="utf-8"?>
<worksheet xmlns="http://schemas.openxmlformats.org/spreadsheetml/2006/main" xmlns:r="http://schemas.openxmlformats.org/officeDocument/2006/relationships">
  <sheetPr codeName="Sheet199"/>
  <dimension ref="A1:M21"/>
  <sheetViews>
    <sheetView view="pageBreakPreview" zoomScale="115" zoomScaleNormal="100" zoomScaleSheetLayoutView="115" workbookViewId="0">
      <selection activeCell="H62" sqref="H62"/>
    </sheetView>
  </sheetViews>
  <sheetFormatPr defaultRowHeight="15"/>
  <cols>
    <col min="1" max="1" width="27.28515625" style="477" customWidth="1"/>
    <col min="2" max="2" width="10.85546875" style="477" bestFit="1" customWidth="1"/>
    <col min="3" max="3" width="10.42578125" style="477" bestFit="1" customWidth="1"/>
    <col min="4" max="5" width="10.85546875" style="477" bestFit="1" customWidth="1"/>
    <col min="6" max="7" width="10.42578125" style="477" bestFit="1" customWidth="1"/>
    <col min="8" max="8" width="9.85546875" style="477" bestFit="1" customWidth="1"/>
    <col min="9" max="10" width="10.42578125" style="477" bestFit="1" customWidth="1"/>
    <col min="11" max="11" width="9.85546875" style="477" bestFit="1" customWidth="1"/>
    <col min="12" max="12" width="10.42578125" style="477" bestFit="1" customWidth="1"/>
    <col min="13" max="13" width="10.85546875" style="477" bestFit="1" customWidth="1"/>
    <col min="14" max="16384" width="9.140625" style="477"/>
  </cols>
  <sheetData>
    <row r="1" spans="1:13">
      <c r="A1" s="497" t="s">
        <v>1572</v>
      </c>
      <c r="B1" s="497"/>
      <c r="C1" s="497"/>
      <c r="D1" s="497"/>
      <c r="E1" s="497"/>
      <c r="F1" s="497"/>
      <c r="G1" s="497"/>
      <c r="H1" s="497"/>
      <c r="I1" s="497"/>
      <c r="J1" s="497"/>
      <c r="K1" s="497"/>
      <c r="L1" s="497"/>
    </row>
    <row r="2" spans="1:13">
      <c r="A2" s="497"/>
      <c r="B2" s="497"/>
      <c r="C2" s="497"/>
      <c r="D2" s="497"/>
      <c r="E2" s="497"/>
      <c r="F2" s="497"/>
      <c r="G2" s="497"/>
      <c r="H2" s="497"/>
      <c r="I2" s="497"/>
      <c r="J2" s="497"/>
      <c r="K2" s="497"/>
      <c r="L2" s="497"/>
    </row>
    <row r="3" spans="1:13">
      <c r="A3" s="497"/>
      <c r="B3" s="500">
        <v>1995</v>
      </c>
      <c r="C3" s="500">
        <v>1996</v>
      </c>
      <c r="D3" s="500">
        <v>1997</v>
      </c>
      <c r="E3" s="500">
        <v>1998</v>
      </c>
      <c r="F3" s="500">
        <v>1999</v>
      </c>
      <c r="G3" s="500">
        <v>2000</v>
      </c>
      <c r="H3" s="500">
        <v>2001</v>
      </c>
      <c r="I3" s="500">
        <v>2002</v>
      </c>
      <c r="J3" s="500">
        <v>2003</v>
      </c>
      <c r="K3" s="500">
        <v>2004</v>
      </c>
      <c r="L3" s="500">
        <v>2005</v>
      </c>
      <c r="M3" s="501" t="s">
        <v>45</v>
      </c>
    </row>
    <row r="4" spans="1:13">
      <c r="A4" s="499" t="s">
        <v>1223</v>
      </c>
      <c r="B4" s="498">
        <v>71300</v>
      </c>
      <c r="C4" s="498">
        <v>72000</v>
      </c>
      <c r="D4" s="498">
        <v>71900</v>
      </c>
      <c r="E4" s="498">
        <v>64600</v>
      </c>
      <c r="F4" s="498">
        <v>59900</v>
      </c>
      <c r="G4" s="498">
        <v>59400</v>
      </c>
      <c r="H4" s="498">
        <v>54400</v>
      </c>
      <c r="I4" s="498">
        <v>52100</v>
      </c>
      <c r="J4" s="498">
        <v>51200</v>
      </c>
      <c r="K4" s="498">
        <v>49800</v>
      </c>
      <c r="L4" s="498">
        <v>48500</v>
      </c>
      <c r="M4" s="502">
        <f>AVERAGE(B4:K4)</f>
        <v>60660</v>
      </c>
    </row>
    <row r="5" spans="1:13">
      <c r="A5" s="499" t="s">
        <v>1573</v>
      </c>
      <c r="B5" s="498">
        <v>12400</v>
      </c>
      <c r="C5" s="498">
        <v>11700</v>
      </c>
      <c r="D5" s="498">
        <v>11100</v>
      </c>
      <c r="E5" s="498">
        <v>10900</v>
      </c>
      <c r="F5" s="498">
        <v>9800</v>
      </c>
      <c r="G5" s="498">
        <v>8400</v>
      </c>
      <c r="H5" s="498">
        <v>7900</v>
      </c>
      <c r="I5" s="498">
        <v>7500</v>
      </c>
      <c r="J5" s="498">
        <v>7000</v>
      </c>
      <c r="K5" s="498">
        <v>7100</v>
      </c>
      <c r="L5" s="498">
        <v>6900</v>
      </c>
      <c r="M5" s="502">
        <f t="shared" ref="M5:M19" si="0">AVERAGE(B5:K5)</f>
        <v>9380</v>
      </c>
    </row>
    <row r="6" spans="1:13">
      <c r="A6" s="499" t="s">
        <v>1225</v>
      </c>
      <c r="B6" s="498">
        <v>104000</v>
      </c>
      <c r="C6" s="498">
        <v>103100</v>
      </c>
      <c r="D6" s="498">
        <v>93700</v>
      </c>
      <c r="E6" s="498">
        <v>85500</v>
      </c>
      <c r="F6" s="498">
        <v>80900</v>
      </c>
      <c r="G6" s="498">
        <v>73700</v>
      </c>
      <c r="H6" s="498">
        <v>66800</v>
      </c>
      <c r="I6" s="498">
        <v>61500</v>
      </c>
      <c r="J6" s="498">
        <v>58300</v>
      </c>
      <c r="K6" s="498">
        <v>56300</v>
      </c>
      <c r="L6" s="498">
        <v>52300</v>
      </c>
      <c r="M6" s="502">
        <f t="shared" si="0"/>
        <v>78380</v>
      </c>
    </row>
    <row r="7" spans="1:13">
      <c r="A7" s="499" t="s">
        <v>1226</v>
      </c>
      <c r="B7" s="498">
        <v>67400</v>
      </c>
      <c r="C7" s="498">
        <v>67100</v>
      </c>
      <c r="D7" s="498">
        <v>70600</v>
      </c>
      <c r="E7" s="498">
        <v>67100</v>
      </c>
      <c r="F7" s="498">
        <v>61800</v>
      </c>
      <c r="G7" s="498">
        <v>56300</v>
      </c>
      <c r="H7" s="498">
        <v>52900</v>
      </c>
      <c r="I7" s="498">
        <v>50700</v>
      </c>
      <c r="J7" s="498">
        <v>49300</v>
      </c>
      <c r="K7" s="498">
        <v>47100</v>
      </c>
      <c r="L7" s="498">
        <v>45300</v>
      </c>
      <c r="M7" s="502">
        <f t="shared" si="0"/>
        <v>59030</v>
      </c>
    </row>
    <row r="8" spans="1:13">
      <c r="A8" s="499" t="s">
        <v>1227</v>
      </c>
      <c r="B8" s="498">
        <v>802200</v>
      </c>
      <c r="C8" s="498">
        <v>813200</v>
      </c>
      <c r="D8" s="498">
        <v>793300</v>
      </c>
      <c r="E8" s="498">
        <v>725700</v>
      </c>
      <c r="F8" s="498">
        <v>661300</v>
      </c>
      <c r="G8" s="498">
        <v>618900</v>
      </c>
      <c r="H8" s="498">
        <v>576600</v>
      </c>
      <c r="I8" s="498">
        <v>560800</v>
      </c>
      <c r="J8" s="498">
        <v>544200</v>
      </c>
      <c r="K8" s="498">
        <v>532200</v>
      </c>
      <c r="L8" s="498">
        <v>518200</v>
      </c>
      <c r="M8" s="502">
        <f t="shared" si="0"/>
        <v>662840</v>
      </c>
    </row>
    <row r="9" spans="1:13">
      <c r="A9" s="499" t="s">
        <v>1228</v>
      </c>
      <c r="B9" s="498">
        <v>1344600</v>
      </c>
      <c r="C9" s="498">
        <v>1214600</v>
      </c>
      <c r="D9" s="498">
        <v>1149600</v>
      </c>
      <c r="E9" s="498">
        <v>1091300</v>
      </c>
      <c r="F9" s="498">
        <v>910100</v>
      </c>
      <c r="G9" s="498">
        <v>802000</v>
      </c>
      <c r="H9" s="498">
        <v>709200</v>
      </c>
      <c r="I9" s="498">
        <v>687600</v>
      </c>
      <c r="J9" s="498">
        <v>673900</v>
      </c>
      <c r="K9" s="498">
        <v>672000</v>
      </c>
      <c r="L9" s="498">
        <v>676500</v>
      </c>
      <c r="M9" s="502">
        <f t="shared" si="0"/>
        <v>925490</v>
      </c>
    </row>
    <row r="10" spans="1:13">
      <c r="A10" s="499" t="s">
        <v>1229</v>
      </c>
      <c r="B10" s="498">
        <v>85200</v>
      </c>
      <c r="C10" s="498">
        <v>85800</v>
      </c>
      <c r="D10" s="498">
        <v>79100</v>
      </c>
      <c r="E10" s="498">
        <v>72700</v>
      </c>
      <c r="F10" s="498">
        <v>68700</v>
      </c>
      <c r="G10" s="498">
        <v>63300</v>
      </c>
      <c r="H10" s="498">
        <v>60500</v>
      </c>
      <c r="I10" s="498">
        <v>60100</v>
      </c>
      <c r="J10" s="498">
        <v>59900</v>
      </c>
      <c r="K10" s="498">
        <v>60800</v>
      </c>
      <c r="L10" s="498">
        <v>60900</v>
      </c>
      <c r="M10" s="502">
        <f t="shared" si="0"/>
        <v>69610</v>
      </c>
    </row>
    <row r="11" spans="1:13">
      <c r="A11" s="499" t="s">
        <v>1230</v>
      </c>
      <c r="B11" s="498">
        <v>82200</v>
      </c>
      <c r="C11" s="498">
        <v>80600</v>
      </c>
      <c r="D11" s="498">
        <v>79700</v>
      </c>
      <c r="E11" s="498">
        <v>72500</v>
      </c>
      <c r="F11" s="498">
        <v>66500</v>
      </c>
      <c r="G11" s="498">
        <v>63800</v>
      </c>
      <c r="H11" s="498">
        <v>60900</v>
      </c>
      <c r="I11" s="498">
        <v>56100</v>
      </c>
      <c r="J11" s="498">
        <v>53200</v>
      </c>
      <c r="K11" s="498">
        <v>51800</v>
      </c>
      <c r="L11" s="498">
        <v>48700</v>
      </c>
      <c r="M11" s="502">
        <f t="shared" si="0"/>
        <v>66730</v>
      </c>
    </row>
    <row r="12" spans="1:13">
      <c r="A12" s="499" t="s">
        <v>1231</v>
      </c>
      <c r="B12" s="498">
        <v>113200</v>
      </c>
      <c r="C12" s="498">
        <v>105600</v>
      </c>
      <c r="D12" s="498">
        <v>89800</v>
      </c>
      <c r="E12" s="498">
        <v>77000</v>
      </c>
      <c r="F12" s="498">
        <v>71900</v>
      </c>
      <c r="G12" s="498">
        <v>64800</v>
      </c>
      <c r="H12" s="498">
        <v>58000</v>
      </c>
      <c r="I12" s="498">
        <v>53800</v>
      </c>
      <c r="J12" s="498">
        <v>57800</v>
      </c>
      <c r="K12" s="498">
        <v>59900</v>
      </c>
      <c r="L12" s="498">
        <v>56400</v>
      </c>
      <c r="M12" s="502">
        <f t="shared" si="0"/>
        <v>75180</v>
      </c>
    </row>
    <row r="13" spans="1:13">
      <c r="A13" s="499" t="s">
        <v>1232</v>
      </c>
      <c r="B13" s="498">
        <v>374300</v>
      </c>
      <c r="C13" s="498">
        <v>369900</v>
      </c>
      <c r="D13" s="498">
        <v>321300</v>
      </c>
      <c r="E13" s="498">
        <v>297400</v>
      </c>
      <c r="F13" s="498">
        <v>275200</v>
      </c>
      <c r="G13" s="498">
        <v>262400</v>
      </c>
      <c r="H13" s="498">
        <v>252900</v>
      </c>
      <c r="I13" s="498">
        <v>241200</v>
      </c>
      <c r="J13" s="498">
        <v>180700</v>
      </c>
      <c r="K13" s="498">
        <v>165000</v>
      </c>
      <c r="L13" s="498">
        <v>149300</v>
      </c>
      <c r="M13" s="502">
        <f t="shared" si="0"/>
        <v>274030</v>
      </c>
    </row>
    <row r="14" spans="1:13">
      <c r="A14" s="499" t="s">
        <v>1574</v>
      </c>
      <c r="B14" s="498">
        <v>2100</v>
      </c>
      <c r="C14" s="498">
        <v>1700</v>
      </c>
      <c r="D14" s="498">
        <v>2000</v>
      </c>
      <c r="E14" s="498">
        <v>2100</v>
      </c>
      <c r="F14" s="498">
        <v>1700</v>
      </c>
      <c r="G14" s="498">
        <v>1400</v>
      </c>
      <c r="H14" s="498">
        <v>1300</v>
      </c>
      <c r="I14" s="498">
        <v>1000</v>
      </c>
      <c r="J14" s="498">
        <v>1100</v>
      </c>
      <c r="K14" s="498">
        <v>1300</v>
      </c>
      <c r="L14" s="498">
        <v>1100</v>
      </c>
      <c r="M14" s="502">
        <f t="shared" si="0"/>
        <v>1570</v>
      </c>
    </row>
    <row r="15" spans="1:13">
      <c r="A15" s="499" t="s">
        <v>1575</v>
      </c>
      <c r="B15" s="498">
        <v>12000</v>
      </c>
      <c r="C15" s="498">
        <v>11800</v>
      </c>
      <c r="D15" s="498">
        <v>12800</v>
      </c>
      <c r="E15" s="498">
        <v>10700</v>
      </c>
      <c r="F15" s="498">
        <v>11300</v>
      </c>
      <c r="G15" s="498">
        <v>3400</v>
      </c>
      <c r="H15" s="498">
        <v>2200</v>
      </c>
      <c r="I15" s="498">
        <v>2100</v>
      </c>
      <c r="J15" s="498">
        <v>1900</v>
      </c>
      <c r="K15" s="498">
        <v>2000</v>
      </c>
      <c r="L15" s="498">
        <v>1900</v>
      </c>
      <c r="M15" s="502">
        <f t="shared" si="0"/>
        <v>7020</v>
      </c>
    </row>
    <row r="16" spans="1:13">
      <c r="A16" s="499" t="s">
        <v>1576</v>
      </c>
      <c r="B16" s="497"/>
      <c r="C16" s="497"/>
      <c r="D16" s="497"/>
      <c r="E16" s="497"/>
      <c r="F16" s="497"/>
      <c r="G16" s="498">
        <v>7300</v>
      </c>
      <c r="H16" s="498">
        <v>7300</v>
      </c>
      <c r="I16" s="498">
        <v>8100</v>
      </c>
      <c r="J16" s="498">
        <v>7100</v>
      </c>
      <c r="K16" s="498">
        <v>8600</v>
      </c>
      <c r="L16" s="498">
        <v>13800</v>
      </c>
      <c r="M16" s="502">
        <f t="shared" si="0"/>
        <v>7680</v>
      </c>
    </row>
    <row r="17" spans="1:13">
      <c r="A17" s="499" t="s">
        <v>1577</v>
      </c>
      <c r="B17" s="498">
        <v>3070900</v>
      </c>
      <c r="C17" s="498">
        <v>2937100</v>
      </c>
      <c r="D17" s="498">
        <v>2774900</v>
      </c>
      <c r="E17" s="498">
        <v>2577500</v>
      </c>
      <c r="F17" s="498">
        <v>2279100</v>
      </c>
      <c r="G17" s="498">
        <v>2085100</v>
      </c>
      <c r="H17" s="498">
        <v>1910900</v>
      </c>
      <c r="I17" s="498">
        <v>1842600</v>
      </c>
      <c r="J17" s="497" t="s">
        <v>1578</v>
      </c>
      <c r="K17" s="498">
        <v>1713900</v>
      </c>
      <c r="L17" s="498">
        <v>1679800</v>
      </c>
      <c r="M17" s="502">
        <f t="shared" si="0"/>
        <v>2354666.6666666665</v>
      </c>
    </row>
    <row r="18" spans="1:13">
      <c r="A18" s="499"/>
      <c r="B18" s="498"/>
      <c r="C18" s="497"/>
      <c r="D18" s="497"/>
      <c r="E18" s="497"/>
      <c r="F18" s="497"/>
      <c r="G18" s="497"/>
      <c r="H18" s="497"/>
      <c r="I18" s="497"/>
      <c r="J18" s="497"/>
      <c r="K18" s="497"/>
      <c r="L18" s="497"/>
      <c r="M18" s="502"/>
    </row>
    <row r="19" spans="1:13">
      <c r="A19" s="499" t="s">
        <v>1580</v>
      </c>
      <c r="B19" s="498">
        <f>SUM(B4:B13)</f>
        <v>3056800</v>
      </c>
      <c r="C19" s="498">
        <f t="shared" ref="C19:L19" si="1">SUM(C4:C13)</f>
        <v>2923600</v>
      </c>
      <c r="D19" s="498">
        <f t="shared" si="1"/>
        <v>2760100</v>
      </c>
      <c r="E19" s="498">
        <f t="shared" si="1"/>
        <v>2564700</v>
      </c>
      <c r="F19" s="498">
        <f t="shared" si="1"/>
        <v>2266100</v>
      </c>
      <c r="G19" s="498">
        <f t="shared" si="1"/>
        <v>2073000</v>
      </c>
      <c r="H19" s="498">
        <f t="shared" si="1"/>
        <v>1900100</v>
      </c>
      <c r="I19" s="498">
        <f t="shared" si="1"/>
        <v>1831400</v>
      </c>
      <c r="J19" s="498">
        <f t="shared" si="1"/>
        <v>1735500</v>
      </c>
      <c r="K19" s="498">
        <f t="shared" si="1"/>
        <v>1702000</v>
      </c>
      <c r="L19" s="498">
        <f t="shared" si="1"/>
        <v>1663000</v>
      </c>
      <c r="M19" s="502">
        <f t="shared" si="0"/>
        <v>2281330</v>
      </c>
    </row>
    <row r="20" spans="1:13">
      <c r="A20" s="497"/>
      <c r="B20" s="497"/>
      <c r="C20" s="497"/>
      <c r="D20" s="497"/>
      <c r="E20" s="497"/>
      <c r="F20" s="497"/>
      <c r="G20" s="497"/>
      <c r="H20" s="497"/>
      <c r="I20" s="497"/>
      <c r="J20" s="497"/>
      <c r="K20" s="497"/>
      <c r="L20" s="497"/>
    </row>
    <row r="21" spans="1:13">
      <c r="A21" s="497" t="s">
        <v>1579</v>
      </c>
      <c r="B21" s="497"/>
      <c r="C21" s="497"/>
      <c r="D21" s="497"/>
      <c r="E21" s="497"/>
      <c r="F21" s="497"/>
      <c r="G21" s="497"/>
      <c r="H21" s="497"/>
      <c r="I21" s="497"/>
      <c r="J21" s="497"/>
      <c r="K21" s="497"/>
      <c r="L21" s="497"/>
    </row>
  </sheetData>
  <pageMargins left="0.7" right="0.7" top="0.75" bottom="0.75" header="0.3" footer="0.3"/>
  <pageSetup orientation="portrait" horizontalDpi="0" verticalDpi="0" r:id="rId1"/>
</worksheet>
</file>

<file path=xl/worksheets/sheet132.xml><?xml version="1.0" encoding="utf-8"?>
<worksheet xmlns="http://schemas.openxmlformats.org/spreadsheetml/2006/main" xmlns:r="http://schemas.openxmlformats.org/officeDocument/2006/relationships">
  <sheetPr codeName="Sheet136"/>
  <dimension ref="A1:AD136"/>
  <sheetViews>
    <sheetView view="pageBreakPreview" zoomScale="55" zoomScaleSheetLayoutView="55" workbookViewId="0">
      <pane xSplit="3" ySplit="4" topLeftCell="D5" activePane="bottomRight" state="frozen"/>
      <selection activeCell="H62" sqref="H62"/>
      <selection pane="topRight" activeCell="H62" sqref="H62"/>
      <selection pane="bottomLeft" activeCell="H62" sqref="H62"/>
      <selection pane="bottomRight" activeCell="AI63" sqref="AI63"/>
    </sheetView>
  </sheetViews>
  <sheetFormatPr defaultRowHeight="12.75"/>
  <cols>
    <col min="1" max="2" width="8" style="256" customWidth="1"/>
    <col min="3" max="3" width="5.28515625" style="256" customWidth="1"/>
    <col min="4" max="29" width="6.7109375" style="256" customWidth="1"/>
    <col min="30" max="30" width="10" style="256" customWidth="1"/>
    <col min="31" max="16384" width="9.140625" style="256"/>
  </cols>
  <sheetData>
    <row r="1" spans="1:30" ht="15.75">
      <c r="A1" s="1137" t="s">
        <v>2207</v>
      </c>
      <c r="B1" s="830"/>
      <c r="C1" s="830"/>
      <c r="D1" s="830"/>
      <c r="E1" s="830"/>
      <c r="F1" s="830"/>
      <c r="G1" s="830"/>
      <c r="H1" s="830"/>
      <c r="I1" s="830"/>
      <c r="J1" s="830"/>
      <c r="K1" s="830"/>
      <c r="L1" s="830"/>
    </row>
    <row r="3" spans="1:30">
      <c r="D3" s="1236">
        <v>1986</v>
      </c>
      <c r="E3" s="1238">
        <v>1989</v>
      </c>
      <c r="F3" s="1232">
        <v>1990</v>
      </c>
      <c r="G3" s="1232">
        <v>1991</v>
      </c>
      <c r="H3" s="1232">
        <v>1992</v>
      </c>
      <c r="I3" s="1232">
        <v>1993</v>
      </c>
      <c r="J3" s="1232">
        <v>1994</v>
      </c>
      <c r="K3" s="1232">
        <v>1995</v>
      </c>
      <c r="L3" s="1232">
        <v>1996</v>
      </c>
      <c r="M3" s="1232">
        <v>1997</v>
      </c>
      <c r="N3" s="1232">
        <v>1998</v>
      </c>
      <c r="O3" s="1232">
        <v>1999</v>
      </c>
      <c r="P3" s="1232">
        <v>2000</v>
      </c>
      <c r="Q3" s="1232">
        <v>2001</v>
      </c>
      <c r="R3" s="1232">
        <v>2002</v>
      </c>
      <c r="S3" s="1232">
        <v>2003</v>
      </c>
      <c r="T3" s="1232">
        <v>2004</v>
      </c>
      <c r="U3" s="1232">
        <v>2005</v>
      </c>
      <c r="V3" s="1232">
        <v>2006</v>
      </c>
      <c r="W3" s="1232">
        <v>2007</v>
      </c>
      <c r="Y3" s="1235" t="s">
        <v>802</v>
      </c>
      <c r="Z3" s="1235"/>
      <c r="AA3" s="1235"/>
      <c r="AB3" s="1235"/>
      <c r="AC3" s="505" t="s">
        <v>276</v>
      </c>
    </row>
    <row r="4" spans="1:30">
      <c r="A4" s="831"/>
      <c r="B4" s="831"/>
      <c r="C4" s="831"/>
      <c r="D4" s="1237"/>
      <c r="E4" s="1239"/>
      <c r="F4" s="1233"/>
      <c r="G4" s="1233"/>
      <c r="H4" s="1233"/>
      <c r="I4" s="1233"/>
      <c r="J4" s="1233"/>
      <c r="K4" s="1233"/>
      <c r="L4" s="1233"/>
      <c r="M4" s="1233"/>
      <c r="N4" s="1233"/>
      <c r="O4" s="1233"/>
      <c r="P4" s="1233"/>
      <c r="Q4" s="1233"/>
      <c r="R4" s="1233"/>
      <c r="S4" s="1233"/>
      <c r="T4" s="1233"/>
      <c r="U4" s="1233"/>
      <c r="V4" s="1233"/>
      <c r="W4" s="1233"/>
      <c r="X4" s="748"/>
      <c r="Y4" s="259" t="s">
        <v>1218</v>
      </c>
      <c r="Z4" s="259" t="s">
        <v>604</v>
      </c>
      <c r="AA4" s="259" t="s">
        <v>1788</v>
      </c>
      <c r="AB4" s="259" t="s">
        <v>449</v>
      </c>
      <c r="AC4" s="1108"/>
      <c r="AD4" s="259" t="s">
        <v>1788</v>
      </c>
    </row>
    <row r="5" spans="1:30" ht="15.75">
      <c r="A5" s="256" t="s">
        <v>440</v>
      </c>
      <c r="B5" s="832"/>
      <c r="C5" s="832"/>
      <c r="D5" s="833"/>
      <c r="E5" s="754"/>
      <c r="F5" s="261"/>
      <c r="G5" s="261"/>
      <c r="H5" s="261"/>
      <c r="I5" s="264"/>
      <c r="J5" s="264"/>
      <c r="K5" s="264"/>
      <c r="L5" s="264"/>
      <c r="M5" s="264"/>
      <c r="N5" s="264"/>
      <c r="O5" s="264"/>
      <c r="P5" s="264"/>
      <c r="Q5" s="264"/>
      <c r="R5" s="264"/>
      <c r="S5" s="264"/>
      <c r="T5" s="264"/>
      <c r="U5" s="264"/>
      <c r="V5" s="264"/>
      <c r="W5" s="264"/>
      <c r="X5" s="757"/>
      <c r="Y5" s="662"/>
      <c r="Z5" s="662"/>
      <c r="AA5" s="662"/>
      <c r="AB5" s="662"/>
      <c r="AC5" s="262"/>
      <c r="AD5" s="662"/>
    </row>
    <row r="6" spans="1:30">
      <c r="A6" s="256" t="s">
        <v>545</v>
      </c>
      <c r="B6" s="832"/>
      <c r="C6" s="832"/>
      <c r="D6" s="503">
        <f>('1'!$C$20*D16+'1'!$D$20*'34a'!D21+'1'!$E$20*'34a'!D26+'1'!$F$20*'34a'!D31+'1'!$G$20*'34a'!D36+'1'!$H$20*'34a'!D41+'1'!$I$20*'34a'!D46+'1'!$J$20*'34a'!D51+'1'!$K$20*'34a'!D56+'1'!$L$20*'34a'!D61)/'1'!$M$20</f>
        <v>7229.9762147759757</v>
      </c>
      <c r="E6" s="754">
        <f>('1'!$C$23*E16+'1'!$D$23*'34a'!E21+'1'!$E$23*'34a'!E26+'1'!$F$23*'34a'!E31+'1'!$G$23*'34a'!E36+'1'!$H$23*'34a'!E41+'1'!$I$23*'34a'!E46+'1'!$J$23*'34a'!E51+'1'!$K$23*'34a'!E56+'1'!$L$23*'34a'!E61)/'1'!$M$23</f>
        <v>7736.8287475156631</v>
      </c>
      <c r="F6" s="504">
        <f>('1'!$C$24*F16+'1'!$D$24*'34a'!F21+'1'!$E$24*'34a'!F26+'1'!$F$24*'34a'!F31+'1'!$G$24*'34a'!F36+'1'!$H$24*'34a'!F41+'1'!$I$24*'34a'!F46+'1'!$J$24*'34a'!F51+'1'!$K$24*'34a'!F56+'1'!$L$24*'34a'!F61)/'1'!$M$24</f>
        <v>8700.3218630077336</v>
      </c>
      <c r="G6" s="504">
        <f>('1'!$C$25*G16+'1'!$D$25*'34a'!G21+'1'!$E$25*'34a'!G26+'1'!$F$25*'34a'!G31+'1'!$G$25*'34a'!G36+'1'!$H$25*'34a'!G41+'1'!$I$25*'34a'!G46+'1'!$J$25*'34a'!G51+'1'!$K$25*'34a'!G56+'1'!$L$25*'34a'!G61)/'1'!$M$25</f>
        <v>9012.2103552743265</v>
      </c>
      <c r="H6" s="504">
        <f>('1'!$C$26*H16+'1'!$D$26*'34a'!H21+'1'!$E$26*'34a'!H26+'1'!$F$26*'34a'!H31+'1'!$G$26*'34a'!H36+'1'!$H$26*'34a'!H41+'1'!$I$26*'34a'!H46+'1'!$J$26*'34a'!H51+'1'!$K$26*'34a'!H56+'1'!$L$26*'34a'!H61)/'1'!$M$26</f>
        <v>9188.8319970298708</v>
      </c>
      <c r="I6" s="504">
        <f>('1'!$C$27*I16+'1'!$D$27*'34a'!I21+'1'!$E$27*'34a'!I26+'1'!$F$27*'34a'!I31+'1'!$G$27*'34a'!I36+'1'!$H$27*'34a'!I41+'1'!$I$27*'34a'!I46+'1'!$J$27*'34a'!I51+'1'!$K$27*'34a'!I56+'1'!$L$27*'34a'!I61)/'1'!$M$27</f>
        <v>9151.3025500499316</v>
      </c>
      <c r="J6" s="504">
        <f>('1'!$C$28*J16+'1'!$D$28*'34a'!J21+'1'!$E$28*'34a'!J26+'1'!$F$28*'34a'!J31+'1'!$G$28*'34a'!J36+'1'!$H$28*'34a'!J41+'1'!$I$28*'34a'!J46+'1'!$J$28*'34a'!J51+'1'!$K$28*'34a'!J56+'1'!$L$28*'34a'!J61)/'1'!$M$28</f>
        <v>9031.7392691633449</v>
      </c>
      <c r="K6" s="504">
        <f>('1'!$C$29*K16+'1'!$D$29*'34a'!K21+'1'!$E$29*'34a'!K26+'1'!$F$29*'34a'!K31+'1'!$G$29*'34a'!K36+'1'!$H$29*'34a'!K41+'1'!$I$29*'34a'!K46+'1'!$J$29*'34a'!K51+'1'!$K$29*'34a'!K56+'1'!$L$29*'34a'!K61)/'1'!$M$29</f>
        <v>8616.2937199172229</v>
      </c>
      <c r="L6" s="504">
        <f>('1'!$C$30*L16+'1'!$D$30*'34a'!L21+'1'!$E$30*'34a'!L26+'1'!$F$30*'34a'!L31+'1'!$G$30*'34a'!L36+'1'!$H$30*'34a'!L41+'1'!$I$30*'34a'!L46+'1'!$J$30*'34a'!L51+'1'!$K$30*'34a'!L56+'1'!$L$30*'34a'!L61)/'1'!$M$30</f>
        <v>7737.6214642121104</v>
      </c>
      <c r="M6" s="504">
        <f>('1'!$C$31*M16+'1'!$D$31*'34a'!M21+'1'!$E$31*'34a'!M26+'1'!$F$31*'34a'!M31+'1'!$G$31*'34a'!M36+'1'!$H$31*'34a'!M41+'1'!$I$31*'34a'!M46+'1'!$J$31*'34a'!M51+'1'!$K$31*'34a'!M56+'1'!$L$31*'34a'!M61)/'1'!$M$31</f>
        <v>7463.106734264129</v>
      </c>
      <c r="N6" s="504">
        <f>('1'!$C$32*N16+'1'!$D$32*'34a'!N21+'1'!$E$32*'34a'!N26+'1'!$F$32*'34a'!N31+'1'!$G$32*'34a'!N36+'1'!$H$32*'34a'!N41+'1'!$I$32*'34a'!N46+'1'!$J$32*'34a'!N51+'1'!$K$32*'34a'!N56+'1'!$L$32*'34a'!N61)/'1'!$M$32</f>
        <v>7393.5026082408031</v>
      </c>
      <c r="O6" s="504">
        <f>('1'!$C$33*O16+'1'!$D$33*'34a'!O21+'1'!$E$33*'34a'!O26+'1'!$F$33*'34a'!O31+'1'!$G$33*'34a'!O36+'1'!$H$33*'34a'!O41+'1'!$I$33*'34a'!O46+'1'!$J$33*'34a'!O51+'1'!$K$33*'34a'!O56+'1'!$L$33*'34a'!O61)/'1'!$M$33</f>
        <v>7320.1287649890464</v>
      </c>
      <c r="P6" s="504">
        <f>('1'!$C$34*P16+'1'!$D$34*'34a'!P21+'1'!$E$34*'34a'!P26+'1'!$F$34*'34a'!P31+'1'!$G$34*'34a'!P36+'1'!$H$34*'34a'!P41+'1'!$I$34*'34a'!P46+'1'!$J$34*'34a'!P51+'1'!$K$34*'34a'!P56+'1'!$L$34*'34a'!P61)/'1'!$M$34</f>
        <v>7175.2820405226084</v>
      </c>
      <c r="Q6" s="504">
        <f>('1'!$C$35*Q16+'1'!$D$35*'34a'!Q21+'1'!$E$35*'34a'!Q26+'1'!$F$35*'34a'!Q31+'1'!$G$35*'34a'!Q36+'1'!$H$35*'34a'!Q41+'1'!$I$35*'34a'!Q46+'1'!$J$35*'34a'!Q51+'1'!$K$35*'34a'!Q56+'1'!$L$35*'34a'!Q61)/'1'!$M$35</f>
        <v>7092.4678515955711</v>
      </c>
      <c r="R6" s="504">
        <f>('1'!$C$36*R16+'1'!$D$36*'34a'!R21+'1'!$E$36*'34a'!R26+'1'!$F$36*'34a'!R31+'1'!$G$36*'34a'!R36+'1'!$H$36*'34a'!R41+'1'!$I$36*'34a'!R46+'1'!$J$36*'34a'!R51+'1'!$K$36*'34a'!R56+'1'!$L$36*'34a'!R61)/'1'!$M$36</f>
        <v>7110.2024718478151</v>
      </c>
      <c r="S6" s="504">
        <f>('1'!$C$37*S16+'1'!$D$37*'34a'!S21+'1'!$E$37*'34a'!S26+'1'!$F$37*'34a'!S31+'1'!$G$37*'34a'!S36+'1'!$H$37*'34a'!S41+'1'!$I$37*'34a'!S46+'1'!$J$37*'34a'!S51+'1'!$K$37*'34a'!S56+'1'!$L$37*'34a'!S61)/'1'!$M$37</f>
        <v>6951.3549513511598</v>
      </c>
      <c r="T6" s="504">
        <f>('1'!$C$38*T16+'1'!$D$38*'34a'!T21+'1'!$E$38*'34a'!T26+'1'!$F$38*'34a'!T31+'1'!$G$38*'34a'!T36+'1'!$H$38*'34a'!T41+'1'!$I$38*'34a'!T46+'1'!$J$38*'34a'!T51+'1'!$K$38*'34a'!T56+'1'!$L$38*'34a'!T61)/'1'!$M$38</f>
        <v>6924.7288298786325</v>
      </c>
      <c r="U6" s="504">
        <f>('1'!$C$39*U16+'1'!$D$39*'34a'!U21+'1'!$E$39*'34a'!U26+'1'!$F$39*'34a'!U31+'1'!$G$39*'34a'!U36+'1'!$H$39*'34a'!U41+'1'!$I$39*'34a'!U46+'1'!$J$39*'34a'!U51+'1'!$K$39*'34a'!U56+'1'!$L$39*'34a'!U61)/'1'!$M$39</f>
        <v>6828.3248417574123</v>
      </c>
      <c r="V6" s="504">
        <f>('1'!$C$40*V16+'1'!$D$40*'34a'!V21+'1'!$E$40*'34a'!V26+'1'!$F$40*'34a'!V31+'1'!$G$40*'34a'!V36+'1'!$H$40*'34a'!V41+'1'!$I$40*'34a'!V46+'1'!$J$40*'34a'!V51+'1'!$K$40*'34a'!V56+'1'!$L$40*'34a'!V61)/'1'!$M$40</f>
        <v>6867.1125184906423</v>
      </c>
      <c r="W6" s="504">
        <f>('1'!$C$40*W16+'1'!$D$40*'34a'!W21+'1'!$E$40*'34a'!W26+'1'!$F$40*'34a'!W31+'1'!$G$40*'34a'!W36+'1'!$H$40*'34a'!W41+'1'!$I$40*'34a'!W46+'1'!$J$40*'34a'!W51+'1'!$K$40*'34a'!W56+'1'!$L$40*'34a'!W61)/'1'!$M$40</f>
        <v>6902.245517796674</v>
      </c>
      <c r="X6" s="662"/>
      <c r="Y6" s="662">
        <f>((((E6/D6))^(1/3))-1)*100</f>
        <v>2.2842358920324823</v>
      </c>
      <c r="Z6" s="662">
        <f>((((P6/E6))^(1/11))-1)*100</f>
        <v>-0.68265752036662519</v>
      </c>
      <c r="AA6" s="662">
        <f>((((W6/D6))^(1/21))-1)*100</f>
        <v>-0.22065595958618012</v>
      </c>
      <c r="AB6" s="662">
        <f>((((W6/P6))^(1/7))-1)*100</f>
        <v>-0.55268523902861633</v>
      </c>
      <c r="AC6" s="257"/>
      <c r="AD6" s="662">
        <f>((W6/D6)-1)*100</f>
        <v>-4.5329429481319021</v>
      </c>
    </row>
    <row r="7" spans="1:30">
      <c r="A7" s="256" t="s">
        <v>1219</v>
      </c>
      <c r="B7" s="832"/>
      <c r="C7" s="832"/>
      <c r="D7" s="503" t="s">
        <v>374</v>
      </c>
      <c r="E7" s="754">
        <f>('1'!$C$23*E17+'1'!$D$23*'34a'!E22+'1'!$E$23*'34a'!E27+'1'!$F$23*'34a'!E32+'1'!$G$23*'34a'!E37+'1'!$H$23*'34a'!E42+'1'!$I$23*'34a'!E47+'1'!$J$23*'34a'!E52+'1'!$K$23*'34a'!E57+'1'!$L$23*'34a'!E62)/'1'!$M$23</f>
        <v>11469.936297687427</v>
      </c>
      <c r="F7" s="504">
        <f>('1'!$C$24*F17+'1'!$D$24*'34a'!F22+'1'!$E$24*'34a'!F27+'1'!$F$24*'34a'!F32+'1'!$G$24*'34a'!F37+'1'!$H$24*'34a'!F42+'1'!$I$24*'34a'!F47+'1'!$J$24*'34a'!F52+'1'!$K$24*'34a'!F57+'1'!$L$24*'34a'!F62)/'1'!$M$24</f>
        <v>11995.753134010843</v>
      </c>
      <c r="G7" s="504">
        <f>('1'!$C$25*G17+'1'!$D$25*'34a'!G22+'1'!$E$25*'34a'!G27+'1'!$F$25*'34a'!G32+'1'!$G$25*'34a'!G37+'1'!$H$25*'34a'!G42+'1'!$I$25*'34a'!G47+'1'!$J$25*'34a'!G52+'1'!$K$25*'34a'!G57+'1'!$L$25*'34a'!G62)/'1'!$M$25</f>
        <v>12347.55203387073</v>
      </c>
      <c r="H7" s="504">
        <f>('1'!$C$26*H17+'1'!$D$26*'34a'!H22+'1'!$E$26*'34a'!H27+'1'!$F$26*'34a'!H32+'1'!$G$26*'34a'!H37+'1'!$H$26*'34a'!H42+'1'!$I$26*'34a'!H47+'1'!$J$26*'34a'!H52+'1'!$K$26*'34a'!H57+'1'!$L$26*'34a'!H62)/'1'!$M$26</f>
        <v>12553.864126059305</v>
      </c>
      <c r="I7" s="504">
        <f>('1'!$C$27*I17+'1'!$D$27*'34a'!I22+'1'!$E$27*'34a'!I27+'1'!$F$27*'34a'!I32+'1'!$G$27*'34a'!I37+'1'!$H$27*'34a'!I42+'1'!$I$27*'34a'!I47+'1'!$J$27*'34a'!I52+'1'!$K$27*'34a'!I57+'1'!$L$27*'34a'!I62)/'1'!$M$27</f>
        <v>12457.360743544621</v>
      </c>
      <c r="J7" s="504">
        <f>('1'!$C$28*J17+'1'!$D$28*'34a'!J22+'1'!$E$28*'34a'!J27+'1'!$F$28*'34a'!J32+'1'!$G$28*'34a'!J37+'1'!$H$28*'34a'!J42+'1'!$I$28*'34a'!J47+'1'!$J$28*'34a'!J52+'1'!$K$28*'34a'!J57+'1'!$L$28*'34a'!J62)/'1'!$M$28</f>
        <v>12485.199370345128</v>
      </c>
      <c r="K7" s="504">
        <f>('1'!$C$29*K17+'1'!$D$29*'34a'!K22+'1'!$E$29*'34a'!K27+'1'!$F$29*'34a'!K32+'1'!$G$29*'34a'!K37+'1'!$H$29*'34a'!K42+'1'!$I$29*'34a'!K47+'1'!$J$29*'34a'!K52+'1'!$K$29*'34a'!K57+'1'!$L$29*'34a'!K62)/'1'!$M$29</f>
        <v>12241.946072342158</v>
      </c>
      <c r="L7" s="504">
        <f>('1'!$C$30*L17+'1'!$D$30*'34a'!L22+'1'!$E$30*'34a'!L27+'1'!$F$30*'34a'!L32+'1'!$G$30*'34a'!L37+'1'!$H$30*'34a'!L42+'1'!$I$30*'34a'!L47+'1'!$J$30*'34a'!L52+'1'!$K$30*'34a'!L57+'1'!$L$30*'34a'!L62)/'1'!$M$30</f>
        <v>12124.529342487442</v>
      </c>
      <c r="M7" s="504">
        <f>('1'!$C$31*M17+'1'!$D$31*'34a'!M22+'1'!$E$31*'34a'!M27+'1'!$F$31*'34a'!M32+'1'!$G$31*'34a'!M37+'1'!$H$31*'34a'!M42+'1'!$I$31*'34a'!M47+'1'!$J$31*'34a'!M52+'1'!$K$31*'34a'!M57+'1'!$L$31*'34a'!M62)/'1'!$M$31</f>
        <v>11959.87801433654</v>
      </c>
      <c r="N7" s="504">
        <f>('1'!$C$32*N17+'1'!$D$32*'34a'!N22+'1'!$E$32*'34a'!N27+'1'!$F$32*'34a'!N32+'1'!$G$32*'34a'!N37+'1'!$H$32*'34a'!N42+'1'!$I$32*'34a'!N47+'1'!$J$32*'34a'!N52+'1'!$K$32*'34a'!N57+'1'!$L$32*'34a'!N62)/'1'!$M$32</f>
        <v>11912.590994851123</v>
      </c>
      <c r="O7" s="504">
        <f>('1'!$C$33*O17+'1'!$D$33*'34a'!O22+'1'!$E$33*'34a'!O27+'1'!$F$33*'34a'!O32+'1'!$G$33*'34a'!O37+'1'!$H$33*'34a'!O42+'1'!$I$33*'34a'!O47+'1'!$J$33*'34a'!O52+'1'!$K$33*'34a'!O57+'1'!$L$33*'34a'!O62)/'1'!$M$33</f>
        <v>11800.181498438953</v>
      </c>
      <c r="P7" s="504">
        <f>('1'!$C$34*P17+'1'!$D$34*'34a'!P22+'1'!$E$34*'34a'!P27+'1'!$F$34*'34a'!P32+'1'!$G$34*'34a'!P37+'1'!$H$34*'34a'!P42+'1'!$I$34*'34a'!P47+'1'!$J$34*'34a'!P52+'1'!$K$34*'34a'!P57+'1'!$L$34*'34a'!P62)/'1'!$M$34</f>
        <v>11626.472797045548</v>
      </c>
      <c r="Q7" s="504">
        <f>('1'!$C$35*Q17+'1'!$D$35*'34a'!Q22+'1'!$E$35*'34a'!Q27+'1'!$F$35*'34a'!Q32+'1'!$G$35*'34a'!Q37+'1'!$H$35*'34a'!Q42+'1'!$I$35*'34a'!Q47+'1'!$J$35*'34a'!Q52+'1'!$K$35*'34a'!Q57+'1'!$L$35*'34a'!Q62)/'1'!$M$35</f>
        <v>11423.550361149457</v>
      </c>
      <c r="R7" s="504">
        <f>('1'!$C$36*R17+'1'!$D$36*'34a'!R22+'1'!$E$36*'34a'!R27+'1'!$F$36*'34a'!R32+'1'!$G$36*'34a'!R37+'1'!$H$36*'34a'!R42+'1'!$I$36*'34a'!R47+'1'!$J$36*'34a'!R52+'1'!$K$36*'34a'!R57+'1'!$L$36*'34a'!R62)/'1'!$M$36</f>
        <v>11270.228297362279</v>
      </c>
      <c r="S7" s="504">
        <f>('1'!$C$37*S17+'1'!$D$37*'34a'!S22+'1'!$E$37*'34a'!S27+'1'!$F$37*'34a'!S32+'1'!$G$37*'34a'!S37+'1'!$H$37*'34a'!S42+'1'!$I$37*'34a'!S47+'1'!$J$37*'34a'!S52+'1'!$K$37*'34a'!S57+'1'!$L$37*'34a'!S62)/'1'!$M$37</f>
        <v>11036.015000970612</v>
      </c>
      <c r="T7" s="504">
        <f>('1'!$C$38*T17+'1'!$D$38*'34a'!T22+'1'!$E$38*'34a'!T27+'1'!$F$38*'34a'!T32+'1'!$G$38*'34a'!T37+'1'!$H$38*'34a'!T42+'1'!$I$38*'34a'!T47+'1'!$J$38*'34a'!T52+'1'!$K$38*'34a'!T57+'1'!$L$38*'34a'!T62)/'1'!$M$38</f>
        <v>11000.010602980617</v>
      </c>
      <c r="U7" s="504">
        <f>('1'!$C$39*U17+'1'!$D$39*'34a'!U22+'1'!$E$39*'34a'!U27+'1'!$F$39*'34a'!U32+'1'!$G$39*'34a'!U37+'1'!$H$39*'34a'!U42+'1'!$I$39*'34a'!U47+'1'!$J$39*'34a'!U52+'1'!$K$39*'34a'!U57+'1'!$L$39*'34a'!U62)/'1'!$M$39</f>
        <v>10947.254183175644</v>
      </c>
      <c r="V7" s="504">
        <f>('1'!$C$40*V17+'1'!$D$40*'34a'!V22+'1'!$E$40*'34a'!V27+'1'!$F$40*'34a'!V32+'1'!$G$40*'34a'!V37+'1'!$H$40*'34a'!V42+'1'!$I$40*'34a'!V47+'1'!$J$40*'34a'!V52+'1'!$K$40*'34a'!V57+'1'!$L$40*'34a'!V62)/'1'!$M$40</f>
        <v>10944.73195283827</v>
      </c>
      <c r="W7" s="504">
        <f>('1'!$C$40*W17+'1'!$D$40*'34a'!W22+'1'!$E$40*'34a'!W27+'1'!$F$40*'34a'!W32+'1'!$G$40*'34a'!W37+'1'!$H$40*'34a'!W42+'1'!$I$40*'34a'!W47+'1'!$J$40*'34a'!W52+'1'!$K$40*'34a'!W57+'1'!$L$40*'34a'!W62)/'1'!$M$40</f>
        <v>10928.81502987961</v>
      </c>
      <c r="Y7" s="662" t="s">
        <v>374</v>
      </c>
      <c r="Z7" s="662">
        <f>((((P7/E7))^(1/11))-1)*100</f>
        <v>0.12330558036437456</v>
      </c>
      <c r="AA7" s="662">
        <f>((((W7/E7))^(1/18))-1)*100</f>
        <v>-0.26812044369246557</v>
      </c>
      <c r="AB7" s="733">
        <f>((((W7/P7))^(1/7))-1)*100</f>
        <v>-0.88012904215748478</v>
      </c>
      <c r="AC7" s="257"/>
      <c r="AD7" s="662">
        <f>((W7/E7)-1)*100</f>
        <v>-4.7177355982083169</v>
      </c>
    </row>
    <row r="8" spans="1:30">
      <c r="A8" s="256" t="s">
        <v>1220</v>
      </c>
      <c r="B8" s="832"/>
      <c r="C8" s="832"/>
      <c r="D8" s="503">
        <f>('1'!$C$20*D18+'1'!$D$20*'34a'!D23+'1'!$E$20*'34a'!D28+'1'!$F$20*'34a'!D33+'1'!$G$20*'34a'!D38+'1'!$H$20*'34a'!D43+'1'!$I$20*'34a'!D48+'1'!$J$20*'34a'!D53+'1'!$K$20*'34a'!D58+'1'!$L$20*'34a'!D63)/'1'!$M$20</f>
        <v>16243.980942998127</v>
      </c>
      <c r="E8" s="754">
        <f>('1'!$C$23*E18+'1'!$D$23*'34a'!E23+'1'!$E$23*'34a'!E28+'1'!$F$23*'34a'!E33+'1'!$G$23*'34a'!E38+'1'!$H$23*'34a'!E43+'1'!$I$23*'34a'!E48+'1'!$J$23*'34a'!E53+'1'!$K$23*'34a'!E58+'1'!$L$23*'34a'!E63)/'1'!$M$23</f>
        <v>16381.164215515017</v>
      </c>
      <c r="F8" s="504">
        <f>('1'!$C$24*F18+'1'!$D$24*'34a'!F23+'1'!$E$24*'34a'!F28+'1'!$F$24*'34a'!F33+'1'!$G$24*'34a'!F38+'1'!$H$24*'34a'!F43+'1'!$I$24*'34a'!F48+'1'!$J$24*'34a'!F53+'1'!$K$24*'34a'!F58+'1'!$L$24*'34a'!F63)/'1'!$M$24</f>
        <v>17556.648806248781</v>
      </c>
      <c r="G8" s="504">
        <f>('1'!$C$25*G18+'1'!$D$25*'34a'!G23+'1'!$E$25*'34a'!G28+'1'!$F$25*'34a'!G33+'1'!$G$25*'34a'!G38+'1'!$H$25*'34a'!G43+'1'!$I$25*'34a'!G48+'1'!$J$25*'34a'!G53+'1'!$K$25*'34a'!G58+'1'!$L$25*'34a'!G63)/'1'!$M$25</f>
        <v>17737.212742163738</v>
      </c>
      <c r="H8" s="504">
        <f>('1'!$C$26*H18+'1'!$D$26*'34a'!H23+'1'!$E$26*'34a'!H28+'1'!$F$26*'34a'!H33+'1'!$G$26*'34a'!H38+'1'!$H$26*'34a'!H43+'1'!$I$26*'34a'!H48+'1'!$J$26*'34a'!H53+'1'!$K$26*'34a'!H58+'1'!$L$26*'34a'!H63)/'1'!$M$26</f>
        <v>18333.522937205329</v>
      </c>
      <c r="I8" s="504">
        <f>('1'!$C$27*I18+'1'!$D$27*'34a'!I23+'1'!$E$27*'34a'!I28+'1'!$F$27*'34a'!I33+'1'!$G$27*'34a'!I38+'1'!$H$27*'34a'!I43+'1'!$I$27*'34a'!I48+'1'!$J$27*'34a'!I53+'1'!$K$27*'34a'!I58+'1'!$L$27*'34a'!I63)/'1'!$M$27</f>
        <v>18345.735403822902</v>
      </c>
      <c r="J8" s="504">
        <f>('1'!$C$28*J18+'1'!$D$28*'34a'!J23+'1'!$E$28*'34a'!J28+'1'!$F$28*'34a'!J33+'1'!$G$28*'34a'!J38+'1'!$H$28*'34a'!J43+'1'!$I$28*'34a'!J48+'1'!$J$28*'34a'!J53+'1'!$K$28*'34a'!J58+'1'!$L$28*'34a'!J63)/'1'!$M$28</f>
        <v>18411.086948367873</v>
      </c>
      <c r="K8" s="504">
        <f>('1'!$C$29*K18+'1'!$D$29*'34a'!K23+'1'!$E$29*'34a'!K28+'1'!$F$29*'34a'!K33+'1'!$G$29*'34a'!K38+'1'!$H$29*'34a'!K43+'1'!$I$29*'34a'!K48+'1'!$J$29*'34a'!K53+'1'!$K$29*'34a'!K58+'1'!$L$29*'34a'!K63)/'1'!$M$29</f>
        <v>17677.180142417892</v>
      </c>
      <c r="L8" s="504">
        <f>('1'!$C$30*L18+'1'!$D$30*'34a'!L23+'1'!$E$30*'34a'!L28+'1'!$F$30*'34a'!L33+'1'!$G$30*'34a'!L38+'1'!$H$30*'34a'!L43+'1'!$I$30*'34a'!L48+'1'!$J$30*'34a'!L53+'1'!$K$30*'34a'!L58+'1'!$L$30*'34a'!L63)/'1'!$M$30</f>
        <v>16247.482882135699</v>
      </c>
      <c r="M8" s="504">
        <f>('1'!$C$31*M18+'1'!$D$31*'34a'!M23+'1'!$E$31*'34a'!M28+'1'!$F$31*'34a'!M33+'1'!$G$31*'34a'!M38+'1'!$H$31*'34a'!M43+'1'!$I$31*'34a'!M48+'1'!$J$31*'34a'!M53+'1'!$K$31*'34a'!M58+'1'!$L$31*'34a'!M63)/'1'!$M$31</f>
        <v>15934.496095937278</v>
      </c>
      <c r="N8" s="504">
        <f>('1'!$C$32*N18+'1'!$D$32*'34a'!N23+'1'!$E$32*'34a'!N28+'1'!$F$32*'34a'!N33+'1'!$G$32*'34a'!N38+'1'!$H$32*'34a'!N43+'1'!$I$32*'34a'!N48+'1'!$J$32*'34a'!N53+'1'!$K$32*'34a'!N58+'1'!$L$32*'34a'!N63)/'1'!$M$32</f>
        <v>15835.302128143905</v>
      </c>
      <c r="O8" s="504">
        <f>('1'!$C$33*O18+'1'!$D$33*'34a'!O23+'1'!$E$33*'34a'!O28+'1'!$F$33*'34a'!O33+'1'!$G$33*'34a'!O38+'1'!$H$33*'34a'!O43+'1'!$I$33*'34a'!O48+'1'!$J$33*'34a'!O53+'1'!$K$33*'34a'!O58+'1'!$L$33*'34a'!O63)/'1'!$M$33</f>
        <v>15702.12579895029</v>
      </c>
      <c r="P8" s="504">
        <f>('1'!$C$34*P18+'1'!$D$34*'34a'!P23+'1'!$E$34*'34a'!P28+'1'!$F$34*'34a'!P33+'1'!$G$34*'34a'!P38+'1'!$H$34*'34a'!P43+'1'!$I$34*'34a'!P48+'1'!$J$34*'34a'!P53+'1'!$K$34*'34a'!P58+'1'!$L$34*'34a'!P63)/'1'!$M$34</f>
        <v>15404.040981130711</v>
      </c>
      <c r="Q8" s="504">
        <f>('1'!$C$35*Q18+'1'!$D$35*'34a'!Q23+'1'!$E$35*'34a'!Q28+'1'!$F$35*'34a'!Q33+'1'!$G$35*'34a'!Q38+'1'!$H$35*'34a'!Q43+'1'!$I$35*'34a'!Q48+'1'!$J$35*'34a'!Q53+'1'!$K$35*'34a'!Q58+'1'!$L$35*'34a'!Q63)/'1'!$M$35</f>
        <v>15243.972127613924</v>
      </c>
      <c r="R8" s="504">
        <f>('1'!$C$36*R18+'1'!$D$36*'34a'!R23+'1'!$E$36*'34a'!R28+'1'!$F$36*'34a'!R33+'1'!$G$36*'34a'!R38+'1'!$H$36*'34a'!R43+'1'!$I$36*'34a'!R48+'1'!$J$36*'34a'!R53+'1'!$K$36*'34a'!R58+'1'!$L$36*'34a'!R63)/'1'!$M$36</f>
        <v>15042.448149181062</v>
      </c>
      <c r="S8" s="504">
        <f>('1'!$C$37*S18+'1'!$D$37*'34a'!S23+'1'!$E$37*'34a'!S28+'1'!$F$37*'34a'!S33+'1'!$G$37*'34a'!S38+'1'!$H$37*'34a'!S43+'1'!$I$37*'34a'!S48+'1'!$J$37*'34a'!S53+'1'!$K$37*'34a'!S58+'1'!$L$37*'34a'!S63)/'1'!$M$37</f>
        <v>14767.688050534953</v>
      </c>
      <c r="T8" s="504">
        <f>('1'!$C$38*T18+'1'!$D$38*'34a'!T23+'1'!$E$38*'34a'!T28+'1'!$F$38*'34a'!T33+'1'!$G$38*'34a'!T38+'1'!$H$38*'34a'!T43+'1'!$I$38*'34a'!T48+'1'!$J$38*'34a'!T53+'1'!$K$38*'34a'!T58+'1'!$L$38*'34a'!T63)/'1'!$M$38</f>
        <v>14775.289417643797</v>
      </c>
      <c r="U8" s="504">
        <f>('1'!$C$39*U18+'1'!$D$39*'34a'!U23+'1'!$E$39*'34a'!U28+'1'!$F$39*'34a'!U33+'1'!$G$39*'34a'!U38+'1'!$H$39*'34a'!U43+'1'!$I$39*'34a'!U48+'1'!$J$39*'34a'!U53+'1'!$K$39*'34a'!U58+'1'!$L$39*'34a'!U63)/'1'!$M$39</f>
        <v>14874.4219890815</v>
      </c>
      <c r="V8" s="504">
        <f>('1'!$C$40*V18+'1'!$D$40*'34a'!V23+'1'!$E$40*'34a'!V28+'1'!$F$40*'34a'!V33+'1'!$G$40*'34a'!V38+'1'!$H$40*'34a'!V43+'1'!$I$40*'34a'!V48+'1'!$J$40*'34a'!V53+'1'!$K$40*'34a'!V58+'1'!$L$40*'34a'!V63)/'1'!$M$40</f>
        <v>15817.607157832595</v>
      </c>
      <c r="W8" s="504">
        <f>('1'!$C$40*W18+'1'!$D$40*'34a'!W23+'1'!$E$40*'34a'!W28+'1'!$F$40*'34a'!W33+'1'!$G$40*'34a'!W38+'1'!$H$40*'34a'!W43+'1'!$I$40*'34a'!W48+'1'!$J$40*'34a'!W53+'1'!$K$40*'34a'!W58+'1'!$L$40*'34a'!W63)/'1'!$M$40</f>
        <v>16171.668472837269</v>
      </c>
      <c r="Y8" s="662">
        <f>((((E8/D8))^(1/3))-1)*100</f>
        <v>0.2807170971502293</v>
      </c>
      <c r="Z8" s="662">
        <f>((((P8/E8))^(1/11))-1)*100</f>
        <v>-0.55755147062253041</v>
      </c>
      <c r="AA8" s="733">
        <f>((((W8/D8))^(1/21))-1)*100</f>
        <v>-2.124338686876337E-2</v>
      </c>
      <c r="AB8" s="733">
        <f>((((W8/P8))^(1/7))-1)*100</f>
        <v>0.69714705075487604</v>
      </c>
      <c r="AC8" s="257"/>
      <c r="AD8" s="733">
        <f>((W8/D8)-1)*100</f>
        <v>-0.44516470694351273</v>
      </c>
    </row>
    <row r="9" spans="1:30">
      <c r="A9" s="256" t="s">
        <v>1221</v>
      </c>
      <c r="B9" s="832"/>
      <c r="C9" s="832"/>
      <c r="D9" s="503">
        <f>('1'!$C$20*D19+'1'!$D$20*'34a'!D24+'1'!$E$20*'34a'!D29+'1'!$F$20*'34a'!D34+'1'!$G$20*'34a'!D39+'1'!$H$20*'34a'!D44+'1'!$I$20*'34a'!D49+'1'!$J$20*'34a'!D54+'1'!$K$20*'34a'!D59+'1'!$L$20*'34a'!D64)/'1'!$M$20</f>
        <v>22564.358446615661</v>
      </c>
      <c r="E9" s="754">
        <f>('1'!$C$23*E19+'1'!$D$23*'34a'!E24+'1'!$E$23*'34a'!E29+'1'!$F$23*'34a'!E34+'1'!$G$23*'34a'!E39+'1'!$H$23*'34a'!E44+'1'!$I$23*'34a'!E49+'1'!$J$23*'34a'!E54+'1'!$K$23*'34a'!E59+'1'!$L$23*'34a'!E64)/'1'!$M$23</f>
        <v>22276.862048268802</v>
      </c>
      <c r="F9" s="504">
        <f>('1'!$C$24*F19+'1'!$D$24*'34a'!F24+'1'!$E$24*'34a'!F29+'1'!$F$24*'34a'!F34+'1'!$G$24*'34a'!F39+'1'!$H$24*'34a'!F44+'1'!$I$24*'34a'!F49+'1'!$J$24*'34a'!F54+'1'!$K$24*'34a'!F59+'1'!$L$24*'34a'!F64)/'1'!$M$24</f>
        <v>23588.691294932767</v>
      </c>
      <c r="G9" s="504">
        <f>('1'!$C$25*G19+'1'!$D$25*'34a'!G24+'1'!$E$25*'34a'!G29+'1'!$F$25*'34a'!G34+'1'!$G$25*'34a'!G39+'1'!$H$25*'34a'!G44+'1'!$I$25*'34a'!G49+'1'!$J$25*'34a'!G54+'1'!$K$25*'34a'!G59+'1'!$L$25*'34a'!G64)/'1'!$M$25</f>
        <v>24387.706915506489</v>
      </c>
      <c r="H9" s="504">
        <f>('1'!$C$26*H19+'1'!$D$26*'34a'!H24+'1'!$E$26*'34a'!H29+'1'!$F$26*'34a'!H34+'1'!$G$26*'34a'!H39+'1'!$H$26*'34a'!H44+'1'!$I$26*'34a'!H49+'1'!$J$26*'34a'!H54+'1'!$K$26*'34a'!H59+'1'!$L$26*'34a'!H64)/'1'!$M$26</f>
        <v>24626.641454554025</v>
      </c>
      <c r="I9" s="504">
        <f>('1'!$C$27*I19+'1'!$D$27*'34a'!I24+'1'!$E$27*'34a'!I29+'1'!$F$27*'34a'!I34+'1'!$G$27*'34a'!I39+'1'!$H$27*'34a'!I44+'1'!$I$27*'34a'!I49+'1'!$J$27*'34a'!I54+'1'!$K$27*'34a'!I59+'1'!$L$27*'34a'!I64)/'1'!$M$27</f>
        <v>24547.709354830225</v>
      </c>
      <c r="J9" s="504">
        <f>('1'!$C$28*J19+'1'!$D$28*'34a'!J24+'1'!$E$28*'34a'!J29+'1'!$F$28*'34a'!J34+'1'!$G$28*'34a'!J39+'1'!$H$28*'34a'!J44+'1'!$I$28*'34a'!J49+'1'!$J$28*'34a'!J54+'1'!$K$28*'34a'!J59+'1'!$L$28*'34a'!J64)/'1'!$M$28</f>
        <v>24399.713669974466</v>
      </c>
      <c r="K9" s="504">
        <f>('1'!$C$29*K19+'1'!$D$29*'34a'!K24+'1'!$E$29*'34a'!K29+'1'!$F$29*'34a'!K34+'1'!$G$29*'34a'!K39+'1'!$H$29*'34a'!K44+'1'!$I$29*'34a'!K49+'1'!$J$29*'34a'!K54+'1'!$K$29*'34a'!K59+'1'!$L$29*'34a'!K64)/'1'!$M$29</f>
        <v>23399.969377368798</v>
      </c>
      <c r="L9" s="504">
        <f>('1'!$C$30*L19+'1'!$D$30*'34a'!L24+'1'!$E$30*'34a'!L29+'1'!$F$30*'34a'!L34+'1'!$G$30*'34a'!L39+'1'!$H$30*'34a'!L44+'1'!$I$30*'34a'!L49+'1'!$J$30*'34a'!L54+'1'!$K$30*'34a'!L59+'1'!$L$30*'34a'!L64)/'1'!$M$30</f>
        <v>21564.578239658473</v>
      </c>
      <c r="M9" s="504">
        <f>('1'!$C$31*M19+'1'!$D$31*'34a'!M24+'1'!$E$31*'34a'!M29+'1'!$F$31*'34a'!M34+'1'!$G$31*'34a'!M39+'1'!$H$31*'34a'!M44+'1'!$I$31*'34a'!M49+'1'!$J$31*'34a'!M54+'1'!$K$31*'34a'!M59+'1'!$L$31*'34a'!M64)/'1'!$M$31</f>
        <v>21060.6479508829</v>
      </c>
      <c r="N9" s="504">
        <f>('1'!$C$32*N19+'1'!$D$32*'34a'!N24+'1'!$E$32*'34a'!N29+'1'!$F$32*'34a'!N34+'1'!$G$32*'34a'!N39+'1'!$H$32*'34a'!N44+'1'!$I$32*'34a'!N49+'1'!$J$32*'34a'!N54+'1'!$K$32*'34a'!N59+'1'!$L$32*'34a'!N64)/'1'!$M$32</f>
        <v>21028.533578054041</v>
      </c>
      <c r="O9" s="504">
        <f>('1'!$C$33*O19+'1'!$D$33*'34a'!O24+'1'!$E$33*'34a'!O29+'1'!$F$33*'34a'!O34+'1'!$G$33*'34a'!O39+'1'!$H$33*'34a'!O44+'1'!$I$33*'34a'!O49+'1'!$J$33*'34a'!O54+'1'!$K$33*'34a'!O59+'1'!$L$33*'34a'!O64)/'1'!$M$33</f>
        <v>20828.629287065331</v>
      </c>
      <c r="P9" s="504">
        <f>('1'!$C$34*P19+'1'!$D$34*'34a'!P24+'1'!$E$34*'34a'!P29+'1'!$F$34*'34a'!P34+'1'!$G$34*'34a'!P39+'1'!$H$34*'34a'!P44+'1'!$I$34*'34a'!P49+'1'!$J$34*'34a'!P54+'1'!$K$34*'34a'!P59+'1'!$L$34*'34a'!P64)/'1'!$M$34</f>
        <v>20560.146669203226</v>
      </c>
      <c r="Q9" s="504">
        <f>('1'!$C$35*Q19+'1'!$D$35*'34a'!Q24+'1'!$E$35*'34a'!Q29+'1'!$F$35*'34a'!Q34+'1'!$G$35*'34a'!Q39+'1'!$H$35*'34a'!Q44+'1'!$I$35*'34a'!Q49+'1'!$J$35*'34a'!Q54+'1'!$K$35*'34a'!Q59+'1'!$L$35*'34a'!Q64)/'1'!$M$35</f>
        <v>20461.417394941236</v>
      </c>
      <c r="R9" s="504">
        <f>('1'!$C$36*R19+'1'!$D$36*'34a'!R24+'1'!$E$36*'34a'!R29+'1'!$F$36*'34a'!R34+'1'!$G$36*'34a'!R39+'1'!$H$36*'34a'!R44+'1'!$I$36*'34a'!R49+'1'!$J$36*'34a'!R54+'1'!$K$36*'34a'!R59+'1'!$L$36*'34a'!R64)/'1'!$M$36</f>
        <v>20238.340709223812</v>
      </c>
      <c r="S9" s="504">
        <f>('1'!$C$37*S19+'1'!$D$37*'34a'!S24+'1'!$E$37*'34a'!S29+'1'!$F$37*'34a'!S34+'1'!$G$37*'34a'!S39+'1'!$H$37*'34a'!S44+'1'!$I$37*'34a'!S49+'1'!$J$37*'34a'!S54+'1'!$K$37*'34a'!S59+'1'!$L$37*'34a'!S64)/'1'!$M$37</f>
        <v>19912.523092399981</v>
      </c>
      <c r="T9" s="504">
        <f>('1'!$C$38*T19+'1'!$D$38*'34a'!T24+'1'!$E$38*'34a'!T29+'1'!$F$38*'34a'!T34+'1'!$G$38*'34a'!T39+'1'!$H$38*'34a'!T44+'1'!$I$38*'34a'!T49+'1'!$J$38*'34a'!T54+'1'!$K$38*'34a'!T59+'1'!$L$38*'34a'!T64)/'1'!$M$38</f>
        <v>19968.306949656562</v>
      </c>
      <c r="U9" s="504">
        <f>('1'!$C$39*U19+'1'!$D$39*'34a'!U24+'1'!$E$39*'34a'!U29+'1'!$F$39*'34a'!U34+'1'!$G$39*'34a'!U39+'1'!$H$39*'34a'!U44+'1'!$I$39*'34a'!U49+'1'!$J$39*'34a'!U54+'1'!$K$39*'34a'!U59+'1'!$L$39*'34a'!U64)/'1'!$M$39</f>
        <v>20376.728694633141</v>
      </c>
      <c r="V9" s="504">
        <f>('1'!$C$40*V19+'1'!$D$40*'34a'!V24+'1'!$E$40*'34a'!V29+'1'!$F$40*'34a'!V34+'1'!$G$40*'34a'!V39+'1'!$H$40*'34a'!V44+'1'!$I$40*'34a'!V49+'1'!$J$40*'34a'!V54+'1'!$K$40*'34a'!V59+'1'!$L$40*'34a'!V64)/'1'!$M$40</f>
        <v>21078.369966110971</v>
      </c>
      <c r="W9" s="504">
        <f>('1'!$C$40*W19+'1'!$D$40*'34a'!W24+'1'!$E$40*'34a'!W29+'1'!$F$40*'34a'!W34+'1'!$G$40*'34a'!W39+'1'!$H$40*'34a'!W44+'1'!$I$40*'34a'!W49+'1'!$J$40*'34a'!W54+'1'!$K$40*'34a'!W59+'1'!$L$40*'34a'!W64)/'1'!$M$40</f>
        <v>21073.592863781334</v>
      </c>
      <c r="Y9" s="662">
        <f>((((E9/D9))^(1/3))-1)*100</f>
        <v>-0.42652239931835201</v>
      </c>
      <c r="Z9" s="662">
        <f>((((P9/E9))^(1/11))-1)*100</f>
        <v>-0.7263852424963968</v>
      </c>
      <c r="AA9" s="733">
        <f>((((W9/D9))^(1/21))-1)*100</f>
        <v>-0.32495121032121155</v>
      </c>
      <c r="AB9" s="733">
        <f>((((W9/P9))^(1/7))-1)*100</f>
        <v>0.35299527103034301</v>
      </c>
      <c r="AC9" s="257"/>
      <c r="AD9" s="733">
        <f>((W9/D9)-1)*100</f>
        <v>-6.6067270929119681</v>
      </c>
    </row>
    <row r="10" spans="1:30" ht="15.75">
      <c r="A10" s="256" t="s">
        <v>1770</v>
      </c>
      <c r="B10" s="832"/>
      <c r="C10" s="832"/>
      <c r="D10" s="503"/>
      <c r="E10" s="754"/>
      <c r="F10" s="504"/>
      <c r="G10" s="504"/>
      <c r="H10" s="504"/>
      <c r="I10" s="504"/>
      <c r="J10" s="504"/>
      <c r="K10" s="504"/>
      <c r="L10" s="504"/>
      <c r="M10" s="504"/>
      <c r="N10" s="504"/>
      <c r="O10" s="504"/>
      <c r="P10" s="504"/>
      <c r="Q10" s="504"/>
      <c r="R10" s="504"/>
      <c r="S10" s="504"/>
      <c r="T10" s="504"/>
      <c r="U10" s="504"/>
      <c r="V10" s="504"/>
      <c r="W10" s="504"/>
      <c r="Y10" s="662"/>
      <c r="Z10" s="662"/>
      <c r="AA10" s="662"/>
      <c r="AB10" s="662"/>
      <c r="AC10" s="262"/>
      <c r="AD10" s="662"/>
    </row>
    <row r="11" spans="1:30">
      <c r="A11" s="256" t="s">
        <v>545</v>
      </c>
      <c r="B11" s="832"/>
      <c r="C11" s="832"/>
      <c r="D11" s="503">
        <f>(D16*Sheet1!$M$4+'34a'!D21*Sheet1!$M$5+'34a'!D26*Sheet1!$M$6+'34a'!D31*Sheet1!$M$7+'34a'!D36*Sheet1!$M$8+'34a'!D41*Sheet1!$M$9+'34a'!D46*Sheet1!$M$10+'34a'!D51*Sheet1!$M$11+'34a'!D56*Sheet1!$M$12+'34a'!D61*Sheet1!$M$13)/Sheet1!$M$19</f>
        <v>6986.4280967681134</v>
      </c>
      <c r="E11" s="754">
        <f>(E16*Sheet1!$M$4+'34a'!E21*Sheet1!$M$5+'34a'!E26*Sheet1!$M$6+'34a'!E31*Sheet1!$M$7+'34a'!E36*Sheet1!$M$8+'34a'!E41*Sheet1!$M$9+'34a'!E46*Sheet1!$M$10+'34a'!E51*Sheet1!$M$11+'34a'!E56*Sheet1!$M$12+'34a'!E61*Sheet1!$M$13)/Sheet1!$M$19</f>
        <v>7721.1696685705265</v>
      </c>
      <c r="F11" s="504">
        <f>(F16*Sheet1!$M$4+'34a'!F21*Sheet1!$M$5+'34a'!F26*Sheet1!$M$6+'34a'!F31*Sheet1!$M$7+'34a'!F36*Sheet1!$M$8+'34a'!F41*Sheet1!$M$9+'34a'!F46*Sheet1!$M$10+'34a'!F51*Sheet1!$M$11+'34a'!F56*Sheet1!$M$12+'34a'!F61*Sheet1!$M$13)/Sheet1!$M$19</f>
        <v>8806.9805245185926</v>
      </c>
      <c r="G11" s="504">
        <f>(G16*Sheet1!$M$4+'34a'!G21*Sheet1!$M$5+'34a'!G26*Sheet1!$M$6+'34a'!G31*Sheet1!$M$7+'34a'!G36*Sheet1!$M$8+'34a'!G41*Sheet1!$M$9+'34a'!G46*Sheet1!$M$10+'34a'!G51*Sheet1!$M$11+'34a'!G56*Sheet1!$M$12+'34a'!G61*Sheet1!$M$13)/Sheet1!$M$19</f>
        <v>9102.7174718256447</v>
      </c>
      <c r="H11" s="504">
        <f>(H16*Sheet1!$M$4+'34a'!H21*Sheet1!$M$5+'34a'!H26*Sheet1!$M$6+'34a'!H31*Sheet1!$M$7+'34a'!H36*Sheet1!$M$8+'34a'!H41*Sheet1!$M$9+'34a'!H46*Sheet1!$M$10+'34a'!H51*Sheet1!$M$11+'34a'!H56*Sheet1!$M$12+'34a'!H61*Sheet1!$M$13)/Sheet1!$M$19</f>
        <v>9290.8611687042212</v>
      </c>
      <c r="I11" s="504">
        <f>(I16*Sheet1!$M$4+'34a'!I21*Sheet1!$M$5+'34a'!I26*Sheet1!$M$6+'34a'!I31*Sheet1!$M$7+'34a'!I36*Sheet1!$M$8+'34a'!I41*Sheet1!$M$9+'34a'!I46*Sheet1!$M$10+'34a'!I51*Sheet1!$M$11+'34a'!I56*Sheet1!$M$12+'34a'!I61*Sheet1!$M$13)/Sheet1!$M$19</f>
        <v>9275.230343703015</v>
      </c>
      <c r="J11" s="504">
        <f>(J16*Sheet1!$M$4+'34a'!J21*Sheet1!$M$5+'34a'!J26*Sheet1!$M$6+'34a'!J31*Sheet1!$M$7+'34a'!J36*Sheet1!$M$8+'34a'!J41*Sheet1!$M$9+'34a'!J46*Sheet1!$M$10+'34a'!J51*Sheet1!$M$11+'34a'!J56*Sheet1!$M$12+'34a'!J61*Sheet1!$M$13)/Sheet1!$M$19</f>
        <v>9203.8293276290588</v>
      </c>
      <c r="K11" s="504">
        <f>(K16*Sheet1!B$4+'34a'!K21*Sheet1!B$5+'34a'!K26*Sheet1!B$6+'34a'!K31*Sheet1!B$7+'34a'!K36*Sheet1!B$8+'34a'!K41*Sheet1!B$9+'34a'!K46*Sheet1!B$10+'34a'!K51*Sheet1!B$11+'34a'!K56*Sheet1!B$12+'34a'!K61*Sheet1!B$13)/Sheet1!B$19</f>
        <v>8867.9295341533634</v>
      </c>
      <c r="L11" s="504">
        <f>(L16*Sheet1!C$4+'34a'!L21*Sheet1!C$5+'34a'!L26*Sheet1!C$6+'34a'!L31*Sheet1!C$7+'34a'!L36*Sheet1!C$8+'34a'!L41*Sheet1!C$9+'34a'!L46*Sheet1!C$10+'34a'!L51*Sheet1!C$11+'34a'!L56*Sheet1!C$12+'34a'!L61*Sheet1!C$13)/Sheet1!C$19</f>
        <v>7845.4468463538105</v>
      </c>
      <c r="M11" s="504">
        <f>(M16*Sheet1!D$4+'34a'!M21*Sheet1!D$5+'34a'!M26*Sheet1!D$6+'34a'!M31*Sheet1!D$7+'34a'!M36*Sheet1!D$8+'34a'!M41*Sheet1!D$9+'34a'!M46*Sheet1!D$10+'34a'!M51*Sheet1!D$11+'34a'!M56*Sheet1!D$12+'34a'!M61*Sheet1!D$13)/Sheet1!D$19</f>
        <v>7543.3177783413648</v>
      </c>
      <c r="N11" s="504">
        <f>(N16*Sheet1!E$4+'34a'!N21*Sheet1!E$5+'34a'!N26*Sheet1!E$6+'34a'!N31*Sheet1!E$7+'34a'!N36*Sheet1!E$8+'34a'!N41*Sheet1!E$9+'34a'!N46*Sheet1!E$10+'34a'!N51*Sheet1!E$11+'34a'!N56*Sheet1!E$12+'34a'!N61*Sheet1!E$13)/Sheet1!E$19</f>
        <v>7477.3687760751745</v>
      </c>
      <c r="O11" s="504">
        <f>(O16*Sheet1!F$4+'34a'!O21*Sheet1!F$5+'34a'!O26*Sheet1!F$6+'34a'!O31*Sheet1!F$7+'34a'!O36*Sheet1!F$8+'34a'!O41*Sheet1!F$9+'34a'!O46*Sheet1!F$10+'34a'!O51*Sheet1!F$11+'34a'!O56*Sheet1!F$12+'34a'!O61*Sheet1!F$13)/Sheet1!F$19</f>
        <v>7367.6767132959712</v>
      </c>
      <c r="P11" s="504">
        <f>(P16*Sheet1!G$4+'34a'!P21*Sheet1!G$5+'34a'!P26*Sheet1!G$6+'34a'!P31*Sheet1!G$7+'34a'!P36*Sheet1!G$8+'34a'!P41*Sheet1!G$9+'34a'!P46*Sheet1!G$10+'34a'!P51*Sheet1!G$11+'34a'!P56*Sheet1!G$12+'34a'!P61*Sheet1!G$13)/Sheet1!G$19</f>
        <v>7205.1214182344429</v>
      </c>
      <c r="Q11" s="504">
        <f>(Q16*Sheet1!H$4+'34a'!Q21*Sheet1!H$5+'34a'!Q26*Sheet1!H$6+'34a'!Q31*Sheet1!H$7+'34a'!Q36*Sheet1!H$8+'34a'!Q41*Sheet1!H$9+'34a'!Q46*Sheet1!H$10+'34a'!Q51*Sheet1!H$11+'34a'!Q56*Sheet1!H$12+'34a'!Q61*Sheet1!H$13)/Sheet1!H$19</f>
        <v>7137.0409452134099</v>
      </c>
      <c r="R11" s="504">
        <f>(R16*Sheet1!I$4+'34a'!R21*Sheet1!I$5+'34a'!R26*Sheet1!I$6+'34a'!R31*Sheet1!I$7+'34a'!R36*Sheet1!I$8+'34a'!R41*Sheet1!I$9+'34a'!R46*Sheet1!I$10+'34a'!R51*Sheet1!I$11+'34a'!R56*Sheet1!I$12+'34a'!R61*Sheet1!I$13)/Sheet1!I$19</f>
        <v>7241.4920279567541</v>
      </c>
      <c r="S11" s="504">
        <f>(S16*Sheet1!J$4+'34a'!S21*Sheet1!J$5+'34a'!S26*Sheet1!J$6+'34a'!S31*Sheet1!J$7+'34a'!S36*Sheet1!J$8+'34a'!S41*Sheet1!J$9+'34a'!S46*Sheet1!J$10+'34a'!S51*Sheet1!J$11+'34a'!S56*Sheet1!J$12+'34a'!S61*Sheet1!J$13)/Sheet1!J$19</f>
        <v>7086.4146355517141</v>
      </c>
      <c r="T11" s="504">
        <f>(T16*Sheet1!K$4+'34a'!T21*Sheet1!K$5+'34a'!T26*Sheet1!K$6+'34a'!T31*Sheet1!K$7+'34a'!T36*Sheet1!K$8+'34a'!T41*Sheet1!K$9+'34a'!T46*Sheet1!K$10+'34a'!T51*Sheet1!K$11+'34a'!T56*Sheet1!K$12+'34a'!T61*Sheet1!K$13)/Sheet1!K$19</f>
        <v>7069.4098119858991</v>
      </c>
      <c r="U11" s="504">
        <f>(U16*Sheet1!L$4+'34a'!U21*Sheet1!L$5+'34a'!U26*Sheet1!L$6+'34a'!U31*Sheet1!L$7+'34a'!U36*Sheet1!L$8+'34a'!U41*Sheet1!L$9+'34a'!U46*Sheet1!L$10+'34a'!U51*Sheet1!L$11+'34a'!U56*Sheet1!L$12+'34a'!U61*Sheet1!L$13)/Sheet1!L$19</f>
        <v>6987.2868911605528</v>
      </c>
      <c r="V11" s="504">
        <f>(V16*Sheet1!L$4+'34a'!V21*Sheet1!L$5+'34a'!V26*Sheet1!L$6+'34a'!V31*Sheet1!L$7+'34a'!V36*Sheet1!L$8+'34a'!V41*Sheet1!L$9+'34a'!V46*Sheet1!L$10+'34a'!V51*Sheet1!L$11+'34a'!V56*Sheet1!L$12+'34a'!V61*Sheet1!L$13)/Sheet1!L$19</f>
        <v>7012.1194828622974</v>
      </c>
      <c r="W11" s="504">
        <f>(W16*Sheet1!M$4+'34a'!W21*Sheet1!M$5+'34a'!W26*Sheet1!M$6+'34a'!W31*Sheet1!M$7+'34a'!W36*Sheet1!M$8+'34a'!W41*Sheet1!M$9+'34a'!W46*Sheet1!M$10+'34a'!W51*Sheet1!M$11+'34a'!W56*Sheet1!M$12+'34a'!W61*Sheet1!M$13)/Sheet1!M$19</f>
        <v>7063.3563885978792</v>
      </c>
      <c r="Y11" s="662">
        <f>((((E11/D11))^(1/3))-1)*100</f>
        <v>3.3893886724020827</v>
      </c>
      <c r="Z11" s="662">
        <f>((((P11/E11))^(1/11))-1)*100</f>
        <v>-0.62687943118342471</v>
      </c>
      <c r="AA11" s="733">
        <f>((((W11/D11))^(1/21))-1)*100</f>
        <v>5.2160855888971902E-2</v>
      </c>
      <c r="AB11" s="733">
        <f>((((W11/P11))^(1/7))-1)*100</f>
        <v>-0.28347934443028189</v>
      </c>
      <c r="AC11" s="257"/>
      <c r="AD11" s="733">
        <f>((W11/D11)-1)*100</f>
        <v>1.1011104782621572</v>
      </c>
    </row>
    <row r="12" spans="1:30">
      <c r="A12" s="256" t="s">
        <v>1219</v>
      </c>
      <c r="B12" s="832"/>
      <c r="C12" s="832"/>
      <c r="D12" s="503" t="s">
        <v>374</v>
      </c>
      <c r="E12" s="754">
        <f>(E17*Sheet1!$M$4+'34a'!E22*Sheet1!$M$5+'34a'!E27*Sheet1!$M$6+'34a'!E32*Sheet1!$M$7+'34a'!E37*Sheet1!$M$8+'34a'!E42*Sheet1!$M$9+'34a'!E47*Sheet1!$M$10+'34a'!E52*Sheet1!$M$11+'34a'!E57*Sheet1!$M$12+'34a'!E62*Sheet1!$M$13)/Sheet1!$M$19</f>
        <v>11633.203644365349</v>
      </c>
      <c r="F12" s="504">
        <f>(F17*Sheet1!$M$4+'34a'!F22*Sheet1!$M$5+'34a'!F27*Sheet1!$M$6+'34a'!F32*Sheet1!$M$7+'34a'!F37*Sheet1!$M$8+'34a'!F42*Sheet1!$M$9+'34a'!F47*Sheet1!$M$10+'34a'!F52*Sheet1!$M$11+'34a'!F57*Sheet1!$M$12+'34a'!F62*Sheet1!$M$13)/Sheet1!$M$19</f>
        <v>12225.787803605792</v>
      </c>
      <c r="G12" s="504">
        <f>(G17*Sheet1!$M$4+'34a'!G22*Sheet1!$M$5+'34a'!G27*Sheet1!$M$6+'34a'!G32*Sheet1!$M$7+'34a'!G37*Sheet1!$M$8+'34a'!G42*Sheet1!$M$9+'34a'!G47*Sheet1!$M$10+'34a'!G52*Sheet1!$M$11+'34a'!G57*Sheet1!$M$12+'34a'!G62*Sheet1!$M$13)/Sheet1!$M$19</f>
        <v>12574.720018585649</v>
      </c>
      <c r="H12" s="504">
        <f>(H17*Sheet1!$M$4+'34a'!H22*Sheet1!$M$5+'34a'!H27*Sheet1!$M$6+'34a'!H32*Sheet1!$M$7+'34a'!H37*Sheet1!$M$8+'34a'!H42*Sheet1!$M$9+'34a'!H47*Sheet1!$M$10+'34a'!H52*Sheet1!$M$11+'34a'!H57*Sheet1!$M$12+'34a'!H62*Sheet1!$M$13)/Sheet1!$M$19</f>
        <v>12782.8841684456</v>
      </c>
      <c r="I12" s="504">
        <f>(I17*Sheet1!$M$4+'34a'!I22*Sheet1!$M$5+'34a'!I27*Sheet1!$M$6+'34a'!I32*Sheet1!$M$7+'34a'!I37*Sheet1!$M$8+'34a'!I42*Sheet1!$M$9+'34a'!I47*Sheet1!$M$10+'34a'!I52*Sheet1!$M$11+'34a'!I57*Sheet1!$M$12+'34a'!I62*Sheet1!$M$13)/Sheet1!$M$19</f>
        <v>12706.325529406093</v>
      </c>
      <c r="J12" s="504">
        <f>(J17*Sheet1!$M$4+'34a'!J22*Sheet1!$M$5+'34a'!J27*Sheet1!$M$6+'34a'!J32*Sheet1!$M$7+'34a'!J37*Sheet1!$M$8+'34a'!J42*Sheet1!$M$9+'34a'!J47*Sheet1!$M$10+'34a'!J52*Sheet1!$M$11+'34a'!J57*Sheet1!$M$12+'34a'!J62*Sheet1!$M$13)/Sheet1!$M$19</f>
        <v>12738.27474324188</v>
      </c>
      <c r="K12" s="504">
        <f>(K17*Sheet1!B$4+'34a'!K22*Sheet1!B$5+'34a'!K27*Sheet1!B$6+'34a'!K32*Sheet1!B$7+'34a'!K37*Sheet1!B$8+'34a'!K42*Sheet1!B$9+'34a'!K47*Sheet1!B$10+'34a'!K52*Sheet1!B$11+'34a'!K57*Sheet1!B$12+'34a'!K62*Sheet1!B$13)/Sheet1!B$19</f>
        <v>12634.66232661607</v>
      </c>
      <c r="L12" s="504">
        <f>(L17*Sheet1!C$4+'34a'!L22*Sheet1!C$5+'34a'!L27*Sheet1!C$6+'34a'!L32*Sheet1!C$7+'34a'!L37*Sheet1!C$8+'34a'!L42*Sheet1!C$9+'34a'!L47*Sheet1!C$10+'34a'!L52*Sheet1!C$11+'34a'!L57*Sheet1!C$12+'34a'!L62*Sheet1!C$13)/Sheet1!C$19</f>
        <v>12415.823094814612</v>
      </c>
      <c r="M12" s="504">
        <f>(M17*Sheet1!D$4+'34a'!M22*Sheet1!D$5+'34a'!M27*Sheet1!D$6+'34a'!M32*Sheet1!D$7+'34a'!M37*Sheet1!D$8+'34a'!M42*Sheet1!D$9+'34a'!M47*Sheet1!D$10+'34a'!M52*Sheet1!D$11+'34a'!M57*Sheet1!D$12+'34a'!M62*Sheet1!D$13)/Sheet1!D$19</f>
        <v>12249.14158907286</v>
      </c>
      <c r="N12" s="504">
        <f>(N17*Sheet1!E$4+'34a'!N22*Sheet1!E$5+'34a'!N27*Sheet1!E$6+'34a'!N32*Sheet1!E$7+'34a'!N37*Sheet1!E$8+'34a'!N42*Sheet1!E$9+'34a'!N47*Sheet1!E$10+'34a'!N52*Sheet1!E$11+'34a'!N57*Sheet1!E$12+'34a'!N62*Sheet1!E$13)/Sheet1!E$19</f>
        <v>12236.605645884509</v>
      </c>
      <c r="O12" s="504">
        <f>(O17*Sheet1!F$4+'34a'!O22*Sheet1!F$5+'34a'!O27*Sheet1!F$6+'34a'!O32*Sheet1!F$7+'34a'!O37*Sheet1!F$8+'34a'!O42*Sheet1!F$9+'34a'!O47*Sheet1!F$10+'34a'!O52*Sheet1!F$11+'34a'!O57*Sheet1!F$12+'34a'!O62*Sheet1!F$13)/Sheet1!F$19</f>
        <v>12022.195048762191</v>
      </c>
      <c r="P12" s="504">
        <f>(P17*Sheet1!G$4+'34a'!P22*Sheet1!G$5+'34a'!P27*Sheet1!G$6+'34a'!P32*Sheet1!G$7+'34a'!P37*Sheet1!G$8+'34a'!P42*Sheet1!G$9+'34a'!P47*Sheet1!G$10+'34a'!P52*Sheet1!G$11+'34a'!P57*Sheet1!G$12+'34a'!P62*Sheet1!G$13)/Sheet1!G$19</f>
        <v>11762.036758321274</v>
      </c>
      <c r="Q12" s="504">
        <f>(Q17*Sheet1!H$4+'34a'!Q22*Sheet1!H$5+'34a'!Q27*Sheet1!H$6+'34a'!Q32*Sheet1!H$7+'34a'!Q37*Sheet1!H$8+'34a'!Q42*Sheet1!H$9+'34a'!Q47*Sheet1!H$10+'34a'!Q52*Sheet1!H$11+'34a'!Q57*Sheet1!H$12+'34a'!Q62*Sheet1!H$13)/Sheet1!H$19</f>
        <v>11523.305457607494</v>
      </c>
      <c r="R12" s="504">
        <f>(R17*Sheet1!I$4+'34a'!R22*Sheet1!I$5+'34a'!R27*Sheet1!I$6+'34a'!R32*Sheet1!I$7+'34a'!R37*Sheet1!I$8+'34a'!R42*Sheet1!I$9+'34a'!R47*Sheet1!I$10+'34a'!R52*Sheet1!I$11+'34a'!R57*Sheet1!I$12+'34a'!R62*Sheet1!I$13)/Sheet1!I$19</f>
        <v>11394.256688871901</v>
      </c>
      <c r="S12" s="504">
        <f>(S17*Sheet1!J$4+'34a'!S22*Sheet1!J$5+'34a'!S27*Sheet1!J$6+'34a'!S32*Sheet1!J$7+'34a'!S37*Sheet1!J$8+'34a'!S42*Sheet1!J$9+'34a'!S47*Sheet1!J$10+'34a'!S52*Sheet1!J$11+'34a'!S57*Sheet1!J$12+'34a'!S62*Sheet1!J$13)/Sheet1!J$19</f>
        <v>11169.689945260732</v>
      </c>
      <c r="T12" s="504">
        <f>(T17*Sheet1!K$4+'34a'!T22*Sheet1!K$5+'34a'!T27*Sheet1!K$6+'34a'!T32*Sheet1!K$7+'34a'!T37*Sheet1!K$8+'34a'!T42*Sheet1!K$9+'34a'!T47*Sheet1!K$10+'34a'!T52*Sheet1!K$11+'34a'!T57*Sheet1!K$12+'34a'!T62*Sheet1!K$13)/Sheet1!K$19</f>
        <v>11148.510634547591</v>
      </c>
      <c r="U12" s="504">
        <f>(U17*Sheet1!L$4+'34a'!U22*Sheet1!L$5+'34a'!U27*Sheet1!L$6+'34a'!U32*Sheet1!L$7+'34a'!U37*Sheet1!L$8+'34a'!U42*Sheet1!L$9+'34a'!U47*Sheet1!L$10+'34a'!U52*Sheet1!L$11+'34a'!U57*Sheet1!L$12+'34a'!U62*Sheet1!L$13)/Sheet1!L$19</f>
        <v>11103.479494888756</v>
      </c>
      <c r="V12" s="504">
        <f>(V17*Sheet1!L$4+'34a'!V22*Sheet1!L$5+'34a'!V27*Sheet1!L$6+'34a'!V32*Sheet1!L$7+'34a'!V37*Sheet1!L$8+'34a'!V42*Sheet1!L$9+'34a'!V47*Sheet1!L$10+'34a'!V52*Sheet1!L$11+'34a'!V57*Sheet1!L$12+'34a'!V62*Sheet1!L$13)/Sheet1!L$19</f>
        <v>11081.928382441371</v>
      </c>
      <c r="W12" s="504">
        <f>(W17*Sheet1!M$4+'34a'!W22*Sheet1!M$5+'34a'!W27*Sheet1!M$6+'34a'!W32*Sheet1!M$7+'34a'!W37*Sheet1!M$8+'34a'!W42*Sheet1!M$9+'34a'!W47*Sheet1!M$10+'34a'!W52*Sheet1!M$11+'34a'!W57*Sheet1!M$12+'34a'!W62*Sheet1!M$13)/Sheet1!M$19</f>
        <v>11100.655959462243</v>
      </c>
      <c r="Y12" s="662" t="s">
        <v>374</v>
      </c>
      <c r="Z12" s="662">
        <f>((((P12/E12))^(1/11))-1)*100</f>
        <v>0.10017494870622201</v>
      </c>
      <c r="AA12" s="733">
        <f>((((W12/E12))^(1/18))-1)*100</f>
        <v>-0.25999027395300356</v>
      </c>
      <c r="AB12" s="733">
        <f>((((W12/P12))^(1/7))-1)*100</f>
        <v>-0.82334776014714173</v>
      </c>
      <c r="AC12" s="257"/>
      <c r="AD12" s="733">
        <f>((W12/E12)-1)*100</f>
        <v>-4.5778248295434087</v>
      </c>
    </row>
    <row r="13" spans="1:30">
      <c r="A13" s="256" t="s">
        <v>1222</v>
      </c>
      <c r="B13" s="832"/>
      <c r="C13" s="832"/>
      <c r="D13" s="503">
        <f>(D18*Sheet1!$M$4+'34a'!D23*Sheet1!$M$5+'34a'!D28*Sheet1!$M$6+'34a'!D33*Sheet1!$M$7+'34a'!D38*Sheet1!$M$8+'34a'!D43*Sheet1!$M$9+'34a'!D48*Sheet1!$M$10+'34a'!D53*Sheet1!$M$11+'34a'!D58*Sheet1!$M$12+'34a'!D63*Sheet1!$M$13)/Sheet1!$M$19</f>
        <v>16245.591339262623</v>
      </c>
      <c r="E13" s="754">
        <f>(E18*Sheet1!$M$4+'34a'!E23*Sheet1!$M$5+'34a'!E28*Sheet1!$M$6+'34a'!E33*Sheet1!$M$7+'34a'!E38*Sheet1!$M$8+'34a'!E43*Sheet1!$M$9+'34a'!E48*Sheet1!$M$10+'34a'!E53*Sheet1!$M$11+'34a'!E58*Sheet1!$M$12+'34a'!E63*Sheet1!$M$13)/Sheet1!$M$19</f>
        <v>16473.010393060187</v>
      </c>
      <c r="F13" s="504">
        <f>(F18*Sheet1!$M$4+'34a'!F23*Sheet1!$M$5+'34a'!F28*Sheet1!$M$6+'34a'!F33*Sheet1!$M$7+'34a'!F38*Sheet1!$M$8+'34a'!F43*Sheet1!$M$9+'34a'!F48*Sheet1!$M$10+'34a'!F53*Sheet1!$M$11+'34a'!F58*Sheet1!$M$12+'34a'!F63*Sheet1!$M$13)/Sheet1!$M$19</f>
        <v>17780.831633301626</v>
      </c>
      <c r="G13" s="504">
        <f>(G18*Sheet1!$M$4+'34a'!G23*Sheet1!$M$5+'34a'!G28*Sheet1!$M$6+'34a'!G33*Sheet1!$M$7+'34a'!G38*Sheet1!$M$8+'34a'!G43*Sheet1!$M$9+'34a'!G48*Sheet1!$M$10+'34a'!G53*Sheet1!$M$11+'34a'!G58*Sheet1!$M$12+'34a'!G63*Sheet1!$M$13)/Sheet1!$M$19</f>
        <v>17899.333971849755</v>
      </c>
      <c r="H13" s="504">
        <f>(H18*Sheet1!$M$4+'34a'!H23*Sheet1!$M$5+'34a'!H28*Sheet1!$M$6+'34a'!H33*Sheet1!$M$7+'34a'!H38*Sheet1!$M$8+'34a'!H43*Sheet1!$M$9+'34a'!H48*Sheet1!$M$10+'34a'!H53*Sheet1!$M$11+'34a'!H58*Sheet1!$M$12+'34a'!H63*Sheet1!$M$13)/Sheet1!$M$19</f>
        <v>18558.577356191345</v>
      </c>
      <c r="I13" s="504">
        <f>(I18*Sheet1!$M$4+'34a'!I23*Sheet1!$M$5+'34a'!I28*Sheet1!$M$6+'34a'!I33*Sheet1!$M$7+'34a'!I38*Sheet1!$M$8+'34a'!I43*Sheet1!$M$9+'34a'!I48*Sheet1!$M$10+'34a'!I53*Sheet1!$M$11+'34a'!I58*Sheet1!$M$12+'34a'!I63*Sheet1!$M$13)/Sheet1!$M$19</f>
        <v>18633.550573568926</v>
      </c>
      <c r="J13" s="504">
        <f>(J18*Sheet1!$M$4+'34a'!J23*Sheet1!$M$5+'34a'!J28*Sheet1!$M$6+'34a'!J33*Sheet1!$M$7+'34a'!J38*Sheet1!$M$8+'34a'!J43*Sheet1!$M$9+'34a'!J48*Sheet1!$M$10+'34a'!J53*Sheet1!$M$11+'34a'!J58*Sheet1!$M$12+'34a'!J63*Sheet1!$M$13)/Sheet1!$M$19</f>
        <v>18762.013904169937</v>
      </c>
      <c r="K13" s="504">
        <f>(K18*Sheet1!B$4+'34a'!K23*Sheet1!B$5+'34a'!K28*Sheet1!B$6+'34a'!K33*Sheet1!B$7+'34a'!K38*Sheet1!B$8+'34a'!K43*Sheet1!B$9+'34a'!K48*Sheet1!B$10+'34a'!K53*Sheet1!B$11+'34a'!K58*Sheet1!B$12+'34a'!K63*Sheet1!B$13)/Sheet1!B$19</f>
        <v>18122.230437058362</v>
      </c>
      <c r="L13" s="504">
        <f>(L18*Sheet1!C$4+'34a'!L23*Sheet1!C$5+'34a'!L28*Sheet1!C$6+'34a'!L33*Sheet1!C$7+'34a'!L38*Sheet1!C$8+'34a'!L43*Sheet1!C$9+'34a'!L48*Sheet1!C$10+'34a'!L53*Sheet1!C$11+'34a'!L58*Sheet1!C$12+'34a'!L63*Sheet1!C$13)/Sheet1!C$19</f>
        <v>16467.591633602409</v>
      </c>
      <c r="M13" s="504">
        <f>(M18*Sheet1!D$4+'34a'!M23*Sheet1!D$5+'34a'!M28*Sheet1!D$6+'34a'!M33*Sheet1!D$7+'34a'!M38*Sheet1!D$8+'34a'!M43*Sheet1!D$9+'34a'!M48*Sheet1!D$10+'34a'!M53*Sheet1!D$11+'34a'!M58*Sheet1!D$12+'34a'!M63*Sheet1!D$13)/Sheet1!D$19</f>
        <v>16133.203362197022</v>
      </c>
      <c r="N13" s="504">
        <f>(N18*Sheet1!E$4+'34a'!N23*Sheet1!E$5+'34a'!N28*Sheet1!E$6+'34a'!N33*Sheet1!E$7+'34a'!N38*Sheet1!E$8+'34a'!N43*Sheet1!E$9+'34a'!N48*Sheet1!E$10+'34a'!N53*Sheet1!E$11+'34a'!N58*Sheet1!E$12+'34a'!N63*Sheet1!E$13)/Sheet1!E$19</f>
        <v>16045.300736928295</v>
      </c>
      <c r="O13" s="504">
        <f>(O18*Sheet1!F$4+'34a'!O23*Sheet1!F$5+'34a'!O28*Sheet1!F$6+'34a'!O33*Sheet1!F$7+'34a'!O38*Sheet1!F$8+'34a'!O43*Sheet1!F$9+'34a'!O48*Sheet1!F$10+'34a'!O53*Sheet1!F$11+'34a'!O58*Sheet1!F$12+'34a'!O63*Sheet1!F$13)/Sheet1!F$19</f>
        <v>15871.098627598076</v>
      </c>
      <c r="P13" s="504">
        <f>(P18*Sheet1!G$4+'34a'!P23*Sheet1!G$5+'34a'!P28*Sheet1!G$6+'34a'!P33*Sheet1!G$7+'34a'!P38*Sheet1!G$8+'34a'!P43*Sheet1!G$9+'34a'!P48*Sheet1!G$10+'34a'!P53*Sheet1!G$11+'34a'!P58*Sheet1!G$12+'34a'!P63*Sheet1!G$13)/Sheet1!G$19</f>
        <v>15552.29136517125</v>
      </c>
      <c r="Q13" s="504">
        <f>(Q18*Sheet1!H$4+'34a'!Q23*Sheet1!H$5+'34a'!Q28*Sheet1!H$6+'34a'!Q33*Sheet1!H$7+'34a'!Q38*Sheet1!H$8+'34a'!Q43*Sheet1!H$9+'34a'!Q48*Sheet1!H$10+'34a'!Q53*Sheet1!H$11+'34a'!Q58*Sheet1!H$12+'34a'!Q63*Sheet1!H$13)/Sheet1!H$19</f>
        <v>15397.399926319667</v>
      </c>
      <c r="R13" s="504">
        <f>(R18*Sheet1!I$4+'34a'!R23*Sheet1!I$5+'34a'!R28*Sheet1!I$6+'34a'!R33*Sheet1!I$7+'34a'!R38*Sheet1!I$8+'34a'!R43*Sheet1!I$9+'34a'!R48*Sheet1!I$10+'34a'!R53*Sheet1!I$11+'34a'!R58*Sheet1!I$12+'34a'!R63*Sheet1!I$13)/Sheet1!I$19</f>
        <v>15234.390302500819</v>
      </c>
      <c r="S13" s="504">
        <f>(S18*Sheet1!J$4+'34a'!S23*Sheet1!J$5+'34a'!S28*Sheet1!J$6+'34a'!S33*Sheet1!J$7+'34a'!S38*Sheet1!J$8+'34a'!S43*Sheet1!J$9+'34a'!S48*Sheet1!J$10+'34a'!S53*Sheet1!J$11+'34a'!S58*Sheet1!J$12+'34a'!S63*Sheet1!J$13)/Sheet1!J$19</f>
        <v>14956.901526937481</v>
      </c>
      <c r="T13" s="504">
        <f>(T18*Sheet1!K$4+'34a'!T23*Sheet1!K$5+'34a'!T28*Sheet1!K$6+'34a'!T33*Sheet1!K$7+'34a'!T38*Sheet1!K$8+'34a'!T43*Sheet1!K$9+'34a'!T48*Sheet1!K$10+'34a'!T53*Sheet1!K$11+'34a'!T58*Sheet1!K$12+'34a'!T63*Sheet1!K$13)/Sheet1!K$19</f>
        <v>14968.176909518214</v>
      </c>
      <c r="U13" s="504">
        <f>(U18*Sheet1!L$4+'34a'!U23*Sheet1!L$5+'34a'!U28*Sheet1!L$6+'34a'!U33*Sheet1!L$7+'34a'!U38*Sheet1!L$8+'34a'!U43*Sheet1!L$9+'34a'!U48*Sheet1!L$10+'34a'!U53*Sheet1!L$11+'34a'!U58*Sheet1!L$12+'34a'!U63*Sheet1!L$13)/Sheet1!L$19</f>
        <v>15143.176548406494</v>
      </c>
      <c r="V13" s="504">
        <f>(V18*Sheet1!L$4+'34a'!V23*Sheet1!L$5+'34a'!V28*Sheet1!L$6+'34a'!V33*Sheet1!L$7+'34a'!V38*Sheet1!L$8+'34a'!V43*Sheet1!L$9+'34a'!V48*Sheet1!L$10+'34a'!V53*Sheet1!L$11+'34a'!V58*Sheet1!L$12+'34a'!V63*Sheet1!L$13)/Sheet1!L$19</f>
        <v>16049.584726398076</v>
      </c>
      <c r="W13" s="504">
        <f>(W18*Sheet1!M$4+'34a'!W23*Sheet1!M$5+'34a'!W28*Sheet1!M$6+'34a'!W33*Sheet1!M$7+'34a'!W38*Sheet1!M$8+'34a'!W43*Sheet1!M$9+'34a'!W48*Sheet1!M$10+'34a'!W53*Sheet1!M$11+'34a'!W58*Sheet1!M$12+'34a'!W63*Sheet1!M$13)/Sheet1!M$19</f>
        <v>16430.728763484458</v>
      </c>
      <c r="Y13" s="662">
        <f>((((E13/D13))^(1/3))-1)*100</f>
        <v>0.46446658808405594</v>
      </c>
      <c r="Z13" s="662">
        <f>((((P13/E13))^(1/11))-1)*100</f>
        <v>-0.5215020268230397</v>
      </c>
      <c r="AA13" s="733">
        <f>((((W13/D13))^(1/21))-1)*100</f>
        <v>5.3975118268012601E-2</v>
      </c>
      <c r="AB13" s="733">
        <f>((((W13/P13))^(1/7))-1)*100</f>
        <v>0.78802159279651729</v>
      </c>
      <c r="AC13" s="257"/>
      <c r="AD13" s="733">
        <f>((W13/D13)-1)*100</f>
        <v>1.1396164064178649</v>
      </c>
    </row>
    <row r="14" spans="1:30">
      <c r="A14" s="256" t="s">
        <v>1221</v>
      </c>
      <c r="B14" s="832"/>
      <c r="C14" s="832"/>
      <c r="D14" s="503">
        <f>(D19*Sheet1!$M$4+'34a'!D24*Sheet1!$M$5+'34a'!D29*Sheet1!$M$6+'34a'!D34*Sheet1!$M$7+'34a'!D39*Sheet1!$M$8+'34a'!D44*Sheet1!$M$9+'34a'!D49*Sheet1!$M$10+'34a'!D54*Sheet1!$M$11+'34a'!D59*Sheet1!$M$12+'34a'!D64*Sheet1!$M$13)/Sheet1!$M$19</f>
        <v>22296.555005194339</v>
      </c>
      <c r="E14" s="754">
        <f>(E19*Sheet1!$M$4+'34a'!E24*Sheet1!$M$5+'34a'!E29*Sheet1!$M$6+'34a'!E34*Sheet1!$M$7+'34a'!E39*Sheet1!$M$8+'34a'!E44*Sheet1!$M$9+'34a'!E49*Sheet1!$M$10+'34a'!E54*Sheet1!$M$11+'34a'!E59*Sheet1!$M$12+'34a'!E64*Sheet1!$M$13)/Sheet1!$M$19</f>
        <v>22153.333397623315</v>
      </c>
      <c r="F14" s="504">
        <f>(F19*Sheet1!$M$4+'34a'!F24*Sheet1!$M$5+'34a'!F29*Sheet1!$M$6+'34a'!F34*Sheet1!$M$7+'34a'!F39*Sheet1!$M$8+'34a'!F44*Sheet1!$M$9+'34a'!F49*Sheet1!$M$10+'34a'!F54*Sheet1!$M$11+'34a'!F59*Sheet1!$M$12+'34a'!F64*Sheet1!$M$13)/Sheet1!$M$19</f>
        <v>23610.816637663116</v>
      </c>
      <c r="G14" s="504">
        <f>(G19*Sheet1!$M$4+'34a'!G24*Sheet1!$M$5+'34a'!G29*Sheet1!$M$6+'34a'!G34*Sheet1!$M$7+'34a'!G39*Sheet1!$M$8+'34a'!G44*Sheet1!$M$9+'34a'!G49*Sheet1!$M$10+'34a'!G54*Sheet1!$M$11+'34a'!G59*Sheet1!$M$12+'34a'!G64*Sheet1!$M$13)/Sheet1!$M$19</f>
        <v>24328.082605322335</v>
      </c>
      <c r="H14" s="504">
        <f>(H19*Sheet1!$M$4+'34a'!H24*Sheet1!$M$5+'34a'!H29*Sheet1!$M$6+'34a'!H34*Sheet1!$M$7+'34a'!H39*Sheet1!$M$8+'34a'!H44*Sheet1!$M$9+'34a'!H49*Sheet1!$M$10+'34a'!H54*Sheet1!$M$11+'34a'!H59*Sheet1!$M$12+'34a'!H64*Sheet1!$M$13)/Sheet1!$M$19</f>
        <v>24591.189209803055</v>
      </c>
      <c r="I14" s="504">
        <f>(I19*Sheet1!$M$4+'34a'!I24*Sheet1!$M$5+'34a'!I29*Sheet1!$M$6+'34a'!I34*Sheet1!$M$7+'34a'!I39*Sheet1!$M$8+'34a'!I44*Sheet1!$M$9+'34a'!I49*Sheet1!$M$10+'34a'!I54*Sheet1!$M$11+'34a'!I59*Sheet1!$M$12+'34a'!I64*Sheet1!$M$13)/Sheet1!$M$19</f>
        <v>24590.055796399469</v>
      </c>
      <c r="J14" s="504">
        <f>(J19*Sheet1!$M$4+'34a'!J24*Sheet1!$M$5+'34a'!J29*Sheet1!$M$6+'34a'!J34*Sheet1!$M$7+'34a'!J39*Sheet1!$M$8+'34a'!J44*Sheet1!$M$9+'34a'!J49*Sheet1!$M$10+'34a'!J54*Sheet1!$M$11+'34a'!J59*Sheet1!$M$12+'34a'!J64*Sheet1!$M$13)/Sheet1!$M$19</f>
        <v>24484.092880030508</v>
      </c>
      <c r="K14" s="504">
        <f>(K19*Sheet1!B$4+'34a'!K24*Sheet1!B$5+'34a'!K29*Sheet1!B$6+'34a'!K34*Sheet1!B$7+'34a'!K39*Sheet1!B$8+'34a'!K44*Sheet1!B$9+'34a'!K49*Sheet1!B$10+'34a'!K54*Sheet1!B$11+'34a'!K59*Sheet1!B$12+'34a'!K64*Sheet1!B$13)/Sheet1!B$19</f>
        <v>23647.284578644332</v>
      </c>
      <c r="L14" s="504">
        <f>(L19*Sheet1!C$4+'34a'!L24*Sheet1!C$5+'34a'!L29*Sheet1!C$6+'34a'!L34*Sheet1!C$7+'34a'!L39*Sheet1!C$8+'34a'!L44*Sheet1!C$9+'34a'!L49*Sheet1!C$10+'34a'!L54*Sheet1!C$11+'34a'!L59*Sheet1!C$12+'34a'!L64*Sheet1!C$13)/Sheet1!C$19</f>
        <v>21524.928512792449</v>
      </c>
      <c r="M14" s="504">
        <f>(M19*Sheet1!D$4+'34a'!M24*Sheet1!D$5+'34a'!M29*Sheet1!D$6+'34a'!M34*Sheet1!D$7+'34a'!M39*Sheet1!D$8+'34a'!M44*Sheet1!D$9+'34a'!M49*Sheet1!D$10+'34a'!M54*Sheet1!D$11+'34a'!M59*Sheet1!D$12+'34a'!M64*Sheet1!D$13)/Sheet1!D$19</f>
        <v>20974.073221984712</v>
      </c>
      <c r="N14" s="504">
        <f>(N19*Sheet1!E$4+'34a'!N24*Sheet1!E$5+'34a'!N29*Sheet1!E$6+'34a'!N34*Sheet1!E$7+'34a'!N39*Sheet1!E$8+'34a'!N44*Sheet1!E$9+'34a'!N49*Sheet1!E$10+'34a'!N54*Sheet1!E$11+'34a'!N59*Sheet1!E$12+'34a'!N64*Sheet1!E$13)/Sheet1!E$19</f>
        <v>20953.322961749913</v>
      </c>
      <c r="O14" s="504">
        <f>(O19*Sheet1!F$4+'34a'!O24*Sheet1!F$5+'34a'!O29*Sheet1!F$6+'34a'!O34*Sheet1!F$7+'34a'!O39*Sheet1!F$8+'34a'!O44*Sheet1!F$9+'34a'!O49*Sheet1!F$10+'34a'!O54*Sheet1!F$11+'34a'!O59*Sheet1!F$12+'34a'!O64*Sheet1!F$13)/Sheet1!F$19</f>
        <v>20706.707338599357</v>
      </c>
      <c r="P14" s="504">
        <f>(P19*Sheet1!G$4+'34a'!P24*Sheet1!G$5+'34a'!P29*Sheet1!G$6+'34a'!P34*Sheet1!G$7+'34a'!P39*Sheet1!G$8+'34a'!P44*Sheet1!G$9+'34a'!P49*Sheet1!G$10+'34a'!P54*Sheet1!G$11+'34a'!P59*Sheet1!G$12+'34a'!P64*Sheet1!G$13)/Sheet1!G$19</f>
        <v>20412.638687891944</v>
      </c>
      <c r="Q14" s="504">
        <f>(Q19*Sheet1!H$4+'34a'!Q24*Sheet1!H$5+'34a'!Q29*Sheet1!H$6+'34a'!Q34*Sheet1!H$7+'34a'!Q39*Sheet1!H$8+'34a'!Q44*Sheet1!H$9+'34a'!Q49*Sheet1!H$10+'34a'!Q54*Sheet1!H$11+'34a'!Q59*Sheet1!H$12+'34a'!Q64*Sheet1!H$13)/Sheet1!H$19</f>
        <v>20347.156518077994</v>
      </c>
      <c r="R14" s="504">
        <f>(R19*Sheet1!I$4+'34a'!R24*Sheet1!I$5+'34a'!R29*Sheet1!I$6+'34a'!R34*Sheet1!I$7+'34a'!R39*Sheet1!I$8+'34a'!R44*Sheet1!I$9+'34a'!R49*Sheet1!I$10+'34a'!R54*Sheet1!I$11+'34a'!R59*Sheet1!I$12+'34a'!R64*Sheet1!I$13)/Sheet1!I$19</f>
        <v>20174.043245604455</v>
      </c>
      <c r="S14" s="504">
        <f>(S19*Sheet1!J$4+'34a'!S24*Sheet1!J$5+'34a'!S29*Sheet1!J$6+'34a'!S34*Sheet1!J$7+'34a'!S39*Sheet1!J$8+'34a'!S44*Sheet1!J$9+'34a'!S49*Sheet1!J$10+'34a'!S54*Sheet1!J$11+'34a'!S59*Sheet1!J$12+'34a'!S64*Sheet1!J$13)/Sheet1!J$19</f>
        <v>19862.251109190434</v>
      </c>
      <c r="T14" s="504">
        <f>(T19*Sheet1!K$4+'34a'!T24*Sheet1!K$5+'34a'!T29*Sheet1!K$6+'34a'!T34*Sheet1!K$7+'34a'!T39*Sheet1!K$8+'34a'!T44*Sheet1!K$9+'34a'!T49*Sheet1!K$10+'34a'!T54*Sheet1!K$11+'34a'!T59*Sheet1!K$12+'34a'!T64*Sheet1!K$13)/Sheet1!K$19</f>
        <v>19937.125616921268</v>
      </c>
      <c r="U14" s="504">
        <f>(U19*Sheet1!L$4+'34a'!U24*Sheet1!L$5+'34a'!U29*Sheet1!L$6+'34a'!U34*Sheet1!L$7+'34a'!U39*Sheet1!L$8+'34a'!U44*Sheet1!L$9+'34a'!U49*Sheet1!L$10+'34a'!U54*Sheet1!L$11+'34a'!U59*Sheet1!L$12+'34a'!U64*Sheet1!L$13)/Sheet1!L$19</f>
        <v>20504.387853277211</v>
      </c>
      <c r="V14" s="504">
        <f>(V19*Sheet1!L$4+'34a'!V24*Sheet1!L$5+'34a'!V29*Sheet1!L$6+'34a'!V34*Sheet1!L$7+'34a'!V39*Sheet1!L$8+'34a'!V44*Sheet1!L$9+'34a'!V49*Sheet1!L$10+'34a'!V54*Sheet1!L$11+'34a'!V59*Sheet1!L$12+'34a'!V64*Sheet1!L$13)/Sheet1!L$19</f>
        <v>21113.664461815995</v>
      </c>
      <c r="W14" s="504">
        <f>(W19*Sheet1!M$4+'34a'!W24*Sheet1!M$5+'34a'!W29*Sheet1!M$6+'34a'!W34*Sheet1!M$7+'34a'!W39*Sheet1!M$8+'34a'!W44*Sheet1!M$9+'34a'!W49*Sheet1!M$10+'34a'!W54*Sheet1!M$11+'34a'!W59*Sheet1!M$12+'34a'!W64*Sheet1!M$13)/Sheet1!M$19</f>
        <v>21175.481412158697</v>
      </c>
      <c r="Y14" s="662">
        <f>((((E14/D14))^(1/3))-1)*100</f>
        <v>-0.2145762985316102</v>
      </c>
      <c r="Z14" s="662">
        <f>((((P14/E14))^(1/11))-1)*100</f>
        <v>-0.74118254507794523</v>
      </c>
      <c r="AA14" s="733">
        <f>((((W14/D14))^(1/21))-1)*100</f>
        <v>-0.24535663710801847</v>
      </c>
      <c r="AB14" s="733">
        <f>((((W14/P14))^(1/7))-1)*100</f>
        <v>0.52551490627010811</v>
      </c>
      <c r="AC14" s="257"/>
      <c r="AD14" s="733">
        <f>((W14/D14)-1)*100</f>
        <v>-5.0280125910683093</v>
      </c>
    </row>
    <row r="15" spans="1:30">
      <c r="A15" s="832" t="s">
        <v>1223</v>
      </c>
      <c r="B15" s="832"/>
      <c r="C15" s="832"/>
      <c r="D15" s="503"/>
      <c r="E15" s="754"/>
      <c r="F15" s="504"/>
      <c r="G15" s="504"/>
      <c r="H15" s="504"/>
      <c r="I15" s="504"/>
      <c r="J15" s="504"/>
      <c r="K15" s="504"/>
      <c r="L15" s="504"/>
      <c r="M15" s="504"/>
      <c r="N15" s="504"/>
      <c r="O15" s="504"/>
      <c r="P15" s="504"/>
      <c r="Q15" s="504"/>
      <c r="R15" s="504"/>
      <c r="S15" s="504"/>
      <c r="T15" s="504"/>
      <c r="U15" s="504"/>
      <c r="V15" s="504"/>
      <c r="W15" s="504"/>
      <c r="Y15" s="662"/>
      <c r="Z15" s="662"/>
      <c r="AA15" s="662"/>
      <c r="AB15" s="662"/>
      <c r="AC15" s="262"/>
      <c r="AD15" s="662"/>
    </row>
    <row r="16" spans="1:30">
      <c r="A16" s="256" t="s">
        <v>545</v>
      </c>
      <c r="D16" s="503">
        <v>5758</v>
      </c>
      <c r="E16" s="754">
        <v>5660</v>
      </c>
      <c r="F16" s="504">
        <v>5734</v>
      </c>
      <c r="G16" s="504">
        <v>5819</v>
      </c>
      <c r="H16" s="504">
        <v>5962</v>
      </c>
      <c r="I16" s="504">
        <v>5895</v>
      </c>
      <c r="J16" s="504">
        <v>5887</v>
      </c>
      <c r="K16" s="504">
        <v>5763</v>
      </c>
      <c r="L16" s="504">
        <v>3385</v>
      </c>
      <c r="M16" s="504">
        <v>1612</v>
      </c>
      <c r="N16" s="504">
        <v>1617</v>
      </c>
      <c r="O16" s="504">
        <v>1610</v>
      </c>
      <c r="P16" s="504">
        <v>2149</v>
      </c>
      <c r="Q16" s="504">
        <v>3735</v>
      </c>
      <c r="R16" s="504">
        <v>9057</v>
      </c>
      <c r="S16" s="504">
        <v>8827</v>
      </c>
      <c r="T16" s="504">
        <v>8676</v>
      </c>
      <c r="U16" s="504">
        <v>8546</v>
      </c>
      <c r="V16" s="504">
        <v>9105</v>
      </c>
      <c r="W16" s="504">
        <v>9348</v>
      </c>
      <c r="Y16" s="662">
        <f>((((E16/D16))^(1/3))-1)*100</f>
        <v>-0.57057599587635455</v>
      </c>
      <c r="Z16" s="662">
        <f>((((P16/E16))^(1/11))-1)*100</f>
        <v>-8.4274194128337481</v>
      </c>
      <c r="AA16" s="733">
        <f>((((W16/D16))^(1/21))-1)*100</f>
        <v>2.3343152163178837</v>
      </c>
      <c r="AB16" s="733">
        <f>((((W16/P16))^(1/7))-1)*100</f>
        <v>23.370622321253709</v>
      </c>
      <c r="AC16" s="257"/>
      <c r="AD16" s="733">
        <f>((W16/D16)-1)*100</f>
        <v>62.348037513025353</v>
      </c>
    </row>
    <row r="17" spans="1:30">
      <c r="A17" s="256" t="s">
        <v>1219</v>
      </c>
      <c r="D17" s="503" t="s">
        <v>374</v>
      </c>
      <c r="E17" s="754">
        <v>11296</v>
      </c>
      <c r="F17" s="504">
        <v>11297</v>
      </c>
      <c r="G17" s="504">
        <v>11152</v>
      </c>
      <c r="H17" s="504">
        <v>11277</v>
      </c>
      <c r="I17" s="504">
        <v>11134</v>
      </c>
      <c r="J17" s="504">
        <v>11118</v>
      </c>
      <c r="K17" s="504">
        <v>10883</v>
      </c>
      <c r="L17" s="504">
        <v>11091</v>
      </c>
      <c r="M17" s="504">
        <v>11524</v>
      </c>
      <c r="N17" s="504">
        <v>11470</v>
      </c>
      <c r="O17" s="504">
        <v>11365</v>
      </c>
      <c r="P17" s="504">
        <v>11190</v>
      </c>
      <c r="Q17" s="504">
        <v>10997</v>
      </c>
      <c r="R17" s="504">
        <v>10785</v>
      </c>
      <c r="S17" s="504">
        <v>10497</v>
      </c>
      <c r="T17" s="504">
        <v>10306</v>
      </c>
      <c r="U17" s="504">
        <v>10141</v>
      </c>
      <c r="V17" s="504">
        <v>10669</v>
      </c>
      <c r="W17" s="504">
        <v>10878</v>
      </c>
      <c r="Y17" s="662" t="s">
        <v>374</v>
      </c>
      <c r="Z17" s="662">
        <f>((((P17/E17))^(1/11))-1)*100</f>
        <v>-8.5673810171271736E-2</v>
      </c>
      <c r="AA17" s="733">
        <f>((((W17/E17))^(1/18))-1)*100</f>
        <v>-0.20926007711710159</v>
      </c>
      <c r="AB17" s="733">
        <f>((((W17/P17))^(1/7))-1)*100</f>
        <v>-0.40315828784091012</v>
      </c>
      <c r="AC17" s="257"/>
      <c r="AD17" s="733">
        <f>((W17/E17)-1)*100</f>
        <v>-3.7004249291784697</v>
      </c>
    </row>
    <row r="18" spans="1:30">
      <c r="A18" s="256" t="s">
        <v>1222</v>
      </c>
      <c r="D18" s="503">
        <v>16242</v>
      </c>
      <c r="E18" s="754">
        <v>15921</v>
      </c>
      <c r="F18" s="504">
        <v>16164</v>
      </c>
      <c r="G18" s="504">
        <v>16634</v>
      </c>
      <c r="H18" s="504">
        <v>17112</v>
      </c>
      <c r="I18" s="504">
        <v>16928</v>
      </c>
      <c r="J18" s="504">
        <v>16903</v>
      </c>
      <c r="K18" s="504">
        <v>16542</v>
      </c>
      <c r="L18" s="504">
        <v>16658</v>
      </c>
      <c r="M18" s="504">
        <v>17046</v>
      </c>
      <c r="N18" s="504">
        <v>17357</v>
      </c>
      <c r="O18" s="504">
        <v>17610</v>
      </c>
      <c r="P18" s="504">
        <v>17541</v>
      </c>
      <c r="Q18" s="504">
        <v>17559</v>
      </c>
      <c r="R18" s="504">
        <v>17435</v>
      </c>
      <c r="S18" s="504">
        <v>17131</v>
      </c>
      <c r="T18" s="504">
        <v>16998</v>
      </c>
      <c r="U18" s="504">
        <v>16867</v>
      </c>
      <c r="V18" s="504">
        <v>18249</v>
      </c>
      <c r="W18" s="504">
        <v>18788</v>
      </c>
      <c r="Y18" s="662">
        <f>((((E18/D18))^(1/3))-1)*100</f>
        <v>-0.66317414109239303</v>
      </c>
      <c r="Z18" s="662">
        <f>((((P18/E18))^(1/11))-1)*100</f>
        <v>0.88481890501832527</v>
      </c>
      <c r="AA18" s="733">
        <f>((((W18/D18))^(1/21))-1)*100</f>
        <v>0.69582822850386972</v>
      </c>
      <c r="AB18" s="733">
        <f>((((W18/P18))^(1/7))-1)*100</f>
        <v>0.98593390634593714</v>
      </c>
      <c r="AC18" s="257"/>
      <c r="AD18" s="733">
        <f>((W18/D18)-1)*100</f>
        <v>15.675409432335918</v>
      </c>
    </row>
    <row r="19" spans="1:30">
      <c r="A19" s="256" t="s">
        <v>1221</v>
      </c>
      <c r="D19" s="503">
        <v>20311</v>
      </c>
      <c r="E19" s="754">
        <v>19520</v>
      </c>
      <c r="F19" s="504">
        <v>19723</v>
      </c>
      <c r="G19" s="504">
        <v>19617</v>
      </c>
      <c r="H19" s="504">
        <v>19551</v>
      </c>
      <c r="I19" s="504">
        <v>19325</v>
      </c>
      <c r="J19" s="504">
        <v>19299</v>
      </c>
      <c r="K19" s="504">
        <v>18891</v>
      </c>
      <c r="L19" s="504">
        <v>18970</v>
      </c>
      <c r="M19" s="504">
        <v>19472</v>
      </c>
      <c r="N19" s="504">
        <v>19992</v>
      </c>
      <c r="O19" s="504">
        <v>20474</v>
      </c>
      <c r="P19" s="504">
        <v>20483</v>
      </c>
      <c r="Q19" s="504">
        <v>20756</v>
      </c>
      <c r="R19" s="504">
        <v>20761</v>
      </c>
      <c r="S19" s="504">
        <v>20500</v>
      </c>
      <c r="T19" s="504">
        <v>20448</v>
      </c>
      <c r="U19" s="504">
        <v>20408</v>
      </c>
      <c r="V19" s="504">
        <v>21494</v>
      </c>
      <c r="W19" s="504">
        <v>21662</v>
      </c>
      <c r="Y19" s="662">
        <f>((((E19/D19))^(1/3))-1)*100</f>
        <v>-1.31537335354176</v>
      </c>
      <c r="Z19" s="662">
        <f>((((P19/E19))^(1/11))-1)*100</f>
        <v>0.4387386780111191</v>
      </c>
      <c r="AA19" s="733">
        <f>((((W19/D19))^(1/21))-1)*100</f>
        <v>0.30712285980643017</v>
      </c>
      <c r="AB19" s="733">
        <f>((((W19/P19))^(1/7))-1)*100</f>
        <v>0.8026944495429067</v>
      </c>
      <c r="AC19" s="257"/>
      <c r="AD19" s="733">
        <f>((W19/D19)-1)*100</f>
        <v>6.6515681157993223</v>
      </c>
    </row>
    <row r="20" spans="1:30">
      <c r="A20" s="256" t="s">
        <v>1224</v>
      </c>
      <c r="D20" s="503"/>
      <c r="E20" s="754"/>
      <c r="F20" s="504"/>
      <c r="G20" s="504"/>
      <c r="H20" s="504"/>
      <c r="I20" s="504"/>
      <c r="J20" s="504"/>
      <c r="K20" s="504"/>
      <c r="L20" s="504"/>
      <c r="M20" s="504"/>
      <c r="N20" s="504"/>
      <c r="O20" s="504"/>
      <c r="P20" s="504"/>
      <c r="Q20" s="504"/>
      <c r="R20" s="504"/>
      <c r="S20" s="504"/>
      <c r="T20" s="504"/>
      <c r="U20" s="504"/>
      <c r="V20" s="504"/>
      <c r="W20" s="504"/>
      <c r="Y20" s="662"/>
      <c r="Z20" s="662"/>
      <c r="AA20" s="662"/>
      <c r="AB20" s="662"/>
      <c r="AC20" s="262"/>
      <c r="AD20" s="662"/>
    </row>
    <row r="21" spans="1:30">
      <c r="A21" s="256" t="s">
        <v>545</v>
      </c>
      <c r="D21" s="503">
        <v>10694</v>
      </c>
      <c r="E21" s="754">
        <v>10455</v>
      </c>
      <c r="F21" s="504">
        <v>10521</v>
      </c>
      <c r="G21" s="504">
        <v>10700</v>
      </c>
      <c r="H21" s="504">
        <v>10733</v>
      </c>
      <c r="I21" s="504">
        <v>10663</v>
      </c>
      <c r="J21" s="504">
        <v>9612</v>
      </c>
      <c r="K21" s="504">
        <v>7458</v>
      </c>
      <c r="L21" s="504">
        <v>6830</v>
      </c>
      <c r="M21" s="504">
        <v>6801</v>
      </c>
      <c r="N21" s="504">
        <v>6739</v>
      </c>
      <c r="O21" s="504">
        <v>6623</v>
      </c>
      <c r="P21" s="504">
        <v>6781</v>
      </c>
      <c r="Q21" s="504">
        <v>6665</v>
      </c>
      <c r="R21" s="504">
        <v>6654</v>
      </c>
      <c r="S21" s="504">
        <v>6678</v>
      </c>
      <c r="T21" s="504">
        <v>6612</v>
      </c>
      <c r="U21" s="504">
        <v>6478</v>
      </c>
      <c r="V21" s="504">
        <v>6510</v>
      </c>
      <c r="W21" s="504">
        <v>6577</v>
      </c>
      <c r="Y21" s="662">
        <f>((((E21/D21))^(1/3))-1)*100</f>
        <v>-0.75058571829474952</v>
      </c>
      <c r="Z21" s="662">
        <f>((((P21/E21))^(1/11))-1)*100</f>
        <v>-3.8595087271366402</v>
      </c>
      <c r="AA21" s="733">
        <f>((((W21/D21))^(1/21))-1)*100</f>
        <v>-2.2881959940402652</v>
      </c>
      <c r="AB21" s="733">
        <f>((((W21/P21))^(1/7))-1)*100</f>
        <v>-0.43541885400154579</v>
      </c>
      <c r="AC21" s="257"/>
      <c r="AD21" s="733">
        <f>((W21/D21)-1)*100</f>
        <v>-38.498223302786606</v>
      </c>
    </row>
    <row r="22" spans="1:30">
      <c r="A22" s="256" t="s">
        <v>1219</v>
      </c>
      <c r="C22" s="757"/>
      <c r="D22" s="503" t="s">
        <v>374</v>
      </c>
      <c r="E22" s="754">
        <v>12150</v>
      </c>
      <c r="F22" s="504">
        <v>12150</v>
      </c>
      <c r="G22" s="504">
        <v>12177</v>
      </c>
      <c r="H22" s="504">
        <v>12211</v>
      </c>
      <c r="I22" s="504">
        <v>12115</v>
      </c>
      <c r="J22" s="504">
        <v>11972</v>
      </c>
      <c r="K22" s="504">
        <v>11523</v>
      </c>
      <c r="L22" s="504">
        <v>10636</v>
      </c>
      <c r="M22" s="504">
        <v>10429</v>
      </c>
      <c r="N22" s="504">
        <v>10326</v>
      </c>
      <c r="O22" s="504">
        <v>10138</v>
      </c>
      <c r="P22" s="504">
        <v>10202</v>
      </c>
      <c r="Q22" s="504">
        <v>10001</v>
      </c>
      <c r="R22" s="504">
        <v>9987</v>
      </c>
      <c r="S22" s="504">
        <v>8732</v>
      </c>
      <c r="T22" s="504">
        <v>8627</v>
      </c>
      <c r="U22" s="504">
        <v>8427</v>
      </c>
      <c r="V22" s="504">
        <v>8493</v>
      </c>
      <c r="W22" s="504">
        <v>8623</v>
      </c>
      <c r="Y22" s="662" t="s">
        <v>374</v>
      </c>
      <c r="Z22" s="662">
        <f>((((P22/E22))^(1/11))-1)*100</f>
        <v>-1.5760428480144029</v>
      </c>
      <c r="AA22" s="733">
        <f>((((W22/E22))^(1/18))-1)*100</f>
        <v>-1.8869483891718053</v>
      </c>
      <c r="AB22" s="733">
        <f>((((W22/P22))^(1/7))-1)*100</f>
        <v>-2.3735311892071342</v>
      </c>
      <c r="AC22" s="257"/>
      <c r="AD22" s="733">
        <f>((W22/E22)-1)*100</f>
        <v>-29.028806584362144</v>
      </c>
    </row>
    <row r="23" spans="1:30">
      <c r="A23" s="256" t="s">
        <v>1222</v>
      </c>
      <c r="D23" s="503">
        <v>16548</v>
      </c>
      <c r="E23" s="754">
        <v>16046</v>
      </c>
      <c r="F23" s="504">
        <v>16258</v>
      </c>
      <c r="G23" s="504">
        <v>16629</v>
      </c>
      <c r="H23" s="504">
        <v>16745</v>
      </c>
      <c r="I23" s="504">
        <v>16650</v>
      </c>
      <c r="J23" s="504">
        <v>16374</v>
      </c>
      <c r="K23" s="504">
        <v>15645</v>
      </c>
      <c r="L23" s="504">
        <v>14984</v>
      </c>
      <c r="M23" s="504">
        <v>14407</v>
      </c>
      <c r="N23" s="504">
        <v>14267</v>
      </c>
      <c r="O23" s="504">
        <v>14015</v>
      </c>
      <c r="P23" s="504">
        <v>14315</v>
      </c>
      <c r="Q23" s="504">
        <v>14285</v>
      </c>
      <c r="R23" s="504">
        <v>14471</v>
      </c>
      <c r="S23" s="504">
        <v>14464</v>
      </c>
      <c r="T23" s="504">
        <v>14424</v>
      </c>
      <c r="U23" s="504">
        <v>14288</v>
      </c>
      <c r="V23" s="504">
        <v>15300</v>
      </c>
      <c r="W23" s="504">
        <v>15781</v>
      </c>
      <c r="Y23" s="662">
        <f>((((E23/D23))^(1/3))-1)*100</f>
        <v>-1.0216008854378122</v>
      </c>
      <c r="Z23" s="662">
        <f>((((P23/E23))^(1/11))-1)*100</f>
        <v>-1.032376384289091</v>
      </c>
      <c r="AA23" s="733">
        <f>((((W23/D23))^(1/21))-1)*100</f>
        <v>-0.22573798882615792</v>
      </c>
      <c r="AB23" s="733">
        <f>((((W23/P23))^(1/7))-1)*100</f>
        <v>1.4025844296981393</v>
      </c>
      <c r="AC23" s="257"/>
      <c r="AD23" s="733">
        <f>((W23/D23)-1)*100</f>
        <v>-4.6350012086052716</v>
      </c>
    </row>
    <row r="24" spans="1:30">
      <c r="A24" s="256" t="s">
        <v>1221</v>
      </c>
      <c r="D24" s="503">
        <v>25215</v>
      </c>
      <c r="E24" s="754">
        <v>24411</v>
      </c>
      <c r="F24" s="504">
        <v>24650</v>
      </c>
      <c r="G24" s="504">
        <v>25190</v>
      </c>
      <c r="H24" s="504">
        <v>25103</v>
      </c>
      <c r="I24" s="504">
        <v>24911</v>
      </c>
      <c r="J24" s="504">
        <v>24499</v>
      </c>
      <c r="K24" s="504">
        <v>23574</v>
      </c>
      <c r="L24" s="504">
        <v>21955</v>
      </c>
      <c r="M24" s="504">
        <v>21951</v>
      </c>
      <c r="N24" s="504">
        <v>21749</v>
      </c>
      <c r="O24" s="504">
        <v>21375</v>
      </c>
      <c r="P24" s="504">
        <v>22125</v>
      </c>
      <c r="Q24" s="504">
        <v>22116</v>
      </c>
      <c r="R24" s="504">
        <v>22388</v>
      </c>
      <c r="S24" s="504">
        <v>22301</v>
      </c>
      <c r="T24" s="504">
        <v>22270</v>
      </c>
      <c r="U24" s="504">
        <v>22113</v>
      </c>
      <c r="V24" s="504">
        <v>22790</v>
      </c>
      <c r="W24" s="504">
        <v>22906</v>
      </c>
      <c r="Y24" s="662">
        <f>((((E24/D24))^(1/3))-1)*100</f>
        <v>-1.0743605795847988</v>
      </c>
      <c r="Z24" s="662">
        <f>((((P24/E24))^(1/11))-1)*100</f>
        <v>-0.88988649397702124</v>
      </c>
      <c r="AA24" s="733">
        <f>((((W24/D24))^(1/21))-1)*100</f>
        <v>-0.45628996529208932</v>
      </c>
      <c r="AB24" s="733">
        <f>((((W24/P24))^(1/7))-1)*100</f>
        <v>0.49681137946722131</v>
      </c>
      <c r="AC24" s="257"/>
      <c r="AD24" s="733">
        <f>((W24/D24)-1)*100</f>
        <v>-9.1572476700376715</v>
      </c>
    </row>
    <row r="25" spans="1:30">
      <c r="A25" s="256" t="s">
        <v>1225</v>
      </c>
      <c r="D25" s="503"/>
      <c r="E25" s="754"/>
      <c r="F25" s="504"/>
      <c r="G25" s="504"/>
      <c r="H25" s="504"/>
      <c r="I25" s="504"/>
      <c r="J25" s="504"/>
      <c r="K25" s="504"/>
      <c r="L25" s="504"/>
      <c r="M25" s="504"/>
      <c r="N25" s="504"/>
      <c r="O25" s="504"/>
      <c r="P25" s="504"/>
      <c r="Q25" s="504"/>
      <c r="R25" s="504"/>
      <c r="S25" s="504"/>
      <c r="T25" s="504"/>
      <c r="U25" s="504"/>
      <c r="V25" s="504"/>
      <c r="W25" s="504"/>
      <c r="Y25" s="662"/>
      <c r="Z25" s="662"/>
      <c r="AA25" s="662"/>
      <c r="AB25" s="662"/>
      <c r="AC25" s="262"/>
      <c r="AD25" s="662"/>
    </row>
    <row r="26" spans="1:30">
      <c r="A26" s="256" t="s">
        <v>545</v>
      </c>
      <c r="D26" s="503">
        <v>7860</v>
      </c>
      <c r="E26" s="754">
        <v>8872</v>
      </c>
      <c r="F26" s="504">
        <v>8576</v>
      </c>
      <c r="G26" s="504">
        <v>8335</v>
      </c>
      <c r="H26" s="504">
        <v>8089</v>
      </c>
      <c r="I26" s="504">
        <v>7952</v>
      </c>
      <c r="J26" s="504">
        <v>7940</v>
      </c>
      <c r="K26" s="504">
        <v>7772</v>
      </c>
      <c r="L26" s="504">
        <v>7670</v>
      </c>
      <c r="M26" s="504">
        <v>5706</v>
      </c>
      <c r="N26" s="504">
        <v>5654</v>
      </c>
      <c r="O26" s="504">
        <v>5492</v>
      </c>
      <c r="P26" s="504">
        <v>5350</v>
      </c>
      <c r="Q26" s="504">
        <v>5492</v>
      </c>
      <c r="R26" s="504">
        <v>5788</v>
      </c>
      <c r="S26" s="504">
        <v>5636</v>
      </c>
      <c r="T26" s="504">
        <v>5551</v>
      </c>
      <c r="U26" s="504">
        <v>5652</v>
      </c>
      <c r="V26" s="504">
        <v>6139</v>
      </c>
      <c r="W26" s="504">
        <v>6247</v>
      </c>
      <c r="Y26" s="662">
        <f>((((E26/D26))^(1/3))-1)*100</f>
        <v>4.1197210001487017</v>
      </c>
      <c r="Z26" s="662">
        <f>((((P26/E26))^(1/11))-1)*100</f>
        <v>-4.4940993556397135</v>
      </c>
      <c r="AA26" s="733">
        <f>((((W26/D26))^(1/21))-1)*100</f>
        <v>-1.0877797421532498</v>
      </c>
      <c r="AB26" s="733">
        <f>((((W26/P26))^(1/7))-1)*100</f>
        <v>2.2390528985321012</v>
      </c>
      <c r="AC26" s="257"/>
      <c r="AD26" s="733">
        <f>((W26/D26)-1)*100</f>
        <v>-20.52162849872774</v>
      </c>
    </row>
    <row r="27" spans="1:30">
      <c r="A27" s="256" t="s">
        <v>1219</v>
      </c>
      <c r="C27" s="757"/>
      <c r="D27" s="503" t="s">
        <v>374</v>
      </c>
      <c r="E27" s="754">
        <v>11645</v>
      </c>
      <c r="F27" s="504">
        <v>11691</v>
      </c>
      <c r="G27" s="504">
        <v>11718</v>
      </c>
      <c r="H27" s="504">
        <v>11455</v>
      </c>
      <c r="I27" s="504">
        <v>11259</v>
      </c>
      <c r="J27" s="504">
        <v>11425</v>
      </c>
      <c r="K27" s="504">
        <v>11217</v>
      </c>
      <c r="L27" s="504">
        <v>11038</v>
      </c>
      <c r="M27" s="504">
        <v>10864</v>
      </c>
      <c r="N27" s="504">
        <v>10764</v>
      </c>
      <c r="O27" s="504">
        <v>10579</v>
      </c>
      <c r="P27" s="504">
        <v>10302</v>
      </c>
      <c r="Q27" s="504">
        <v>9476</v>
      </c>
      <c r="R27" s="504">
        <v>9836</v>
      </c>
      <c r="S27" s="504">
        <v>9572</v>
      </c>
      <c r="T27" s="504">
        <v>9416</v>
      </c>
      <c r="U27" s="504">
        <v>9274</v>
      </c>
      <c r="V27" s="504">
        <v>9183</v>
      </c>
      <c r="W27" s="504">
        <v>9088</v>
      </c>
      <c r="Y27" s="662" t="s">
        <v>374</v>
      </c>
      <c r="Z27" s="662">
        <f>((((P27/E27))^(1/11))-1)*100</f>
        <v>-1.1078076781181889</v>
      </c>
      <c r="AA27" s="733">
        <f>((((W27/E27))^(1/18))-1)*100</f>
        <v>-1.3679026817543072</v>
      </c>
      <c r="AB27" s="733">
        <f>((((W27/P27))^(1/7))-1)*100</f>
        <v>-1.7752419890517568</v>
      </c>
      <c r="AC27" s="257"/>
      <c r="AD27" s="733">
        <f>((W27/E27)-1)*100</f>
        <v>-21.957921854873341</v>
      </c>
    </row>
    <row r="28" spans="1:30">
      <c r="A28" s="256" t="s">
        <v>1222</v>
      </c>
      <c r="D28" s="503">
        <v>15418</v>
      </c>
      <c r="E28" s="754">
        <v>15805</v>
      </c>
      <c r="F28" s="504">
        <v>15970</v>
      </c>
      <c r="G28" s="504">
        <v>16114</v>
      </c>
      <c r="H28" s="504">
        <v>16004</v>
      </c>
      <c r="I28" s="504">
        <v>15746</v>
      </c>
      <c r="J28" s="504">
        <v>15932</v>
      </c>
      <c r="K28" s="504">
        <v>15627</v>
      </c>
      <c r="L28" s="504">
        <v>15379</v>
      </c>
      <c r="M28" s="504">
        <v>15136</v>
      </c>
      <c r="N28" s="504">
        <v>15149</v>
      </c>
      <c r="O28" s="504">
        <v>15081</v>
      </c>
      <c r="P28" s="504">
        <v>14846</v>
      </c>
      <c r="Q28" s="504">
        <v>13966</v>
      </c>
      <c r="R28" s="504">
        <v>13792</v>
      </c>
      <c r="S28" s="504">
        <v>13579</v>
      </c>
      <c r="T28" s="504">
        <v>13509</v>
      </c>
      <c r="U28" s="504">
        <v>13465</v>
      </c>
      <c r="V28" s="504">
        <v>14355</v>
      </c>
      <c r="W28" s="504">
        <v>14725</v>
      </c>
      <c r="Y28" s="662">
        <f>((((E28/D28))^(1/3))-1)*100</f>
        <v>0.8297800019320567</v>
      </c>
      <c r="Z28" s="662">
        <f>((((P28/E28))^(1/11))-1)*100</f>
        <v>-0.56743738484044126</v>
      </c>
      <c r="AA28" s="733">
        <f>((((W28/D28))^(1/21))-1)*100</f>
        <v>-0.21875527874000156</v>
      </c>
      <c r="AB28" s="733">
        <f>((((W28/P28))^(1/7))-1)*100</f>
        <v>-0.11684224562589218</v>
      </c>
      <c r="AC28" s="257"/>
      <c r="AD28" s="733">
        <f>((W28/D28)-1)*100</f>
        <v>-4.4947464003113229</v>
      </c>
    </row>
    <row r="29" spans="1:30">
      <c r="A29" s="256" t="s">
        <v>1221</v>
      </c>
      <c r="D29" s="503">
        <v>19997</v>
      </c>
      <c r="E29" s="754">
        <v>21002</v>
      </c>
      <c r="F29" s="504">
        <v>20448</v>
      </c>
      <c r="G29" s="504">
        <v>20296</v>
      </c>
      <c r="H29" s="504">
        <v>19966</v>
      </c>
      <c r="I29" s="504">
        <v>19698</v>
      </c>
      <c r="J29" s="504">
        <v>19671</v>
      </c>
      <c r="K29" s="504">
        <v>19256</v>
      </c>
      <c r="L29" s="504">
        <v>20362</v>
      </c>
      <c r="M29" s="504">
        <v>20522</v>
      </c>
      <c r="N29" s="504">
        <v>20588</v>
      </c>
      <c r="O29" s="504">
        <v>19975</v>
      </c>
      <c r="P29" s="504">
        <v>20238</v>
      </c>
      <c r="Q29" s="504">
        <v>21094</v>
      </c>
      <c r="R29" s="504">
        <v>20088</v>
      </c>
      <c r="S29" s="504">
        <v>19838</v>
      </c>
      <c r="T29" s="504">
        <v>19803</v>
      </c>
      <c r="U29" s="504">
        <v>19839</v>
      </c>
      <c r="V29" s="504">
        <v>20445</v>
      </c>
      <c r="W29" s="504">
        <v>20464</v>
      </c>
      <c r="Y29" s="662">
        <f>((((E29/D29))^(1/3))-1)*100</f>
        <v>1.6479448855435841</v>
      </c>
      <c r="Z29" s="662">
        <f>((((P29/E29))^(1/11))-1)*100</f>
        <v>-0.3363027401470986</v>
      </c>
      <c r="AA29" s="733">
        <f>((((W29/D29))^(1/21))-1)*100</f>
        <v>0.10998893176417113</v>
      </c>
      <c r="AB29" s="733">
        <f>((((W29/P29))^(1/7))-1)*100</f>
        <v>0.15877190260074059</v>
      </c>
      <c r="AC29" s="257"/>
      <c r="AD29" s="733">
        <f>((W29/D29)-1)*100</f>
        <v>2.3353503025453914</v>
      </c>
    </row>
    <row r="30" spans="1:30">
      <c r="A30" s="256" t="s">
        <v>1226</v>
      </c>
      <c r="D30" s="503"/>
      <c r="E30" s="754"/>
      <c r="F30" s="504"/>
      <c r="G30" s="504"/>
      <c r="H30" s="504"/>
      <c r="I30" s="504"/>
      <c r="J30" s="504"/>
      <c r="K30" s="504"/>
      <c r="L30" s="504"/>
      <c r="M30" s="504"/>
      <c r="N30" s="504"/>
      <c r="O30" s="504"/>
      <c r="P30" s="504"/>
      <c r="Q30" s="504"/>
      <c r="R30" s="504"/>
      <c r="S30" s="504"/>
      <c r="T30" s="504"/>
      <c r="U30" s="504"/>
      <c r="V30" s="504"/>
      <c r="W30" s="504"/>
      <c r="Y30" s="662"/>
      <c r="Z30" s="662"/>
      <c r="AA30" s="662"/>
      <c r="AB30" s="662"/>
      <c r="AC30" s="262"/>
      <c r="AD30" s="662"/>
    </row>
    <row r="31" spans="1:30">
      <c r="A31" s="256" t="s">
        <v>545</v>
      </c>
      <c r="D31" s="503">
        <v>3874</v>
      </c>
      <c r="E31" s="754">
        <v>4297</v>
      </c>
      <c r="F31" s="504">
        <v>4340</v>
      </c>
      <c r="G31" s="504">
        <v>4423</v>
      </c>
      <c r="H31" s="504">
        <v>4299</v>
      </c>
      <c r="I31" s="504">
        <v>4244</v>
      </c>
      <c r="J31" s="504">
        <v>4271</v>
      </c>
      <c r="K31" s="504">
        <v>4196</v>
      </c>
      <c r="L31" s="504">
        <v>4174</v>
      </c>
      <c r="M31" s="504">
        <v>4152</v>
      </c>
      <c r="N31" s="504">
        <v>4114</v>
      </c>
      <c r="O31" s="504">
        <v>4043</v>
      </c>
      <c r="P31" s="504">
        <v>3940</v>
      </c>
      <c r="Q31" s="504">
        <v>3846</v>
      </c>
      <c r="R31" s="504">
        <v>3767</v>
      </c>
      <c r="S31" s="504">
        <v>3670</v>
      </c>
      <c r="T31" s="504">
        <v>3608</v>
      </c>
      <c r="U31" s="504">
        <v>3572</v>
      </c>
      <c r="V31" s="504">
        <v>3565</v>
      </c>
      <c r="W31" s="504">
        <v>3574</v>
      </c>
      <c r="Y31" s="662">
        <f>((((E31/D31))^(1/3))-1)*100</f>
        <v>3.5146724980462896</v>
      </c>
      <c r="Z31" s="662">
        <f>((((P31/E31))^(1/11))-1)*100</f>
        <v>-0.78541195356496285</v>
      </c>
      <c r="AA31" s="733">
        <f>((((W31/D31))^(1/21))-1)*100</f>
        <v>-0.38308410703026263</v>
      </c>
      <c r="AB31" s="733">
        <f>((((W31/P31))^(1/7))-1)*100</f>
        <v>-1.3831356467022382</v>
      </c>
      <c r="AC31" s="257"/>
      <c r="AD31" s="733">
        <f>((W31/D31)-1)*100</f>
        <v>-7.7439339184305673</v>
      </c>
    </row>
    <row r="32" spans="1:30">
      <c r="A32" s="256" t="s">
        <v>1219</v>
      </c>
      <c r="C32" s="757"/>
      <c r="D32" s="503" t="s">
        <v>374</v>
      </c>
      <c r="E32" s="754">
        <v>11090</v>
      </c>
      <c r="F32" s="504">
        <v>11034</v>
      </c>
      <c r="G32" s="504">
        <v>10907</v>
      </c>
      <c r="H32" s="504">
        <v>10803</v>
      </c>
      <c r="I32" s="504">
        <v>10739</v>
      </c>
      <c r="J32" s="504">
        <v>8489</v>
      </c>
      <c r="K32" s="504">
        <v>8455</v>
      </c>
      <c r="L32" s="504">
        <v>8393</v>
      </c>
      <c r="M32" s="504">
        <v>8463</v>
      </c>
      <c r="N32" s="504">
        <v>8428</v>
      </c>
      <c r="O32" s="504">
        <v>8286</v>
      </c>
      <c r="P32" s="504">
        <v>8362</v>
      </c>
      <c r="Q32" s="504">
        <v>8443</v>
      </c>
      <c r="R32" s="504">
        <v>8543</v>
      </c>
      <c r="S32" s="504">
        <v>8591</v>
      </c>
      <c r="T32" s="504">
        <v>8440</v>
      </c>
      <c r="U32" s="504">
        <v>8334</v>
      </c>
      <c r="V32" s="504">
        <v>8292</v>
      </c>
      <c r="W32" s="504">
        <v>8275</v>
      </c>
      <c r="Y32" s="662" t="s">
        <v>374</v>
      </c>
      <c r="Z32" s="662">
        <f>((((P32/E32))^(1/11))-1)*100</f>
        <v>-2.5341215150939678</v>
      </c>
      <c r="AA32" s="733">
        <f>((((W32/E32))^(1/18))-1)*100</f>
        <v>-1.6135345650741373</v>
      </c>
      <c r="AB32" s="733">
        <f>((((W32/P32))^(1/7))-1)*100</f>
        <v>-0.14929860531076589</v>
      </c>
      <c r="AC32" s="257"/>
      <c r="AD32" s="733">
        <f>((W32/E32)-1)*100</f>
        <v>-25.38322813345356</v>
      </c>
    </row>
    <row r="33" spans="1:30">
      <c r="A33" s="256" t="s">
        <v>1222</v>
      </c>
      <c r="D33" s="503">
        <v>13442</v>
      </c>
      <c r="E33" s="754">
        <v>13145</v>
      </c>
      <c r="F33" s="504">
        <v>13221</v>
      </c>
      <c r="G33" s="504">
        <v>13258</v>
      </c>
      <c r="H33" s="504">
        <v>13212</v>
      </c>
      <c r="I33" s="504">
        <v>13231</v>
      </c>
      <c r="J33" s="504">
        <v>13684</v>
      </c>
      <c r="K33" s="504">
        <v>14201</v>
      </c>
      <c r="L33" s="504">
        <v>14107</v>
      </c>
      <c r="M33" s="504">
        <v>14223</v>
      </c>
      <c r="N33" s="504">
        <v>14568</v>
      </c>
      <c r="O33" s="504">
        <v>14793</v>
      </c>
      <c r="P33" s="504">
        <v>14700</v>
      </c>
      <c r="Q33" s="504">
        <v>14693</v>
      </c>
      <c r="R33" s="504">
        <v>14591</v>
      </c>
      <c r="S33" s="504">
        <v>14357</v>
      </c>
      <c r="T33" s="504">
        <v>14259</v>
      </c>
      <c r="U33" s="504">
        <v>14235</v>
      </c>
      <c r="V33" s="504">
        <v>15116</v>
      </c>
      <c r="W33" s="504">
        <v>15451</v>
      </c>
      <c r="Y33" s="662">
        <f>((((E33/D33))^(1/3))-1)*100</f>
        <v>-0.74198941117112893</v>
      </c>
      <c r="Z33" s="662">
        <f>((((P33/E33))^(1/11))-1)*100</f>
        <v>1.0216015840776693</v>
      </c>
      <c r="AA33" s="733">
        <f>((((W33/D33))^(1/21))-1)*100</f>
        <v>0.66548837276259043</v>
      </c>
      <c r="AB33" s="733">
        <f>((((W33/P33))^(1/7))-1)*100</f>
        <v>0.71434266105869781</v>
      </c>
      <c r="AC33" s="257"/>
      <c r="AD33" s="733">
        <f>((W33/D33)-1)*100</f>
        <v>14.94569260526708</v>
      </c>
    </row>
    <row r="34" spans="1:30">
      <c r="A34" s="256" t="s">
        <v>1221</v>
      </c>
      <c r="D34" s="503">
        <v>16199</v>
      </c>
      <c r="E34" s="754">
        <v>15456</v>
      </c>
      <c r="F34" s="504">
        <v>15485</v>
      </c>
      <c r="G34" s="504">
        <v>15791</v>
      </c>
      <c r="H34" s="504">
        <v>15834</v>
      </c>
      <c r="I34" s="504">
        <v>15839</v>
      </c>
      <c r="J34" s="504">
        <v>16293</v>
      </c>
      <c r="K34" s="504">
        <v>16882</v>
      </c>
      <c r="L34" s="504">
        <v>16740</v>
      </c>
      <c r="M34" s="504">
        <v>17034</v>
      </c>
      <c r="N34" s="504">
        <v>17699</v>
      </c>
      <c r="O34" s="504">
        <v>18218</v>
      </c>
      <c r="P34" s="504">
        <v>18270</v>
      </c>
      <c r="Q34" s="504">
        <v>18475</v>
      </c>
      <c r="R34" s="504">
        <v>18491</v>
      </c>
      <c r="S34" s="504">
        <v>18284</v>
      </c>
      <c r="T34" s="504">
        <v>18253</v>
      </c>
      <c r="U34" s="504">
        <v>18312</v>
      </c>
      <c r="V34" s="504">
        <v>18886</v>
      </c>
      <c r="W34" s="504">
        <v>18849</v>
      </c>
      <c r="Y34" s="662">
        <f>((((E34/D34))^(1/3))-1)*100</f>
        <v>-1.5528908354467963</v>
      </c>
      <c r="Z34" s="662">
        <f>((((P34/E34))^(1/11))-1)*100</f>
        <v>1.5321931117839638</v>
      </c>
      <c r="AA34" s="733">
        <f>((((W34/D34))^(1/21))-1)*100</f>
        <v>0.72408677984916459</v>
      </c>
      <c r="AB34" s="733">
        <f>((((W34/P34))^(1/7))-1)*100</f>
        <v>0.44670177537167177</v>
      </c>
      <c r="AC34" s="257"/>
      <c r="AD34" s="733">
        <f>((W34/D34)-1)*100</f>
        <v>16.359034508302983</v>
      </c>
    </row>
    <row r="35" spans="1:30">
      <c r="A35" s="256" t="s">
        <v>1227</v>
      </c>
      <c r="D35" s="503"/>
      <c r="E35" s="754"/>
      <c r="F35" s="504"/>
      <c r="G35" s="504"/>
      <c r="H35" s="504"/>
      <c r="I35" s="504"/>
      <c r="J35" s="504"/>
      <c r="K35" s="504"/>
      <c r="L35" s="504"/>
      <c r="M35" s="504"/>
      <c r="N35" s="504"/>
      <c r="O35" s="504"/>
      <c r="P35" s="504"/>
      <c r="Q35" s="504"/>
      <c r="R35" s="504"/>
      <c r="S35" s="504"/>
      <c r="T35" s="504"/>
      <c r="U35" s="504"/>
      <c r="V35" s="504"/>
      <c r="W35" s="504"/>
      <c r="Y35" s="662"/>
      <c r="Z35" s="662"/>
      <c r="AA35" s="662"/>
      <c r="AB35" s="662"/>
      <c r="AC35" s="262"/>
      <c r="AD35" s="662"/>
    </row>
    <row r="36" spans="1:30">
      <c r="A36" s="256" t="s">
        <v>545</v>
      </c>
      <c r="D36" s="503">
        <v>4078</v>
      </c>
      <c r="E36" s="754">
        <v>5345</v>
      </c>
      <c r="F36" s="504">
        <v>7647</v>
      </c>
      <c r="G36" s="504">
        <v>8103</v>
      </c>
      <c r="H36" s="504">
        <v>8209</v>
      </c>
      <c r="I36" s="504">
        <v>8233</v>
      </c>
      <c r="J36" s="504">
        <v>8065</v>
      </c>
      <c r="K36" s="504">
        <v>7895</v>
      </c>
      <c r="L36" s="504">
        <v>7768</v>
      </c>
      <c r="M36" s="504">
        <v>7534</v>
      </c>
      <c r="N36" s="504">
        <v>7428</v>
      </c>
      <c r="O36" s="504">
        <v>7473</v>
      </c>
      <c r="P36" s="504">
        <v>7345</v>
      </c>
      <c r="Q36" s="504">
        <v>7313</v>
      </c>
      <c r="R36" s="504">
        <v>7420</v>
      </c>
      <c r="S36" s="504">
        <v>7333</v>
      </c>
      <c r="T36" s="504">
        <v>7337</v>
      </c>
      <c r="U36" s="504">
        <v>7242</v>
      </c>
      <c r="V36" s="504">
        <v>7187</v>
      </c>
      <c r="W36" s="504">
        <v>7099</v>
      </c>
      <c r="Y36" s="662">
        <f>((((E36/D36))^(1/3))-1)*100</f>
        <v>9.4376678097966469</v>
      </c>
      <c r="Z36" s="662">
        <f>((((P36/E36))^(1/11))-1)*100</f>
        <v>2.9317751844028184</v>
      </c>
      <c r="AA36" s="733">
        <f>((((W36/D36))^(1/21))-1)*100</f>
        <v>2.6748988209749136</v>
      </c>
      <c r="AB36" s="733">
        <f>((((W36/P36))^(1/7))-1)*100</f>
        <v>-0.48547318772764747</v>
      </c>
      <c r="AC36" s="257"/>
      <c r="AD36" s="733">
        <f>((W36/D36)-1)*100</f>
        <v>74.08043158410986</v>
      </c>
    </row>
    <row r="37" spans="1:30">
      <c r="A37" s="256" t="s">
        <v>1219</v>
      </c>
      <c r="C37" s="757"/>
      <c r="D37" s="503" t="s">
        <v>374</v>
      </c>
      <c r="E37" s="754">
        <v>9526</v>
      </c>
      <c r="F37" s="504">
        <v>9986</v>
      </c>
      <c r="G37" s="504">
        <v>10442</v>
      </c>
      <c r="H37" s="504">
        <v>10637</v>
      </c>
      <c r="I37" s="504">
        <v>10642</v>
      </c>
      <c r="J37" s="504">
        <v>10814</v>
      </c>
      <c r="K37" s="504">
        <v>10592</v>
      </c>
      <c r="L37" s="504">
        <v>10655</v>
      </c>
      <c r="M37" s="504">
        <v>10633</v>
      </c>
      <c r="N37" s="504">
        <v>10729</v>
      </c>
      <c r="O37" s="504">
        <v>10750</v>
      </c>
      <c r="P37" s="504">
        <v>10626</v>
      </c>
      <c r="Q37" s="504">
        <v>10619</v>
      </c>
      <c r="R37" s="504">
        <v>10660</v>
      </c>
      <c r="S37" s="504">
        <v>10540</v>
      </c>
      <c r="T37" s="504">
        <v>10549</v>
      </c>
      <c r="U37" s="504">
        <v>10484</v>
      </c>
      <c r="V37" s="504">
        <v>10527</v>
      </c>
      <c r="W37" s="504">
        <v>10500</v>
      </c>
      <c r="Y37" s="662" t="s">
        <v>374</v>
      </c>
      <c r="Z37" s="662">
        <f>((((P37/E37))^(1/11))-1)*100</f>
        <v>0.99839582299316998</v>
      </c>
      <c r="AA37" s="733">
        <f>((((W37/E37))^(1/18))-1)*100</f>
        <v>0.54230045865861776</v>
      </c>
      <c r="AB37" s="733">
        <f>((((W37/P37))^(1/7))-1)*100</f>
        <v>-0.17026304296078321</v>
      </c>
      <c r="AC37" s="257"/>
      <c r="AD37" s="733">
        <f>((W37/E37)-1)*100</f>
        <v>10.224648330883902</v>
      </c>
    </row>
    <row r="38" spans="1:30">
      <c r="A38" s="256" t="s">
        <v>1222</v>
      </c>
      <c r="D38" s="503">
        <v>15464</v>
      </c>
      <c r="E38" s="754">
        <v>14299</v>
      </c>
      <c r="F38" s="504">
        <v>15401</v>
      </c>
      <c r="G38" s="504">
        <v>14543</v>
      </c>
      <c r="H38" s="504">
        <v>16132</v>
      </c>
      <c r="I38" s="504">
        <v>16712</v>
      </c>
      <c r="J38" s="504">
        <v>17038</v>
      </c>
      <c r="K38" s="504">
        <v>16689</v>
      </c>
      <c r="L38" s="504">
        <v>16239</v>
      </c>
      <c r="M38" s="504">
        <v>15626</v>
      </c>
      <c r="N38" s="504">
        <v>15614</v>
      </c>
      <c r="O38" s="504">
        <v>15560</v>
      </c>
      <c r="P38" s="504">
        <v>15141</v>
      </c>
      <c r="Q38" s="504">
        <v>15182</v>
      </c>
      <c r="R38" s="504">
        <v>15389</v>
      </c>
      <c r="S38" s="504">
        <v>15267</v>
      </c>
      <c r="T38" s="504">
        <v>15312</v>
      </c>
      <c r="U38" s="504">
        <v>16048</v>
      </c>
      <c r="V38" s="504">
        <v>16902</v>
      </c>
      <c r="W38" s="504">
        <v>17068</v>
      </c>
      <c r="Y38" s="662">
        <f>((((E38/D38))^(1/3))-1)*100</f>
        <v>-2.5770502182299371</v>
      </c>
      <c r="Z38" s="662">
        <f>((((P38/E38))^(1/11))-1)*100</f>
        <v>0.52150687659766604</v>
      </c>
      <c r="AA38" s="733">
        <f>((((W38/D38))^(1/21))-1)*100</f>
        <v>0.47106137169545814</v>
      </c>
      <c r="AB38" s="733">
        <f>((((W38/P38))^(1/7))-1)*100</f>
        <v>1.7261438895516346</v>
      </c>
      <c r="AC38" s="257"/>
      <c r="AD38" s="733">
        <f>((W38/D38)-1)*100</f>
        <v>10.372478013450603</v>
      </c>
    </row>
    <row r="39" spans="1:30">
      <c r="A39" s="256" t="s">
        <v>1221</v>
      </c>
      <c r="D39" s="503">
        <v>21635</v>
      </c>
      <c r="E39" s="754">
        <v>19692</v>
      </c>
      <c r="F39" s="504">
        <v>19575</v>
      </c>
      <c r="G39" s="504">
        <v>20475</v>
      </c>
      <c r="H39" s="504">
        <v>20696</v>
      </c>
      <c r="I39" s="504">
        <v>21184</v>
      </c>
      <c r="J39" s="504">
        <v>20951</v>
      </c>
      <c r="K39" s="504">
        <v>20509</v>
      </c>
      <c r="L39" s="504">
        <v>20029</v>
      </c>
      <c r="M39" s="504">
        <v>19129</v>
      </c>
      <c r="N39" s="504">
        <v>19318</v>
      </c>
      <c r="O39" s="504">
        <v>19238</v>
      </c>
      <c r="P39" s="504">
        <v>19040</v>
      </c>
      <c r="Q39" s="504">
        <v>19288</v>
      </c>
      <c r="R39" s="504">
        <v>19673</v>
      </c>
      <c r="S39" s="504">
        <v>19599</v>
      </c>
      <c r="T39" s="504">
        <v>19754</v>
      </c>
      <c r="U39" s="504">
        <v>21582</v>
      </c>
      <c r="V39" s="504">
        <v>22127</v>
      </c>
      <c r="W39" s="504">
        <v>21890</v>
      </c>
      <c r="Y39" s="662">
        <f>((((E39/D39))^(1/3))-1)*100</f>
        <v>-3.0879807640125434</v>
      </c>
      <c r="Z39" s="662">
        <f>((((P39/E39))^(1/11))-1)*100</f>
        <v>-0.3056268485698288</v>
      </c>
      <c r="AA39" s="733">
        <f>((((W39/D39))^(1/21))-1)*100</f>
        <v>5.5813369191248796E-2</v>
      </c>
      <c r="AB39" s="733">
        <f>((((W39/P39))^(1/7))-1)*100</f>
        <v>2.012670514337378</v>
      </c>
      <c r="AC39" s="257"/>
      <c r="AD39" s="733">
        <f>((W39/D39)-1)*100</f>
        <v>1.1786457129651096</v>
      </c>
    </row>
    <row r="40" spans="1:30">
      <c r="A40" s="256" t="s">
        <v>1228</v>
      </c>
      <c r="D40" s="503"/>
      <c r="E40" s="754"/>
      <c r="F40" s="504"/>
      <c r="G40" s="504"/>
      <c r="H40" s="504"/>
      <c r="I40" s="504"/>
      <c r="J40" s="504"/>
      <c r="K40" s="504"/>
      <c r="L40" s="504"/>
      <c r="M40" s="504"/>
      <c r="N40" s="504"/>
      <c r="O40" s="504"/>
      <c r="P40" s="504"/>
      <c r="Q40" s="504"/>
      <c r="R40" s="504"/>
      <c r="S40" s="504"/>
      <c r="T40" s="504"/>
      <c r="U40" s="504"/>
      <c r="V40" s="504"/>
      <c r="W40" s="504"/>
      <c r="Y40" s="662"/>
      <c r="Z40" s="662"/>
      <c r="AA40" s="662"/>
      <c r="AB40" s="662"/>
      <c r="AC40" s="262"/>
      <c r="AD40" s="662"/>
    </row>
    <row r="41" spans="1:30">
      <c r="A41" s="256" t="s">
        <v>545</v>
      </c>
      <c r="D41" s="503">
        <v>8715</v>
      </c>
      <c r="E41" s="754">
        <v>9477</v>
      </c>
      <c r="F41" s="504">
        <v>10443</v>
      </c>
      <c r="G41" s="504">
        <v>10890</v>
      </c>
      <c r="H41" s="504">
        <v>11140</v>
      </c>
      <c r="I41" s="504">
        <v>11115</v>
      </c>
      <c r="J41" s="504">
        <v>11128</v>
      </c>
      <c r="K41" s="504">
        <v>10349</v>
      </c>
      <c r="L41" s="504">
        <v>8532</v>
      </c>
      <c r="M41" s="504">
        <v>8427</v>
      </c>
      <c r="N41" s="504">
        <v>8336</v>
      </c>
      <c r="O41" s="504">
        <v>8193</v>
      </c>
      <c r="P41" s="504">
        <v>7980</v>
      </c>
      <c r="Q41" s="504">
        <v>7786</v>
      </c>
      <c r="R41" s="504">
        <v>7620</v>
      </c>
      <c r="S41" s="504">
        <v>7419</v>
      </c>
      <c r="T41" s="504">
        <v>7427</v>
      </c>
      <c r="U41" s="504">
        <v>7304</v>
      </c>
      <c r="V41" s="504">
        <v>7213</v>
      </c>
      <c r="W41" s="504">
        <v>7204</v>
      </c>
      <c r="Y41" s="662">
        <f>((((E41/D41))^(1/3))-1)*100</f>
        <v>2.8334713168498782</v>
      </c>
      <c r="Z41" s="662">
        <f>((((P41/E41))^(1/11))-1)*100</f>
        <v>-1.5508431677790036</v>
      </c>
      <c r="AA41" s="733">
        <f>((((W41/D41))^(1/21))-1)*100</f>
        <v>-0.90261249621843564</v>
      </c>
      <c r="AB41" s="733">
        <f>((((W41/P41))^(1/7))-1)*100</f>
        <v>-1.4508294696499391</v>
      </c>
      <c r="AC41" s="257"/>
      <c r="AD41" s="733">
        <f>((W41/D41)-1)*100</f>
        <v>-17.337923121055653</v>
      </c>
    </row>
    <row r="42" spans="1:30">
      <c r="A42" s="256" t="s">
        <v>1219</v>
      </c>
      <c r="D42" s="503" t="s">
        <v>374</v>
      </c>
      <c r="E42" s="754">
        <v>13637</v>
      </c>
      <c r="F42" s="504">
        <v>14665</v>
      </c>
      <c r="G42" s="504">
        <v>15201</v>
      </c>
      <c r="H42" s="504">
        <v>15357</v>
      </c>
      <c r="I42" s="504">
        <v>15284</v>
      </c>
      <c r="J42" s="504">
        <v>15296</v>
      </c>
      <c r="K42" s="504">
        <v>14975</v>
      </c>
      <c r="L42" s="504">
        <v>14735</v>
      </c>
      <c r="M42" s="504">
        <v>14502</v>
      </c>
      <c r="N42" s="504">
        <v>14369</v>
      </c>
      <c r="O42" s="504">
        <v>14122</v>
      </c>
      <c r="P42" s="504">
        <v>13751</v>
      </c>
      <c r="Q42" s="504">
        <v>13410</v>
      </c>
      <c r="R42" s="504">
        <v>13117</v>
      </c>
      <c r="S42" s="504">
        <v>12765</v>
      </c>
      <c r="T42" s="504">
        <v>12766</v>
      </c>
      <c r="U42" s="504">
        <v>12568</v>
      </c>
      <c r="V42" s="504">
        <v>12431</v>
      </c>
      <c r="W42" s="504">
        <v>12382</v>
      </c>
      <c r="Y42" s="662" t="s">
        <v>374</v>
      </c>
      <c r="Z42" s="662">
        <f>((((P42/E42))^(1/11))-1)*100</f>
        <v>7.5709207373497733E-2</v>
      </c>
      <c r="AA42" s="733">
        <f>((((W42/E42))^(1/18))-1)*100</f>
        <v>-0.53491355821296827</v>
      </c>
      <c r="AB42" s="733">
        <f>((((W42/P42))^(1/7))-1)*100</f>
        <v>-1.4869447747447362</v>
      </c>
      <c r="AC42" s="257"/>
      <c r="AD42" s="733">
        <f>((W42/E42)-1)*100</f>
        <v>-9.2029038644863235</v>
      </c>
    </row>
    <row r="43" spans="1:30">
      <c r="A43" s="256" t="s">
        <v>1222</v>
      </c>
      <c r="D43" s="503">
        <v>17414</v>
      </c>
      <c r="E43" s="754">
        <v>18597</v>
      </c>
      <c r="F43" s="504">
        <v>20902</v>
      </c>
      <c r="G43" s="504">
        <v>21687</v>
      </c>
      <c r="H43" s="504">
        <v>21931</v>
      </c>
      <c r="I43" s="504">
        <v>21886</v>
      </c>
      <c r="J43" s="504">
        <v>21901</v>
      </c>
      <c r="K43" s="504">
        <v>20430</v>
      </c>
      <c r="L43" s="504">
        <v>17137</v>
      </c>
      <c r="M43" s="504">
        <v>16892</v>
      </c>
      <c r="N43" s="504">
        <v>16732</v>
      </c>
      <c r="O43" s="504">
        <v>16448</v>
      </c>
      <c r="P43" s="504">
        <v>16085</v>
      </c>
      <c r="Q43" s="504">
        <v>15764</v>
      </c>
      <c r="R43" s="504">
        <v>15468</v>
      </c>
      <c r="S43" s="504">
        <v>15101</v>
      </c>
      <c r="T43" s="504">
        <v>15178</v>
      </c>
      <c r="U43" s="504">
        <v>15064</v>
      </c>
      <c r="V43" s="504">
        <v>15881</v>
      </c>
      <c r="W43" s="504">
        <v>16439</v>
      </c>
      <c r="Y43" s="662">
        <f>((((E43/D43))^(1/3))-1)*100</f>
        <v>2.2150354629834945</v>
      </c>
      <c r="Z43" s="662">
        <f>((((P43/E43))^(1/11))-1)*100</f>
        <v>-1.3105467128331716</v>
      </c>
      <c r="AA43" s="733">
        <f>((((W43/D43))^(1/21))-1)*100</f>
        <v>-0.27399499369161751</v>
      </c>
      <c r="AB43" s="733">
        <f>((((W43/P43))^(1/7))-1)*100</f>
        <v>0.31147550625572062</v>
      </c>
      <c r="AC43" s="257"/>
      <c r="AD43" s="733">
        <f>((W43/D43)-1)*100</f>
        <v>-5.5989433788905529</v>
      </c>
    </row>
    <row r="44" spans="1:30">
      <c r="A44" s="256" t="s">
        <v>1221</v>
      </c>
      <c r="D44" s="503">
        <v>23040</v>
      </c>
      <c r="E44" s="754">
        <v>24384</v>
      </c>
      <c r="F44" s="504">
        <v>28005</v>
      </c>
      <c r="G44" s="504">
        <v>28927</v>
      </c>
      <c r="H44" s="504">
        <v>29207</v>
      </c>
      <c r="I44" s="504">
        <v>29113</v>
      </c>
      <c r="J44" s="504">
        <v>28894</v>
      </c>
      <c r="K44" s="504">
        <v>26833</v>
      </c>
      <c r="L44" s="504">
        <v>22650</v>
      </c>
      <c r="M44" s="504">
        <v>22330</v>
      </c>
      <c r="N44" s="504">
        <v>22114</v>
      </c>
      <c r="O44" s="504">
        <v>21746</v>
      </c>
      <c r="P44" s="504">
        <v>21295</v>
      </c>
      <c r="Q44" s="504">
        <v>20897</v>
      </c>
      <c r="R44" s="504">
        <v>20518</v>
      </c>
      <c r="S44" s="504">
        <v>20042</v>
      </c>
      <c r="T44" s="504">
        <v>20080</v>
      </c>
      <c r="U44" s="504">
        <v>20121</v>
      </c>
      <c r="V44" s="504">
        <v>20605</v>
      </c>
      <c r="W44" s="504">
        <v>21058</v>
      </c>
      <c r="Y44" s="662">
        <f>((((E44/D44))^(1/3))-1)*100</f>
        <v>1.9078153827887245</v>
      </c>
      <c r="Z44" s="662">
        <f>((((P44/E44))^(1/11))-1)*100</f>
        <v>-1.2238571624367145</v>
      </c>
      <c r="AA44" s="733">
        <f>((((W44/D44))^(1/21))-1)*100</f>
        <v>-0.42742346035858914</v>
      </c>
      <c r="AB44" s="733">
        <f>((((W44/P44))^(1/7))-1)*100</f>
        <v>-0.15975465533279998</v>
      </c>
      <c r="AC44" s="257"/>
      <c r="AD44" s="733">
        <f>((W44/D44)-1)*100</f>
        <v>-8.6024305555555518</v>
      </c>
    </row>
    <row r="45" spans="1:30">
      <c r="A45" s="256" t="s">
        <v>1229</v>
      </c>
      <c r="D45" s="503"/>
      <c r="E45" s="754"/>
      <c r="F45" s="504"/>
      <c r="G45" s="504"/>
      <c r="H45" s="504"/>
      <c r="I45" s="504"/>
      <c r="J45" s="504"/>
      <c r="K45" s="504"/>
      <c r="L45" s="504"/>
      <c r="M45" s="504"/>
      <c r="N45" s="504"/>
      <c r="O45" s="504"/>
      <c r="P45" s="504"/>
      <c r="Q45" s="504"/>
      <c r="R45" s="504"/>
      <c r="S45" s="504"/>
      <c r="T45" s="504"/>
      <c r="U45" s="504"/>
      <c r="V45" s="504"/>
      <c r="W45" s="504"/>
      <c r="Y45" s="662"/>
      <c r="Z45" s="662"/>
      <c r="AA45" s="662"/>
      <c r="AB45" s="662"/>
      <c r="AC45" s="262"/>
      <c r="AD45" s="662"/>
    </row>
    <row r="46" spans="1:30">
      <c r="A46" s="256" t="s">
        <v>545</v>
      </c>
      <c r="D46" s="503">
        <v>8647</v>
      </c>
      <c r="E46" s="754">
        <v>9079</v>
      </c>
      <c r="F46" s="504">
        <v>9301</v>
      </c>
      <c r="G46" s="504">
        <v>9362</v>
      </c>
      <c r="H46" s="504">
        <v>9419</v>
      </c>
      <c r="I46" s="504">
        <v>9271</v>
      </c>
      <c r="J46" s="504">
        <v>8649</v>
      </c>
      <c r="K46" s="504">
        <v>8478</v>
      </c>
      <c r="L46" s="504">
        <v>7855</v>
      </c>
      <c r="M46" s="504">
        <v>6846</v>
      </c>
      <c r="N46" s="504">
        <v>6783</v>
      </c>
      <c r="O46" s="504">
        <v>6666</v>
      </c>
      <c r="P46" s="504">
        <v>6494</v>
      </c>
      <c r="Q46" s="504">
        <v>6336</v>
      </c>
      <c r="R46" s="504">
        <v>6202</v>
      </c>
      <c r="S46" s="504">
        <v>6040</v>
      </c>
      <c r="T46" s="504">
        <v>6169</v>
      </c>
      <c r="U46" s="504">
        <v>6065</v>
      </c>
      <c r="V46" s="504">
        <v>5952</v>
      </c>
      <c r="W46" s="504">
        <v>5827</v>
      </c>
      <c r="Y46" s="662">
        <f>((((E46/D46))^(1/3))-1)*100</f>
        <v>1.6383296287535654</v>
      </c>
      <c r="Z46" s="662">
        <f>((((P46/E46))^(1/11))-1)*100</f>
        <v>-3.000300685223567</v>
      </c>
      <c r="AA46" s="733">
        <f>((((W46/D46))^(1/21))-1)*100</f>
        <v>-1.8620183450117844</v>
      </c>
      <c r="AB46" s="733">
        <f>((((W46/P46))^(1/7))-1)*100</f>
        <v>-1.5363105490654227</v>
      </c>
      <c r="AC46" s="257"/>
      <c r="AD46" s="733">
        <f>((W46/D46)-1)*100</f>
        <v>-32.6124667514745</v>
      </c>
    </row>
    <row r="47" spans="1:30">
      <c r="A47" s="256" t="s">
        <v>1219</v>
      </c>
      <c r="D47" s="503" t="s">
        <v>374</v>
      </c>
      <c r="E47" s="754">
        <v>9863</v>
      </c>
      <c r="F47" s="504">
        <v>9842</v>
      </c>
      <c r="G47" s="504">
        <v>9852</v>
      </c>
      <c r="H47" s="504">
        <v>11901</v>
      </c>
      <c r="I47" s="504">
        <v>10763</v>
      </c>
      <c r="J47" s="504">
        <v>10703</v>
      </c>
      <c r="K47" s="504">
        <v>10477</v>
      </c>
      <c r="L47" s="504">
        <v>10309</v>
      </c>
      <c r="M47" s="504">
        <v>10146</v>
      </c>
      <c r="N47" s="504">
        <v>10052</v>
      </c>
      <c r="O47" s="504">
        <v>9963</v>
      </c>
      <c r="P47" s="504">
        <v>9762</v>
      </c>
      <c r="Q47" s="504">
        <v>9521</v>
      </c>
      <c r="R47" s="504">
        <v>9315</v>
      </c>
      <c r="S47" s="504">
        <v>9065</v>
      </c>
      <c r="T47" s="504">
        <v>9134</v>
      </c>
      <c r="U47" s="504">
        <v>8966</v>
      </c>
      <c r="V47" s="504">
        <v>9011</v>
      </c>
      <c r="W47" s="504">
        <v>9026</v>
      </c>
      <c r="Y47" s="662" t="s">
        <v>374</v>
      </c>
      <c r="Z47" s="662">
        <f>((((P47/E47))^(1/11))-1)*100</f>
        <v>-9.3529729174257614E-2</v>
      </c>
      <c r="AA47" s="733">
        <f>((((W47/E47))^(1/18))-1)*100</f>
        <v>-0.49146102864398022</v>
      </c>
      <c r="AB47" s="733">
        <f>((((W47/P47))^(1/7))-1)*100</f>
        <v>-1.1135817749643895</v>
      </c>
      <c r="AC47" s="257"/>
      <c r="AD47" s="733">
        <f>((W47/E47)-1)*100</f>
        <v>-8.486261786474703</v>
      </c>
    </row>
    <row r="48" spans="1:30">
      <c r="A48" s="256" t="s">
        <v>1222</v>
      </c>
      <c r="D48" s="503">
        <v>15165</v>
      </c>
      <c r="E48" s="754">
        <v>14874</v>
      </c>
      <c r="F48" s="504">
        <v>14971</v>
      </c>
      <c r="G48" s="504">
        <v>15044</v>
      </c>
      <c r="H48" s="504">
        <v>16293</v>
      </c>
      <c r="I48" s="504">
        <v>14841</v>
      </c>
      <c r="J48" s="504">
        <v>14748</v>
      </c>
      <c r="K48" s="504">
        <v>14430</v>
      </c>
      <c r="L48" s="504">
        <v>14199</v>
      </c>
      <c r="M48" s="504">
        <v>13974</v>
      </c>
      <c r="N48" s="504">
        <v>13845</v>
      </c>
      <c r="O48" s="504">
        <v>13603</v>
      </c>
      <c r="P48" s="504">
        <v>13581</v>
      </c>
      <c r="Q48" s="504">
        <v>14057</v>
      </c>
      <c r="R48" s="504">
        <v>14272</v>
      </c>
      <c r="S48" s="504">
        <v>14047</v>
      </c>
      <c r="T48" s="504">
        <v>13955</v>
      </c>
      <c r="U48" s="504">
        <v>13845</v>
      </c>
      <c r="V48" s="504">
        <v>14581</v>
      </c>
      <c r="W48" s="504">
        <v>14664</v>
      </c>
      <c r="Y48" s="662">
        <f>((((E48/D48))^(1/3))-1)*100</f>
        <v>-0.64376618434677235</v>
      </c>
      <c r="Z48" s="662">
        <f>((((P48/E48))^(1/11))-1)*100</f>
        <v>-0.82334601493098125</v>
      </c>
      <c r="AA48" s="733">
        <f>((((W48/D48))^(1/21))-1)*100</f>
        <v>-0.15984654055660741</v>
      </c>
      <c r="AB48" s="733">
        <f>((((W48/P48))^(1/7))-1)*100</f>
        <v>1.1020822936114172</v>
      </c>
      <c r="AC48" s="257"/>
      <c r="AD48" s="733">
        <f>((W48/D48)-1)*100</f>
        <v>-3.3036597428288794</v>
      </c>
    </row>
    <row r="49" spans="1:30">
      <c r="A49" s="256" t="s">
        <v>1221</v>
      </c>
      <c r="D49" s="503">
        <v>23852</v>
      </c>
      <c r="E49" s="754">
        <v>25487</v>
      </c>
      <c r="F49" s="504">
        <v>26264</v>
      </c>
      <c r="G49" s="504">
        <v>26691</v>
      </c>
      <c r="H49" s="504">
        <v>27011</v>
      </c>
      <c r="I49" s="504">
        <v>24905</v>
      </c>
      <c r="J49" s="504">
        <v>25280</v>
      </c>
      <c r="K49" s="504">
        <v>24734</v>
      </c>
      <c r="L49" s="504">
        <v>22456</v>
      </c>
      <c r="M49" s="504">
        <v>20965</v>
      </c>
      <c r="N49" s="504">
        <v>20558</v>
      </c>
      <c r="O49" s="504">
        <v>20205</v>
      </c>
      <c r="P49" s="504">
        <v>20046</v>
      </c>
      <c r="Q49" s="504">
        <v>20207</v>
      </c>
      <c r="R49" s="504">
        <v>20187</v>
      </c>
      <c r="S49" s="504">
        <v>20514</v>
      </c>
      <c r="T49" s="504">
        <v>21260</v>
      </c>
      <c r="U49" s="504">
        <v>21221</v>
      </c>
      <c r="V49" s="504">
        <v>21567</v>
      </c>
      <c r="W49" s="504">
        <v>21177</v>
      </c>
      <c r="Y49" s="662">
        <f>((((E49/D49))^(1/3))-1)*100</f>
        <v>2.2346166285667435</v>
      </c>
      <c r="Z49" s="662">
        <f>((((P49/E49))^(1/11))-1)*100</f>
        <v>-2.159424031524726</v>
      </c>
      <c r="AA49" s="733">
        <f>((((W49/D49))^(1/21))-1)*100</f>
        <v>-0.56483867851503389</v>
      </c>
      <c r="AB49" s="733">
        <f>((((W49/P49))^(1/7))-1)*100</f>
        <v>0.78716850062983124</v>
      </c>
      <c r="AC49" s="257"/>
      <c r="AD49" s="733">
        <f>((W49/D49)-1)*100</f>
        <v>-11.214992453463024</v>
      </c>
    </row>
    <row r="50" spans="1:30">
      <c r="A50" s="256" t="s">
        <v>1230</v>
      </c>
      <c r="D50" s="503"/>
      <c r="E50" s="754"/>
      <c r="F50" s="504"/>
      <c r="G50" s="504"/>
      <c r="H50" s="504"/>
      <c r="I50" s="504"/>
      <c r="J50" s="504"/>
      <c r="K50" s="504"/>
      <c r="L50" s="504"/>
      <c r="M50" s="504"/>
      <c r="N50" s="504"/>
      <c r="O50" s="504"/>
      <c r="P50" s="504"/>
      <c r="Q50" s="504"/>
      <c r="R50" s="504"/>
      <c r="S50" s="504"/>
      <c r="T50" s="504"/>
      <c r="U50" s="504"/>
      <c r="V50" s="504"/>
      <c r="W50" s="504"/>
      <c r="Y50" s="662"/>
      <c r="Z50" s="662"/>
      <c r="AA50" s="662"/>
      <c r="AB50" s="662"/>
      <c r="AC50" s="262"/>
      <c r="AD50" s="662"/>
    </row>
    <row r="51" spans="1:30">
      <c r="A51" s="256" t="s">
        <v>545</v>
      </c>
      <c r="D51" s="503">
        <v>7238</v>
      </c>
      <c r="E51" s="754">
        <v>7351</v>
      </c>
      <c r="F51" s="504">
        <v>7293</v>
      </c>
      <c r="G51" s="504">
        <v>7252</v>
      </c>
      <c r="H51" s="504">
        <v>7387</v>
      </c>
      <c r="I51" s="504">
        <v>7764</v>
      </c>
      <c r="J51" s="504">
        <v>7753</v>
      </c>
      <c r="K51" s="504">
        <v>6967</v>
      </c>
      <c r="L51" s="504">
        <v>7467</v>
      </c>
      <c r="M51" s="504">
        <v>6747</v>
      </c>
      <c r="N51" s="504">
        <v>6705</v>
      </c>
      <c r="O51" s="504">
        <v>6892</v>
      </c>
      <c r="P51" s="504">
        <v>6890</v>
      </c>
      <c r="Q51" s="504">
        <v>6879</v>
      </c>
      <c r="R51" s="504">
        <v>6775</v>
      </c>
      <c r="S51" s="504">
        <v>6740</v>
      </c>
      <c r="T51" s="504">
        <v>6655</v>
      </c>
      <c r="U51" s="504">
        <v>6946</v>
      </c>
      <c r="V51" s="504">
        <v>8733</v>
      </c>
      <c r="W51" s="504">
        <v>9105</v>
      </c>
      <c r="Y51" s="662">
        <f>((((E51/D51))^(1/3))-1)*100</f>
        <v>0.51771665343656181</v>
      </c>
      <c r="Z51" s="662">
        <f>((((P51/E51))^(1/11))-1)*100</f>
        <v>-0.58704532787676733</v>
      </c>
      <c r="AA51" s="733">
        <f>((((W51/D51))^(1/21))-1)*100</f>
        <v>1.0987485208532988</v>
      </c>
      <c r="AB51" s="733">
        <f>((((W51/P51))^(1/7))-1)*100</f>
        <v>4.0625322422439103</v>
      </c>
      <c r="AC51" s="257"/>
      <c r="AD51" s="733">
        <f>((W51/D51)-1)*100</f>
        <v>25.794418347609827</v>
      </c>
    </row>
    <row r="52" spans="1:30">
      <c r="A52" s="256" t="s">
        <v>1219</v>
      </c>
      <c r="D52" s="503" t="s">
        <v>374</v>
      </c>
      <c r="E52" s="754">
        <v>11913</v>
      </c>
      <c r="F52" s="504">
        <v>11658</v>
      </c>
      <c r="G52" s="504">
        <v>11412</v>
      </c>
      <c r="H52" s="504">
        <v>11199</v>
      </c>
      <c r="I52" s="504">
        <v>11096</v>
      </c>
      <c r="J52" s="504">
        <v>11078</v>
      </c>
      <c r="K52" s="504">
        <v>10844</v>
      </c>
      <c r="L52" s="504">
        <v>10971</v>
      </c>
      <c r="M52" s="504">
        <v>9835</v>
      </c>
      <c r="N52" s="504">
        <v>9827</v>
      </c>
      <c r="O52" s="504">
        <v>10070</v>
      </c>
      <c r="P52" s="504">
        <v>9993</v>
      </c>
      <c r="Q52" s="504">
        <v>9962</v>
      </c>
      <c r="R52" s="504">
        <v>9761</v>
      </c>
      <c r="S52" s="504">
        <v>9668</v>
      </c>
      <c r="T52" s="504">
        <v>9638</v>
      </c>
      <c r="U52" s="504">
        <v>9270</v>
      </c>
      <c r="V52" s="504">
        <v>9557</v>
      </c>
      <c r="W52" s="504">
        <v>9772</v>
      </c>
      <c r="Y52" s="662" t="s">
        <v>374</v>
      </c>
      <c r="Z52" s="662">
        <f>((((P52/E52))^(1/11))-1)*100</f>
        <v>-1.5849900975092424</v>
      </c>
      <c r="AA52" s="733">
        <f>((((W52/E52))^(1/18))-1)*100</f>
        <v>-1.0945715319565008</v>
      </c>
      <c r="AB52" s="733">
        <f>((((W52/P52))^(1/7))-1)*100</f>
        <v>-0.3189715511577651</v>
      </c>
      <c r="AC52" s="257"/>
      <c r="AD52" s="733">
        <f>((W52/E52)-1)*100</f>
        <v>-17.971963401326285</v>
      </c>
    </row>
    <row r="53" spans="1:30">
      <c r="A53" s="256" t="s">
        <v>1222</v>
      </c>
      <c r="D53" s="503">
        <v>16658</v>
      </c>
      <c r="E53" s="754">
        <v>16579</v>
      </c>
      <c r="F53" s="504">
        <v>16426</v>
      </c>
      <c r="G53" s="504">
        <v>16204</v>
      </c>
      <c r="H53" s="504">
        <v>15933</v>
      </c>
      <c r="I53" s="504">
        <v>15763</v>
      </c>
      <c r="J53" s="504">
        <v>15734</v>
      </c>
      <c r="K53" s="504">
        <v>15398</v>
      </c>
      <c r="L53" s="504">
        <v>15151</v>
      </c>
      <c r="M53" s="504">
        <v>14911</v>
      </c>
      <c r="N53" s="504">
        <v>13807</v>
      </c>
      <c r="O53" s="504">
        <v>14263</v>
      </c>
      <c r="P53" s="504">
        <v>14281</v>
      </c>
      <c r="Q53" s="504">
        <v>14275</v>
      </c>
      <c r="R53" s="504">
        <v>14033</v>
      </c>
      <c r="S53" s="504">
        <v>13658</v>
      </c>
      <c r="T53" s="504">
        <v>13538</v>
      </c>
      <c r="U53" s="504">
        <v>13796</v>
      </c>
      <c r="V53" s="504">
        <v>16060</v>
      </c>
      <c r="W53" s="504">
        <v>16545</v>
      </c>
      <c r="Y53" s="662">
        <f>((((E53/D53))^(1/3))-1)*100</f>
        <v>-0.15833276307453126</v>
      </c>
      <c r="Z53" s="662">
        <f>((((P53/E53))^(1/11))-1)*100</f>
        <v>-1.3472679228134443</v>
      </c>
      <c r="AA53" s="733">
        <f>((((W53/D53))^(1/21))-1)*100</f>
        <v>-3.2407319786542654E-2</v>
      </c>
      <c r="AB53" s="733">
        <f>((((W53/P53))^(1/7))-1)*100</f>
        <v>2.1244512774043489</v>
      </c>
      <c r="AC53" s="257"/>
      <c r="AD53" s="733">
        <f>((W53/D53)-1)*100</f>
        <v>-0.67835274342658014</v>
      </c>
    </row>
    <row r="54" spans="1:30">
      <c r="A54" s="256" t="s">
        <v>1221</v>
      </c>
      <c r="D54" s="503">
        <v>24447</v>
      </c>
      <c r="E54" s="754">
        <v>23695</v>
      </c>
      <c r="F54" s="504">
        <v>23336</v>
      </c>
      <c r="G54" s="504">
        <v>22982</v>
      </c>
      <c r="H54" s="504">
        <v>22953</v>
      </c>
      <c r="I54" s="504">
        <v>22658</v>
      </c>
      <c r="J54" s="504">
        <v>22700</v>
      </c>
      <c r="K54" s="504">
        <v>22224</v>
      </c>
      <c r="L54" s="504">
        <v>21867</v>
      </c>
      <c r="M54" s="504">
        <v>20458</v>
      </c>
      <c r="N54" s="504">
        <v>20394</v>
      </c>
      <c r="O54" s="504">
        <v>21124</v>
      </c>
      <c r="P54" s="504">
        <v>20998</v>
      </c>
      <c r="Q54" s="504">
        <v>21061</v>
      </c>
      <c r="R54" s="504">
        <v>20735</v>
      </c>
      <c r="S54" s="504">
        <v>20351</v>
      </c>
      <c r="T54" s="504">
        <v>20297</v>
      </c>
      <c r="U54" s="504">
        <v>20147</v>
      </c>
      <c r="V54" s="504">
        <v>22116</v>
      </c>
      <c r="W54" s="504">
        <v>22544</v>
      </c>
      <c r="Y54" s="662">
        <f>((((E54/D54))^(1/3))-1)*100</f>
        <v>-1.0360441557484168</v>
      </c>
      <c r="Z54" s="662">
        <f>((((P54/E54))^(1/11))-1)*100</f>
        <v>-1.0925052482160691</v>
      </c>
      <c r="AA54" s="733">
        <f>((((W54/D54))^(1/21))-1)*100</f>
        <v>-0.38515424648110086</v>
      </c>
      <c r="AB54" s="733">
        <f>((((W54/P54))^(1/7))-1)*100</f>
        <v>1.0200496831038963</v>
      </c>
      <c r="AC54" s="257"/>
      <c r="AD54" s="733">
        <f>((W54/D54)-1)*100</f>
        <v>-7.7841861987155925</v>
      </c>
    </row>
    <row r="55" spans="1:30">
      <c r="A55" s="256" t="s">
        <v>1231</v>
      </c>
      <c r="D55" s="503"/>
      <c r="E55" s="754"/>
      <c r="F55" s="504"/>
      <c r="G55" s="504"/>
      <c r="H55" s="504"/>
      <c r="I55" s="504"/>
      <c r="J55" s="504"/>
      <c r="K55" s="504"/>
      <c r="L55" s="504"/>
      <c r="M55" s="504"/>
      <c r="N55" s="504"/>
      <c r="O55" s="504"/>
      <c r="P55" s="504"/>
      <c r="Q55" s="504"/>
      <c r="R55" s="504"/>
      <c r="S55" s="504"/>
      <c r="T55" s="504"/>
      <c r="U55" s="504"/>
      <c r="V55" s="504"/>
      <c r="W55" s="504"/>
      <c r="Y55" s="662"/>
      <c r="Z55" s="662"/>
      <c r="AA55" s="662"/>
      <c r="AB55" s="662"/>
      <c r="AC55" s="262"/>
      <c r="AD55" s="662"/>
    </row>
    <row r="56" spans="1:30">
      <c r="A56" s="256" t="s">
        <v>545</v>
      </c>
      <c r="D56" s="503">
        <v>10300</v>
      </c>
      <c r="E56" s="754">
        <v>7266</v>
      </c>
      <c r="F56" s="504">
        <v>7041</v>
      </c>
      <c r="G56" s="504">
        <v>7810</v>
      </c>
      <c r="H56" s="504">
        <v>7739</v>
      </c>
      <c r="I56" s="504">
        <v>7310</v>
      </c>
      <c r="J56" s="504">
        <v>6410</v>
      </c>
      <c r="K56" s="504">
        <v>6275</v>
      </c>
      <c r="L56" s="504">
        <v>6174</v>
      </c>
      <c r="M56" s="504">
        <v>6111</v>
      </c>
      <c r="N56" s="504">
        <v>6138</v>
      </c>
      <c r="O56" s="504">
        <v>6032</v>
      </c>
      <c r="P56" s="504">
        <v>5876</v>
      </c>
      <c r="Q56" s="504">
        <v>5734</v>
      </c>
      <c r="R56" s="504">
        <v>5614</v>
      </c>
      <c r="S56" s="504">
        <v>5467</v>
      </c>
      <c r="T56" s="504">
        <v>5372</v>
      </c>
      <c r="U56" s="504">
        <v>5264</v>
      </c>
      <c r="V56" s="504">
        <v>5575</v>
      </c>
      <c r="W56" s="504">
        <v>5059</v>
      </c>
      <c r="Y56" s="662">
        <f>((((E56/D56))^(1/3))-1)*100</f>
        <v>-10.980314365724265</v>
      </c>
      <c r="Z56" s="662">
        <f>((((P56/E56))^(1/11))-1)*100</f>
        <v>-1.9117593617459128</v>
      </c>
      <c r="AA56" s="733">
        <f>((((W56/D56))^(1/21))-1)*100</f>
        <v>-3.3289255768701675</v>
      </c>
      <c r="AB56" s="733">
        <f>((((W56/P56))^(1/7))-1)*100</f>
        <v>-2.1159699332509385</v>
      </c>
      <c r="AC56" s="257"/>
      <c r="AD56" s="733">
        <f>((W56/D56)-1)*100</f>
        <v>-50.883495145631066</v>
      </c>
    </row>
    <row r="57" spans="1:30">
      <c r="A57" s="256" t="s">
        <v>1219</v>
      </c>
      <c r="D57" s="503" t="s">
        <v>374</v>
      </c>
      <c r="E57" s="754">
        <v>8961</v>
      </c>
      <c r="F57" s="504">
        <v>8658</v>
      </c>
      <c r="G57" s="504">
        <v>9277</v>
      </c>
      <c r="H57" s="504">
        <v>9097</v>
      </c>
      <c r="I57" s="504">
        <v>8842</v>
      </c>
      <c r="J57" s="504">
        <v>8808</v>
      </c>
      <c r="K57" s="504">
        <v>8646</v>
      </c>
      <c r="L57" s="504">
        <v>8507</v>
      </c>
      <c r="M57" s="504">
        <v>8408</v>
      </c>
      <c r="N57" s="504">
        <v>8414</v>
      </c>
      <c r="O57" s="504">
        <v>8479</v>
      </c>
      <c r="P57" s="504">
        <v>8871</v>
      </c>
      <c r="Q57" s="504">
        <v>8659</v>
      </c>
      <c r="R57" s="504">
        <v>8477</v>
      </c>
      <c r="S57" s="504">
        <v>8401</v>
      </c>
      <c r="T57" s="504">
        <v>8356</v>
      </c>
      <c r="U57" s="504">
        <v>8184</v>
      </c>
      <c r="V57" s="504">
        <v>8699</v>
      </c>
      <c r="W57" s="504">
        <v>8440</v>
      </c>
      <c r="Y57" s="662" t="s">
        <v>374</v>
      </c>
      <c r="Z57" s="662">
        <f>((((P57/E57))^(1/11))-1)*100</f>
        <v>-9.1724256323022502E-2</v>
      </c>
      <c r="AA57" s="733">
        <f>((((W57/E57))^(1/18))-1)*100</f>
        <v>-0.33222202450752247</v>
      </c>
      <c r="AB57" s="733">
        <f>((((W57/P57))^(1/7))-1)*100</f>
        <v>-0.70897796493281096</v>
      </c>
      <c r="AC57" s="257"/>
      <c r="AD57" s="733">
        <f>((W57/E57)-1)*100</f>
        <v>-5.8140832496373136</v>
      </c>
    </row>
    <row r="58" spans="1:30">
      <c r="A58" s="256" t="s">
        <v>1222</v>
      </c>
      <c r="D58" s="503">
        <v>16753</v>
      </c>
      <c r="E58" s="754">
        <v>15082</v>
      </c>
      <c r="F58" s="504">
        <v>14730</v>
      </c>
      <c r="G58" s="504">
        <v>15668</v>
      </c>
      <c r="H58" s="504">
        <v>15522</v>
      </c>
      <c r="I58" s="504">
        <v>14983</v>
      </c>
      <c r="J58" s="504">
        <v>14065</v>
      </c>
      <c r="K58" s="504">
        <v>13754</v>
      </c>
      <c r="L58" s="504">
        <v>13524</v>
      </c>
      <c r="M58" s="504">
        <v>13404</v>
      </c>
      <c r="N58" s="504">
        <v>13549</v>
      </c>
      <c r="O58" s="504">
        <v>13661</v>
      </c>
      <c r="P58" s="504">
        <v>13477</v>
      </c>
      <c r="Q58" s="504">
        <v>13246</v>
      </c>
      <c r="R58" s="504">
        <v>12973</v>
      </c>
      <c r="S58" s="504">
        <v>12909</v>
      </c>
      <c r="T58" s="504">
        <v>12941</v>
      </c>
      <c r="U58" s="504">
        <v>12849</v>
      </c>
      <c r="V58" s="504">
        <v>14423</v>
      </c>
      <c r="W58" s="504">
        <v>13703</v>
      </c>
      <c r="Y58" s="662">
        <f>((((E58/D58))^(1/3))-1)*100</f>
        <v>-3.4418841676632006</v>
      </c>
      <c r="Z58" s="662">
        <f>((((P58/E58))^(1/11))-1)*100</f>
        <v>-1.0176722319444886</v>
      </c>
      <c r="AA58" s="733">
        <f>((((W58/D58))^(1/21))-1)*100</f>
        <v>-0.95240023557405795</v>
      </c>
      <c r="AB58" s="733">
        <f>((((W58/P58))^(1/7))-1)*100</f>
        <v>0.23785755011498377</v>
      </c>
      <c r="AC58" s="257"/>
      <c r="AD58" s="733">
        <f>((W58/D58)-1)*100</f>
        <v>-18.205694502477165</v>
      </c>
    </row>
    <row r="59" spans="1:30">
      <c r="A59" s="256" t="s">
        <v>1221</v>
      </c>
      <c r="D59" s="503">
        <v>26193</v>
      </c>
      <c r="E59" s="754">
        <v>23067</v>
      </c>
      <c r="F59" s="504">
        <v>22391</v>
      </c>
      <c r="G59" s="504">
        <v>24741</v>
      </c>
      <c r="H59" s="504">
        <v>24419</v>
      </c>
      <c r="I59" s="504">
        <v>23623</v>
      </c>
      <c r="J59" s="504">
        <v>22396</v>
      </c>
      <c r="K59" s="504">
        <v>22117</v>
      </c>
      <c r="L59" s="504">
        <v>21762</v>
      </c>
      <c r="M59" s="504">
        <v>21505</v>
      </c>
      <c r="N59" s="504">
        <v>21647</v>
      </c>
      <c r="O59" s="504">
        <v>21519</v>
      </c>
      <c r="P59" s="504">
        <v>21358</v>
      </c>
      <c r="Q59" s="504">
        <v>20970</v>
      </c>
      <c r="R59" s="504">
        <v>20532</v>
      </c>
      <c r="S59" s="504">
        <v>20375</v>
      </c>
      <c r="T59" s="504">
        <v>20412</v>
      </c>
      <c r="U59" s="504">
        <v>20324</v>
      </c>
      <c r="V59" s="504">
        <v>22325</v>
      </c>
      <c r="W59" s="504">
        <v>20319</v>
      </c>
      <c r="Y59" s="662">
        <f>((((E59/D59))^(1/3))-1)*100</f>
        <v>-4.1478281833888797</v>
      </c>
      <c r="Z59" s="662">
        <f>((((P59/E59))^(1/11))-1)*100</f>
        <v>-0.69734489610933093</v>
      </c>
      <c r="AA59" s="733">
        <f>((((W59/D59))^(1/21))-1)*100</f>
        <v>-1.2019363889294365</v>
      </c>
      <c r="AB59" s="733">
        <f>((((W59/P59))^(1/7))-1)*100</f>
        <v>-0.70989635892132474</v>
      </c>
      <c r="AC59" s="257"/>
      <c r="AD59" s="733">
        <f>((W59/D59)-1)*100</f>
        <v>-22.425838964608868</v>
      </c>
    </row>
    <row r="60" spans="1:30">
      <c r="A60" s="256" t="s">
        <v>1232</v>
      </c>
      <c r="D60" s="503"/>
      <c r="E60" s="754"/>
      <c r="F60" s="504"/>
      <c r="G60" s="504"/>
      <c r="H60" s="504"/>
      <c r="I60" s="504"/>
      <c r="J60" s="504"/>
      <c r="K60" s="504"/>
      <c r="L60" s="504"/>
      <c r="M60" s="504"/>
      <c r="N60" s="504" t="s">
        <v>1787</v>
      </c>
      <c r="O60" s="504"/>
      <c r="P60" s="504"/>
      <c r="Q60" s="504"/>
      <c r="R60" s="504"/>
      <c r="S60" s="504"/>
      <c r="T60" s="504"/>
      <c r="U60" s="504"/>
      <c r="V60" s="504"/>
      <c r="W60" s="504"/>
      <c r="Y60" s="662"/>
      <c r="Z60" s="662"/>
      <c r="AA60" s="662"/>
      <c r="AB60" s="662"/>
      <c r="AC60" s="262"/>
      <c r="AD60" s="662"/>
    </row>
    <row r="61" spans="1:30">
      <c r="A61" s="256" t="s">
        <v>545</v>
      </c>
      <c r="D61" s="503">
        <v>7357</v>
      </c>
      <c r="E61" s="754">
        <v>8180</v>
      </c>
      <c r="F61" s="504">
        <v>8465</v>
      </c>
      <c r="G61" s="504">
        <v>8124</v>
      </c>
      <c r="H61" s="504">
        <v>8626</v>
      </c>
      <c r="I61" s="504">
        <v>8654</v>
      </c>
      <c r="J61" s="504">
        <v>8865</v>
      </c>
      <c r="K61" s="504">
        <v>8707</v>
      </c>
      <c r="L61" s="504">
        <v>7934</v>
      </c>
      <c r="M61" s="504">
        <v>7808</v>
      </c>
      <c r="N61" s="504">
        <v>7735</v>
      </c>
      <c r="O61" s="504">
        <v>7602</v>
      </c>
      <c r="P61" s="504">
        <v>7463</v>
      </c>
      <c r="Q61" s="504">
        <v>7361</v>
      </c>
      <c r="R61" s="504">
        <v>7205</v>
      </c>
      <c r="S61" s="504">
        <v>6993</v>
      </c>
      <c r="T61" s="504">
        <v>6869</v>
      </c>
      <c r="U61" s="504">
        <v>6730</v>
      </c>
      <c r="V61" s="504">
        <v>6604</v>
      </c>
      <c r="W61" s="504">
        <v>7365</v>
      </c>
      <c r="Y61" s="662">
        <f>((((E61/D61))^(1/3))-1)*100</f>
        <v>3.5978754673225977</v>
      </c>
      <c r="Z61" s="662">
        <f>((((P61/E61))^(1/11))-1)*100</f>
        <v>-0.83048383820371052</v>
      </c>
      <c r="AA61" s="733">
        <f>((((W61/D61))^(1/21))-1)*100</f>
        <v>5.1754147031290998E-3</v>
      </c>
      <c r="AB61" s="733">
        <f>((((W61/P61))^(1/7))-1)*100</f>
        <v>-0.18865650854074101</v>
      </c>
      <c r="AC61" s="257"/>
      <c r="AD61" s="733">
        <f>((W61/D61)-1)*100</f>
        <v>0.10873997553351167</v>
      </c>
    </row>
    <row r="62" spans="1:30">
      <c r="A62" s="256" t="s">
        <v>1219</v>
      </c>
      <c r="D62" s="503" t="s">
        <v>374</v>
      </c>
      <c r="E62" s="754">
        <v>11248</v>
      </c>
      <c r="F62" s="504">
        <v>11746</v>
      </c>
      <c r="G62" s="504">
        <v>11676</v>
      </c>
      <c r="H62" s="504">
        <v>12060</v>
      </c>
      <c r="I62" s="504">
        <v>12146</v>
      </c>
      <c r="J62" s="504">
        <v>12430</v>
      </c>
      <c r="K62" s="504">
        <v>12213</v>
      </c>
      <c r="L62" s="504">
        <v>12019</v>
      </c>
      <c r="M62" s="504">
        <v>11830</v>
      </c>
      <c r="N62" s="504">
        <v>11721</v>
      </c>
      <c r="O62" s="504">
        <v>11520</v>
      </c>
      <c r="P62" s="504">
        <v>11308</v>
      </c>
      <c r="Q62" s="504">
        <v>11152</v>
      </c>
      <c r="R62" s="504">
        <v>10911</v>
      </c>
      <c r="S62" s="504">
        <v>10646</v>
      </c>
      <c r="T62" s="504">
        <v>10452</v>
      </c>
      <c r="U62" s="504">
        <v>11108</v>
      </c>
      <c r="V62" s="504">
        <v>10903</v>
      </c>
      <c r="W62" s="504">
        <v>11125</v>
      </c>
      <c r="Y62" s="662" t="s">
        <v>374</v>
      </c>
      <c r="Z62" s="662">
        <f>((((P62/E62))^(1/11))-1)*100</f>
        <v>4.8376286307827421E-2</v>
      </c>
      <c r="AA62" s="733">
        <f>((((W62/E62))^(1/18))-1)*100</f>
        <v>-6.1067496298738977E-2</v>
      </c>
      <c r="AB62" s="733">
        <f>((((W62/P62))^(1/7))-1)*100</f>
        <v>-0.23280874736484325</v>
      </c>
      <c r="AC62" s="257"/>
      <c r="AD62" s="733">
        <f>((W62/E62)-1)*100</f>
        <v>-1.0935277382645769</v>
      </c>
    </row>
    <row r="63" spans="1:30">
      <c r="A63" s="256" t="s">
        <v>1222</v>
      </c>
      <c r="D63" s="503">
        <v>15056</v>
      </c>
      <c r="E63" s="754">
        <v>16365</v>
      </c>
      <c r="F63" s="504">
        <v>16787</v>
      </c>
      <c r="G63" s="504">
        <v>16810</v>
      </c>
      <c r="H63" s="504">
        <v>17351</v>
      </c>
      <c r="I63" s="504">
        <v>17396</v>
      </c>
      <c r="J63" s="504">
        <v>17773</v>
      </c>
      <c r="K63" s="504">
        <v>17446</v>
      </c>
      <c r="L63" s="504">
        <v>17167</v>
      </c>
      <c r="M63" s="504">
        <v>16834</v>
      </c>
      <c r="N63" s="504">
        <v>16679</v>
      </c>
      <c r="O63" s="504">
        <v>16405</v>
      </c>
      <c r="P63" s="504">
        <v>16162</v>
      </c>
      <c r="Q63" s="504">
        <v>16040</v>
      </c>
      <c r="R63" s="504">
        <v>15284</v>
      </c>
      <c r="S63" s="504">
        <v>14836</v>
      </c>
      <c r="T63" s="504">
        <v>14674</v>
      </c>
      <c r="U63" s="504">
        <v>14540</v>
      </c>
      <c r="V63" s="504">
        <v>15262</v>
      </c>
      <c r="W63" s="504">
        <v>16230</v>
      </c>
      <c r="Y63" s="662">
        <f>((((E63/D63))^(1/3))-1)*100</f>
        <v>2.8179169973111762</v>
      </c>
      <c r="Z63" s="662">
        <f>((((P63/E63))^(1/11))-1)*100</f>
        <v>-0.11340928066635447</v>
      </c>
      <c r="AA63" s="733">
        <f>((((W63/D63))^(1/21))-1)*100</f>
        <v>0.35818662096120946</v>
      </c>
      <c r="AB63" s="733">
        <f>((((W63/P63))^(1/7))-1)*100</f>
        <v>5.9997615877138699E-2</v>
      </c>
      <c r="AC63" s="257"/>
      <c r="AD63" s="733">
        <f>((W63/D63)-1)*100</f>
        <v>7.7975557917109528</v>
      </c>
    </row>
    <row r="64" spans="1:30">
      <c r="A64" s="256" t="s">
        <v>1221</v>
      </c>
      <c r="D64" s="503">
        <v>21709</v>
      </c>
      <c r="E64" s="754">
        <v>21378</v>
      </c>
      <c r="F64" s="504">
        <v>21740</v>
      </c>
      <c r="G64" s="504">
        <v>21736</v>
      </c>
      <c r="H64" s="504">
        <v>22563</v>
      </c>
      <c r="I64" s="504">
        <v>22648</v>
      </c>
      <c r="J64" s="504">
        <v>23230</v>
      </c>
      <c r="K64" s="504">
        <v>22804</v>
      </c>
      <c r="L64" s="504">
        <v>22437</v>
      </c>
      <c r="M64" s="504">
        <v>21960</v>
      </c>
      <c r="N64" s="504">
        <v>21757</v>
      </c>
      <c r="O64" s="504">
        <v>21412</v>
      </c>
      <c r="P64" s="504">
        <v>21104</v>
      </c>
      <c r="Q64" s="504">
        <v>20990</v>
      </c>
      <c r="R64" s="504">
        <v>20325</v>
      </c>
      <c r="S64" s="504">
        <v>19624</v>
      </c>
      <c r="T64" s="504">
        <v>19445</v>
      </c>
      <c r="U64" s="504">
        <v>19249</v>
      </c>
      <c r="V64" s="504">
        <v>19641</v>
      </c>
      <c r="W64" s="504">
        <v>20283</v>
      </c>
      <c r="Y64" s="662">
        <f>((((E64/D64))^(1/3))-1)*100</f>
        <v>-0.5108429120030622</v>
      </c>
      <c r="Z64" s="662">
        <f>((((P64/E64))^(1/11))-1)*100</f>
        <v>-0.11720180930293589</v>
      </c>
      <c r="AA64" s="733">
        <f>((((W64/D64))^(1/21))-1)*100</f>
        <v>-0.32301918743703473</v>
      </c>
      <c r="AB64" s="733">
        <f>((((W64/P64))^(1/7))-1)*100</f>
        <v>-0.5652464253629752</v>
      </c>
      <c r="AC64" s="257"/>
      <c r="AD64" s="733">
        <f>((W64/D64)-1)*100</f>
        <v>-6.5687042240545441</v>
      </c>
    </row>
    <row r="66" spans="1:30">
      <c r="A66" s="256" t="s">
        <v>1789</v>
      </c>
    </row>
    <row r="67" spans="1:30">
      <c r="A67" s="256" t="s">
        <v>1792</v>
      </c>
    </row>
    <row r="68" spans="1:30">
      <c r="A68" s="256" t="s">
        <v>388</v>
      </c>
    </row>
    <row r="69" spans="1:30" ht="15.75">
      <c r="A69" s="265" t="s">
        <v>1771</v>
      </c>
    </row>
    <row r="70" spans="1:30" ht="30.75" customHeight="1">
      <c r="A70" s="1234" t="s">
        <v>1914</v>
      </c>
      <c r="B70" s="1188"/>
      <c r="C70" s="1188"/>
      <c r="D70" s="1188"/>
      <c r="E70" s="1188"/>
      <c r="F70" s="1188"/>
      <c r="G70" s="1188"/>
      <c r="H70" s="1188"/>
      <c r="I70" s="1188"/>
      <c r="J70" s="1188"/>
      <c r="K70" s="1188"/>
      <c r="L70" s="1188"/>
      <c r="M70" s="1188"/>
      <c r="N70" s="1188"/>
      <c r="O70" s="1188"/>
      <c r="P70" s="1188"/>
      <c r="Q70" s="1188"/>
      <c r="R70" s="1188"/>
      <c r="S70" s="1188"/>
      <c r="T70" s="1188"/>
      <c r="U70" s="1188"/>
      <c r="V70" s="1188"/>
      <c r="W70" s="1188"/>
      <c r="X70" s="1188"/>
      <c r="Y70" s="1188"/>
      <c r="Z70" s="1188"/>
      <c r="AA70" s="1188"/>
      <c r="AB70" s="1188"/>
      <c r="AC70" s="1188"/>
      <c r="AD70" s="1188"/>
    </row>
    <row r="71" spans="1:30" ht="12.75" customHeight="1">
      <c r="A71" s="256" t="s">
        <v>1790</v>
      </c>
    </row>
    <row r="72" spans="1:30">
      <c r="A72" s="256" t="s">
        <v>1791</v>
      </c>
    </row>
    <row r="77" spans="1:30">
      <c r="B77" s="757"/>
      <c r="C77" s="757"/>
      <c r="D77" s="757"/>
      <c r="E77" s="757"/>
      <c r="F77" s="757"/>
      <c r="G77" s="757"/>
      <c r="H77" s="757"/>
      <c r="I77" s="757"/>
      <c r="J77" s="757"/>
      <c r="K77" s="757"/>
      <c r="L77" s="757"/>
      <c r="M77" s="757"/>
      <c r="N77" s="757"/>
      <c r="O77" s="757"/>
      <c r="P77" s="757"/>
      <c r="Q77" s="757"/>
      <c r="R77" s="757"/>
      <c r="S77" s="757"/>
      <c r="T77" s="757"/>
      <c r="U77" s="757"/>
    </row>
    <row r="78" spans="1:30">
      <c r="B78" s="757"/>
      <c r="C78" s="757"/>
      <c r="D78" s="757"/>
      <c r="E78" s="757"/>
      <c r="F78" s="757"/>
      <c r="G78" s="757"/>
      <c r="H78" s="757"/>
      <c r="I78" s="757"/>
      <c r="J78" s="757"/>
      <c r="L78" s="757"/>
      <c r="M78" s="757"/>
      <c r="N78" s="757"/>
      <c r="O78" s="757"/>
      <c r="P78" s="757"/>
      <c r="Q78" s="757"/>
      <c r="R78" s="757"/>
      <c r="S78" s="757"/>
      <c r="T78" s="757"/>
      <c r="U78" s="757"/>
    </row>
    <row r="79" spans="1:30">
      <c r="B79" s="757"/>
      <c r="C79" s="757"/>
      <c r="D79" s="757"/>
      <c r="E79" s="757"/>
      <c r="F79" s="757"/>
      <c r="G79" s="757"/>
      <c r="H79" s="757"/>
      <c r="I79" s="757"/>
      <c r="J79" s="757"/>
      <c r="K79" s="757"/>
      <c r="L79" s="757"/>
      <c r="M79" s="757"/>
      <c r="N79" s="757"/>
      <c r="O79" s="757"/>
      <c r="P79" s="757"/>
      <c r="Q79" s="757"/>
      <c r="R79" s="757"/>
      <c r="S79" s="757"/>
      <c r="T79" s="757"/>
      <c r="U79" s="757"/>
    </row>
    <row r="80" spans="1:30">
      <c r="B80" s="757"/>
      <c r="C80" s="757"/>
      <c r="D80" s="757"/>
      <c r="E80" s="757"/>
      <c r="F80" s="757"/>
      <c r="G80" s="757"/>
      <c r="H80" s="757"/>
      <c r="I80" s="757"/>
      <c r="J80" s="757"/>
      <c r="K80" s="757"/>
      <c r="L80" s="757"/>
      <c r="M80" s="757"/>
      <c r="N80" s="757"/>
      <c r="O80" s="757"/>
      <c r="P80" s="757"/>
      <c r="Q80" s="757"/>
      <c r="R80" s="757"/>
      <c r="S80" s="757"/>
      <c r="T80" s="757"/>
      <c r="U80" s="757"/>
    </row>
    <row r="82" spans="2:21">
      <c r="B82" s="757"/>
      <c r="C82" s="757"/>
      <c r="D82" s="757"/>
      <c r="E82" s="757"/>
      <c r="F82" s="757"/>
      <c r="G82" s="757"/>
      <c r="H82" s="757"/>
      <c r="I82" s="757"/>
      <c r="J82" s="757"/>
      <c r="K82" s="757"/>
      <c r="L82" s="757"/>
      <c r="M82" s="757"/>
      <c r="N82" s="757"/>
      <c r="O82" s="757"/>
      <c r="P82" s="757"/>
      <c r="Q82" s="757"/>
      <c r="R82" s="757"/>
      <c r="S82" s="757"/>
      <c r="T82" s="757"/>
      <c r="U82" s="757"/>
    </row>
    <row r="83" spans="2:21">
      <c r="B83" s="757"/>
      <c r="C83" s="757"/>
      <c r="D83" s="757"/>
      <c r="E83" s="757"/>
      <c r="F83" s="757"/>
      <c r="G83" s="757"/>
      <c r="H83" s="757"/>
      <c r="I83" s="757"/>
      <c r="J83" s="757"/>
      <c r="L83" s="757"/>
      <c r="M83" s="757"/>
      <c r="N83" s="757"/>
      <c r="O83" s="757"/>
      <c r="P83" s="757"/>
      <c r="Q83" s="757"/>
      <c r="R83" s="757"/>
      <c r="S83" s="757"/>
      <c r="T83" s="757"/>
      <c r="U83" s="757"/>
    </row>
    <row r="84" spans="2:21">
      <c r="B84" s="757"/>
      <c r="C84" s="757"/>
      <c r="D84" s="757"/>
      <c r="E84" s="757"/>
      <c r="F84" s="757"/>
      <c r="G84" s="757"/>
      <c r="H84" s="757"/>
      <c r="I84" s="757"/>
      <c r="J84" s="757"/>
      <c r="K84" s="757"/>
      <c r="L84" s="757"/>
      <c r="M84" s="757"/>
      <c r="N84" s="757"/>
      <c r="O84" s="757"/>
      <c r="P84" s="757"/>
      <c r="Q84" s="757"/>
      <c r="R84" s="757"/>
      <c r="S84" s="757"/>
      <c r="T84" s="757"/>
      <c r="U84" s="757"/>
    </row>
    <row r="85" spans="2:21">
      <c r="B85" s="757"/>
      <c r="C85" s="757"/>
      <c r="D85" s="757"/>
      <c r="E85" s="757"/>
      <c r="F85" s="757"/>
      <c r="G85" s="757"/>
      <c r="H85" s="757"/>
      <c r="I85" s="757"/>
      <c r="J85" s="757"/>
      <c r="K85" s="757"/>
      <c r="L85" s="757"/>
      <c r="M85" s="757"/>
      <c r="N85" s="757"/>
      <c r="O85" s="757"/>
      <c r="P85" s="757"/>
      <c r="Q85" s="757"/>
      <c r="R85" s="757"/>
      <c r="S85" s="757"/>
      <c r="T85" s="757"/>
      <c r="U85" s="757"/>
    </row>
    <row r="87" spans="2:21">
      <c r="B87" s="757"/>
      <c r="C87" s="757"/>
      <c r="D87" s="757"/>
      <c r="E87" s="757"/>
      <c r="F87" s="757"/>
      <c r="G87" s="757"/>
      <c r="H87" s="757"/>
      <c r="I87" s="757"/>
      <c r="J87" s="757"/>
      <c r="K87" s="757"/>
      <c r="L87" s="757"/>
      <c r="M87" s="757"/>
      <c r="N87" s="757"/>
      <c r="O87" s="757"/>
      <c r="P87" s="757"/>
      <c r="Q87" s="757"/>
      <c r="R87" s="757"/>
      <c r="S87" s="757"/>
      <c r="T87" s="757"/>
      <c r="U87" s="757"/>
    </row>
    <row r="88" spans="2:21">
      <c r="B88" s="757"/>
      <c r="C88" s="757"/>
      <c r="D88" s="757"/>
      <c r="E88" s="757"/>
      <c r="F88" s="757"/>
      <c r="G88" s="757"/>
      <c r="H88" s="757"/>
      <c r="I88" s="757"/>
      <c r="J88" s="757"/>
      <c r="L88" s="757"/>
      <c r="M88" s="757"/>
      <c r="N88" s="757"/>
      <c r="O88" s="757"/>
      <c r="P88" s="757"/>
      <c r="Q88" s="757"/>
      <c r="R88" s="757"/>
      <c r="S88" s="757"/>
      <c r="T88" s="757"/>
      <c r="U88" s="757"/>
    </row>
    <row r="89" spans="2:21">
      <c r="B89" s="757"/>
      <c r="C89" s="757"/>
      <c r="D89" s="757"/>
      <c r="E89" s="757"/>
      <c r="F89" s="757"/>
      <c r="G89" s="757"/>
      <c r="H89" s="757"/>
      <c r="I89" s="757"/>
      <c r="J89" s="757"/>
      <c r="K89" s="757"/>
      <c r="L89" s="757"/>
      <c r="M89" s="757"/>
      <c r="N89" s="757"/>
      <c r="O89" s="757"/>
      <c r="P89" s="757"/>
      <c r="Q89" s="757"/>
      <c r="R89" s="757"/>
      <c r="S89" s="757"/>
      <c r="T89" s="757"/>
      <c r="U89" s="757"/>
    </row>
    <row r="90" spans="2:21">
      <c r="B90" s="757"/>
      <c r="C90" s="757"/>
      <c r="D90" s="757"/>
      <c r="E90" s="757"/>
      <c r="F90" s="757"/>
      <c r="G90" s="757"/>
      <c r="H90" s="757"/>
      <c r="I90" s="757"/>
      <c r="J90" s="757"/>
      <c r="K90" s="757"/>
      <c r="L90" s="757"/>
      <c r="M90" s="757"/>
      <c r="N90" s="757"/>
      <c r="O90" s="757"/>
      <c r="P90" s="757"/>
      <c r="Q90" s="757"/>
      <c r="R90" s="757"/>
      <c r="S90" s="757"/>
      <c r="T90" s="757"/>
      <c r="U90" s="757"/>
    </row>
    <row r="92" spans="2:21">
      <c r="B92" s="757"/>
      <c r="C92" s="757"/>
      <c r="D92" s="757"/>
      <c r="E92" s="757"/>
      <c r="F92" s="757"/>
      <c r="G92" s="757"/>
      <c r="H92" s="757"/>
      <c r="I92" s="757"/>
      <c r="J92" s="757"/>
      <c r="K92" s="757"/>
      <c r="L92" s="757"/>
      <c r="M92" s="757"/>
      <c r="N92" s="757"/>
      <c r="O92" s="757"/>
      <c r="P92" s="757"/>
      <c r="Q92" s="757"/>
      <c r="R92" s="757"/>
      <c r="S92" s="757"/>
      <c r="T92" s="757"/>
      <c r="U92" s="757"/>
    </row>
    <row r="93" spans="2:21">
      <c r="B93" s="757"/>
      <c r="C93" s="757"/>
      <c r="D93" s="757"/>
      <c r="E93" s="757"/>
      <c r="F93" s="757"/>
      <c r="G93" s="757"/>
      <c r="H93" s="757"/>
      <c r="I93" s="757"/>
      <c r="J93" s="757"/>
      <c r="L93" s="757"/>
      <c r="M93" s="757"/>
      <c r="N93" s="757"/>
      <c r="O93" s="757"/>
      <c r="P93" s="757"/>
      <c r="Q93" s="757"/>
      <c r="R93" s="757"/>
      <c r="S93" s="757"/>
      <c r="T93" s="757"/>
      <c r="U93" s="757"/>
    </row>
    <row r="94" spans="2:21">
      <c r="B94" s="757"/>
      <c r="C94" s="757"/>
      <c r="D94" s="757"/>
      <c r="E94" s="757"/>
      <c r="F94" s="757"/>
      <c r="G94" s="757"/>
      <c r="H94" s="757"/>
      <c r="I94" s="757"/>
      <c r="J94" s="757"/>
      <c r="K94" s="757"/>
      <c r="L94" s="757"/>
      <c r="M94" s="757"/>
      <c r="N94" s="757"/>
      <c r="O94" s="757"/>
      <c r="P94" s="757"/>
      <c r="Q94" s="757"/>
      <c r="R94" s="757"/>
      <c r="S94" s="757"/>
      <c r="T94" s="757"/>
      <c r="U94" s="757"/>
    </row>
    <row r="95" spans="2:21">
      <c r="B95" s="757"/>
      <c r="C95" s="757"/>
      <c r="D95" s="757"/>
      <c r="E95" s="757"/>
      <c r="F95" s="757"/>
      <c r="G95" s="757"/>
      <c r="H95" s="757"/>
      <c r="I95" s="757"/>
      <c r="J95" s="757"/>
      <c r="K95" s="757"/>
      <c r="L95" s="757"/>
      <c r="M95" s="757"/>
      <c r="N95" s="757"/>
      <c r="O95" s="757"/>
      <c r="P95" s="757"/>
      <c r="Q95" s="757"/>
      <c r="R95" s="757"/>
      <c r="S95" s="757"/>
      <c r="T95" s="757"/>
      <c r="U95" s="757"/>
    </row>
    <row r="97" spans="2:21">
      <c r="B97" s="757"/>
      <c r="C97" s="757"/>
      <c r="D97" s="757"/>
      <c r="E97" s="757"/>
      <c r="F97" s="757"/>
      <c r="G97" s="757"/>
      <c r="H97" s="757"/>
      <c r="I97" s="757"/>
      <c r="J97" s="757"/>
      <c r="K97" s="757"/>
      <c r="L97" s="757"/>
      <c r="M97" s="757"/>
      <c r="N97" s="757"/>
      <c r="O97" s="757"/>
      <c r="P97" s="757"/>
      <c r="Q97" s="757"/>
      <c r="R97" s="757"/>
      <c r="S97" s="757"/>
      <c r="T97" s="757"/>
      <c r="U97" s="757"/>
    </row>
    <row r="98" spans="2:21">
      <c r="B98" s="757"/>
      <c r="C98" s="757"/>
      <c r="D98" s="757"/>
      <c r="E98" s="757"/>
      <c r="F98" s="757"/>
      <c r="G98" s="757"/>
      <c r="H98" s="757"/>
      <c r="I98" s="757"/>
      <c r="J98" s="757"/>
      <c r="L98" s="757"/>
      <c r="M98" s="757"/>
      <c r="N98" s="757"/>
      <c r="O98" s="757"/>
      <c r="P98" s="757"/>
      <c r="Q98" s="757"/>
      <c r="R98" s="757"/>
      <c r="S98" s="757"/>
      <c r="T98" s="757"/>
      <c r="U98" s="757"/>
    </row>
    <row r="99" spans="2:21">
      <c r="B99" s="757"/>
      <c r="C99" s="757"/>
      <c r="D99" s="757"/>
      <c r="E99" s="757"/>
      <c r="F99" s="757"/>
      <c r="G99" s="757"/>
      <c r="H99" s="757"/>
      <c r="I99" s="757"/>
      <c r="J99" s="757"/>
      <c r="K99" s="757"/>
      <c r="L99" s="757"/>
      <c r="M99" s="757"/>
      <c r="N99" s="757"/>
      <c r="O99" s="757"/>
      <c r="P99" s="757"/>
      <c r="Q99" s="757"/>
      <c r="R99" s="757"/>
      <c r="S99" s="757"/>
      <c r="T99" s="757"/>
      <c r="U99" s="757"/>
    </row>
    <row r="100" spans="2:21">
      <c r="B100" s="757"/>
      <c r="C100" s="757"/>
      <c r="D100" s="757"/>
      <c r="E100" s="757"/>
      <c r="F100" s="757"/>
      <c r="G100" s="757"/>
      <c r="H100" s="757"/>
      <c r="I100" s="757"/>
      <c r="J100" s="757"/>
      <c r="K100" s="757"/>
      <c r="L100" s="757"/>
      <c r="M100" s="757"/>
      <c r="N100" s="757"/>
      <c r="O100" s="757"/>
      <c r="P100" s="757"/>
      <c r="Q100" s="757"/>
      <c r="R100" s="757"/>
      <c r="S100" s="757"/>
      <c r="T100" s="757"/>
      <c r="U100" s="757"/>
    </row>
    <row r="102" spans="2:21">
      <c r="B102" s="757"/>
      <c r="C102" s="757"/>
      <c r="D102" s="757"/>
      <c r="E102" s="757"/>
      <c r="F102" s="757"/>
      <c r="G102" s="757"/>
      <c r="H102" s="757"/>
      <c r="I102" s="757"/>
      <c r="J102" s="757"/>
      <c r="K102" s="757"/>
      <c r="L102" s="757"/>
      <c r="M102" s="757"/>
      <c r="N102" s="757"/>
      <c r="O102" s="757"/>
      <c r="P102" s="757"/>
      <c r="Q102" s="757"/>
      <c r="R102" s="757"/>
      <c r="S102" s="757"/>
      <c r="T102" s="757"/>
      <c r="U102" s="757"/>
    </row>
    <row r="103" spans="2:21">
      <c r="B103" s="757"/>
      <c r="C103" s="757"/>
      <c r="D103" s="757"/>
      <c r="E103" s="757"/>
      <c r="F103" s="757"/>
      <c r="G103" s="757"/>
      <c r="H103" s="757"/>
      <c r="I103" s="757"/>
      <c r="J103" s="757"/>
      <c r="L103" s="757"/>
      <c r="M103" s="757"/>
      <c r="N103" s="757"/>
      <c r="O103" s="757"/>
      <c r="P103" s="757"/>
      <c r="Q103" s="757"/>
      <c r="R103" s="757"/>
      <c r="S103" s="757"/>
      <c r="T103" s="757"/>
      <c r="U103" s="757"/>
    </row>
    <row r="104" spans="2:21">
      <c r="B104" s="757"/>
      <c r="C104" s="757"/>
      <c r="D104" s="757"/>
      <c r="E104" s="757"/>
      <c r="F104" s="757"/>
      <c r="G104" s="757"/>
      <c r="H104" s="757"/>
      <c r="I104" s="757"/>
      <c r="J104" s="757"/>
      <c r="K104" s="757"/>
      <c r="L104" s="757"/>
      <c r="M104" s="757"/>
      <c r="N104" s="757"/>
      <c r="O104" s="757"/>
      <c r="P104" s="757"/>
      <c r="Q104" s="757"/>
      <c r="R104" s="757"/>
      <c r="S104" s="757"/>
      <c r="T104" s="757"/>
      <c r="U104" s="757"/>
    </row>
    <row r="105" spans="2:21">
      <c r="B105" s="757"/>
      <c r="C105" s="757"/>
      <c r="D105" s="757"/>
      <c r="E105" s="757"/>
      <c r="F105" s="757"/>
      <c r="G105" s="757"/>
      <c r="H105" s="757"/>
      <c r="I105" s="757"/>
      <c r="J105" s="757"/>
      <c r="K105" s="757"/>
      <c r="L105" s="757"/>
      <c r="M105" s="757"/>
      <c r="N105" s="757"/>
      <c r="O105" s="757"/>
      <c r="P105" s="757"/>
      <c r="Q105" s="757"/>
      <c r="R105" s="757"/>
      <c r="S105" s="757"/>
      <c r="T105" s="757"/>
      <c r="U105" s="757"/>
    </row>
    <row r="108" spans="2:21">
      <c r="B108" s="757"/>
      <c r="C108" s="757"/>
      <c r="D108" s="757"/>
      <c r="E108" s="757"/>
      <c r="F108" s="757"/>
      <c r="G108" s="757"/>
      <c r="H108" s="757"/>
      <c r="I108" s="757"/>
      <c r="J108" s="757"/>
      <c r="K108" s="757"/>
      <c r="L108" s="757"/>
      <c r="M108" s="757"/>
      <c r="N108" s="757"/>
      <c r="O108" s="757"/>
      <c r="P108" s="757"/>
      <c r="Q108" s="757"/>
      <c r="R108" s="757"/>
      <c r="S108" s="757"/>
      <c r="T108" s="757"/>
      <c r="U108" s="757"/>
    </row>
    <row r="109" spans="2:21">
      <c r="B109" s="757"/>
      <c r="C109" s="757"/>
      <c r="D109" s="757"/>
      <c r="E109" s="757"/>
      <c r="F109" s="757"/>
      <c r="G109" s="757"/>
      <c r="H109" s="757"/>
      <c r="I109" s="757"/>
      <c r="J109" s="757"/>
      <c r="L109" s="757"/>
      <c r="M109" s="757"/>
      <c r="N109" s="757"/>
      <c r="O109" s="757"/>
      <c r="P109" s="757"/>
      <c r="Q109" s="757"/>
      <c r="R109" s="757"/>
      <c r="S109" s="757"/>
      <c r="T109" s="757"/>
      <c r="U109" s="757"/>
    </row>
    <row r="110" spans="2:21">
      <c r="B110" s="757"/>
      <c r="C110" s="757"/>
      <c r="D110" s="757"/>
      <c r="E110" s="757"/>
      <c r="F110" s="757"/>
      <c r="G110" s="757"/>
      <c r="H110" s="757"/>
      <c r="I110" s="757"/>
      <c r="J110" s="757"/>
      <c r="K110" s="757"/>
      <c r="L110" s="757"/>
      <c r="M110" s="757"/>
      <c r="N110" s="757"/>
      <c r="O110" s="757"/>
      <c r="P110" s="757"/>
      <c r="Q110" s="757"/>
      <c r="R110" s="757"/>
      <c r="S110" s="757"/>
      <c r="T110" s="757"/>
      <c r="U110" s="757"/>
    </row>
    <row r="111" spans="2:21">
      <c r="B111" s="757"/>
      <c r="C111" s="757"/>
      <c r="D111" s="757"/>
      <c r="E111" s="757"/>
      <c r="F111" s="757"/>
      <c r="G111" s="757"/>
      <c r="H111" s="757"/>
      <c r="I111" s="757"/>
      <c r="J111" s="757"/>
      <c r="K111" s="757"/>
      <c r="L111" s="757"/>
      <c r="M111" s="757"/>
      <c r="N111" s="757"/>
      <c r="O111" s="757"/>
      <c r="P111" s="757"/>
      <c r="Q111" s="757"/>
      <c r="R111" s="757"/>
      <c r="S111" s="757"/>
      <c r="T111" s="757"/>
      <c r="U111" s="757"/>
    </row>
    <row r="113" spans="2:21">
      <c r="B113" s="757"/>
      <c r="C113" s="757"/>
      <c r="D113" s="757"/>
      <c r="E113" s="757"/>
      <c r="F113" s="757"/>
      <c r="G113" s="757"/>
      <c r="H113" s="757"/>
      <c r="I113" s="757"/>
      <c r="J113" s="757"/>
      <c r="K113" s="757"/>
      <c r="L113" s="757"/>
      <c r="M113" s="757"/>
      <c r="N113" s="757"/>
      <c r="O113" s="757"/>
      <c r="P113" s="757"/>
      <c r="Q113" s="757"/>
      <c r="R113" s="757"/>
      <c r="S113" s="757"/>
      <c r="T113" s="757"/>
      <c r="U113" s="757"/>
    </row>
    <row r="114" spans="2:21">
      <c r="B114" s="757"/>
      <c r="C114" s="757"/>
      <c r="D114" s="757"/>
      <c r="E114" s="757"/>
      <c r="F114" s="757"/>
      <c r="G114" s="757"/>
      <c r="H114" s="757"/>
      <c r="I114" s="757"/>
      <c r="J114" s="757"/>
      <c r="L114" s="757"/>
      <c r="M114" s="757"/>
      <c r="N114" s="757"/>
      <c r="O114" s="757"/>
      <c r="P114" s="757"/>
      <c r="Q114" s="757"/>
      <c r="R114" s="757"/>
      <c r="S114" s="757"/>
      <c r="T114" s="757"/>
      <c r="U114" s="757"/>
    </row>
    <row r="115" spans="2:21">
      <c r="B115" s="757"/>
      <c r="C115" s="757"/>
      <c r="D115" s="757"/>
      <c r="E115" s="757"/>
      <c r="F115" s="757"/>
      <c r="G115" s="757"/>
      <c r="H115" s="757"/>
      <c r="I115" s="757"/>
      <c r="J115" s="757"/>
      <c r="K115" s="757"/>
      <c r="L115" s="757"/>
      <c r="M115" s="757"/>
      <c r="N115" s="757"/>
      <c r="O115" s="757"/>
      <c r="P115" s="757"/>
      <c r="Q115" s="757"/>
      <c r="R115" s="757"/>
      <c r="S115" s="757"/>
      <c r="T115" s="757"/>
      <c r="U115" s="757"/>
    </row>
    <row r="116" spans="2:21">
      <c r="B116" s="757"/>
      <c r="C116" s="757"/>
      <c r="D116" s="757"/>
      <c r="E116" s="757"/>
      <c r="F116" s="757"/>
      <c r="G116" s="757"/>
      <c r="H116" s="757"/>
      <c r="I116" s="757"/>
      <c r="J116" s="757"/>
      <c r="K116" s="757"/>
      <c r="L116" s="757"/>
      <c r="M116" s="757"/>
      <c r="N116" s="757"/>
      <c r="O116" s="757"/>
      <c r="P116" s="757"/>
      <c r="Q116" s="757"/>
      <c r="R116" s="757"/>
      <c r="S116" s="757"/>
      <c r="T116" s="757"/>
      <c r="U116" s="757"/>
    </row>
    <row r="118" spans="2:21">
      <c r="B118" s="757"/>
      <c r="C118" s="757"/>
      <c r="D118" s="757"/>
      <c r="E118" s="757"/>
      <c r="F118" s="757"/>
      <c r="G118" s="757"/>
      <c r="H118" s="757"/>
      <c r="I118" s="757"/>
      <c r="J118" s="757"/>
      <c r="K118" s="757"/>
      <c r="L118" s="757"/>
      <c r="M118" s="757"/>
      <c r="N118" s="757"/>
      <c r="O118" s="757"/>
      <c r="P118" s="757"/>
      <c r="Q118" s="757"/>
      <c r="R118" s="757"/>
      <c r="S118" s="757"/>
      <c r="T118" s="757"/>
      <c r="U118" s="757"/>
    </row>
    <row r="119" spans="2:21">
      <c r="B119" s="757"/>
      <c r="C119" s="757"/>
      <c r="D119" s="757"/>
      <c r="E119" s="757"/>
      <c r="F119" s="757"/>
      <c r="G119" s="757"/>
      <c r="H119" s="757"/>
      <c r="I119" s="757"/>
      <c r="J119" s="757"/>
      <c r="L119" s="757"/>
      <c r="M119" s="757"/>
      <c r="N119" s="757"/>
      <c r="O119" s="757"/>
      <c r="P119" s="757"/>
      <c r="Q119" s="757"/>
      <c r="R119" s="757"/>
      <c r="S119" s="757"/>
      <c r="T119" s="757"/>
      <c r="U119" s="757"/>
    </row>
    <row r="120" spans="2:21">
      <c r="B120" s="757"/>
      <c r="C120" s="757"/>
      <c r="D120" s="757"/>
      <c r="E120" s="757"/>
      <c r="F120" s="757"/>
      <c r="G120" s="757"/>
      <c r="H120" s="757"/>
      <c r="I120" s="757"/>
      <c r="J120" s="757"/>
      <c r="K120" s="757"/>
      <c r="L120" s="757"/>
      <c r="M120" s="757"/>
      <c r="N120" s="757"/>
      <c r="O120" s="757"/>
      <c r="P120" s="757"/>
      <c r="Q120" s="757"/>
      <c r="R120" s="757"/>
      <c r="S120" s="757"/>
      <c r="T120" s="757"/>
      <c r="U120" s="757"/>
    </row>
    <row r="121" spans="2:21">
      <c r="B121" s="757"/>
      <c r="C121" s="757"/>
      <c r="D121" s="757"/>
      <c r="E121" s="757"/>
      <c r="F121" s="757"/>
      <c r="G121" s="757"/>
      <c r="H121" s="757"/>
      <c r="I121" s="757"/>
      <c r="J121" s="757"/>
      <c r="K121" s="757"/>
      <c r="L121" s="757"/>
      <c r="M121" s="757"/>
      <c r="N121" s="757"/>
      <c r="O121" s="757"/>
      <c r="P121" s="757"/>
      <c r="Q121" s="757"/>
      <c r="R121" s="757"/>
      <c r="S121" s="757"/>
      <c r="T121" s="757"/>
      <c r="U121" s="757"/>
    </row>
    <row r="123" spans="2:21">
      <c r="B123" s="757"/>
      <c r="C123" s="757"/>
      <c r="D123" s="757"/>
      <c r="E123" s="757"/>
      <c r="F123" s="757"/>
      <c r="G123" s="757"/>
      <c r="H123" s="757"/>
      <c r="I123" s="757"/>
      <c r="J123" s="757"/>
      <c r="K123" s="757"/>
      <c r="L123" s="757"/>
      <c r="M123" s="757"/>
      <c r="N123" s="757"/>
      <c r="O123" s="757"/>
      <c r="P123" s="757"/>
      <c r="Q123" s="757"/>
      <c r="R123" s="757"/>
      <c r="S123" s="757"/>
      <c r="T123" s="757"/>
      <c r="U123" s="757"/>
    </row>
    <row r="124" spans="2:21">
      <c r="B124" s="757"/>
      <c r="C124" s="757"/>
      <c r="D124" s="757"/>
      <c r="E124" s="757"/>
      <c r="F124" s="757"/>
      <c r="G124" s="757"/>
      <c r="H124" s="757"/>
      <c r="I124" s="757"/>
      <c r="J124" s="757"/>
      <c r="L124" s="757"/>
      <c r="M124" s="757"/>
      <c r="N124" s="757"/>
      <c r="O124" s="757"/>
      <c r="P124" s="757"/>
      <c r="Q124" s="757"/>
      <c r="R124" s="757"/>
      <c r="S124" s="757"/>
      <c r="T124" s="757"/>
      <c r="U124" s="757"/>
    </row>
    <row r="125" spans="2:21">
      <c r="B125" s="757"/>
      <c r="C125" s="757"/>
      <c r="D125" s="757"/>
      <c r="E125" s="757"/>
      <c r="F125" s="757"/>
      <c r="G125" s="757"/>
      <c r="H125" s="757"/>
      <c r="I125" s="757"/>
      <c r="J125" s="757"/>
      <c r="K125" s="757"/>
      <c r="L125" s="757"/>
      <c r="M125" s="757"/>
      <c r="N125" s="757"/>
      <c r="O125" s="757"/>
      <c r="P125" s="757"/>
      <c r="Q125" s="757"/>
      <c r="R125" s="757"/>
      <c r="S125" s="757"/>
      <c r="T125" s="757"/>
      <c r="U125" s="757"/>
    </row>
    <row r="126" spans="2:21">
      <c r="B126" s="757"/>
      <c r="C126" s="757"/>
      <c r="D126" s="757"/>
      <c r="E126" s="757"/>
      <c r="F126" s="757"/>
      <c r="G126" s="757"/>
      <c r="H126" s="757"/>
      <c r="I126" s="757"/>
      <c r="J126" s="757"/>
      <c r="K126" s="757"/>
      <c r="L126" s="757"/>
      <c r="M126" s="757"/>
      <c r="N126" s="757"/>
      <c r="O126" s="757"/>
      <c r="P126" s="757"/>
      <c r="Q126" s="757"/>
      <c r="R126" s="757"/>
      <c r="S126" s="757"/>
      <c r="T126" s="757"/>
      <c r="U126" s="757"/>
    </row>
    <row r="128" spans="2:21">
      <c r="B128" s="757"/>
      <c r="C128" s="757"/>
      <c r="D128" s="757"/>
      <c r="E128" s="757"/>
      <c r="F128" s="757"/>
      <c r="G128" s="757"/>
      <c r="H128" s="757"/>
      <c r="I128" s="757"/>
      <c r="J128" s="757"/>
      <c r="K128" s="757"/>
      <c r="L128" s="757"/>
      <c r="M128" s="757"/>
      <c r="N128" s="757"/>
      <c r="O128" s="757"/>
      <c r="P128" s="757"/>
      <c r="Q128" s="757"/>
      <c r="R128" s="757"/>
      <c r="S128" s="757"/>
      <c r="T128" s="757"/>
      <c r="U128" s="757"/>
    </row>
    <row r="129" spans="2:21">
      <c r="B129" s="757"/>
      <c r="C129" s="757"/>
      <c r="D129" s="757"/>
      <c r="E129" s="757"/>
      <c r="F129" s="757"/>
      <c r="G129" s="757"/>
      <c r="H129" s="757"/>
      <c r="I129" s="757"/>
      <c r="J129" s="757"/>
      <c r="L129" s="757"/>
      <c r="M129" s="757"/>
      <c r="N129" s="757"/>
      <c r="O129" s="757"/>
      <c r="P129" s="757"/>
      <c r="Q129" s="757"/>
      <c r="R129" s="757"/>
      <c r="S129" s="757"/>
      <c r="T129" s="757"/>
      <c r="U129" s="757"/>
    </row>
    <row r="130" spans="2:21">
      <c r="B130" s="757"/>
      <c r="C130" s="757"/>
      <c r="D130" s="757"/>
      <c r="E130" s="757"/>
      <c r="F130" s="757"/>
      <c r="G130" s="757"/>
      <c r="H130" s="757"/>
      <c r="I130" s="757"/>
      <c r="J130" s="757"/>
      <c r="K130" s="757"/>
      <c r="L130" s="757"/>
      <c r="M130" s="757"/>
      <c r="N130" s="757"/>
      <c r="O130" s="757"/>
      <c r="P130" s="757"/>
      <c r="Q130" s="757"/>
      <c r="R130" s="757"/>
      <c r="S130" s="757"/>
      <c r="T130" s="757"/>
      <c r="U130" s="757"/>
    </row>
    <row r="131" spans="2:21">
      <c r="B131" s="757"/>
      <c r="C131" s="757"/>
      <c r="D131" s="757"/>
      <c r="E131" s="757"/>
      <c r="F131" s="757"/>
      <c r="G131" s="757"/>
      <c r="H131" s="757"/>
      <c r="I131" s="757"/>
      <c r="J131" s="757"/>
      <c r="K131" s="757"/>
      <c r="L131" s="757"/>
      <c r="M131" s="757"/>
      <c r="N131" s="757"/>
      <c r="O131" s="757"/>
      <c r="P131" s="757"/>
      <c r="Q131" s="757"/>
      <c r="R131" s="757"/>
      <c r="S131" s="757"/>
      <c r="T131" s="757"/>
      <c r="U131" s="757"/>
    </row>
    <row r="133" spans="2:21">
      <c r="G133" s="757"/>
      <c r="H133" s="757"/>
      <c r="I133" s="757"/>
      <c r="J133" s="757"/>
      <c r="K133" s="757"/>
      <c r="L133" s="757"/>
      <c r="M133" s="757"/>
      <c r="N133" s="757"/>
      <c r="O133" s="757"/>
      <c r="P133" s="757"/>
      <c r="Q133" s="757"/>
      <c r="R133" s="757"/>
      <c r="S133" s="757"/>
      <c r="T133" s="757"/>
      <c r="U133" s="757"/>
    </row>
    <row r="134" spans="2:21">
      <c r="G134" s="757"/>
      <c r="H134" s="757"/>
      <c r="I134" s="757"/>
      <c r="J134" s="757"/>
      <c r="K134" s="757"/>
      <c r="L134" s="757"/>
      <c r="M134" s="757"/>
      <c r="N134" s="757"/>
      <c r="O134" s="757"/>
      <c r="P134" s="757"/>
      <c r="Q134" s="757"/>
      <c r="R134" s="757"/>
      <c r="S134" s="757"/>
      <c r="T134" s="757"/>
      <c r="U134" s="757"/>
    </row>
    <row r="135" spans="2:21">
      <c r="G135" s="757"/>
      <c r="H135" s="757"/>
      <c r="I135" s="757"/>
      <c r="J135" s="757"/>
      <c r="K135" s="757"/>
      <c r="L135" s="757"/>
      <c r="M135" s="757"/>
      <c r="N135" s="757"/>
      <c r="O135" s="757"/>
      <c r="P135" s="757"/>
      <c r="Q135" s="757"/>
      <c r="R135" s="757"/>
      <c r="S135" s="757"/>
      <c r="T135" s="757"/>
      <c r="U135" s="757"/>
    </row>
    <row r="136" spans="2:21">
      <c r="G136" s="757"/>
      <c r="H136" s="757"/>
      <c r="I136" s="757"/>
      <c r="J136" s="757"/>
      <c r="K136" s="757"/>
      <c r="L136" s="757"/>
      <c r="M136" s="757"/>
      <c r="N136" s="757"/>
      <c r="O136" s="757"/>
      <c r="P136" s="757"/>
      <c r="Q136" s="757"/>
      <c r="R136" s="757"/>
      <c r="S136" s="757"/>
      <c r="T136" s="757"/>
      <c r="U136" s="757"/>
    </row>
  </sheetData>
  <mergeCells count="22">
    <mergeCell ref="W3:W4"/>
    <mergeCell ref="A70:AD70"/>
    <mergeCell ref="M3:M4"/>
    <mergeCell ref="Y3:AB3"/>
    <mergeCell ref="T3:T4"/>
    <mergeCell ref="O3:O4"/>
    <mergeCell ref="S3:S4"/>
    <mergeCell ref="U3:U4"/>
    <mergeCell ref="P3:P4"/>
    <mergeCell ref="Q3:Q4"/>
    <mergeCell ref="R3:R4"/>
    <mergeCell ref="N3:N4"/>
    <mergeCell ref="V3:V4"/>
    <mergeCell ref="D3:D4"/>
    <mergeCell ref="E3:E4"/>
    <mergeCell ref="F3:F4"/>
    <mergeCell ref="G3:G4"/>
    <mergeCell ref="L3:L4"/>
    <mergeCell ref="H3:H4"/>
    <mergeCell ref="I3:I4"/>
    <mergeCell ref="J3:J4"/>
    <mergeCell ref="K3:K4"/>
  </mergeCells>
  <phoneticPr fontId="36" type="noConversion"/>
  <pageMargins left="0.75" right="0.75" top="1" bottom="1" header="0.5" footer="0.5"/>
  <pageSetup scale="59" fitToHeight="2" orientation="landscape" horizontalDpi="1200" verticalDpi="1200" r:id="rId1"/>
  <headerFooter alignWithMargins="0"/>
  <rowBreaks count="1" manualBreakCount="1">
    <brk id="44" max="16383" man="1"/>
  </rowBreaks>
</worksheet>
</file>

<file path=xl/worksheets/sheet133.xml><?xml version="1.0" encoding="utf-8"?>
<worksheet xmlns="http://schemas.openxmlformats.org/spreadsheetml/2006/main" xmlns:r="http://schemas.openxmlformats.org/officeDocument/2006/relationships">
  <sheetPr codeName="Sheet137"/>
  <dimension ref="A1:AC123"/>
  <sheetViews>
    <sheetView view="pageBreakPreview" zoomScale="55" zoomScaleSheetLayoutView="55" workbookViewId="0">
      <pane xSplit="3" ySplit="4" topLeftCell="D5"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2" width="8" style="256" customWidth="1"/>
    <col min="3" max="3" width="5.28515625" style="256" customWidth="1"/>
    <col min="4" max="28" width="6.7109375" style="256" customWidth="1"/>
    <col min="29" max="16384" width="8" style="256"/>
  </cols>
  <sheetData>
    <row r="1" spans="1:29" ht="15.75">
      <c r="A1" s="104" t="s">
        <v>2208</v>
      </c>
    </row>
    <row r="2" spans="1:29" ht="15.75">
      <c r="A2" s="97"/>
    </row>
    <row r="3" spans="1:29" ht="15.75">
      <c r="A3" s="97"/>
      <c r="D3" s="1236">
        <v>1986</v>
      </c>
      <c r="E3" s="1240">
        <v>1989</v>
      </c>
      <c r="F3" s="1232">
        <v>1990</v>
      </c>
      <c r="G3" s="1232">
        <v>1991</v>
      </c>
      <c r="H3" s="1232">
        <v>1992</v>
      </c>
      <c r="I3" s="1232">
        <v>1993</v>
      </c>
      <c r="J3" s="1232">
        <v>1994</v>
      </c>
      <c r="K3" s="1232">
        <v>1995</v>
      </c>
      <c r="L3" s="1232">
        <v>1996</v>
      </c>
      <c r="M3" s="1232">
        <v>1997</v>
      </c>
      <c r="N3" s="1232">
        <v>1998</v>
      </c>
      <c r="O3" s="1232">
        <v>1999</v>
      </c>
      <c r="P3" s="1232">
        <v>2000</v>
      </c>
      <c r="Q3" s="1232">
        <v>2001</v>
      </c>
      <c r="R3" s="1232">
        <v>2002</v>
      </c>
      <c r="S3" s="1232">
        <v>2003</v>
      </c>
      <c r="T3" s="1232">
        <v>2004</v>
      </c>
      <c r="U3" s="1232">
        <v>2005</v>
      </c>
      <c r="V3" s="1232">
        <v>2006</v>
      </c>
      <c r="W3" s="1232">
        <v>2007</v>
      </c>
      <c r="Y3" s="1235" t="s">
        <v>387</v>
      </c>
      <c r="Z3" s="1235"/>
      <c r="AA3" s="1235"/>
      <c r="AB3" s="1235"/>
    </row>
    <row r="4" spans="1:29">
      <c r="A4" s="831"/>
      <c r="B4" s="831"/>
      <c r="C4" s="831"/>
      <c r="D4" s="1237"/>
      <c r="E4" s="1241"/>
      <c r="F4" s="1233"/>
      <c r="G4" s="1233"/>
      <c r="H4" s="1233"/>
      <c r="I4" s="1233"/>
      <c r="J4" s="1233"/>
      <c r="K4" s="1233"/>
      <c r="L4" s="1233"/>
      <c r="M4" s="1233"/>
      <c r="N4" s="1233"/>
      <c r="O4" s="1233"/>
      <c r="P4" s="1233"/>
      <c r="Q4" s="1233"/>
      <c r="R4" s="1233"/>
      <c r="S4" s="1233"/>
      <c r="T4" s="1233"/>
      <c r="U4" s="1233"/>
      <c r="V4" s="1233"/>
      <c r="W4" s="1233"/>
      <c r="X4" s="748"/>
      <c r="Y4" s="259" t="s">
        <v>1218</v>
      </c>
      <c r="Z4" s="259" t="s">
        <v>604</v>
      </c>
      <c r="AA4" s="259" t="s">
        <v>1788</v>
      </c>
      <c r="AB4" s="259" t="s">
        <v>449</v>
      </c>
      <c r="AC4" s="260"/>
    </row>
    <row r="5" spans="1:29" ht="15.75">
      <c r="A5" s="256" t="s">
        <v>440</v>
      </c>
      <c r="B5" s="832"/>
      <c r="C5" s="832"/>
      <c r="D5" s="833"/>
      <c r="E5" s="664"/>
      <c r="F5" s="261"/>
      <c r="G5" s="261"/>
      <c r="H5" s="261"/>
      <c r="I5" s="261"/>
      <c r="J5" s="661"/>
      <c r="K5" s="261"/>
      <c r="L5" s="261"/>
      <c r="M5" s="261"/>
      <c r="N5" s="261"/>
      <c r="O5" s="261"/>
      <c r="P5" s="261"/>
      <c r="Q5" s="261"/>
      <c r="R5" s="261"/>
      <c r="S5" s="261"/>
      <c r="T5" s="261"/>
      <c r="U5" s="261"/>
      <c r="V5" s="261"/>
      <c r="W5" s="261"/>
      <c r="Y5" s="662"/>
      <c r="Z5" s="662"/>
      <c r="AA5" s="662"/>
      <c r="AB5" s="662"/>
    </row>
    <row r="6" spans="1:29">
      <c r="A6" s="256" t="s">
        <v>545</v>
      </c>
      <c r="B6" s="832"/>
      <c r="C6" s="832"/>
      <c r="D6" s="503">
        <f>('1'!$C$20*D16+'1'!$D$20*D21+'1'!$E$20*D26+'1'!$F$20*D31+'1'!$G$20*D36+'1'!$H$20*D41+'1'!$I$20*D46+'1'!$J$20*D51+'1'!$K$20*D56+'1'!$L$20*D61)/'1'!$M$20</f>
        <v>36.368378941214736</v>
      </c>
      <c r="E6" s="307">
        <f>('1'!$C$23*E16+'1'!$D$23*E21+'1'!$E$23*E26+'1'!$F$23*E31+'1'!$G$23*E36+'1'!$H$23*E41+'1'!$I$23*E46+'1'!$J$23*E51+'1'!$K$23*E56+'1'!$L$23*E61)/'1'!$M$23</f>
        <v>39.988496854340262</v>
      </c>
      <c r="F6" s="504">
        <f>('1'!$C$24*F16+'1'!$D$24*F21+'1'!$E$24*F26+'1'!$F$24*F31+'1'!$G$24*F36+'1'!$H$24*F41+'1'!$I$24*F46+'1'!$J$24*F51+'1'!$K$24*F56+'1'!$L$24*F61)/'1'!$M$24</f>
        <v>46.319378099976227</v>
      </c>
      <c r="G6" s="504">
        <f>('1'!$C$25*G16+'1'!$D$25*G21+'1'!$E$25*G26+'1'!$F$25*G31+'1'!$G$25*G36+'1'!$H$25*G41+'1'!$I$25*G46+'1'!$J$25*G51+'1'!$K$25*G56+'1'!$L$25*G61)/'1'!$M$25</f>
        <v>45.44609742257235</v>
      </c>
      <c r="H6" s="504">
        <f>('1'!$C$26*H16+'1'!$D$26*H21+'1'!$E$26*H26+'1'!$F$26*H31+'1'!$G$26*H36+'1'!$H$26*H41+'1'!$I$26*H46+'1'!$J$26*H51+'1'!$K$26*H56+'1'!$L$26*H61)/'1'!$M$26</f>
        <v>42.922178002729332</v>
      </c>
      <c r="I6" s="504">
        <f>('1'!$C$27*I16+'1'!$D$27*I21+'1'!$E$27*I26+'1'!$F$27*I31+'1'!$G$27*I36+'1'!$H$27*I41+'1'!$I$27*I46+'1'!$J$27*I51+'1'!$K$27*I56+'1'!$L$27*I61)/'1'!$M$27</f>
        <v>42.812824034991657</v>
      </c>
      <c r="J6" s="504">
        <f>('1'!$C$28*J16+'1'!$D$28*J21+'1'!$E$28*J26+'1'!$F$28*J31+'1'!$G$28*J36+'1'!$H$28*J41+'1'!$I$28*J46+'1'!$J$28*J51+'1'!$K$28*J56+'1'!$L$28*J61)/'1'!$M$28</f>
        <v>42.184859859861582</v>
      </c>
      <c r="K6" s="504">
        <f>('1'!$C$29*K16+'1'!$D$29*K21+'1'!$E$29*K26+'1'!$F$29*K31+'1'!$G$29*K36+'1'!$H$29*K41+'1'!$I$29*K46+'1'!$J$29*K51+'1'!$K$29*K56+'1'!$L$29*K61)/'1'!$M$29</f>
        <v>40.263832491042166</v>
      </c>
      <c r="L6" s="504">
        <f>('1'!$C$30*L16+'1'!$D$30*L21+'1'!$E$30*L26+'1'!$F$30*L31+'1'!$G$30*L36+'1'!$H$30*L41+'1'!$I$30*L46+'1'!$J$30*L51+'1'!$K$30*L56+'1'!$L$30*L61)/'1'!$M$30</f>
        <v>36.201919487374063</v>
      </c>
      <c r="M6" s="504">
        <f>('1'!$C$31*M16+'1'!$D$31*M21+'1'!$E$31*M26+'1'!$F$31*M31+'1'!$G$31*M36+'1'!$H$31*M41+'1'!$I$31*M46+'1'!$J$31*M51+'1'!$K$31*M56+'1'!$L$31*M61)/'1'!$M$31</f>
        <v>34.969671927485166</v>
      </c>
      <c r="N6" s="504">
        <f>('1'!$C$32*N16+'1'!$D$32*N21+'1'!$E$32*N26+'1'!$F$32*N31+'1'!$G$32*N36+'1'!$H$32*N41+'1'!$I$32*N46+'1'!$J$32*N51+'1'!$K$32*N56+'1'!$L$32*N61)/'1'!$M$32</f>
        <v>34.289433533102553</v>
      </c>
      <c r="O6" s="504">
        <f>('1'!$C$33*O16+'1'!$D$33*O21+'1'!$E$33*O26+'1'!$F$33*O31+'1'!$G$33*O36+'1'!$H$33*O41+'1'!$I$33*O46+'1'!$J$33*O51+'1'!$K$33*O56+'1'!$L$33*O61)/'1'!$M$33</f>
        <v>34.413058912928321</v>
      </c>
      <c r="P6" s="504">
        <f>('1'!$C$34*P16+'1'!$D$34*P21+'1'!$E$34*P26+'1'!$F$34*P31+'1'!$G$34*P36+'1'!$H$34*P41+'1'!$I$34*P46+'1'!$J$34*P51+'1'!$K$34*P56+'1'!$L$34*P61)/'1'!$M$34</f>
        <v>33.56917635905414</v>
      </c>
      <c r="Q6" s="504">
        <f>('1'!$C$35*Q16+'1'!$D$35*Q21+'1'!$E$35*Q26+'1'!$F$35*Q31+'1'!$G$35*Q36+'1'!$H$35*Q41+'1'!$I$35*Q46+'1'!$J$35*Q51+'1'!$K$35*Q56+'1'!$L$35*Q61)/'1'!$M$35</f>
        <v>33.195593379613378</v>
      </c>
      <c r="R6" s="504">
        <f>('1'!$C$36*R16+'1'!$D$36*R21+'1'!$E$36*R26+'1'!$F$36*R31+'1'!$G$36*R36+'1'!$H$36*R41+'1'!$I$36*R46+'1'!$J$36*R51+'1'!$K$36*R56+'1'!$L$36*R61)/'1'!$M$36</f>
        <v>33.166395512416898</v>
      </c>
      <c r="S6" s="504">
        <f>('1'!$C$37*S16+'1'!$D$37*S21+'1'!$E$37*S26+'1'!$F$37*S31+'1'!$G$37*S36+'1'!$H$37*S41+'1'!$I$37*S46+'1'!$J$37*S51+'1'!$K$37*S56+'1'!$L$37*S61)/'1'!$M$37</f>
        <v>32.442724959068492</v>
      </c>
      <c r="T6" s="504">
        <f>('1'!$C$38*T16+'1'!$D$38*T21+'1'!$E$38*T26+'1'!$F$38*T31+'1'!$G$38*T36+'1'!$H$38*T41+'1'!$I$38*T46+'1'!$J$38*T51+'1'!$K$38*T56+'1'!$L$38*T61)/'1'!$M$38</f>
        <v>32.413497774598156</v>
      </c>
      <c r="U6" s="504">
        <f>('1'!$C$39*U16+'1'!$D$39*U21+'1'!$E$39*U26+'1'!$F$39*U31+'1'!$G$39*U36+'1'!$H$39*U41+'1'!$I$39*U46+'1'!$J$39*U51+'1'!$K$39*U56+'1'!$L$39*U61)/'1'!$M$39</f>
        <v>31.941973693618497</v>
      </c>
      <c r="V6" s="504">
        <f>('1'!$C40*V16+'1'!$D40*V21+'1'!$E40*V26+'1'!$F40*V31+'1'!$G40*V36+'1'!$H40*V41+'1'!$I40*V46+'1'!$J40*V51+'1'!$K40*V56+'1'!$L40*V61)/'1'!$M40</f>
        <v>32.017777257088824</v>
      </c>
      <c r="W6" s="504">
        <f>('1'!$C40*W16+'1'!$D40*W21+'1'!$E40*W26+'1'!$F40*W31+'1'!$G40*W36+'1'!$H40*W41+'1'!$I40*W46+'1'!$J40*W51+'1'!$K40*W56+'1'!$L40*W61)/'1'!$M40</f>
        <v>32.301275083268912</v>
      </c>
      <c r="Y6" s="283">
        <f>E6-D6</f>
        <v>3.6201179131255259</v>
      </c>
      <c r="Z6" s="283">
        <f>P6-E6</f>
        <v>-6.4193204952861223</v>
      </c>
      <c r="AA6" s="283">
        <f>W6-D6</f>
        <v>-4.0671038579458241</v>
      </c>
      <c r="AB6" s="283">
        <f>W6-P6</f>
        <v>-1.2679012757852277</v>
      </c>
    </row>
    <row r="7" spans="1:29">
      <c r="A7" s="256" t="s">
        <v>1219</v>
      </c>
      <c r="B7" s="832"/>
      <c r="C7" s="832"/>
      <c r="D7" s="503" t="s">
        <v>374</v>
      </c>
      <c r="E7" s="307">
        <f>('1'!$C$23*E17+'1'!$D$23*E22+'1'!$E$23*E27+'1'!$F$23*E32+'1'!$G$23*E37+'1'!$H$23*E42+'1'!$I$23*E47+'1'!$J$23*E52+'1'!$K$23*E57+'1'!$L$23*E62)/'1'!$M$23</f>
        <v>58.249832967961481</v>
      </c>
      <c r="F7" s="504">
        <f>('1'!$C$24*F17+'1'!$D$24*F22+'1'!$E$24*F27+'1'!$F$24*F32+'1'!$G$24*F37+'1'!$H$24*F42+'1'!$I$24*F47+'1'!$J$24*F52+'1'!$K$24*F57+'1'!$L$24*F62)/'1'!$M$24</f>
        <v>60.997405688777427</v>
      </c>
      <c r="G7" s="504">
        <f>('1'!$C$25*G17+'1'!$D$25*G22+'1'!$E$25*G27+'1'!$F$25*G32+'1'!$G$25*G37+'1'!$H$25*G42+'1'!$I$25*G47+'1'!$J$25*G52+'1'!$K$25*G57+'1'!$L$25*G62)/'1'!$M$25</f>
        <v>62.676870677345534</v>
      </c>
      <c r="H7" s="504">
        <f>('1'!$C$26*H17+'1'!$D$26*H22+'1'!$E$26*H27+'1'!$F$26*H32+'1'!$G$26*H37+'1'!$H$26*H42+'1'!$I$26*H47+'1'!$J$26*H52+'1'!$K$26*H57+'1'!$L$26*H62)/'1'!$M$26</f>
        <v>58.990963150203868</v>
      </c>
      <c r="I7" s="504">
        <f>('1'!$C$27*I17+'1'!$D$27*I22+'1'!$E$27*I27+'1'!$F$27*I32+'1'!$G$27*I37+'1'!$H$27*I42+'1'!$I$27*I47+'1'!$J$27*I52+'1'!$K$27*I57+'1'!$L$27*I62)/'1'!$M$27</f>
        <v>58.882712973655252</v>
      </c>
      <c r="J7" s="504">
        <f>('1'!$C$28*J17+'1'!$D$28*J22+'1'!$E$28*J27+'1'!$F$28*J32+'1'!$G$28*J37+'1'!$H$28*J42+'1'!$I$28*J47+'1'!$J$28*J52+'1'!$K$28*J57+'1'!$L$28*J62)/'1'!$M$28</f>
        <v>58.45294353136584</v>
      </c>
      <c r="K7" s="504">
        <f>('1'!$C$29*K17+'1'!$D$29*K22+'1'!$E$29*K27+'1'!$F$29*K32+'1'!$G$29*K37+'1'!$H$29*K42+'1'!$I$29*K47+'1'!$J$29*K52+'1'!$K$29*K57+'1'!$L$29*K62)/'1'!$M$29</f>
        <v>57.31664682962181</v>
      </c>
      <c r="L7" s="504">
        <f>('1'!$C$30*L17+'1'!$D$30*L22+'1'!$E$30*L27+'1'!$F$30*L32+'1'!$G$30*L37+'1'!$H$30*L42+'1'!$I$30*L47+'1'!$J$30*L52+'1'!$K$30*L57+'1'!$L$30*L62)/'1'!$M$30</f>
        <v>56.729619559830759</v>
      </c>
      <c r="M7" s="504">
        <f>('1'!$C$31*M17+'1'!$D$31*M22+'1'!$E$31*M27+'1'!$F$31*M32+'1'!$G$31*M37+'1'!$H$31*M42+'1'!$I$31*M47+'1'!$J$31*M52+'1'!$K$31*M57+'1'!$L$31*M62)/'1'!$M$31</f>
        <v>56.138884346650002</v>
      </c>
      <c r="N7" s="504">
        <f>('1'!$C$32*N17+'1'!$D$32*N22+'1'!$E$32*N27+'1'!$F$32*N32+'1'!$G$32*N37+'1'!$H$32*N42+'1'!$I$32*N47+'1'!$J$32*N52+'1'!$K$32*N57+'1'!$L$32*N62)/'1'!$M$32</f>
        <v>55.817453353144231</v>
      </c>
      <c r="O7" s="504">
        <f>('1'!$C$33*O17+'1'!$D$33*O22+'1'!$E$33*O27+'1'!$F$33*O32+'1'!$G$33*O37+'1'!$H$33*O42+'1'!$I$33*O47+'1'!$J$33*O52+'1'!$K$33*O57+'1'!$L$33*O62)/'1'!$M$33</f>
        <v>55.286436348983166</v>
      </c>
      <c r="P7" s="504">
        <f>('1'!$C$34*P17+'1'!$D$34*P22+'1'!$E$34*P27+'1'!$F$34*P32+'1'!$G$34*P37+'1'!$H$34*P42+'1'!$I$34*P47+'1'!$J$34*P52+'1'!$K$34*P57+'1'!$L$34*P62)/'1'!$M$34</f>
        <v>54.274278286745016</v>
      </c>
      <c r="Q7" s="504">
        <f>('1'!$C$35*Q17+'1'!$D$35*Q22+'1'!$E$35*Q27+'1'!$F$35*Q32+'1'!$G$35*Q37+'1'!$H$35*Q42+'1'!$I$35*Q47+'1'!$J$35*Q52+'1'!$K$35*Q57+'1'!$L$35*Q62)/'1'!$M$35</f>
        <v>53.472850643757226</v>
      </c>
      <c r="R7" s="504">
        <f>('1'!$C$36*R17+'1'!$D$36*R22+'1'!$E$36*R27+'1'!$F$36*R32+'1'!$G$36*R37+'1'!$H$36*R42+'1'!$I$36*R47+'1'!$J$36*R52+'1'!$K$36*R57+'1'!$L$36*R62)/'1'!$M$36</f>
        <v>52.865566697450014</v>
      </c>
      <c r="S7" s="504">
        <f>('1'!$C$37*S17+'1'!$D$37*S22+'1'!$E$37*S27+'1'!$F$37*S32+'1'!$G$37*S37+'1'!$H$37*S42+'1'!$I$37*S47+'1'!$J$37*S52+'1'!$K$37*S57+'1'!$L$37*S62)/'1'!$M$37</f>
        <v>51.803500231760793</v>
      </c>
      <c r="T7" s="504">
        <f>('1'!$C$38*T17+'1'!$D$38*T22+'1'!$E$38*T27+'1'!$F$38*T32+'1'!$G$38*T37+'1'!$H$38*T42+'1'!$I$38*T47+'1'!$J$38*T52+'1'!$K$38*T57+'1'!$L$38*T62)/'1'!$M$38</f>
        <v>51.604114775803822</v>
      </c>
      <c r="U7" s="504">
        <f>('1'!$C$39*U17+'1'!$D$39*U22+'1'!$E$39*U27+'1'!$F$39*U32+'1'!$G$39*U37+'1'!$H$39*U42+'1'!$I$39*U47+'1'!$J$39*U52+'1'!$K$39*U57+'1'!$L$39*U62)/'1'!$M$39</f>
        <v>51.133091231004961</v>
      </c>
      <c r="V7" s="504">
        <f>('1'!$C40*V17+'1'!$D40*V22+'1'!$E40*V27+'1'!$F40*V32+'1'!$G40*V37+'1'!$H40*V42+'1'!$I40*V47+'1'!$J40*V52+'1'!$K40*V57+'1'!$L40*V62)/'1'!$M40</f>
        <v>51.106926124986103</v>
      </c>
      <c r="W7" s="504">
        <f>('1'!$C40*W17+'1'!$D40*W22+'1'!$E40*W27+'1'!$F40*W32+'1'!$G40*W37+'1'!$H40*W42+'1'!$I40*W47+'1'!$J40*W52+'1'!$K40*W57+'1'!$L40*W62)/'1'!$M40</f>
        <v>50.947736051723879</v>
      </c>
      <c r="Y7" s="283" t="s">
        <v>374</v>
      </c>
      <c r="Z7" s="283">
        <f>P7-E7</f>
        <v>-3.9755546812164653</v>
      </c>
      <c r="AA7" s="283">
        <f>W7-E7</f>
        <v>-7.3020969162376019</v>
      </c>
      <c r="AB7" s="283">
        <f>W7-P7</f>
        <v>-3.3265422350211367</v>
      </c>
    </row>
    <row r="8" spans="1:29">
      <c r="A8" s="256" t="s">
        <v>1220</v>
      </c>
      <c r="B8" s="832"/>
      <c r="C8" s="832"/>
      <c r="D8" s="503">
        <f>('1'!$C$20*D18+'1'!$D$20*D23+'1'!$E$20*D28+'1'!$F$20*D33+'1'!$G$20*D38+'1'!$H$20*D43+'1'!$I$20*D48+'1'!$J$20*D53+'1'!$K$20*D58+'1'!$L$20*D63)/'1'!$M$20</f>
        <v>60.677917660744043</v>
      </c>
      <c r="E8" s="307">
        <f>('1'!$C$23*E18+'1'!$D$23*E23+'1'!$E$23*E28+'1'!$F$23*E33+'1'!$G$23*E38+'1'!$H$23*E43+'1'!$I$23*E48+'1'!$J$23*E53+'1'!$K$23*E58+'1'!$L$23*E63)/'1'!$M$23</f>
        <v>61.179744860951537</v>
      </c>
      <c r="F8" s="504">
        <f>('1'!$C$24*F18+'1'!$D$24*F23+'1'!$E$24*F28+'1'!$F$24*F33+'1'!$G$24*F38+'1'!$H$24*F43+'1'!$I$24*F48+'1'!$J$24*F53+'1'!$K$24*F58+'1'!$L$24*F63)/'1'!$M$24</f>
        <v>65.238446776517407</v>
      </c>
      <c r="G8" s="504">
        <f>('1'!$C$25*G18+'1'!$D$25*G23+'1'!$E$25*G28+'1'!$F$25*G33+'1'!$G$25*G38+'1'!$H$25*G43+'1'!$I$25*G48+'1'!$J$25*G53+'1'!$K$25*G58+'1'!$L$25*G63)/'1'!$M$25</f>
        <v>65.95980863664812</v>
      </c>
      <c r="H8" s="504">
        <f>('1'!$C$26*H18+'1'!$D$26*H23+'1'!$E$26*H28+'1'!$F$26*H33+'1'!$G$26*H38+'1'!$H$26*H43+'1'!$I$26*H48+'1'!$J$26*H53+'1'!$K$26*H58+'1'!$L$26*H63)/'1'!$M$26</f>
        <v>69.035544829372867</v>
      </c>
      <c r="I8" s="504">
        <f>('1'!$C$27*I18+'1'!$D$27*I23+'1'!$E$27*I28+'1'!$F$27*I33+'1'!$G$27*I38+'1'!$H$27*I43+'1'!$I$27*I48+'1'!$J$27*I53+'1'!$K$27*I58+'1'!$L$27*I63)/'1'!$M$27</f>
        <v>69.188591582931821</v>
      </c>
      <c r="J8" s="504">
        <f>('1'!$C$28*J18+'1'!$D$28*J23+'1'!$E$28*J28+'1'!$F$28*J33+'1'!$G$28*J38+'1'!$H$28*J43+'1'!$I$28*J48+'1'!$J$28*J53+'1'!$K$28*J58+'1'!$L$28*J63)/'1'!$M$28</f>
        <v>69.279004416869384</v>
      </c>
      <c r="K8" s="504">
        <f>('1'!$C$29*K18+'1'!$D$29*K23+'1'!$E$29*K28+'1'!$F$29*K33+'1'!$G$29*K38+'1'!$H$29*K43+'1'!$I$29*K48+'1'!$J$29*K53+'1'!$K$29*K58+'1'!$L$29*K63)/'1'!$M$29</f>
        <v>66.772408986963697</v>
      </c>
      <c r="L8" s="504">
        <f>('1'!$C$30*L18+'1'!$D$30*L23+'1'!$E$30*L28+'1'!$F$30*L33+'1'!$G$30*L38+'1'!$H$30*L43+'1'!$I$30*L48+'1'!$J$30*L53+'1'!$K$30*L58+'1'!$L$30*L63)/'1'!$M$30</f>
        <v>61.455985260757188</v>
      </c>
      <c r="M8" s="504">
        <f>('1'!$C$31*M18+'1'!$D$31*M23+'1'!$E$31*M28+'1'!$F$31*M33+'1'!$G$31*M38+'1'!$H$31*M43+'1'!$I$31*M48+'1'!$J$31*M53+'1'!$K$31*M58+'1'!$L$31*M63)/'1'!$M$31</f>
        <v>60.22020444302315</v>
      </c>
      <c r="N8" s="504">
        <f>('1'!$C$32*N18+'1'!$D$32*N23+'1'!$E$32*N28+'1'!$F$32*N33+'1'!$G$32*N38+'1'!$H$32*N43+'1'!$I$32*N48+'1'!$J$32*N53+'1'!$K$32*N58+'1'!$L$32*N63)/'1'!$M$32</f>
        <v>59.705251471969</v>
      </c>
      <c r="O8" s="504">
        <f>('1'!$C$33*O18+'1'!$D$33*O23+'1'!$E$33*O28+'1'!$F$33*O33+'1'!$G$33*O38+'1'!$H$33*O43+'1'!$I$33*O48+'1'!$J$33*O53+'1'!$K$33*O58+'1'!$L$33*O63)/'1'!$M$33</f>
        <v>59.34746880041056</v>
      </c>
      <c r="P8" s="504">
        <f>('1'!$C$34*P18+'1'!$D$34*P23+'1'!$E$34*P28+'1'!$F$34*P33+'1'!$G$34*P38+'1'!$H$34*P43+'1'!$I$34*P48+'1'!$J$34*P53+'1'!$K$34*P58+'1'!$L$34*P63)/'1'!$M$34</f>
        <v>58.227352012946803</v>
      </c>
      <c r="Q8" s="504">
        <f>('1'!$C$35*Q18+'1'!$D$35*Q23+'1'!$E$35*Q28+'1'!$F$35*Q33+'1'!$G$35*Q38+'1'!$H$35*Q43+'1'!$I$35*Q48+'1'!$J$35*Q53+'1'!$K$35*Q58+'1'!$L$35*Q63)/'1'!$M$35</f>
        <v>57.140056240828315</v>
      </c>
      <c r="R8" s="504">
        <f>('1'!$C$36*R18+'1'!$D$36*R23+'1'!$E$36*R28+'1'!$F$36*R33+'1'!$G$36*R38+'1'!$H$36*R43+'1'!$I$36*R48+'1'!$J$36*R53+'1'!$K$36*R58+'1'!$L$36*R63)/'1'!$M$36</f>
        <v>56.575958344103029</v>
      </c>
      <c r="S8" s="504">
        <f>('1'!$C$37*S18+'1'!$D$37*S23+'1'!$E$37*S28+'1'!$F$37*S33+'1'!$G$37*S38+'1'!$H$37*S43+'1'!$I$37*S48+'1'!$J$37*S53+'1'!$K$37*S58+'1'!$L$37*S63)/'1'!$M$37</f>
        <v>55.774729073876991</v>
      </c>
      <c r="T8" s="504">
        <f>('1'!$C$38*T18+'1'!$D$38*T23+'1'!$E$38*T28+'1'!$F$38*T33+'1'!$G$38*T38+'1'!$H$38*T43+'1'!$I$38*T48+'1'!$J$38*T53+'1'!$K$38*T58+'1'!$L$38*T63)/'1'!$M$38</f>
        <v>55.560132746376055</v>
      </c>
      <c r="U8" s="504">
        <f>('1'!$C$39*U18+'1'!$D$39*U23+'1'!$E$39*U28+'1'!$F$39*U33+'1'!$G$39*U38+'1'!$H$39*U43+'1'!$I$39*U48+'1'!$J$39*U53+'1'!$K$39*U58+'1'!$L$39*U63)/'1'!$M$39</f>
        <v>56.237522813771854</v>
      </c>
      <c r="V8" s="504">
        <f>('1'!$C40*V18+'1'!$D40*V23+'1'!$E40*V28+'1'!$F40*V33+'1'!$G40*V38+'1'!$H40*V43+'1'!$I40*V48+'1'!$J40*V53+'1'!$K40*V58+'1'!$L40*V63)/'1'!$M40</f>
        <v>59.738297379771439</v>
      </c>
      <c r="W8" s="504">
        <f>('1'!$C40*W18+'1'!$D40*W23+'1'!$E40*W28+'1'!$F40*W33+'1'!$G40*W38+'1'!$H40*W43+'1'!$I40*W48+'1'!$J40*W53+'1'!$K40*W58+'1'!$L40*W63)/'1'!$M40</f>
        <v>60.875630928566522</v>
      </c>
      <c r="Y8" s="283">
        <f>E8-D8</f>
        <v>0.50182720020749372</v>
      </c>
      <c r="Z8" s="283">
        <f>P8-E8</f>
        <v>-2.9523928480047346</v>
      </c>
      <c r="AA8" s="283">
        <f>W8-D8</f>
        <v>0.19771326782247911</v>
      </c>
      <c r="AB8" s="283">
        <f>W8-P8</f>
        <v>2.64827891561972</v>
      </c>
    </row>
    <row r="9" spans="1:29">
      <c r="A9" s="256" t="s">
        <v>1221</v>
      </c>
      <c r="B9" s="832"/>
      <c r="C9" s="832"/>
      <c r="D9" s="503">
        <f>('1'!$C$20*D19+'1'!$D$20*D24+'1'!$E$20*D29+'1'!$F$20*D34+'1'!$G$20*D39+'1'!$H$20*D44+'1'!$I$20*D49+'1'!$J$20*D54+'1'!$K$20*D59+'1'!$L$20*D64)/'1'!$M$20</f>
        <v>57.523836086402945</v>
      </c>
      <c r="E9" s="307">
        <f>('1'!$C$23*E19+'1'!$D$23*E24+'1'!$E$23*E29+'1'!$F$23*E34+'1'!$G$23*E39+'1'!$H$23*E44+'1'!$I$23*E49+'1'!$J$23*E54+'1'!$K$23*E59+'1'!$L$23*E64)/'1'!$M$23</f>
        <v>57.70556414537775</v>
      </c>
      <c r="F9" s="504">
        <f>('1'!$C$24*F19+'1'!$D$24*F24+'1'!$E$24*F29+'1'!$F$24*F34+'1'!$G$24*F39+'1'!$H$24*F44+'1'!$I$24*F49+'1'!$J$24*F54+'1'!$K$24*F59+'1'!$L$24*F64)/'1'!$M$24</f>
        <v>62.28416170354096</v>
      </c>
      <c r="G9" s="504">
        <f>('1'!$C$25*G19+'1'!$D$25*G24+'1'!$E$25*G29+'1'!$F$25*G34+'1'!$G$25*G39+'1'!$H$25*G44+'1'!$I$25*G49+'1'!$J$25*G54+'1'!$K$25*G59+'1'!$L$25*G64)/'1'!$M$25</f>
        <v>61.886457193517138</v>
      </c>
      <c r="H9" s="504">
        <f>('1'!$C$26*H19+'1'!$D$26*H24+'1'!$E$26*H29+'1'!$F$26*H34+'1'!$G$26*H39+'1'!$H$26*H44+'1'!$I$26*H49+'1'!$J$26*H54+'1'!$K$26*H59+'1'!$L$26*H64)/'1'!$M$26</f>
        <v>62.23087154686214</v>
      </c>
      <c r="I9" s="504">
        <f>('1'!$C$27*I19+'1'!$D$27*I24+'1'!$E$27*I29+'1'!$F$27*I34+'1'!$G$27*I39+'1'!$H$27*I44+'1'!$I$27*I49+'1'!$J$27*I54+'1'!$K$27*I59+'1'!$L$27*I64)/'1'!$M$27</f>
        <v>61.90713981523168</v>
      </c>
      <c r="J9" s="504">
        <f>('1'!$C$28*J19+'1'!$D$28*J24+'1'!$E$28*J29+'1'!$F$28*J34+'1'!$G$28*J39+'1'!$H$28*J44+'1'!$I$28*J49+'1'!$J$28*J54+'1'!$K$28*J59+'1'!$L$28*J64)/'1'!$M$28</f>
        <v>61.701738539072558</v>
      </c>
      <c r="K9" s="504">
        <f>('1'!$C$29*K19+'1'!$D$29*K24+'1'!$E$29*K29+'1'!$F$29*K34+'1'!$G$29*K39+'1'!$H$29*K44+'1'!$I$29*K49+'1'!$J$29*K54+'1'!$K$29*K59+'1'!$L$29*K64)/'1'!$M$29</f>
        <v>59.250978284573421</v>
      </c>
      <c r="L9" s="504">
        <f>('1'!$C$30*L19+'1'!$D$30*L24+'1'!$E$30*L29+'1'!$F$30*L34+'1'!$G$30*L39+'1'!$H$30*L44+'1'!$I$30*L49+'1'!$J$30*L54+'1'!$K$30*L59+'1'!$L$30*L64)/'1'!$M$30</f>
        <v>54.488822412177306</v>
      </c>
      <c r="M9" s="504">
        <f>('1'!$C$31*M19+'1'!$D$31*M24+'1'!$E$31*M29+'1'!$F$31*M34+'1'!$G$31*M39+'1'!$H$31*M44+'1'!$I$31*M49+'1'!$J$31*M54+'1'!$K$31*M59+'1'!$L$31*M64)/'1'!$M$31</f>
        <v>53.157174464671343</v>
      </c>
      <c r="N9" s="504">
        <f>('1'!$C$32*N19+'1'!$D$32*N24+'1'!$E$32*N29+'1'!$F$32*N34+'1'!$G$32*N39+'1'!$H$32*N44+'1'!$I$32*N49+'1'!$J$32*N54+'1'!$K$32*N59+'1'!$L$32*N64)/'1'!$M$32</f>
        <v>53.17002883435984</v>
      </c>
      <c r="O9" s="504">
        <f>('1'!$C$33*O19+'1'!$D$33*O24+'1'!$E$33*O29+'1'!$F$33*O34+'1'!$G$33*O39+'1'!$H$33*O44+'1'!$I$33*O49+'1'!$J$33*O54+'1'!$K$33*O59+'1'!$L$33*O64)/'1'!$M$33</f>
        <v>52.626201896621396</v>
      </c>
      <c r="P9" s="504">
        <f>('1'!$C$34*P19+'1'!$D$34*P24+'1'!$E$34*P29+'1'!$F$34*P34+'1'!$G$34*P39+'1'!$H$34*P44+'1'!$I$34*P49+'1'!$J$34*P54+'1'!$K$34*P59+'1'!$L$34*P64)/'1'!$M$34</f>
        <v>51.881095732444173</v>
      </c>
      <c r="Q9" s="504">
        <f>('1'!$C$35*Q19+'1'!$D$35*Q24+'1'!$E$35*Q29+'1'!$F$35*Q34+'1'!$G$35*Q39+'1'!$H$35*Q44+'1'!$I$35*Q49+'1'!$J$35*Q54+'1'!$K$35*Q59+'1'!$L$35*Q64)/'1'!$M$35</f>
        <v>51.74359200418786</v>
      </c>
      <c r="R9" s="504">
        <f>('1'!$C$36*R19+'1'!$D$36*R24+'1'!$E$36*R29+'1'!$F$36*R34+'1'!$G$36*R39+'1'!$H$36*R44+'1'!$I$36*R49+'1'!$J$36*R54+'1'!$K$36*R59+'1'!$L$36*R64)/'1'!$M$36</f>
        <v>51.111032433751397</v>
      </c>
      <c r="S9" s="504">
        <f>('1'!$C$37*S19+'1'!$D$37*S24+'1'!$E$37*S29+'1'!$F$37*S34+'1'!$G$37*S39+'1'!$H$37*S44+'1'!$I$37*S49+'1'!$J$37*S54+'1'!$K$37*S59+'1'!$L$37*S64)/'1'!$M$37</f>
        <v>50.546755307588661</v>
      </c>
      <c r="T9" s="504">
        <f>('1'!$C$38*T19+'1'!$D$38*T24+'1'!$E$38*T29+'1'!$F$38*T34+'1'!$G$38*T39+'1'!$H$38*T44+'1'!$I$38*T49+'1'!$J$38*T54+'1'!$K$38*T59+'1'!$L$38*T64)/'1'!$M$38</f>
        <v>50.484884147680624</v>
      </c>
      <c r="U9" s="504">
        <f>('1'!$C$39*U19+'1'!$D$39*U24+'1'!$E$39*U29+'1'!$F$39*U34+'1'!$G$39*U39+'1'!$H$39*U44+'1'!$I$39*U49+'1'!$J$39*U54+'1'!$K$39*U59+'1'!$L$39*U64)/'1'!$M$39</f>
        <v>51.518038195772199</v>
      </c>
      <c r="V9" s="504">
        <f>('1'!$C40*V19+'1'!$D40*V24+'1'!$E40*V29+'1'!$F40*V34+'1'!$G40*V39+'1'!$H40*V44+'1'!$I40*V49+'1'!$J40*V54+'1'!$K40*V59+'1'!$L40*V64)/'1'!$M40</f>
        <v>53.14344042330287</v>
      </c>
      <c r="W9" s="504">
        <f>('1'!$C40*W19+'1'!$D40*W24+'1'!$E40*W29+'1'!$F40*W34+'1'!$G40*W39+'1'!$H40*W44+'1'!$I40*W49+'1'!$J40*W54+'1'!$K40*W59+'1'!$L40*W64)/'1'!$M40</f>
        <v>52.896417043024066</v>
      </c>
      <c r="Y9" s="283">
        <f>E9-D9</f>
        <v>0.18172805897480515</v>
      </c>
      <c r="Z9" s="283">
        <f>P9-E9</f>
        <v>-5.8244684129335766</v>
      </c>
      <c r="AA9" s="283">
        <f>W9-D9</f>
        <v>-4.6274190433788789</v>
      </c>
      <c r="AB9" s="283">
        <f>W9-P9</f>
        <v>1.0153213105798926</v>
      </c>
    </row>
    <row r="10" spans="1:29" ht="15.75">
      <c r="A10" s="256" t="s">
        <v>1770</v>
      </c>
      <c r="B10" s="832"/>
      <c r="C10" s="832"/>
      <c r="D10" s="838"/>
      <c r="E10" s="307"/>
      <c r="F10" s="282"/>
      <c r="G10" s="282"/>
      <c r="H10" s="282"/>
      <c r="I10" s="282"/>
      <c r="J10" s="282"/>
      <c r="K10" s="282"/>
      <c r="L10" s="282"/>
      <c r="M10" s="282"/>
      <c r="N10" s="282"/>
      <c r="O10" s="282"/>
      <c r="P10" s="282"/>
      <c r="Q10" s="282"/>
      <c r="R10" s="282"/>
      <c r="S10" s="282"/>
      <c r="T10" s="282"/>
      <c r="U10" s="282"/>
      <c r="V10" s="282"/>
      <c r="W10" s="282"/>
      <c r="Y10" s="283"/>
      <c r="Z10" s="283"/>
      <c r="AA10" s="283"/>
      <c r="AB10" s="283"/>
    </row>
    <row r="11" spans="1:29">
      <c r="A11" s="256" t="s">
        <v>545</v>
      </c>
      <c r="B11" s="832"/>
      <c r="C11" s="832"/>
      <c r="D11" s="503">
        <f>(D16*Sheet1!$M$4+'34b'!D21*Sheet1!$M$5+'34b'!D26*Sheet1!$M$6+'34b'!D31*Sheet1!$M$7+'34b'!D36*Sheet1!$M$8+'34b'!D41*Sheet1!$M$9+'34b'!D46*Sheet1!$M$10+'34b'!D51*Sheet1!$M$11+'34b'!D56*Sheet1!$M$12+'34b'!D61*Sheet1!$M$13)/Sheet1!$M$19</f>
        <v>35.104978236379658</v>
      </c>
      <c r="E11" s="307">
        <f>(E16*Sheet1!$M$4+'34b'!E21*Sheet1!$M$5+'34b'!E26*Sheet1!$M$6+'34b'!E31*Sheet1!$M$7+'34b'!E36*Sheet1!$M$8+'34b'!E41*Sheet1!$M$9+'34b'!E46*Sheet1!$M$10+'34b'!E51*Sheet1!$M$11+'34b'!E56*Sheet1!$M$12+'34b'!E61*Sheet1!$M$13)/Sheet1!$M$19</f>
        <v>40.095365422801613</v>
      </c>
      <c r="F11" s="504">
        <f>(F16*Sheet1!$M$4+'34b'!F21*Sheet1!$M$5+'34b'!F26*Sheet1!$M$6+'34b'!F31*Sheet1!$M$7+'34b'!F36*Sheet1!$M$8+'34b'!F41*Sheet1!$M$9+'34b'!F46*Sheet1!$M$10+'34b'!F51*Sheet1!$M$11+'34b'!F56*Sheet1!$M$12+'34b'!F61*Sheet1!$M$13)/Sheet1!$M$19</f>
        <v>47.210719185738142</v>
      </c>
      <c r="G11" s="504">
        <f>(G16*Sheet1!$M$4+'34b'!G21*Sheet1!$M$5+'34b'!G26*Sheet1!$M$6+'34b'!G31*Sheet1!$M$7+'34b'!G36*Sheet1!$M$8+'34b'!G41*Sheet1!$M$9+'34b'!G46*Sheet1!$M$10+'34b'!G51*Sheet1!$M$11+'34b'!G56*Sheet1!$M$12+'34b'!G61*Sheet1!$M$13)/Sheet1!$M$19</f>
        <v>45.906142469524355</v>
      </c>
      <c r="H11" s="504">
        <f>(H16*Sheet1!$M$4+'34b'!H21*Sheet1!$M$5+'34b'!H26*Sheet1!$M$6+'34b'!H31*Sheet1!$M$7+'34b'!H36*Sheet1!$M$8+'34b'!H41*Sheet1!$M$9+'34b'!H46*Sheet1!$M$10+'34b'!H51*Sheet1!$M$11+'34b'!H56*Sheet1!$M$12+'34b'!H61*Sheet1!$M$13)/Sheet1!$M$19</f>
        <v>43.365584987704544</v>
      </c>
      <c r="I11" s="504">
        <f>(I16*Sheet1!$M$4+'34b'!I21*Sheet1!$M$5+'34b'!I26*Sheet1!$M$6+'34b'!I31*Sheet1!$M$7+'34b'!I36*Sheet1!$M$8+'34b'!I41*Sheet1!$M$9+'34b'!I46*Sheet1!$M$10+'34b'!I51*Sheet1!$M$11+'34b'!I56*Sheet1!$M$12+'34b'!I61*Sheet1!$M$13)/Sheet1!$M$19</f>
        <v>43.358177028312433</v>
      </c>
      <c r="J11" s="504">
        <f>(J16*Sheet1!$M$4+'34b'!J21*Sheet1!$M$5+'34b'!J26*Sheet1!$M$6+'34b'!J31*Sheet1!$M$7+'34b'!J36*Sheet1!$M$8+'34b'!J41*Sheet1!$M$9+'34b'!J46*Sheet1!$M$10+'34b'!J51*Sheet1!$M$11+'34b'!J56*Sheet1!$M$12+'34b'!J61*Sheet1!$M$13)/Sheet1!$M$19</f>
        <v>42.939719374224687</v>
      </c>
      <c r="K11" s="504">
        <f>(K16*Sheet1!B$4+'34b'!K21*Sheet1!B$5+'34b'!K26*Sheet1!B$6+'34b'!K31*Sheet1!B$7+'34b'!K36*Sheet1!B$8+'34b'!K41*Sheet1!B$9+'34b'!K46*Sheet1!B$10+'34b'!K51*Sheet1!B$11+'34b'!K56*Sheet1!B$12+'34b'!K61*Sheet1!B$13)/Sheet1!B$19</f>
        <v>41.414583878565821</v>
      </c>
      <c r="L11" s="504">
        <f>(L16*Sheet1!C$4+'34b'!L21*Sheet1!C$5+'34b'!L26*Sheet1!C$6+'34b'!L31*Sheet1!C$7+'34b'!L36*Sheet1!C$8+'34b'!L41*Sheet1!C$9+'34b'!L46*Sheet1!C$10+'34b'!L51*Sheet1!C$11+'34b'!L56*Sheet1!C$12+'34b'!L61*Sheet1!C$13)/Sheet1!C$19</f>
        <v>36.646018607196609</v>
      </c>
      <c r="M11" s="504">
        <f>(M16*Sheet1!D$4+'34b'!M21*Sheet1!D$5+'34b'!M26*Sheet1!D$6+'34b'!M31*Sheet1!D$7+'34b'!M36*Sheet1!D$8+'34b'!M41*Sheet1!D$9+'34b'!M46*Sheet1!D$10+'34b'!M51*Sheet1!D$11+'34b'!M56*Sheet1!D$12+'34b'!M61*Sheet1!D$13)/Sheet1!D$19</f>
        <v>35.360023187565666</v>
      </c>
      <c r="N11" s="504">
        <f>(N16*Sheet1!E$4+'34b'!N21*Sheet1!E$5+'34b'!N26*Sheet1!E$6+'34b'!N31*Sheet1!E$7+'34b'!N36*Sheet1!E$8+'34b'!N41*Sheet1!E$9+'34b'!N46*Sheet1!E$10+'34b'!N51*Sheet1!E$11+'34b'!N56*Sheet1!E$12+'34b'!N61*Sheet1!E$13)/Sheet1!E$19</f>
        <v>34.656801965142122</v>
      </c>
      <c r="O11" s="504">
        <f>(O16*Sheet1!F$4+'34b'!O21*Sheet1!F$5+'34b'!O26*Sheet1!F$6+'34b'!O31*Sheet1!F$7+'34b'!O36*Sheet1!F$8+'34b'!O41*Sheet1!F$9+'34b'!O46*Sheet1!F$10+'34b'!O51*Sheet1!F$11+'34b'!O56*Sheet1!F$12+'34b'!O61*Sheet1!F$13)/Sheet1!F$19</f>
        <v>34.668505361634523</v>
      </c>
      <c r="P11" s="504">
        <f>(P16*Sheet1!G$4+'34b'!P21*Sheet1!G$5+'34b'!P26*Sheet1!G$6+'34b'!P31*Sheet1!G$7+'34b'!P36*Sheet1!G$8+'34b'!P41*Sheet1!G$9+'34b'!P46*Sheet1!G$10+'34b'!P51*Sheet1!G$11+'34b'!P56*Sheet1!G$12+'34b'!P61*Sheet1!G$13)/Sheet1!G$19</f>
        <v>33.762952243125902</v>
      </c>
      <c r="Q11" s="504">
        <f>(Q16*Sheet1!H$4+'34b'!Q21*Sheet1!H$5+'34b'!Q26*Sheet1!H$6+'34b'!Q31*Sheet1!H$7+'34b'!Q36*Sheet1!H$8+'34b'!Q41*Sheet1!H$9+'34b'!Q46*Sheet1!H$10+'34b'!Q51*Sheet1!H$11+'34b'!Q56*Sheet1!H$12+'34b'!Q61*Sheet1!H$13)/Sheet1!H$19</f>
        <v>33.509025840745224</v>
      </c>
      <c r="R11" s="504">
        <f>(R16*Sheet1!I$4+'34b'!R21*Sheet1!I$5+'34b'!R26*Sheet1!I$6+'34b'!R31*Sheet1!I$7+'34b'!R36*Sheet1!I$8+'34b'!R41*Sheet1!I$9+'34b'!R46*Sheet1!I$10+'34b'!R51*Sheet1!I$11+'34b'!R56*Sheet1!I$12+'34b'!R61*Sheet1!I$13)/Sheet1!I$19</f>
        <v>33.852517199956317</v>
      </c>
      <c r="S11" s="504">
        <f>(S16*Sheet1!J$4+'34b'!S21*Sheet1!J$5+'34b'!S26*Sheet1!J$6+'34b'!S31*Sheet1!J$7+'34b'!S36*Sheet1!J$8+'34b'!S41*Sheet1!J$9+'34b'!S46*Sheet1!J$10+'34b'!S51*Sheet1!J$11+'34b'!S56*Sheet1!J$12+'34b'!S61*Sheet1!J$13)/Sheet1!J$19</f>
        <v>33.205762028233941</v>
      </c>
      <c r="T11" s="504">
        <f>(T16*Sheet1!K$4+'34b'!T21*Sheet1!K$5+'34b'!T26*Sheet1!K$6+'34b'!T31*Sheet1!K$7+'34b'!T36*Sheet1!K$8+'34b'!T41*Sheet1!K$9+'34b'!T46*Sheet1!K$10+'34b'!T51*Sheet1!K$11+'34b'!T56*Sheet1!K$12+'34b'!T61*Sheet1!K$13)/Sheet1!K$19</f>
        <v>33.177203290246766</v>
      </c>
      <c r="U11" s="504">
        <f>(U16*Sheet1!L$4+'34b'!U21*Sheet1!L$5+'34b'!U26*Sheet1!L$6+'34b'!U31*Sheet1!L$7+'34b'!U36*Sheet1!L$8+'34b'!U41*Sheet1!L$9+'34b'!U46*Sheet1!L$10+'34b'!U51*Sheet1!L$11+'34b'!U56*Sheet1!L$12+'34b'!U61*Sheet1!L$13)/Sheet1!L$19</f>
        <v>32.767769092002403</v>
      </c>
      <c r="V11" s="504">
        <f>(V16*Sheet1!L$4+'34b'!V21*Sheet1!L$5+'34b'!V26*Sheet1!L$6+'34b'!V31*Sheet1!L$7+'34b'!V36*Sheet1!L$8+'34b'!V41*Sheet1!L$9+'34b'!V46*Sheet1!L$10+'34b'!V51*Sheet1!L$11+'34b'!V56*Sheet1!L$12+'34b'!V61*Sheet1!L$13)/Sheet1!L$19</f>
        <v>32.777089597113651</v>
      </c>
      <c r="W11" s="504">
        <f>(W16*Sheet1!M$4+'34b'!W21*Sheet1!M$5+'34b'!W26*Sheet1!M$6+'34b'!W31*Sheet1!M$7+'34b'!W36*Sheet1!M$8+'34b'!W41*Sheet1!M$9+'34b'!W46*Sheet1!M$10+'34b'!W51*Sheet1!M$11+'34b'!W56*Sheet1!M$12+'34b'!W61*Sheet1!M$13)/Sheet1!M$19</f>
        <v>33.173499669052703</v>
      </c>
      <c r="Y11" s="283">
        <f>E11-D11</f>
        <v>4.9903871864219553</v>
      </c>
      <c r="Z11" s="283">
        <f>P11-E11</f>
        <v>-6.3324131796757115</v>
      </c>
      <c r="AA11" s="283">
        <f>W11-D11</f>
        <v>-1.9314785673269554</v>
      </c>
      <c r="AB11" s="283">
        <f>W11-P11</f>
        <v>-0.58945257407319929</v>
      </c>
    </row>
    <row r="12" spans="1:29">
      <c r="A12" s="256" t="s">
        <v>1219</v>
      </c>
      <c r="B12" s="832"/>
      <c r="C12" s="832"/>
      <c r="D12" s="503" t="s">
        <v>374</v>
      </c>
      <c r="E12" s="307">
        <f>(E17*Sheet1!$M$4+'34b'!E22*Sheet1!$M$5+'34b'!E27*Sheet1!$M$6+'34b'!E32*Sheet1!$M$7+'34b'!E37*Sheet1!$M$8+'34b'!E42*Sheet1!$M$9+'34b'!E47*Sheet1!$M$10+'34b'!E52*Sheet1!$M$11+'34b'!E57*Sheet1!$M$12+'34b'!E62*Sheet1!$M$13)/Sheet1!$M$19</f>
        <v>59.187706294135438</v>
      </c>
      <c r="F12" s="504">
        <f>(F17*Sheet1!$M$4+'34b'!F22*Sheet1!$M$5+'34b'!F27*Sheet1!$M$6+'34b'!F32*Sheet1!$M$7+'34b'!F37*Sheet1!$M$8+'34b'!F42*Sheet1!$M$9+'34b'!F47*Sheet1!$M$10+'34b'!F52*Sheet1!$M$11+'34b'!F57*Sheet1!$M$12+'34b'!F62*Sheet1!$M$13)/Sheet1!$M$19</f>
        <v>62.223238198770012</v>
      </c>
      <c r="G12" s="504">
        <f>(G17*Sheet1!$M$4+'34b'!G22*Sheet1!$M$5+'34b'!G27*Sheet1!$M$6+'34b'!G32*Sheet1!$M$7+'34b'!G37*Sheet1!$M$8+'34b'!G42*Sheet1!$M$9+'34b'!G47*Sheet1!$M$10+'34b'!G52*Sheet1!$M$11+'34b'!G57*Sheet1!$M$12+'34b'!G62*Sheet1!$M$13)/Sheet1!$M$19</f>
        <v>62.838304848487503</v>
      </c>
      <c r="H12" s="504">
        <f>(H17*Sheet1!$M$4+'34b'!H22*Sheet1!$M$5+'34b'!H27*Sheet1!$M$6+'34b'!H32*Sheet1!$M$7+'34b'!H37*Sheet1!$M$8+'34b'!H42*Sheet1!$M$9+'34b'!H47*Sheet1!$M$10+'34b'!H52*Sheet1!$M$11+'34b'!H57*Sheet1!$M$12+'34b'!H62*Sheet1!$M$13)/Sheet1!$M$19</f>
        <v>60.047489841452133</v>
      </c>
      <c r="I12" s="504">
        <f>(I17*Sheet1!$M$4+'34b'!I22*Sheet1!$M$5+'34b'!I27*Sheet1!$M$6+'34b'!I32*Sheet1!$M$7+'34b'!I37*Sheet1!$M$8+'34b'!I42*Sheet1!$M$9+'34b'!I47*Sheet1!$M$10+'34b'!I52*Sheet1!$M$11+'34b'!I57*Sheet1!$M$12+'34b'!I62*Sheet1!$M$13)/Sheet1!$M$19</f>
        <v>60.084801409703985</v>
      </c>
      <c r="J12" s="504">
        <f>(J17*Sheet1!$M$4+'34b'!J22*Sheet1!$M$5+'34b'!J27*Sheet1!$M$6+'34b'!J32*Sheet1!$M$7+'34b'!J37*Sheet1!$M$8+'34b'!J42*Sheet1!$M$9+'34b'!J47*Sheet1!$M$10+'34b'!J52*Sheet1!$M$11+'34b'!J57*Sheet1!$M$12+'34b'!J62*Sheet1!$M$13)/Sheet1!$M$19</f>
        <v>59.607711291220475</v>
      </c>
      <c r="K12" s="504">
        <f>(K17*Sheet1!B$4+'34b'!K22*Sheet1!B$5+'34b'!K27*Sheet1!B$6+'34b'!K32*Sheet1!B$7+'34b'!K37*Sheet1!B$8+'34b'!K42*Sheet1!B$9+'34b'!K47*Sheet1!B$10+'34b'!K52*Sheet1!B$11+'34b'!K57*Sheet1!B$12+'34b'!K62*Sheet1!B$13)/Sheet1!B$19</f>
        <v>59.084140277414292</v>
      </c>
      <c r="L12" s="504">
        <f>(L17*Sheet1!C$4+'34b'!L22*Sheet1!C$5+'34b'!L27*Sheet1!C$6+'34b'!L32*Sheet1!C$7+'34b'!L37*Sheet1!C$8+'34b'!L42*Sheet1!C$9+'34b'!L47*Sheet1!C$10+'34b'!L52*Sheet1!C$11+'34b'!L57*Sheet1!C$12+'34b'!L62*Sheet1!C$13)/Sheet1!C$19</f>
        <v>58.076891503625667</v>
      </c>
      <c r="M12" s="504">
        <f>(M17*Sheet1!D$4+'34b'!M22*Sheet1!D$5+'34b'!M27*Sheet1!D$6+'34b'!M32*Sheet1!D$7+'34b'!M37*Sheet1!D$8+'34b'!M42*Sheet1!D$9+'34b'!M47*Sheet1!D$10+'34b'!M52*Sheet1!D$11+'34b'!M57*Sheet1!D$12+'34b'!M62*Sheet1!D$13)/Sheet1!D$19</f>
        <v>57.498423970146007</v>
      </c>
      <c r="N12" s="504">
        <f>(N17*Sheet1!E$4+'34b'!N22*Sheet1!E$5+'34b'!N27*Sheet1!E$6+'34b'!N32*Sheet1!E$7+'34b'!N37*Sheet1!E$8+'34b'!N42*Sheet1!E$9+'34b'!N47*Sheet1!E$10+'34b'!N52*Sheet1!E$11+'34b'!N57*Sheet1!E$12+'34b'!N62*Sheet1!E$13)/Sheet1!E$19</f>
        <v>57.351581081607982</v>
      </c>
      <c r="O12" s="504">
        <f>(O17*Sheet1!F$4+'34b'!O22*Sheet1!F$5+'34b'!O27*Sheet1!F$6+'34b'!O32*Sheet1!F$7+'34b'!O37*Sheet1!F$8+'34b'!O42*Sheet1!F$9+'34b'!O47*Sheet1!F$10+'34b'!O52*Sheet1!F$11+'34b'!O57*Sheet1!F$12+'34b'!O62*Sheet1!F$13)/Sheet1!F$19</f>
        <v>56.434314460968181</v>
      </c>
      <c r="P12" s="504">
        <f>(P17*Sheet1!G$4+'34b'!P22*Sheet1!G$5+'34b'!P27*Sheet1!G$6+'34b'!P32*Sheet1!G$7+'34b'!P37*Sheet1!G$8+'34b'!P42*Sheet1!G$9+'34b'!P47*Sheet1!G$10+'34b'!P52*Sheet1!G$11+'34b'!P57*Sheet1!G$12+'34b'!P62*Sheet1!G$13)/Sheet1!G$19</f>
        <v>55.021900627110469</v>
      </c>
      <c r="Q12" s="504">
        <f>(Q17*Sheet1!H$4+'34b'!Q22*Sheet1!H$5+'34b'!Q27*Sheet1!H$6+'34b'!Q32*Sheet1!H$7+'34b'!Q37*Sheet1!H$8+'34b'!Q42*Sheet1!H$9+'34b'!Q47*Sheet1!H$10+'34b'!Q52*Sheet1!H$11+'34b'!Q57*Sheet1!H$12+'34b'!Q62*Sheet1!H$13)/Sheet1!H$19</f>
        <v>54.078680069470025</v>
      </c>
      <c r="R12" s="504">
        <f>(R17*Sheet1!I$4+'34b'!R22*Sheet1!I$5+'34b'!R27*Sheet1!I$6+'34b'!R32*Sheet1!I$7+'34b'!R37*Sheet1!I$8+'34b'!R42*Sheet1!I$9+'34b'!R47*Sheet1!I$10+'34b'!R52*Sheet1!I$11+'34b'!R57*Sheet1!I$12+'34b'!R62*Sheet1!I$13)/Sheet1!I$19</f>
        <v>53.566124276509775</v>
      </c>
      <c r="S12" s="504">
        <f>(S17*Sheet1!J$4+'34b'!S22*Sheet1!J$5+'34b'!S27*Sheet1!J$6+'34b'!S32*Sheet1!J$7+'34b'!S37*Sheet1!J$8+'34b'!S42*Sheet1!J$9+'34b'!S47*Sheet1!J$10+'34b'!S52*Sheet1!J$11+'34b'!S57*Sheet1!J$12+'34b'!S62*Sheet1!J$13)/Sheet1!J$19</f>
        <v>52.580754825698648</v>
      </c>
      <c r="T12" s="504">
        <f>(T17*Sheet1!K$4+'34b'!T22*Sheet1!K$5+'34b'!T27*Sheet1!K$6+'34b'!T32*Sheet1!K$7+'34b'!T37*Sheet1!K$8+'34b'!T42*Sheet1!K$9+'34b'!T47*Sheet1!K$10+'34b'!T52*Sheet1!K$11+'34b'!T57*Sheet1!K$12+'34b'!T62*Sheet1!K$13)/Sheet1!K$19</f>
        <v>52.430258519388957</v>
      </c>
      <c r="U12" s="504">
        <f>(U17*Sheet1!L$4+'34b'!U22*Sheet1!L$5+'34b'!U27*Sheet1!L$6+'34b'!U32*Sheet1!L$7+'34b'!U37*Sheet1!L$8+'34b'!U42*Sheet1!L$9+'34b'!U47*Sheet1!L$10+'34b'!U52*Sheet1!L$11+'34b'!U57*Sheet1!L$12+'34b'!U62*Sheet1!L$13)/Sheet1!L$19</f>
        <v>51.944076969332535</v>
      </c>
      <c r="V12" s="504">
        <f>(V17*Sheet1!L$4+'34b'!V22*Sheet1!L$5+'34b'!V27*Sheet1!L$6+'34b'!V32*Sheet1!L$7+'34b'!V37*Sheet1!L$8+'34b'!V42*Sheet1!L$9+'34b'!V47*Sheet1!L$10+'34b'!V52*Sheet1!L$11+'34b'!V57*Sheet1!L$12+'34b'!V62*Sheet1!L$13)/Sheet1!L$19</f>
        <v>51.925796752856286</v>
      </c>
      <c r="W12" s="504">
        <f>(W17*Sheet1!M$4+'34b'!W22*Sheet1!M$5+'34b'!W27*Sheet1!M$6+'34b'!W32*Sheet1!M$7+'34b'!W37*Sheet1!M$8+'34b'!W42*Sheet1!M$9+'34b'!W47*Sheet1!M$10+'34b'!W52*Sheet1!M$11+'34b'!W57*Sheet1!M$12+'34b'!W62*Sheet1!M$13)/Sheet1!M$19</f>
        <v>51.841452135377168</v>
      </c>
      <c r="Y12" s="283" t="s">
        <v>374</v>
      </c>
      <c r="Z12" s="283">
        <f>P12-E12</f>
        <v>-4.1658056670249692</v>
      </c>
      <c r="AA12" s="283">
        <f>W12-E12</f>
        <v>-7.3462541587582706</v>
      </c>
      <c r="AB12" s="283">
        <f>W12-P12</f>
        <v>-3.1804484917333014</v>
      </c>
    </row>
    <row r="13" spans="1:29">
      <c r="A13" s="256" t="s">
        <v>1222</v>
      </c>
      <c r="B13" s="832"/>
      <c r="C13" s="832"/>
      <c r="D13" s="503">
        <f>(D18*Sheet1!$M$4+'34b'!D23*Sheet1!$M$5+'34b'!D28*Sheet1!$M$6+'34b'!D33*Sheet1!$M$7+'34b'!D38*Sheet1!$M$8+'34b'!D43*Sheet1!$M$9+'34b'!D48*Sheet1!$M$10+'34b'!D53*Sheet1!$M$11+'34b'!D58*Sheet1!$M$12+'34b'!D63*Sheet1!$M$13)/Sheet1!$M$19</f>
        <v>60.645759272003609</v>
      </c>
      <c r="E13" s="307">
        <f>(E18*Sheet1!$M$4+'34b'!E23*Sheet1!$M$5+'34b'!E28*Sheet1!$M$6+'34b'!E33*Sheet1!$M$7+'34b'!E38*Sheet1!$M$8+'34b'!E43*Sheet1!$M$9+'34b'!E48*Sheet1!$M$10+'34b'!E53*Sheet1!$M$11+'34b'!E58*Sheet1!$M$12+'34b'!E63*Sheet1!$M$13)/Sheet1!$M$19</f>
        <v>61.593473982282262</v>
      </c>
      <c r="F13" s="504">
        <f>(F18*Sheet1!$M$4+'34b'!F23*Sheet1!$M$5+'34b'!F28*Sheet1!$M$6+'34b'!F33*Sheet1!$M$7+'34b'!F38*Sheet1!$M$8+'34b'!F43*Sheet1!$M$9+'34b'!F48*Sheet1!$M$10+'34b'!F53*Sheet1!$M$11+'34b'!F58*Sheet1!$M$12+'34b'!F63*Sheet1!$M$13)/Sheet1!$M$19</f>
        <v>66.150044053249644</v>
      </c>
      <c r="G13" s="504">
        <f>(G18*Sheet1!$M$4+'34b'!G23*Sheet1!$M$5+'34b'!G28*Sheet1!$M$6+'34b'!G33*Sheet1!$M$7+'34b'!G38*Sheet1!$M$8+'34b'!G43*Sheet1!$M$9+'34b'!G48*Sheet1!$M$10+'34b'!G53*Sheet1!$M$11+'34b'!G58*Sheet1!$M$12+'34b'!G63*Sheet1!$M$13)/Sheet1!$M$19</f>
        <v>66.583094072317465</v>
      </c>
      <c r="H13" s="504">
        <f>(H18*Sheet1!$M$4+'34b'!H23*Sheet1!$M$5+'34b'!H28*Sheet1!$M$6+'34b'!H33*Sheet1!$M$7+'34b'!H38*Sheet1!$M$8+'34b'!H43*Sheet1!$M$9+'34b'!H48*Sheet1!$M$10+'34b'!H53*Sheet1!$M$11+'34b'!H58*Sheet1!$M$12+'34b'!H63*Sheet1!$M$13)/Sheet1!$M$19</f>
        <v>69.854396338977708</v>
      </c>
      <c r="I13" s="504">
        <f>(I18*Sheet1!$M$4+'34b'!I23*Sheet1!$M$5+'34b'!I28*Sheet1!$M$6+'34b'!I33*Sheet1!$M$7+'34b'!I38*Sheet1!$M$8+'34b'!I43*Sheet1!$M$9+'34b'!I48*Sheet1!$M$10+'34b'!I53*Sheet1!$M$11+'34b'!I58*Sheet1!$M$12+'34b'!I63*Sheet1!$M$13)/Sheet1!$M$19</f>
        <v>70.242832032191743</v>
      </c>
      <c r="J13" s="504">
        <f>(J18*Sheet1!$M$4+'34b'!J23*Sheet1!$M$5+'34b'!J28*Sheet1!$M$6+'34b'!J33*Sheet1!$M$7+'34b'!J38*Sheet1!$M$8+'34b'!J43*Sheet1!$M$9+'34b'!J48*Sheet1!$M$10+'34b'!J53*Sheet1!$M$11+'34b'!J58*Sheet1!$M$12+'34b'!J63*Sheet1!$M$13)/Sheet1!$M$19</f>
        <v>70.603678555930088</v>
      </c>
      <c r="K13" s="504">
        <f>(K18*Sheet1!B$4+'34b'!K23*Sheet1!B$5+'34b'!K28*Sheet1!B$6+'34b'!K33*Sheet1!B$7+'34b'!K38*Sheet1!B$8+'34b'!K43*Sheet1!B$9+'34b'!K48*Sheet1!B$10+'34b'!K53*Sheet1!B$11+'34b'!K58*Sheet1!B$12+'34b'!K63*Sheet1!B$13)/Sheet1!B$19</f>
        <v>68.385108610311434</v>
      </c>
      <c r="L13" s="504">
        <f>(L18*Sheet1!C$4+'34b'!L23*Sheet1!C$5+'34b'!L28*Sheet1!C$6+'34b'!L33*Sheet1!C$7+'34b'!L38*Sheet1!C$8+'34b'!L43*Sheet1!C$9+'34b'!L48*Sheet1!C$10+'34b'!L53*Sheet1!C$11+'34b'!L58*Sheet1!C$12+'34b'!L63*Sheet1!C$13)/Sheet1!C$19</f>
        <v>62.289164044328906</v>
      </c>
      <c r="M13" s="504">
        <f>(M18*Sheet1!D$4+'34b'!M23*Sheet1!D$5+'34b'!M28*Sheet1!D$6+'34b'!M33*Sheet1!D$7+'34b'!M38*Sheet1!D$8+'34b'!M43*Sheet1!D$9+'34b'!M48*Sheet1!D$10+'34b'!M53*Sheet1!D$11+'34b'!M58*Sheet1!D$12+'34b'!M63*Sheet1!D$13)/Sheet1!D$19</f>
        <v>61.010398173979205</v>
      </c>
      <c r="N13" s="504">
        <f>(N18*Sheet1!E$4+'34b'!N23*Sheet1!E$5+'34b'!N28*Sheet1!E$6+'34b'!N33*Sheet1!E$7+'34b'!N38*Sheet1!E$8+'34b'!N43*Sheet1!E$9+'34b'!N48*Sheet1!E$10+'34b'!N53*Sheet1!E$11+'34b'!N58*Sheet1!E$12+'34b'!N63*Sheet1!E$13)/Sheet1!E$19</f>
        <v>60.564900378211874</v>
      </c>
      <c r="O13" s="504">
        <f>(O18*Sheet1!F$4+'34b'!O23*Sheet1!F$5+'34b'!O28*Sheet1!F$6+'34b'!O33*Sheet1!F$7+'34b'!O38*Sheet1!F$8+'34b'!O43*Sheet1!F$9+'34b'!O48*Sheet1!F$10+'34b'!O53*Sheet1!F$11+'34b'!O58*Sheet1!F$12+'34b'!O63*Sheet1!F$13)/Sheet1!F$19</f>
        <v>60.094876660341555</v>
      </c>
      <c r="P13" s="504">
        <f>(P18*Sheet1!G$4+'34b'!P23*Sheet1!G$5+'34b'!P28*Sheet1!G$6+'34b'!P33*Sheet1!G$7+'34b'!P38*Sheet1!G$8+'34b'!P43*Sheet1!G$9+'34b'!P48*Sheet1!G$10+'34b'!P53*Sheet1!G$11+'34b'!P58*Sheet1!G$12+'34b'!P63*Sheet1!G$13)/Sheet1!G$19</f>
        <v>58.939652677279305</v>
      </c>
      <c r="Q13" s="504">
        <f>(Q18*Sheet1!H$4+'34b'!Q23*Sheet1!H$5+'34b'!Q28*Sheet1!H$6+'34b'!Q33*Sheet1!H$7+'34b'!Q38*Sheet1!H$8+'34b'!Q43*Sheet1!H$9+'34b'!Q48*Sheet1!H$10+'34b'!Q53*Sheet1!H$11+'34b'!Q58*Sheet1!H$12+'34b'!Q63*Sheet1!H$13)/Sheet1!H$19</f>
        <v>57.898057996947529</v>
      </c>
      <c r="R13" s="504">
        <f>(R18*Sheet1!I$4+'34b'!R23*Sheet1!I$5+'34b'!R28*Sheet1!I$6+'34b'!R33*Sheet1!I$7+'34b'!R38*Sheet1!I$8+'34b'!R43*Sheet1!I$9+'34b'!R48*Sheet1!I$10+'34b'!R53*Sheet1!I$11+'34b'!R58*Sheet1!I$12+'34b'!R63*Sheet1!I$13)/Sheet1!I$19</f>
        <v>57.466146117724143</v>
      </c>
      <c r="S13" s="504">
        <f>(S18*Sheet1!J$4+'34b'!S23*Sheet1!J$5+'34b'!S28*Sheet1!J$6+'34b'!S33*Sheet1!J$7+'34b'!S38*Sheet1!J$8+'34b'!S43*Sheet1!J$9+'34b'!S48*Sheet1!J$10+'34b'!S53*Sheet1!J$11+'34b'!S58*Sheet1!J$12+'34b'!S63*Sheet1!J$13)/Sheet1!J$19</f>
        <v>56.693805819648517</v>
      </c>
      <c r="T13" s="504">
        <f>(T18*Sheet1!K$4+'34b'!T23*Sheet1!K$5+'34b'!T28*Sheet1!K$6+'34b'!T33*Sheet1!K$7+'34b'!T38*Sheet1!K$8+'34b'!T43*Sheet1!K$9+'34b'!T48*Sheet1!K$10+'34b'!T53*Sheet1!K$11+'34b'!T58*Sheet1!K$12+'34b'!T63*Sheet1!K$13)/Sheet1!K$19</f>
        <v>56.486368977673322</v>
      </c>
      <c r="U13" s="504">
        <f>(U18*Sheet1!L$4+'34b'!U23*Sheet1!L$5+'34b'!U28*Sheet1!L$6+'34b'!U33*Sheet1!L$7+'34b'!U38*Sheet1!L$8+'34b'!U43*Sheet1!L$9+'34b'!U48*Sheet1!L$10+'34b'!U53*Sheet1!L$11+'34b'!U58*Sheet1!L$12+'34b'!U63*Sheet1!L$13)/Sheet1!L$19</f>
        <v>57.420084185207457</v>
      </c>
      <c r="V13" s="504">
        <f>(V18*Sheet1!L$4+'34b'!V23*Sheet1!L$5+'34b'!V28*Sheet1!L$6+'34b'!V33*Sheet1!L$7+'34b'!V38*Sheet1!L$8+'34b'!V43*Sheet1!L$9+'34b'!V48*Sheet1!L$10+'34b'!V53*Sheet1!L$11+'34b'!V58*Sheet1!L$12+'34b'!V63*Sheet1!L$13)/Sheet1!L$19</f>
        <v>60.843235117257969</v>
      </c>
      <c r="W13" s="504">
        <f>(W18*Sheet1!M$4+'34b'!W23*Sheet1!M$5+'34b'!W28*Sheet1!M$6+'34b'!W33*Sheet1!M$7+'34b'!W38*Sheet1!M$8+'34b'!W43*Sheet1!M$9+'34b'!W48*Sheet1!M$10+'34b'!W53*Sheet1!M$11+'34b'!W58*Sheet1!M$12+'34b'!W63*Sheet1!M$13)/Sheet1!M$19</f>
        <v>61.994893329768161</v>
      </c>
      <c r="Y13" s="283">
        <f>E13-D13</f>
        <v>0.94771471027865317</v>
      </c>
      <c r="Z13" s="283">
        <f>P13-E13</f>
        <v>-2.6538213050029569</v>
      </c>
      <c r="AA13" s="283">
        <f>W13-D13</f>
        <v>1.3491340577645516</v>
      </c>
      <c r="AB13" s="283">
        <f>W13-P13</f>
        <v>3.0552406524888553</v>
      </c>
    </row>
    <row r="14" spans="1:29">
      <c r="A14" s="256" t="s">
        <v>1221</v>
      </c>
      <c r="B14" s="832"/>
      <c r="C14" s="832"/>
      <c r="D14" s="503">
        <f>(D19*Sheet1!$M$4+'34b'!D24*Sheet1!$M$5+'34b'!D29*Sheet1!$M$6+'34b'!D34*Sheet1!$M$7+'34b'!D39*Sheet1!$M$8+'34b'!D44*Sheet1!$M$9+'34b'!D49*Sheet1!$M$10+'34b'!D54*Sheet1!$M$11+'34b'!D59*Sheet1!$M$12+'34b'!D64*Sheet1!$M$13)/Sheet1!$M$19</f>
        <v>56.753919862536328</v>
      </c>
      <c r="E14" s="307">
        <f>(E19*Sheet1!$M$4+'34b'!E24*Sheet1!$M$5+'34b'!E29*Sheet1!$M$6+'34b'!E34*Sheet1!$M$7+'34b'!E39*Sheet1!$M$8+'34b'!E44*Sheet1!$M$9+'34b'!E49*Sheet1!$M$10+'34b'!E54*Sheet1!$M$11+'34b'!E59*Sheet1!$M$12+'34b'!E64*Sheet1!$M$13)/Sheet1!$M$19</f>
        <v>57.543292728364591</v>
      </c>
      <c r="F14" s="504">
        <f>(F19*Sheet1!$M$4+'34b'!F24*Sheet1!$M$5+'34b'!F29*Sheet1!$M$6+'34b'!F34*Sheet1!$M$7+'34b'!F39*Sheet1!$M$8+'34b'!F44*Sheet1!$M$9+'34b'!F49*Sheet1!$M$10+'34b'!F54*Sheet1!$M$11+'34b'!F59*Sheet1!$M$12+'34b'!F64*Sheet1!$M$13)/Sheet1!$M$19</f>
        <v>62.697939359934772</v>
      </c>
      <c r="G14" s="504">
        <f>(G19*Sheet1!$M$4+'34b'!G24*Sheet1!$M$5+'34b'!G29*Sheet1!$M$6+'34b'!G34*Sheet1!$M$7+'34b'!G39*Sheet1!$M$8+'34b'!G44*Sheet1!$M$9+'34b'!G49*Sheet1!$M$10+'34b'!G54*Sheet1!$M$11+'34b'!G59*Sheet1!$M$12+'34b'!G64*Sheet1!$M$13)/Sheet1!$M$19</f>
        <v>61.739051342857017</v>
      </c>
      <c r="H14" s="504">
        <f>(H19*Sheet1!$M$4+'34b'!H24*Sheet1!$M$5+'34b'!H29*Sheet1!$M$6+'34b'!H34*Sheet1!$M$7+'34b'!H39*Sheet1!$M$8+'34b'!H44*Sheet1!$M$9+'34b'!H49*Sheet1!$M$10+'34b'!H54*Sheet1!$M$11+'34b'!H59*Sheet1!$M$12+'34b'!H64*Sheet1!$M$13)/Sheet1!$M$19</f>
        <v>62.116589883971194</v>
      </c>
      <c r="I14" s="504">
        <f>(I19*Sheet1!$M$4+'34b'!I24*Sheet1!$M$5+'34b'!I29*Sheet1!$M$6+'34b'!I34*Sheet1!$M$7+'34b'!I39*Sheet1!$M$8+'34b'!I44*Sheet1!$M$9+'34b'!I49*Sheet1!$M$10+'34b'!I54*Sheet1!$M$11+'34b'!I59*Sheet1!$M$12+'34b'!I64*Sheet1!$M$13)/Sheet1!$M$19</f>
        <v>62.005816782315577</v>
      </c>
      <c r="J14" s="504">
        <f>(J19*Sheet1!$M$4+'34b'!J24*Sheet1!$M$5+'34b'!J29*Sheet1!$M$6+'34b'!J34*Sheet1!$M$7+'34b'!J39*Sheet1!$M$8+'34b'!J44*Sheet1!$M$9+'34b'!J49*Sheet1!$M$10+'34b'!J54*Sheet1!$M$11+'34b'!J59*Sheet1!$M$12+'34b'!J64*Sheet1!$M$13)/Sheet1!$M$19</f>
        <v>61.908917166740451</v>
      </c>
      <c r="K14" s="504">
        <f>(K19*Sheet1!B$4+'34b'!K24*Sheet1!B$5+'34b'!K29*Sheet1!B$6+'34b'!K34*Sheet1!B$7+'34b'!K39*Sheet1!B$8+'34b'!K44*Sheet1!B$9+'34b'!K49*Sheet1!B$10+'34b'!K54*Sheet1!B$11+'34b'!K59*Sheet1!B$12+'34b'!K64*Sheet1!B$13)/Sheet1!B$19</f>
        <v>59.837346244438628</v>
      </c>
      <c r="L14" s="504">
        <f>(L19*Sheet1!C$4+'34b'!L24*Sheet1!C$5+'34b'!L29*Sheet1!C$6+'34b'!L34*Sheet1!C$7+'34b'!L39*Sheet1!C$8+'34b'!L44*Sheet1!C$9+'34b'!L49*Sheet1!C$10+'34b'!L54*Sheet1!C$11+'34b'!L59*Sheet1!C$12+'34b'!L64*Sheet1!C$13)/Sheet1!C$19</f>
        <v>54.381413326036395</v>
      </c>
      <c r="M14" s="504">
        <f>(M19*Sheet1!D$4+'34b'!M24*Sheet1!D$5+'34b'!M29*Sheet1!D$6+'34b'!M34*Sheet1!D$7+'34b'!M39*Sheet1!D$8+'34b'!M44*Sheet1!D$9+'34b'!M49*Sheet1!D$10+'34b'!M54*Sheet1!D$11+'34b'!M59*Sheet1!D$12+'34b'!M64*Sheet1!D$13)/Sheet1!D$19</f>
        <v>52.997101554291511</v>
      </c>
      <c r="N14" s="504">
        <f>(N19*Sheet1!E$4+'34b'!N24*Sheet1!E$5+'34b'!N29*Sheet1!E$6+'34b'!N34*Sheet1!E$7+'34b'!N39*Sheet1!E$8+'34b'!N44*Sheet1!E$9+'34b'!N49*Sheet1!E$10+'34b'!N54*Sheet1!E$11+'34b'!N59*Sheet1!E$12+'34b'!N64*Sheet1!E$13)/Sheet1!E$19</f>
        <v>53.011268374468749</v>
      </c>
      <c r="O14" s="504">
        <f>(O19*Sheet1!F$4+'34b'!O24*Sheet1!F$5+'34b'!O29*Sheet1!F$6+'34b'!O34*Sheet1!F$7+'34b'!O39*Sheet1!F$8+'34b'!O44*Sheet1!F$9+'34b'!O49*Sheet1!F$10+'34b'!O54*Sheet1!F$11+'34b'!O59*Sheet1!F$12+'34b'!O64*Sheet1!F$13)/Sheet1!F$19</f>
        <v>52.462336172278363</v>
      </c>
      <c r="P14" s="504">
        <f>(P19*Sheet1!G$4+'34b'!P24*Sheet1!G$5+'34b'!P29*Sheet1!G$6+'34b'!P34*Sheet1!G$7+'34b'!P39*Sheet1!G$8+'34b'!P44*Sheet1!G$9+'34b'!P49*Sheet1!G$10+'34b'!P54*Sheet1!G$11+'34b'!P59*Sheet1!G$12+'34b'!P64*Sheet1!G$13)/Sheet1!G$19</f>
        <v>51.630969609261939</v>
      </c>
      <c r="Q14" s="504">
        <f>(Q19*Sheet1!H$4+'34b'!Q24*Sheet1!H$5+'34b'!Q29*Sheet1!H$6+'34b'!Q34*Sheet1!H$7+'34b'!Q39*Sheet1!H$8+'34b'!Q44*Sheet1!H$9+'34b'!Q49*Sheet1!H$10+'34b'!Q54*Sheet1!H$11+'34b'!Q59*Sheet1!H$12+'34b'!Q64*Sheet1!H$13)/Sheet1!H$19</f>
        <v>51.634124519762118</v>
      </c>
      <c r="R14" s="504">
        <f>(R19*Sheet1!I$4+'34b'!R24*Sheet1!I$5+'34b'!R29*Sheet1!I$6+'34b'!R34*Sheet1!I$7+'34b'!R39*Sheet1!I$8+'34b'!R44*Sheet1!I$9+'34b'!R49*Sheet1!I$10+'34b'!R54*Sheet1!I$11+'34b'!R59*Sheet1!I$12+'34b'!R64*Sheet1!I$13)/Sheet1!I$19</f>
        <v>51.102544501474284</v>
      </c>
      <c r="S14" s="504">
        <f>(S19*Sheet1!J$4+'34b'!S24*Sheet1!J$5+'34b'!S29*Sheet1!J$6+'34b'!S34*Sheet1!J$7+'34b'!S39*Sheet1!J$8+'34b'!S44*Sheet1!J$9+'34b'!S49*Sheet1!J$10+'34b'!S54*Sheet1!J$11+'34b'!S59*Sheet1!J$12+'34b'!S64*Sheet1!J$13)/Sheet1!J$19</f>
        <v>50.572399884759434</v>
      </c>
      <c r="T14" s="504">
        <f>(T19*Sheet1!K$4+'34b'!T24*Sheet1!K$5+'34b'!T29*Sheet1!K$6+'34b'!T34*Sheet1!K$7+'34b'!T39*Sheet1!K$8+'34b'!T44*Sheet1!K$9+'34b'!T49*Sheet1!K$10+'34b'!T54*Sheet1!K$11+'34b'!T59*Sheet1!K$12+'34b'!T64*Sheet1!K$13)/Sheet1!K$19</f>
        <v>50.55017626321974</v>
      </c>
      <c r="U14" s="504">
        <f>(U19*Sheet1!L$4+'34b'!U24*Sheet1!L$5+'34b'!U29*Sheet1!L$6+'34b'!U34*Sheet1!L$7+'34b'!U39*Sheet1!L$8+'34b'!U44*Sheet1!L$9+'34b'!U49*Sheet1!L$10+'34b'!U54*Sheet1!L$11+'34b'!U59*Sheet1!L$12+'34b'!U64*Sheet1!L$13)/Sheet1!L$19</f>
        <v>52.033433553818398</v>
      </c>
      <c r="V14" s="504">
        <f>(V19*Sheet1!L$4+'34b'!V24*Sheet1!L$5+'34b'!V29*Sheet1!L$6+'34b'!V34*Sheet1!L$7+'34b'!V39*Sheet1!L$8+'34b'!V44*Sheet1!L$9+'34b'!V49*Sheet1!L$10+'34b'!V54*Sheet1!L$11+'34b'!V59*Sheet1!L$12+'34b'!V64*Sheet1!L$13)/Sheet1!L$19</f>
        <v>53.409440769693326</v>
      </c>
      <c r="W14" s="504">
        <f>(W19*Sheet1!M$4+'34b'!W24*Sheet1!M$5+'34b'!W29*Sheet1!M$6+'34b'!W34*Sheet1!M$7+'34b'!W39*Sheet1!M$8+'34b'!W44*Sheet1!M$9+'34b'!W49*Sheet1!M$10+'34b'!W54*Sheet1!M$11+'34b'!W59*Sheet1!M$12+'34b'!W64*Sheet1!M$13)/Sheet1!M$19</f>
        <v>53.30143381273205</v>
      </c>
      <c r="Y14" s="283">
        <f>E14-D14</f>
        <v>0.7893728658282626</v>
      </c>
      <c r="Z14" s="283">
        <f>P14-E14</f>
        <v>-5.912323119102652</v>
      </c>
      <c r="AA14" s="283">
        <f>W14-D14</f>
        <v>-3.4524860498042784</v>
      </c>
      <c r="AB14" s="283">
        <f>W14-P14</f>
        <v>1.6704642034701109</v>
      </c>
    </row>
    <row r="15" spans="1:29">
      <c r="A15" s="832" t="s">
        <v>1223</v>
      </c>
      <c r="B15" s="832"/>
      <c r="C15" s="832"/>
      <c r="D15" s="503"/>
      <c r="E15" s="307"/>
      <c r="F15" s="504"/>
      <c r="G15" s="504"/>
      <c r="H15" s="504"/>
      <c r="I15" s="504"/>
      <c r="J15" s="504"/>
      <c r="K15" s="504"/>
      <c r="L15" s="504"/>
      <c r="M15" s="504"/>
      <c r="N15" s="504"/>
      <c r="O15" s="504"/>
      <c r="P15" s="504"/>
      <c r="Q15" s="504"/>
      <c r="R15" s="504"/>
      <c r="S15" s="504"/>
      <c r="T15" s="504"/>
      <c r="U15" s="504"/>
      <c r="V15" s="504"/>
      <c r="W15" s="504"/>
      <c r="X15" s="757"/>
      <c r="Y15" s="283"/>
      <c r="Z15" s="283"/>
      <c r="AA15" s="283"/>
      <c r="AB15" s="283"/>
    </row>
    <row r="16" spans="1:29">
      <c r="A16" s="256" t="s">
        <v>545</v>
      </c>
      <c r="D16" s="503">
        <v>33</v>
      </c>
      <c r="E16" s="307">
        <v>32</v>
      </c>
      <c r="F16" s="504">
        <v>32</v>
      </c>
      <c r="G16" s="504">
        <v>33</v>
      </c>
      <c r="H16" s="504">
        <v>32</v>
      </c>
      <c r="I16" s="504">
        <v>32</v>
      </c>
      <c r="J16" s="504">
        <v>32</v>
      </c>
      <c r="K16" s="504">
        <v>31</v>
      </c>
      <c r="L16" s="504">
        <v>18</v>
      </c>
      <c r="M16" s="504">
        <v>9</v>
      </c>
      <c r="N16" s="504">
        <v>9</v>
      </c>
      <c r="O16" s="504">
        <v>9</v>
      </c>
      <c r="P16" s="504">
        <v>12</v>
      </c>
      <c r="Q16" s="504">
        <v>20</v>
      </c>
      <c r="R16" s="504">
        <v>49</v>
      </c>
      <c r="S16" s="504">
        <v>47</v>
      </c>
      <c r="T16" s="504">
        <v>47</v>
      </c>
      <c r="U16" s="504">
        <v>46</v>
      </c>
      <c r="V16" s="504">
        <v>49</v>
      </c>
      <c r="W16" s="504">
        <v>50</v>
      </c>
      <c r="X16" s="504"/>
      <c r="Y16" s="283">
        <f>E16-D16</f>
        <v>-1</v>
      </c>
      <c r="Z16" s="283">
        <f>P16-E16</f>
        <v>-20</v>
      </c>
      <c r="AA16" s="283">
        <f>W16-D16</f>
        <v>17</v>
      </c>
      <c r="AB16" s="283">
        <f>W16-P16</f>
        <v>38</v>
      </c>
    </row>
    <row r="17" spans="1:28">
      <c r="A17" s="256" t="s">
        <v>1219</v>
      </c>
      <c r="D17" s="503"/>
      <c r="E17" s="307">
        <v>64</v>
      </c>
      <c r="F17" s="504">
        <v>63</v>
      </c>
      <c r="G17" s="504">
        <v>63</v>
      </c>
      <c r="H17" s="504">
        <v>60</v>
      </c>
      <c r="I17" s="504">
        <v>60</v>
      </c>
      <c r="J17" s="504">
        <v>60</v>
      </c>
      <c r="K17" s="504">
        <v>58</v>
      </c>
      <c r="L17" s="504">
        <v>59</v>
      </c>
      <c r="M17" s="504">
        <v>62</v>
      </c>
      <c r="N17" s="504">
        <v>61</v>
      </c>
      <c r="O17" s="504">
        <v>61</v>
      </c>
      <c r="P17" s="504">
        <v>60</v>
      </c>
      <c r="Q17" s="504">
        <v>59</v>
      </c>
      <c r="R17" s="504">
        <v>58</v>
      </c>
      <c r="S17" s="504">
        <v>56</v>
      </c>
      <c r="T17" s="504">
        <v>55</v>
      </c>
      <c r="U17" s="504">
        <v>54</v>
      </c>
      <c r="V17" s="504">
        <v>57</v>
      </c>
      <c r="W17" s="504">
        <v>58</v>
      </c>
      <c r="X17" s="504"/>
      <c r="Y17" s="283" t="s">
        <v>374</v>
      </c>
      <c r="Z17" s="283">
        <f>P17-E17</f>
        <v>-4</v>
      </c>
      <c r="AA17" s="283">
        <f>W17-E17</f>
        <v>-6</v>
      </c>
      <c r="AB17" s="283">
        <f>W17-P17</f>
        <v>-2</v>
      </c>
    </row>
    <row r="18" spans="1:28">
      <c r="A18" s="256" t="s">
        <v>1222</v>
      </c>
      <c r="D18" s="503">
        <v>68</v>
      </c>
      <c r="E18" s="307">
        <v>66</v>
      </c>
      <c r="F18" s="504">
        <v>67</v>
      </c>
      <c r="G18" s="504">
        <v>69</v>
      </c>
      <c r="H18" s="504">
        <v>74</v>
      </c>
      <c r="I18" s="504">
        <v>73</v>
      </c>
      <c r="J18" s="504">
        <v>73</v>
      </c>
      <c r="K18" s="504">
        <v>71</v>
      </c>
      <c r="L18" s="504">
        <v>72</v>
      </c>
      <c r="M18" s="504">
        <v>73</v>
      </c>
      <c r="N18" s="504">
        <v>75</v>
      </c>
      <c r="O18" s="504">
        <v>76</v>
      </c>
      <c r="P18" s="504">
        <v>76</v>
      </c>
      <c r="Q18" s="504">
        <v>76</v>
      </c>
      <c r="R18" s="504">
        <v>75</v>
      </c>
      <c r="S18" s="504">
        <v>74</v>
      </c>
      <c r="T18" s="504">
        <v>73</v>
      </c>
      <c r="U18" s="504">
        <v>73</v>
      </c>
      <c r="V18" s="504">
        <v>79</v>
      </c>
      <c r="W18" s="504">
        <v>81</v>
      </c>
      <c r="X18" s="504"/>
      <c r="Y18" s="283">
        <f>E18-D18</f>
        <v>-2</v>
      </c>
      <c r="Z18" s="283">
        <f>P18-E18</f>
        <v>10</v>
      </c>
      <c r="AA18" s="283">
        <f>W18-D18</f>
        <v>13</v>
      </c>
      <c r="AB18" s="283">
        <f>W18-P18</f>
        <v>5</v>
      </c>
    </row>
    <row r="19" spans="1:28">
      <c r="A19" s="256" t="s">
        <v>1221</v>
      </c>
      <c r="D19" s="503">
        <v>58</v>
      </c>
      <c r="E19" s="307">
        <v>56</v>
      </c>
      <c r="F19" s="504">
        <v>56</v>
      </c>
      <c r="G19" s="504">
        <v>56</v>
      </c>
      <c r="H19" s="504">
        <v>56</v>
      </c>
      <c r="I19" s="504">
        <v>56</v>
      </c>
      <c r="J19" s="504">
        <v>56</v>
      </c>
      <c r="K19" s="504">
        <v>55</v>
      </c>
      <c r="L19" s="504">
        <v>55</v>
      </c>
      <c r="M19" s="504">
        <v>56</v>
      </c>
      <c r="N19" s="504">
        <v>58</v>
      </c>
      <c r="O19" s="504">
        <v>59</v>
      </c>
      <c r="P19" s="504">
        <v>59</v>
      </c>
      <c r="Q19" s="504">
        <v>60</v>
      </c>
      <c r="R19" s="504">
        <v>60</v>
      </c>
      <c r="S19" s="504">
        <v>59</v>
      </c>
      <c r="T19" s="504">
        <v>59</v>
      </c>
      <c r="U19" s="504">
        <v>59</v>
      </c>
      <c r="V19" s="504">
        <v>62</v>
      </c>
      <c r="W19" s="504">
        <v>62</v>
      </c>
      <c r="X19" s="504"/>
      <c r="Y19" s="283">
        <f>E19-D19</f>
        <v>-2</v>
      </c>
      <c r="Z19" s="283">
        <f>P19-E19</f>
        <v>3</v>
      </c>
      <c r="AA19" s="283">
        <f>W19-D19</f>
        <v>4</v>
      </c>
      <c r="AB19" s="283">
        <f>W19-P19</f>
        <v>3</v>
      </c>
    </row>
    <row r="20" spans="1:28">
      <c r="A20" s="256" t="s">
        <v>1968</v>
      </c>
      <c r="D20" s="503"/>
      <c r="E20" s="307"/>
      <c r="F20" s="504"/>
      <c r="G20" s="504"/>
      <c r="H20" s="504"/>
      <c r="I20" s="504"/>
      <c r="J20" s="504"/>
      <c r="K20" s="504"/>
      <c r="L20" s="504"/>
      <c r="M20" s="504"/>
      <c r="N20" s="504"/>
      <c r="O20" s="504"/>
      <c r="P20" s="504"/>
      <c r="Q20" s="504"/>
      <c r="R20" s="504"/>
      <c r="S20" s="504"/>
      <c r="T20" s="504"/>
      <c r="U20" s="504"/>
      <c r="V20" s="504"/>
      <c r="W20" s="504"/>
      <c r="X20" s="504"/>
      <c r="Y20" s="283"/>
      <c r="Z20" s="283"/>
      <c r="AA20" s="283"/>
      <c r="AB20" s="283"/>
    </row>
    <row r="21" spans="1:28">
      <c r="A21" s="256" t="s">
        <v>545</v>
      </c>
      <c r="D21" s="503">
        <v>62</v>
      </c>
      <c r="E21" s="307">
        <v>66</v>
      </c>
      <c r="F21" s="504">
        <v>60</v>
      </c>
      <c r="G21" s="504">
        <v>62</v>
      </c>
      <c r="H21" s="504">
        <v>58</v>
      </c>
      <c r="I21" s="504">
        <v>58</v>
      </c>
      <c r="J21" s="504">
        <v>52</v>
      </c>
      <c r="K21" s="504">
        <v>40</v>
      </c>
      <c r="L21" s="504">
        <v>37</v>
      </c>
      <c r="M21" s="504">
        <v>37</v>
      </c>
      <c r="N21" s="504">
        <v>36</v>
      </c>
      <c r="O21" s="504">
        <v>36</v>
      </c>
      <c r="P21" s="504">
        <v>37</v>
      </c>
      <c r="Q21" s="504">
        <v>36</v>
      </c>
      <c r="R21" s="504">
        <v>36</v>
      </c>
      <c r="S21" s="504">
        <v>36</v>
      </c>
      <c r="T21" s="504">
        <v>36</v>
      </c>
      <c r="U21" s="504">
        <v>35</v>
      </c>
      <c r="V21" s="504">
        <v>35</v>
      </c>
      <c r="W21" s="504">
        <v>35</v>
      </c>
      <c r="X21" s="504"/>
      <c r="Y21" s="283">
        <f>E21-D21</f>
        <v>4</v>
      </c>
      <c r="Z21" s="283">
        <f>P21-E21</f>
        <v>-29</v>
      </c>
      <c r="AA21" s="283">
        <f>W21-D21</f>
        <v>-27</v>
      </c>
      <c r="AB21" s="283">
        <f>W21-P21</f>
        <v>-2</v>
      </c>
    </row>
    <row r="22" spans="1:28">
      <c r="A22" s="256" t="s">
        <v>1219</v>
      </c>
      <c r="C22" s="757"/>
      <c r="D22" s="503"/>
      <c r="E22" s="307">
        <v>77</v>
      </c>
      <c r="F22" s="504">
        <v>70</v>
      </c>
      <c r="G22" s="504">
        <v>70</v>
      </c>
      <c r="H22" s="504">
        <v>66</v>
      </c>
      <c r="I22" s="504">
        <v>65</v>
      </c>
      <c r="J22" s="504">
        <v>65</v>
      </c>
      <c r="K22" s="504">
        <v>62</v>
      </c>
      <c r="L22" s="504">
        <v>57</v>
      </c>
      <c r="M22" s="504">
        <v>56</v>
      </c>
      <c r="N22" s="504">
        <v>56</v>
      </c>
      <c r="O22" s="504">
        <v>55</v>
      </c>
      <c r="P22" s="504">
        <v>55</v>
      </c>
      <c r="Q22" s="504">
        <v>54</v>
      </c>
      <c r="R22" s="504">
        <v>54</v>
      </c>
      <c r="S22" s="504">
        <v>47</v>
      </c>
      <c r="T22" s="504">
        <v>47</v>
      </c>
      <c r="U22" s="504">
        <v>45</v>
      </c>
      <c r="V22" s="504">
        <v>46</v>
      </c>
      <c r="W22" s="504">
        <v>47</v>
      </c>
      <c r="X22" s="504"/>
      <c r="Y22" s="283" t="s">
        <v>374</v>
      </c>
      <c r="Z22" s="283">
        <f>P22-E22</f>
        <v>-22</v>
      </c>
      <c r="AA22" s="283">
        <f>W22-E22</f>
        <v>-30</v>
      </c>
      <c r="AB22" s="283">
        <f>W22-P22</f>
        <v>-8</v>
      </c>
    </row>
    <row r="23" spans="1:28">
      <c r="A23" s="256" t="s">
        <v>1222</v>
      </c>
      <c r="D23" s="503">
        <v>71</v>
      </c>
      <c r="E23" s="307">
        <v>75</v>
      </c>
      <c r="F23" s="504">
        <v>69</v>
      </c>
      <c r="G23" s="504">
        <v>71</v>
      </c>
      <c r="H23" s="504">
        <v>73</v>
      </c>
      <c r="I23" s="504">
        <v>72</v>
      </c>
      <c r="J23" s="504">
        <v>71</v>
      </c>
      <c r="K23" s="504">
        <v>68</v>
      </c>
      <c r="L23" s="504">
        <v>65</v>
      </c>
      <c r="M23" s="504">
        <v>62</v>
      </c>
      <c r="N23" s="504">
        <v>62</v>
      </c>
      <c r="O23" s="504">
        <v>61</v>
      </c>
      <c r="P23" s="504">
        <v>62</v>
      </c>
      <c r="Q23" s="504">
        <v>62</v>
      </c>
      <c r="R23" s="504">
        <v>63</v>
      </c>
      <c r="S23" s="504">
        <v>63</v>
      </c>
      <c r="T23" s="504">
        <v>63</v>
      </c>
      <c r="U23" s="504">
        <v>62</v>
      </c>
      <c r="V23" s="504">
        <v>66</v>
      </c>
      <c r="W23" s="504">
        <v>68</v>
      </c>
      <c r="X23" s="504"/>
      <c r="Y23" s="283">
        <f>E23-D23</f>
        <v>4</v>
      </c>
      <c r="Z23" s="283">
        <f>P23-E23</f>
        <v>-13</v>
      </c>
      <c r="AA23" s="283">
        <f>W23-D23</f>
        <v>-3</v>
      </c>
      <c r="AB23" s="283">
        <f>W23-P23</f>
        <v>6</v>
      </c>
    </row>
    <row r="24" spans="1:28">
      <c r="A24" s="256" t="s">
        <v>1221</v>
      </c>
      <c r="D24" s="503">
        <v>74</v>
      </c>
      <c r="E24" s="307">
        <v>78</v>
      </c>
      <c r="F24" s="504">
        <v>71</v>
      </c>
      <c r="G24" s="504">
        <v>73</v>
      </c>
      <c r="H24" s="504">
        <v>73</v>
      </c>
      <c r="I24" s="504">
        <v>72</v>
      </c>
      <c r="J24" s="504">
        <v>71</v>
      </c>
      <c r="K24" s="504">
        <v>68</v>
      </c>
      <c r="L24" s="504">
        <v>64</v>
      </c>
      <c r="M24" s="504">
        <v>64</v>
      </c>
      <c r="N24" s="504">
        <v>63</v>
      </c>
      <c r="O24" s="504">
        <v>62</v>
      </c>
      <c r="P24" s="504">
        <v>64</v>
      </c>
      <c r="Q24" s="504">
        <v>64</v>
      </c>
      <c r="R24" s="504">
        <v>65</v>
      </c>
      <c r="S24" s="504">
        <v>65</v>
      </c>
      <c r="T24" s="504">
        <v>65</v>
      </c>
      <c r="U24" s="504">
        <v>64</v>
      </c>
      <c r="V24" s="504">
        <v>66</v>
      </c>
      <c r="W24" s="504">
        <v>66</v>
      </c>
      <c r="X24" s="504"/>
      <c r="Y24" s="283">
        <f>E24-D24</f>
        <v>4</v>
      </c>
      <c r="Z24" s="283">
        <f>P24-E24</f>
        <v>-14</v>
      </c>
      <c r="AA24" s="283">
        <f>W24-D24</f>
        <v>-8</v>
      </c>
      <c r="AB24" s="283">
        <f>W24-P24</f>
        <v>2</v>
      </c>
    </row>
    <row r="25" spans="1:28">
      <c r="A25" s="256" t="s">
        <v>1225</v>
      </c>
      <c r="D25" s="503"/>
      <c r="E25" s="307"/>
      <c r="F25" s="504"/>
      <c r="G25" s="504"/>
      <c r="H25" s="504"/>
      <c r="I25" s="504"/>
      <c r="J25" s="504"/>
      <c r="K25" s="504"/>
      <c r="L25" s="504"/>
      <c r="M25" s="504"/>
      <c r="N25" s="504"/>
      <c r="O25" s="504"/>
      <c r="P25" s="504"/>
      <c r="Q25" s="504"/>
      <c r="R25" s="504"/>
      <c r="S25" s="504"/>
      <c r="T25" s="504"/>
      <c r="U25" s="504"/>
      <c r="V25" s="504"/>
      <c r="W25" s="504"/>
      <c r="X25" s="504"/>
      <c r="Y25" s="283"/>
      <c r="Z25" s="283"/>
      <c r="AA25" s="283"/>
      <c r="AB25" s="283"/>
    </row>
    <row r="26" spans="1:28">
      <c r="A26" s="256" t="s">
        <v>545</v>
      </c>
      <c r="D26" s="503">
        <v>44</v>
      </c>
      <c r="E26" s="307">
        <v>50</v>
      </c>
      <c r="F26" s="504">
        <v>48</v>
      </c>
      <c r="G26" s="504">
        <v>47</v>
      </c>
      <c r="H26" s="504">
        <v>43</v>
      </c>
      <c r="I26" s="504">
        <v>43</v>
      </c>
      <c r="J26" s="504">
        <v>43</v>
      </c>
      <c r="K26" s="504">
        <v>42</v>
      </c>
      <c r="L26" s="504">
        <v>41</v>
      </c>
      <c r="M26" s="504">
        <v>31</v>
      </c>
      <c r="N26" s="504">
        <v>30</v>
      </c>
      <c r="O26" s="504">
        <v>29</v>
      </c>
      <c r="P26" s="504">
        <v>29</v>
      </c>
      <c r="Q26" s="504">
        <v>29</v>
      </c>
      <c r="R26" s="504">
        <v>31</v>
      </c>
      <c r="S26" s="504">
        <v>30</v>
      </c>
      <c r="T26" s="504">
        <v>30</v>
      </c>
      <c r="U26" s="504">
        <v>30</v>
      </c>
      <c r="V26" s="504">
        <v>33</v>
      </c>
      <c r="W26" s="504">
        <v>33</v>
      </c>
      <c r="X26" s="504"/>
      <c r="Y26" s="283">
        <f>E26-D26</f>
        <v>6</v>
      </c>
      <c r="Z26" s="283">
        <f>P26-E26</f>
        <v>-21</v>
      </c>
      <c r="AA26" s="283">
        <f>W26-D26</f>
        <v>-11</v>
      </c>
      <c r="AB26" s="283">
        <f>W26-P26</f>
        <v>4</v>
      </c>
    </row>
    <row r="27" spans="1:28">
      <c r="A27" s="256" t="s">
        <v>1219</v>
      </c>
      <c r="C27" s="757"/>
      <c r="D27" s="503"/>
      <c r="E27" s="307">
        <v>66</v>
      </c>
      <c r="F27" s="504">
        <v>66</v>
      </c>
      <c r="G27" s="504">
        <v>66</v>
      </c>
      <c r="H27" s="504">
        <v>61</v>
      </c>
      <c r="I27" s="504">
        <v>60</v>
      </c>
      <c r="J27" s="504">
        <v>61</v>
      </c>
      <c r="K27" s="504">
        <v>60</v>
      </c>
      <c r="L27" s="504">
        <v>59</v>
      </c>
      <c r="M27" s="504">
        <v>58</v>
      </c>
      <c r="N27" s="504">
        <v>58</v>
      </c>
      <c r="O27" s="504">
        <v>57</v>
      </c>
      <c r="P27" s="504">
        <v>55</v>
      </c>
      <c r="Q27" s="504">
        <v>51</v>
      </c>
      <c r="R27" s="504">
        <v>53</v>
      </c>
      <c r="S27" s="504">
        <v>51</v>
      </c>
      <c r="T27" s="504">
        <v>50</v>
      </c>
      <c r="U27" s="504">
        <v>50</v>
      </c>
      <c r="V27" s="504">
        <v>49</v>
      </c>
      <c r="W27" s="504">
        <v>49</v>
      </c>
      <c r="X27" s="504"/>
      <c r="Y27" s="283" t="s">
        <v>374</v>
      </c>
      <c r="Z27" s="283">
        <f>P27-E27</f>
        <v>-11</v>
      </c>
      <c r="AA27" s="283">
        <f>W27-E27</f>
        <v>-17</v>
      </c>
      <c r="AB27" s="283">
        <f>W27-P27</f>
        <v>-6</v>
      </c>
    </row>
    <row r="28" spans="1:28">
      <c r="A28" s="256" t="s">
        <v>1222</v>
      </c>
      <c r="D28" s="503">
        <v>64</v>
      </c>
      <c r="E28" s="307">
        <v>66</v>
      </c>
      <c r="F28" s="504">
        <v>66</v>
      </c>
      <c r="G28" s="504">
        <v>67</v>
      </c>
      <c r="H28" s="504">
        <v>69</v>
      </c>
      <c r="I28" s="504">
        <v>68</v>
      </c>
      <c r="J28" s="504">
        <v>69</v>
      </c>
      <c r="K28" s="504">
        <v>67</v>
      </c>
      <c r="L28" s="504">
        <v>66</v>
      </c>
      <c r="M28" s="504">
        <v>65</v>
      </c>
      <c r="N28" s="504">
        <v>65</v>
      </c>
      <c r="O28" s="504">
        <v>65</v>
      </c>
      <c r="P28" s="504">
        <v>64</v>
      </c>
      <c r="Q28" s="504">
        <v>60</v>
      </c>
      <c r="R28" s="504">
        <v>59</v>
      </c>
      <c r="S28" s="504">
        <v>58</v>
      </c>
      <c r="T28" s="504">
        <v>58</v>
      </c>
      <c r="U28" s="504">
        <v>58</v>
      </c>
      <c r="V28" s="504">
        <v>62</v>
      </c>
      <c r="W28" s="504">
        <v>63</v>
      </c>
      <c r="X28" s="504"/>
      <c r="Y28" s="283">
        <f>E28-D28</f>
        <v>2</v>
      </c>
      <c r="Z28" s="283">
        <f>P28-E28</f>
        <v>-2</v>
      </c>
      <c r="AA28" s="283">
        <f>W28-D28</f>
        <v>-1</v>
      </c>
      <c r="AB28" s="283">
        <f>W28-P28</f>
        <v>-1</v>
      </c>
    </row>
    <row r="29" spans="1:28">
      <c r="A29" s="256" t="s">
        <v>1221</v>
      </c>
      <c r="D29" s="503">
        <v>57</v>
      </c>
      <c r="E29" s="307">
        <v>60</v>
      </c>
      <c r="F29" s="504">
        <v>58</v>
      </c>
      <c r="G29" s="504">
        <v>58</v>
      </c>
      <c r="H29" s="504">
        <v>58</v>
      </c>
      <c r="I29" s="504">
        <v>57</v>
      </c>
      <c r="J29" s="504">
        <v>57</v>
      </c>
      <c r="K29" s="504">
        <v>56</v>
      </c>
      <c r="L29" s="504">
        <v>59</v>
      </c>
      <c r="M29" s="504">
        <v>59</v>
      </c>
      <c r="N29" s="504">
        <v>59</v>
      </c>
      <c r="O29" s="504">
        <v>58</v>
      </c>
      <c r="P29" s="504">
        <v>58</v>
      </c>
      <c r="Q29" s="504">
        <v>61</v>
      </c>
      <c r="R29" s="504">
        <v>58</v>
      </c>
      <c r="S29" s="504">
        <v>57</v>
      </c>
      <c r="T29" s="504">
        <v>57</v>
      </c>
      <c r="U29" s="504">
        <v>57</v>
      </c>
      <c r="V29" s="504">
        <v>59</v>
      </c>
      <c r="W29" s="504">
        <v>59</v>
      </c>
      <c r="X29" s="504"/>
      <c r="Y29" s="283">
        <f>E29-D29</f>
        <v>3</v>
      </c>
      <c r="Z29" s="283">
        <f>P29-E29</f>
        <v>-2</v>
      </c>
      <c r="AA29" s="283">
        <f>W29-D29</f>
        <v>2</v>
      </c>
      <c r="AB29" s="283">
        <f>W29-P29</f>
        <v>1</v>
      </c>
    </row>
    <row r="30" spans="1:28">
      <c r="A30" s="256" t="s">
        <v>1226</v>
      </c>
      <c r="D30" s="503"/>
      <c r="E30" s="307"/>
      <c r="F30" s="504"/>
      <c r="G30" s="504"/>
      <c r="H30" s="504"/>
      <c r="I30" s="504"/>
      <c r="J30" s="504"/>
      <c r="K30" s="504"/>
      <c r="L30" s="504"/>
      <c r="M30" s="504"/>
      <c r="N30" s="504"/>
      <c r="O30" s="504"/>
      <c r="P30" s="504"/>
      <c r="Q30" s="504"/>
      <c r="R30" s="504"/>
      <c r="S30" s="504"/>
      <c r="T30" s="504"/>
      <c r="U30" s="504"/>
      <c r="V30" s="504"/>
      <c r="W30" s="504"/>
      <c r="X30" s="504"/>
      <c r="Y30" s="283"/>
      <c r="Z30" s="283"/>
      <c r="AA30" s="283"/>
      <c r="AB30" s="283"/>
    </row>
    <row r="31" spans="1:28">
      <c r="A31" s="256" t="s">
        <v>545</v>
      </c>
      <c r="D31" s="503">
        <v>22</v>
      </c>
      <c r="E31" s="307">
        <v>24</v>
      </c>
      <c r="F31" s="504">
        <v>24</v>
      </c>
      <c r="G31" s="504">
        <v>25</v>
      </c>
      <c r="H31" s="504">
        <v>23</v>
      </c>
      <c r="I31" s="504">
        <v>23</v>
      </c>
      <c r="J31" s="504">
        <v>23</v>
      </c>
      <c r="K31" s="504">
        <v>22</v>
      </c>
      <c r="L31" s="504">
        <v>22</v>
      </c>
      <c r="M31" s="504">
        <v>22</v>
      </c>
      <c r="N31" s="504">
        <v>22</v>
      </c>
      <c r="O31" s="504">
        <v>22</v>
      </c>
      <c r="P31" s="504">
        <v>21</v>
      </c>
      <c r="Q31" s="504">
        <v>21</v>
      </c>
      <c r="R31" s="504">
        <v>20</v>
      </c>
      <c r="S31" s="504">
        <v>20</v>
      </c>
      <c r="T31" s="504">
        <v>19</v>
      </c>
      <c r="U31" s="504">
        <v>19</v>
      </c>
      <c r="V31" s="504">
        <v>19</v>
      </c>
      <c r="W31" s="504">
        <v>19</v>
      </c>
      <c r="X31" s="504"/>
      <c r="Y31" s="283">
        <f>E31-D31</f>
        <v>2</v>
      </c>
      <c r="Z31" s="283">
        <f>P31-E31</f>
        <v>-3</v>
      </c>
      <c r="AA31" s="283">
        <f>W31-D31</f>
        <v>-3</v>
      </c>
      <c r="AB31" s="283">
        <f>W31-P31</f>
        <v>-2</v>
      </c>
    </row>
    <row r="32" spans="1:28">
      <c r="A32" s="256" t="s">
        <v>1219</v>
      </c>
      <c r="C32" s="757"/>
      <c r="D32" s="503"/>
      <c r="E32" s="307">
        <v>63</v>
      </c>
      <c r="F32" s="504">
        <v>62</v>
      </c>
      <c r="G32" s="504">
        <v>62</v>
      </c>
      <c r="H32" s="504">
        <v>58</v>
      </c>
      <c r="I32" s="504">
        <v>58</v>
      </c>
      <c r="J32" s="504">
        <v>46</v>
      </c>
      <c r="K32" s="504">
        <v>45</v>
      </c>
      <c r="L32" s="504">
        <v>45</v>
      </c>
      <c r="M32" s="504">
        <v>45</v>
      </c>
      <c r="N32" s="504">
        <v>45</v>
      </c>
      <c r="O32" s="504">
        <v>44</v>
      </c>
      <c r="P32" s="504">
        <v>45</v>
      </c>
      <c r="Q32" s="504">
        <v>45</v>
      </c>
      <c r="R32" s="504">
        <v>46</v>
      </c>
      <c r="S32" s="504">
        <v>46</v>
      </c>
      <c r="T32" s="504">
        <v>45</v>
      </c>
      <c r="U32" s="504">
        <v>45</v>
      </c>
      <c r="V32" s="504">
        <v>44</v>
      </c>
      <c r="W32" s="504">
        <v>44</v>
      </c>
      <c r="X32" s="504"/>
      <c r="Y32" s="283" t="s">
        <v>374</v>
      </c>
      <c r="Z32" s="283">
        <f>P32-E32</f>
        <v>-18</v>
      </c>
      <c r="AA32" s="283">
        <f>W32-E32</f>
        <v>-19</v>
      </c>
      <c r="AB32" s="283">
        <f>W32-P32</f>
        <v>-1</v>
      </c>
    </row>
    <row r="33" spans="1:28">
      <c r="A33" s="256" t="s">
        <v>1222</v>
      </c>
      <c r="D33" s="503">
        <v>56</v>
      </c>
      <c r="E33" s="307">
        <v>55</v>
      </c>
      <c r="F33" s="504">
        <v>55</v>
      </c>
      <c r="G33" s="504">
        <v>55</v>
      </c>
      <c r="H33" s="504">
        <v>57</v>
      </c>
      <c r="I33" s="504">
        <v>57</v>
      </c>
      <c r="J33" s="504">
        <v>59</v>
      </c>
      <c r="K33" s="504">
        <v>61</v>
      </c>
      <c r="L33" s="504">
        <v>61</v>
      </c>
      <c r="M33" s="504">
        <v>61</v>
      </c>
      <c r="N33" s="504">
        <v>63</v>
      </c>
      <c r="O33" s="504">
        <v>64</v>
      </c>
      <c r="P33" s="504">
        <v>63</v>
      </c>
      <c r="Q33" s="504">
        <v>63</v>
      </c>
      <c r="R33" s="504">
        <v>63</v>
      </c>
      <c r="S33" s="504">
        <v>62</v>
      </c>
      <c r="T33" s="504">
        <v>61</v>
      </c>
      <c r="U33" s="504">
        <v>61</v>
      </c>
      <c r="V33" s="504">
        <v>65</v>
      </c>
      <c r="W33" s="504">
        <v>67</v>
      </c>
      <c r="X33" s="504"/>
      <c r="Y33" s="283">
        <f>E33-D33</f>
        <v>-1</v>
      </c>
      <c r="Z33" s="283">
        <f>P33-E33</f>
        <v>8</v>
      </c>
      <c r="AA33" s="283">
        <f>W33-D33</f>
        <v>11</v>
      </c>
      <c r="AB33" s="283">
        <f>W33-P33</f>
        <v>4</v>
      </c>
    </row>
    <row r="34" spans="1:28">
      <c r="A34" s="256" t="s">
        <v>1221</v>
      </c>
      <c r="D34" s="503">
        <v>46</v>
      </c>
      <c r="E34" s="307">
        <v>44</v>
      </c>
      <c r="F34" s="504">
        <v>44</v>
      </c>
      <c r="G34" s="504">
        <v>45</v>
      </c>
      <c r="H34" s="504">
        <v>46</v>
      </c>
      <c r="I34" s="504">
        <v>46</v>
      </c>
      <c r="J34" s="504">
        <v>47</v>
      </c>
      <c r="K34" s="504">
        <v>49</v>
      </c>
      <c r="L34" s="504">
        <v>48</v>
      </c>
      <c r="M34" s="504">
        <v>49</v>
      </c>
      <c r="N34" s="504">
        <v>51</v>
      </c>
      <c r="O34" s="504">
        <v>53</v>
      </c>
      <c r="P34" s="504">
        <v>53</v>
      </c>
      <c r="Q34" s="504">
        <v>53</v>
      </c>
      <c r="R34" s="504">
        <v>53</v>
      </c>
      <c r="S34" s="504">
        <v>53</v>
      </c>
      <c r="T34" s="504">
        <v>53</v>
      </c>
      <c r="U34" s="504">
        <v>53</v>
      </c>
      <c r="V34" s="504">
        <v>54</v>
      </c>
      <c r="W34" s="504">
        <v>54</v>
      </c>
      <c r="X34" s="504"/>
      <c r="Y34" s="283">
        <f>E34-D34</f>
        <v>-2</v>
      </c>
      <c r="Z34" s="283">
        <f>P34-E34</f>
        <v>9</v>
      </c>
      <c r="AA34" s="283">
        <f>W34-D34</f>
        <v>8</v>
      </c>
      <c r="AB34" s="283">
        <f>W34-P34</f>
        <v>1</v>
      </c>
    </row>
    <row r="35" spans="1:28">
      <c r="A35" s="256" t="s">
        <v>1227</v>
      </c>
      <c r="D35" s="503"/>
      <c r="E35" s="307"/>
      <c r="F35" s="504"/>
      <c r="G35" s="504"/>
      <c r="H35" s="504"/>
      <c r="I35" s="504"/>
      <c r="J35" s="504"/>
      <c r="K35" s="504"/>
      <c r="L35" s="504"/>
      <c r="M35" s="504"/>
      <c r="N35" s="504"/>
      <c r="O35" s="504"/>
      <c r="P35" s="504"/>
      <c r="Q35" s="504"/>
      <c r="R35" s="504"/>
      <c r="S35" s="504"/>
      <c r="T35" s="504"/>
      <c r="U35" s="504"/>
      <c r="V35" s="504"/>
      <c r="W35" s="504"/>
      <c r="X35" s="504"/>
      <c r="Y35" s="283"/>
      <c r="Z35" s="283"/>
      <c r="AA35" s="283"/>
      <c r="AB35" s="283"/>
    </row>
    <row r="36" spans="1:28">
      <c r="A36" s="256" t="s">
        <v>545</v>
      </c>
      <c r="D36" s="503">
        <v>20</v>
      </c>
      <c r="E36" s="307">
        <v>31</v>
      </c>
      <c r="F36" s="504">
        <v>48</v>
      </c>
      <c r="G36" s="504">
        <v>41</v>
      </c>
      <c r="H36" s="504">
        <v>38</v>
      </c>
      <c r="I36" s="504">
        <v>38</v>
      </c>
      <c r="J36" s="504">
        <v>37</v>
      </c>
      <c r="K36" s="504">
        <v>36</v>
      </c>
      <c r="L36" s="504">
        <v>36</v>
      </c>
      <c r="M36" s="504">
        <v>35</v>
      </c>
      <c r="N36" s="504">
        <v>34</v>
      </c>
      <c r="O36" s="504">
        <v>35</v>
      </c>
      <c r="P36" s="504">
        <v>34</v>
      </c>
      <c r="Q36" s="504">
        <v>34</v>
      </c>
      <c r="R36" s="504">
        <v>34</v>
      </c>
      <c r="S36" s="504">
        <v>34</v>
      </c>
      <c r="T36" s="504">
        <v>34</v>
      </c>
      <c r="U36" s="504">
        <v>33</v>
      </c>
      <c r="V36" s="504">
        <v>33</v>
      </c>
      <c r="W36" s="504">
        <v>33</v>
      </c>
      <c r="X36" s="504"/>
      <c r="Y36" s="283">
        <f>E36-D36</f>
        <v>11</v>
      </c>
      <c r="Z36" s="283">
        <f>P36-E36</f>
        <v>3</v>
      </c>
      <c r="AA36" s="283">
        <f>W36-D36</f>
        <v>13</v>
      </c>
      <c r="AB36" s="283">
        <f>W36-P36</f>
        <v>-1</v>
      </c>
    </row>
    <row r="37" spans="1:28">
      <c r="A37" s="256" t="s">
        <v>1219</v>
      </c>
      <c r="C37" s="757"/>
      <c r="D37" s="503">
        <v>47</v>
      </c>
      <c r="E37" s="307">
        <v>49</v>
      </c>
      <c r="F37" s="504">
        <v>53</v>
      </c>
      <c r="G37" s="504">
        <v>49</v>
      </c>
      <c r="H37" s="504">
        <v>49</v>
      </c>
      <c r="I37" s="504">
        <v>50</v>
      </c>
      <c r="J37" s="504">
        <v>49</v>
      </c>
      <c r="K37" s="504">
        <v>49</v>
      </c>
      <c r="L37" s="504">
        <v>49</v>
      </c>
      <c r="M37" s="504">
        <v>49</v>
      </c>
      <c r="N37" s="504">
        <v>50</v>
      </c>
      <c r="O37" s="504">
        <v>50</v>
      </c>
      <c r="P37" s="504">
        <v>49</v>
      </c>
      <c r="Q37" s="504">
        <v>49</v>
      </c>
      <c r="R37" s="504">
        <v>49</v>
      </c>
      <c r="S37" s="504">
        <v>49</v>
      </c>
      <c r="T37" s="504">
        <v>49</v>
      </c>
      <c r="U37" s="504">
        <v>48</v>
      </c>
      <c r="V37" s="504">
        <v>49</v>
      </c>
      <c r="W37" s="504">
        <v>48</v>
      </c>
      <c r="X37" s="504"/>
      <c r="Y37" s="283" t="s">
        <v>374</v>
      </c>
      <c r="Z37" s="283">
        <f>P37-E37</f>
        <v>0</v>
      </c>
      <c r="AA37" s="283">
        <f>W37-E37</f>
        <v>-1</v>
      </c>
      <c r="AB37" s="283">
        <f>W37-P37</f>
        <v>-1</v>
      </c>
    </row>
    <row r="38" spans="1:28">
      <c r="A38" s="256" t="s">
        <v>1222</v>
      </c>
      <c r="D38" s="503">
        <v>57</v>
      </c>
      <c r="E38" s="307">
        <v>54</v>
      </c>
      <c r="F38" s="504">
        <v>58</v>
      </c>
      <c r="G38" s="504">
        <v>54</v>
      </c>
      <c r="H38" s="504">
        <v>60</v>
      </c>
      <c r="I38" s="504">
        <v>62</v>
      </c>
      <c r="J38" s="504">
        <v>63</v>
      </c>
      <c r="K38" s="504">
        <v>62</v>
      </c>
      <c r="L38" s="504">
        <v>60</v>
      </c>
      <c r="M38" s="504">
        <v>58</v>
      </c>
      <c r="N38" s="504">
        <v>58</v>
      </c>
      <c r="O38" s="504">
        <v>58</v>
      </c>
      <c r="P38" s="504">
        <v>56</v>
      </c>
      <c r="Q38" s="504">
        <v>56</v>
      </c>
      <c r="R38" s="504">
        <v>57</v>
      </c>
      <c r="S38" s="504">
        <v>57</v>
      </c>
      <c r="T38" s="504">
        <v>57</v>
      </c>
      <c r="U38" s="504">
        <v>60</v>
      </c>
      <c r="V38" s="504">
        <v>63</v>
      </c>
      <c r="W38" s="504">
        <v>63</v>
      </c>
      <c r="X38" s="504"/>
      <c r="Y38" s="283">
        <f>E38-D38</f>
        <v>-3</v>
      </c>
      <c r="Z38" s="283">
        <f>P38-E38</f>
        <v>2</v>
      </c>
      <c r="AA38" s="283">
        <f>W38-D38</f>
        <v>6</v>
      </c>
      <c r="AB38" s="283">
        <f>W38-P38</f>
        <v>7</v>
      </c>
    </row>
    <row r="39" spans="1:28">
      <c r="A39" s="256" t="s">
        <v>1221</v>
      </c>
      <c r="D39" s="503">
        <v>54</v>
      </c>
      <c r="E39" s="307">
        <v>54</v>
      </c>
      <c r="F39" s="504">
        <v>59</v>
      </c>
      <c r="G39" s="504">
        <v>52</v>
      </c>
      <c r="H39" s="504">
        <v>51</v>
      </c>
      <c r="I39" s="504">
        <v>53</v>
      </c>
      <c r="J39" s="504">
        <v>52</v>
      </c>
      <c r="K39" s="504">
        <v>51</v>
      </c>
      <c r="L39" s="504">
        <v>50</v>
      </c>
      <c r="M39" s="504">
        <v>48</v>
      </c>
      <c r="N39" s="504">
        <v>48</v>
      </c>
      <c r="O39" s="504">
        <v>48</v>
      </c>
      <c r="P39" s="504">
        <v>47</v>
      </c>
      <c r="Q39" s="504">
        <v>48</v>
      </c>
      <c r="R39" s="504">
        <v>49</v>
      </c>
      <c r="S39" s="504">
        <v>49</v>
      </c>
      <c r="T39" s="504">
        <v>49</v>
      </c>
      <c r="U39" s="504">
        <v>54</v>
      </c>
      <c r="V39" s="504">
        <v>55</v>
      </c>
      <c r="W39" s="504">
        <v>54</v>
      </c>
      <c r="X39" s="504"/>
      <c r="Y39" s="283">
        <f>E39-D39</f>
        <v>0</v>
      </c>
      <c r="Z39" s="283">
        <f>P39-E39</f>
        <v>-7</v>
      </c>
      <c r="AA39" s="283">
        <f>W39-D39</f>
        <v>0</v>
      </c>
      <c r="AB39" s="283">
        <f>W39-P39</f>
        <v>7</v>
      </c>
    </row>
    <row r="40" spans="1:28">
      <c r="A40" s="256" t="s">
        <v>1228</v>
      </c>
      <c r="D40" s="503"/>
      <c r="E40" s="307"/>
      <c r="F40" s="504"/>
      <c r="G40" s="504"/>
      <c r="H40" s="504"/>
      <c r="I40" s="504"/>
      <c r="J40" s="504"/>
      <c r="K40" s="504"/>
      <c r="L40" s="504"/>
      <c r="M40" s="504"/>
      <c r="N40" s="504"/>
      <c r="O40" s="504"/>
      <c r="P40" s="504"/>
      <c r="Q40" s="504"/>
      <c r="R40" s="504"/>
      <c r="S40" s="504"/>
      <c r="T40" s="504"/>
      <c r="U40" s="504"/>
      <c r="V40" s="504"/>
      <c r="W40" s="504"/>
      <c r="X40" s="504"/>
      <c r="Y40" s="283"/>
      <c r="Z40" s="283"/>
      <c r="AA40" s="283"/>
      <c r="AB40" s="283"/>
    </row>
    <row r="41" spans="1:28">
      <c r="A41" s="256" t="s">
        <v>545</v>
      </c>
      <c r="D41" s="503">
        <v>43</v>
      </c>
      <c r="E41" s="307">
        <v>47</v>
      </c>
      <c r="F41" s="504">
        <v>52</v>
      </c>
      <c r="G41" s="504">
        <v>54</v>
      </c>
      <c r="H41" s="504">
        <v>51</v>
      </c>
      <c r="I41" s="504">
        <v>51</v>
      </c>
      <c r="J41" s="504">
        <v>51</v>
      </c>
      <c r="K41" s="504">
        <v>48</v>
      </c>
      <c r="L41" s="504">
        <v>39</v>
      </c>
      <c r="M41" s="504">
        <v>39</v>
      </c>
      <c r="N41" s="504">
        <v>38</v>
      </c>
      <c r="O41" s="504">
        <v>38</v>
      </c>
      <c r="P41" s="504">
        <v>37</v>
      </c>
      <c r="Q41" s="504">
        <v>36</v>
      </c>
      <c r="R41" s="504">
        <v>35</v>
      </c>
      <c r="S41" s="504">
        <v>34</v>
      </c>
      <c r="T41" s="504">
        <v>34</v>
      </c>
      <c r="U41" s="504">
        <v>34</v>
      </c>
      <c r="V41" s="504">
        <v>33</v>
      </c>
      <c r="W41" s="504">
        <v>33</v>
      </c>
      <c r="X41" s="504"/>
      <c r="Y41" s="283">
        <f>E41-D41</f>
        <v>4</v>
      </c>
      <c r="Z41" s="283">
        <f>P41-E41</f>
        <v>-10</v>
      </c>
      <c r="AA41" s="283">
        <f>W41-D41</f>
        <v>-10</v>
      </c>
      <c r="AB41" s="283">
        <f>W41-P41</f>
        <v>-4</v>
      </c>
    </row>
    <row r="42" spans="1:28">
      <c r="A42" s="256" t="s">
        <v>1219</v>
      </c>
      <c r="D42" s="503"/>
      <c r="E42" s="307">
        <v>68</v>
      </c>
      <c r="F42" s="504">
        <v>72</v>
      </c>
      <c r="G42" s="504">
        <v>75</v>
      </c>
      <c r="H42" s="504">
        <v>71</v>
      </c>
      <c r="I42" s="504">
        <v>71</v>
      </c>
      <c r="J42" s="504">
        <v>71</v>
      </c>
      <c r="K42" s="504">
        <v>69</v>
      </c>
      <c r="L42" s="504">
        <v>68</v>
      </c>
      <c r="M42" s="504">
        <v>67</v>
      </c>
      <c r="N42" s="504">
        <v>66</v>
      </c>
      <c r="O42" s="504">
        <v>65</v>
      </c>
      <c r="P42" s="504">
        <v>63</v>
      </c>
      <c r="Q42" s="504">
        <v>62</v>
      </c>
      <c r="R42" s="504">
        <v>61</v>
      </c>
      <c r="S42" s="504">
        <v>59</v>
      </c>
      <c r="T42" s="504">
        <v>59</v>
      </c>
      <c r="U42" s="504">
        <v>58</v>
      </c>
      <c r="V42" s="504">
        <v>57</v>
      </c>
      <c r="W42" s="504">
        <v>57</v>
      </c>
      <c r="X42" s="504"/>
      <c r="Y42" s="283" t="s">
        <v>374</v>
      </c>
      <c r="Z42" s="283">
        <f>P42-E42</f>
        <v>-5</v>
      </c>
      <c r="AA42" s="283">
        <f>W42-E42</f>
        <v>-11</v>
      </c>
      <c r="AB42" s="283">
        <f>W42-P42</f>
        <v>-6</v>
      </c>
    </row>
    <row r="43" spans="1:28">
      <c r="A43" s="256" t="s">
        <v>1222</v>
      </c>
      <c r="D43" s="503">
        <v>64</v>
      </c>
      <c r="E43" s="307">
        <v>68</v>
      </c>
      <c r="F43" s="504">
        <v>76</v>
      </c>
      <c r="G43" s="504">
        <v>79</v>
      </c>
      <c r="H43" s="504">
        <v>81</v>
      </c>
      <c r="I43" s="504">
        <v>81</v>
      </c>
      <c r="J43" s="504">
        <v>81</v>
      </c>
      <c r="K43" s="504">
        <v>76</v>
      </c>
      <c r="L43" s="504">
        <v>64</v>
      </c>
      <c r="M43" s="504">
        <v>63</v>
      </c>
      <c r="N43" s="504">
        <v>62</v>
      </c>
      <c r="O43" s="504">
        <v>61</v>
      </c>
      <c r="P43" s="504">
        <v>60</v>
      </c>
      <c r="Q43" s="504">
        <v>58</v>
      </c>
      <c r="R43" s="504">
        <v>57</v>
      </c>
      <c r="S43" s="504">
        <v>56</v>
      </c>
      <c r="T43" s="504">
        <v>56</v>
      </c>
      <c r="U43" s="504">
        <v>56</v>
      </c>
      <c r="V43" s="504">
        <v>59</v>
      </c>
      <c r="W43" s="504">
        <v>61</v>
      </c>
      <c r="X43" s="504"/>
      <c r="Y43" s="283">
        <f>E43-D43</f>
        <v>4</v>
      </c>
      <c r="Z43" s="283">
        <f>P43-E43</f>
        <v>-8</v>
      </c>
      <c r="AA43" s="283">
        <f>W43-D43</f>
        <v>-3</v>
      </c>
      <c r="AB43" s="283">
        <f>W43-P43</f>
        <v>1</v>
      </c>
    </row>
    <row r="44" spans="1:28">
      <c r="A44" s="256" t="s">
        <v>1221</v>
      </c>
      <c r="D44" s="503">
        <v>58</v>
      </c>
      <c r="E44" s="307">
        <v>61</v>
      </c>
      <c r="F44" s="504">
        <v>70</v>
      </c>
      <c r="G44" s="504">
        <v>72</v>
      </c>
      <c r="H44" s="504">
        <v>73</v>
      </c>
      <c r="I44" s="504">
        <v>72</v>
      </c>
      <c r="J44" s="504">
        <v>72</v>
      </c>
      <c r="K44" s="504">
        <v>67</v>
      </c>
      <c r="L44" s="504">
        <v>56</v>
      </c>
      <c r="M44" s="504">
        <v>55</v>
      </c>
      <c r="N44" s="504">
        <v>55</v>
      </c>
      <c r="O44" s="504">
        <v>54</v>
      </c>
      <c r="P44" s="504">
        <v>53</v>
      </c>
      <c r="Q44" s="504">
        <v>52</v>
      </c>
      <c r="R44" s="504">
        <v>51</v>
      </c>
      <c r="S44" s="504">
        <v>50</v>
      </c>
      <c r="T44" s="504">
        <v>50</v>
      </c>
      <c r="U44" s="504">
        <v>50</v>
      </c>
      <c r="V44" s="504">
        <v>51</v>
      </c>
      <c r="W44" s="504">
        <v>52</v>
      </c>
      <c r="X44" s="504"/>
      <c r="Y44" s="283">
        <f>E44-D44</f>
        <v>3</v>
      </c>
      <c r="Z44" s="283">
        <f>P44-E44</f>
        <v>-8</v>
      </c>
      <c r="AA44" s="283">
        <f>W44-D44</f>
        <v>-6</v>
      </c>
      <c r="AB44" s="283">
        <f>W44-P44</f>
        <v>-1</v>
      </c>
    </row>
    <row r="45" spans="1:28">
      <c r="A45" s="256" t="s">
        <v>1229</v>
      </c>
      <c r="D45" s="503"/>
      <c r="E45" s="307"/>
      <c r="F45" s="504"/>
      <c r="G45" s="504"/>
      <c r="H45" s="504"/>
      <c r="I45" s="504"/>
      <c r="J45" s="504"/>
      <c r="K45" s="504"/>
      <c r="L45" s="504"/>
      <c r="M45" s="504"/>
      <c r="N45" s="504"/>
      <c r="O45" s="504"/>
      <c r="P45" s="504"/>
      <c r="Q45" s="504"/>
      <c r="R45" s="504"/>
      <c r="S45" s="504"/>
      <c r="T45" s="504"/>
      <c r="U45" s="504"/>
      <c r="V45" s="504"/>
      <c r="W45" s="504"/>
      <c r="X45" s="504"/>
      <c r="Y45" s="283"/>
      <c r="Z45" s="283"/>
      <c r="AA45" s="283"/>
      <c r="AB45" s="283"/>
    </row>
    <row r="46" spans="1:28">
      <c r="A46" s="256" t="s">
        <v>545</v>
      </c>
      <c r="D46" s="503">
        <v>43</v>
      </c>
      <c r="E46" s="307">
        <v>40</v>
      </c>
      <c r="F46" s="504">
        <v>46</v>
      </c>
      <c r="G46" s="504">
        <v>46</v>
      </c>
      <c r="H46" s="504">
        <v>43</v>
      </c>
      <c r="I46" s="504">
        <v>43</v>
      </c>
      <c r="J46" s="504">
        <v>40</v>
      </c>
      <c r="K46" s="504">
        <v>39</v>
      </c>
      <c r="L46" s="504">
        <v>36</v>
      </c>
      <c r="M46" s="504">
        <v>32</v>
      </c>
      <c r="N46" s="504">
        <v>31</v>
      </c>
      <c r="O46" s="504">
        <v>31</v>
      </c>
      <c r="P46" s="504">
        <v>30</v>
      </c>
      <c r="Q46" s="504">
        <v>29</v>
      </c>
      <c r="R46" s="504">
        <v>29</v>
      </c>
      <c r="S46" s="504">
        <v>28</v>
      </c>
      <c r="T46" s="504">
        <v>28</v>
      </c>
      <c r="U46" s="504">
        <v>28</v>
      </c>
      <c r="V46" s="504">
        <v>27</v>
      </c>
      <c r="W46" s="504">
        <v>27</v>
      </c>
      <c r="X46" s="504"/>
      <c r="Y46" s="283">
        <f>E46-D46</f>
        <v>-3</v>
      </c>
      <c r="Z46" s="283">
        <f>P46-E46</f>
        <v>-10</v>
      </c>
      <c r="AA46" s="283">
        <f>W46-D46</f>
        <v>-16</v>
      </c>
      <c r="AB46" s="283">
        <f>W46-P46</f>
        <v>-3</v>
      </c>
    </row>
    <row r="47" spans="1:28">
      <c r="A47" s="256" t="s">
        <v>1219</v>
      </c>
      <c r="D47" s="503"/>
      <c r="E47" s="307">
        <v>43</v>
      </c>
      <c r="F47" s="504">
        <v>49</v>
      </c>
      <c r="G47" s="504">
        <v>49</v>
      </c>
      <c r="H47" s="504">
        <v>55</v>
      </c>
      <c r="I47" s="504">
        <v>50</v>
      </c>
      <c r="J47" s="504">
        <v>49</v>
      </c>
      <c r="K47" s="504">
        <v>48</v>
      </c>
      <c r="L47" s="504">
        <v>48</v>
      </c>
      <c r="M47" s="504">
        <v>47</v>
      </c>
      <c r="N47" s="504">
        <v>46</v>
      </c>
      <c r="O47" s="504">
        <v>46</v>
      </c>
      <c r="P47" s="504">
        <v>45</v>
      </c>
      <c r="Q47" s="504">
        <v>44</v>
      </c>
      <c r="R47" s="504">
        <v>43</v>
      </c>
      <c r="S47" s="504">
        <v>42</v>
      </c>
      <c r="T47" s="504">
        <v>42</v>
      </c>
      <c r="U47" s="504">
        <v>41</v>
      </c>
      <c r="V47" s="504">
        <v>42</v>
      </c>
      <c r="W47" s="504">
        <v>42</v>
      </c>
      <c r="X47" s="504"/>
      <c r="Y47" s="283" t="s">
        <v>374</v>
      </c>
      <c r="Z47" s="283">
        <f>P47-E47</f>
        <v>2</v>
      </c>
      <c r="AA47" s="283">
        <f>W47-E47</f>
        <v>-1</v>
      </c>
      <c r="AB47" s="283">
        <f>W47-P47</f>
        <v>-3</v>
      </c>
    </row>
    <row r="48" spans="1:28">
      <c r="A48" s="256" t="s">
        <v>1222</v>
      </c>
      <c r="D48" s="503">
        <v>56</v>
      </c>
      <c r="E48" s="307">
        <v>50</v>
      </c>
      <c r="F48" s="504">
        <v>54</v>
      </c>
      <c r="G48" s="504">
        <v>55</v>
      </c>
      <c r="H48" s="504">
        <v>60</v>
      </c>
      <c r="I48" s="504">
        <v>55</v>
      </c>
      <c r="J48" s="504">
        <v>55</v>
      </c>
      <c r="K48" s="504">
        <v>54</v>
      </c>
      <c r="L48" s="504">
        <v>53</v>
      </c>
      <c r="M48" s="504">
        <v>52</v>
      </c>
      <c r="N48" s="504">
        <v>51</v>
      </c>
      <c r="O48" s="504">
        <v>50</v>
      </c>
      <c r="P48" s="504">
        <v>50</v>
      </c>
      <c r="Q48" s="504">
        <v>52</v>
      </c>
      <c r="R48" s="504">
        <v>53</v>
      </c>
      <c r="S48" s="504">
        <v>52</v>
      </c>
      <c r="T48" s="504">
        <v>52</v>
      </c>
      <c r="U48" s="504">
        <v>51</v>
      </c>
      <c r="V48" s="504">
        <v>54</v>
      </c>
      <c r="W48" s="504">
        <v>54</v>
      </c>
      <c r="X48" s="504"/>
      <c r="Y48" s="283">
        <f>E48-D48</f>
        <v>-6</v>
      </c>
      <c r="Z48" s="283">
        <f>P48-E48</f>
        <v>0</v>
      </c>
      <c r="AA48" s="283">
        <f>W48-D48</f>
        <v>-2</v>
      </c>
      <c r="AB48" s="283">
        <f>W48-P48</f>
        <v>4</v>
      </c>
    </row>
    <row r="49" spans="1:28">
      <c r="A49" s="256" t="s">
        <v>1221</v>
      </c>
      <c r="D49" s="503">
        <v>60</v>
      </c>
      <c r="E49" s="307">
        <v>60</v>
      </c>
      <c r="F49" s="504">
        <v>65</v>
      </c>
      <c r="G49" s="504">
        <v>67</v>
      </c>
      <c r="H49" s="504">
        <v>67</v>
      </c>
      <c r="I49" s="504">
        <v>62</v>
      </c>
      <c r="J49" s="504">
        <v>63</v>
      </c>
      <c r="K49" s="504">
        <v>61</v>
      </c>
      <c r="L49" s="504">
        <v>56</v>
      </c>
      <c r="M49" s="504">
        <v>52</v>
      </c>
      <c r="N49" s="504">
        <v>51</v>
      </c>
      <c r="O49" s="504">
        <v>50</v>
      </c>
      <c r="P49" s="504">
        <v>50</v>
      </c>
      <c r="Q49" s="504">
        <v>50</v>
      </c>
      <c r="R49" s="504">
        <v>50</v>
      </c>
      <c r="S49" s="504">
        <v>51</v>
      </c>
      <c r="T49" s="504">
        <v>53</v>
      </c>
      <c r="U49" s="504">
        <v>53</v>
      </c>
      <c r="V49" s="504">
        <v>54</v>
      </c>
      <c r="W49" s="504">
        <v>53</v>
      </c>
      <c r="X49" s="504"/>
      <c r="Y49" s="283">
        <f>E49-D49</f>
        <v>0</v>
      </c>
      <c r="Z49" s="283">
        <f>P49-E49</f>
        <v>-10</v>
      </c>
      <c r="AA49" s="283">
        <f>W49-D49</f>
        <v>-7</v>
      </c>
      <c r="AB49" s="283">
        <f>W49-P49</f>
        <v>3</v>
      </c>
    </row>
    <row r="50" spans="1:28">
      <c r="A50" s="256" t="s">
        <v>1230</v>
      </c>
      <c r="D50" s="503"/>
      <c r="E50" s="307"/>
      <c r="F50" s="504"/>
      <c r="G50" s="504"/>
      <c r="H50" s="504"/>
      <c r="I50" s="504"/>
      <c r="J50" s="504"/>
      <c r="K50" s="504"/>
      <c r="L50" s="504"/>
      <c r="M50" s="504"/>
      <c r="N50" s="504"/>
      <c r="O50" s="504"/>
      <c r="P50" s="504"/>
      <c r="Q50" s="504"/>
      <c r="R50" s="504"/>
      <c r="S50" s="504"/>
      <c r="T50" s="504"/>
      <c r="U50" s="504"/>
      <c r="V50" s="504"/>
      <c r="W50" s="504"/>
      <c r="X50" s="504"/>
      <c r="Y50" s="283"/>
      <c r="Z50" s="283"/>
      <c r="AA50" s="283"/>
      <c r="AB50" s="283"/>
    </row>
    <row r="51" spans="1:28">
      <c r="A51" s="256" t="s">
        <v>545</v>
      </c>
      <c r="D51" s="503">
        <v>41</v>
      </c>
      <c r="E51" s="307">
        <v>42</v>
      </c>
      <c r="F51" s="504">
        <v>41</v>
      </c>
      <c r="G51" s="504">
        <v>41</v>
      </c>
      <c r="H51" s="504">
        <v>40</v>
      </c>
      <c r="I51" s="504">
        <v>42</v>
      </c>
      <c r="J51" s="504">
        <v>42</v>
      </c>
      <c r="K51" s="504">
        <v>37</v>
      </c>
      <c r="L51" s="504">
        <v>40</v>
      </c>
      <c r="M51" s="504">
        <v>36</v>
      </c>
      <c r="N51" s="504">
        <v>36</v>
      </c>
      <c r="O51" s="504">
        <v>37</v>
      </c>
      <c r="P51" s="504">
        <v>37</v>
      </c>
      <c r="Q51" s="504">
        <v>37</v>
      </c>
      <c r="R51" s="504">
        <v>36</v>
      </c>
      <c r="S51" s="504">
        <v>36</v>
      </c>
      <c r="T51" s="504">
        <v>36</v>
      </c>
      <c r="U51" s="504">
        <v>37</v>
      </c>
      <c r="V51" s="504">
        <v>47</v>
      </c>
      <c r="W51" s="504">
        <v>49</v>
      </c>
      <c r="X51" s="504"/>
      <c r="Y51" s="283">
        <f>E51-D51</f>
        <v>1</v>
      </c>
      <c r="Z51" s="283">
        <f>P51-E51</f>
        <v>-5</v>
      </c>
      <c r="AA51" s="283">
        <f>W51-D51</f>
        <v>8</v>
      </c>
      <c r="AB51" s="283">
        <f>W51-P51</f>
        <v>12</v>
      </c>
    </row>
    <row r="52" spans="1:28">
      <c r="A52" s="256" t="s">
        <v>1219</v>
      </c>
      <c r="D52" s="503"/>
      <c r="E52" s="307">
        <v>67</v>
      </c>
      <c r="F52" s="504">
        <v>65</v>
      </c>
      <c r="G52" s="504">
        <v>65</v>
      </c>
      <c r="H52" s="504">
        <v>60</v>
      </c>
      <c r="I52" s="504">
        <v>59</v>
      </c>
      <c r="J52" s="504">
        <v>59</v>
      </c>
      <c r="K52" s="504">
        <v>58</v>
      </c>
      <c r="L52" s="504">
        <v>59</v>
      </c>
      <c r="M52" s="504">
        <v>53</v>
      </c>
      <c r="N52" s="504">
        <v>53</v>
      </c>
      <c r="O52" s="504">
        <v>54</v>
      </c>
      <c r="P52" s="504">
        <v>54</v>
      </c>
      <c r="Q52" s="504">
        <v>53</v>
      </c>
      <c r="R52" s="504">
        <v>52</v>
      </c>
      <c r="S52" s="504">
        <v>52</v>
      </c>
      <c r="T52" s="504">
        <v>52</v>
      </c>
      <c r="U52" s="504">
        <v>50</v>
      </c>
      <c r="V52" s="504">
        <v>51</v>
      </c>
      <c r="W52" s="504">
        <v>52</v>
      </c>
      <c r="X52" s="504"/>
      <c r="Y52" s="283" t="s">
        <v>374</v>
      </c>
      <c r="Z52" s="283">
        <f>P52-E52</f>
        <v>-13</v>
      </c>
      <c r="AA52" s="283">
        <f>W52-E52</f>
        <v>-15</v>
      </c>
      <c r="AB52" s="283">
        <f>W52-P52</f>
        <v>-2</v>
      </c>
    </row>
    <row r="53" spans="1:28">
      <c r="A53" s="256" t="s">
        <v>1222</v>
      </c>
      <c r="D53" s="503">
        <v>70</v>
      </c>
      <c r="E53" s="307">
        <v>69</v>
      </c>
      <c r="F53" s="504">
        <v>68</v>
      </c>
      <c r="G53" s="504">
        <v>68</v>
      </c>
      <c r="H53" s="504">
        <v>69</v>
      </c>
      <c r="I53" s="504">
        <v>68</v>
      </c>
      <c r="J53" s="504">
        <v>68</v>
      </c>
      <c r="K53" s="504">
        <v>66</v>
      </c>
      <c r="L53" s="504">
        <v>65</v>
      </c>
      <c r="M53" s="504">
        <v>64</v>
      </c>
      <c r="N53" s="504">
        <v>59</v>
      </c>
      <c r="O53" s="504">
        <v>61</v>
      </c>
      <c r="P53" s="504">
        <v>62</v>
      </c>
      <c r="Q53" s="504">
        <v>61</v>
      </c>
      <c r="R53" s="504">
        <v>60</v>
      </c>
      <c r="S53" s="504">
        <v>59</v>
      </c>
      <c r="T53" s="504">
        <v>58</v>
      </c>
      <c r="U53" s="504">
        <v>59</v>
      </c>
      <c r="V53" s="504">
        <v>69</v>
      </c>
      <c r="W53" s="504">
        <v>71</v>
      </c>
      <c r="X53" s="504"/>
      <c r="Y53" s="283">
        <f>E53-D53</f>
        <v>-1</v>
      </c>
      <c r="Z53" s="283">
        <f>P53-E53</f>
        <v>-7</v>
      </c>
      <c r="AA53" s="283">
        <f>W53-D53</f>
        <v>1</v>
      </c>
      <c r="AB53" s="283">
        <f>W53-P53</f>
        <v>9</v>
      </c>
    </row>
    <row r="54" spans="1:28">
      <c r="A54" s="256" t="s">
        <v>1221</v>
      </c>
      <c r="D54" s="503">
        <v>70</v>
      </c>
      <c r="E54" s="307">
        <v>68</v>
      </c>
      <c r="F54" s="504">
        <v>66</v>
      </c>
      <c r="G54" s="504">
        <v>65</v>
      </c>
      <c r="H54" s="504">
        <v>66</v>
      </c>
      <c r="I54" s="504">
        <v>65</v>
      </c>
      <c r="J54" s="504">
        <v>65</v>
      </c>
      <c r="K54" s="504">
        <v>64</v>
      </c>
      <c r="L54" s="504">
        <v>63</v>
      </c>
      <c r="M54" s="504">
        <v>59</v>
      </c>
      <c r="N54" s="504">
        <v>59</v>
      </c>
      <c r="O54" s="504">
        <v>61</v>
      </c>
      <c r="P54" s="504">
        <v>61</v>
      </c>
      <c r="Q54" s="504">
        <v>61</v>
      </c>
      <c r="R54" s="504">
        <v>60</v>
      </c>
      <c r="S54" s="504">
        <v>59</v>
      </c>
      <c r="T54" s="504">
        <v>59</v>
      </c>
      <c r="U54" s="504">
        <v>58</v>
      </c>
      <c r="V54" s="504">
        <v>64</v>
      </c>
      <c r="W54" s="504">
        <v>65</v>
      </c>
      <c r="X54" s="504"/>
      <c r="Y54" s="283">
        <f>E54-D54</f>
        <v>-2</v>
      </c>
      <c r="Z54" s="283">
        <f>P54-E54</f>
        <v>-7</v>
      </c>
      <c r="AA54" s="283">
        <f>W54-D54</f>
        <v>-5</v>
      </c>
      <c r="AB54" s="283">
        <f>W54-P54</f>
        <v>4</v>
      </c>
    </row>
    <row r="55" spans="1:28">
      <c r="A55" s="256" t="s">
        <v>1231</v>
      </c>
      <c r="D55" s="503"/>
      <c r="E55" s="307"/>
      <c r="F55" s="504"/>
      <c r="G55" s="504"/>
      <c r="H55" s="504"/>
      <c r="I55" s="504"/>
      <c r="J55" s="504"/>
      <c r="K55" s="504"/>
      <c r="L55" s="504"/>
      <c r="M55" s="504"/>
      <c r="N55" s="504"/>
      <c r="O55" s="504"/>
      <c r="P55" s="504"/>
      <c r="Q55" s="504"/>
      <c r="R55" s="504"/>
      <c r="S55" s="504"/>
      <c r="T55" s="504"/>
      <c r="U55" s="504"/>
      <c r="V55" s="504"/>
      <c r="W55" s="504"/>
      <c r="X55" s="504"/>
      <c r="Y55" s="283"/>
      <c r="Z55" s="283"/>
      <c r="AA55" s="283"/>
      <c r="AB55" s="283"/>
    </row>
    <row r="56" spans="1:28">
      <c r="A56" s="256" t="s">
        <v>545</v>
      </c>
      <c r="D56" s="503">
        <v>51</v>
      </c>
      <c r="E56" s="307">
        <v>36</v>
      </c>
      <c r="F56" s="504">
        <v>35</v>
      </c>
      <c r="G56" s="504">
        <v>39</v>
      </c>
      <c r="H56" s="504">
        <v>36</v>
      </c>
      <c r="I56" s="504">
        <v>34</v>
      </c>
      <c r="J56" s="504">
        <v>30</v>
      </c>
      <c r="K56" s="504">
        <v>29</v>
      </c>
      <c r="L56" s="504">
        <v>29</v>
      </c>
      <c r="M56" s="504">
        <v>28</v>
      </c>
      <c r="N56" s="504">
        <v>28</v>
      </c>
      <c r="O56" s="504">
        <v>28</v>
      </c>
      <c r="P56" s="504">
        <v>27</v>
      </c>
      <c r="Q56" s="504">
        <v>26</v>
      </c>
      <c r="R56" s="504">
        <v>26</v>
      </c>
      <c r="S56" s="504">
        <v>25</v>
      </c>
      <c r="T56" s="504">
        <v>25</v>
      </c>
      <c r="U56" s="504">
        <v>24</v>
      </c>
      <c r="V56" s="504">
        <v>26</v>
      </c>
      <c r="W56" s="504">
        <v>23</v>
      </c>
      <c r="X56" s="504"/>
      <c r="Y56" s="283">
        <f>E56-D56</f>
        <v>-15</v>
      </c>
      <c r="Z56" s="283">
        <f>P56-E56</f>
        <v>-9</v>
      </c>
      <c r="AA56" s="283">
        <f>W56-D56</f>
        <v>-28</v>
      </c>
      <c r="AB56" s="283">
        <f>W56-P56</f>
        <v>-4</v>
      </c>
    </row>
    <row r="57" spans="1:28">
      <c r="A57" s="256" t="s">
        <v>1219</v>
      </c>
      <c r="D57" s="503"/>
      <c r="E57" s="307">
        <v>44</v>
      </c>
      <c r="F57" s="504">
        <v>43</v>
      </c>
      <c r="G57" s="504">
        <v>60</v>
      </c>
      <c r="H57" s="504">
        <v>42</v>
      </c>
      <c r="I57" s="504">
        <v>41</v>
      </c>
      <c r="J57" s="504">
        <v>41</v>
      </c>
      <c r="K57" s="504">
        <v>40</v>
      </c>
      <c r="L57" s="504">
        <v>39</v>
      </c>
      <c r="M57" s="504">
        <v>39</v>
      </c>
      <c r="N57" s="504">
        <v>39</v>
      </c>
      <c r="O57" s="504">
        <v>39</v>
      </c>
      <c r="P57" s="504">
        <v>41</v>
      </c>
      <c r="Q57" s="504">
        <v>40</v>
      </c>
      <c r="R57" s="504">
        <v>39</v>
      </c>
      <c r="S57" s="504">
        <v>39</v>
      </c>
      <c r="T57" s="504">
        <v>39</v>
      </c>
      <c r="U57" s="504">
        <v>38</v>
      </c>
      <c r="V57" s="504">
        <v>40</v>
      </c>
      <c r="W57" s="504">
        <v>39</v>
      </c>
      <c r="X57" s="504"/>
      <c r="Y57" s="283" t="s">
        <v>374</v>
      </c>
      <c r="Z57" s="283">
        <f>P57-E57</f>
        <v>-3</v>
      </c>
      <c r="AA57" s="283">
        <f>W57-E57</f>
        <v>-5</v>
      </c>
      <c r="AB57" s="283">
        <f>W57-P57</f>
        <v>-2</v>
      </c>
    </row>
    <row r="58" spans="1:28">
      <c r="A58" s="256" t="s">
        <v>1222</v>
      </c>
      <c r="D58" s="503">
        <v>61</v>
      </c>
      <c r="E58" s="307">
        <v>55</v>
      </c>
      <c r="F58" s="504">
        <v>53</v>
      </c>
      <c r="G58" s="504">
        <v>57</v>
      </c>
      <c r="H58" s="504">
        <v>58</v>
      </c>
      <c r="I58" s="504">
        <v>56</v>
      </c>
      <c r="J58" s="504">
        <v>52</v>
      </c>
      <c r="K58" s="504">
        <v>51</v>
      </c>
      <c r="L58" s="504">
        <v>50</v>
      </c>
      <c r="M58" s="504">
        <v>50</v>
      </c>
      <c r="N58" s="504">
        <v>50</v>
      </c>
      <c r="O58" s="504">
        <v>51</v>
      </c>
      <c r="P58" s="504">
        <v>50</v>
      </c>
      <c r="Q58" s="504">
        <v>49</v>
      </c>
      <c r="R58" s="504">
        <v>48</v>
      </c>
      <c r="S58" s="504">
        <v>48</v>
      </c>
      <c r="T58" s="504">
        <v>48</v>
      </c>
      <c r="U58" s="504">
        <v>48</v>
      </c>
      <c r="V58" s="504">
        <v>53</v>
      </c>
      <c r="W58" s="504">
        <v>51</v>
      </c>
      <c r="X58" s="504"/>
      <c r="Y58" s="283">
        <f>E58-D58</f>
        <v>-6</v>
      </c>
      <c r="Z58" s="283">
        <f>P58-E58</f>
        <v>-5</v>
      </c>
      <c r="AA58" s="283">
        <f>W58-D58</f>
        <v>-10</v>
      </c>
      <c r="AB58" s="283">
        <f>W58-P58</f>
        <v>1</v>
      </c>
    </row>
    <row r="59" spans="1:28">
      <c r="A59" s="256" t="s">
        <v>1221</v>
      </c>
      <c r="D59" s="503">
        <v>66</v>
      </c>
      <c r="E59" s="307">
        <v>58</v>
      </c>
      <c r="F59" s="504">
        <v>56</v>
      </c>
      <c r="G59" s="504">
        <v>62</v>
      </c>
      <c r="H59" s="504">
        <v>61</v>
      </c>
      <c r="I59" s="504">
        <v>59</v>
      </c>
      <c r="J59" s="504">
        <v>56</v>
      </c>
      <c r="K59" s="504">
        <v>55</v>
      </c>
      <c r="L59" s="504">
        <v>54</v>
      </c>
      <c r="M59" s="504">
        <v>53</v>
      </c>
      <c r="N59" s="504">
        <v>54</v>
      </c>
      <c r="O59" s="504">
        <v>53</v>
      </c>
      <c r="P59" s="504">
        <v>53</v>
      </c>
      <c r="Q59" s="504">
        <v>52</v>
      </c>
      <c r="R59" s="504">
        <v>51</v>
      </c>
      <c r="S59" s="504">
        <v>51</v>
      </c>
      <c r="T59" s="504">
        <v>51</v>
      </c>
      <c r="U59" s="504">
        <v>50</v>
      </c>
      <c r="V59" s="504">
        <v>55</v>
      </c>
      <c r="W59" s="504">
        <v>50</v>
      </c>
      <c r="X59" s="504"/>
      <c r="Y59" s="283">
        <f>E59-D59</f>
        <v>-8</v>
      </c>
      <c r="Z59" s="283">
        <f>P59-E59</f>
        <v>-5</v>
      </c>
      <c r="AA59" s="283">
        <f>W59-D59</f>
        <v>-16</v>
      </c>
      <c r="AB59" s="283">
        <f>W59-P59</f>
        <v>-3</v>
      </c>
    </row>
    <row r="60" spans="1:28">
      <c r="A60" s="256" t="s">
        <v>1232</v>
      </c>
      <c r="D60" s="503"/>
      <c r="E60" s="307"/>
      <c r="F60" s="504"/>
      <c r="G60" s="504"/>
      <c r="H60" s="504"/>
      <c r="I60" s="504"/>
      <c r="J60" s="504"/>
      <c r="K60" s="504"/>
      <c r="L60" s="504"/>
      <c r="M60" s="504"/>
      <c r="N60" s="504"/>
      <c r="O60" s="504"/>
      <c r="P60" s="504"/>
      <c r="Q60" s="504"/>
      <c r="R60" s="504"/>
      <c r="S60" s="504"/>
      <c r="T60" s="504"/>
      <c r="U60" s="504"/>
      <c r="V60" s="504"/>
      <c r="W60" s="504"/>
      <c r="X60" s="504"/>
      <c r="Y60" s="283"/>
      <c r="Z60" s="283"/>
      <c r="AA60" s="283"/>
      <c r="AB60" s="283"/>
    </row>
    <row r="61" spans="1:28">
      <c r="A61" s="256" t="s">
        <v>545</v>
      </c>
      <c r="D61" s="503">
        <v>37</v>
      </c>
      <c r="E61" s="307">
        <v>41</v>
      </c>
      <c r="F61" s="504">
        <v>42</v>
      </c>
      <c r="G61" s="504">
        <v>40</v>
      </c>
      <c r="H61" s="504">
        <v>40</v>
      </c>
      <c r="I61" s="504">
        <v>40</v>
      </c>
      <c r="J61" s="504">
        <v>41</v>
      </c>
      <c r="K61" s="504">
        <v>40</v>
      </c>
      <c r="L61" s="504">
        <v>37</v>
      </c>
      <c r="M61" s="504">
        <v>36</v>
      </c>
      <c r="N61" s="504">
        <v>36</v>
      </c>
      <c r="O61" s="504">
        <v>35</v>
      </c>
      <c r="P61" s="504">
        <v>34</v>
      </c>
      <c r="Q61" s="504">
        <v>34</v>
      </c>
      <c r="R61" s="504">
        <v>33</v>
      </c>
      <c r="S61" s="504">
        <v>32</v>
      </c>
      <c r="T61" s="504">
        <v>32</v>
      </c>
      <c r="U61" s="504">
        <v>31</v>
      </c>
      <c r="V61" s="504">
        <v>30</v>
      </c>
      <c r="W61" s="504">
        <v>34</v>
      </c>
      <c r="X61" s="504"/>
      <c r="Y61" s="283">
        <f>E61-D61</f>
        <v>4</v>
      </c>
      <c r="Z61" s="283">
        <f>P61-E61</f>
        <v>-7</v>
      </c>
      <c r="AA61" s="283">
        <f>W61-D61</f>
        <v>-3</v>
      </c>
      <c r="AB61" s="283">
        <f>W61-P61</f>
        <v>0</v>
      </c>
    </row>
    <row r="62" spans="1:28">
      <c r="A62" s="256" t="s">
        <v>1219</v>
      </c>
      <c r="D62" s="503"/>
      <c r="E62" s="307">
        <v>56</v>
      </c>
      <c r="F62" s="504">
        <v>58</v>
      </c>
      <c r="G62" s="504">
        <v>58</v>
      </c>
      <c r="H62" s="504">
        <v>56</v>
      </c>
      <c r="I62" s="504">
        <v>56</v>
      </c>
      <c r="J62" s="504">
        <v>57</v>
      </c>
      <c r="K62" s="504">
        <v>56</v>
      </c>
      <c r="L62" s="504">
        <v>55</v>
      </c>
      <c r="M62" s="504">
        <v>55</v>
      </c>
      <c r="N62" s="504">
        <v>54</v>
      </c>
      <c r="O62" s="504">
        <v>53</v>
      </c>
      <c r="P62" s="504">
        <v>52</v>
      </c>
      <c r="Q62" s="504">
        <v>51</v>
      </c>
      <c r="R62" s="504">
        <v>50</v>
      </c>
      <c r="S62" s="504">
        <v>49</v>
      </c>
      <c r="T62" s="504">
        <v>48</v>
      </c>
      <c r="U62" s="504">
        <v>51</v>
      </c>
      <c r="V62" s="504">
        <v>50</v>
      </c>
      <c r="W62" s="504">
        <v>51</v>
      </c>
      <c r="X62" s="504"/>
      <c r="Y62" s="283" t="s">
        <v>374</v>
      </c>
      <c r="Z62" s="283">
        <f>P62-E62</f>
        <v>-4</v>
      </c>
      <c r="AA62" s="283">
        <f>W62-E62</f>
        <v>-5</v>
      </c>
      <c r="AB62" s="283">
        <f>W62-P62</f>
        <v>-1</v>
      </c>
    </row>
    <row r="63" spans="1:28">
      <c r="A63" s="256" t="s">
        <v>1222</v>
      </c>
      <c r="D63" s="503">
        <v>55</v>
      </c>
      <c r="E63" s="307">
        <v>60</v>
      </c>
      <c r="F63" s="504">
        <v>61</v>
      </c>
      <c r="G63" s="504">
        <v>62</v>
      </c>
      <c r="H63" s="504">
        <v>64</v>
      </c>
      <c r="I63" s="504">
        <v>65</v>
      </c>
      <c r="J63" s="504">
        <v>66</v>
      </c>
      <c r="K63" s="504">
        <v>65</v>
      </c>
      <c r="L63" s="504">
        <v>64</v>
      </c>
      <c r="M63" s="504">
        <v>62</v>
      </c>
      <c r="N63" s="504">
        <v>62</v>
      </c>
      <c r="O63" s="504">
        <v>61</v>
      </c>
      <c r="P63" s="504">
        <v>60</v>
      </c>
      <c r="Q63" s="504">
        <v>59</v>
      </c>
      <c r="R63" s="504">
        <v>57</v>
      </c>
      <c r="S63" s="504">
        <v>55</v>
      </c>
      <c r="T63" s="504">
        <v>54</v>
      </c>
      <c r="U63" s="504">
        <v>54</v>
      </c>
      <c r="V63" s="504">
        <v>57</v>
      </c>
      <c r="W63" s="504">
        <v>60</v>
      </c>
      <c r="X63" s="504"/>
      <c r="Y63" s="283">
        <f>E63-D63</f>
        <v>5</v>
      </c>
      <c r="Z63" s="283">
        <f>P63-E63</f>
        <v>0</v>
      </c>
      <c r="AA63" s="283">
        <f>W63-D63</f>
        <v>5</v>
      </c>
      <c r="AB63" s="283">
        <f>W63-P63</f>
        <v>0</v>
      </c>
    </row>
    <row r="64" spans="1:28">
      <c r="A64" s="256" t="s">
        <v>1221</v>
      </c>
      <c r="D64" s="503">
        <v>54</v>
      </c>
      <c r="E64" s="307">
        <v>53</v>
      </c>
      <c r="F64" s="504">
        <v>54</v>
      </c>
      <c r="G64" s="504">
        <v>54</v>
      </c>
      <c r="H64" s="504">
        <v>56</v>
      </c>
      <c r="I64" s="504">
        <v>56</v>
      </c>
      <c r="J64" s="504">
        <v>58</v>
      </c>
      <c r="K64" s="504">
        <v>57</v>
      </c>
      <c r="L64" s="504">
        <v>56</v>
      </c>
      <c r="M64" s="504">
        <v>55</v>
      </c>
      <c r="N64" s="504">
        <v>54</v>
      </c>
      <c r="O64" s="504">
        <v>53</v>
      </c>
      <c r="P64" s="504">
        <v>52</v>
      </c>
      <c r="Q64" s="504">
        <v>52</v>
      </c>
      <c r="R64" s="504">
        <v>50</v>
      </c>
      <c r="S64" s="504">
        <v>49</v>
      </c>
      <c r="T64" s="504">
        <v>48</v>
      </c>
      <c r="U64" s="504">
        <v>48</v>
      </c>
      <c r="V64" s="504">
        <v>49</v>
      </c>
      <c r="W64" s="504">
        <v>50</v>
      </c>
      <c r="X64" s="504"/>
      <c r="Y64" s="283">
        <f>E64-D64</f>
        <v>-1</v>
      </c>
      <c r="Z64" s="283">
        <f>P64-E64</f>
        <v>-1</v>
      </c>
      <c r="AA64" s="283">
        <f>W64-D64</f>
        <v>-4</v>
      </c>
      <c r="AB64" s="283">
        <f>W64-P64</f>
        <v>-2</v>
      </c>
    </row>
    <row r="66" spans="1:21">
      <c r="A66" s="256" t="s">
        <v>1583</v>
      </c>
    </row>
    <row r="67" spans="1:21">
      <c r="A67" s="256" t="s">
        <v>1585</v>
      </c>
    </row>
    <row r="68" spans="1:21">
      <c r="A68" s="256" t="s">
        <v>195</v>
      </c>
    </row>
    <row r="69" spans="1:21" ht="15.75">
      <c r="A69" s="265" t="s">
        <v>1771</v>
      </c>
    </row>
    <row r="70" spans="1:21" ht="15.75">
      <c r="A70" s="265" t="s">
        <v>1773</v>
      </c>
    </row>
    <row r="71" spans="1:21">
      <c r="A71" s="256" t="s">
        <v>1582</v>
      </c>
    </row>
    <row r="73" spans="1:21">
      <c r="A73" s="256" t="s">
        <v>1223</v>
      </c>
    </row>
    <row r="74" spans="1:21">
      <c r="A74" s="256">
        <v>1</v>
      </c>
      <c r="B74" s="939">
        <v>33</v>
      </c>
      <c r="C74" s="939">
        <v>32</v>
      </c>
      <c r="D74" s="939">
        <v>32</v>
      </c>
      <c r="E74" s="939">
        <v>33</v>
      </c>
      <c r="F74" s="939">
        <v>32</v>
      </c>
      <c r="G74" s="939">
        <v>32</v>
      </c>
      <c r="H74" s="939">
        <v>32</v>
      </c>
      <c r="I74" s="939">
        <v>31</v>
      </c>
      <c r="J74" s="939">
        <v>18</v>
      </c>
      <c r="K74" s="939">
        <v>9</v>
      </c>
      <c r="L74" s="939">
        <v>9</v>
      </c>
      <c r="M74" s="939">
        <v>9</v>
      </c>
      <c r="N74" s="939">
        <v>12</v>
      </c>
      <c r="O74" s="939">
        <v>20</v>
      </c>
      <c r="P74" s="939">
        <v>49</v>
      </c>
      <c r="Q74" s="939">
        <v>47</v>
      </c>
      <c r="R74" s="939">
        <v>47</v>
      </c>
      <c r="S74" s="939">
        <v>46</v>
      </c>
      <c r="T74" s="939">
        <v>49</v>
      </c>
      <c r="U74" s="939">
        <v>50</v>
      </c>
    </row>
    <row r="75" spans="1:21">
      <c r="A75" s="256">
        <v>2</v>
      </c>
      <c r="B75" s="939"/>
      <c r="C75" s="939">
        <v>64</v>
      </c>
      <c r="D75" s="939">
        <v>63</v>
      </c>
      <c r="E75" s="939">
        <v>63</v>
      </c>
      <c r="F75" s="939">
        <v>60</v>
      </c>
      <c r="G75" s="939">
        <v>60</v>
      </c>
      <c r="H75" s="939">
        <v>60</v>
      </c>
      <c r="I75" s="939">
        <v>58</v>
      </c>
      <c r="J75" s="939">
        <v>59</v>
      </c>
      <c r="K75" s="939">
        <v>62</v>
      </c>
      <c r="L75" s="939">
        <v>61</v>
      </c>
      <c r="M75" s="939">
        <v>61</v>
      </c>
      <c r="N75" s="939">
        <v>60</v>
      </c>
      <c r="O75" s="939">
        <v>59</v>
      </c>
      <c r="P75" s="939">
        <v>58</v>
      </c>
      <c r="Q75" s="939">
        <v>56</v>
      </c>
      <c r="R75" s="939">
        <v>55</v>
      </c>
      <c r="S75" s="939">
        <v>54</v>
      </c>
      <c r="T75" s="939">
        <v>57</v>
      </c>
      <c r="U75" s="939">
        <v>58</v>
      </c>
    </row>
    <row r="76" spans="1:21">
      <c r="A76" s="256">
        <v>3</v>
      </c>
      <c r="B76" s="939">
        <v>68</v>
      </c>
      <c r="C76" s="939">
        <v>66</v>
      </c>
      <c r="D76" s="939">
        <v>67</v>
      </c>
      <c r="E76" s="939">
        <v>69</v>
      </c>
      <c r="F76" s="939">
        <v>74</v>
      </c>
      <c r="G76" s="939">
        <v>73</v>
      </c>
      <c r="H76" s="939">
        <v>73</v>
      </c>
      <c r="I76" s="939">
        <v>71</v>
      </c>
      <c r="J76" s="939">
        <v>72</v>
      </c>
      <c r="K76" s="939">
        <v>73</v>
      </c>
      <c r="L76" s="939">
        <v>75</v>
      </c>
      <c r="M76" s="939">
        <v>76</v>
      </c>
      <c r="N76" s="939">
        <v>76</v>
      </c>
      <c r="O76" s="939">
        <v>76</v>
      </c>
      <c r="P76" s="939">
        <v>75</v>
      </c>
      <c r="Q76" s="939">
        <v>74</v>
      </c>
      <c r="R76" s="939">
        <v>73</v>
      </c>
      <c r="S76" s="939">
        <v>73</v>
      </c>
      <c r="T76" s="939">
        <v>79</v>
      </c>
      <c r="U76" s="939">
        <v>81</v>
      </c>
    </row>
    <row r="77" spans="1:21">
      <c r="A77" s="256">
        <v>4</v>
      </c>
      <c r="B77" s="939">
        <v>58</v>
      </c>
      <c r="C77" s="939">
        <v>56</v>
      </c>
      <c r="D77" s="939">
        <v>56</v>
      </c>
      <c r="E77" s="939">
        <v>56</v>
      </c>
      <c r="F77" s="939">
        <v>56</v>
      </c>
      <c r="G77" s="939">
        <v>56</v>
      </c>
      <c r="H77" s="939">
        <v>56</v>
      </c>
      <c r="I77" s="939">
        <v>55</v>
      </c>
      <c r="J77" s="939">
        <v>55</v>
      </c>
      <c r="K77" s="939">
        <v>56</v>
      </c>
      <c r="L77" s="939">
        <v>58</v>
      </c>
      <c r="M77" s="939">
        <v>59</v>
      </c>
      <c r="N77" s="939">
        <v>59</v>
      </c>
      <c r="O77" s="939">
        <v>60</v>
      </c>
      <c r="P77" s="939">
        <v>60</v>
      </c>
      <c r="Q77" s="939">
        <v>59</v>
      </c>
      <c r="R77" s="939">
        <v>59</v>
      </c>
      <c r="S77" s="939">
        <v>59</v>
      </c>
      <c r="T77" s="939">
        <v>62</v>
      </c>
      <c r="U77" s="939">
        <v>62</v>
      </c>
    </row>
    <row r="78" spans="1:21">
      <c r="A78" s="256" t="s">
        <v>1783</v>
      </c>
      <c r="B78" s="939"/>
      <c r="C78" s="939"/>
      <c r="D78" s="939"/>
      <c r="E78" s="939"/>
      <c r="F78" s="939"/>
      <c r="G78" s="939"/>
      <c r="H78" s="939"/>
      <c r="I78" s="939"/>
      <c r="J78" s="939"/>
      <c r="K78" s="939"/>
      <c r="L78" s="939"/>
      <c r="M78" s="939"/>
      <c r="N78" s="939"/>
      <c r="O78" s="939"/>
      <c r="P78" s="939"/>
      <c r="Q78" s="939"/>
      <c r="R78" s="939"/>
      <c r="S78" s="939"/>
      <c r="T78" s="939"/>
      <c r="U78" s="939"/>
    </row>
    <row r="79" spans="1:21">
      <c r="A79" s="256">
        <v>1</v>
      </c>
      <c r="B79" s="939">
        <v>62</v>
      </c>
      <c r="C79" s="939">
        <v>66</v>
      </c>
      <c r="D79" s="939">
        <v>60</v>
      </c>
      <c r="E79" s="939">
        <v>62</v>
      </c>
      <c r="F79" s="939">
        <v>58</v>
      </c>
      <c r="G79" s="939">
        <v>58</v>
      </c>
      <c r="H79" s="939">
        <v>52</v>
      </c>
      <c r="I79" s="939">
        <v>40</v>
      </c>
      <c r="J79" s="939">
        <v>37</v>
      </c>
      <c r="K79" s="939">
        <v>37</v>
      </c>
      <c r="L79" s="939">
        <v>36</v>
      </c>
      <c r="M79" s="939">
        <v>36</v>
      </c>
      <c r="N79" s="939">
        <v>37</v>
      </c>
      <c r="O79" s="939">
        <v>36</v>
      </c>
      <c r="P79" s="939">
        <v>36</v>
      </c>
      <c r="Q79" s="939">
        <v>36</v>
      </c>
      <c r="R79" s="939">
        <v>36</v>
      </c>
      <c r="S79" s="939">
        <v>35</v>
      </c>
      <c r="T79" s="939">
        <v>35</v>
      </c>
      <c r="U79" s="939">
        <v>35</v>
      </c>
    </row>
    <row r="80" spans="1:21">
      <c r="A80" s="256">
        <v>2</v>
      </c>
      <c r="B80" s="939"/>
      <c r="C80" s="939">
        <v>77</v>
      </c>
      <c r="D80" s="939">
        <v>70</v>
      </c>
      <c r="E80" s="939">
        <v>70</v>
      </c>
      <c r="F80" s="939">
        <v>66</v>
      </c>
      <c r="G80" s="939">
        <v>65</v>
      </c>
      <c r="H80" s="939">
        <v>65</v>
      </c>
      <c r="I80" s="939">
        <v>62</v>
      </c>
      <c r="J80" s="939">
        <v>57</v>
      </c>
      <c r="K80" s="939">
        <v>56</v>
      </c>
      <c r="L80" s="939">
        <v>56</v>
      </c>
      <c r="M80" s="939">
        <v>55</v>
      </c>
      <c r="N80" s="939">
        <v>55</v>
      </c>
      <c r="O80" s="939">
        <v>54</v>
      </c>
      <c r="P80" s="939">
        <v>54</v>
      </c>
      <c r="Q80" s="939">
        <v>47</v>
      </c>
      <c r="R80" s="939">
        <v>47</v>
      </c>
      <c r="S80" s="939">
        <v>45</v>
      </c>
      <c r="T80" s="939">
        <v>46</v>
      </c>
      <c r="U80" s="939">
        <v>47</v>
      </c>
    </row>
    <row r="81" spans="1:21">
      <c r="A81" s="256">
        <v>3</v>
      </c>
      <c r="B81" s="939">
        <v>71</v>
      </c>
      <c r="C81" s="939">
        <v>75</v>
      </c>
      <c r="D81" s="939">
        <v>69</v>
      </c>
      <c r="E81" s="939">
        <v>71</v>
      </c>
      <c r="F81" s="939">
        <v>73</v>
      </c>
      <c r="G81" s="939">
        <v>72</v>
      </c>
      <c r="H81" s="939">
        <v>71</v>
      </c>
      <c r="I81" s="939">
        <v>68</v>
      </c>
      <c r="J81" s="939">
        <v>65</v>
      </c>
      <c r="K81" s="939">
        <v>62</v>
      </c>
      <c r="L81" s="939">
        <v>62</v>
      </c>
      <c r="M81" s="939">
        <v>61</v>
      </c>
      <c r="N81" s="939">
        <v>62</v>
      </c>
      <c r="O81" s="939">
        <v>62</v>
      </c>
      <c r="P81" s="939">
        <v>63</v>
      </c>
      <c r="Q81" s="939">
        <v>63</v>
      </c>
      <c r="R81" s="939">
        <v>63</v>
      </c>
      <c r="S81" s="939">
        <v>62</v>
      </c>
      <c r="T81" s="939">
        <v>66</v>
      </c>
      <c r="U81" s="939">
        <v>68</v>
      </c>
    </row>
    <row r="82" spans="1:21">
      <c r="A82" s="256">
        <v>4</v>
      </c>
      <c r="B82" s="939">
        <v>74</v>
      </c>
      <c r="C82" s="939">
        <v>78</v>
      </c>
      <c r="D82" s="939">
        <v>71</v>
      </c>
      <c r="E82" s="939">
        <v>73</v>
      </c>
      <c r="F82" s="939">
        <v>73</v>
      </c>
      <c r="G82" s="939">
        <v>72</v>
      </c>
      <c r="H82" s="939">
        <v>71</v>
      </c>
      <c r="I82" s="939">
        <v>68</v>
      </c>
      <c r="J82" s="939">
        <v>64</v>
      </c>
      <c r="K82" s="939">
        <v>64</v>
      </c>
      <c r="L82" s="939">
        <v>63</v>
      </c>
      <c r="M82" s="939">
        <v>62</v>
      </c>
      <c r="N82" s="939">
        <v>64</v>
      </c>
      <c r="O82" s="939">
        <v>64</v>
      </c>
      <c r="P82" s="939">
        <v>65</v>
      </c>
      <c r="Q82" s="939">
        <v>65</v>
      </c>
      <c r="R82" s="939">
        <v>65</v>
      </c>
      <c r="S82" s="939">
        <v>64</v>
      </c>
      <c r="T82" s="939">
        <v>66</v>
      </c>
      <c r="U82" s="939">
        <v>66</v>
      </c>
    </row>
    <row r="83" spans="1:21">
      <c r="A83" s="256" t="s">
        <v>1784</v>
      </c>
      <c r="B83" s="939"/>
      <c r="C83" s="939"/>
      <c r="D83" s="939"/>
      <c r="E83" s="939"/>
      <c r="F83" s="939"/>
      <c r="G83" s="939"/>
      <c r="H83" s="939"/>
      <c r="I83" s="939"/>
      <c r="J83" s="939"/>
      <c r="K83" s="939"/>
      <c r="L83" s="939"/>
      <c r="M83" s="939"/>
      <c r="N83" s="939"/>
      <c r="O83" s="939"/>
      <c r="P83" s="939"/>
      <c r="Q83" s="939"/>
      <c r="R83" s="939"/>
      <c r="S83" s="939"/>
      <c r="T83" s="939"/>
      <c r="U83" s="939"/>
    </row>
    <row r="84" spans="1:21">
      <c r="A84" s="256">
        <v>1</v>
      </c>
      <c r="B84" s="939">
        <v>44</v>
      </c>
      <c r="C84" s="939">
        <v>50</v>
      </c>
      <c r="D84" s="939">
        <v>48</v>
      </c>
      <c r="E84" s="939">
        <v>47</v>
      </c>
      <c r="F84" s="939">
        <v>43</v>
      </c>
      <c r="G84" s="939">
        <v>43</v>
      </c>
      <c r="H84" s="939">
        <v>43</v>
      </c>
      <c r="I84" s="939">
        <v>42</v>
      </c>
      <c r="J84" s="939">
        <v>41</v>
      </c>
      <c r="K84" s="939">
        <v>31</v>
      </c>
      <c r="L84" s="939">
        <v>30</v>
      </c>
      <c r="M84" s="939">
        <v>29</v>
      </c>
      <c r="N84" s="939">
        <v>29</v>
      </c>
      <c r="O84" s="939">
        <v>29</v>
      </c>
      <c r="P84" s="939">
        <v>31</v>
      </c>
      <c r="Q84" s="939">
        <v>30</v>
      </c>
      <c r="R84" s="939">
        <v>30</v>
      </c>
      <c r="S84" s="939">
        <v>30</v>
      </c>
      <c r="T84" s="939">
        <v>33</v>
      </c>
      <c r="U84" s="939">
        <v>33</v>
      </c>
    </row>
    <row r="85" spans="1:21">
      <c r="A85" s="256">
        <v>2</v>
      </c>
      <c r="B85" s="939"/>
      <c r="C85" s="939">
        <v>66</v>
      </c>
      <c r="D85" s="939">
        <v>66</v>
      </c>
      <c r="E85" s="939">
        <v>66</v>
      </c>
      <c r="F85" s="939">
        <v>61</v>
      </c>
      <c r="G85" s="939">
        <v>60</v>
      </c>
      <c r="H85" s="939">
        <v>61</v>
      </c>
      <c r="I85" s="939">
        <v>60</v>
      </c>
      <c r="J85" s="939">
        <v>59</v>
      </c>
      <c r="K85" s="939">
        <v>58</v>
      </c>
      <c r="L85" s="939">
        <v>58</v>
      </c>
      <c r="M85" s="939">
        <v>57</v>
      </c>
      <c r="N85" s="939">
        <v>55</v>
      </c>
      <c r="O85" s="939">
        <v>51</v>
      </c>
      <c r="P85" s="939">
        <v>53</v>
      </c>
      <c r="Q85" s="939">
        <v>51</v>
      </c>
      <c r="R85" s="939">
        <v>50</v>
      </c>
      <c r="S85" s="939">
        <v>50</v>
      </c>
      <c r="T85" s="939">
        <v>49</v>
      </c>
      <c r="U85" s="939">
        <v>49</v>
      </c>
    </row>
    <row r="86" spans="1:21">
      <c r="A86" s="256">
        <v>3</v>
      </c>
      <c r="B86" s="939">
        <v>64</v>
      </c>
      <c r="C86" s="939">
        <v>66</v>
      </c>
      <c r="D86" s="939">
        <v>66</v>
      </c>
      <c r="E86" s="939">
        <v>67</v>
      </c>
      <c r="F86" s="939">
        <v>69</v>
      </c>
      <c r="G86" s="939">
        <v>68</v>
      </c>
      <c r="H86" s="939">
        <v>69</v>
      </c>
      <c r="I86" s="939">
        <v>67</v>
      </c>
      <c r="J86" s="939">
        <v>66</v>
      </c>
      <c r="K86" s="939">
        <v>65</v>
      </c>
      <c r="L86" s="939">
        <v>65</v>
      </c>
      <c r="M86" s="939">
        <v>65</v>
      </c>
      <c r="N86" s="939">
        <v>64</v>
      </c>
      <c r="O86" s="939">
        <v>60</v>
      </c>
      <c r="P86" s="939">
        <v>59</v>
      </c>
      <c r="Q86" s="939">
        <v>58</v>
      </c>
      <c r="R86" s="939">
        <v>58</v>
      </c>
      <c r="S86" s="939">
        <v>58</v>
      </c>
      <c r="T86" s="939">
        <v>62</v>
      </c>
      <c r="U86" s="939">
        <v>63</v>
      </c>
    </row>
    <row r="87" spans="1:21">
      <c r="A87" s="256">
        <v>4</v>
      </c>
      <c r="B87" s="939">
        <v>57</v>
      </c>
      <c r="C87" s="939">
        <v>60</v>
      </c>
      <c r="D87" s="939">
        <v>58</v>
      </c>
      <c r="E87" s="939">
        <v>58</v>
      </c>
      <c r="F87" s="939">
        <v>58</v>
      </c>
      <c r="G87" s="939">
        <v>57</v>
      </c>
      <c r="H87" s="939">
        <v>57</v>
      </c>
      <c r="I87" s="939">
        <v>56</v>
      </c>
      <c r="J87" s="939">
        <v>59</v>
      </c>
      <c r="K87" s="939">
        <v>59</v>
      </c>
      <c r="L87" s="939">
        <v>59</v>
      </c>
      <c r="M87" s="939">
        <v>58</v>
      </c>
      <c r="N87" s="939">
        <v>58</v>
      </c>
      <c r="O87" s="939">
        <v>61</v>
      </c>
      <c r="P87" s="939">
        <v>58</v>
      </c>
      <c r="Q87" s="939">
        <v>57</v>
      </c>
      <c r="R87" s="939">
        <v>57</v>
      </c>
      <c r="S87" s="939">
        <v>57</v>
      </c>
      <c r="T87" s="939">
        <v>59</v>
      </c>
      <c r="U87" s="939">
        <v>59</v>
      </c>
    </row>
    <row r="88" spans="1:21">
      <c r="A88" s="256" t="s">
        <v>1785</v>
      </c>
      <c r="B88" s="939"/>
      <c r="C88" s="939"/>
      <c r="D88" s="939"/>
      <c r="E88" s="939"/>
      <c r="F88" s="939"/>
      <c r="G88" s="939"/>
      <c r="H88" s="939"/>
      <c r="I88" s="939"/>
      <c r="J88" s="939"/>
      <c r="K88" s="939"/>
      <c r="L88" s="939"/>
      <c r="M88" s="939"/>
      <c r="N88" s="939"/>
      <c r="O88" s="939"/>
      <c r="P88" s="939"/>
      <c r="Q88" s="939"/>
      <c r="R88" s="939"/>
      <c r="S88" s="939"/>
      <c r="T88" s="939"/>
      <c r="U88" s="939"/>
    </row>
    <row r="89" spans="1:21">
      <c r="A89" s="256">
        <v>1</v>
      </c>
      <c r="B89" s="939">
        <v>22</v>
      </c>
      <c r="C89" s="939">
        <v>24</v>
      </c>
      <c r="D89" s="939">
        <v>24</v>
      </c>
      <c r="E89" s="939">
        <v>25</v>
      </c>
      <c r="F89" s="939">
        <v>23</v>
      </c>
      <c r="G89" s="939">
        <v>23</v>
      </c>
      <c r="H89" s="939">
        <v>23</v>
      </c>
      <c r="I89" s="939">
        <v>22</v>
      </c>
      <c r="J89" s="939">
        <v>22</v>
      </c>
      <c r="K89" s="939">
        <v>22</v>
      </c>
      <c r="L89" s="939">
        <v>22</v>
      </c>
      <c r="M89" s="939">
        <v>22</v>
      </c>
      <c r="N89" s="939">
        <v>21</v>
      </c>
      <c r="O89" s="939">
        <v>21</v>
      </c>
      <c r="P89" s="939">
        <v>20</v>
      </c>
      <c r="Q89" s="939">
        <v>20</v>
      </c>
      <c r="R89" s="939">
        <v>19</v>
      </c>
      <c r="S89" s="939">
        <v>19</v>
      </c>
      <c r="T89" s="939">
        <v>19</v>
      </c>
      <c r="U89" s="939">
        <v>19</v>
      </c>
    </row>
    <row r="90" spans="1:21">
      <c r="A90" s="256">
        <v>2</v>
      </c>
      <c r="B90" s="939"/>
      <c r="C90" s="939">
        <v>63</v>
      </c>
      <c r="D90" s="939">
        <v>62</v>
      </c>
      <c r="E90" s="939">
        <v>62</v>
      </c>
      <c r="F90" s="939">
        <v>58</v>
      </c>
      <c r="G90" s="939">
        <v>58</v>
      </c>
      <c r="H90" s="939">
        <v>46</v>
      </c>
      <c r="I90" s="939">
        <v>45</v>
      </c>
      <c r="J90" s="939">
        <v>45</v>
      </c>
      <c r="K90" s="939">
        <v>45</v>
      </c>
      <c r="L90" s="939">
        <v>45</v>
      </c>
      <c r="M90" s="939">
        <v>44</v>
      </c>
      <c r="N90" s="939">
        <v>45</v>
      </c>
      <c r="O90" s="939">
        <v>45</v>
      </c>
      <c r="P90" s="939">
        <v>46</v>
      </c>
      <c r="Q90" s="939">
        <v>46</v>
      </c>
      <c r="R90" s="939">
        <v>45</v>
      </c>
      <c r="S90" s="939">
        <v>45</v>
      </c>
      <c r="T90" s="939">
        <v>44</v>
      </c>
      <c r="U90" s="939">
        <v>44</v>
      </c>
    </row>
    <row r="91" spans="1:21">
      <c r="A91" s="256">
        <v>3</v>
      </c>
      <c r="B91" s="939">
        <v>56</v>
      </c>
      <c r="C91" s="939">
        <v>55</v>
      </c>
      <c r="D91" s="939">
        <v>55</v>
      </c>
      <c r="E91" s="939">
        <v>55</v>
      </c>
      <c r="F91" s="939">
        <v>57</v>
      </c>
      <c r="G91" s="939">
        <v>57</v>
      </c>
      <c r="H91" s="939">
        <v>59</v>
      </c>
      <c r="I91" s="939">
        <v>61</v>
      </c>
      <c r="J91" s="939">
        <v>61</v>
      </c>
      <c r="K91" s="939">
        <v>61</v>
      </c>
      <c r="L91" s="939">
        <v>63</v>
      </c>
      <c r="M91" s="939">
        <v>64</v>
      </c>
      <c r="N91" s="939">
        <v>63</v>
      </c>
      <c r="O91" s="939">
        <v>63</v>
      </c>
      <c r="P91" s="939">
        <v>63</v>
      </c>
      <c r="Q91" s="939">
        <v>62</v>
      </c>
      <c r="R91" s="939">
        <v>61</v>
      </c>
      <c r="S91" s="939">
        <v>61</v>
      </c>
      <c r="T91" s="939">
        <v>65</v>
      </c>
      <c r="U91" s="939">
        <v>67</v>
      </c>
    </row>
    <row r="92" spans="1:21">
      <c r="A92" s="256">
        <v>4</v>
      </c>
      <c r="B92" s="939">
        <v>46</v>
      </c>
      <c r="C92" s="939">
        <v>44</v>
      </c>
      <c r="D92" s="939">
        <v>44</v>
      </c>
      <c r="E92" s="939">
        <v>45</v>
      </c>
      <c r="F92" s="939">
        <v>46</v>
      </c>
      <c r="G92" s="939">
        <v>46</v>
      </c>
      <c r="H92" s="939">
        <v>47</v>
      </c>
      <c r="I92" s="939">
        <v>49</v>
      </c>
      <c r="J92" s="939">
        <v>48</v>
      </c>
      <c r="K92" s="939">
        <v>49</v>
      </c>
      <c r="L92" s="939">
        <v>51</v>
      </c>
      <c r="M92" s="939">
        <v>53</v>
      </c>
      <c r="N92" s="939">
        <v>53</v>
      </c>
      <c r="O92" s="939">
        <v>53</v>
      </c>
      <c r="P92" s="939">
        <v>53</v>
      </c>
      <c r="Q92" s="939">
        <v>53</v>
      </c>
      <c r="R92" s="939">
        <v>53</v>
      </c>
      <c r="S92" s="939">
        <v>53</v>
      </c>
      <c r="T92" s="939">
        <v>54</v>
      </c>
      <c r="U92" s="939">
        <v>54</v>
      </c>
    </row>
    <row r="93" spans="1:21">
      <c r="A93" s="256" t="s">
        <v>1227</v>
      </c>
      <c r="B93" s="939"/>
      <c r="C93" s="939"/>
      <c r="D93" s="939"/>
      <c r="E93" s="939"/>
      <c r="F93" s="939"/>
      <c r="G93" s="939"/>
      <c r="H93" s="939"/>
      <c r="I93" s="939"/>
      <c r="J93" s="939"/>
      <c r="K93" s="939"/>
      <c r="L93" s="939"/>
      <c r="M93" s="939"/>
      <c r="N93" s="939"/>
      <c r="O93" s="939"/>
      <c r="P93" s="939"/>
      <c r="Q93" s="939"/>
      <c r="R93" s="939"/>
      <c r="S93" s="939"/>
      <c r="T93" s="939"/>
      <c r="U93" s="939"/>
    </row>
    <row r="94" spans="1:21">
      <c r="A94" s="256">
        <v>1</v>
      </c>
      <c r="B94" s="939">
        <v>20</v>
      </c>
      <c r="C94" s="939">
        <v>31</v>
      </c>
      <c r="D94" s="939">
        <v>48</v>
      </c>
      <c r="E94" s="939">
        <v>41</v>
      </c>
      <c r="F94" s="939">
        <v>38</v>
      </c>
      <c r="G94" s="939">
        <v>38</v>
      </c>
      <c r="H94" s="939">
        <v>37</v>
      </c>
      <c r="I94" s="939">
        <v>36</v>
      </c>
      <c r="J94" s="939">
        <v>36</v>
      </c>
      <c r="K94" s="939">
        <v>35</v>
      </c>
      <c r="L94" s="939">
        <v>34</v>
      </c>
      <c r="M94" s="939">
        <v>35</v>
      </c>
      <c r="N94" s="939">
        <v>34</v>
      </c>
      <c r="O94" s="939">
        <v>34</v>
      </c>
      <c r="P94" s="939">
        <v>34</v>
      </c>
      <c r="Q94" s="939">
        <v>34</v>
      </c>
      <c r="R94" s="939">
        <v>34</v>
      </c>
      <c r="S94" s="939">
        <v>33</v>
      </c>
      <c r="T94" s="939">
        <v>33</v>
      </c>
      <c r="U94" s="939">
        <v>33</v>
      </c>
    </row>
    <row r="95" spans="1:21">
      <c r="A95" s="256">
        <v>2</v>
      </c>
      <c r="B95" s="939">
        <v>47</v>
      </c>
      <c r="C95" s="939">
        <v>49</v>
      </c>
      <c r="D95" s="939">
        <v>53</v>
      </c>
      <c r="E95" s="939">
        <v>49</v>
      </c>
      <c r="F95" s="939">
        <v>49</v>
      </c>
      <c r="G95" s="939">
        <v>50</v>
      </c>
      <c r="H95" s="939">
        <v>49</v>
      </c>
      <c r="I95" s="939">
        <v>49</v>
      </c>
      <c r="J95" s="939">
        <v>49</v>
      </c>
      <c r="K95" s="939">
        <v>49</v>
      </c>
      <c r="L95" s="939">
        <v>50</v>
      </c>
      <c r="M95" s="939">
        <v>50</v>
      </c>
      <c r="N95" s="939">
        <v>49</v>
      </c>
      <c r="O95" s="939">
        <v>49</v>
      </c>
      <c r="P95" s="939">
        <v>49</v>
      </c>
      <c r="Q95" s="939">
        <v>49</v>
      </c>
      <c r="R95" s="939">
        <v>49</v>
      </c>
      <c r="S95" s="939">
        <v>48</v>
      </c>
      <c r="T95" s="939">
        <v>49</v>
      </c>
      <c r="U95" s="939">
        <v>48</v>
      </c>
    </row>
    <row r="96" spans="1:21">
      <c r="A96" s="256">
        <v>3</v>
      </c>
      <c r="B96" s="939">
        <v>57</v>
      </c>
      <c r="C96" s="939">
        <v>54</v>
      </c>
      <c r="D96" s="939">
        <v>58</v>
      </c>
      <c r="E96" s="939">
        <v>54</v>
      </c>
      <c r="F96" s="939">
        <v>60</v>
      </c>
      <c r="G96" s="939">
        <v>62</v>
      </c>
      <c r="H96" s="939">
        <v>63</v>
      </c>
      <c r="I96" s="939">
        <v>62</v>
      </c>
      <c r="J96" s="939">
        <v>60</v>
      </c>
      <c r="K96" s="939">
        <v>58</v>
      </c>
      <c r="L96" s="939">
        <v>58</v>
      </c>
      <c r="M96" s="939">
        <v>58</v>
      </c>
      <c r="N96" s="939">
        <v>56</v>
      </c>
      <c r="O96" s="939">
        <v>56</v>
      </c>
      <c r="P96" s="939">
        <v>57</v>
      </c>
      <c r="Q96" s="939">
        <v>57</v>
      </c>
      <c r="R96" s="939">
        <v>57</v>
      </c>
      <c r="S96" s="939">
        <v>60</v>
      </c>
      <c r="T96" s="939">
        <v>63</v>
      </c>
      <c r="U96" s="939">
        <v>63</v>
      </c>
    </row>
    <row r="97" spans="1:21">
      <c r="A97" s="256">
        <v>4</v>
      </c>
      <c r="B97" s="939">
        <v>54</v>
      </c>
      <c r="C97" s="939">
        <v>54</v>
      </c>
      <c r="D97" s="939">
        <v>59</v>
      </c>
      <c r="E97" s="939">
        <v>52</v>
      </c>
      <c r="F97" s="939">
        <v>51</v>
      </c>
      <c r="G97" s="939">
        <v>53</v>
      </c>
      <c r="H97" s="939">
        <v>52</v>
      </c>
      <c r="I97" s="939">
        <v>51</v>
      </c>
      <c r="J97" s="939">
        <v>50</v>
      </c>
      <c r="K97" s="939">
        <v>48</v>
      </c>
      <c r="L97" s="939">
        <v>48</v>
      </c>
      <c r="M97" s="939">
        <v>48</v>
      </c>
      <c r="N97" s="939">
        <v>47</v>
      </c>
      <c r="O97" s="939">
        <v>48</v>
      </c>
      <c r="P97" s="939">
        <v>49</v>
      </c>
      <c r="Q97" s="939">
        <v>49</v>
      </c>
      <c r="R97" s="939">
        <v>49</v>
      </c>
      <c r="S97" s="939">
        <v>54</v>
      </c>
      <c r="T97" s="939">
        <v>55</v>
      </c>
      <c r="U97" s="939">
        <v>54</v>
      </c>
    </row>
    <row r="98" spans="1:21">
      <c r="A98" s="256" t="s">
        <v>1228</v>
      </c>
      <c r="B98" s="939"/>
      <c r="C98" s="939"/>
      <c r="D98" s="939"/>
      <c r="E98" s="939"/>
      <c r="F98" s="939"/>
      <c r="G98" s="939"/>
      <c r="H98" s="939"/>
      <c r="I98" s="939"/>
      <c r="J98" s="939"/>
      <c r="K98" s="939"/>
      <c r="L98" s="939"/>
      <c r="M98" s="939"/>
      <c r="N98" s="939"/>
      <c r="O98" s="939"/>
      <c r="P98" s="939"/>
      <c r="Q98" s="939"/>
      <c r="R98" s="939"/>
      <c r="S98" s="939"/>
      <c r="T98" s="939"/>
      <c r="U98" s="939"/>
    </row>
    <row r="99" spans="1:21">
      <c r="A99" s="256">
        <v>1</v>
      </c>
      <c r="B99" s="939">
        <v>43</v>
      </c>
      <c r="C99" s="939">
        <v>47</v>
      </c>
      <c r="D99" s="939">
        <v>52</v>
      </c>
      <c r="E99" s="939">
        <v>54</v>
      </c>
      <c r="F99" s="939">
        <v>51</v>
      </c>
      <c r="G99" s="939">
        <v>51</v>
      </c>
      <c r="H99" s="939">
        <v>51</v>
      </c>
      <c r="I99" s="939">
        <v>48</v>
      </c>
      <c r="J99" s="939">
        <v>39</v>
      </c>
      <c r="K99" s="939">
        <v>39</v>
      </c>
      <c r="L99" s="939">
        <v>38</v>
      </c>
      <c r="M99" s="939">
        <v>38</v>
      </c>
      <c r="N99" s="939">
        <v>37</v>
      </c>
      <c r="O99" s="939">
        <v>36</v>
      </c>
      <c r="P99" s="939">
        <v>35</v>
      </c>
      <c r="Q99" s="939">
        <v>34</v>
      </c>
      <c r="R99" s="939">
        <v>34</v>
      </c>
      <c r="S99" s="939">
        <v>34</v>
      </c>
      <c r="T99" s="939">
        <v>33</v>
      </c>
      <c r="U99" s="939">
        <v>33</v>
      </c>
    </row>
    <row r="100" spans="1:21">
      <c r="A100" s="256">
        <v>2</v>
      </c>
      <c r="B100" s="939"/>
      <c r="C100" s="939">
        <v>68</v>
      </c>
      <c r="D100" s="939">
        <v>72</v>
      </c>
      <c r="E100" s="939">
        <v>75</v>
      </c>
      <c r="F100" s="939">
        <v>71</v>
      </c>
      <c r="G100" s="939">
        <v>71</v>
      </c>
      <c r="H100" s="939">
        <v>71</v>
      </c>
      <c r="I100" s="939">
        <v>69</v>
      </c>
      <c r="J100" s="939">
        <v>68</v>
      </c>
      <c r="K100" s="939">
        <v>67</v>
      </c>
      <c r="L100" s="939">
        <v>66</v>
      </c>
      <c r="M100" s="939">
        <v>65</v>
      </c>
      <c r="N100" s="939">
        <v>63</v>
      </c>
      <c r="O100" s="939">
        <v>62</v>
      </c>
      <c r="P100" s="939">
        <v>61</v>
      </c>
      <c r="Q100" s="939">
        <v>59</v>
      </c>
      <c r="R100" s="939">
        <v>59</v>
      </c>
      <c r="S100" s="939">
        <v>58</v>
      </c>
      <c r="T100" s="939">
        <v>57</v>
      </c>
      <c r="U100" s="939">
        <v>57</v>
      </c>
    </row>
    <row r="101" spans="1:21">
      <c r="A101" s="256">
        <v>3</v>
      </c>
      <c r="B101" s="939">
        <v>64</v>
      </c>
      <c r="C101" s="939">
        <v>68</v>
      </c>
      <c r="D101" s="939">
        <v>76</v>
      </c>
      <c r="E101" s="939">
        <v>79</v>
      </c>
      <c r="F101" s="939">
        <v>81</v>
      </c>
      <c r="G101" s="939">
        <v>81</v>
      </c>
      <c r="H101" s="939">
        <v>81</v>
      </c>
      <c r="I101" s="939">
        <v>76</v>
      </c>
      <c r="J101" s="939">
        <v>64</v>
      </c>
      <c r="K101" s="939">
        <v>63</v>
      </c>
      <c r="L101" s="939">
        <v>62</v>
      </c>
      <c r="M101" s="939">
        <v>61</v>
      </c>
      <c r="N101" s="939">
        <v>60</v>
      </c>
      <c r="O101" s="939">
        <v>58</v>
      </c>
      <c r="P101" s="939">
        <v>57</v>
      </c>
      <c r="Q101" s="939">
        <v>56</v>
      </c>
      <c r="R101" s="939">
        <v>56</v>
      </c>
      <c r="S101" s="939">
        <v>56</v>
      </c>
      <c r="T101" s="939">
        <v>59</v>
      </c>
      <c r="U101" s="939">
        <v>61</v>
      </c>
    </row>
    <row r="102" spans="1:21">
      <c r="A102" s="256">
        <v>4</v>
      </c>
      <c r="B102" s="939">
        <v>58</v>
      </c>
      <c r="C102" s="939">
        <v>61</v>
      </c>
      <c r="D102" s="939">
        <v>70</v>
      </c>
      <c r="E102" s="939">
        <v>72</v>
      </c>
      <c r="F102" s="939">
        <v>73</v>
      </c>
      <c r="G102" s="939">
        <v>72</v>
      </c>
      <c r="H102" s="939">
        <v>72</v>
      </c>
      <c r="I102" s="939">
        <v>67</v>
      </c>
      <c r="J102" s="939">
        <v>56</v>
      </c>
      <c r="K102" s="939">
        <v>55</v>
      </c>
      <c r="L102" s="939">
        <v>55</v>
      </c>
      <c r="M102" s="939">
        <v>54</v>
      </c>
      <c r="N102" s="939">
        <v>53</v>
      </c>
      <c r="O102" s="939">
        <v>52</v>
      </c>
      <c r="P102" s="939">
        <v>51</v>
      </c>
      <c r="Q102" s="939">
        <v>50</v>
      </c>
      <c r="R102" s="939">
        <v>50</v>
      </c>
      <c r="S102" s="939">
        <v>50</v>
      </c>
      <c r="T102" s="939">
        <v>51</v>
      </c>
      <c r="U102" s="939">
        <v>52</v>
      </c>
    </row>
    <row r="103" spans="1:21">
      <c r="A103" s="256" t="s">
        <v>1229</v>
      </c>
      <c r="B103" s="939"/>
      <c r="C103" s="939"/>
      <c r="D103" s="939"/>
      <c r="E103" s="939"/>
      <c r="F103" s="939"/>
      <c r="G103" s="939"/>
      <c r="H103" s="939"/>
      <c r="I103" s="939"/>
      <c r="J103" s="939"/>
      <c r="K103" s="939"/>
      <c r="L103" s="939"/>
      <c r="M103" s="939"/>
      <c r="N103" s="939"/>
      <c r="O103" s="939"/>
      <c r="P103" s="939"/>
      <c r="Q103" s="939"/>
      <c r="R103" s="939"/>
      <c r="S103" s="939"/>
      <c r="T103" s="939"/>
      <c r="U103" s="939"/>
    </row>
    <row r="104" spans="1:21">
      <c r="A104" s="256">
        <v>1</v>
      </c>
      <c r="B104" s="939">
        <v>43</v>
      </c>
      <c r="C104" s="939">
        <v>40</v>
      </c>
      <c r="D104" s="939">
        <v>46</v>
      </c>
      <c r="E104" s="939">
        <v>46</v>
      </c>
      <c r="F104" s="939">
        <v>43</v>
      </c>
      <c r="G104" s="939">
        <v>43</v>
      </c>
      <c r="H104" s="939">
        <v>40</v>
      </c>
      <c r="I104" s="939">
        <v>39</v>
      </c>
      <c r="J104" s="939">
        <v>36</v>
      </c>
      <c r="K104" s="939">
        <v>32</v>
      </c>
      <c r="L104" s="939">
        <v>31</v>
      </c>
      <c r="M104" s="939">
        <v>31</v>
      </c>
      <c r="N104" s="939">
        <v>30</v>
      </c>
      <c r="O104" s="939">
        <v>29</v>
      </c>
      <c r="P104" s="939">
        <v>29</v>
      </c>
      <c r="Q104" s="939">
        <v>28</v>
      </c>
      <c r="R104" s="939">
        <v>28</v>
      </c>
      <c r="S104" s="939">
        <v>28</v>
      </c>
      <c r="T104" s="939">
        <v>27</v>
      </c>
      <c r="U104" s="939">
        <v>27</v>
      </c>
    </row>
    <row r="105" spans="1:21">
      <c r="A105" s="256">
        <v>2</v>
      </c>
      <c r="B105" s="939"/>
      <c r="C105" s="939">
        <v>43</v>
      </c>
      <c r="D105" s="939">
        <v>49</v>
      </c>
      <c r="E105" s="939">
        <v>49</v>
      </c>
      <c r="F105" s="939">
        <v>55</v>
      </c>
      <c r="G105" s="939">
        <v>50</v>
      </c>
      <c r="H105" s="939">
        <v>49</v>
      </c>
      <c r="I105" s="939">
        <v>48</v>
      </c>
      <c r="J105" s="939">
        <v>48</v>
      </c>
      <c r="K105" s="939">
        <v>47</v>
      </c>
      <c r="L105" s="939">
        <v>46</v>
      </c>
      <c r="M105" s="939">
        <v>46</v>
      </c>
      <c r="N105" s="939">
        <v>45</v>
      </c>
      <c r="O105" s="939">
        <v>44</v>
      </c>
      <c r="P105" s="939">
        <v>43</v>
      </c>
      <c r="Q105" s="939">
        <v>42</v>
      </c>
      <c r="R105" s="939">
        <v>42</v>
      </c>
      <c r="S105" s="939">
        <v>41</v>
      </c>
      <c r="T105" s="939">
        <v>42</v>
      </c>
      <c r="U105" s="939">
        <v>42</v>
      </c>
    </row>
    <row r="106" spans="1:21">
      <c r="A106" s="256">
        <v>3</v>
      </c>
      <c r="B106" s="939">
        <v>56</v>
      </c>
      <c r="C106" s="939">
        <v>50</v>
      </c>
      <c r="D106" s="939">
        <v>54</v>
      </c>
      <c r="E106" s="939">
        <v>55</v>
      </c>
      <c r="F106" s="939">
        <v>60</v>
      </c>
      <c r="G106" s="939">
        <v>55</v>
      </c>
      <c r="H106" s="939">
        <v>55</v>
      </c>
      <c r="I106" s="939">
        <v>54</v>
      </c>
      <c r="J106" s="939">
        <v>53</v>
      </c>
      <c r="K106" s="939">
        <v>52</v>
      </c>
      <c r="L106" s="939">
        <v>51</v>
      </c>
      <c r="M106" s="939">
        <v>50</v>
      </c>
      <c r="N106" s="939">
        <v>50</v>
      </c>
      <c r="O106" s="939">
        <v>52</v>
      </c>
      <c r="P106" s="939">
        <v>53</v>
      </c>
      <c r="Q106" s="939">
        <v>52</v>
      </c>
      <c r="R106" s="939">
        <v>52</v>
      </c>
      <c r="S106" s="939">
        <v>51</v>
      </c>
      <c r="T106" s="939">
        <v>54</v>
      </c>
      <c r="U106" s="939">
        <v>54</v>
      </c>
    </row>
    <row r="107" spans="1:21">
      <c r="A107" s="256">
        <v>4</v>
      </c>
      <c r="B107" s="939">
        <v>60</v>
      </c>
      <c r="C107" s="939">
        <v>60</v>
      </c>
      <c r="D107" s="939">
        <v>65</v>
      </c>
      <c r="E107" s="939">
        <v>67</v>
      </c>
      <c r="F107" s="939">
        <v>67</v>
      </c>
      <c r="G107" s="939">
        <v>62</v>
      </c>
      <c r="H107" s="939">
        <v>63</v>
      </c>
      <c r="I107" s="939">
        <v>61</v>
      </c>
      <c r="J107" s="939">
        <v>56</v>
      </c>
      <c r="K107" s="939">
        <v>52</v>
      </c>
      <c r="L107" s="939">
        <v>51</v>
      </c>
      <c r="M107" s="939">
        <v>50</v>
      </c>
      <c r="N107" s="939">
        <v>50</v>
      </c>
      <c r="O107" s="939">
        <v>50</v>
      </c>
      <c r="P107" s="939">
        <v>50</v>
      </c>
      <c r="Q107" s="939">
        <v>51</v>
      </c>
      <c r="R107" s="939">
        <v>53</v>
      </c>
      <c r="S107" s="939">
        <v>53</v>
      </c>
      <c r="T107" s="939">
        <v>54</v>
      </c>
      <c r="U107" s="939">
        <v>53</v>
      </c>
    </row>
    <row r="108" spans="1:21">
      <c r="A108" s="256" t="s">
        <v>1230</v>
      </c>
      <c r="B108" s="939"/>
      <c r="C108" s="939"/>
      <c r="D108" s="939"/>
      <c r="E108" s="939"/>
      <c r="F108" s="939"/>
      <c r="G108" s="939"/>
      <c r="H108" s="939"/>
      <c r="I108" s="939"/>
      <c r="J108" s="939"/>
      <c r="K108" s="939"/>
      <c r="L108" s="939"/>
      <c r="M108" s="939"/>
      <c r="N108" s="939"/>
      <c r="O108" s="939"/>
      <c r="P108" s="939"/>
      <c r="Q108" s="939"/>
      <c r="R108" s="939"/>
      <c r="S108" s="939"/>
      <c r="T108" s="939"/>
      <c r="U108" s="939"/>
    </row>
    <row r="109" spans="1:21">
      <c r="A109" s="256">
        <v>1</v>
      </c>
      <c r="B109" s="939">
        <v>41</v>
      </c>
      <c r="C109" s="939">
        <v>42</v>
      </c>
      <c r="D109" s="939">
        <v>41</v>
      </c>
      <c r="E109" s="939">
        <v>41</v>
      </c>
      <c r="F109" s="939">
        <v>40</v>
      </c>
      <c r="G109" s="939">
        <v>42</v>
      </c>
      <c r="H109" s="939">
        <v>42</v>
      </c>
      <c r="I109" s="939">
        <v>37</v>
      </c>
      <c r="J109" s="939">
        <v>40</v>
      </c>
      <c r="K109" s="939">
        <v>36</v>
      </c>
      <c r="L109" s="939">
        <v>36</v>
      </c>
      <c r="M109" s="939">
        <v>37</v>
      </c>
      <c r="N109" s="939">
        <v>37</v>
      </c>
      <c r="O109" s="939">
        <v>37</v>
      </c>
      <c r="P109" s="939">
        <v>36</v>
      </c>
      <c r="Q109" s="939">
        <v>36</v>
      </c>
      <c r="R109" s="939">
        <v>36</v>
      </c>
      <c r="S109" s="939">
        <v>37</v>
      </c>
      <c r="T109" s="939">
        <v>47</v>
      </c>
      <c r="U109" s="939">
        <v>49</v>
      </c>
    </row>
    <row r="110" spans="1:21">
      <c r="A110" s="256">
        <v>2</v>
      </c>
      <c r="B110" s="939"/>
      <c r="C110" s="939">
        <v>67</v>
      </c>
      <c r="D110" s="939">
        <v>65</v>
      </c>
      <c r="E110" s="939">
        <v>65</v>
      </c>
      <c r="F110" s="939">
        <v>60</v>
      </c>
      <c r="G110" s="939">
        <v>59</v>
      </c>
      <c r="H110" s="939">
        <v>59</v>
      </c>
      <c r="I110" s="939">
        <v>58</v>
      </c>
      <c r="J110" s="939">
        <v>59</v>
      </c>
      <c r="K110" s="939">
        <v>53</v>
      </c>
      <c r="L110" s="939">
        <v>53</v>
      </c>
      <c r="M110" s="939">
        <v>54</v>
      </c>
      <c r="N110" s="939">
        <v>54</v>
      </c>
      <c r="O110" s="939">
        <v>53</v>
      </c>
      <c r="P110" s="939">
        <v>52</v>
      </c>
      <c r="Q110" s="939">
        <v>52</v>
      </c>
      <c r="R110" s="939">
        <v>52</v>
      </c>
      <c r="S110" s="939">
        <v>50</v>
      </c>
      <c r="T110" s="939">
        <v>51</v>
      </c>
      <c r="U110" s="939">
        <v>52</v>
      </c>
    </row>
    <row r="111" spans="1:21">
      <c r="A111" s="256">
        <v>3</v>
      </c>
      <c r="B111" s="939">
        <v>70</v>
      </c>
      <c r="C111" s="939">
        <v>69</v>
      </c>
      <c r="D111" s="939">
        <v>68</v>
      </c>
      <c r="E111" s="939">
        <v>68</v>
      </c>
      <c r="F111" s="939">
        <v>69</v>
      </c>
      <c r="G111" s="939">
        <v>68</v>
      </c>
      <c r="H111" s="939">
        <v>68</v>
      </c>
      <c r="I111" s="939">
        <v>66</v>
      </c>
      <c r="J111" s="939">
        <v>65</v>
      </c>
      <c r="K111" s="939">
        <v>64</v>
      </c>
      <c r="L111" s="939">
        <v>59</v>
      </c>
      <c r="M111" s="939">
        <v>61</v>
      </c>
      <c r="N111" s="939">
        <v>62</v>
      </c>
      <c r="O111" s="939">
        <v>61</v>
      </c>
      <c r="P111" s="939">
        <v>60</v>
      </c>
      <c r="Q111" s="939">
        <v>59</v>
      </c>
      <c r="R111" s="939">
        <v>58</v>
      </c>
      <c r="S111" s="939">
        <v>59</v>
      </c>
      <c r="T111" s="939">
        <v>69</v>
      </c>
      <c r="U111" s="939">
        <v>71</v>
      </c>
    </row>
    <row r="112" spans="1:21">
      <c r="A112" s="256">
        <v>4</v>
      </c>
      <c r="B112" s="939">
        <v>70</v>
      </c>
      <c r="C112" s="939">
        <v>68</v>
      </c>
      <c r="D112" s="939">
        <v>66</v>
      </c>
      <c r="E112" s="939">
        <v>65</v>
      </c>
      <c r="F112" s="939">
        <v>66</v>
      </c>
      <c r="G112" s="939">
        <v>65</v>
      </c>
      <c r="H112" s="939">
        <v>65</v>
      </c>
      <c r="I112" s="939">
        <v>64</v>
      </c>
      <c r="J112" s="939">
        <v>63</v>
      </c>
      <c r="K112" s="939">
        <v>59</v>
      </c>
      <c r="L112" s="939">
        <v>59</v>
      </c>
      <c r="M112" s="939">
        <v>61</v>
      </c>
      <c r="N112" s="939">
        <v>61</v>
      </c>
      <c r="O112" s="939">
        <v>61</v>
      </c>
      <c r="P112" s="939">
        <v>60</v>
      </c>
      <c r="Q112" s="939">
        <v>59</v>
      </c>
      <c r="R112" s="939">
        <v>59</v>
      </c>
      <c r="S112" s="939">
        <v>58</v>
      </c>
      <c r="T112" s="939">
        <v>64</v>
      </c>
      <c r="U112" s="939">
        <v>65</v>
      </c>
    </row>
    <row r="113" spans="1:21">
      <c r="A113" s="256" t="s">
        <v>1231</v>
      </c>
      <c r="B113" s="939"/>
      <c r="C113" s="939"/>
      <c r="D113" s="939"/>
      <c r="E113" s="939"/>
      <c r="F113" s="939"/>
      <c r="G113" s="939"/>
      <c r="H113" s="939"/>
      <c r="I113" s="939"/>
      <c r="J113" s="939"/>
      <c r="K113" s="939"/>
      <c r="L113" s="939"/>
      <c r="M113" s="939"/>
      <c r="N113" s="939"/>
      <c r="O113" s="939"/>
      <c r="P113" s="939"/>
      <c r="Q113" s="939"/>
      <c r="R113" s="939"/>
      <c r="S113" s="939"/>
      <c r="T113" s="939"/>
      <c r="U113" s="939"/>
    </row>
    <row r="114" spans="1:21">
      <c r="A114" s="256">
        <v>1</v>
      </c>
      <c r="B114" s="939">
        <v>51</v>
      </c>
      <c r="C114" s="939">
        <v>36</v>
      </c>
      <c r="D114" s="939">
        <v>35</v>
      </c>
      <c r="E114" s="939">
        <v>39</v>
      </c>
      <c r="F114" s="939">
        <v>36</v>
      </c>
      <c r="G114" s="939">
        <v>34</v>
      </c>
      <c r="H114" s="939">
        <v>30</v>
      </c>
      <c r="I114" s="939">
        <v>29</v>
      </c>
      <c r="J114" s="939">
        <v>29</v>
      </c>
      <c r="K114" s="939">
        <v>28</v>
      </c>
      <c r="L114" s="939">
        <v>28</v>
      </c>
      <c r="M114" s="939">
        <v>28</v>
      </c>
      <c r="N114" s="939">
        <v>27</v>
      </c>
      <c r="O114" s="939">
        <v>26</v>
      </c>
      <c r="P114" s="939">
        <v>26</v>
      </c>
      <c r="Q114" s="939">
        <v>25</v>
      </c>
      <c r="R114" s="939">
        <v>25</v>
      </c>
      <c r="S114" s="939">
        <v>24</v>
      </c>
      <c r="T114" s="939">
        <v>26</v>
      </c>
      <c r="U114" s="939">
        <v>23</v>
      </c>
    </row>
    <row r="115" spans="1:21">
      <c r="A115" s="256">
        <v>2</v>
      </c>
      <c r="B115" s="939"/>
      <c r="C115" s="939">
        <v>44</v>
      </c>
      <c r="D115" s="939">
        <v>43</v>
      </c>
      <c r="E115" s="939">
        <v>60</v>
      </c>
      <c r="F115" s="939">
        <v>42</v>
      </c>
      <c r="G115" s="939">
        <v>41</v>
      </c>
      <c r="H115" s="939">
        <v>41</v>
      </c>
      <c r="I115" s="939">
        <v>40</v>
      </c>
      <c r="J115" s="939">
        <v>39</v>
      </c>
      <c r="K115" s="939">
        <v>39</v>
      </c>
      <c r="L115" s="939">
        <v>39</v>
      </c>
      <c r="M115" s="939">
        <v>39</v>
      </c>
      <c r="N115" s="939">
        <v>41</v>
      </c>
      <c r="O115" s="939">
        <v>40</v>
      </c>
      <c r="P115" s="939">
        <v>39</v>
      </c>
      <c r="Q115" s="939">
        <v>39</v>
      </c>
      <c r="R115" s="939">
        <v>39</v>
      </c>
      <c r="S115" s="939">
        <v>38</v>
      </c>
      <c r="T115" s="939">
        <v>40</v>
      </c>
      <c r="U115" s="939">
        <v>39</v>
      </c>
    </row>
    <row r="116" spans="1:21">
      <c r="A116" s="256">
        <v>3</v>
      </c>
      <c r="B116" s="939">
        <v>61</v>
      </c>
      <c r="C116" s="939">
        <v>55</v>
      </c>
      <c r="D116" s="939">
        <v>53</v>
      </c>
      <c r="E116" s="939">
        <v>57</v>
      </c>
      <c r="F116" s="939">
        <v>58</v>
      </c>
      <c r="G116" s="939">
        <v>56</v>
      </c>
      <c r="H116" s="939">
        <v>52</v>
      </c>
      <c r="I116" s="939">
        <v>51</v>
      </c>
      <c r="J116" s="939">
        <v>50</v>
      </c>
      <c r="K116" s="939">
        <v>50</v>
      </c>
      <c r="L116" s="939">
        <v>50</v>
      </c>
      <c r="M116" s="939">
        <v>51</v>
      </c>
      <c r="N116" s="939">
        <v>50</v>
      </c>
      <c r="O116" s="939">
        <v>49</v>
      </c>
      <c r="P116" s="939">
        <v>48</v>
      </c>
      <c r="Q116" s="939">
        <v>48</v>
      </c>
      <c r="R116" s="939">
        <v>48</v>
      </c>
      <c r="S116" s="939">
        <v>48</v>
      </c>
      <c r="T116" s="939">
        <v>53</v>
      </c>
      <c r="U116" s="939">
        <v>51</v>
      </c>
    </row>
    <row r="117" spans="1:21">
      <c r="A117" s="256">
        <v>4</v>
      </c>
      <c r="B117" s="939">
        <v>66</v>
      </c>
      <c r="C117" s="939">
        <v>58</v>
      </c>
      <c r="D117" s="939">
        <v>56</v>
      </c>
      <c r="E117" s="939">
        <v>62</v>
      </c>
      <c r="F117" s="939">
        <v>61</v>
      </c>
      <c r="G117" s="939">
        <v>59</v>
      </c>
      <c r="H117" s="939">
        <v>56</v>
      </c>
      <c r="I117" s="939">
        <v>55</v>
      </c>
      <c r="J117" s="939">
        <v>54</v>
      </c>
      <c r="K117" s="939">
        <v>53</v>
      </c>
      <c r="L117" s="939">
        <v>54</v>
      </c>
      <c r="M117" s="939">
        <v>53</v>
      </c>
      <c r="N117" s="939">
        <v>53</v>
      </c>
      <c r="O117" s="939">
        <v>52</v>
      </c>
      <c r="P117" s="939">
        <v>51</v>
      </c>
      <c r="Q117" s="939">
        <v>51</v>
      </c>
      <c r="R117" s="939">
        <v>51</v>
      </c>
      <c r="S117" s="939">
        <v>50</v>
      </c>
      <c r="T117" s="939">
        <v>55</v>
      </c>
      <c r="U117" s="939">
        <v>50</v>
      </c>
    </row>
    <row r="118" spans="1:21">
      <c r="A118" s="256" t="s">
        <v>1786</v>
      </c>
      <c r="B118" s="939"/>
      <c r="C118" s="939"/>
      <c r="D118" s="939"/>
      <c r="E118" s="939"/>
      <c r="F118" s="939"/>
      <c r="G118" s="939"/>
      <c r="H118" s="939"/>
      <c r="I118" s="939"/>
      <c r="J118" s="939"/>
      <c r="K118" s="939"/>
      <c r="L118" s="939"/>
      <c r="M118" s="939"/>
      <c r="N118" s="939"/>
      <c r="O118" s="939"/>
      <c r="P118" s="939"/>
      <c r="Q118" s="939"/>
      <c r="R118" s="939"/>
      <c r="S118" s="939"/>
      <c r="T118" s="939"/>
      <c r="U118" s="939"/>
    </row>
    <row r="119" spans="1:21">
      <c r="A119" s="256">
        <v>1</v>
      </c>
      <c r="B119" s="939">
        <v>37</v>
      </c>
      <c r="C119" s="939">
        <v>41</v>
      </c>
      <c r="D119" s="939">
        <v>42</v>
      </c>
      <c r="E119" s="939">
        <v>40</v>
      </c>
      <c r="F119" s="939">
        <v>40</v>
      </c>
      <c r="G119" s="939">
        <v>40</v>
      </c>
      <c r="H119" s="939">
        <v>41</v>
      </c>
      <c r="I119" s="939">
        <v>40</v>
      </c>
      <c r="J119" s="939">
        <v>37</v>
      </c>
      <c r="K119" s="939">
        <v>36</v>
      </c>
      <c r="L119" s="939">
        <v>36</v>
      </c>
      <c r="M119" s="939">
        <v>35</v>
      </c>
      <c r="N119" s="939">
        <v>34</v>
      </c>
      <c r="O119" s="939">
        <v>34</v>
      </c>
      <c r="P119" s="939">
        <v>33</v>
      </c>
      <c r="Q119" s="939">
        <v>32</v>
      </c>
      <c r="R119" s="939">
        <v>32</v>
      </c>
      <c r="S119" s="939">
        <v>31</v>
      </c>
      <c r="T119" s="939">
        <v>30</v>
      </c>
      <c r="U119" s="939">
        <v>34</v>
      </c>
    </row>
    <row r="120" spans="1:21">
      <c r="A120" s="256">
        <v>2</v>
      </c>
      <c r="B120" s="939"/>
      <c r="C120" s="939">
        <v>56</v>
      </c>
      <c r="D120" s="939">
        <v>58</v>
      </c>
      <c r="E120" s="939">
        <v>58</v>
      </c>
      <c r="F120" s="939">
        <v>56</v>
      </c>
      <c r="G120" s="939">
        <v>56</v>
      </c>
      <c r="H120" s="939">
        <v>57</v>
      </c>
      <c r="I120" s="939">
        <v>56</v>
      </c>
      <c r="J120" s="939">
        <v>55</v>
      </c>
      <c r="K120" s="939">
        <v>55</v>
      </c>
      <c r="L120" s="939">
        <v>54</v>
      </c>
      <c r="M120" s="939">
        <v>53</v>
      </c>
      <c r="N120" s="939">
        <v>52</v>
      </c>
      <c r="O120" s="939">
        <v>51</v>
      </c>
      <c r="P120" s="939">
        <v>50</v>
      </c>
      <c r="Q120" s="939">
        <v>49</v>
      </c>
      <c r="R120" s="939">
        <v>48</v>
      </c>
      <c r="S120" s="939">
        <v>51</v>
      </c>
      <c r="T120" s="939">
        <v>50</v>
      </c>
      <c r="U120" s="939">
        <v>51</v>
      </c>
    </row>
    <row r="121" spans="1:21">
      <c r="A121" s="256">
        <v>3</v>
      </c>
      <c r="B121" s="939">
        <v>55</v>
      </c>
      <c r="C121" s="939">
        <v>60</v>
      </c>
      <c r="D121" s="939">
        <v>61</v>
      </c>
      <c r="E121" s="939">
        <v>62</v>
      </c>
      <c r="F121" s="939">
        <v>64</v>
      </c>
      <c r="G121" s="939">
        <v>65</v>
      </c>
      <c r="H121" s="939">
        <v>66</v>
      </c>
      <c r="I121" s="939">
        <v>65</v>
      </c>
      <c r="J121" s="939">
        <v>64</v>
      </c>
      <c r="K121" s="939">
        <v>62</v>
      </c>
      <c r="L121" s="939">
        <v>62</v>
      </c>
      <c r="M121" s="939">
        <v>61</v>
      </c>
      <c r="N121" s="939">
        <v>60</v>
      </c>
      <c r="O121" s="939">
        <v>59</v>
      </c>
      <c r="P121" s="939">
        <v>57</v>
      </c>
      <c r="Q121" s="939">
        <v>55</v>
      </c>
      <c r="R121" s="939">
        <v>54</v>
      </c>
      <c r="S121" s="939">
        <v>54</v>
      </c>
      <c r="T121" s="939">
        <v>57</v>
      </c>
      <c r="U121" s="939">
        <v>60</v>
      </c>
    </row>
    <row r="122" spans="1:21">
      <c r="A122" s="256">
        <v>4</v>
      </c>
      <c r="B122" s="939">
        <v>54</v>
      </c>
      <c r="C122" s="939">
        <v>53</v>
      </c>
      <c r="D122" s="939">
        <v>54</v>
      </c>
      <c r="E122" s="939">
        <v>54</v>
      </c>
      <c r="F122" s="939">
        <v>56</v>
      </c>
      <c r="G122" s="939">
        <v>56</v>
      </c>
      <c r="H122" s="939">
        <v>58</v>
      </c>
      <c r="I122" s="939">
        <v>57</v>
      </c>
      <c r="J122" s="939">
        <v>56</v>
      </c>
      <c r="K122" s="939">
        <v>55</v>
      </c>
      <c r="L122" s="939">
        <v>54</v>
      </c>
      <c r="M122" s="939">
        <v>53</v>
      </c>
      <c r="N122" s="939">
        <v>52</v>
      </c>
      <c r="O122" s="939">
        <v>52</v>
      </c>
      <c r="P122" s="939">
        <v>50</v>
      </c>
      <c r="Q122" s="939">
        <v>49</v>
      </c>
      <c r="R122" s="939">
        <v>48</v>
      </c>
      <c r="S122" s="939">
        <v>48</v>
      </c>
      <c r="T122" s="939">
        <v>49</v>
      </c>
      <c r="U122" s="939">
        <v>50</v>
      </c>
    </row>
    <row r="123" spans="1:21">
      <c r="U123" s="938"/>
    </row>
  </sheetData>
  <mergeCells count="21">
    <mergeCell ref="O3:O4"/>
    <mergeCell ref="D3:D4"/>
    <mergeCell ref="E3:E4"/>
    <mergeCell ref="F3:F4"/>
    <mergeCell ref="G3:G4"/>
    <mergeCell ref="H3:H4"/>
    <mergeCell ref="I3:I4"/>
    <mergeCell ref="J3:J4"/>
    <mergeCell ref="K3:K4"/>
    <mergeCell ref="L3:L4"/>
    <mergeCell ref="M3:M4"/>
    <mergeCell ref="N3:N4"/>
    <mergeCell ref="U3:U4"/>
    <mergeCell ref="Y3:AB3"/>
    <mergeCell ref="T3:T4"/>
    <mergeCell ref="P3:P4"/>
    <mergeCell ref="Q3:Q4"/>
    <mergeCell ref="R3:R4"/>
    <mergeCell ref="S3:S4"/>
    <mergeCell ref="V3:V4"/>
    <mergeCell ref="W3:W4"/>
  </mergeCells>
  <phoneticPr fontId="36" type="noConversion"/>
  <pageMargins left="0.75" right="0.75" top="1" bottom="1" header="0.5" footer="0.5"/>
  <pageSetup scale="63" fitToHeight="2" orientation="landscape" horizontalDpi="1200" verticalDpi="1200" r:id="rId1"/>
  <headerFooter alignWithMargins="0"/>
  <rowBreaks count="1" manualBreakCount="1">
    <brk id="44" max="16383" man="1"/>
  </rowBreaks>
</worksheet>
</file>

<file path=xl/worksheets/sheet134.xml><?xml version="1.0" encoding="utf-8"?>
<worksheet xmlns="http://schemas.openxmlformats.org/spreadsheetml/2006/main" xmlns:r="http://schemas.openxmlformats.org/officeDocument/2006/relationships">
  <sheetPr codeName="Sheet78">
    <pageSetUpPr fitToPage="1"/>
  </sheetPr>
  <dimension ref="A1:BC96"/>
  <sheetViews>
    <sheetView view="pageBreakPreview" zoomScale="85" zoomScaleSheetLayoutView="85" workbookViewId="0">
      <pane xSplit="1" ySplit="26" topLeftCell="B27"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outlineLevelRow="1"/>
  <cols>
    <col min="1" max="1" width="6.42578125" style="168" customWidth="1"/>
    <col min="2" max="4" width="15" style="168" customWidth="1"/>
    <col min="5" max="5" width="7" style="168" customWidth="1"/>
    <col min="6" max="15" width="8.7109375" style="168" customWidth="1"/>
    <col min="16" max="16" width="6.140625" style="168" customWidth="1"/>
    <col min="17" max="17" width="10.140625" style="168" customWidth="1"/>
    <col min="18" max="18" width="6.7109375" style="168" customWidth="1"/>
    <col min="19" max="19" width="8.7109375" style="168" customWidth="1"/>
    <col min="20" max="20" width="6.42578125" style="168" customWidth="1"/>
    <col min="21" max="55" width="7.5703125" style="168" customWidth="1"/>
    <col min="56" max="16384" width="8" style="168"/>
  </cols>
  <sheetData>
    <row r="1" spans="1:53" ht="16.149999999999999" customHeight="1">
      <c r="B1" s="949" t="s">
        <v>1411</v>
      </c>
      <c r="C1" s="98"/>
      <c r="D1" s="98"/>
      <c r="V1" s="168" t="s">
        <v>1033</v>
      </c>
      <c r="AG1" s="168" t="s">
        <v>1034</v>
      </c>
      <c r="AR1" s="168" t="s">
        <v>1035</v>
      </c>
    </row>
    <row r="2" spans="1:53" s="175" customFormat="1" ht="51" customHeight="1">
      <c r="A2" s="735" t="s">
        <v>752</v>
      </c>
      <c r="B2" s="185" t="s">
        <v>1406</v>
      </c>
      <c r="C2" s="735" t="s">
        <v>1036</v>
      </c>
      <c r="D2" s="735" t="s">
        <v>1037</v>
      </c>
      <c r="E2" s="735" t="s">
        <v>1038</v>
      </c>
      <c r="F2" s="735" t="s">
        <v>1039</v>
      </c>
      <c r="G2" s="735" t="s">
        <v>1040</v>
      </c>
      <c r="H2" s="735" t="s">
        <v>791</v>
      </c>
      <c r="I2" s="735" t="s">
        <v>792</v>
      </c>
      <c r="J2" s="735" t="s">
        <v>1041</v>
      </c>
      <c r="K2" s="735" t="s">
        <v>738</v>
      </c>
      <c r="L2" s="735" t="s">
        <v>739</v>
      </c>
      <c r="M2" s="735" t="s">
        <v>740</v>
      </c>
      <c r="N2" s="735" t="s">
        <v>741</v>
      </c>
      <c r="O2" s="735" t="s">
        <v>742</v>
      </c>
      <c r="V2" s="735" t="s">
        <v>741</v>
      </c>
      <c r="W2" s="735" t="s">
        <v>742</v>
      </c>
      <c r="X2" s="735" t="s">
        <v>739</v>
      </c>
      <c r="Y2" s="735" t="s">
        <v>792</v>
      </c>
      <c r="Z2" s="735" t="s">
        <v>1039</v>
      </c>
      <c r="AA2" s="735" t="s">
        <v>791</v>
      </c>
      <c r="AB2" s="735" t="s">
        <v>738</v>
      </c>
      <c r="AC2" s="735" t="s">
        <v>1040</v>
      </c>
      <c r="AD2" s="735" t="s">
        <v>1041</v>
      </c>
      <c r="AE2" s="735" t="s">
        <v>740</v>
      </c>
      <c r="AF2" s="735"/>
      <c r="AG2" s="735" t="s">
        <v>741</v>
      </c>
      <c r="AH2" s="735" t="s">
        <v>742</v>
      </c>
      <c r="AI2" s="735" t="s">
        <v>739</v>
      </c>
      <c r="AJ2" s="735" t="s">
        <v>792</v>
      </c>
      <c r="AK2" s="735" t="s">
        <v>1039</v>
      </c>
      <c r="AL2" s="735" t="s">
        <v>791</v>
      </c>
      <c r="AM2" s="735" t="s">
        <v>738</v>
      </c>
      <c r="AN2" s="735" t="s">
        <v>1040</v>
      </c>
      <c r="AO2" s="735" t="s">
        <v>1041</v>
      </c>
      <c r="AP2" s="735" t="s">
        <v>740</v>
      </c>
      <c r="AR2" s="735" t="s">
        <v>741</v>
      </c>
      <c r="AS2" s="735" t="s">
        <v>742</v>
      </c>
      <c r="AT2" s="735" t="s">
        <v>739</v>
      </c>
      <c r="AU2" s="735" t="s">
        <v>792</v>
      </c>
      <c r="AV2" s="735" t="s">
        <v>1039</v>
      </c>
      <c r="AW2" s="735" t="s">
        <v>791</v>
      </c>
      <c r="AX2" s="735" t="s">
        <v>738</v>
      </c>
      <c r="AY2" s="735" t="s">
        <v>1040</v>
      </c>
      <c r="AZ2" s="735" t="s">
        <v>1041</v>
      </c>
      <c r="BA2" s="735" t="s">
        <v>740</v>
      </c>
    </row>
    <row r="3" spans="1:53" ht="12.4" customHeight="1">
      <c r="A3" s="506">
        <v>1965</v>
      </c>
      <c r="B3" s="507">
        <f t="shared" ref="B3:B41" si="0">(N3*V3+O3*W3+L3*X3+I3*Y3+F3*Z3+AA3*H3+K3*AB3+AC3*G3+J3*AD3+AE3*M3)/100</f>
        <v>0.87291885587926099</v>
      </c>
      <c r="C3" s="508">
        <f t="shared" ref="C3:C42" si="1">(N3*AG3+O3*AH3+L3*AI3+I3*AJ3+F3*AK3+H3*AL3+K3*AM3+G3*AN3+J3*AO3+M3*AP3)/100</f>
        <v>0.88611637931034493</v>
      </c>
      <c r="D3" s="508">
        <f t="shared" ref="D3:D43" si="2">N3*AR3+O3*AS3+L3*AT3+I3*AU3+F3*AV3+H3*AW3+K3*AX3+G3*AY3+J3*AZ3+M3*BA3</f>
        <v>0.89903605743103543</v>
      </c>
      <c r="E3" s="509">
        <v>1.25</v>
      </c>
      <c r="F3" s="509">
        <f>(0.5+0.7)/2</f>
        <v>0.6</v>
      </c>
      <c r="G3" s="509">
        <v>1</v>
      </c>
      <c r="H3" s="509">
        <f>(0.8+1.05)/2</f>
        <v>0.92500000000000004</v>
      </c>
      <c r="I3" s="509">
        <f>(0.75+0.8)/2</f>
        <v>0.77500000000000002</v>
      </c>
      <c r="J3" s="509">
        <f>(0.85+0.7)/2</f>
        <v>0.77499999999999991</v>
      </c>
      <c r="K3" s="509">
        <f>(0.9+0.95+1)/3</f>
        <v>0.95000000000000007</v>
      </c>
      <c r="L3" s="509">
        <f>(0.7+0.75+0.8+0.85)/4</f>
        <v>0.77500000000000002</v>
      </c>
      <c r="M3" s="509">
        <f>(36.5+38)/2/40</f>
        <v>0.93125000000000002</v>
      </c>
      <c r="N3" s="509">
        <f>(0.95+1)/2</f>
        <v>0.97499999999999998</v>
      </c>
      <c r="O3" s="509">
        <v>1</v>
      </c>
      <c r="U3" s="168">
        <v>1965</v>
      </c>
      <c r="V3" s="170">
        <f t="shared" ref="V3:AE17" si="3">V4</f>
        <v>7.9605263157894735</v>
      </c>
      <c r="W3" s="170">
        <f t="shared" si="3"/>
        <v>9.8026315789473681</v>
      </c>
      <c r="X3" s="170">
        <f t="shared" si="3"/>
        <v>4.3421052631578947</v>
      </c>
      <c r="Y3" s="170">
        <f t="shared" si="3"/>
        <v>2.9605263157894739</v>
      </c>
      <c r="Z3" s="170">
        <f t="shared" si="3"/>
        <v>3.2894736842105261</v>
      </c>
      <c r="AA3" s="170">
        <f t="shared" si="3"/>
        <v>3.4210526315789473</v>
      </c>
      <c r="AB3" s="170">
        <f t="shared" si="3"/>
        <v>30.394736842105264</v>
      </c>
      <c r="AC3" s="170">
        <f t="shared" si="3"/>
        <v>0.45841519318926</v>
      </c>
      <c r="AD3" s="170">
        <f t="shared" si="3"/>
        <v>34.473684210526315</v>
      </c>
      <c r="AE3" s="170">
        <f t="shared" si="3"/>
        <v>3.0921052631578947</v>
      </c>
      <c r="AG3" s="168">
        <v>4.5172413793103443</v>
      </c>
      <c r="AH3" s="168">
        <v>12.517241379310345</v>
      </c>
      <c r="AI3" s="168">
        <v>4.1379310344827589</v>
      </c>
      <c r="AJ3" s="168">
        <v>3.0172413793103448</v>
      </c>
      <c r="AK3" s="168">
        <v>2.6724137931034484</v>
      </c>
      <c r="AL3" s="168">
        <v>3.0862068965517242</v>
      </c>
      <c r="AM3" s="168">
        <v>38.53448275862069</v>
      </c>
      <c r="AN3" s="168">
        <v>0.32758620689655171</v>
      </c>
      <c r="AO3" s="168">
        <v>27.379310344827584</v>
      </c>
      <c r="AP3" s="168">
        <v>3.7931034482758621</v>
      </c>
      <c r="AR3" s="173">
        <v>0.101635790755635</v>
      </c>
      <c r="AS3" s="173">
        <f>AVERAGE(AS$14:AS$43)</f>
        <v>0.12183899395670553</v>
      </c>
      <c r="AT3" s="173">
        <f t="shared" ref="AT3:BA13" si="4">AVERAGE(AT$14:AT$43)</f>
        <v>3.988059488213614E-2</v>
      </c>
      <c r="AU3" s="173">
        <f t="shared" si="4"/>
        <v>2.275278633552423E-2</v>
      </c>
      <c r="AV3" s="173">
        <f t="shared" si="4"/>
        <v>1.5108635719746655E-2</v>
      </c>
      <c r="AW3" s="173">
        <f t="shared" si="4"/>
        <v>2.8862398468139885E-2</v>
      </c>
      <c r="AX3" s="173">
        <f t="shared" si="4"/>
        <v>0.38963113041070352</v>
      </c>
      <c r="AY3" s="173">
        <f t="shared" si="4"/>
        <v>4.2849708041514676E-3</v>
      </c>
      <c r="AZ3" s="173">
        <f t="shared" si="4"/>
        <v>0.24035448800684142</v>
      </c>
      <c r="BA3" s="173">
        <f t="shared" si="4"/>
        <v>3.5531945373851986E-2</v>
      </c>
    </row>
    <row r="4" spans="1:53" ht="12.4" hidden="1" customHeight="1" outlineLevel="1">
      <c r="A4" s="168">
        <f t="shared" ref="A4:A42" si="5">A3+1</f>
        <v>1966</v>
      </c>
      <c r="B4" s="186">
        <f t="shared" si="0"/>
        <v>0.96763467238823975</v>
      </c>
      <c r="C4" s="179">
        <f t="shared" si="1"/>
        <v>0.96392672413793112</v>
      </c>
      <c r="D4" s="179">
        <f t="shared" si="2"/>
        <v>0.96939554669723271</v>
      </c>
      <c r="E4" s="734">
        <v>1.25</v>
      </c>
      <c r="F4" s="734">
        <f>(0.5+0.7)/2</f>
        <v>0.6</v>
      </c>
      <c r="G4" s="734">
        <v>1.1000000000000001</v>
      </c>
      <c r="H4" s="734">
        <f>(0.85+1.1)/2</f>
        <v>0.97500000000000009</v>
      </c>
      <c r="I4" s="734">
        <v>0.9</v>
      </c>
      <c r="J4" s="734">
        <v>1</v>
      </c>
      <c r="K4" s="734">
        <f>(0.9+0.95+1)/3</f>
        <v>0.95000000000000007</v>
      </c>
      <c r="L4" s="734">
        <f>(0.9+0.92+1)/3</f>
        <v>0.94000000000000006</v>
      </c>
      <c r="M4" s="734">
        <f>40/40</f>
        <v>1</v>
      </c>
      <c r="N4" s="734">
        <v>1</v>
      </c>
      <c r="O4" s="734">
        <v>1</v>
      </c>
      <c r="U4" s="168">
        <v>1966</v>
      </c>
      <c r="V4" s="170">
        <f t="shared" si="3"/>
        <v>7.9605263157894735</v>
      </c>
      <c r="W4" s="170">
        <f t="shared" si="3"/>
        <v>9.8026315789473681</v>
      </c>
      <c r="X4" s="170">
        <f t="shared" si="3"/>
        <v>4.3421052631578947</v>
      </c>
      <c r="Y4" s="170">
        <f t="shared" si="3"/>
        <v>2.9605263157894739</v>
      </c>
      <c r="Z4" s="170">
        <f t="shared" si="3"/>
        <v>3.2894736842105261</v>
      </c>
      <c r="AA4" s="170">
        <f t="shared" si="3"/>
        <v>3.4210526315789473</v>
      </c>
      <c r="AB4" s="170">
        <f t="shared" si="3"/>
        <v>30.394736842105264</v>
      </c>
      <c r="AC4" s="170">
        <f t="shared" si="3"/>
        <v>0.45841519318926</v>
      </c>
      <c r="AD4" s="170">
        <f t="shared" si="3"/>
        <v>34.473684210526315</v>
      </c>
      <c r="AE4" s="170">
        <f t="shared" si="3"/>
        <v>3.0921052631578947</v>
      </c>
      <c r="AG4" s="168">
        <v>4.5172413793103443</v>
      </c>
      <c r="AH4" s="168">
        <v>12.517241379310345</v>
      </c>
      <c r="AI4" s="168">
        <v>4.1379310344827589</v>
      </c>
      <c r="AJ4" s="168">
        <v>3.0172413793103448</v>
      </c>
      <c r="AK4" s="168">
        <v>2.6724137931034484</v>
      </c>
      <c r="AL4" s="168">
        <v>3.0862068965517242</v>
      </c>
      <c r="AM4" s="168">
        <v>38.53448275862069</v>
      </c>
      <c r="AN4" s="168">
        <v>0.32758620689655171</v>
      </c>
      <c r="AO4" s="168">
        <v>27.379310344827584</v>
      </c>
      <c r="AP4" s="168">
        <v>3.7931034482758621</v>
      </c>
      <c r="AR4" s="173">
        <v>0.10163579075563461</v>
      </c>
      <c r="AS4" s="173">
        <f t="shared" ref="AS4:AS13" si="6">AVERAGE(AS$14:AS$43)</f>
        <v>0.12183899395670553</v>
      </c>
      <c r="AT4" s="173">
        <f t="shared" si="4"/>
        <v>3.988059488213614E-2</v>
      </c>
      <c r="AU4" s="173">
        <f t="shared" si="4"/>
        <v>2.275278633552423E-2</v>
      </c>
      <c r="AV4" s="173">
        <f t="shared" si="4"/>
        <v>1.5108635719746655E-2</v>
      </c>
      <c r="AW4" s="173">
        <f t="shared" si="4"/>
        <v>2.8862398468139885E-2</v>
      </c>
      <c r="AX4" s="173">
        <f t="shared" si="4"/>
        <v>0.38963113041070352</v>
      </c>
      <c r="AY4" s="173">
        <f t="shared" si="4"/>
        <v>4.2849708041514676E-3</v>
      </c>
      <c r="AZ4" s="173">
        <f t="shared" si="4"/>
        <v>0.24035448800684142</v>
      </c>
      <c r="BA4" s="173">
        <f t="shared" si="4"/>
        <v>3.5531945373851986E-2</v>
      </c>
    </row>
    <row r="5" spans="1:53" ht="12.4" hidden="1" customHeight="1" outlineLevel="1">
      <c r="A5" s="168">
        <f t="shared" si="5"/>
        <v>1967</v>
      </c>
      <c r="B5" s="186">
        <f t="shared" si="0"/>
        <v>1.0209142776513978</v>
      </c>
      <c r="C5" s="179">
        <f t="shared" si="1"/>
        <v>1.0129181034482757</v>
      </c>
      <c r="D5" s="179">
        <f t="shared" si="2"/>
        <v>1.0243613588344853</v>
      </c>
      <c r="E5" s="734">
        <v>1.25</v>
      </c>
      <c r="F5" s="734">
        <f>(0.5+0.7)/2</f>
        <v>0.6</v>
      </c>
      <c r="G5" s="734">
        <v>1.1000000000000001</v>
      </c>
      <c r="H5" s="734">
        <f>(0.85+1.1)/2</f>
        <v>0.97500000000000009</v>
      </c>
      <c r="I5" s="734">
        <v>0.9</v>
      </c>
      <c r="J5" s="734">
        <v>1.05</v>
      </c>
      <c r="K5" s="734">
        <f>(0.9+0.95+1)/3</f>
        <v>0.95000000000000007</v>
      </c>
      <c r="L5" s="734">
        <v>1.1000000000000001</v>
      </c>
      <c r="M5" s="734">
        <f>40/40</f>
        <v>1</v>
      </c>
      <c r="N5" s="734">
        <v>1.1499999999999999</v>
      </c>
      <c r="O5" s="734">
        <f>(1.1+1.25)/2</f>
        <v>1.175</v>
      </c>
      <c r="U5" s="168">
        <v>1967</v>
      </c>
      <c r="V5" s="170">
        <f t="shared" si="3"/>
        <v>7.9605263157894735</v>
      </c>
      <c r="W5" s="170">
        <f t="shared" si="3"/>
        <v>9.8026315789473681</v>
      </c>
      <c r="X5" s="170">
        <f t="shared" si="3"/>
        <v>4.3421052631578947</v>
      </c>
      <c r="Y5" s="170">
        <f t="shared" si="3"/>
        <v>2.9605263157894739</v>
      </c>
      <c r="Z5" s="170">
        <f t="shared" si="3"/>
        <v>3.2894736842105261</v>
      </c>
      <c r="AA5" s="170">
        <f t="shared" si="3"/>
        <v>3.4210526315789473</v>
      </c>
      <c r="AB5" s="170">
        <f t="shared" si="3"/>
        <v>30.394736842105264</v>
      </c>
      <c r="AC5" s="170">
        <f t="shared" si="3"/>
        <v>0.45841519318926</v>
      </c>
      <c r="AD5" s="170">
        <f t="shared" si="3"/>
        <v>34.473684210526315</v>
      </c>
      <c r="AE5" s="170">
        <f t="shared" si="3"/>
        <v>3.0921052631578947</v>
      </c>
      <c r="AG5" s="168">
        <v>4.5172413793103443</v>
      </c>
      <c r="AH5" s="168">
        <v>12.517241379310345</v>
      </c>
      <c r="AI5" s="168">
        <v>4.1379310344827589</v>
      </c>
      <c r="AJ5" s="168">
        <v>3.0172413793103448</v>
      </c>
      <c r="AK5" s="168">
        <v>2.6724137931034484</v>
      </c>
      <c r="AL5" s="168">
        <v>3.0862068965517242</v>
      </c>
      <c r="AM5" s="168">
        <v>38.53448275862069</v>
      </c>
      <c r="AN5" s="168">
        <v>0.32758620689655171</v>
      </c>
      <c r="AO5" s="168">
        <v>27.379310344827584</v>
      </c>
      <c r="AP5" s="168">
        <v>3.7931034482758621</v>
      </c>
      <c r="AR5" s="173">
        <v>0.10163579075563461</v>
      </c>
      <c r="AS5" s="173">
        <f t="shared" si="6"/>
        <v>0.12183899395670553</v>
      </c>
      <c r="AT5" s="173">
        <f t="shared" si="4"/>
        <v>3.988059488213614E-2</v>
      </c>
      <c r="AU5" s="173">
        <f t="shared" si="4"/>
        <v>2.275278633552423E-2</v>
      </c>
      <c r="AV5" s="173">
        <f t="shared" si="4"/>
        <v>1.5108635719746655E-2</v>
      </c>
      <c r="AW5" s="173">
        <f t="shared" si="4"/>
        <v>2.8862398468139885E-2</v>
      </c>
      <c r="AX5" s="173">
        <f t="shared" si="4"/>
        <v>0.38963113041070352</v>
      </c>
      <c r="AY5" s="173">
        <f t="shared" si="4"/>
        <v>4.2849708041514676E-3</v>
      </c>
      <c r="AZ5" s="173">
        <f t="shared" si="4"/>
        <v>0.24035448800684142</v>
      </c>
      <c r="BA5" s="173">
        <f t="shared" si="4"/>
        <v>3.5531945373851986E-2</v>
      </c>
    </row>
    <row r="6" spans="1:53" ht="12.4" hidden="1" customHeight="1" outlineLevel="1">
      <c r="A6" s="168">
        <f t="shared" si="5"/>
        <v>1968</v>
      </c>
      <c r="B6" s="186">
        <f t="shared" si="0"/>
        <v>1.1224274355461343</v>
      </c>
      <c r="C6" s="179">
        <f t="shared" si="1"/>
        <v>1.0943534482758619</v>
      </c>
      <c r="D6" s="179">
        <f t="shared" si="2"/>
        <v>1.0991877491435946</v>
      </c>
      <c r="E6" s="734">
        <v>1.25</v>
      </c>
      <c r="F6" s="734">
        <f>(0.85+1.1)/2</f>
        <v>0.97500000000000009</v>
      </c>
      <c r="G6" s="734">
        <v>1.1000000000000001</v>
      </c>
      <c r="H6" s="734">
        <f>(0.9+1.15+1+1.25)/4</f>
        <v>1.075</v>
      </c>
      <c r="I6" s="734">
        <v>1</v>
      </c>
      <c r="J6" s="734">
        <v>1.25</v>
      </c>
      <c r="K6" s="734">
        <f>(0.9+0.95+1)/3</f>
        <v>0.95000000000000007</v>
      </c>
      <c r="L6" s="734">
        <f>(1.15+1.2+1.25)/3</f>
        <v>1.2</v>
      </c>
      <c r="M6" s="734">
        <v>1.05</v>
      </c>
      <c r="N6" s="734">
        <v>1.25</v>
      </c>
      <c r="O6" s="734">
        <f>(1.1+1.25)/2</f>
        <v>1.175</v>
      </c>
      <c r="U6" s="168">
        <v>1968</v>
      </c>
      <c r="V6" s="170">
        <f t="shared" si="3"/>
        <v>7.9605263157894735</v>
      </c>
      <c r="W6" s="170">
        <f t="shared" si="3"/>
        <v>9.8026315789473681</v>
      </c>
      <c r="X6" s="170">
        <f t="shared" si="3"/>
        <v>4.3421052631578947</v>
      </c>
      <c r="Y6" s="170">
        <f t="shared" si="3"/>
        <v>2.9605263157894739</v>
      </c>
      <c r="Z6" s="170">
        <f t="shared" si="3"/>
        <v>3.2894736842105261</v>
      </c>
      <c r="AA6" s="170">
        <f t="shared" si="3"/>
        <v>3.4210526315789473</v>
      </c>
      <c r="AB6" s="170">
        <f t="shared" si="3"/>
        <v>30.394736842105264</v>
      </c>
      <c r="AC6" s="170">
        <f t="shared" si="3"/>
        <v>0.45841519318926</v>
      </c>
      <c r="AD6" s="170">
        <f t="shared" si="3"/>
        <v>34.473684210526315</v>
      </c>
      <c r="AE6" s="170">
        <f t="shared" si="3"/>
        <v>3.0921052631578947</v>
      </c>
      <c r="AG6" s="168">
        <v>4.5172413793103443</v>
      </c>
      <c r="AH6" s="168">
        <v>12.517241379310345</v>
      </c>
      <c r="AI6" s="168">
        <v>4.1379310344827589</v>
      </c>
      <c r="AJ6" s="168">
        <v>3.0172413793103448</v>
      </c>
      <c r="AK6" s="168">
        <v>2.6724137931034484</v>
      </c>
      <c r="AL6" s="168">
        <v>3.0862068965517242</v>
      </c>
      <c r="AM6" s="168">
        <v>38.53448275862069</v>
      </c>
      <c r="AN6" s="168">
        <v>0.32758620689655171</v>
      </c>
      <c r="AO6" s="168">
        <v>27.379310344827584</v>
      </c>
      <c r="AP6" s="168">
        <v>3.7931034482758621</v>
      </c>
      <c r="AR6" s="173">
        <v>0.10163579075563461</v>
      </c>
      <c r="AS6" s="173">
        <f t="shared" si="6"/>
        <v>0.12183899395670553</v>
      </c>
      <c r="AT6" s="173">
        <f t="shared" si="4"/>
        <v>3.988059488213614E-2</v>
      </c>
      <c r="AU6" s="173">
        <f t="shared" si="4"/>
        <v>2.275278633552423E-2</v>
      </c>
      <c r="AV6" s="173">
        <f t="shared" si="4"/>
        <v>1.5108635719746655E-2</v>
      </c>
      <c r="AW6" s="173">
        <f t="shared" si="4"/>
        <v>2.8862398468139885E-2</v>
      </c>
      <c r="AX6" s="173">
        <f t="shared" si="4"/>
        <v>0.38963113041070352</v>
      </c>
      <c r="AY6" s="173">
        <f t="shared" si="4"/>
        <v>4.2849708041514676E-3</v>
      </c>
      <c r="AZ6" s="173">
        <f t="shared" si="4"/>
        <v>0.24035448800684142</v>
      </c>
      <c r="BA6" s="173">
        <f t="shared" si="4"/>
        <v>3.5531945373851986E-2</v>
      </c>
    </row>
    <row r="7" spans="1:53" ht="12.4" hidden="1" customHeight="1" outlineLevel="1">
      <c r="A7" s="168">
        <f t="shared" si="5"/>
        <v>1969</v>
      </c>
      <c r="B7" s="186">
        <f t="shared" si="0"/>
        <v>1.2421940057043395</v>
      </c>
      <c r="C7" s="179">
        <f t="shared" si="1"/>
        <v>1.2435086206896551</v>
      </c>
      <c r="D7" s="179">
        <f t="shared" si="2"/>
        <v>1.2492898687150544</v>
      </c>
      <c r="E7" s="734">
        <v>1.25</v>
      </c>
      <c r="F7" s="734">
        <f>(0.85+1.1)/2</f>
        <v>0.97500000000000009</v>
      </c>
      <c r="G7" s="734">
        <v>1.25</v>
      </c>
      <c r="H7" s="734">
        <f>(0.9+1.15+1+1.25)/4</f>
        <v>1.075</v>
      </c>
      <c r="I7" s="734">
        <v>1</v>
      </c>
      <c r="J7" s="734">
        <v>1.25</v>
      </c>
      <c r="K7" s="734">
        <v>1.3</v>
      </c>
      <c r="L7" s="734">
        <v>1.35</v>
      </c>
      <c r="M7" s="734">
        <v>1.25</v>
      </c>
      <c r="N7" s="734">
        <v>1.25</v>
      </c>
      <c r="O7" s="734">
        <f>(1.1+1.25)/2</f>
        <v>1.175</v>
      </c>
      <c r="U7" s="168">
        <v>1969</v>
      </c>
      <c r="V7" s="170">
        <f t="shared" si="3"/>
        <v>7.9605263157894735</v>
      </c>
      <c r="W7" s="170">
        <f t="shared" si="3"/>
        <v>9.8026315789473681</v>
      </c>
      <c r="X7" s="170">
        <f t="shared" si="3"/>
        <v>4.3421052631578947</v>
      </c>
      <c r="Y7" s="170">
        <f t="shared" si="3"/>
        <v>2.9605263157894739</v>
      </c>
      <c r="Z7" s="170">
        <f t="shared" si="3"/>
        <v>3.2894736842105261</v>
      </c>
      <c r="AA7" s="170">
        <f t="shared" si="3"/>
        <v>3.4210526315789473</v>
      </c>
      <c r="AB7" s="170">
        <f t="shared" si="3"/>
        <v>30.394736842105264</v>
      </c>
      <c r="AC7" s="170">
        <f t="shared" si="3"/>
        <v>0.45841519318926</v>
      </c>
      <c r="AD7" s="170">
        <f t="shared" si="3"/>
        <v>34.473684210526315</v>
      </c>
      <c r="AE7" s="170">
        <f t="shared" si="3"/>
        <v>3.0921052631578947</v>
      </c>
      <c r="AG7" s="168">
        <v>4.5172413793103443</v>
      </c>
      <c r="AH7" s="168">
        <v>12.517241379310345</v>
      </c>
      <c r="AI7" s="168">
        <v>4.1379310344827589</v>
      </c>
      <c r="AJ7" s="168">
        <v>3.0172413793103448</v>
      </c>
      <c r="AK7" s="168">
        <v>2.6724137931034484</v>
      </c>
      <c r="AL7" s="168">
        <v>3.0862068965517242</v>
      </c>
      <c r="AM7" s="168">
        <v>38.53448275862069</v>
      </c>
      <c r="AN7" s="168">
        <v>0.32758620689655171</v>
      </c>
      <c r="AO7" s="168">
        <v>27.379310344827584</v>
      </c>
      <c r="AP7" s="168">
        <v>3.7931034482758621</v>
      </c>
      <c r="AR7" s="173">
        <v>0.10163579075563461</v>
      </c>
      <c r="AS7" s="173">
        <f t="shared" si="6"/>
        <v>0.12183899395670553</v>
      </c>
      <c r="AT7" s="173">
        <f t="shared" si="4"/>
        <v>3.988059488213614E-2</v>
      </c>
      <c r="AU7" s="173">
        <f t="shared" si="4"/>
        <v>2.275278633552423E-2</v>
      </c>
      <c r="AV7" s="173">
        <f t="shared" si="4"/>
        <v>1.5108635719746655E-2</v>
      </c>
      <c r="AW7" s="173">
        <f t="shared" si="4"/>
        <v>2.8862398468139885E-2</v>
      </c>
      <c r="AX7" s="173">
        <f t="shared" si="4"/>
        <v>0.38963113041070352</v>
      </c>
      <c r="AY7" s="173">
        <f t="shared" si="4"/>
        <v>4.2849708041514676E-3</v>
      </c>
      <c r="AZ7" s="173">
        <f t="shared" si="4"/>
        <v>0.24035448800684142</v>
      </c>
      <c r="BA7" s="173">
        <f t="shared" si="4"/>
        <v>3.5531945373851986E-2</v>
      </c>
    </row>
    <row r="8" spans="1:53" ht="12.4" hidden="1" customHeight="1" outlineLevel="1">
      <c r="A8" s="168">
        <f t="shared" si="5"/>
        <v>1970</v>
      </c>
      <c r="B8" s="186">
        <f t="shared" si="0"/>
        <v>1.4117334793885501</v>
      </c>
      <c r="C8" s="179">
        <f t="shared" si="1"/>
        <v>1.4203879310344825</v>
      </c>
      <c r="D8" s="179">
        <f t="shared" si="2"/>
        <v>1.4313874342946087</v>
      </c>
      <c r="E8" s="734">
        <v>1.65</v>
      </c>
      <c r="F8" s="734">
        <f>(1+1.25)/2</f>
        <v>1.125</v>
      </c>
      <c r="G8" s="734">
        <v>1.25</v>
      </c>
      <c r="H8" s="734">
        <f>(0.9+1.15+1+1.25)/4</f>
        <v>1.075</v>
      </c>
      <c r="I8" s="734">
        <v>1.1499999999999999</v>
      </c>
      <c r="J8" s="734">
        <f>(1.35+1.4)/2</f>
        <v>1.375</v>
      </c>
      <c r="K8" s="734">
        <v>1.5</v>
      </c>
      <c r="L8" s="734">
        <v>1.5</v>
      </c>
      <c r="M8" s="734">
        <v>1.25</v>
      </c>
      <c r="N8" s="734">
        <f>(1.4+1.55)/2</f>
        <v>1.4750000000000001</v>
      </c>
      <c r="O8" s="734">
        <v>1.5</v>
      </c>
      <c r="U8" s="168">
        <v>1970</v>
      </c>
      <c r="V8" s="170">
        <f t="shared" si="3"/>
        <v>7.9605263157894735</v>
      </c>
      <c r="W8" s="170">
        <f t="shared" si="3"/>
        <v>9.8026315789473681</v>
      </c>
      <c r="X8" s="170">
        <f t="shared" si="3"/>
        <v>4.3421052631578947</v>
      </c>
      <c r="Y8" s="170">
        <f t="shared" si="3"/>
        <v>2.9605263157894739</v>
      </c>
      <c r="Z8" s="170">
        <f t="shared" si="3"/>
        <v>3.2894736842105261</v>
      </c>
      <c r="AA8" s="170">
        <f t="shared" si="3"/>
        <v>3.4210526315789473</v>
      </c>
      <c r="AB8" s="170">
        <f t="shared" si="3"/>
        <v>30.394736842105264</v>
      </c>
      <c r="AC8" s="170">
        <f t="shared" si="3"/>
        <v>0.45841519318926</v>
      </c>
      <c r="AD8" s="170">
        <f t="shared" si="3"/>
        <v>34.473684210526315</v>
      </c>
      <c r="AE8" s="170">
        <f t="shared" si="3"/>
        <v>3.0921052631578947</v>
      </c>
      <c r="AG8" s="168">
        <v>4.5172413793103443</v>
      </c>
      <c r="AH8" s="168">
        <v>12.517241379310345</v>
      </c>
      <c r="AI8" s="168">
        <v>4.1379310344827589</v>
      </c>
      <c r="AJ8" s="168">
        <v>3.0172413793103448</v>
      </c>
      <c r="AK8" s="168">
        <v>2.6724137931034484</v>
      </c>
      <c r="AL8" s="168">
        <v>3.0862068965517242</v>
      </c>
      <c r="AM8" s="168">
        <v>38.53448275862069</v>
      </c>
      <c r="AN8" s="168">
        <v>0.32758620689655171</v>
      </c>
      <c r="AO8" s="168">
        <v>27.379310344827584</v>
      </c>
      <c r="AP8" s="168">
        <v>3.7931034482758621</v>
      </c>
      <c r="AR8" s="173">
        <v>0.10163579075563461</v>
      </c>
      <c r="AS8" s="173">
        <f t="shared" si="6"/>
        <v>0.12183899395670553</v>
      </c>
      <c r="AT8" s="173">
        <f t="shared" si="4"/>
        <v>3.988059488213614E-2</v>
      </c>
      <c r="AU8" s="173">
        <f t="shared" si="4"/>
        <v>2.275278633552423E-2</v>
      </c>
      <c r="AV8" s="173">
        <f t="shared" si="4"/>
        <v>1.5108635719746655E-2</v>
      </c>
      <c r="AW8" s="173">
        <f t="shared" si="4"/>
        <v>2.8862398468139885E-2</v>
      </c>
      <c r="AX8" s="173">
        <f t="shared" si="4"/>
        <v>0.38963113041070352</v>
      </c>
      <c r="AY8" s="173">
        <f t="shared" si="4"/>
        <v>4.2849708041514676E-3</v>
      </c>
      <c r="AZ8" s="173">
        <f t="shared" si="4"/>
        <v>0.24035448800684142</v>
      </c>
      <c r="BA8" s="173">
        <f t="shared" si="4"/>
        <v>3.5531945373851986E-2</v>
      </c>
    </row>
    <row r="9" spans="1:53" ht="12.4" hidden="1" customHeight="1" outlineLevel="1">
      <c r="A9" s="168">
        <f t="shared" si="5"/>
        <v>1971</v>
      </c>
      <c r="B9" s="186">
        <f t="shared" si="0"/>
        <v>1.5145624267569711</v>
      </c>
      <c r="C9" s="179">
        <f t="shared" si="1"/>
        <v>1.5292909482758619</v>
      </c>
      <c r="D9" s="179">
        <f t="shared" si="2"/>
        <v>1.5356980466173067</v>
      </c>
      <c r="E9" s="734">
        <v>1.75</v>
      </c>
      <c r="F9" s="734">
        <f>(1+1.25)/2</f>
        <v>1.125</v>
      </c>
      <c r="G9" s="734">
        <v>1.25</v>
      </c>
      <c r="H9" s="734">
        <f>(1.1+1.3+1.2+1.35)/4</f>
        <v>1.2375000000000003</v>
      </c>
      <c r="I9" s="734">
        <v>1.25</v>
      </c>
      <c r="J9" s="734">
        <f>(1.45+1.5)/2</f>
        <v>1.4750000000000001</v>
      </c>
      <c r="K9" s="734">
        <v>1.65</v>
      </c>
      <c r="L9" s="734">
        <v>1.65</v>
      </c>
      <c r="M9" s="734">
        <v>1.5</v>
      </c>
      <c r="N9" s="734">
        <f>(1.4+1.55)/2</f>
        <v>1.4750000000000001</v>
      </c>
      <c r="O9" s="734">
        <v>1.5</v>
      </c>
      <c r="U9" s="168">
        <v>1971</v>
      </c>
      <c r="V9" s="170">
        <f t="shared" si="3"/>
        <v>7.9605263157894735</v>
      </c>
      <c r="W9" s="170">
        <f t="shared" si="3"/>
        <v>9.8026315789473681</v>
      </c>
      <c r="X9" s="170">
        <f t="shared" si="3"/>
        <v>4.3421052631578947</v>
      </c>
      <c r="Y9" s="170">
        <f t="shared" si="3"/>
        <v>2.9605263157894739</v>
      </c>
      <c r="Z9" s="170">
        <f t="shared" si="3"/>
        <v>3.2894736842105261</v>
      </c>
      <c r="AA9" s="170">
        <f t="shared" si="3"/>
        <v>3.4210526315789473</v>
      </c>
      <c r="AB9" s="170">
        <f t="shared" si="3"/>
        <v>30.394736842105264</v>
      </c>
      <c r="AC9" s="170">
        <f t="shared" si="3"/>
        <v>0.45841519318926</v>
      </c>
      <c r="AD9" s="170">
        <f t="shared" si="3"/>
        <v>34.473684210526315</v>
      </c>
      <c r="AE9" s="170">
        <f t="shared" si="3"/>
        <v>3.0921052631578947</v>
      </c>
      <c r="AG9" s="168">
        <v>4.5172413793103443</v>
      </c>
      <c r="AH9" s="168">
        <v>12.517241379310345</v>
      </c>
      <c r="AI9" s="168">
        <v>4.1379310344827589</v>
      </c>
      <c r="AJ9" s="168">
        <v>3.0172413793103448</v>
      </c>
      <c r="AK9" s="168">
        <v>2.6724137931034484</v>
      </c>
      <c r="AL9" s="168">
        <v>3.0862068965517242</v>
      </c>
      <c r="AM9" s="168">
        <v>38.53448275862069</v>
      </c>
      <c r="AN9" s="168">
        <v>0.32758620689655171</v>
      </c>
      <c r="AO9" s="168">
        <v>27.379310344827584</v>
      </c>
      <c r="AP9" s="168">
        <v>3.7931034482758621</v>
      </c>
      <c r="AR9" s="173">
        <v>0.10163579075563461</v>
      </c>
      <c r="AS9" s="173">
        <f t="shared" si="6"/>
        <v>0.12183899395670553</v>
      </c>
      <c r="AT9" s="173">
        <f t="shared" si="4"/>
        <v>3.988059488213614E-2</v>
      </c>
      <c r="AU9" s="173">
        <f t="shared" si="4"/>
        <v>2.275278633552423E-2</v>
      </c>
      <c r="AV9" s="173">
        <f t="shared" si="4"/>
        <v>1.5108635719746655E-2</v>
      </c>
      <c r="AW9" s="173">
        <f t="shared" si="4"/>
        <v>2.8862398468139885E-2</v>
      </c>
      <c r="AX9" s="173">
        <f t="shared" si="4"/>
        <v>0.38963113041070352</v>
      </c>
      <c r="AY9" s="173">
        <f t="shared" si="4"/>
        <v>4.2849708041514676E-3</v>
      </c>
      <c r="AZ9" s="173">
        <f t="shared" si="4"/>
        <v>0.24035448800684142</v>
      </c>
      <c r="BA9" s="173">
        <f t="shared" si="4"/>
        <v>3.5531945373851986E-2</v>
      </c>
    </row>
    <row r="10" spans="1:53" ht="12.4" hidden="1" customHeight="1" outlineLevel="1">
      <c r="A10" s="168">
        <f t="shared" si="5"/>
        <v>1972</v>
      </c>
      <c r="B10" s="186">
        <f t="shared" si="0"/>
        <v>1.6507630846517081</v>
      </c>
      <c r="C10" s="179">
        <f t="shared" si="1"/>
        <v>1.6671379310344827</v>
      </c>
      <c r="D10" s="179">
        <f t="shared" si="2"/>
        <v>1.6612407562885687</v>
      </c>
      <c r="E10" s="734">
        <v>1.9</v>
      </c>
      <c r="F10" s="734">
        <v>1.4</v>
      </c>
      <c r="G10" s="734">
        <v>1.25</v>
      </c>
      <c r="H10" s="734">
        <v>1.55</v>
      </c>
      <c r="I10" s="734">
        <v>1.4</v>
      </c>
      <c r="J10" s="734">
        <f>(1.6+1.65)/2</f>
        <v>1.625</v>
      </c>
      <c r="K10" s="734">
        <v>1.65</v>
      </c>
      <c r="L10" s="734">
        <v>1.75</v>
      </c>
      <c r="M10" s="734">
        <f>(1.7+1.75)/2</f>
        <v>1.7250000000000001</v>
      </c>
      <c r="N10" s="734">
        <f>(1.4+1.55)/2</f>
        <v>1.4750000000000001</v>
      </c>
      <c r="O10" s="734">
        <v>2</v>
      </c>
      <c r="U10" s="168">
        <v>1972</v>
      </c>
      <c r="V10" s="170">
        <f t="shared" si="3"/>
        <v>7.9605263157894735</v>
      </c>
      <c r="W10" s="170">
        <f t="shared" si="3"/>
        <v>9.8026315789473681</v>
      </c>
      <c r="X10" s="170">
        <f t="shared" si="3"/>
        <v>4.3421052631578947</v>
      </c>
      <c r="Y10" s="170">
        <f t="shared" si="3"/>
        <v>2.9605263157894739</v>
      </c>
      <c r="Z10" s="170">
        <f t="shared" si="3"/>
        <v>3.2894736842105261</v>
      </c>
      <c r="AA10" s="170">
        <f t="shared" si="3"/>
        <v>3.4210526315789473</v>
      </c>
      <c r="AB10" s="170">
        <f t="shared" si="3"/>
        <v>30.394736842105264</v>
      </c>
      <c r="AC10" s="170">
        <f t="shared" si="3"/>
        <v>0.45841519318926</v>
      </c>
      <c r="AD10" s="170">
        <f t="shared" si="3"/>
        <v>34.473684210526315</v>
      </c>
      <c r="AE10" s="170">
        <f t="shared" si="3"/>
        <v>3.0921052631578947</v>
      </c>
      <c r="AG10" s="168">
        <v>4.5172413793103443</v>
      </c>
      <c r="AH10" s="168">
        <v>12.517241379310345</v>
      </c>
      <c r="AI10" s="168">
        <v>4.1379310344827589</v>
      </c>
      <c r="AJ10" s="168">
        <v>3.0172413793103448</v>
      </c>
      <c r="AK10" s="168">
        <v>2.6724137931034484</v>
      </c>
      <c r="AL10" s="168">
        <v>3.0862068965517242</v>
      </c>
      <c r="AM10" s="168">
        <v>38.53448275862069</v>
      </c>
      <c r="AN10" s="168">
        <v>0.32758620689655171</v>
      </c>
      <c r="AO10" s="168">
        <v>27.379310344827584</v>
      </c>
      <c r="AP10" s="168">
        <v>3.7931034482758621</v>
      </c>
      <c r="AR10" s="173">
        <v>0.10163579075563461</v>
      </c>
      <c r="AS10" s="173">
        <f t="shared" si="6"/>
        <v>0.12183899395670553</v>
      </c>
      <c r="AT10" s="173">
        <f t="shared" si="4"/>
        <v>3.988059488213614E-2</v>
      </c>
      <c r="AU10" s="173">
        <f t="shared" si="4"/>
        <v>2.275278633552423E-2</v>
      </c>
      <c r="AV10" s="173">
        <f t="shared" si="4"/>
        <v>1.5108635719746655E-2</v>
      </c>
      <c r="AW10" s="173">
        <f t="shared" si="4"/>
        <v>2.8862398468139885E-2</v>
      </c>
      <c r="AX10" s="173">
        <f t="shared" si="4"/>
        <v>0.38963113041070352</v>
      </c>
      <c r="AY10" s="173">
        <f t="shared" si="4"/>
        <v>4.2849708041514676E-3</v>
      </c>
      <c r="AZ10" s="173">
        <f t="shared" si="4"/>
        <v>0.24035448800684142</v>
      </c>
      <c r="BA10" s="173">
        <f t="shared" si="4"/>
        <v>3.5531945373851986E-2</v>
      </c>
    </row>
    <row r="11" spans="1:53" ht="12.4" hidden="1" customHeight="1" outlineLevel="1">
      <c r="A11" s="168">
        <f t="shared" si="5"/>
        <v>1973</v>
      </c>
      <c r="B11" s="186">
        <f t="shared" si="0"/>
        <v>1.8225197863888598</v>
      </c>
      <c r="C11" s="179">
        <f t="shared" si="1"/>
        <v>1.8363448275862069</v>
      </c>
      <c r="D11" s="179">
        <f t="shared" si="2"/>
        <v>1.8433285126159673</v>
      </c>
      <c r="E11" s="734">
        <v>1.9</v>
      </c>
      <c r="F11" s="734">
        <v>1.4</v>
      </c>
      <c r="G11" s="734">
        <v>1.4</v>
      </c>
      <c r="H11" s="734">
        <v>1.65</v>
      </c>
      <c r="I11" s="734">
        <v>1.5</v>
      </c>
      <c r="J11" s="734">
        <f>(1.7+1.85)/2</f>
        <v>1.7749999999999999</v>
      </c>
      <c r="K11" s="734">
        <v>1.8</v>
      </c>
      <c r="L11" s="734">
        <v>1.9</v>
      </c>
      <c r="M11" s="734">
        <v>2</v>
      </c>
      <c r="N11" s="734">
        <f>(1.75+1.9)/2</f>
        <v>1.825</v>
      </c>
      <c r="O11" s="734">
        <v>2.25</v>
      </c>
      <c r="U11" s="168">
        <v>1973</v>
      </c>
      <c r="V11" s="170">
        <f t="shared" si="3"/>
        <v>7.9605263157894735</v>
      </c>
      <c r="W11" s="170">
        <f t="shared" si="3"/>
        <v>9.8026315789473681</v>
      </c>
      <c r="X11" s="170">
        <f t="shared" si="3"/>
        <v>4.3421052631578947</v>
      </c>
      <c r="Y11" s="170">
        <f t="shared" si="3"/>
        <v>2.9605263157894739</v>
      </c>
      <c r="Z11" s="170">
        <f t="shared" si="3"/>
        <v>3.2894736842105261</v>
      </c>
      <c r="AA11" s="170">
        <f t="shared" si="3"/>
        <v>3.4210526315789473</v>
      </c>
      <c r="AB11" s="170">
        <f t="shared" si="3"/>
        <v>30.394736842105264</v>
      </c>
      <c r="AC11" s="170">
        <f t="shared" si="3"/>
        <v>0.45841519318926</v>
      </c>
      <c r="AD11" s="170">
        <f t="shared" si="3"/>
        <v>34.473684210526315</v>
      </c>
      <c r="AE11" s="170">
        <f t="shared" si="3"/>
        <v>3.0921052631578947</v>
      </c>
      <c r="AG11" s="168">
        <v>4.5172413793103443</v>
      </c>
      <c r="AH11" s="168">
        <v>12.517241379310345</v>
      </c>
      <c r="AI11" s="168">
        <v>4.1379310344827589</v>
      </c>
      <c r="AJ11" s="168">
        <v>3.0172413793103448</v>
      </c>
      <c r="AK11" s="168">
        <v>2.6724137931034484</v>
      </c>
      <c r="AL11" s="168">
        <v>3.0862068965517242</v>
      </c>
      <c r="AM11" s="168">
        <v>38.53448275862069</v>
      </c>
      <c r="AN11" s="168">
        <v>0.32758620689655171</v>
      </c>
      <c r="AO11" s="168">
        <v>27.379310344827584</v>
      </c>
      <c r="AP11" s="168">
        <v>3.7931034482758621</v>
      </c>
      <c r="AR11" s="173">
        <v>0.10163579075563461</v>
      </c>
      <c r="AS11" s="173">
        <f t="shared" si="6"/>
        <v>0.12183899395670553</v>
      </c>
      <c r="AT11" s="173">
        <f t="shared" si="4"/>
        <v>3.988059488213614E-2</v>
      </c>
      <c r="AU11" s="173">
        <f t="shared" si="4"/>
        <v>2.275278633552423E-2</v>
      </c>
      <c r="AV11" s="173">
        <f t="shared" si="4"/>
        <v>1.5108635719746655E-2</v>
      </c>
      <c r="AW11" s="173">
        <f t="shared" si="4"/>
        <v>2.8862398468139885E-2</v>
      </c>
      <c r="AX11" s="173">
        <f t="shared" si="4"/>
        <v>0.38963113041070352</v>
      </c>
      <c r="AY11" s="173">
        <f t="shared" si="4"/>
        <v>4.2849708041514676E-3</v>
      </c>
      <c r="AZ11" s="173">
        <f t="shared" si="4"/>
        <v>0.24035448800684142</v>
      </c>
      <c r="BA11" s="173">
        <f t="shared" si="4"/>
        <v>3.5531945373851986E-2</v>
      </c>
    </row>
    <row r="12" spans="1:53" ht="12.4" hidden="1" customHeight="1" outlineLevel="1">
      <c r="A12" s="168">
        <f t="shared" si="5"/>
        <v>1974</v>
      </c>
      <c r="B12" s="186">
        <f t="shared" si="0"/>
        <v>2.1608358214421122</v>
      </c>
      <c r="C12" s="179">
        <f t="shared" si="1"/>
        <v>2.1688362068965517</v>
      </c>
      <c r="D12" s="179">
        <f t="shared" si="2"/>
        <v>2.1626584986149626</v>
      </c>
      <c r="E12" s="734">
        <v>2.2000000000000002</v>
      </c>
      <c r="F12" s="734">
        <f>(1.8+2)/2</f>
        <v>1.9</v>
      </c>
      <c r="G12" s="734">
        <f>(1.65+1.75)/2</f>
        <v>1.7</v>
      </c>
      <c r="H12" s="734">
        <f>(1.8+2)/2</f>
        <v>1.9</v>
      </c>
      <c r="I12" s="734">
        <f>(1.75+1.9)/2</f>
        <v>1.825</v>
      </c>
      <c r="J12" s="734">
        <f>(2.1+2.3)/2</f>
        <v>2.2000000000000002</v>
      </c>
      <c r="K12" s="734">
        <f>(2+2.25)/2</f>
        <v>2.125</v>
      </c>
      <c r="L12" s="734">
        <v>2.15</v>
      </c>
      <c r="M12" s="734">
        <v>2.25</v>
      </c>
      <c r="N12" s="734">
        <v>2</v>
      </c>
      <c r="O12" s="734">
        <v>2.5</v>
      </c>
      <c r="U12" s="168">
        <v>1974</v>
      </c>
      <c r="V12" s="170">
        <f t="shared" si="3"/>
        <v>7.9605263157894735</v>
      </c>
      <c r="W12" s="170">
        <f t="shared" si="3"/>
        <v>9.8026315789473681</v>
      </c>
      <c r="X12" s="170">
        <f t="shared" si="3"/>
        <v>4.3421052631578947</v>
      </c>
      <c r="Y12" s="170">
        <f t="shared" si="3"/>
        <v>2.9605263157894739</v>
      </c>
      <c r="Z12" s="170">
        <f t="shared" si="3"/>
        <v>3.2894736842105261</v>
      </c>
      <c r="AA12" s="170">
        <f t="shared" si="3"/>
        <v>3.4210526315789473</v>
      </c>
      <c r="AB12" s="170">
        <f t="shared" si="3"/>
        <v>30.394736842105264</v>
      </c>
      <c r="AC12" s="170">
        <f t="shared" si="3"/>
        <v>0.45841519318926</v>
      </c>
      <c r="AD12" s="170">
        <f t="shared" si="3"/>
        <v>34.473684210526315</v>
      </c>
      <c r="AE12" s="170">
        <f t="shared" si="3"/>
        <v>3.0921052631578947</v>
      </c>
      <c r="AG12" s="168">
        <v>4.5172413793103443</v>
      </c>
      <c r="AH12" s="168">
        <v>12.517241379310345</v>
      </c>
      <c r="AI12" s="168">
        <v>4.1379310344827589</v>
      </c>
      <c r="AJ12" s="168">
        <v>3.0172413793103448</v>
      </c>
      <c r="AK12" s="168">
        <v>2.6724137931034484</v>
      </c>
      <c r="AL12" s="168">
        <v>3.0862068965517242</v>
      </c>
      <c r="AM12" s="168">
        <v>38.53448275862069</v>
      </c>
      <c r="AN12" s="168">
        <v>0.32758620689655171</v>
      </c>
      <c r="AO12" s="168">
        <v>27.379310344827584</v>
      </c>
      <c r="AP12" s="168">
        <v>3.7931034482758621</v>
      </c>
      <c r="AR12" s="173">
        <v>0.10163579075563461</v>
      </c>
      <c r="AS12" s="173">
        <f t="shared" si="6"/>
        <v>0.12183899395670553</v>
      </c>
      <c r="AT12" s="173">
        <f t="shared" si="4"/>
        <v>3.988059488213614E-2</v>
      </c>
      <c r="AU12" s="173">
        <f t="shared" si="4"/>
        <v>2.275278633552423E-2</v>
      </c>
      <c r="AV12" s="173">
        <f t="shared" si="4"/>
        <v>1.5108635719746655E-2</v>
      </c>
      <c r="AW12" s="173">
        <f t="shared" si="4"/>
        <v>2.8862398468139885E-2</v>
      </c>
      <c r="AX12" s="173">
        <f t="shared" si="4"/>
        <v>0.38963113041070352</v>
      </c>
      <c r="AY12" s="173">
        <f t="shared" si="4"/>
        <v>4.2849708041514676E-3</v>
      </c>
      <c r="AZ12" s="173">
        <f t="shared" si="4"/>
        <v>0.24035448800684142</v>
      </c>
      <c r="BA12" s="173">
        <f t="shared" si="4"/>
        <v>3.5531945373851986E-2</v>
      </c>
    </row>
    <row r="13" spans="1:53" ht="12.4" hidden="1" customHeight="1" outlineLevel="1">
      <c r="A13" s="168">
        <f t="shared" si="5"/>
        <v>1975</v>
      </c>
      <c r="B13" s="186">
        <f t="shared" si="0"/>
        <v>2.5269113199255511</v>
      </c>
      <c r="C13" s="179">
        <f t="shared" si="1"/>
        <v>2.5135043103448278</v>
      </c>
      <c r="D13" s="179">
        <f t="shared" si="2"/>
        <v>2.5044539841962212</v>
      </c>
      <c r="E13" s="734">
        <v>2.6</v>
      </c>
      <c r="F13" s="734">
        <v>2.2000000000000002</v>
      </c>
      <c r="G13" s="734">
        <f>(2.05+2.3)/2</f>
        <v>2.1749999999999998</v>
      </c>
      <c r="H13" s="734">
        <f>(2.2+2.25)/2</f>
        <v>2.2250000000000001</v>
      </c>
      <c r="I13" s="734">
        <f>(2.15+2.3)/2</f>
        <v>2.2249999999999996</v>
      </c>
      <c r="J13" s="734">
        <f>(2.6+2.8)/2</f>
        <v>2.7</v>
      </c>
      <c r="K13" s="734">
        <v>2.4</v>
      </c>
      <c r="L13" s="734">
        <f>(2.3+2.6)/2</f>
        <v>2.4500000000000002</v>
      </c>
      <c r="M13" s="734">
        <v>2.5</v>
      </c>
      <c r="N13" s="734">
        <f>(2.25+2.5)/2</f>
        <v>2.375</v>
      </c>
      <c r="O13" s="734">
        <v>2.75</v>
      </c>
      <c r="U13" s="168">
        <v>1975</v>
      </c>
      <c r="V13" s="170">
        <f t="shared" si="3"/>
        <v>7.9605263157894735</v>
      </c>
      <c r="W13" s="170">
        <f t="shared" si="3"/>
        <v>9.8026315789473681</v>
      </c>
      <c r="X13" s="170">
        <f t="shared" si="3"/>
        <v>4.3421052631578947</v>
      </c>
      <c r="Y13" s="170">
        <f t="shared" si="3"/>
        <v>2.9605263157894739</v>
      </c>
      <c r="Z13" s="170">
        <f t="shared" si="3"/>
        <v>3.2894736842105261</v>
      </c>
      <c r="AA13" s="170">
        <f t="shared" si="3"/>
        <v>3.4210526315789473</v>
      </c>
      <c r="AB13" s="170">
        <f t="shared" si="3"/>
        <v>30.394736842105264</v>
      </c>
      <c r="AC13" s="170">
        <f t="shared" si="3"/>
        <v>0.45841519318926</v>
      </c>
      <c r="AD13" s="170">
        <f t="shared" si="3"/>
        <v>34.473684210526315</v>
      </c>
      <c r="AE13" s="170">
        <f t="shared" si="3"/>
        <v>3.0921052631578947</v>
      </c>
      <c r="AG13" s="168">
        <v>4.5172413793103443</v>
      </c>
      <c r="AH13" s="168">
        <v>12.517241379310345</v>
      </c>
      <c r="AI13" s="168">
        <v>4.1379310344827589</v>
      </c>
      <c r="AJ13" s="168">
        <v>3.0172413793103448</v>
      </c>
      <c r="AK13" s="168">
        <v>2.6724137931034484</v>
      </c>
      <c r="AL13" s="168">
        <v>3.0862068965517242</v>
      </c>
      <c r="AM13" s="168">
        <v>38.53448275862069</v>
      </c>
      <c r="AN13" s="168">
        <v>0.32758620689655171</v>
      </c>
      <c r="AO13" s="168">
        <v>27.379310344827584</v>
      </c>
      <c r="AP13" s="168">
        <v>3.7931034482758621</v>
      </c>
      <c r="AR13" s="173">
        <v>0.10163579075563461</v>
      </c>
      <c r="AS13" s="173">
        <f t="shared" si="6"/>
        <v>0.12183899395670553</v>
      </c>
      <c r="AT13" s="173">
        <f t="shared" si="4"/>
        <v>3.988059488213614E-2</v>
      </c>
      <c r="AU13" s="173">
        <f t="shared" si="4"/>
        <v>2.275278633552423E-2</v>
      </c>
      <c r="AV13" s="173">
        <f t="shared" si="4"/>
        <v>1.5108635719746655E-2</v>
      </c>
      <c r="AW13" s="173">
        <f t="shared" si="4"/>
        <v>2.8862398468139885E-2</v>
      </c>
      <c r="AX13" s="173">
        <f t="shared" si="4"/>
        <v>0.38963113041070352</v>
      </c>
      <c r="AY13" s="173">
        <f t="shared" si="4"/>
        <v>4.2849708041514676E-3</v>
      </c>
      <c r="AZ13" s="173">
        <f t="shared" si="4"/>
        <v>0.24035448800684142</v>
      </c>
      <c r="BA13" s="173">
        <f t="shared" si="4"/>
        <v>3.5531945373851986E-2</v>
      </c>
    </row>
    <row r="14" spans="1:53" ht="12.4" hidden="1" customHeight="1" outlineLevel="1">
      <c r="A14" s="168">
        <f t="shared" si="5"/>
        <v>1976</v>
      </c>
      <c r="B14" s="186">
        <f t="shared" si="0"/>
        <v>2.7809373535139419</v>
      </c>
      <c r="C14" s="179">
        <f t="shared" si="1"/>
        <v>2.7678336206896552</v>
      </c>
      <c r="D14" s="179">
        <f t="shared" si="2"/>
        <v>2.7663965632213392</v>
      </c>
      <c r="E14" s="734">
        <v>2.9</v>
      </c>
      <c r="F14" s="734">
        <v>2.5</v>
      </c>
      <c r="G14" s="734">
        <v>2.5</v>
      </c>
      <c r="H14" s="734">
        <v>2.5</v>
      </c>
      <c r="I14" s="734">
        <f>(2.55+2.8)/2</f>
        <v>2.6749999999999998</v>
      </c>
      <c r="J14" s="734">
        <v>2.87</v>
      </c>
      <c r="K14" s="734">
        <v>2.65</v>
      </c>
      <c r="L14" s="734">
        <v>2.95</v>
      </c>
      <c r="M14" s="734">
        <v>2.8</v>
      </c>
      <c r="N14" s="734">
        <v>2.75</v>
      </c>
      <c r="O14" s="734">
        <v>3</v>
      </c>
      <c r="U14" s="168">
        <v>1976</v>
      </c>
      <c r="V14" s="170">
        <f t="shared" si="3"/>
        <v>7.9605263157894735</v>
      </c>
      <c r="W14" s="170">
        <f t="shared" si="3"/>
        <v>9.8026315789473681</v>
      </c>
      <c r="X14" s="170">
        <f t="shared" si="3"/>
        <v>4.3421052631578947</v>
      </c>
      <c r="Y14" s="170">
        <f t="shared" si="3"/>
        <v>2.9605263157894739</v>
      </c>
      <c r="Z14" s="170">
        <f t="shared" si="3"/>
        <v>3.2894736842105261</v>
      </c>
      <c r="AA14" s="170">
        <f t="shared" si="3"/>
        <v>3.4210526315789473</v>
      </c>
      <c r="AB14" s="170">
        <f t="shared" si="3"/>
        <v>30.394736842105264</v>
      </c>
      <c r="AC14" s="170">
        <f t="shared" si="3"/>
        <v>0.45841519318926</v>
      </c>
      <c r="AD14" s="170">
        <f t="shared" si="3"/>
        <v>34.473684210526315</v>
      </c>
      <c r="AE14" s="170">
        <f t="shared" si="3"/>
        <v>3.0921052631578947</v>
      </c>
      <c r="AG14" s="168">
        <v>4.5172413793103443</v>
      </c>
      <c r="AH14" s="168">
        <v>12.517241379310345</v>
      </c>
      <c r="AI14" s="168">
        <v>4.1379310344827589</v>
      </c>
      <c r="AJ14" s="168">
        <v>3.0172413793103448</v>
      </c>
      <c r="AK14" s="168">
        <v>2.6724137931034484</v>
      </c>
      <c r="AL14" s="168">
        <v>3.0862068965517242</v>
      </c>
      <c r="AM14" s="168">
        <v>38.53448275862069</v>
      </c>
      <c r="AN14" s="168">
        <v>0.32758620689655171</v>
      </c>
      <c r="AO14" s="168">
        <v>27.379310344827584</v>
      </c>
      <c r="AP14" s="168">
        <v>3.7931034482758621</v>
      </c>
      <c r="AR14" s="168">
        <f>BB64/AS64</f>
        <v>8.7704539625545003E-2</v>
      </c>
      <c r="AS14" s="168">
        <f>BC64/AS64</f>
        <v>0.10883816363170044</v>
      </c>
      <c r="AT14" s="168">
        <f>AZ64/AS64</f>
        <v>4.4565273146960759E-2</v>
      </c>
      <c r="AU14" s="168">
        <f>AW64/AS64</f>
        <v>2.3708643241856887E-2</v>
      </c>
      <c r="AV14" s="168">
        <f>AT64/AS64</f>
        <v>1.6291356758143114E-2</v>
      </c>
      <c r="AW14" s="168">
        <f>AV64/AS64</f>
        <v>3.0561682482687865E-2</v>
      </c>
      <c r="AX14" s="168">
        <f>AY64/AS64</f>
        <v>0.38375993844575529</v>
      </c>
      <c r="AY14" s="168">
        <f>AU64/AS64</f>
        <v>4.4113875352654527E-3</v>
      </c>
      <c r="AZ14" s="168">
        <f>AX64/AS64</f>
        <v>0.26092844319056169</v>
      </c>
      <c r="BA14" s="168">
        <f>BA64/AS64</f>
        <v>3.9220312900743778E-2</v>
      </c>
    </row>
    <row r="15" spans="1:53" ht="12.4" hidden="1" customHeight="1" outlineLevel="1">
      <c r="A15" s="168">
        <f t="shared" si="5"/>
        <v>1977</v>
      </c>
      <c r="B15" s="186">
        <f t="shared" si="0"/>
        <v>2.8871633944266364</v>
      </c>
      <c r="C15" s="179">
        <f t="shared" si="1"/>
        <v>2.8512112068965521</v>
      </c>
      <c r="D15" s="179">
        <f t="shared" si="2"/>
        <v>2.8585294592169079</v>
      </c>
      <c r="E15" s="734">
        <v>2.9</v>
      </c>
      <c r="F15" s="734">
        <v>2.5</v>
      </c>
      <c r="G15" s="734">
        <v>2.7</v>
      </c>
      <c r="H15" s="734">
        <v>2.75</v>
      </c>
      <c r="I15" s="734">
        <f>(2.55+2.8)/2</f>
        <v>2.6749999999999998</v>
      </c>
      <c r="J15" s="734">
        <f>(3+3.15)/2</f>
        <v>3.0750000000000002</v>
      </c>
      <c r="K15" s="734">
        <v>2.65</v>
      </c>
      <c r="L15" s="734">
        <v>2.95</v>
      </c>
      <c r="M15" s="734">
        <v>3</v>
      </c>
      <c r="N15" s="734">
        <v>3</v>
      </c>
      <c r="O15" s="734">
        <v>3</v>
      </c>
      <c r="U15" s="168">
        <v>1977</v>
      </c>
      <c r="V15" s="170">
        <f t="shared" si="3"/>
        <v>7.9605263157894735</v>
      </c>
      <c r="W15" s="170">
        <f t="shared" si="3"/>
        <v>9.8026315789473681</v>
      </c>
      <c r="X15" s="170">
        <f t="shared" si="3"/>
        <v>4.3421052631578947</v>
      </c>
      <c r="Y15" s="170">
        <f t="shared" si="3"/>
        <v>2.9605263157894739</v>
      </c>
      <c r="Z15" s="170">
        <f t="shared" si="3"/>
        <v>3.2894736842105261</v>
      </c>
      <c r="AA15" s="170">
        <f t="shared" si="3"/>
        <v>3.4210526315789473</v>
      </c>
      <c r="AB15" s="170">
        <f t="shared" si="3"/>
        <v>30.394736842105264</v>
      </c>
      <c r="AC15" s="170">
        <f t="shared" si="3"/>
        <v>0.45841519318926</v>
      </c>
      <c r="AD15" s="170">
        <f t="shared" si="3"/>
        <v>34.473684210526315</v>
      </c>
      <c r="AE15" s="170">
        <f t="shared" si="3"/>
        <v>3.0921052631578947</v>
      </c>
      <c r="AG15" s="168">
        <v>4.5172413793103443</v>
      </c>
      <c r="AH15" s="168">
        <v>12.517241379310345</v>
      </c>
      <c r="AI15" s="168">
        <v>4.1379310344827589</v>
      </c>
      <c r="AJ15" s="168">
        <v>3.0172413793103448</v>
      </c>
      <c r="AK15" s="168">
        <v>2.6724137931034484</v>
      </c>
      <c r="AL15" s="168">
        <v>3.0862068965517242</v>
      </c>
      <c r="AM15" s="168">
        <v>38.53448275862069</v>
      </c>
      <c r="AN15" s="168">
        <v>0.32758620689655171</v>
      </c>
      <c r="AO15" s="168">
        <v>27.379310344827584</v>
      </c>
      <c r="AP15" s="168">
        <v>3.7931034482758621</v>
      </c>
      <c r="AR15" s="168">
        <f>BB65/AS65</f>
        <v>9.1125429813151027E-2</v>
      </c>
      <c r="AS15" s="168">
        <f>BC65/AS65</f>
        <v>0.10982041120892196</v>
      </c>
      <c r="AT15" s="168">
        <f>AZ65/AS65</f>
        <v>4.4186304464006614E-2</v>
      </c>
      <c r="AU15" s="168">
        <f>AW65/AS65</f>
        <v>2.3020842786701759E-2</v>
      </c>
      <c r="AV15" s="168">
        <f>AT65/AS65</f>
        <v>1.6224501114237025E-2</v>
      </c>
      <c r="AW15" s="168">
        <f>AV65/AS65</f>
        <v>3.0079357876798662E-2</v>
      </c>
      <c r="AX15" s="168">
        <f>AY65/AS65</f>
        <v>0.38356979358885157</v>
      </c>
      <c r="AY15" s="168">
        <f>AU65/AS65</f>
        <v>4.3964465418317852E-3</v>
      </c>
      <c r="AZ15" s="168">
        <f>AX65/AS65</f>
        <v>0.25773663671839547</v>
      </c>
      <c r="BA15" s="168">
        <f>BA65/AS65</f>
        <v>3.9870526666061647E-2</v>
      </c>
    </row>
    <row r="16" spans="1:53" ht="12.4" hidden="1" customHeight="1" outlineLevel="1">
      <c r="A16" s="168">
        <f t="shared" si="5"/>
        <v>1978</v>
      </c>
      <c r="B16" s="186">
        <f t="shared" si="0"/>
        <v>3.0388268125495466</v>
      </c>
      <c r="C16" s="179">
        <f t="shared" si="1"/>
        <v>3.0031094827586209</v>
      </c>
      <c r="D16" s="179">
        <f t="shared" si="2"/>
        <v>3.0050961811297126</v>
      </c>
      <c r="E16" s="734">
        <v>2.9</v>
      </c>
      <c r="F16" s="734">
        <v>2.5</v>
      </c>
      <c r="G16" s="734">
        <v>2.75</v>
      </c>
      <c r="H16" s="734">
        <v>2.75</v>
      </c>
      <c r="I16" s="734">
        <f>(2.55+2.8)/2</f>
        <v>2.6749999999999998</v>
      </c>
      <c r="J16" s="734">
        <f>(3.27+3.37)/2</f>
        <v>3.3200000000000003</v>
      </c>
      <c r="K16" s="734">
        <v>2.85</v>
      </c>
      <c r="L16" s="734">
        <v>2.95</v>
      </c>
      <c r="M16" s="734">
        <f>(3.15+3.25)/2</f>
        <v>3.2</v>
      </c>
      <c r="N16" s="734">
        <v>3</v>
      </c>
      <c r="O16" s="734">
        <v>3</v>
      </c>
      <c r="U16" s="168">
        <v>1978</v>
      </c>
      <c r="V16" s="170">
        <f t="shared" si="3"/>
        <v>7.9605263157894735</v>
      </c>
      <c r="W16" s="170">
        <f t="shared" si="3"/>
        <v>9.8026315789473681</v>
      </c>
      <c r="X16" s="170">
        <f t="shared" si="3"/>
        <v>4.3421052631578947</v>
      </c>
      <c r="Y16" s="170">
        <f t="shared" si="3"/>
        <v>2.9605263157894739</v>
      </c>
      <c r="Z16" s="170">
        <f t="shared" si="3"/>
        <v>3.2894736842105261</v>
      </c>
      <c r="AA16" s="170">
        <f t="shared" si="3"/>
        <v>3.4210526315789473</v>
      </c>
      <c r="AB16" s="170">
        <f t="shared" si="3"/>
        <v>30.394736842105264</v>
      </c>
      <c r="AC16" s="170">
        <f t="shared" si="3"/>
        <v>0.45841519318926</v>
      </c>
      <c r="AD16" s="170">
        <f t="shared" si="3"/>
        <v>34.473684210526315</v>
      </c>
      <c r="AE16" s="170">
        <f t="shared" si="3"/>
        <v>3.0921052631578947</v>
      </c>
      <c r="AG16" s="168">
        <v>4.5172413793103443</v>
      </c>
      <c r="AH16" s="168">
        <v>12.517241379310345</v>
      </c>
      <c r="AI16" s="168">
        <v>4.1379310344827589</v>
      </c>
      <c r="AJ16" s="168">
        <v>3.0172413793103448</v>
      </c>
      <c r="AK16" s="168">
        <v>2.6724137931034484</v>
      </c>
      <c r="AL16" s="168">
        <v>3.0862068965517242</v>
      </c>
      <c r="AM16" s="168">
        <v>38.53448275862069</v>
      </c>
      <c r="AN16" s="168">
        <v>0.32758620689655171</v>
      </c>
      <c r="AO16" s="168">
        <v>27.379310344827584</v>
      </c>
      <c r="AP16" s="168">
        <v>3.7931034482758621</v>
      </c>
      <c r="AR16" s="168">
        <f t="shared" ref="AR16:AR26" si="7">BB66/AS66</f>
        <v>9.3852430946254034E-2</v>
      </c>
      <c r="AS16" s="168">
        <f t="shared" ref="AS16:AS46" si="8">BC66/AS66</f>
        <v>0.11129810279541698</v>
      </c>
      <c r="AT16" s="168">
        <f t="shared" ref="AT16:AT46" si="9">AZ66/AS66</f>
        <v>4.3482089566842463E-2</v>
      </c>
      <c r="AU16" s="168">
        <f t="shared" ref="AU16:AU46" si="10">AW66/AS66</f>
        <v>2.3414185493576514E-2</v>
      </c>
      <c r="AV16" s="168">
        <f t="shared" ref="AV16:AV46" si="11">AT66/AS66</f>
        <v>1.6251969120280228E-2</v>
      </c>
      <c r="AW16" s="168">
        <f t="shared" ref="AW16:AW46" si="12">AV66/AS66</f>
        <v>2.994041270804184E-2</v>
      </c>
      <c r="AX16" s="168">
        <f t="shared" ref="AX16:AX46" si="13">AY66/AS66</f>
        <v>0.38390262516755869</v>
      </c>
      <c r="AY16" s="168">
        <f t="shared" ref="AY16:AY46" si="14">AU66/AS66</f>
        <v>4.3932174202322826E-3</v>
      </c>
      <c r="AZ16" s="168">
        <f t="shared" ref="AZ16:AZ46" si="15">AX66/AS66</f>
        <v>0.2540140700370831</v>
      </c>
      <c r="BA16" s="168">
        <f t="shared" ref="BA16:BA46" si="16">BA66/AS66</f>
        <v>3.9450896744713956E-2</v>
      </c>
    </row>
    <row r="17" spans="1:53" ht="12.4" hidden="1" customHeight="1" outlineLevel="1">
      <c r="A17" s="168">
        <f t="shared" si="5"/>
        <v>1979</v>
      </c>
      <c r="B17" s="186">
        <f t="shared" si="0"/>
        <v>3.1596162862337578</v>
      </c>
      <c r="C17" s="179">
        <f t="shared" si="1"/>
        <v>3.1255146551724136</v>
      </c>
      <c r="D17" s="179">
        <f t="shared" si="2"/>
        <v>3.1207161670697183</v>
      </c>
      <c r="E17" s="734">
        <v>2.9</v>
      </c>
      <c r="F17" s="734">
        <v>2.8</v>
      </c>
      <c r="G17" s="734">
        <v>2.75</v>
      </c>
      <c r="H17" s="734">
        <v>2.75</v>
      </c>
      <c r="I17" s="734">
        <f>(2.55+2.8)/2</f>
        <v>2.6749999999999998</v>
      </c>
      <c r="J17" s="734">
        <v>3.47</v>
      </c>
      <c r="K17" s="734">
        <v>3</v>
      </c>
      <c r="L17" s="734">
        <v>3.05</v>
      </c>
      <c r="M17" s="734">
        <v>3.5</v>
      </c>
      <c r="N17" s="734">
        <v>3</v>
      </c>
      <c r="O17" s="734">
        <v>3</v>
      </c>
      <c r="U17" s="168">
        <v>1979</v>
      </c>
      <c r="V17" s="170">
        <f>V18</f>
        <v>7.9605263157894735</v>
      </c>
      <c r="W17" s="170">
        <f t="shared" si="3"/>
        <v>9.8026315789473681</v>
      </c>
      <c r="X17" s="170">
        <f t="shared" si="3"/>
        <v>4.3421052631578947</v>
      </c>
      <c r="Y17" s="170">
        <f t="shared" si="3"/>
        <v>2.9605263157894739</v>
      </c>
      <c r="Z17" s="170">
        <f t="shared" si="3"/>
        <v>3.2894736842105261</v>
      </c>
      <c r="AA17" s="170">
        <f t="shared" si="3"/>
        <v>3.4210526315789473</v>
      </c>
      <c r="AB17" s="170">
        <f t="shared" si="3"/>
        <v>30.394736842105264</v>
      </c>
      <c r="AC17" s="170">
        <f t="shared" si="3"/>
        <v>0.45841519318926</v>
      </c>
      <c r="AD17" s="170">
        <f t="shared" si="3"/>
        <v>34.473684210526315</v>
      </c>
      <c r="AE17" s="170">
        <f t="shared" si="3"/>
        <v>3.0921052631578947</v>
      </c>
      <c r="AG17" s="168">
        <v>4.5172413793103443</v>
      </c>
      <c r="AH17" s="168">
        <v>12.517241379310345</v>
      </c>
      <c r="AI17" s="168">
        <v>4.1379310344827589</v>
      </c>
      <c r="AJ17" s="168">
        <v>3.0172413793103448</v>
      </c>
      <c r="AK17" s="168">
        <v>2.6724137931034484</v>
      </c>
      <c r="AL17" s="168">
        <v>3.0862068965517242</v>
      </c>
      <c r="AM17" s="168">
        <v>38.53448275862069</v>
      </c>
      <c r="AN17" s="168">
        <v>0.32758620689655171</v>
      </c>
      <c r="AO17" s="168">
        <v>27.379310344827584</v>
      </c>
      <c r="AP17" s="168">
        <v>3.7931034482758621</v>
      </c>
      <c r="AR17" s="168">
        <f t="shared" si="7"/>
        <v>9.6910559961007073E-2</v>
      </c>
      <c r="AS17" s="168">
        <f t="shared" si="8"/>
        <v>0.11140168344487561</v>
      </c>
      <c r="AT17" s="168">
        <f t="shared" si="9"/>
        <v>4.2611026751401312E-2</v>
      </c>
      <c r="AU17" s="168">
        <f t="shared" si="10"/>
        <v>2.3442626024033141E-2</v>
      </c>
      <c r="AV17" s="168">
        <f t="shared" si="11"/>
        <v>1.6562623024576794E-2</v>
      </c>
      <c r="AW17" s="168">
        <f t="shared" si="12"/>
        <v>2.9741484355960482E-2</v>
      </c>
      <c r="AX17" s="168">
        <f t="shared" si="13"/>
        <v>0.38363046697786024</v>
      </c>
      <c r="AY17" s="168">
        <f t="shared" si="14"/>
        <v>4.3492117053784002E-3</v>
      </c>
      <c r="AZ17" s="168">
        <f t="shared" si="15"/>
        <v>0.25232926532066063</v>
      </c>
      <c r="BA17" s="168">
        <f t="shared" si="16"/>
        <v>3.9002305832067936E-2</v>
      </c>
    </row>
    <row r="18" spans="1:53" ht="12.4" hidden="1" customHeight="1" outlineLevel="1">
      <c r="A18" s="168">
        <f t="shared" si="5"/>
        <v>1980</v>
      </c>
      <c r="B18" s="186">
        <f t="shared" si="0"/>
        <v>3.3586702189535727</v>
      </c>
      <c r="C18" s="179">
        <f t="shared" si="1"/>
        <v>3.3066551724137927</v>
      </c>
      <c r="D18" s="179">
        <f t="shared" si="2"/>
        <v>3.3122837764020394</v>
      </c>
      <c r="E18" s="734">
        <v>3.25</v>
      </c>
      <c r="F18" s="734">
        <v>3.15</v>
      </c>
      <c r="G18" s="734">
        <v>3</v>
      </c>
      <c r="H18" s="734">
        <v>3</v>
      </c>
      <c r="I18" s="734">
        <f>(3.05+3.35)/2</f>
        <v>3.2</v>
      </c>
      <c r="J18" s="734">
        <v>3.65</v>
      </c>
      <c r="K18" s="734">
        <v>3</v>
      </c>
      <c r="L18" s="734">
        <v>3.15</v>
      </c>
      <c r="M18" s="734">
        <v>3.65</v>
      </c>
      <c r="N18" s="734">
        <v>3.5</v>
      </c>
      <c r="O18" s="734">
        <f t="shared" ref="O18:O25" si="17">(3.4+3.65)/2</f>
        <v>3.5249999999999999</v>
      </c>
      <c r="U18" s="168">
        <v>1980</v>
      </c>
      <c r="V18" s="170">
        <f>AF69/W69*100</f>
        <v>7.9605263157894735</v>
      </c>
      <c r="W18" s="170">
        <f>AG69/W69*100</f>
        <v>9.8026315789473681</v>
      </c>
      <c r="X18" s="170">
        <f>100*AD69/W69</f>
        <v>4.3421052631578947</v>
      </c>
      <c r="Y18" s="170">
        <f>100*AA69/W69</f>
        <v>2.9605263157894739</v>
      </c>
      <c r="Z18" s="170">
        <f>100*X69/W69</f>
        <v>3.2894736842105261</v>
      </c>
      <c r="AA18" s="170">
        <f>100*Z69/W69</f>
        <v>3.4210526315789473</v>
      </c>
      <c r="AB18" s="170">
        <f>100*AC69/W69</f>
        <v>30.394736842105264</v>
      </c>
      <c r="AC18" s="170">
        <f>AC19</f>
        <v>0.45841519318926</v>
      </c>
      <c r="AD18" s="170">
        <f>100*AB69/W69</f>
        <v>34.473684210526315</v>
      </c>
      <c r="AE18" s="170">
        <f>100*AE69/W69</f>
        <v>3.0921052631578947</v>
      </c>
      <c r="AG18" s="168">
        <v>4.5172413793103443</v>
      </c>
      <c r="AH18" s="168">
        <v>12.517241379310345</v>
      </c>
      <c r="AI18" s="168">
        <v>4.1379310344827589</v>
      </c>
      <c r="AJ18" s="168">
        <v>3.0172413793103448</v>
      </c>
      <c r="AK18" s="168">
        <v>2.6724137931034484</v>
      </c>
      <c r="AL18" s="168">
        <v>3.0862068965517242</v>
      </c>
      <c r="AM18" s="168">
        <v>38.53448275862069</v>
      </c>
      <c r="AN18" s="168">
        <v>0.32758620689655171</v>
      </c>
      <c r="AO18" s="168">
        <v>27.379310344827584</v>
      </c>
      <c r="AP18" s="168">
        <v>3.7931034482758621</v>
      </c>
      <c r="AR18" s="168">
        <f t="shared" si="7"/>
        <v>0.10037327021121631</v>
      </c>
      <c r="AS18" s="168">
        <f t="shared" si="8"/>
        <v>0.11529497450837582</v>
      </c>
      <c r="AT18" s="168">
        <f t="shared" si="9"/>
        <v>4.2061179898033506E-2</v>
      </c>
      <c r="AU18" s="168">
        <f t="shared" si="10"/>
        <v>2.3115440640932267E-2</v>
      </c>
      <c r="AV18" s="168">
        <f t="shared" si="11"/>
        <v>1.6624180626365621E-2</v>
      </c>
      <c r="AW18" s="168">
        <f t="shared" si="12"/>
        <v>2.9533867443554258E-2</v>
      </c>
      <c r="AX18" s="168">
        <f t="shared" si="13"/>
        <v>0.37919701383831028</v>
      </c>
      <c r="AY18" s="168">
        <f t="shared" si="14"/>
        <v>4.3517844136926435E-3</v>
      </c>
      <c r="AZ18" s="168">
        <f t="shared" si="15"/>
        <v>0.25092862345229422</v>
      </c>
      <c r="BA18" s="168">
        <f t="shared" si="16"/>
        <v>3.8519664967225059E-2</v>
      </c>
    </row>
    <row r="19" spans="1:53" ht="12.4" hidden="1" customHeight="1" outlineLevel="1">
      <c r="A19" s="168">
        <f t="shared" si="5"/>
        <v>1981</v>
      </c>
      <c r="B19" s="186">
        <f t="shared" si="0"/>
        <v>3.6256057629338572</v>
      </c>
      <c r="C19" s="179">
        <f t="shared" si="1"/>
        <v>3.590741379310344</v>
      </c>
      <c r="D19" s="179">
        <f t="shared" si="2"/>
        <v>3.60109133126935</v>
      </c>
      <c r="E19" s="734">
        <v>3.5</v>
      </c>
      <c r="F19" s="734">
        <v>3.45</v>
      </c>
      <c r="G19" s="734">
        <v>3.3</v>
      </c>
      <c r="H19" s="734">
        <v>3.3</v>
      </c>
      <c r="I19" s="734">
        <f>(3.05+3.35)/2</f>
        <v>3.2</v>
      </c>
      <c r="J19" s="734">
        <f>(3.85+4)/2</f>
        <v>3.9249999999999998</v>
      </c>
      <c r="K19" s="734">
        <f>(3.3+3.5)/2</f>
        <v>3.4</v>
      </c>
      <c r="L19" s="734">
        <f>(3.35+3.55)/2</f>
        <v>3.45</v>
      </c>
      <c r="M19" s="734">
        <f>(3.85+4)/2</f>
        <v>3.9249999999999998</v>
      </c>
      <c r="N19" s="734">
        <v>3.8</v>
      </c>
      <c r="O19" s="734">
        <f t="shared" si="17"/>
        <v>3.5249999999999999</v>
      </c>
      <c r="U19" s="168">
        <v>1981</v>
      </c>
      <c r="V19" s="170">
        <f>AF70/W70*100</f>
        <v>6.8762278978389002</v>
      </c>
      <c r="W19" s="170">
        <f>AG70/W70*100</f>
        <v>11.329404060248855</v>
      </c>
      <c r="X19" s="170">
        <f>100*AD70/W70</f>
        <v>4.7151277013752457</v>
      </c>
      <c r="Y19" s="170">
        <f>100*AA70/W70</f>
        <v>3.4708578912901111</v>
      </c>
      <c r="Z19" s="170">
        <f>100*X70/W70</f>
        <v>2.3575638506876229</v>
      </c>
      <c r="AA19" s="170">
        <f>100*Z70/W70</f>
        <v>3.5363457760314341</v>
      </c>
      <c r="AB19" s="170">
        <f>100*AC70/W70</f>
        <v>30.32089063523248</v>
      </c>
      <c r="AC19" s="170">
        <f>100*Y70/W70</f>
        <v>0.45841519318926</v>
      </c>
      <c r="AD19" s="170">
        <f>100*AB70/W70</f>
        <v>33.333333333333336</v>
      </c>
      <c r="AE19" s="170">
        <f>100*AE70/W70</f>
        <v>3.5363457760314341</v>
      </c>
      <c r="AG19" s="168">
        <v>4.5172413793103443</v>
      </c>
      <c r="AH19" s="168">
        <v>12.517241379310345</v>
      </c>
      <c r="AI19" s="168">
        <v>4.1379310344827589</v>
      </c>
      <c r="AJ19" s="168">
        <v>3.0172413793103448</v>
      </c>
      <c r="AK19" s="168">
        <v>2.6724137931034484</v>
      </c>
      <c r="AL19" s="168">
        <v>3.0862068965517242</v>
      </c>
      <c r="AM19" s="168">
        <v>38.53448275862069</v>
      </c>
      <c r="AN19" s="168">
        <v>0.32758620689655171</v>
      </c>
      <c r="AO19" s="168">
        <v>27.379310344827584</v>
      </c>
      <c r="AP19" s="168">
        <v>3.7931034482758621</v>
      </c>
      <c r="AR19" s="168">
        <f t="shared" si="7"/>
        <v>0.10462627156125608</v>
      </c>
      <c r="AS19" s="168">
        <f t="shared" si="8"/>
        <v>0.11672711189739053</v>
      </c>
      <c r="AT19" s="168">
        <f t="shared" si="9"/>
        <v>4.1468376824413976E-2</v>
      </c>
      <c r="AU19" s="168">
        <f t="shared" si="10"/>
        <v>2.2795223352498895E-2</v>
      </c>
      <c r="AV19" s="168">
        <f t="shared" si="11"/>
        <v>1.6461742591773552E-2</v>
      </c>
      <c r="AW19" s="168">
        <f t="shared" si="12"/>
        <v>2.9040247678018577E-2</v>
      </c>
      <c r="AX19" s="168">
        <f t="shared" si="13"/>
        <v>0.37969924812030076</v>
      </c>
      <c r="AY19" s="168">
        <f t="shared" si="14"/>
        <v>4.1662980981866434E-3</v>
      </c>
      <c r="AZ19" s="168">
        <f t="shared" si="15"/>
        <v>0.24689960194604155</v>
      </c>
      <c r="BA19" s="168">
        <f t="shared" si="16"/>
        <v>3.8115877930119411E-2</v>
      </c>
    </row>
    <row r="20" spans="1:53" ht="12.4" hidden="1" customHeight="1" outlineLevel="1">
      <c r="A20" s="168">
        <f t="shared" si="5"/>
        <v>1982</v>
      </c>
      <c r="B20" s="186">
        <f t="shared" si="0"/>
        <v>3.699504950495049</v>
      </c>
      <c r="C20" s="179">
        <f t="shared" si="1"/>
        <v>3.6592931034482761</v>
      </c>
      <c r="D20" s="179">
        <f t="shared" si="2"/>
        <v>3.663794009338706</v>
      </c>
      <c r="E20" s="734">
        <v>3.5</v>
      </c>
      <c r="F20" s="734">
        <v>3.45</v>
      </c>
      <c r="G20" s="734">
        <v>3.75</v>
      </c>
      <c r="H20" s="734">
        <v>3.75</v>
      </c>
      <c r="I20" s="734">
        <v>3.8</v>
      </c>
      <c r="J20" s="734">
        <f>(3.85+4)/2</f>
        <v>3.9249999999999998</v>
      </c>
      <c r="K20" s="734">
        <f>(3.3+3.5)/2</f>
        <v>3.4</v>
      </c>
      <c r="L20" s="734">
        <v>4</v>
      </c>
      <c r="M20" s="734">
        <v>4.25</v>
      </c>
      <c r="N20" s="734">
        <v>3.8</v>
      </c>
      <c r="O20" s="734">
        <f t="shared" si="17"/>
        <v>3.5249999999999999</v>
      </c>
      <c r="U20" s="168">
        <v>1982</v>
      </c>
      <c r="V20" s="170">
        <f>AF71/W71*100</f>
        <v>7.3383808969132218</v>
      </c>
      <c r="W20" s="170">
        <f>AG71/W71*100</f>
        <v>10.891089108910892</v>
      </c>
      <c r="X20" s="170">
        <f>100*AD71/W71</f>
        <v>4.6010483401281306</v>
      </c>
      <c r="Y20" s="170">
        <f>100*AA71/W71</f>
        <v>3.0867792661619102</v>
      </c>
      <c r="Z20" s="170">
        <f>100*X71/W71</f>
        <v>2.38788584740827</v>
      </c>
      <c r="AA20" s="170">
        <f>100*Z71/W71</f>
        <v>3.3779848573092601</v>
      </c>
      <c r="AB20" s="170">
        <f>100*AC71/W71</f>
        <v>31.916132789749565</v>
      </c>
      <c r="AC20" s="170">
        <f>100*Y71/W71</f>
        <v>0.34944670937682004</v>
      </c>
      <c r="AD20" s="170">
        <f>100*AB71/W71</f>
        <v>32.789749563191613</v>
      </c>
      <c r="AE20" s="170">
        <f>100*AE71/W71</f>
        <v>3.3197437390797901</v>
      </c>
      <c r="AG20" s="168">
        <v>4.5172413793103443</v>
      </c>
      <c r="AH20" s="168">
        <v>12.517241379310345</v>
      </c>
      <c r="AI20" s="168">
        <v>4.1379310344827589</v>
      </c>
      <c r="AJ20" s="168">
        <v>3.0172413793103448</v>
      </c>
      <c r="AK20" s="168">
        <v>2.6724137931034484</v>
      </c>
      <c r="AL20" s="168">
        <v>3.0862068965517242</v>
      </c>
      <c r="AM20" s="168">
        <v>38.53448275862069</v>
      </c>
      <c r="AN20" s="168">
        <v>0.32758620689655171</v>
      </c>
      <c r="AO20" s="168">
        <v>27.379310344827584</v>
      </c>
      <c r="AP20" s="168">
        <v>3.7931034482758621</v>
      </c>
      <c r="AR20" s="168">
        <f t="shared" si="7"/>
        <v>0.10638997779544394</v>
      </c>
      <c r="AS20" s="168">
        <f t="shared" si="8"/>
        <v>0.11453164834562352</v>
      </c>
      <c r="AT20" s="168">
        <f t="shared" si="9"/>
        <v>4.2060729003901787E-2</v>
      </c>
      <c r="AU20" s="168">
        <f t="shared" si="10"/>
        <v>2.2697990624743002E-2</v>
      </c>
      <c r="AV20" s="168">
        <f t="shared" si="11"/>
        <v>1.6520920712373328E-2</v>
      </c>
      <c r="AW20" s="168">
        <f t="shared" si="12"/>
        <v>2.9341082083755951E-2</v>
      </c>
      <c r="AX20" s="168">
        <f t="shared" si="13"/>
        <v>0.38365452269342182</v>
      </c>
      <c r="AY20" s="168">
        <f t="shared" si="14"/>
        <v>4.2581576614856035E-3</v>
      </c>
      <c r="AZ20" s="168">
        <f t="shared" si="15"/>
        <v>0.24124382064566827</v>
      </c>
      <c r="BA20" s="168">
        <f t="shared" si="16"/>
        <v>3.9292012756197627E-2</v>
      </c>
    </row>
    <row r="21" spans="1:53" ht="12.4" hidden="1" customHeight="1" outlineLevel="1">
      <c r="A21" s="168">
        <f t="shared" si="5"/>
        <v>1983</v>
      </c>
      <c r="B21" s="186">
        <f t="shared" si="0"/>
        <v>3.6911398705823797</v>
      </c>
      <c r="C21" s="179">
        <f t="shared" si="1"/>
        <v>3.6673103448275866</v>
      </c>
      <c r="D21" s="179">
        <f t="shared" si="2"/>
        <v>3.6689886136817274</v>
      </c>
      <c r="E21" s="734">
        <v>3.5</v>
      </c>
      <c r="F21" s="734">
        <v>3.75</v>
      </c>
      <c r="G21" s="734">
        <v>3.75</v>
      </c>
      <c r="H21" s="734">
        <v>3.75</v>
      </c>
      <c r="I21" s="734">
        <v>3.8</v>
      </c>
      <c r="J21" s="734">
        <f>(3.85+4)/2</f>
        <v>3.9249999999999998</v>
      </c>
      <c r="K21" s="734">
        <f>(3.3+3.5)/2</f>
        <v>3.4</v>
      </c>
      <c r="L21" s="734">
        <v>4</v>
      </c>
      <c r="M21" s="734">
        <v>4.25</v>
      </c>
      <c r="N21" s="734">
        <v>3.8</v>
      </c>
      <c r="O21" s="734">
        <f t="shared" si="17"/>
        <v>3.5249999999999999</v>
      </c>
      <c r="U21" s="168">
        <v>1983</v>
      </c>
      <c r="V21" s="170">
        <f>AF72/W72*100</f>
        <v>9.0592334494773521</v>
      </c>
      <c r="W21" s="170">
        <f>AG72/W72*100</f>
        <v>11.34892981582877</v>
      </c>
      <c r="X21" s="170">
        <f>100*AD72/W72</f>
        <v>3.5340965654554504</v>
      </c>
      <c r="Y21" s="170">
        <f>100*AA72/W72</f>
        <v>3.3847685415629667</v>
      </c>
      <c r="Z21" s="170">
        <f>100*X72/W72</f>
        <v>2.9865604778496766</v>
      </c>
      <c r="AA21" s="170">
        <f>100*Z72/W72</f>
        <v>2.8870084619213539</v>
      </c>
      <c r="AB21" s="170">
        <f>100*AC72/W72</f>
        <v>33.200597312095567</v>
      </c>
      <c r="AC21" s="170">
        <f>100*Y72/W72</f>
        <v>0.29865604778496763</v>
      </c>
      <c r="AD21" s="170">
        <f>100*AB72/W72</f>
        <v>30.363364858138379</v>
      </c>
      <c r="AE21" s="170">
        <f>100*AE72/W72</f>
        <v>2.9367844698855152</v>
      </c>
      <c r="AG21" s="168">
        <v>4.5172413793103443</v>
      </c>
      <c r="AH21" s="168">
        <v>12.517241379310345</v>
      </c>
      <c r="AI21" s="168">
        <v>4.1379310344827589</v>
      </c>
      <c r="AJ21" s="168">
        <v>3.0172413793103448</v>
      </c>
      <c r="AK21" s="168">
        <v>2.6724137931034484</v>
      </c>
      <c r="AL21" s="168">
        <v>3.0862068965517242</v>
      </c>
      <c r="AM21" s="168">
        <v>38.53448275862069</v>
      </c>
      <c r="AN21" s="168">
        <v>0.32758620689655171</v>
      </c>
      <c r="AO21" s="168">
        <v>27.379310344827584</v>
      </c>
      <c r="AP21" s="168">
        <v>3.7931034482758621</v>
      </c>
      <c r="AR21" s="168">
        <f t="shared" si="7"/>
        <v>0.10286699328615496</v>
      </c>
      <c r="AS21" s="168">
        <f t="shared" si="8"/>
        <v>0.11294683360551624</v>
      </c>
      <c r="AT21" s="168">
        <f t="shared" si="9"/>
        <v>4.2451460714933768E-2</v>
      </c>
      <c r="AU21" s="168">
        <f t="shared" si="10"/>
        <v>2.2799854835782979E-2</v>
      </c>
      <c r="AV21" s="168">
        <f t="shared" si="11"/>
        <v>1.6403556523317004E-2</v>
      </c>
      <c r="AW21" s="168">
        <f t="shared" si="12"/>
        <v>2.9468336055162404E-2</v>
      </c>
      <c r="AX21" s="168">
        <f t="shared" si="13"/>
        <v>0.38550172382507714</v>
      </c>
      <c r="AY21" s="168">
        <f t="shared" si="14"/>
        <v>4.4275086191253856E-3</v>
      </c>
      <c r="AZ21" s="168">
        <f t="shared" si="15"/>
        <v>0.24349482852476867</v>
      </c>
      <c r="BA21" s="168">
        <f t="shared" si="16"/>
        <v>3.9638904010161492E-2</v>
      </c>
    </row>
    <row r="22" spans="1:53" ht="12.4" hidden="1" customHeight="1" outlineLevel="1">
      <c r="A22" s="168">
        <f t="shared" si="5"/>
        <v>1984</v>
      </c>
      <c r="B22" s="186">
        <f t="shared" si="0"/>
        <v>3.8698416625432959</v>
      </c>
      <c r="C22" s="179">
        <f t="shared" si="1"/>
        <v>3.8696163793103451</v>
      </c>
      <c r="D22" s="179">
        <f t="shared" si="2"/>
        <v>3.8726797738393337</v>
      </c>
      <c r="E22" s="734">
        <v>3.5</v>
      </c>
      <c r="F22" s="734">
        <v>3.75</v>
      </c>
      <c r="G22" s="734">
        <v>3.75</v>
      </c>
      <c r="H22" s="734">
        <v>3.75</v>
      </c>
      <c r="I22" s="734">
        <v>3.8</v>
      </c>
      <c r="J22" s="734">
        <f>(3.85+4)/2</f>
        <v>3.9249999999999998</v>
      </c>
      <c r="K22" s="734">
        <f>(3.85+4)/2</f>
        <v>3.9249999999999998</v>
      </c>
      <c r="L22" s="734">
        <v>4</v>
      </c>
      <c r="M22" s="734">
        <v>4.25</v>
      </c>
      <c r="N22" s="734">
        <v>3.8</v>
      </c>
      <c r="O22" s="734">
        <f t="shared" si="17"/>
        <v>3.5249999999999999</v>
      </c>
      <c r="U22" s="168">
        <v>1984</v>
      </c>
      <c r="V22" s="170">
        <f t="shared" ref="V22:V42" si="18">AF73/W73*100</f>
        <v>9.9950519544779812</v>
      </c>
      <c r="W22" s="170">
        <f t="shared" ref="W22:W43" si="19">AG73/W73*100</f>
        <v>11.974270163285503</v>
      </c>
      <c r="X22" s="170">
        <f t="shared" ref="X22:X43" si="20">100*AD73/W73</f>
        <v>4.1563582384957938</v>
      </c>
      <c r="Y22" s="170">
        <f t="shared" ref="Y22:Y43" si="21">100*AA73/W73</f>
        <v>2.9688273132112815</v>
      </c>
      <c r="Z22" s="170">
        <f t="shared" ref="Z22:Z43" si="22">100*X73/W73</f>
        <v>2.4245423057892133</v>
      </c>
      <c r="AA22" s="170">
        <f t="shared" ref="AA22:AA43" si="23">100*Z73/W73</f>
        <v>2.9688273132112815</v>
      </c>
      <c r="AB22" s="170">
        <f t="shared" ref="AB22:AB43" si="24">100*AC73/W73</f>
        <v>29.539831766452252</v>
      </c>
      <c r="AC22" s="170">
        <f t="shared" ref="AC22:AC43" si="25">100*Y73/W73</f>
        <v>0.29688273132112813</v>
      </c>
      <c r="AD22" s="170">
        <f t="shared" ref="AD22:AD43" si="26">100*AB73/W73</f>
        <v>32.112815437902029</v>
      </c>
      <c r="AE22" s="170">
        <f t="shared" ref="AE22:AE43" si="27">100*AE73/W73</f>
        <v>3.6615536862939138</v>
      </c>
      <c r="AG22" s="168">
        <v>4.5172413793103443</v>
      </c>
      <c r="AH22" s="168">
        <v>12.517241379310345</v>
      </c>
      <c r="AI22" s="168">
        <v>4.1379310344827589</v>
      </c>
      <c r="AJ22" s="168">
        <v>3.0172413793103448</v>
      </c>
      <c r="AK22" s="168">
        <v>2.6724137931034484</v>
      </c>
      <c r="AL22" s="168">
        <v>3.0862068965517242</v>
      </c>
      <c r="AM22" s="168">
        <v>38.53448275862069</v>
      </c>
      <c r="AN22" s="168">
        <v>0.32758620689655171</v>
      </c>
      <c r="AO22" s="168">
        <v>27.379310344827584</v>
      </c>
      <c r="AP22" s="168">
        <v>3.7931034482758621</v>
      </c>
      <c r="AR22" s="168">
        <f t="shared" si="7"/>
        <v>0.10070166435138075</v>
      </c>
      <c r="AS22" s="168">
        <f t="shared" si="8"/>
        <v>0.11016926657051593</v>
      </c>
      <c r="AT22" s="168">
        <f t="shared" si="9"/>
        <v>4.2391852553155716E-2</v>
      </c>
      <c r="AU22" s="168">
        <f t="shared" si="10"/>
        <v>2.2580673703956038E-2</v>
      </c>
      <c r="AV22" s="168">
        <f t="shared" si="11"/>
        <v>1.5838325207712112E-2</v>
      </c>
      <c r="AW22" s="168">
        <f t="shared" si="12"/>
        <v>3.0075121441906966E-2</v>
      </c>
      <c r="AX22" s="168">
        <f t="shared" si="13"/>
        <v>0.39022447950308359</v>
      </c>
      <c r="AY22" s="168">
        <f t="shared" si="14"/>
        <v>4.3798720546466456E-3</v>
      </c>
      <c r="AZ22" s="168">
        <f t="shared" si="15"/>
        <v>0.24443225355477494</v>
      </c>
      <c r="BA22" s="168">
        <f t="shared" si="16"/>
        <v>3.9215339285240271E-2</v>
      </c>
    </row>
    <row r="23" spans="1:53" ht="12.4" hidden="1" customHeight="1" outlineLevel="1">
      <c r="A23" s="168">
        <f t="shared" si="5"/>
        <v>1985</v>
      </c>
      <c r="B23" s="186">
        <f t="shared" si="0"/>
        <v>3.8903896443514645</v>
      </c>
      <c r="C23" s="179">
        <f t="shared" si="1"/>
        <v>3.8972456896551728</v>
      </c>
      <c r="D23" s="179">
        <f t="shared" si="2"/>
        <v>3.8977006699749728</v>
      </c>
      <c r="E23" s="734">
        <v>3.5</v>
      </c>
      <c r="F23" s="734">
        <v>4</v>
      </c>
      <c r="G23" s="734">
        <v>4</v>
      </c>
      <c r="H23" s="734">
        <v>4</v>
      </c>
      <c r="I23" s="734">
        <v>3.8</v>
      </c>
      <c r="J23" s="734">
        <f>(3.85+4)/2</f>
        <v>3.9249999999999998</v>
      </c>
      <c r="K23" s="734">
        <f>(3.85+4)/2</f>
        <v>3.9249999999999998</v>
      </c>
      <c r="L23" s="734">
        <v>4.3</v>
      </c>
      <c r="M23" s="734">
        <v>4.25</v>
      </c>
      <c r="N23" s="734">
        <v>3.8</v>
      </c>
      <c r="O23" s="734">
        <f t="shared" si="17"/>
        <v>3.5249999999999999</v>
      </c>
      <c r="U23" s="168">
        <v>1985</v>
      </c>
      <c r="V23" s="170">
        <f t="shared" si="18"/>
        <v>9.1004184100418417</v>
      </c>
      <c r="W23" s="170">
        <f t="shared" si="19"/>
        <v>13.54602510460251</v>
      </c>
      <c r="X23" s="170">
        <f t="shared" si="20"/>
        <v>3.9225941422594142</v>
      </c>
      <c r="Y23" s="170">
        <f t="shared" si="21"/>
        <v>2.5627615062761508</v>
      </c>
      <c r="Z23" s="170">
        <f t="shared" si="22"/>
        <v>2.7719665271966529</v>
      </c>
      <c r="AA23" s="170">
        <f t="shared" si="23"/>
        <v>2.8765690376569037</v>
      </c>
      <c r="AB23" s="170">
        <f t="shared" si="24"/>
        <v>28.39958158995816</v>
      </c>
      <c r="AC23" s="170">
        <f t="shared" si="25"/>
        <v>0.31380753138075312</v>
      </c>
      <c r="AD23" s="170">
        <f t="shared" si="26"/>
        <v>32.5836820083682</v>
      </c>
      <c r="AE23" s="170">
        <f t="shared" si="27"/>
        <v>3.9748953974895396</v>
      </c>
      <c r="AG23" s="168">
        <v>4.5172413793103443</v>
      </c>
      <c r="AH23" s="168">
        <v>12.517241379310345</v>
      </c>
      <c r="AI23" s="168">
        <v>4.1379310344827589</v>
      </c>
      <c r="AJ23" s="168">
        <v>3.0172413793103448</v>
      </c>
      <c r="AK23" s="168">
        <v>2.6724137931034484</v>
      </c>
      <c r="AL23" s="168">
        <v>3.0862068965517242</v>
      </c>
      <c r="AM23" s="168">
        <v>38.53448275862069</v>
      </c>
      <c r="AN23" s="168">
        <v>0.32758620689655199</v>
      </c>
      <c r="AO23" s="168">
        <v>27.379310344827584</v>
      </c>
      <c r="AP23" s="168">
        <v>3.7931034482758621</v>
      </c>
      <c r="AR23" s="168">
        <f t="shared" si="7"/>
        <v>0.10093486880015137</v>
      </c>
      <c r="AS23" s="168">
        <f t="shared" si="8"/>
        <v>0.10952671729464279</v>
      </c>
      <c r="AT23" s="168">
        <f t="shared" si="9"/>
        <v>4.1729378273545878E-2</v>
      </c>
      <c r="AU23" s="168">
        <f t="shared" si="10"/>
        <v>2.2507374884968998E-2</v>
      </c>
      <c r="AV23" s="168">
        <f t="shared" si="11"/>
        <v>1.5687218872825162E-2</v>
      </c>
      <c r="AW23" s="168">
        <f t="shared" si="12"/>
        <v>2.9473738529151222E-2</v>
      </c>
      <c r="AX23" s="168">
        <f t="shared" si="13"/>
        <v>0.39300611491919885</v>
      </c>
      <c r="AY23" s="168">
        <f t="shared" si="14"/>
        <v>4.3346262674911632E-3</v>
      </c>
      <c r="AZ23" s="168">
        <f t="shared" si="15"/>
        <v>0.2440893414636244</v>
      </c>
      <c r="BA23" s="168">
        <f t="shared" si="16"/>
        <v>3.8710620694400254E-2</v>
      </c>
    </row>
    <row r="24" spans="1:53" ht="12.4" hidden="1" customHeight="1" outlineLevel="1">
      <c r="A24" s="168">
        <f t="shared" si="5"/>
        <v>1986</v>
      </c>
      <c r="B24" s="186">
        <f t="shared" si="0"/>
        <v>4.169975754310344</v>
      </c>
      <c r="C24" s="179">
        <f t="shared" si="1"/>
        <v>4.1928965517241377</v>
      </c>
      <c r="D24" s="179">
        <f t="shared" si="2"/>
        <v>4.182985583902024</v>
      </c>
      <c r="E24" s="734">
        <v>4</v>
      </c>
      <c r="F24" s="734">
        <v>4</v>
      </c>
      <c r="G24" s="734">
        <v>4</v>
      </c>
      <c r="H24" s="734">
        <v>4</v>
      </c>
      <c r="I24" s="734">
        <v>4</v>
      </c>
      <c r="J24" s="734">
        <v>4.3499999999999996</v>
      </c>
      <c r="K24" s="734">
        <v>4.3499999999999996</v>
      </c>
      <c r="L24" s="734">
        <v>4.3</v>
      </c>
      <c r="M24" s="734">
        <v>4.5</v>
      </c>
      <c r="N24" s="734">
        <v>3.8</v>
      </c>
      <c r="O24" s="734">
        <f t="shared" si="17"/>
        <v>3.5249999999999999</v>
      </c>
      <c r="U24" s="168">
        <v>1986</v>
      </c>
      <c r="V24" s="170">
        <f t="shared" si="18"/>
        <v>8.8900862068965516</v>
      </c>
      <c r="W24" s="170">
        <f t="shared" si="19"/>
        <v>12.338362068965516</v>
      </c>
      <c r="X24" s="170">
        <f t="shared" si="20"/>
        <v>4.256465517241379</v>
      </c>
      <c r="Y24" s="170">
        <f t="shared" si="21"/>
        <v>2.5323275862068964</v>
      </c>
      <c r="Z24" s="170">
        <f t="shared" si="22"/>
        <v>2.5862068965517242</v>
      </c>
      <c r="AA24" s="170">
        <f t="shared" si="23"/>
        <v>2.9633620689655173</v>
      </c>
      <c r="AB24" s="170">
        <f t="shared" si="24"/>
        <v>28.125</v>
      </c>
      <c r="AC24" s="170">
        <f t="shared" si="25"/>
        <v>0.26939655172413796</v>
      </c>
      <c r="AD24" s="170">
        <f t="shared" si="26"/>
        <v>33.459051724137929</v>
      </c>
      <c r="AE24" s="170">
        <f t="shared" si="27"/>
        <v>4.4719827586206895</v>
      </c>
      <c r="AG24" s="168">
        <v>4.5172413793103443</v>
      </c>
      <c r="AH24" s="168">
        <v>12.517241379310345</v>
      </c>
      <c r="AI24" s="168">
        <v>4.1379310344827589</v>
      </c>
      <c r="AJ24" s="168">
        <v>3.0172413793103448</v>
      </c>
      <c r="AK24" s="168">
        <v>2.6724137931034484</v>
      </c>
      <c r="AL24" s="168">
        <v>3.0862068965517242</v>
      </c>
      <c r="AM24" s="168">
        <v>38.53448275862069</v>
      </c>
      <c r="AN24" s="168">
        <v>0.32758620689655199</v>
      </c>
      <c r="AO24" s="168">
        <v>27.379310344827584</v>
      </c>
      <c r="AP24" s="168">
        <v>3.7931034482758621</v>
      </c>
      <c r="AR24" s="168">
        <f t="shared" si="7"/>
        <v>9.8668513173043232E-2</v>
      </c>
      <c r="AS24" s="168">
        <f t="shared" si="8"/>
        <v>0.110690270802396</v>
      </c>
      <c r="AT24" s="168">
        <f t="shared" si="9"/>
        <v>4.1621477316336572E-2</v>
      </c>
      <c r="AU24" s="168">
        <f t="shared" si="10"/>
        <v>2.2575208983364757E-2</v>
      </c>
      <c r="AV24" s="168">
        <f t="shared" si="11"/>
        <v>1.5584068876912553E-2</v>
      </c>
      <c r="AW24" s="168">
        <f t="shared" si="12"/>
        <v>2.921595781956518E-2</v>
      </c>
      <c r="AX24" s="168">
        <f t="shared" si="13"/>
        <v>0.39454891295279731</v>
      </c>
      <c r="AY24" s="168">
        <f t="shared" si="14"/>
        <v>4.3465202809804277E-3</v>
      </c>
      <c r="AZ24" s="168">
        <f t="shared" si="15"/>
        <v>0.24437288305274221</v>
      </c>
      <c r="BA24" s="168">
        <f t="shared" si="16"/>
        <v>3.8376186741861745E-2</v>
      </c>
    </row>
    <row r="25" spans="1:53" ht="12.4" hidden="1" customHeight="1" outlineLevel="1">
      <c r="A25" s="168">
        <f t="shared" si="5"/>
        <v>1987</v>
      </c>
      <c r="B25" s="186">
        <f t="shared" si="0"/>
        <v>4.2941216216216214</v>
      </c>
      <c r="C25" s="179">
        <f t="shared" si="1"/>
        <v>4.3371379310344818</v>
      </c>
      <c r="D25" s="179">
        <f t="shared" si="2"/>
        <v>4.3241431525176353</v>
      </c>
      <c r="E25" s="734">
        <v>4</v>
      </c>
      <c r="F25" s="734">
        <v>4</v>
      </c>
      <c r="G25" s="734">
        <v>4</v>
      </c>
      <c r="H25" s="734">
        <v>4</v>
      </c>
      <c r="I25" s="734">
        <v>4</v>
      </c>
      <c r="J25" s="734">
        <v>4.55</v>
      </c>
      <c r="K25" s="734">
        <v>4.55</v>
      </c>
      <c r="L25" s="734">
        <f>(4.5+4.7)/2</f>
        <v>4.5999999999999996</v>
      </c>
      <c r="M25" s="734">
        <v>4.5</v>
      </c>
      <c r="N25" s="734">
        <v>3.8</v>
      </c>
      <c r="O25" s="734">
        <f t="shared" si="17"/>
        <v>3.5249999999999999</v>
      </c>
      <c r="U25" s="168">
        <v>1987</v>
      </c>
      <c r="V25" s="170">
        <f t="shared" si="18"/>
        <v>10.594594594594595</v>
      </c>
      <c r="W25" s="170">
        <f t="shared" si="19"/>
        <v>13.027027027027028</v>
      </c>
      <c r="X25" s="170">
        <f t="shared" si="20"/>
        <v>4.3783783783783781</v>
      </c>
      <c r="Y25" s="170">
        <f t="shared" si="21"/>
        <v>2.7567567567567566</v>
      </c>
      <c r="Z25" s="170">
        <f t="shared" si="22"/>
        <v>2.5945945945945947</v>
      </c>
      <c r="AA25" s="170">
        <f t="shared" si="23"/>
        <v>3.0810810810810811</v>
      </c>
      <c r="AB25" s="170">
        <f t="shared" si="24"/>
        <v>26.918918918918919</v>
      </c>
      <c r="AC25" s="170">
        <f t="shared" si="25"/>
        <v>0.32432432432432434</v>
      </c>
      <c r="AD25" s="170">
        <f t="shared" si="26"/>
        <v>32.756756756756758</v>
      </c>
      <c r="AE25" s="170">
        <f t="shared" si="27"/>
        <v>3.6756756756756759</v>
      </c>
      <c r="AG25" s="168">
        <v>4.5172413793103443</v>
      </c>
      <c r="AH25" s="168">
        <v>12.517241379310345</v>
      </c>
      <c r="AI25" s="168">
        <v>4.1379310344827589</v>
      </c>
      <c r="AJ25" s="168">
        <v>3.0172413793103448</v>
      </c>
      <c r="AK25" s="168">
        <v>2.6724137931034484</v>
      </c>
      <c r="AL25" s="168">
        <v>3.0862068965517242</v>
      </c>
      <c r="AM25" s="168">
        <v>38.53448275862069</v>
      </c>
      <c r="AN25" s="168">
        <v>0.32758620689655199</v>
      </c>
      <c r="AO25" s="168">
        <v>27.379310344827584</v>
      </c>
      <c r="AP25" s="168">
        <v>3.7931034482758621</v>
      </c>
      <c r="AR25" s="168">
        <f t="shared" si="7"/>
        <v>9.6302602773047918E-2</v>
      </c>
      <c r="AS25" s="168">
        <f t="shared" si="8"/>
        <v>0.11170842455201492</v>
      </c>
      <c r="AT25" s="168">
        <f t="shared" si="9"/>
        <v>4.0963269277548044E-2</v>
      </c>
      <c r="AU25" s="168">
        <f t="shared" si="10"/>
        <v>2.2727641287602369E-2</v>
      </c>
      <c r="AV25" s="168">
        <f t="shared" si="11"/>
        <v>1.5430146760723264E-2</v>
      </c>
      <c r="AW25" s="168">
        <f t="shared" si="12"/>
        <v>2.9108894834995541E-2</v>
      </c>
      <c r="AX25" s="168">
        <f t="shared" si="13"/>
        <v>0.39695126895321498</v>
      </c>
      <c r="AY25" s="168">
        <f t="shared" si="14"/>
        <v>4.3298467526149357E-3</v>
      </c>
      <c r="AZ25" s="168">
        <f t="shared" si="15"/>
        <v>0.24504175788534824</v>
      </c>
      <c r="BA25" s="168">
        <f t="shared" si="16"/>
        <v>3.7452363577393982E-2</v>
      </c>
    </row>
    <row r="26" spans="1:53" ht="12.4" hidden="1" customHeight="1" outlineLevel="1">
      <c r="A26" s="168">
        <f t="shared" si="5"/>
        <v>1988</v>
      </c>
      <c r="B26" s="186">
        <f t="shared" si="0"/>
        <v>4.6296219728292964</v>
      </c>
      <c r="C26" s="179">
        <f t="shared" si="1"/>
        <v>4.6301293103448282</v>
      </c>
      <c r="D26" s="179">
        <f t="shared" si="2"/>
        <v>4.6333936551897779</v>
      </c>
      <c r="E26" s="734">
        <v>4</v>
      </c>
      <c r="F26" s="734">
        <v>4.25</v>
      </c>
      <c r="G26" s="734">
        <v>4.25</v>
      </c>
      <c r="H26" s="734">
        <v>4</v>
      </c>
      <c r="I26" s="734">
        <v>4</v>
      </c>
      <c r="J26" s="734">
        <v>4.75</v>
      </c>
      <c r="K26" s="734">
        <v>4.75</v>
      </c>
      <c r="L26" s="734">
        <f>(4.5+4.7)/2</f>
        <v>4.5999999999999996</v>
      </c>
      <c r="M26" s="734">
        <v>4.5</v>
      </c>
      <c r="N26" s="734">
        <v>4.5</v>
      </c>
      <c r="O26" s="734">
        <v>4.5</v>
      </c>
      <c r="U26" s="168">
        <v>1988</v>
      </c>
      <c r="V26" s="170">
        <f t="shared" si="18"/>
        <v>10.159480212640283</v>
      </c>
      <c r="W26" s="170">
        <f t="shared" si="19"/>
        <v>11.222681630242173</v>
      </c>
      <c r="X26" s="170">
        <f t="shared" si="20"/>
        <v>4.548139397519197</v>
      </c>
      <c r="Y26" s="170">
        <f t="shared" si="21"/>
        <v>2.5989367985823981</v>
      </c>
      <c r="Z26" s="170">
        <f t="shared" si="22"/>
        <v>2.1854695806261075</v>
      </c>
      <c r="AA26" s="170">
        <f t="shared" si="23"/>
        <v>2.8352037802717072</v>
      </c>
      <c r="AB26" s="170">
        <f t="shared" si="24"/>
        <v>26.993502658003543</v>
      </c>
      <c r="AC26" s="170">
        <f t="shared" si="25"/>
        <v>0.29533372711163614</v>
      </c>
      <c r="AD26" s="170">
        <f t="shared" si="26"/>
        <v>35.321913762551681</v>
      </c>
      <c r="AE26" s="170">
        <f t="shared" si="27"/>
        <v>3.898405197873597</v>
      </c>
      <c r="AG26" s="168">
        <v>4.5172413793103443</v>
      </c>
      <c r="AH26" s="168">
        <v>12.517241379310345</v>
      </c>
      <c r="AI26" s="168">
        <v>4.1379310344827589</v>
      </c>
      <c r="AJ26" s="168">
        <v>3.0172413793103448</v>
      </c>
      <c r="AK26" s="168">
        <v>2.6724137931034484</v>
      </c>
      <c r="AL26" s="168">
        <v>3.0862068965517242</v>
      </c>
      <c r="AM26" s="168">
        <v>38.53448275862069</v>
      </c>
      <c r="AN26" s="168">
        <v>0.32758620689655199</v>
      </c>
      <c r="AO26" s="168">
        <v>27.379310344827584</v>
      </c>
      <c r="AP26" s="168">
        <v>3.7931034482758621</v>
      </c>
      <c r="AR26" s="168">
        <f t="shared" si="7"/>
        <v>9.6171397998363439E-2</v>
      </c>
      <c r="AS26" s="168">
        <f t="shared" si="8"/>
        <v>0.11287530685466103</v>
      </c>
      <c r="AT26" s="168">
        <f t="shared" si="9"/>
        <v>3.9836029458047463E-2</v>
      </c>
      <c r="AU26" s="168">
        <f t="shared" si="10"/>
        <v>2.2896078554793226E-2</v>
      </c>
      <c r="AV26" s="168">
        <f t="shared" si="11"/>
        <v>1.5712532259079749E-2</v>
      </c>
      <c r="AW26" s="168">
        <f t="shared" si="12"/>
        <v>2.940297098256436E-2</v>
      </c>
      <c r="AX26" s="168">
        <f t="shared" si="13"/>
        <v>0.39994177629508404</v>
      </c>
      <c r="AY26" s="168">
        <f t="shared" si="14"/>
        <v>4.2959652546106881E-3</v>
      </c>
      <c r="AZ26" s="168">
        <f t="shared" si="15"/>
        <v>0.24244665449738781</v>
      </c>
      <c r="BA26" s="168">
        <f t="shared" si="16"/>
        <v>3.6413419777176305E-2</v>
      </c>
    </row>
    <row r="27" spans="1:53" ht="12.4" customHeight="1" collapsed="1">
      <c r="A27" s="168">
        <f t="shared" si="5"/>
        <v>1989</v>
      </c>
      <c r="B27" s="186">
        <f t="shared" si="0"/>
        <v>4.8238065716057035</v>
      </c>
      <c r="C27" s="179">
        <f t="shared" si="1"/>
        <v>4.8537715517241375</v>
      </c>
      <c r="D27" s="179">
        <f t="shared" si="2"/>
        <v>4.8652794663055356</v>
      </c>
      <c r="E27" s="734">
        <v>4</v>
      </c>
      <c r="F27" s="734">
        <v>4.25</v>
      </c>
      <c r="G27" s="734">
        <v>4.5</v>
      </c>
      <c r="H27" s="734">
        <v>4.5</v>
      </c>
      <c r="I27" s="734">
        <f>(4.25+4.5)/2</f>
        <v>4.375</v>
      </c>
      <c r="J27" s="734">
        <v>5</v>
      </c>
      <c r="K27" s="734">
        <v>5</v>
      </c>
      <c r="L27" s="734">
        <f>(4.5+4.7)/2</f>
        <v>4.5999999999999996</v>
      </c>
      <c r="M27" s="734">
        <v>4.5</v>
      </c>
      <c r="N27" s="734">
        <v>4.5</v>
      </c>
      <c r="O27" s="734">
        <v>4.75</v>
      </c>
      <c r="U27" s="168">
        <v>1989</v>
      </c>
      <c r="V27" s="170">
        <f t="shared" si="18"/>
        <v>11.34531928084315</v>
      </c>
      <c r="W27" s="170">
        <f t="shared" si="19"/>
        <v>12.709237445753255</v>
      </c>
      <c r="X27" s="170">
        <f t="shared" si="20"/>
        <v>4.5257284562926223</v>
      </c>
      <c r="Y27" s="170">
        <f t="shared" si="21"/>
        <v>2.7278363298202106</v>
      </c>
      <c r="Z27" s="170">
        <f t="shared" si="22"/>
        <v>1.9218846869187849</v>
      </c>
      <c r="AA27" s="170">
        <f t="shared" si="23"/>
        <v>3.2858028518288904</v>
      </c>
      <c r="AB27" s="170">
        <f t="shared" si="24"/>
        <v>29.200247985120892</v>
      </c>
      <c r="AC27" s="170">
        <f t="shared" si="25"/>
        <v>0.30998140111593303</v>
      </c>
      <c r="AD27" s="170">
        <f t="shared" si="26"/>
        <v>29.944203347799132</v>
      </c>
      <c r="AE27" s="170">
        <f t="shared" si="27"/>
        <v>4.0297582145071296</v>
      </c>
      <c r="AG27" s="168">
        <v>4.5172413793103443</v>
      </c>
      <c r="AH27" s="168">
        <v>12.517241379310345</v>
      </c>
      <c r="AI27" s="168">
        <v>4.1379310344827589</v>
      </c>
      <c r="AJ27" s="168">
        <v>3.0172413793103448</v>
      </c>
      <c r="AK27" s="168">
        <v>2.6724137931034484</v>
      </c>
      <c r="AL27" s="168">
        <v>3.0862068965517242</v>
      </c>
      <c r="AM27" s="168">
        <v>38.53448275862069</v>
      </c>
      <c r="AN27" s="168">
        <v>0.32758620689655199</v>
      </c>
      <c r="AO27" s="168">
        <v>27.379310344827584</v>
      </c>
      <c r="AP27" s="168">
        <v>3.7931034482758621</v>
      </c>
      <c r="AR27" s="168">
        <f>BB77/AS77</f>
        <v>9.6281990120188968E-2</v>
      </c>
      <c r="AS27" s="168">
        <f>BC78/AS77</f>
        <v>0.12000430895184745</v>
      </c>
      <c r="AT27" s="168">
        <f t="shared" si="9"/>
        <v>3.9449993074898819E-2</v>
      </c>
      <c r="AU27" s="168">
        <f t="shared" si="10"/>
        <v>2.2837444791554452E-2</v>
      </c>
      <c r="AV27" s="168">
        <f t="shared" si="11"/>
        <v>1.5873870823779258E-2</v>
      </c>
      <c r="AW27" s="168">
        <f t="shared" si="12"/>
        <v>2.9362429017712872E-2</v>
      </c>
      <c r="AX27" s="168">
        <f t="shared" si="13"/>
        <v>0.40004001169572639</v>
      </c>
      <c r="AY27" s="168">
        <f t="shared" si="14"/>
        <v>4.2320062787584061E-3</v>
      </c>
      <c r="AZ27" s="168">
        <f t="shared" si="15"/>
        <v>0.24074729536326003</v>
      </c>
      <c r="BA27" s="168">
        <f t="shared" si="16"/>
        <v>3.51179575568243E-2</v>
      </c>
    </row>
    <row r="28" spans="1:53" ht="12.4" customHeight="1">
      <c r="A28" s="168">
        <f t="shared" si="5"/>
        <v>1990</v>
      </c>
      <c r="B28" s="186">
        <f t="shared" si="0"/>
        <v>5.0875704766786249</v>
      </c>
      <c r="C28" s="179">
        <f t="shared" si="1"/>
        <v>5.1326551724137923</v>
      </c>
      <c r="D28" s="179">
        <f t="shared" si="2"/>
        <v>5.1144898520601547</v>
      </c>
      <c r="E28" s="734">
        <v>4</v>
      </c>
      <c r="F28" s="734">
        <v>4.25</v>
      </c>
      <c r="G28" s="734">
        <v>4.5</v>
      </c>
      <c r="H28" s="734">
        <v>4.5</v>
      </c>
      <c r="I28" s="734">
        <v>4.75</v>
      </c>
      <c r="J28" s="734">
        <v>5.3</v>
      </c>
      <c r="K28" s="734">
        <v>5.4</v>
      </c>
      <c r="L28" s="734">
        <f>(4.5+4.7)/2</f>
        <v>4.5999999999999996</v>
      </c>
      <c r="M28" s="734">
        <v>4.5</v>
      </c>
      <c r="N28" s="734">
        <v>4.5</v>
      </c>
      <c r="O28" s="734">
        <v>5</v>
      </c>
      <c r="U28" s="168">
        <v>1990</v>
      </c>
      <c r="V28" s="170">
        <f t="shared" si="18"/>
        <v>9.7385955920040992</v>
      </c>
      <c r="W28" s="170">
        <f t="shared" si="19"/>
        <v>13.070220399794977</v>
      </c>
      <c r="X28" s="170">
        <f t="shared" si="20"/>
        <v>4.4079958995386983</v>
      </c>
      <c r="Y28" s="170">
        <f t="shared" si="21"/>
        <v>2.4090210148641722</v>
      </c>
      <c r="Z28" s="170">
        <f t="shared" si="22"/>
        <v>2.1527421834956431</v>
      </c>
      <c r="AA28" s="170">
        <f t="shared" si="23"/>
        <v>2.5627883136852896</v>
      </c>
      <c r="AB28" s="170">
        <f t="shared" si="24"/>
        <v>28.241927216811892</v>
      </c>
      <c r="AC28" s="170">
        <f t="shared" si="25"/>
        <v>0.25627883136852897</v>
      </c>
      <c r="AD28" s="170">
        <f t="shared" si="26"/>
        <v>33.162480779087645</v>
      </c>
      <c r="AE28" s="170">
        <f t="shared" si="27"/>
        <v>3.9466940030753461</v>
      </c>
      <c r="AG28" s="168">
        <v>4.5172413793103443</v>
      </c>
      <c r="AH28" s="168">
        <v>12.517241379310345</v>
      </c>
      <c r="AI28" s="168">
        <v>4.1379310344827589</v>
      </c>
      <c r="AJ28" s="168">
        <v>3.0172413793103448</v>
      </c>
      <c r="AK28" s="168">
        <v>2.6724137931034484</v>
      </c>
      <c r="AL28" s="168">
        <v>3.0862068965517242</v>
      </c>
      <c r="AM28" s="168">
        <v>38.53448275862069</v>
      </c>
      <c r="AN28" s="168">
        <v>0.32758620689655199</v>
      </c>
      <c r="AO28" s="168">
        <v>27.379310344827584</v>
      </c>
      <c r="AP28" s="168">
        <v>3.7931034482758621</v>
      </c>
      <c r="AR28" s="168">
        <f t="shared" ref="AR28:AR46" si="28">BB78/AS78</f>
        <v>9.7566939723682605E-2</v>
      </c>
      <c r="AS28" s="168">
        <f t="shared" si="8"/>
        <v>0.11917716102212984</v>
      </c>
      <c r="AT28" s="168">
        <f t="shared" si="9"/>
        <v>3.9262134735297709E-2</v>
      </c>
      <c r="AU28" s="168">
        <f t="shared" si="10"/>
        <v>2.2947487467905613E-2</v>
      </c>
      <c r="AV28" s="168">
        <f t="shared" si="11"/>
        <v>1.5810306883482089E-2</v>
      </c>
      <c r="AW28" s="168">
        <f t="shared" si="12"/>
        <v>2.944278029098912E-2</v>
      </c>
      <c r="AX28" s="168">
        <f t="shared" si="13"/>
        <v>0.39690824061621227</v>
      </c>
      <c r="AY28" s="168">
        <f t="shared" si="14"/>
        <v>4.2104780535517795E-3</v>
      </c>
      <c r="AZ28" s="168">
        <f t="shared" si="15"/>
        <v>0.23996668296857809</v>
      </c>
      <c r="BA28" s="168">
        <f t="shared" si="16"/>
        <v>3.4707788238170924E-2</v>
      </c>
    </row>
    <row r="29" spans="1:53" ht="12.4" customHeight="1">
      <c r="A29" s="168">
        <f t="shared" si="5"/>
        <v>1991</v>
      </c>
      <c r="B29" s="186">
        <f t="shared" si="0"/>
        <v>5.4094873501997336</v>
      </c>
      <c r="C29" s="179">
        <f t="shared" si="1"/>
        <v>5.4925258620689661</v>
      </c>
      <c r="D29" s="179">
        <f t="shared" si="2"/>
        <v>5.4553784202093736</v>
      </c>
      <c r="E29" s="734">
        <v>4</v>
      </c>
      <c r="F29" s="734">
        <v>4.75</v>
      </c>
      <c r="G29" s="734">
        <v>4.75</v>
      </c>
      <c r="H29" s="734">
        <v>4.75</v>
      </c>
      <c r="I29" s="734">
        <v>5</v>
      </c>
      <c r="J29" s="734">
        <v>5.55</v>
      </c>
      <c r="K29" s="734">
        <v>6</v>
      </c>
      <c r="L29" s="734">
        <v>5</v>
      </c>
      <c r="M29" s="734">
        <f>(4.75+5)/2</f>
        <v>4.875</v>
      </c>
      <c r="N29" s="734">
        <v>4.5</v>
      </c>
      <c r="O29" s="734">
        <v>5</v>
      </c>
      <c r="U29" s="168">
        <v>1991</v>
      </c>
      <c r="V29" s="170">
        <f t="shared" si="18"/>
        <v>9.2765201952951628</v>
      </c>
      <c r="W29" s="170">
        <f t="shared" si="19"/>
        <v>12.561029738126942</v>
      </c>
      <c r="X29" s="170">
        <f t="shared" si="20"/>
        <v>4.5272969374167777</v>
      </c>
      <c r="Y29" s="170">
        <f t="shared" si="21"/>
        <v>2.2636484687083889</v>
      </c>
      <c r="Z29" s="170">
        <f t="shared" si="22"/>
        <v>2.1304926764314249</v>
      </c>
      <c r="AA29" s="170">
        <f t="shared" si="23"/>
        <v>2.5299600532623168</v>
      </c>
      <c r="AB29" s="170">
        <f t="shared" si="24"/>
        <v>29.116733244562806</v>
      </c>
      <c r="AC29" s="170">
        <f t="shared" si="25"/>
        <v>0.31069684864624947</v>
      </c>
      <c r="AD29" s="170">
        <f t="shared" si="26"/>
        <v>33.466489125610295</v>
      </c>
      <c r="AE29" s="170">
        <f t="shared" si="27"/>
        <v>3.7727474478473146</v>
      </c>
      <c r="AG29" s="168">
        <v>4.5172413793103443</v>
      </c>
      <c r="AH29" s="168">
        <v>12.517241379310345</v>
      </c>
      <c r="AI29" s="168">
        <v>4.1379310344827589</v>
      </c>
      <c r="AJ29" s="168">
        <v>3.0172413793103448</v>
      </c>
      <c r="AK29" s="168">
        <v>2.6724137931034484</v>
      </c>
      <c r="AL29" s="168">
        <v>3.0862068965517242</v>
      </c>
      <c r="AM29" s="168">
        <v>38.53448275862069</v>
      </c>
      <c r="AN29" s="168">
        <v>0.32758620689655199</v>
      </c>
      <c r="AO29" s="168">
        <v>27.379310344827584</v>
      </c>
      <c r="AP29" s="168">
        <v>3.7931034482758621</v>
      </c>
      <c r="AR29" s="168">
        <f t="shared" si="28"/>
        <v>9.9895779862180539E-2</v>
      </c>
      <c r="AS29" s="168">
        <f t="shared" si="8"/>
        <v>0.12269199060463236</v>
      </c>
      <c r="AT29" s="168">
        <f t="shared" si="9"/>
        <v>3.941698943798902E-2</v>
      </c>
      <c r="AU29" s="168">
        <f t="shared" si="10"/>
        <v>2.2959540809183818E-2</v>
      </c>
      <c r="AV29" s="168">
        <f t="shared" si="11"/>
        <v>1.5920792695257206E-2</v>
      </c>
      <c r="AW29" s="168">
        <f t="shared" si="12"/>
        <v>2.9601630189618432E-2</v>
      </c>
      <c r="AX29" s="168">
        <f t="shared" si="13"/>
        <v>0.39021108466719556</v>
      </c>
      <c r="AY29" s="168">
        <f t="shared" si="14"/>
        <v>4.1532502683279664E-3</v>
      </c>
      <c r="AZ29" s="168">
        <f t="shared" si="15"/>
        <v>0.23989297991817943</v>
      </c>
      <c r="BA29" s="168">
        <f t="shared" si="16"/>
        <v>3.5255961547435717E-2</v>
      </c>
    </row>
    <row r="30" spans="1:53" ht="12.4" customHeight="1">
      <c r="A30" s="168">
        <f t="shared" si="5"/>
        <v>1992</v>
      </c>
      <c r="B30" s="186">
        <f t="shared" si="0"/>
        <v>5.6756388415672916</v>
      </c>
      <c r="C30" s="179">
        <f t="shared" si="1"/>
        <v>5.7613534482758624</v>
      </c>
      <c r="D30" s="179">
        <f t="shared" si="2"/>
        <v>5.7444395133101338</v>
      </c>
      <c r="E30" s="734">
        <v>4</v>
      </c>
      <c r="F30" s="734">
        <v>4.75</v>
      </c>
      <c r="G30" s="734">
        <v>4.75</v>
      </c>
      <c r="H30" s="734">
        <v>5</v>
      </c>
      <c r="I30" s="734">
        <v>5</v>
      </c>
      <c r="J30" s="734">
        <v>5.7</v>
      </c>
      <c r="K30" s="734">
        <v>6.35</v>
      </c>
      <c r="L30" s="734">
        <v>5</v>
      </c>
      <c r="M30" s="734">
        <f>(4.75+5)/2</f>
        <v>4.875</v>
      </c>
      <c r="N30" s="734">
        <v>5</v>
      </c>
      <c r="O30" s="734">
        <v>5.5</v>
      </c>
      <c r="U30" s="168">
        <v>1992</v>
      </c>
      <c r="V30" s="170">
        <f t="shared" si="18"/>
        <v>11.201022146507666</v>
      </c>
      <c r="W30" s="170">
        <f t="shared" si="19"/>
        <v>13.458262350936966</v>
      </c>
      <c r="X30" s="170">
        <f t="shared" si="20"/>
        <v>4.4293015332197614</v>
      </c>
      <c r="Y30" s="170">
        <f t="shared" si="21"/>
        <v>2.4275979557069847</v>
      </c>
      <c r="Z30" s="170">
        <f t="shared" si="22"/>
        <v>2.2998296422487221</v>
      </c>
      <c r="AA30" s="170">
        <f t="shared" si="23"/>
        <v>2.6831345826235093</v>
      </c>
      <c r="AB30" s="170">
        <f t="shared" si="24"/>
        <v>30.834752981260646</v>
      </c>
      <c r="AC30" s="170">
        <f t="shared" si="25"/>
        <v>0.21294718909710392</v>
      </c>
      <c r="AD30" s="170">
        <f t="shared" si="26"/>
        <v>28.960817717206133</v>
      </c>
      <c r="AE30" s="170">
        <f t="shared" si="27"/>
        <v>3.4923339011925041</v>
      </c>
      <c r="AG30" s="168">
        <v>4.5172413793103443</v>
      </c>
      <c r="AH30" s="168">
        <v>12.517241379310345</v>
      </c>
      <c r="AI30" s="168">
        <v>4.1379310344827589</v>
      </c>
      <c r="AJ30" s="168">
        <v>3.0172413793103448</v>
      </c>
      <c r="AK30" s="168">
        <v>2.6724137931034484</v>
      </c>
      <c r="AL30" s="168">
        <v>3.0862068965517242</v>
      </c>
      <c r="AM30" s="168">
        <v>38.53448275862069</v>
      </c>
      <c r="AN30" s="168">
        <v>0.32758620689655199</v>
      </c>
      <c r="AO30" s="168">
        <v>27.379310344827584</v>
      </c>
      <c r="AP30" s="168">
        <v>3.7931034482758621</v>
      </c>
      <c r="AR30" s="168">
        <f t="shared" si="28"/>
        <v>0.10054277388087253</v>
      </c>
      <c r="AS30" s="168">
        <f t="shared" si="8"/>
        <v>0.12702951087511488</v>
      </c>
      <c r="AT30" s="168">
        <f t="shared" si="9"/>
        <v>3.9266666143006383E-2</v>
      </c>
      <c r="AU30" s="168">
        <f t="shared" si="10"/>
        <v>2.3321210597836758E-2</v>
      </c>
      <c r="AV30" s="168">
        <f t="shared" si="11"/>
        <v>1.530920830420473E-2</v>
      </c>
      <c r="AW30" s="168">
        <f t="shared" si="12"/>
        <v>2.8976741628635838E-2</v>
      </c>
      <c r="AX30" s="168">
        <f t="shared" si="13"/>
        <v>0.3874745697476219</v>
      </c>
      <c r="AY30" s="168">
        <f t="shared" si="14"/>
        <v>4.2180835604709805E-3</v>
      </c>
      <c r="AZ30" s="168">
        <f t="shared" si="15"/>
        <v>0.23867911930814004</v>
      </c>
      <c r="BA30" s="168">
        <f t="shared" si="16"/>
        <v>3.5189970858305386E-2</v>
      </c>
    </row>
    <row r="31" spans="1:53" ht="12.4" customHeight="1">
      <c r="A31" s="168">
        <f t="shared" si="5"/>
        <v>1993</v>
      </c>
      <c r="B31" s="186">
        <f t="shared" si="0"/>
        <v>5.8244475693049411</v>
      </c>
      <c r="C31" s="179">
        <f t="shared" si="1"/>
        <v>5.8876551724137922</v>
      </c>
      <c r="D31" s="179">
        <f t="shared" si="2"/>
        <v>5.8645880072228698</v>
      </c>
      <c r="E31" s="734">
        <v>4</v>
      </c>
      <c r="F31" s="734">
        <v>4.75</v>
      </c>
      <c r="G31" s="734">
        <v>4.75</v>
      </c>
      <c r="H31" s="734">
        <v>5.15</v>
      </c>
      <c r="I31" s="734">
        <v>5</v>
      </c>
      <c r="J31" s="734">
        <v>5.85</v>
      </c>
      <c r="K31" s="734">
        <v>6.35</v>
      </c>
      <c r="L31" s="734">
        <v>5</v>
      </c>
      <c r="M31" s="734">
        <v>5.35</v>
      </c>
      <c r="N31" s="734">
        <v>5</v>
      </c>
      <c r="O31" s="734">
        <v>6</v>
      </c>
      <c r="U31" s="168">
        <v>1993</v>
      </c>
      <c r="V31" s="170">
        <f t="shared" si="18"/>
        <v>9.8031337886701486</v>
      </c>
      <c r="W31" s="170">
        <f t="shared" si="19"/>
        <v>12.655685014061872</v>
      </c>
      <c r="X31" s="170">
        <f t="shared" si="20"/>
        <v>3.8569706709521898</v>
      </c>
      <c r="Y31" s="170">
        <f t="shared" si="21"/>
        <v>2.2498995580554442</v>
      </c>
      <c r="Z31" s="170">
        <f t="shared" si="22"/>
        <v>2.0891924467657694</v>
      </c>
      <c r="AA31" s="170">
        <f t="shared" si="23"/>
        <v>2.6516673362796306</v>
      </c>
      <c r="AB31" s="170">
        <f t="shared" si="24"/>
        <v>30.735235034150261</v>
      </c>
      <c r="AC31" s="170">
        <f t="shared" si="25"/>
        <v>0.20088388911209321</v>
      </c>
      <c r="AD31" s="170">
        <f t="shared" si="26"/>
        <v>32.342306147047005</v>
      </c>
      <c r="AE31" s="170">
        <f t="shared" si="27"/>
        <v>3.374849337083166</v>
      </c>
      <c r="AG31" s="168">
        <v>4.5172413793103443</v>
      </c>
      <c r="AH31" s="168">
        <v>12.517241379310345</v>
      </c>
      <c r="AI31" s="168">
        <v>4.1379310344827589</v>
      </c>
      <c r="AJ31" s="168">
        <v>3.0172413793103448</v>
      </c>
      <c r="AK31" s="168">
        <v>2.6724137931034484</v>
      </c>
      <c r="AL31" s="168">
        <v>3.0862068965517242</v>
      </c>
      <c r="AM31" s="168">
        <v>38.53448275862069</v>
      </c>
      <c r="AN31" s="168">
        <v>0.32758620689655199</v>
      </c>
      <c r="AO31" s="168">
        <v>27.379310344827584</v>
      </c>
      <c r="AP31" s="168">
        <v>3.7931034482758621</v>
      </c>
      <c r="AR31" s="168">
        <f t="shared" si="28"/>
        <v>0.10073713914967129</v>
      </c>
      <c r="AS31" s="168">
        <f t="shared" si="8"/>
        <v>0.13038686125681051</v>
      </c>
      <c r="AT31" s="168">
        <f t="shared" si="9"/>
        <v>3.938183495274649E-2</v>
      </c>
      <c r="AU31" s="168">
        <f t="shared" si="10"/>
        <v>2.3443057368655557E-2</v>
      </c>
      <c r="AV31" s="168">
        <f t="shared" si="11"/>
        <v>1.5149264815089856E-2</v>
      </c>
      <c r="AW31" s="168">
        <f t="shared" si="12"/>
        <v>2.8649151469197276E-2</v>
      </c>
      <c r="AX31" s="168">
        <f t="shared" si="13"/>
        <v>0.38600139141854339</v>
      </c>
      <c r="AY31" s="168">
        <f t="shared" si="14"/>
        <v>4.2680591274711355E-3</v>
      </c>
      <c r="AZ31" s="168">
        <f t="shared" si="15"/>
        <v>0.23692418332330156</v>
      </c>
      <c r="BA31" s="168">
        <f t="shared" si="16"/>
        <v>3.5059057118512899E-2</v>
      </c>
    </row>
    <row r="32" spans="1:53" ht="12.4" customHeight="1">
      <c r="A32" s="168">
        <f t="shared" si="5"/>
        <v>1994</v>
      </c>
      <c r="B32" s="186">
        <f t="shared" si="0"/>
        <v>5.9811904761904762</v>
      </c>
      <c r="C32" s="179">
        <f t="shared" si="1"/>
        <v>6.0635948275862059</v>
      </c>
      <c r="D32" s="179">
        <f t="shared" si="2"/>
        <v>6.0348491810057663</v>
      </c>
      <c r="E32" s="734">
        <v>4</v>
      </c>
      <c r="F32" s="734">
        <v>4.75</v>
      </c>
      <c r="G32" s="734">
        <v>4.75</v>
      </c>
      <c r="H32" s="734">
        <v>5.15</v>
      </c>
      <c r="I32" s="734">
        <v>5</v>
      </c>
      <c r="J32" s="734">
        <v>6</v>
      </c>
      <c r="K32" s="734">
        <v>6.7</v>
      </c>
      <c r="L32" s="734">
        <v>5</v>
      </c>
      <c r="M32" s="734">
        <v>5.35</v>
      </c>
      <c r="N32" s="734">
        <v>5</v>
      </c>
      <c r="O32" s="734">
        <v>6</v>
      </c>
      <c r="U32" s="168">
        <v>1994</v>
      </c>
      <c r="V32" s="170">
        <f t="shared" si="18"/>
        <v>9.8015873015873023</v>
      </c>
      <c r="W32" s="170">
        <f t="shared" si="19"/>
        <v>13.690476190476192</v>
      </c>
      <c r="X32" s="170">
        <f t="shared" si="20"/>
        <v>3.7301587301587302</v>
      </c>
      <c r="Y32" s="170">
        <f t="shared" si="21"/>
        <v>2.3412698412698414</v>
      </c>
      <c r="Z32" s="170">
        <f t="shared" si="22"/>
        <v>2.1428571428571428</v>
      </c>
      <c r="AA32" s="170">
        <f t="shared" si="23"/>
        <v>3.2142857142857144</v>
      </c>
      <c r="AB32" s="170">
        <f t="shared" si="24"/>
        <v>30.873015873015873</v>
      </c>
      <c r="AC32" s="170">
        <f t="shared" si="25"/>
        <v>0.1984126984126984</v>
      </c>
      <c r="AD32" s="170">
        <f t="shared" si="26"/>
        <v>30.99206349206349</v>
      </c>
      <c r="AE32" s="170">
        <f t="shared" si="27"/>
        <v>3.0158730158730158</v>
      </c>
      <c r="AG32" s="168">
        <v>4.5172413793103443</v>
      </c>
      <c r="AH32" s="168">
        <v>12.517241379310345</v>
      </c>
      <c r="AI32" s="168">
        <v>4.1379310344827589</v>
      </c>
      <c r="AJ32" s="168">
        <v>3.0172413793103448</v>
      </c>
      <c r="AK32" s="168">
        <v>2.6724137931034484</v>
      </c>
      <c r="AL32" s="168">
        <v>3.0862068965517242</v>
      </c>
      <c r="AM32" s="168">
        <v>38.53448275862069</v>
      </c>
      <c r="AN32" s="168">
        <v>0.32758620689655199</v>
      </c>
      <c r="AO32" s="168">
        <v>27.379310344827584</v>
      </c>
      <c r="AP32" s="168">
        <v>3.7931034482758621</v>
      </c>
      <c r="AR32" s="168">
        <f t="shared" si="28"/>
        <v>0.10142663511681867</v>
      </c>
      <c r="AS32" s="168">
        <f t="shared" si="8"/>
        <v>0.13348955102728449</v>
      </c>
      <c r="AT32" s="168">
        <f t="shared" si="9"/>
        <v>3.8878295695589912E-2</v>
      </c>
      <c r="AU32" s="168">
        <f t="shared" si="10"/>
        <v>2.2865982065596115E-2</v>
      </c>
      <c r="AV32" s="168">
        <f t="shared" si="11"/>
        <v>1.4817707735073168E-2</v>
      </c>
      <c r="AW32" s="168">
        <f t="shared" si="12"/>
        <v>2.8532702336373453E-2</v>
      </c>
      <c r="AX32" s="168">
        <f t="shared" si="13"/>
        <v>0.3839279560752602</v>
      </c>
      <c r="AY32" s="168">
        <f t="shared" si="14"/>
        <v>4.2653556632742924E-3</v>
      </c>
      <c r="AZ32" s="168">
        <f t="shared" si="15"/>
        <v>0.23699143100002298</v>
      </c>
      <c r="BA32" s="168">
        <f t="shared" si="16"/>
        <v>3.4804383284706746E-2</v>
      </c>
    </row>
    <row r="33" spans="1:53" ht="12.4" customHeight="1">
      <c r="A33" s="168">
        <f t="shared" si="5"/>
        <v>1995</v>
      </c>
      <c r="B33" s="186">
        <f t="shared" si="0"/>
        <v>6.2928731343283584</v>
      </c>
      <c r="C33" s="179">
        <f t="shared" si="1"/>
        <v>6.3488275862068964</v>
      </c>
      <c r="D33" s="179">
        <f t="shared" si="2"/>
        <v>6.3078504595574412</v>
      </c>
      <c r="E33" s="734">
        <v>4</v>
      </c>
      <c r="F33" s="734">
        <v>4.75</v>
      </c>
      <c r="G33" s="734">
        <v>4.75</v>
      </c>
      <c r="H33" s="734">
        <v>5.15</v>
      </c>
      <c r="I33" s="734">
        <v>5</v>
      </c>
      <c r="J33" s="734">
        <v>6.45</v>
      </c>
      <c r="K33" s="734">
        <v>6.85</v>
      </c>
      <c r="L33" s="734">
        <v>5.25</v>
      </c>
      <c r="M33" s="734">
        <v>5.35</v>
      </c>
      <c r="N33" s="734">
        <v>5</v>
      </c>
      <c r="O33" s="734">
        <f>(6.5+7)/2</f>
        <v>6.75</v>
      </c>
      <c r="U33" s="168">
        <v>1995</v>
      </c>
      <c r="V33" s="170">
        <f t="shared" si="18"/>
        <v>9.5522388059701502</v>
      </c>
      <c r="W33" s="170">
        <f t="shared" si="19"/>
        <v>13.544776119402984</v>
      </c>
      <c r="X33" s="170">
        <f t="shared" si="20"/>
        <v>3.7686567164179103</v>
      </c>
      <c r="Y33" s="170">
        <f t="shared" si="21"/>
        <v>2.1268656716417911</v>
      </c>
      <c r="Z33" s="170">
        <f t="shared" si="22"/>
        <v>2.3507462686567164</v>
      </c>
      <c r="AA33" s="170">
        <f t="shared" si="23"/>
        <v>3.0597014925373136</v>
      </c>
      <c r="AB33" s="170">
        <f t="shared" si="24"/>
        <v>32.649253731343286</v>
      </c>
      <c r="AC33" s="170">
        <f t="shared" si="25"/>
        <v>0.26119402985074625</v>
      </c>
      <c r="AD33" s="170">
        <f t="shared" si="26"/>
        <v>29.813432835820894</v>
      </c>
      <c r="AE33" s="170">
        <f t="shared" si="27"/>
        <v>2.91044776119403</v>
      </c>
      <c r="AG33" s="168">
        <v>4.5172413793103443</v>
      </c>
      <c r="AH33" s="168">
        <v>12.517241379310345</v>
      </c>
      <c r="AI33" s="168">
        <v>4.1379310344827589</v>
      </c>
      <c r="AJ33" s="168">
        <v>3.0172413793103448</v>
      </c>
      <c r="AK33" s="168">
        <v>2.6724137931034484</v>
      </c>
      <c r="AL33" s="168">
        <v>3.0862068965517242</v>
      </c>
      <c r="AM33" s="168">
        <v>38.53448275862069</v>
      </c>
      <c r="AN33" s="168">
        <v>0.32758620689655199</v>
      </c>
      <c r="AO33" s="168">
        <v>27.379310344827584</v>
      </c>
      <c r="AP33" s="168">
        <v>3.7931034482758621</v>
      </c>
      <c r="AR33" s="168">
        <f t="shared" si="28"/>
        <v>0.10265956646659748</v>
      </c>
      <c r="AS33" s="168">
        <f t="shared" si="8"/>
        <v>0.1343020894444695</v>
      </c>
      <c r="AT33" s="168">
        <f t="shared" si="9"/>
        <v>3.8848022624366325E-2</v>
      </c>
      <c r="AU33" s="168">
        <f t="shared" si="10"/>
        <v>2.3128300013538518E-2</v>
      </c>
      <c r="AV33" s="168">
        <f t="shared" si="11"/>
        <v>1.4621598447583376E-2</v>
      </c>
      <c r="AW33" s="168">
        <f t="shared" si="12"/>
        <v>2.827293650435489E-2</v>
      </c>
      <c r="AX33" s="168">
        <f t="shared" si="13"/>
        <v>0.38359131729771201</v>
      </c>
      <c r="AY33" s="168">
        <f t="shared" si="14"/>
        <v>4.3022398724370838E-3</v>
      </c>
      <c r="AZ33" s="168">
        <f t="shared" si="15"/>
        <v>0.23581840335755225</v>
      </c>
      <c r="BA33" s="168">
        <f t="shared" si="16"/>
        <v>3.4448004573010213E-2</v>
      </c>
    </row>
    <row r="34" spans="1:53" ht="12.4" customHeight="1">
      <c r="A34" s="168">
        <f t="shared" si="5"/>
        <v>1996</v>
      </c>
      <c r="B34" s="186">
        <f t="shared" si="0"/>
        <v>6.4694320521619764</v>
      </c>
      <c r="C34" s="179">
        <f t="shared" si="1"/>
        <v>6.4897370689655167</v>
      </c>
      <c r="D34" s="179">
        <f t="shared" si="2"/>
        <v>6.4341981834979967</v>
      </c>
      <c r="E34" s="734" t="s">
        <v>744</v>
      </c>
      <c r="F34" s="734">
        <v>5</v>
      </c>
      <c r="G34" s="734">
        <v>5.15</v>
      </c>
      <c r="H34" s="734">
        <v>5.35</v>
      </c>
      <c r="I34" s="734">
        <f>(5.25+5.5)/2</f>
        <v>5.375</v>
      </c>
      <c r="J34" s="734">
        <v>6.7</v>
      </c>
      <c r="K34" s="734">
        <v>6.85</v>
      </c>
      <c r="L34" s="734">
        <v>5.4</v>
      </c>
      <c r="M34" s="734">
        <v>5.6</v>
      </c>
      <c r="N34" s="734">
        <v>5</v>
      </c>
      <c r="O34" s="734">
        <v>7</v>
      </c>
      <c r="U34" s="168">
        <v>1996</v>
      </c>
      <c r="V34" s="170">
        <f t="shared" si="18"/>
        <v>9.1626630061770751</v>
      </c>
      <c r="W34" s="170">
        <f t="shared" si="19"/>
        <v>14.756348661633492</v>
      </c>
      <c r="X34" s="170">
        <f t="shared" si="20"/>
        <v>3.397391901166781</v>
      </c>
      <c r="Y34" s="170">
        <f t="shared" si="21"/>
        <v>1.8874399450926562</v>
      </c>
      <c r="Z34" s="170">
        <f t="shared" si="22"/>
        <v>1.8874399450926562</v>
      </c>
      <c r="AA34" s="170">
        <f t="shared" si="23"/>
        <v>2.8140013726835966</v>
      </c>
      <c r="AB34" s="170">
        <f t="shared" si="24"/>
        <v>33.630748112560056</v>
      </c>
      <c r="AC34" s="170">
        <f t="shared" si="25"/>
        <v>0.27453671928620454</v>
      </c>
      <c r="AD34" s="170">
        <f t="shared" si="26"/>
        <v>29.649965682910089</v>
      </c>
      <c r="AE34" s="170">
        <f t="shared" si="27"/>
        <v>2.5737817433081673</v>
      </c>
      <c r="AG34" s="168">
        <v>4.5172413793103443</v>
      </c>
      <c r="AH34" s="168">
        <v>12.517241379310345</v>
      </c>
      <c r="AI34" s="168">
        <v>4.1379310344827589</v>
      </c>
      <c r="AJ34" s="168">
        <v>3.0172413793103448</v>
      </c>
      <c r="AK34" s="168">
        <v>2.6724137931034484</v>
      </c>
      <c r="AL34" s="168">
        <v>3.0862068965517242</v>
      </c>
      <c r="AM34" s="168">
        <v>38.53448275862069</v>
      </c>
      <c r="AN34" s="168">
        <v>0.32758620689655199</v>
      </c>
      <c r="AO34" s="168">
        <v>27.379310344827584</v>
      </c>
      <c r="AP34" s="168">
        <v>3.7931034482758621</v>
      </c>
      <c r="AR34" s="168">
        <f t="shared" si="28"/>
        <v>0.10469101584037432</v>
      </c>
      <c r="AS34" s="168">
        <f t="shared" si="8"/>
        <v>0.13533610502630128</v>
      </c>
      <c r="AT34" s="168">
        <f t="shared" si="9"/>
        <v>3.8550374774613677E-2</v>
      </c>
      <c r="AU34" s="168">
        <f t="shared" si="10"/>
        <v>2.2762155959884959E-2</v>
      </c>
      <c r="AV34" s="168">
        <f t="shared" si="11"/>
        <v>1.3970226652957218E-2</v>
      </c>
      <c r="AW34" s="168">
        <f t="shared" si="12"/>
        <v>2.8082018269331068E-2</v>
      </c>
      <c r="AX34" s="168">
        <f t="shared" si="13"/>
        <v>0.384989643405308</v>
      </c>
      <c r="AY34" s="168">
        <f t="shared" si="14"/>
        <v>4.3885138659156275E-3</v>
      </c>
      <c r="AZ34" s="168">
        <f t="shared" si="15"/>
        <v>0.233194748684936</v>
      </c>
      <c r="BA34" s="168">
        <f t="shared" si="16"/>
        <v>3.4035197520377904E-2</v>
      </c>
    </row>
    <row r="35" spans="1:53" ht="12.4" customHeight="1">
      <c r="A35" s="168">
        <f t="shared" si="5"/>
        <v>1997</v>
      </c>
      <c r="B35" s="186">
        <f t="shared" si="0"/>
        <v>6.4987504279356383</v>
      </c>
      <c r="C35" s="179">
        <f t="shared" si="1"/>
        <v>6.5330172413793095</v>
      </c>
      <c r="D35" s="179">
        <f t="shared" si="2"/>
        <v>6.4685345833941339</v>
      </c>
      <c r="E35" s="734" t="s">
        <v>744</v>
      </c>
      <c r="F35" s="734">
        <v>5.25</v>
      </c>
      <c r="G35" s="734">
        <v>5.4</v>
      </c>
      <c r="H35" s="734">
        <v>5.5</v>
      </c>
      <c r="I35" s="734">
        <v>5.5</v>
      </c>
      <c r="J35" s="734">
        <v>6.8</v>
      </c>
      <c r="K35" s="734">
        <v>6.85</v>
      </c>
      <c r="L35" s="734">
        <v>5.4</v>
      </c>
      <c r="M35" s="734">
        <v>5.6</v>
      </c>
      <c r="N35" s="734">
        <v>5</v>
      </c>
      <c r="O35" s="734">
        <v>7</v>
      </c>
      <c r="U35" s="168">
        <v>1997</v>
      </c>
      <c r="V35" s="170">
        <f t="shared" si="18"/>
        <v>9.7569325573433758</v>
      </c>
      <c r="W35" s="170">
        <f t="shared" si="19"/>
        <v>15.405682985279014</v>
      </c>
      <c r="X35" s="170">
        <f t="shared" si="20"/>
        <v>3.3207805546045877</v>
      </c>
      <c r="Y35" s="170">
        <f t="shared" si="21"/>
        <v>2.2252653200958576</v>
      </c>
      <c r="Z35" s="170">
        <f t="shared" si="22"/>
        <v>1.6432728517630948</v>
      </c>
      <c r="AA35" s="170">
        <f t="shared" si="23"/>
        <v>2.7387880862718248</v>
      </c>
      <c r="AB35" s="170">
        <f t="shared" si="24"/>
        <v>31.598767545361177</v>
      </c>
      <c r="AC35" s="170">
        <f t="shared" si="25"/>
        <v>0.27387880862718245</v>
      </c>
      <c r="AD35" s="170">
        <f t="shared" si="26"/>
        <v>30.537487161930844</v>
      </c>
      <c r="AE35" s="170">
        <f t="shared" si="27"/>
        <v>2.4649092776446424</v>
      </c>
      <c r="AG35" s="168">
        <v>4.5172413793103443</v>
      </c>
      <c r="AH35" s="168">
        <v>12.517241379310345</v>
      </c>
      <c r="AI35" s="168">
        <v>4.1379310344827589</v>
      </c>
      <c r="AJ35" s="168">
        <v>3.0172413793103448</v>
      </c>
      <c r="AK35" s="168">
        <v>2.6724137931034484</v>
      </c>
      <c r="AL35" s="168">
        <v>3.0862068965517242</v>
      </c>
      <c r="AM35" s="168">
        <v>38.53448275862069</v>
      </c>
      <c r="AN35" s="168">
        <v>0.32758620689655199</v>
      </c>
      <c r="AO35" s="168">
        <v>27.379310344827584</v>
      </c>
      <c r="AP35" s="168">
        <v>3.7931034482758621</v>
      </c>
      <c r="AR35" s="168">
        <f t="shared" si="28"/>
        <v>0.10589522836713848</v>
      </c>
      <c r="AS35" s="168">
        <f t="shared" si="8"/>
        <v>0.13574347001313294</v>
      </c>
      <c r="AT35" s="168">
        <f t="shared" si="9"/>
        <v>3.834816868524734E-2</v>
      </c>
      <c r="AU35" s="168">
        <f t="shared" si="10"/>
        <v>2.2552166934189408E-2</v>
      </c>
      <c r="AV35" s="168">
        <f t="shared" si="11"/>
        <v>1.3738508682328909E-2</v>
      </c>
      <c r="AW35" s="168">
        <f t="shared" si="12"/>
        <v>2.7871005399095285E-2</v>
      </c>
      <c r="AX35" s="168">
        <f t="shared" si="13"/>
        <v>0.38606449730045234</v>
      </c>
      <c r="AY35" s="168">
        <f t="shared" si="14"/>
        <v>4.2900919305413681E-3</v>
      </c>
      <c r="AZ35" s="168">
        <f t="shared" si="15"/>
        <v>0.23148985845615061</v>
      </c>
      <c r="BA35" s="168">
        <f t="shared" si="16"/>
        <v>3.4014300306435138E-2</v>
      </c>
    </row>
    <row r="36" spans="1:53" ht="12.4" customHeight="1">
      <c r="A36" s="168">
        <f t="shared" si="5"/>
        <v>1998</v>
      </c>
      <c r="B36" s="186">
        <f t="shared" si="0"/>
        <v>6.578077794561934</v>
      </c>
      <c r="C36" s="179">
        <f t="shared" si="1"/>
        <v>6.5972413793103462</v>
      </c>
      <c r="D36" s="179">
        <f t="shared" si="2"/>
        <v>6.5520955845709157</v>
      </c>
      <c r="E36" s="734" t="s">
        <v>744</v>
      </c>
      <c r="F36" s="734">
        <v>5.25</v>
      </c>
      <c r="G36" s="734">
        <v>5.4</v>
      </c>
      <c r="H36" s="734">
        <v>5.5</v>
      </c>
      <c r="I36" s="734">
        <v>5.5</v>
      </c>
      <c r="J36" s="734">
        <v>6.9</v>
      </c>
      <c r="K36" s="734">
        <v>6.85</v>
      </c>
      <c r="L36" s="734">
        <v>5.4</v>
      </c>
      <c r="M36" s="734">
        <v>5.6</v>
      </c>
      <c r="N36" s="734">
        <v>5.4</v>
      </c>
      <c r="O36" s="734">
        <v>7.15</v>
      </c>
      <c r="U36" s="168">
        <v>1998</v>
      </c>
      <c r="V36" s="170">
        <f t="shared" si="18"/>
        <v>9.8942598187311166</v>
      </c>
      <c r="W36" s="170">
        <f t="shared" si="19"/>
        <v>15.407854984894259</v>
      </c>
      <c r="X36" s="170">
        <f t="shared" si="20"/>
        <v>3.3232628398791539</v>
      </c>
      <c r="Y36" s="170">
        <f t="shared" si="21"/>
        <v>2.1525679758308156</v>
      </c>
      <c r="Z36" s="170">
        <f t="shared" si="22"/>
        <v>1.850453172205438</v>
      </c>
      <c r="AA36" s="170">
        <f t="shared" si="23"/>
        <v>3.285498489425982</v>
      </c>
      <c r="AB36" s="170">
        <f t="shared" si="24"/>
        <v>31.419939577039276</v>
      </c>
      <c r="AC36" s="170">
        <f t="shared" si="25"/>
        <v>0.26435045317220546</v>
      </c>
      <c r="AD36" s="170">
        <f t="shared" si="26"/>
        <v>29.645015105740182</v>
      </c>
      <c r="AE36" s="170">
        <f t="shared" si="27"/>
        <v>2.7567975830815712</v>
      </c>
      <c r="AG36" s="168">
        <v>4.5172413793103443</v>
      </c>
      <c r="AH36" s="168">
        <v>12.517241379310345</v>
      </c>
      <c r="AI36" s="168">
        <v>4.1379310344827589</v>
      </c>
      <c r="AJ36" s="168">
        <v>3.0172413793103448</v>
      </c>
      <c r="AK36" s="168">
        <v>2.6724137931034484</v>
      </c>
      <c r="AL36" s="168">
        <v>3.0862068965517242</v>
      </c>
      <c r="AM36" s="168">
        <v>38.53448275862069</v>
      </c>
      <c r="AN36" s="168">
        <v>0.32758620689655199</v>
      </c>
      <c r="AO36" s="168">
        <v>27.379310344827584</v>
      </c>
      <c r="AP36" s="168">
        <v>3.7931034482758621</v>
      </c>
      <c r="AR36" s="168">
        <f t="shared" si="28"/>
        <v>0.10749526562344264</v>
      </c>
      <c r="AS36" s="168">
        <f t="shared" si="8"/>
        <v>0.13230624652931042</v>
      </c>
      <c r="AT36" s="168">
        <f t="shared" si="9"/>
        <v>3.8031638450257012E-2</v>
      </c>
      <c r="AU36" s="168">
        <f t="shared" si="10"/>
        <v>2.2440232945565346E-2</v>
      </c>
      <c r="AV36" s="168">
        <f t="shared" si="11"/>
        <v>1.3697654881747377E-2</v>
      </c>
      <c r="AW36" s="168">
        <f t="shared" si="12"/>
        <v>2.8142842904130654E-2</v>
      </c>
      <c r="AX36" s="168">
        <f t="shared" si="13"/>
        <v>0.38824023579331063</v>
      </c>
      <c r="AY36" s="168">
        <f t="shared" si="14"/>
        <v>4.2431404935142601E-3</v>
      </c>
      <c r="AZ36" s="168">
        <f t="shared" si="15"/>
        <v>0.23191325767823326</v>
      </c>
      <c r="BA36" s="168">
        <f t="shared" si="16"/>
        <v>3.3496604063732539E-2</v>
      </c>
    </row>
    <row r="37" spans="1:53" ht="12.4" customHeight="1">
      <c r="A37" s="168">
        <f t="shared" si="5"/>
        <v>1999</v>
      </c>
      <c r="B37" s="186">
        <f t="shared" si="0"/>
        <v>6.670137810559007</v>
      </c>
      <c r="C37" s="179">
        <f t="shared" si="1"/>
        <v>6.6639482758620696</v>
      </c>
      <c r="D37" s="179">
        <f t="shared" si="2"/>
        <v>6.6356677795747805</v>
      </c>
      <c r="E37" s="734" t="s">
        <v>744</v>
      </c>
      <c r="F37" s="734">
        <v>5.5</v>
      </c>
      <c r="G37" s="734">
        <v>5.4</v>
      </c>
      <c r="H37" s="734">
        <v>5.6</v>
      </c>
      <c r="I37" s="734">
        <v>5.5</v>
      </c>
      <c r="J37" s="734">
        <v>6.9</v>
      </c>
      <c r="K37" s="734">
        <v>6.85</v>
      </c>
      <c r="L37" s="734">
        <v>6</v>
      </c>
      <c r="M37" s="734">
        <v>6</v>
      </c>
      <c r="N37" s="734">
        <f>(5.65+5.9)/2</f>
        <v>5.7750000000000004</v>
      </c>
      <c r="O37" s="734">
        <v>7.15</v>
      </c>
      <c r="U37" s="168">
        <v>1999</v>
      </c>
      <c r="V37" s="170">
        <f t="shared" si="18"/>
        <v>9.433229813664596</v>
      </c>
      <c r="W37" s="170">
        <f t="shared" si="19"/>
        <v>17.04192546583851</v>
      </c>
      <c r="X37" s="170">
        <f t="shared" si="20"/>
        <v>3.7267080745341614</v>
      </c>
      <c r="Y37" s="170">
        <f t="shared" si="21"/>
        <v>1.9409937888198758</v>
      </c>
      <c r="Z37" s="170">
        <f t="shared" si="22"/>
        <v>1.9409937888198758</v>
      </c>
      <c r="AA37" s="170">
        <f t="shared" si="23"/>
        <v>2.872670807453416</v>
      </c>
      <c r="AB37" s="170">
        <f t="shared" si="24"/>
        <v>32.37577639751553</v>
      </c>
      <c r="AC37" s="170">
        <f t="shared" si="25"/>
        <v>0.34937888198757766</v>
      </c>
      <c r="AD37" s="170">
        <f t="shared" si="26"/>
        <v>27.872670807453417</v>
      </c>
      <c r="AE37" s="170">
        <f t="shared" si="27"/>
        <v>2.4844720496894408</v>
      </c>
      <c r="AG37" s="168">
        <v>4.5172413793103443</v>
      </c>
      <c r="AH37" s="168">
        <v>12.517241379310345</v>
      </c>
      <c r="AI37" s="168">
        <v>4.1379310344827589</v>
      </c>
      <c r="AJ37" s="168">
        <v>3.0172413793103448</v>
      </c>
      <c r="AK37" s="168">
        <v>2.6724137931034484</v>
      </c>
      <c r="AL37" s="168">
        <v>3.0862068965517242</v>
      </c>
      <c r="AM37" s="168">
        <v>38.53448275862069</v>
      </c>
      <c r="AN37" s="168">
        <v>0.32758620689655199</v>
      </c>
      <c r="AO37" s="168">
        <v>27.379310344827584</v>
      </c>
      <c r="AP37" s="168">
        <v>3.7931034482758621</v>
      </c>
      <c r="AR37" s="168">
        <f t="shared" si="28"/>
        <v>0.10717235730597569</v>
      </c>
      <c r="AS37" s="168">
        <f t="shared" si="8"/>
        <v>0.13149437414536291</v>
      </c>
      <c r="AT37" s="168">
        <f t="shared" si="9"/>
        <v>3.7579737205605722E-2</v>
      </c>
      <c r="AU37" s="168">
        <f t="shared" si="10"/>
        <v>2.2593654341382826E-2</v>
      </c>
      <c r="AV37" s="168">
        <f t="shared" si="11"/>
        <v>1.3951841851360825E-2</v>
      </c>
      <c r="AW37" s="168">
        <f t="shared" si="12"/>
        <v>2.8042507999750114E-2</v>
      </c>
      <c r="AX37" s="168">
        <f t="shared" si="13"/>
        <v>0.39125545753017688</v>
      </c>
      <c r="AY37" s="168">
        <f t="shared" si="14"/>
        <v>4.1786113405568245E-3</v>
      </c>
      <c r="AZ37" s="168">
        <f t="shared" si="15"/>
        <v>0.2310105714702187</v>
      </c>
      <c r="BA37" s="168">
        <f t="shared" si="16"/>
        <v>3.2734769239312261E-2</v>
      </c>
    </row>
    <row r="38" spans="1:53" ht="12.4" customHeight="1">
      <c r="A38" s="168">
        <f t="shared" si="5"/>
        <v>2000</v>
      </c>
      <c r="B38" s="186">
        <f t="shared" si="0"/>
        <v>6.7691205730202952</v>
      </c>
      <c r="C38" s="179">
        <f t="shared" si="1"/>
        <v>6.7372068965517249</v>
      </c>
      <c r="D38" s="179">
        <f t="shared" si="2"/>
        <v>6.7185648392733777</v>
      </c>
      <c r="E38" s="734" t="s">
        <v>744</v>
      </c>
      <c r="F38" s="734">
        <v>5.5</v>
      </c>
      <c r="G38" s="734">
        <v>5.6</v>
      </c>
      <c r="H38" s="734">
        <v>5.7</v>
      </c>
      <c r="I38" s="734">
        <v>5.75</v>
      </c>
      <c r="J38" s="734">
        <v>6.9</v>
      </c>
      <c r="K38" s="734">
        <v>6.85</v>
      </c>
      <c r="L38" s="734">
        <v>6</v>
      </c>
      <c r="M38" s="734">
        <v>6</v>
      </c>
      <c r="N38" s="734">
        <v>5.9</v>
      </c>
      <c r="O38" s="734">
        <v>7.6</v>
      </c>
      <c r="U38" s="168">
        <v>2000</v>
      </c>
      <c r="V38" s="170">
        <f t="shared" si="18"/>
        <v>9.1126144050935132</v>
      </c>
      <c r="W38" s="170">
        <f t="shared" si="19"/>
        <v>16.951850378034223</v>
      </c>
      <c r="X38" s="170">
        <f t="shared" si="20"/>
        <v>3.4619976124154399</v>
      </c>
      <c r="Y38" s="170">
        <f t="shared" si="21"/>
        <v>1.8702745722244329</v>
      </c>
      <c r="Z38" s="170">
        <f t="shared" si="22"/>
        <v>1.8304814962196578</v>
      </c>
      <c r="AA38" s="170">
        <f t="shared" si="23"/>
        <v>2.9048945483485875</v>
      </c>
      <c r="AB38" s="170">
        <f t="shared" si="24"/>
        <v>32.510943095901311</v>
      </c>
      <c r="AC38" s="170">
        <f t="shared" si="25"/>
        <v>0.35813768404297652</v>
      </c>
      <c r="AD38" s="170">
        <f t="shared" si="26"/>
        <v>28.292877039395144</v>
      </c>
      <c r="AE38" s="170">
        <f t="shared" si="27"/>
        <v>2.7059291683247113</v>
      </c>
      <c r="AG38" s="168">
        <v>4.5172413793103443</v>
      </c>
      <c r="AH38" s="168">
        <v>12.517241379310345</v>
      </c>
      <c r="AI38" s="168">
        <v>4.1379310344827589</v>
      </c>
      <c r="AJ38" s="168">
        <v>3.0172413793103448</v>
      </c>
      <c r="AK38" s="168">
        <v>2.6724137931034484</v>
      </c>
      <c r="AL38" s="168">
        <v>3.0862068965517242</v>
      </c>
      <c r="AM38" s="168">
        <v>38.53448275862069</v>
      </c>
      <c r="AN38" s="168">
        <v>0.32758620689655199</v>
      </c>
      <c r="AO38" s="168">
        <v>27.379310344827584</v>
      </c>
      <c r="AP38" s="168">
        <v>3.7931034482758621</v>
      </c>
      <c r="AR38" s="168">
        <f t="shared" si="28"/>
        <v>0.10728654447921322</v>
      </c>
      <c r="AS38" s="168">
        <f t="shared" si="8"/>
        <v>0.13080966120751547</v>
      </c>
      <c r="AT38" s="168">
        <f t="shared" si="9"/>
        <v>3.7408054618604455E-2</v>
      </c>
      <c r="AU38" s="168">
        <f t="shared" si="10"/>
        <v>2.2432641118380947E-2</v>
      </c>
      <c r="AV38" s="168">
        <f t="shared" si="11"/>
        <v>1.3410818059901653E-2</v>
      </c>
      <c r="AW38" s="168">
        <f t="shared" si="12"/>
        <v>2.7864699746684544E-2</v>
      </c>
      <c r="AX38" s="168">
        <f t="shared" si="13"/>
        <v>0.3940003522033026</v>
      </c>
      <c r="AY38" s="168">
        <f t="shared" si="14"/>
        <v>4.2467590523021905E-3</v>
      </c>
      <c r="AZ38" s="168">
        <f t="shared" si="15"/>
        <v>0.23047642269814822</v>
      </c>
      <c r="BA38" s="168">
        <f t="shared" si="16"/>
        <v>3.2070819956380975E-2</v>
      </c>
    </row>
    <row r="39" spans="1:53" ht="12.4" customHeight="1">
      <c r="A39" s="168">
        <f t="shared" si="5"/>
        <v>2001</v>
      </c>
      <c r="B39" s="186">
        <f t="shared" si="0"/>
        <v>6.8838082901554403</v>
      </c>
      <c r="C39" s="179">
        <f t="shared" si="1"/>
        <v>6.8332672413793105</v>
      </c>
      <c r="D39" s="179">
        <f t="shared" si="2"/>
        <v>6.8072610429406808</v>
      </c>
      <c r="E39" s="734" t="s">
        <v>744</v>
      </c>
      <c r="F39" s="734">
        <v>5.5</v>
      </c>
      <c r="G39" s="734">
        <v>5.8</v>
      </c>
      <c r="H39" s="734">
        <v>5.8</v>
      </c>
      <c r="I39" s="734">
        <v>5.9</v>
      </c>
      <c r="J39" s="734">
        <v>7</v>
      </c>
      <c r="K39" s="734">
        <v>6.85</v>
      </c>
      <c r="L39" s="734">
        <v>6.25</v>
      </c>
      <c r="M39" s="734">
        <v>6</v>
      </c>
      <c r="N39" s="734">
        <v>5.9</v>
      </c>
      <c r="O39" s="734">
        <v>8</v>
      </c>
      <c r="U39" s="168">
        <v>2001</v>
      </c>
      <c r="V39" s="170">
        <f t="shared" si="18"/>
        <v>9.1537132987910184</v>
      </c>
      <c r="W39" s="170">
        <f t="shared" si="19"/>
        <v>17.055267702936096</v>
      </c>
      <c r="X39" s="170">
        <f t="shared" si="20"/>
        <v>3.0656303972366148</v>
      </c>
      <c r="Y39" s="170">
        <f t="shared" si="21"/>
        <v>1.9861830742659758</v>
      </c>
      <c r="Z39" s="170">
        <f t="shared" si="22"/>
        <v>1.7271157167530224</v>
      </c>
      <c r="AA39" s="170">
        <f t="shared" si="23"/>
        <v>2.849740932642487</v>
      </c>
      <c r="AB39" s="170">
        <f t="shared" si="24"/>
        <v>31.735751295336787</v>
      </c>
      <c r="AC39" s="170">
        <f t="shared" si="25"/>
        <v>0.34542314335060448</v>
      </c>
      <c r="AD39" s="170">
        <f t="shared" si="26"/>
        <v>29.404145077720209</v>
      </c>
      <c r="AE39" s="170">
        <f t="shared" si="27"/>
        <v>2.6338514680483591</v>
      </c>
      <c r="AG39" s="168">
        <v>4.5172413793103443</v>
      </c>
      <c r="AH39" s="168">
        <v>12.517241379310345</v>
      </c>
      <c r="AI39" s="168">
        <v>4.1379310344827589</v>
      </c>
      <c r="AJ39" s="168">
        <v>3.0172413793103448</v>
      </c>
      <c r="AK39" s="168">
        <v>2.6724137931034484</v>
      </c>
      <c r="AL39" s="168">
        <v>3.0862068965517242</v>
      </c>
      <c r="AM39" s="168">
        <v>38.53448275862069</v>
      </c>
      <c r="AN39" s="168">
        <v>0.32758620689655199</v>
      </c>
      <c r="AO39" s="168">
        <v>27.379310344827601</v>
      </c>
      <c r="AP39" s="168">
        <v>3.7931034482758621</v>
      </c>
      <c r="AR39" s="168">
        <f t="shared" si="28"/>
        <v>0.10911803669160054</v>
      </c>
      <c r="AS39" s="168">
        <f t="shared" si="8"/>
        <v>0.12856779649676839</v>
      </c>
      <c r="AT39" s="168">
        <f t="shared" si="9"/>
        <v>3.7086349707617983E-2</v>
      </c>
      <c r="AU39" s="168">
        <f t="shared" si="10"/>
        <v>2.2085881361148654E-2</v>
      </c>
      <c r="AV39" s="168">
        <f t="shared" si="11"/>
        <v>1.3635572921545276E-2</v>
      </c>
      <c r="AW39" s="168">
        <f t="shared" si="12"/>
        <v>2.7779636295513239E-2</v>
      </c>
      <c r="AX39" s="168">
        <f t="shared" si="13"/>
        <v>0.39650212094043968</v>
      </c>
      <c r="AY39" s="168">
        <f t="shared" si="14"/>
        <v>4.2552622071161898E-3</v>
      </c>
      <c r="AZ39" s="168">
        <f t="shared" si="15"/>
        <v>0.23017221768743892</v>
      </c>
      <c r="BA39" s="168">
        <f t="shared" si="16"/>
        <v>3.0797125690811042E-2</v>
      </c>
    </row>
    <row r="40" spans="1:53" ht="12.4" customHeight="1">
      <c r="A40" s="168">
        <f t="shared" si="5"/>
        <v>2002</v>
      </c>
      <c r="B40" s="186">
        <f t="shared" si="0"/>
        <v>6.9815658657829331</v>
      </c>
      <c r="C40" s="179">
        <f t="shared" si="1"/>
        <v>6.9372025862068982</v>
      </c>
      <c r="D40" s="179">
        <f t="shared" si="2"/>
        <v>6.8925919636325625</v>
      </c>
      <c r="E40" s="734" t="s">
        <v>744</v>
      </c>
      <c r="F40" s="734">
        <f>(5.75+6)/2</f>
        <v>5.875</v>
      </c>
      <c r="G40" s="734">
        <v>6</v>
      </c>
      <c r="H40" s="734">
        <v>6</v>
      </c>
      <c r="I40" s="734">
        <v>6</v>
      </c>
      <c r="J40" s="734">
        <v>7.2</v>
      </c>
      <c r="K40" s="734">
        <v>6.85</v>
      </c>
      <c r="L40" s="734">
        <v>6.5</v>
      </c>
      <c r="M40" s="734">
        <f>(6.35+6.65)/2</f>
        <v>6.5</v>
      </c>
      <c r="N40" s="734">
        <v>5.9</v>
      </c>
      <c r="O40" s="734">
        <v>8</v>
      </c>
      <c r="U40" s="168">
        <v>2002</v>
      </c>
      <c r="V40" s="170">
        <f t="shared" si="18"/>
        <v>8.6578293289146639</v>
      </c>
      <c r="W40" s="170">
        <f t="shared" si="19"/>
        <v>17.647058823529413</v>
      </c>
      <c r="X40" s="170">
        <f t="shared" si="20"/>
        <v>3.1897265948632976</v>
      </c>
      <c r="Y40" s="170">
        <f t="shared" si="21"/>
        <v>2.1541010770505387</v>
      </c>
      <c r="Z40" s="170">
        <f t="shared" si="22"/>
        <v>1.7398508699254349</v>
      </c>
      <c r="AA40" s="170">
        <f t="shared" si="23"/>
        <v>2.4855012427506216</v>
      </c>
      <c r="AB40" s="170">
        <f t="shared" si="24"/>
        <v>36.081193040596517</v>
      </c>
      <c r="AC40" s="170">
        <f t="shared" si="25"/>
        <v>0.28997514498757249</v>
      </c>
      <c r="AD40" s="170">
        <f t="shared" si="26"/>
        <v>25.434962717481358</v>
      </c>
      <c r="AE40" s="170">
        <f t="shared" si="27"/>
        <v>2.3198011599005799</v>
      </c>
      <c r="AG40" s="168">
        <v>4.5172413793103443</v>
      </c>
      <c r="AH40" s="168">
        <v>12.517241379310345</v>
      </c>
      <c r="AI40" s="168">
        <v>4.1379310344827589</v>
      </c>
      <c r="AJ40" s="168">
        <v>3.0172413793103448</v>
      </c>
      <c r="AK40" s="168">
        <v>2.6724137931034484</v>
      </c>
      <c r="AL40" s="168">
        <v>3.0862068965517242</v>
      </c>
      <c r="AM40" s="168">
        <v>38.53448275862069</v>
      </c>
      <c r="AN40" s="168">
        <v>0.32758620689655199</v>
      </c>
      <c r="AO40" s="168">
        <v>27.379310344827601</v>
      </c>
      <c r="AP40" s="168">
        <v>3.7931034482758621</v>
      </c>
      <c r="AR40" s="168">
        <f t="shared" si="28"/>
        <v>0.10912843557320515</v>
      </c>
      <c r="AS40" s="168">
        <f t="shared" si="8"/>
        <v>0.12834413209321768</v>
      </c>
      <c r="AT40" s="168">
        <f t="shared" si="9"/>
        <v>3.7046713345177139E-2</v>
      </c>
      <c r="AU40" s="168">
        <f t="shared" si="10"/>
        <v>2.2409603929355211E-2</v>
      </c>
      <c r="AV40" s="168">
        <f t="shared" si="11"/>
        <v>1.3533284564740306E-2</v>
      </c>
      <c r="AW40" s="168">
        <f t="shared" si="12"/>
        <v>2.7621747309018705E-2</v>
      </c>
      <c r="AX40" s="168">
        <f t="shared" si="13"/>
        <v>0.39394137318424077</v>
      </c>
      <c r="AY40" s="168">
        <f t="shared" si="14"/>
        <v>4.2258856724840636E-3</v>
      </c>
      <c r="AZ40" s="168">
        <f t="shared" si="15"/>
        <v>0.23316830389800397</v>
      </c>
      <c r="BA40" s="168">
        <f t="shared" si="16"/>
        <v>3.0587051938551574E-2</v>
      </c>
    </row>
    <row r="41" spans="1:53" ht="12.4" customHeight="1">
      <c r="A41" s="168">
        <f t="shared" si="5"/>
        <v>2003</v>
      </c>
      <c r="B41" s="186">
        <f t="shared" si="0"/>
        <v>7.0022965350523769</v>
      </c>
      <c r="C41" s="179">
        <f t="shared" si="1"/>
        <v>6.9924913793103478</v>
      </c>
      <c r="D41" s="179">
        <f t="shared" si="2"/>
        <v>6.9391796354076938</v>
      </c>
      <c r="E41" s="734" t="s">
        <v>744</v>
      </c>
      <c r="F41" s="734">
        <v>6</v>
      </c>
      <c r="G41" s="734">
        <v>6.25</v>
      </c>
      <c r="H41" s="734">
        <v>6.25</v>
      </c>
      <c r="I41" s="734">
        <v>6</v>
      </c>
      <c r="J41" s="734">
        <v>7.3</v>
      </c>
      <c r="K41" s="734">
        <v>6.85</v>
      </c>
      <c r="L41" s="734">
        <v>6.75</v>
      </c>
      <c r="M41" s="734">
        <v>6.65</v>
      </c>
      <c r="N41" s="734">
        <v>5.9</v>
      </c>
      <c r="O41" s="734">
        <v>8</v>
      </c>
      <c r="U41" s="168">
        <v>2003</v>
      </c>
      <c r="V41" s="170">
        <f t="shared" si="18"/>
        <v>9.7099113618049966</v>
      </c>
      <c r="W41" s="170">
        <f t="shared" si="19"/>
        <v>16.478646253021758</v>
      </c>
      <c r="X41" s="170">
        <f t="shared" si="20"/>
        <v>3.3037872683319902</v>
      </c>
      <c r="Y41" s="170">
        <f t="shared" si="21"/>
        <v>2.0547945205479454</v>
      </c>
      <c r="Z41" s="170">
        <f t="shared" si="22"/>
        <v>1.8130539887187751</v>
      </c>
      <c r="AA41" s="170">
        <f t="shared" si="23"/>
        <v>2.7397260273972601</v>
      </c>
      <c r="AB41" s="170">
        <f t="shared" si="24"/>
        <v>35.173247381144236</v>
      </c>
      <c r="AC41" s="170">
        <f t="shared" si="25"/>
        <v>0.28203062046736505</v>
      </c>
      <c r="AD41" s="170">
        <f t="shared" si="26"/>
        <v>25.987107171635778</v>
      </c>
      <c r="AE41" s="170">
        <f t="shared" si="27"/>
        <v>2.4174053182917001</v>
      </c>
      <c r="AG41" s="168">
        <v>4.5172413793103443</v>
      </c>
      <c r="AH41" s="168">
        <v>12.517241379310345</v>
      </c>
      <c r="AI41" s="168">
        <v>4.1379310344827589</v>
      </c>
      <c r="AJ41" s="168">
        <v>3.0172413793103448</v>
      </c>
      <c r="AK41" s="168">
        <v>2.6724137931034484</v>
      </c>
      <c r="AL41" s="168">
        <v>3.0862068965517242</v>
      </c>
      <c r="AM41" s="168">
        <v>38.53448275862069</v>
      </c>
      <c r="AN41" s="168">
        <v>0.32758620689655199</v>
      </c>
      <c r="AO41" s="168">
        <v>27.379310344827601</v>
      </c>
      <c r="AP41" s="168">
        <v>3.7931034482758621</v>
      </c>
      <c r="AR41" s="168">
        <f t="shared" si="28"/>
        <v>0.10953720896103317</v>
      </c>
      <c r="AS41" s="168">
        <f t="shared" si="8"/>
        <v>0.12855164844981273</v>
      </c>
      <c r="AT41" s="168">
        <f t="shared" si="9"/>
        <v>3.6389043088761702E-2</v>
      </c>
      <c r="AU41" s="168">
        <f t="shared" si="10"/>
        <v>2.1892128149665336E-2</v>
      </c>
      <c r="AV41" s="168">
        <f t="shared" si="11"/>
        <v>1.3546192964657391E-2</v>
      </c>
      <c r="AW41" s="168">
        <f t="shared" si="12"/>
        <v>2.7513511099200499E-2</v>
      </c>
      <c r="AX41" s="168">
        <f t="shared" si="13"/>
        <v>0.39644468265666177</v>
      </c>
      <c r="AY41" s="168">
        <f t="shared" si="14"/>
        <v>4.2176323832494268E-3</v>
      </c>
      <c r="AZ41" s="168">
        <f t="shared" si="15"/>
        <v>0.2315422752244406</v>
      </c>
      <c r="BA41" s="168">
        <f t="shared" si="16"/>
        <v>3.0378438391301853E-2</v>
      </c>
    </row>
    <row r="42" spans="1:53" ht="12.4" customHeight="1">
      <c r="A42" s="168">
        <f t="shared" si="5"/>
        <v>2004</v>
      </c>
      <c r="B42" s="186">
        <f>(N42*V42+O42*W42+L42*X42+I42*Y42+F42*Z42+AA42*H42+K42*AB42+AC42*G42+J42*AD42+AE42*M42)/100</f>
        <v>7.1573295222539812</v>
      </c>
      <c r="C42" s="179">
        <f t="shared" si="1"/>
        <v>7.1740775862068986</v>
      </c>
      <c r="D42" s="179">
        <f t="shared" si="2"/>
        <v>7.1138975982943506</v>
      </c>
      <c r="E42" s="734" t="s">
        <v>744</v>
      </c>
      <c r="F42" s="734">
        <v>6</v>
      </c>
      <c r="G42" s="734">
        <v>6.5</v>
      </c>
      <c r="H42" s="734">
        <v>6.5</v>
      </c>
      <c r="I42" s="734">
        <v>6.2</v>
      </c>
      <c r="J42" s="734">
        <v>7.45</v>
      </c>
      <c r="K42" s="734">
        <v>7.15</v>
      </c>
      <c r="L42" s="734">
        <v>7</v>
      </c>
      <c r="M42" s="734">
        <v>6.65</v>
      </c>
      <c r="N42" s="734">
        <v>5.9</v>
      </c>
      <c r="O42" s="734">
        <v>8</v>
      </c>
      <c r="U42" s="168">
        <v>2004</v>
      </c>
      <c r="V42" s="170">
        <f t="shared" si="18"/>
        <v>9.67741935483871</v>
      </c>
      <c r="W42" s="170">
        <f t="shared" si="19"/>
        <v>15.679869334422214</v>
      </c>
      <c r="X42" s="170">
        <f t="shared" si="20"/>
        <v>3.3483054307880766</v>
      </c>
      <c r="Y42" s="170">
        <f t="shared" si="21"/>
        <v>1.9191506737443855</v>
      </c>
      <c r="Z42" s="170">
        <f t="shared" si="22"/>
        <v>1.7149857084524296</v>
      </c>
      <c r="AA42" s="170">
        <f t="shared" si="23"/>
        <v>2.5724785626786444</v>
      </c>
      <c r="AB42" s="170">
        <f t="shared" si="24"/>
        <v>37.893017558187012</v>
      </c>
      <c r="AC42" s="170">
        <f t="shared" si="25"/>
        <v>0.20416496529195591</v>
      </c>
      <c r="AD42" s="170">
        <f t="shared" si="26"/>
        <v>24.21396488362597</v>
      </c>
      <c r="AE42" s="170">
        <f t="shared" si="27"/>
        <v>2.735810534912209</v>
      </c>
      <c r="AG42" s="168">
        <v>4.5172413793103443</v>
      </c>
      <c r="AH42" s="168">
        <v>12.517241379310345</v>
      </c>
      <c r="AI42" s="168">
        <v>4.1379310344827589</v>
      </c>
      <c r="AJ42" s="168">
        <v>3.0172413793103448</v>
      </c>
      <c r="AK42" s="168">
        <v>2.6724137931034484</v>
      </c>
      <c r="AL42" s="168">
        <v>3.0862068965517242</v>
      </c>
      <c r="AM42" s="168">
        <v>38.53448275862069</v>
      </c>
      <c r="AN42" s="168">
        <v>0.32758620689655199</v>
      </c>
      <c r="AO42" s="168">
        <v>27.379310344827601</v>
      </c>
      <c r="AP42" s="168">
        <v>3.7931034482758621</v>
      </c>
      <c r="AR42" s="168">
        <f t="shared" si="28"/>
        <v>0.11020881670533643</v>
      </c>
      <c r="AS42" s="168">
        <f t="shared" si="8"/>
        <v>0.12934721264187621</v>
      </c>
      <c r="AT42" s="168">
        <f t="shared" si="9"/>
        <v>3.6157270960055186E-2</v>
      </c>
      <c r="AU42" s="168">
        <f t="shared" si="10"/>
        <v>2.1953972534018939E-2</v>
      </c>
      <c r="AV42" s="168">
        <f t="shared" si="11"/>
        <v>1.3438264250329216E-2</v>
      </c>
      <c r="AW42" s="168">
        <f t="shared" si="12"/>
        <v>2.7729353483413807E-2</v>
      </c>
      <c r="AX42" s="168">
        <f t="shared" si="13"/>
        <v>0.39609330908634854</v>
      </c>
      <c r="AY42" s="168">
        <f t="shared" si="14"/>
        <v>4.1951464225246128E-3</v>
      </c>
      <c r="AZ42" s="168">
        <f t="shared" si="15"/>
        <v>0.23079576095817395</v>
      </c>
      <c r="BA42" s="168">
        <f t="shared" si="16"/>
        <v>3.0080892957923121E-2</v>
      </c>
    </row>
    <row r="43" spans="1:53" ht="12.4" customHeight="1">
      <c r="A43" s="284">
        <v>2005</v>
      </c>
      <c r="B43" s="186">
        <f>(N43*V43+O43*W43+L43*X43+I43*Y43+F43*Z43+AA43*H43+K43*AB43+AC43*G43+J43*AD43+AE43*M43)/100</f>
        <v>7.4609920134510297</v>
      </c>
      <c r="C43" s="179">
        <f>(N43*AG43+O43*AH43+L43*AI43+I43*AJ43+F43*AK43+H43*AL43+K43*AM43+G43*AN43+J43*AO43+M43*AP43)/100</f>
        <v>7.4258965517241382</v>
      </c>
      <c r="D43" s="179">
        <f t="shared" si="2"/>
        <v>7.4267370452141979</v>
      </c>
      <c r="E43" s="734" t="s">
        <v>744</v>
      </c>
      <c r="F43" s="734">
        <v>6.25</v>
      </c>
      <c r="G43" s="734">
        <v>6.8</v>
      </c>
      <c r="H43" s="734">
        <v>6.8</v>
      </c>
      <c r="I43" s="734">
        <v>6.3</v>
      </c>
      <c r="J43" s="734">
        <v>7.6</v>
      </c>
      <c r="K43" s="734">
        <v>7.45</v>
      </c>
      <c r="L43" s="734">
        <v>7.25</v>
      </c>
      <c r="M43" s="734">
        <v>7.05</v>
      </c>
      <c r="N43" s="734">
        <v>7</v>
      </c>
      <c r="O43" s="734">
        <v>8</v>
      </c>
      <c r="U43" s="168">
        <v>2005</v>
      </c>
      <c r="V43" s="170">
        <f>AF94/W94*100</f>
        <v>8.3228247162673394</v>
      </c>
      <c r="W43" s="170">
        <f t="shared" si="19"/>
        <v>15.55275325767129</v>
      </c>
      <c r="X43" s="170">
        <f t="shared" si="20"/>
        <v>3.7831021437578816</v>
      </c>
      <c r="Y43" s="170">
        <f t="shared" si="21"/>
        <v>2.1437578814627996</v>
      </c>
      <c r="Z43" s="170">
        <f t="shared" si="22"/>
        <v>1.3451029844472469</v>
      </c>
      <c r="AA43" s="170">
        <f t="shared" si="23"/>
        <v>2.4379991593106349</v>
      </c>
      <c r="AB43" s="170">
        <f t="shared" si="24"/>
        <v>36.738125262715428</v>
      </c>
      <c r="AC43" s="170">
        <f t="shared" si="25"/>
        <v>0.2101723413198823</v>
      </c>
      <c r="AD43" s="170">
        <f t="shared" si="26"/>
        <v>26.607818411097099</v>
      </c>
      <c r="AE43" s="170">
        <f t="shared" si="27"/>
        <v>2.8583438419503993</v>
      </c>
      <c r="AG43" s="168">
        <v>4.5172413793103443</v>
      </c>
      <c r="AH43" s="168">
        <v>12.517241379310345</v>
      </c>
      <c r="AI43" s="168">
        <v>4.1379310344827589</v>
      </c>
      <c r="AJ43" s="168">
        <v>3.0172413793103448</v>
      </c>
      <c r="AK43" s="168">
        <v>2.6724137931034484</v>
      </c>
      <c r="AL43" s="168">
        <v>3.0862068965517242</v>
      </c>
      <c r="AM43" s="168">
        <v>38.53448275862069</v>
      </c>
      <c r="AN43" s="168">
        <v>0.32758620689655199</v>
      </c>
      <c r="AO43" s="168">
        <v>27.379310344827601</v>
      </c>
      <c r="AP43" s="168">
        <v>3.7931034482758621</v>
      </c>
      <c r="AR43" s="168">
        <f t="shared" si="28"/>
        <v>0.11035455203250524</v>
      </c>
      <c r="AS43" s="168">
        <f t="shared" si="8"/>
        <v>0.13175878340352634</v>
      </c>
      <c r="AT43" s="168">
        <f t="shared" si="9"/>
        <v>3.588811171512149E-2</v>
      </c>
      <c r="AU43" s="168">
        <f t="shared" si="10"/>
        <v>2.1676345263053735E-2</v>
      </c>
      <c r="AV43" s="168">
        <f t="shared" si="11"/>
        <v>1.3240814610042239E-2</v>
      </c>
      <c r="AW43" s="168">
        <f t="shared" si="12"/>
        <v>2.7403105809013156E-2</v>
      </c>
      <c r="AX43" s="168">
        <f t="shared" si="13"/>
        <v>0.39565978342207953</v>
      </c>
      <c r="AY43" s="168">
        <f t="shared" si="14"/>
        <v>4.2177653265057487E-3</v>
      </c>
      <c r="AZ43" s="168">
        <f t="shared" si="15"/>
        <v>0.2298929479211117</v>
      </c>
      <c r="BA43" s="168">
        <f t="shared" si="16"/>
        <v>2.9901606090403654E-2</v>
      </c>
    </row>
    <row r="44" spans="1:53" ht="12.4" customHeight="1">
      <c r="A44" s="284">
        <v>2006</v>
      </c>
      <c r="B44" s="186">
        <f>(N44*V44+O44*W44+L44*X44+I44*Y44+F44*Z44+AA44*H44+K44*AB44+AC44*G44+J44*AD44+AE44*M44)/100</f>
        <v>7.6790736842105263</v>
      </c>
      <c r="C44" s="179">
        <f>(N44*AG44+O44*AH44+L44*AI44+I44*AJ44+F44*AK44+H44*AL44+K44*AM44+G44*AN44+J44*AO44+M44*AP44)/100</f>
        <v>7.65339655172414</v>
      </c>
      <c r="D44" s="179">
        <f>N44*AR44+O44*AS44+L44*AT44+I44*AU44+F44*AV44+H44*AW44+K44*AX44+G44*AY44+J44*AZ44+M44*BA44</f>
        <v>7.6326243759213313</v>
      </c>
      <c r="E44" s="734" t="s">
        <v>744</v>
      </c>
      <c r="F44" s="734">
        <v>6.75</v>
      </c>
      <c r="G44" s="734">
        <v>7.15</v>
      </c>
      <c r="H44" s="734">
        <v>7.15</v>
      </c>
      <c r="I44" s="734">
        <v>6.7</v>
      </c>
      <c r="J44" s="734">
        <v>7.75</v>
      </c>
      <c r="K44" s="734">
        <v>7.75</v>
      </c>
      <c r="L44" s="734">
        <v>7.6</v>
      </c>
      <c r="M44" s="734">
        <v>7.55</v>
      </c>
      <c r="N44" s="734">
        <v>7</v>
      </c>
      <c r="O44" s="734">
        <v>8</v>
      </c>
      <c r="U44" s="168">
        <v>2006</v>
      </c>
      <c r="V44" s="170">
        <f>AF95/W95*100</f>
        <v>7.3263157894736839</v>
      </c>
      <c r="W44" s="170">
        <f>AG95/W95*100</f>
        <v>16.042105263157893</v>
      </c>
      <c r="X44" s="170">
        <f>100*AD95/W95</f>
        <v>3.5789473684210527</v>
      </c>
      <c r="Y44" s="170">
        <f>100*AA95/W95</f>
        <v>2.0210526315789474</v>
      </c>
      <c r="Z44" s="170">
        <f>100*X95/W95</f>
        <v>1.1789473684210525</v>
      </c>
      <c r="AA44" s="170">
        <f>100*Z95/W95</f>
        <v>2.4</v>
      </c>
      <c r="AB44" s="170">
        <f>100*AC95/W95</f>
        <v>38.06315789473684</v>
      </c>
      <c r="AC44" s="170">
        <f>100*Y95/W95</f>
        <v>0.21052631578947367</v>
      </c>
      <c r="AD44" s="170">
        <f>100*AB95/W95</f>
        <v>26.568421052631578</v>
      </c>
      <c r="AE44" s="170">
        <f>100*AE95/W95</f>
        <v>2.6526315789473682</v>
      </c>
      <c r="AG44" s="168">
        <v>4.5172413793103443</v>
      </c>
      <c r="AH44" s="168">
        <v>12.517241379310345</v>
      </c>
      <c r="AI44" s="168">
        <v>4.1379310344827589</v>
      </c>
      <c r="AJ44" s="168">
        <v>3.0172413793103448</v>
      </c>
      <c r="AK44" s="168">
        <v>2.6724137931034484</v>
      </c>
      <c r="AL44" s="168">
        <v>3.0862068965517242</v>
      </c>
      <c r="AM44" s="168">
        <v>38.53448275862069</v>
      </c>
      <c r="AN44" s="168">
        <v>0.32758620689655199</v>
      </c>
      <c r="AO44" s="168">
        <v>27.379310344827601</v>
      </c>
      <c r="AP44" s="168">
        <v>3.7931034482758621</v>
      </c>
      <c r="AR44" s="168">
        <f t="shared" si="28"/>
        <v>0.11348373907293607</v>
      </c>
      <c r="AS44" s="168">
        <f t="shared" si="8"/>
        <v>0.13318733582863695</v>
      </c>
      <c r="AT44" s="168">
        <f t="shared" si="9"/>
        <v>3.560964068841261E-2</v>
      </c>
      <c r="AU44" s="168">
        <f t="shared" si="10"/>
        <v>2.1559908519015063E-2</v>
      </c>
      <c r="AV44" s="168">
        <f t="shared" si="11"/>
        <v>1.3085178017871551E-2</v>
      </c>
      <c r="AW44" s="168">
        <f t="shared" si="12"/>
        <v>2.6801259380137468E-2</v>
      </c>
      <c r="AX44" s="168">
        <f t="shared" si="13"/>
        <v>0.39387174462973862</v>
      </c>
      <c r="AY44" s="168">
        <f t="shared" si="14"/>
        <v>4.1615355216782024E-3</v>
      </c>
      <c r="AZ44" s="168">
        <f t="shared" si="15"/>
        <v>0.22842340894062838</v>
      </c>
      <c r="BA44" s="168">
        <f t="shared" si="16"/>
        <v>2.982231577925663E-2</v>
      </c>
    </row>
    <row r="45" spans="1:53" ht="12.4" customHeight="1">
      <c r="A45" s="284">
        <v>2007</v>
      </c>
      <c r="B45" s="186">
        <f>(N45*V44+O45*W44+L45*X44+I45*Y44+F45*Z44+AA44*H45+K45*AB44+AC44*G45+J45*AD44+AE44*M45)/100</f>
        <v>7.9703368421052634</v>
      </c>
      <c r="C45" s="179">
        <f>(N45*AG45+O45*AH45+L45*AI45+I45*AJ45+F45*AK45+H45*AL45+K45*AM45+G45*AN45+J45*AO45+M45*AP45)/100</f>
        <v>7.9467500000000015</v>
      </c>
      <c r="D45" s="179">
        <f>N45*AR45+O45*AS45+L45*AT45+I45*AU45+F45*AV45+H45*AW45+K45*AX45+G45*AY45+J45*AZ45+M45*BA45</f>
        <v>7.9632268889626703</v>
      </c>
      <c r="E45" s="734" t="s">
        <v>744</v>
      </c>
      <c r="F45" s="734">
        <v>7.5</v>
      </c>
      <c r="G45" s="734">
        <v>7.5</v>
      </c>
      <c r="H45" s="734">
        <v>7.6</v>
      </c>
      <c r="I45" s="734">
        <v>7.25</v>
      </c>
      <c r="J45" s="734">
        <v>8</v>
      </c>
      <c r="K45" s="734">
        <v>8</v>
      </c>
      <c r="L45" s="734">
        <v>8</v>
      </c>
      <c r="M45" s="734">
        <v>7.95</v>
      </c>
      <c r="N45" s="734">
        <v>8</v>
      </c>
      <c r="O45" s="734">
        <v>8</v>
      </c>
      <c r="U45" s="168">
        <v>2007</v>
      </c>
      <c r="V45" s="170" t="e">
        <f>AF96/W96*100</f>
        <v>#DIV/0!</v>
      </c>
      <c r="W45" s="170" t="e">
        <f>AG96/W96*100</f>
        <v>#DIV/0!</v>
      </c>
      <c r="X45" s="170" t="e">
        <f>100*AD96/W96</f>
        <v>#DIV/0!</v>
      </c>
      <c r="Y45" s="170" t="e">
        <f>100*AA96/W96</f>
        <v>#DIV/0!</v>
      </c>
      <c r="Z45" s="170" t="e">
        <f>100*X96/W96</f>
        <v>#DIV/0!</v>
      </c>
      <c r="AA45" s="170" t="e">
        <f>100*Z96/W96</f>
        <v>#DIV/0!</v>
      </c>
      <c r="AB45" s="170" t="e">
        <f>100*AC96/W96</f>
        <v>#DIV/0!</v>
      </c>
      <c r="AC45" s="170" t="e">
        <f>100*Y96/W96</f>
        <v>#DIV/0!</v>
      </c>
      <c r="AD45" s="170" t="e">
        <f>100*AB96/W96</f>
        <v>#DIV/0!</v>
      </c>
      <c r="AE45" s="170" t="e">
        <f>100*AE96/W96</f>
        <v>#DIV/0!</v>
      </c>
      <c r="AG45" s="168">
        <v>4.5172413793103443</v>
      </c>
      <c r="AH45" s="168">
        <v>12.517241379310345</v>
      </c>
      <c r="AI45" s="168">
        <v>4.1379310344827589</v>
      </c>
      <c r="AJ45" s="168">
        <v>3.0172413793103448</v>
      </c>
      <c r="AK45" s="168">
        <v>2.6724137931034484</v>
      </c>
      <c r="AL45" s="168">
        <v>3.0862068965517242</v>
      </c>
      <c r="AM45" s="168">
        <v>38.53448275862069</v>
      </c>
      <c r="AN45" s="168">
        <v>0.32758620689655199</v>
      </c>
      <c r="AO45" s="168">
        <v>27.379310344827601</v>
      </c>
      <c r="AP45" s="168">
        <v>3.7931034482758621</v>
      </c>
      <c r="AR45" s="168">
        <f t="shared" si="28"/>
        <v>0.11617179718256415</v>
      </c>
      <c r="AS45" s="168">
        <f t="shared" si="8"/>
        <v>0.13436773703932078</v>
      </c>
      <c r="AT45" s="168">
        <f t="shared" si="9"/>
        <v>3.5366171797182558E-2</v>
      </c>
      <c r="AU45" s="168">
        <f t="shared" si="10"/>
        <v>2.1510221505478346E-2</v>
      </c>
      <c r="AV45" s="168">
        <f t="shared" si="11"/>
        <v>1.2871745007826209E-2</v>
      </c>
      <c r="AW45" s="168">
        <f t="shared" si="12"/>
        <v>2.6537968979746713E-2</v>
      </c>
      <c r="AX45" s="168">
        <f t="shared" si="13"/>
        <v>0.39094293980932504</v>
      </c>
      <c r="AY45" s="168">
        <f t="shared" si="14"/>
        <v>4.1087606128160127E-3</v>
      </c>
      <c r="AZ45" s="168">
        <f t="shared" si="15"/>
        <v>0.22836527059716355</v>
      </c>
      <c r="BA45" s="168">
        <f>BA95/AS95</f>
        <v>2.9751458521083334E-2</v>
      </c>
    </row>
    <row r="46" spans="1:53" ht="12.4" customHeight="1">
      <c r="A46" s="284">
        <v>2008</v>
      </c>
      <c r="B46" s="179">
        <f>(N46*V44+O46*W44+L46*X44+I46*Y44+F46*Z44+AA44*H46+K46*AB44+AC44*G46+J46*AD44+AE44*M46)/100</f>
        <v>8.4816210526315796</v>
      </c>
      <c r="C46" s="179">
        <f>(N46*AG46+O46*AH46+L46*AI46+I46*AJ46+F46*AK46+H46*AL46+K46*AM46+G46*AN46+J46*AO46+M46*AP46)/100</f>
        <v>8.4807672413793131</v>
      </c>
      <c r="D46" s="179">
        <f>N46*AR46+O46*AS46+L46*AT46+I46*AU46+F46*AV46+H46*AW46+K46*AX46+G46*AY46+J46*AZ46+M46*BA46</f>
        <v>8.4852114937696346</v>
      </c>
      <c r="E46" s="734" t="s">
        <v>744</v>
      </c>
      <c r="F46" s="734">
        <v>8</v>
      </c>
      <c r="G46" s="734">
        <v>7.75</v>
      </c>
      <c r="H46" s="734">
        <v>8.1</v>
      </c>
      <c r="I46" s="734">
        <v>7.75</v>
      </c>
      <c r="J46" s="734">
        <v>8.5</v>
      </c>
      <c r="K46" s="734">
        <v>8.75</v>
      </c>
      <c r="L46" s="734">
        <v>8.5</v>
      </c>
      <c r="M46" s="734">
        <v>8.6</v>
      </c>
      <c r="N46" s="734">
        <v>8.4</v>
      </c>
      <c r="O46" s="734">
        <v>8</v>
      </c>
      <c r="V46" s="170"/>
      <c r="W46" s="170"/>
      <c r="X46" s="170"/>
      <c r="Y46" s="170"/>
      <c r="Z46" s="170"/>
      <c r="AA46" s="170"/>
      <c r="AB46" s="170"/>
      <c r="AC46" s="170"/>
      <c r="AD46" s="170"/>
      <c r="AE46" s="170"/>
      <c r="AG46" s="168">
        <v>4.5172413793103443</v>
      </c>
      <c r="AH46" s="168">
        <v>12.517241379310345</v>
      </c>
      <c r="AI46" s="168">
        <v>4.1379310344827589</v>
      </c>
      <c r="AJ46" s="168">
        <v>3.0172413793103448</v>
      </c>
      <c r="AK46" s="168">
        <v>2.6724137931034484</v>
      </c>
      <c r="AL46" s="168">
        <v>3.0862068965517242</v>
      </c>
      <c r="AM46" s="168">
        <v>38.53448275862069</v>
      </c>
      <c r="AN46" s="168">
        <v>0.32758620689655199</v>
      </c>
      <c r="AO46" s="168">
        <v>27.379310344827601</v>
      </c>
      <c r="AP46" s="168">
        <v>3.7931034482758621</v>
      </c>
      <c r="AR46" s="168">
        <f t="shared" si="28"/>
        <v>0.11755947167431595</v>
      </c>
      <c r="AS46" s="168">
        <f t="shared" si="8"/>
        <v>0.13513529294981841</v>
      </c>
      <c r="AT46" s="168">
        <f t="shared" si="9"/>
        <v>3.5426082285207119E-2</v>
      </c>
      <c r="AU46" s="168">
        <f t="shared" si="10"/>
        <v>2.1382942694647841E-2</v>
      </c>
      <c r="AV46" s="168">
        <f t="shared" si="11"/>
        <v>1.2863632647817914E-2</v>
      </c>
      <c r="AW46" s="168">
        <f t="shared" si="12"/>
        <v>2.646299734902895E-2</v>
      </c>
      <c r="AX46" s="168">
        <f t="shared" si="13"/>
        <v>0.39048102862348039</v>
      </c>
      <c r="AY46" s="168">
        <f t="shared" si="14"/>
        <v>4.0990785831902746E-3</v>
      </c>
      <c r="AZ46" s="168">
        <f t="shared" si="15"/>
        <v>0.22665802473461094</v>
      </c>
      <c r="BA46" s="168">
        <f t="shared" si="16"/>
        <v>2.9937287601163161E-2</v>
      </c>
    </row>
    <row r="47" spans="1:53" ht="10.9" customHeight="1">
      <c r="A47" s="284"/>
      <c r="B47" s="115" t="s">
        <v>427</v>
      </c>
      <c r="C47" s="99"/>
      <c r="D47" s="99"/>
      <c r="E47" s="734"/>
      <c r="F47" s="734"/>
      <c r="G47" s="734"/>
      <c r="H47" s="734"/>
      <c r="I47" s="734"/>
      <c r="J47" s="734"/>
      <c r="K47" s="734"/>
      <c r="L47" s="734"/>
      <c r="M47" s="734"/>
      <c r="N47" s="734"/>
      <c r="O47" s="734"/>
      <c r="V47" s="170"/>
      <c r="W47" s="170"/>
      <c r="X47" s="170"/>
      <c r="Y47" s="170"/>
      <c r="Z47" s="170"/>
      <c r="AA47" s="170"/>
      <c r="AB47" s="170"/>
      <c r="AC47" s="170"/>
      <c r="AD47" s="170"/>
      <c r="AE47" s="170"/>
      <c r="AG47" s="168" t="s">
        <v>741</v>
      </c>
      <c r="AH47" s="168" t="s">
        <v>742</v>
      </c>
      <c r="AI47" s="168" t="s">
        <v>739</v>
      </c>
      <c r="AJ47" s="168" t="s">
        <v>792</v>
      </c>
      <c r="AK47" s="168" t="s">
        <v>1039</v>
      </c>
      <c r="AL47" s="168" t="s">
        <v>791</v>
      </c>
      <c r="AM47" s="168" t="s">
        <v>738</v>
      </c>
      <c r="AN47" s="168" t="s">
        <v>1040</v>
      </c>
      <c r="AO47" s="168" t="s">
        <v>1041</v>
      </c>
      <c r="AP47" s="168" t="s">
        <v>740</v>
      </c>
      <c r="AQ47" s="168" t="s">
        <v>375</v>
      </c>
    </row>
    <row r="48" spans="1:53" ht="12" customHeight="1">
      <c r="A48" s="445" t="s">
        <v>445</v>
      </c>
      <c r="B48" s="101">
        <f>(POWER(B44/B3,1/41)-1)*100</f>
        <v>5.4465949034438133</v>
      </c>
      <c r="C48" s="101">
        <f>(POWER(C44/C3,1/41)-1)*100</f>
        <v>5.3993986342664169</v>
      </c>
      <c r="D48" s="101">
        <f>(POWER(D44/D3,1/41)-1)*100</f>
        <v>5.3552104655599564</v>
      </c>
      <c r="E48" s="734" t="s">
        <v>744</v>
      </c>
      <c r="F48" s="101">
        <f t="shared" ref="F48:O48" si="29">(POWER(F44/F3,1/41)-1)*100</f>
        <v>6.0810638330710542</v>
      </c>
      <c r="G48" s="101">
        <f t="shared" si="29"/>
        <v>4.9147941197263512</v>
      </c>
      <c r="H48" s="101">
        <f t="shared" si="29"/>
        <v>5.1144794976688335</v>
      </c>
      <c r="I48" s="101">
        <f t="shared" si="29"/>
        <v>5.4018234901181517</v>
      </c>
      <c r="J48" s="101">
        <f t="shared" si="29"/>
        <v>5.7767560283175756</v>
      </c>
      <c r="K48" s="101">
        <f t="shared" si="29"/>
        <v>5.2527888749560825</v>
      </c>
      <c r="L48" s="101">
        <f t="shared" si="29"/>
        <v>5.726344533312977</v>
      </c>
      <c r="M48" s="101">
        <f t="shared" si="29"/>
        <v>5.2368454012896137</v>
      </c>
      <c r="N48" s="101">
        <f t="shared" si="29"/>
        <v>4.9253260473831162</v>
      </c>
      <c r="O48" s="101">
        <f t="shared" si="29"/>
        <v>5.2026270942415076</v>
      </c>
      <c r="Q48" s="101"/>
      <c r="V48" s="170"/>
      <c r="W48" s="170"/>
      <c r="X48" s="170"/>
      <c r="Y48" s="170"/>
      <c r="Z48" s="170"/>
      <c r="AA48" s="170"/>
      <c r="AB48" s="170"/>
      <c r="AC48" s="170"/>
      <c r="AD48" s="170"/>
      <c r="AE48" s="170"/>
    </row>
    <row r="49" spans="1:55" ht="12" customHeight="1">
      <c r="A49" s="445" t="s">
        <v>446</v>
      </c>
      <c r="B49" s="101">
        <f>(POWER(B45/B3,1/42)-1)*100</f>
        <v>5.4069177964221726</v>
      </c>
      <c r="C49" s="101">
        <f>(POWER(C45/C3,1/42)-1)*100</f>
        <v>5.3618298247330776</v>
      </c>
      <c r="D49" s="101">
        <f>(POWER(D45/D3,1/42)-1)*100</f>
        <v>5.3307186102872883</v>
      </c>
      <c r="E49" s="734" t="s">
        <v>744</v>
      </c>
      <c r="F49" s="101">
        <f t="shared" ref="F49:O49" si="30">(POWER(F45/F3,1/42)-1)*100</f>
        <v>6.1981386991762699</v>
      </c>
      <c r="G49" s="101">
        <f t="shared" si="30"/>
        <v>4.9143252857172692</v>
      </c>
      <c r="H49" s="101">
        <f t="shared" si="30"/>
        <v>5.1424037126904132</v>
      </c>
      <c r="I49" s="101">
        <f t="shared" si="30"/>
        <v>5.4678060807717532</v>
      </c>
      <c r="J49" s="101">
        <f t="shared" si="30"/>
        <v>5.7152926295465756</v>
      </c>
      <c r="K49" s="101">
        <f t="shared" si="30"/>
        <v>5.2040678991854161</v>
      </c>
      <c r="L49" s="101">
        <f t="shared" si="30"/>
        <v>5.7152926295465756</v>
      </c>
      <c r="M49" s="101">
        <f t="shared" si="30"/>
        <v>5.2383013655049382</v>
      </c>
      <c r="N49" s="101">
        <f t="shared" si="30"/>
        <v>5.1390230905441481</v>
      </c>
      <c r="O49" s="101">
        <f t="shared" si="30"/>
        <v>5.0756638653219444</v>
      </c>
      <c r="Q49" s="101"/>
      <c r="V49" s="170"/>
      <c r="W49" s="170"/>
      <c r="X49" s="170"/>
      <c r="Y49" s="170"/>
      <c r="Z49" s="170"/>
      <c r="AA49" s="170"/>
      <c r="AB49" s="170"/>
      <c r="AC49" s="170"/>
      <c r="AD49" s="170"/>
      <c r="AE49" s="170"/>
    </row>
    <row r="50" spans="1:55" ht="12" customHeight="1">
      <c r="A50" s="445" t="s">
        <v>1407</v>
      </c>
      <c r="B50" s="101">
        <f>(POWER(B46/B3,1/43)-1)*100</f>
        <v>5.4302490274818593</v>
      </c>
      <c r="C50" s="101">
        <f>(POWER(C46/C3,1/43)-1)*100</f>
        <v>5.3932167491538507</v>
      </c>
      <c r="D50" s="101">
        <f>(POWER(D46/D3,1/43)-1)*100</f>
        <v>5.3590284595859128</v>
      </c>
      <c r="E50" s="734" t="s">
        <v>744</v>
      </c>
      <c r="F50" s="101">
        <f t="shared" ref="F50:O50" si="31">(POWER(F46/F3,1/43)-1)*100</f>
        <v>6.2090112897728256</v>
      </c>
      <c r="G50" s="101">
        <f t="shared" si="31"/>
        <v>4.8772847267521735</v>
      </c>
      <c r="H50" s="101">
        <f t="shared" si="31"/>
        <v>5.1755907748755714</v>
      </c>
      <c r="I50" s="101">
        <f t="shared" si="31"/>
        <v>5.5008148436552329</v>
      </c>
      <c r="J50" s="101">
        <f t="shared" si="31"/>
        <v>5.7276970697960117</v>
      </c>
      <c r="K50" s="101">
        <f t="shared" si="31"/>
        <v>5.2992358902075321</v>
      </c>
      <c r="L50" s="101">
        <f t="shared" si="31"/>
        <v>5.7276970697960117</v>
      </c>
      <c r="M50" s="101">
        <f t="shared" si="31"/>
        <v>5.305707627775913</v>
      </c>
      <c r="N50" s="101">
        <f t="shared" si="31"/>
        <v>5.1357879057778666</v>
      </c>
      <c r="O50" s="101">
        <f t="shared" si="31"/>
        <v>4.9547486060588675</v>
      </c>
      <c r="Q50" s="101"/>
      <c r="V50" s="170"/>
      <c r="W50" s="170"/>
      <c r="X50" s="170"/>
      <c r="Y50" s="170"/>
      <c r="Z50" s="170"/>
      <c r="AA50" s="170"/>
      <c r="AB50" s="170"/>
      <c r="AC50" s="170"/>
      <c r="AD50" s="170"/>
      <c r="AE50" s="170"/>
    </row>
    <row r="51" spans="1:55" ht="12" customHeight="1">
      <c r="A51" s="445" t="s">
        <v>819</v>
      </c>
      <c r="B51" s="101">
        <f>(POWER(B44/B19,1/25)-1)*100</f>
        <v>3.0474217656825342</v>
      </c>
      <c r="C51" s="101">
        <f>(POWER(C44/C19,1/25)-1)*100</f>
        <v>3.0734478438029678</v>
      </c>
      <c r="D51" s="101">
        <f>(POWER(D44/D19,1/25)-1)*100</f>
        <v>3.0503782364676324</v>
      </c>
      <c r="E51" s="734" t="s">
        <v>744</v>
      </c>
      <c r="F51" s="101">
        <f t="shared" ref="F51:O51" si="32">(POWER(F44/F19,1/25)-1)*100</f>
        <v>2.7210351146643719</v>
      </c>
      <c r="G51" s="101">
        <f t="shared" si="32"/>
        <v>3.1410822428287855</v>
      </c>
      <c r="H51" s="101">
        <f t="shared" si="32"/>
        <v>3.1410822428287855</v>
      </c>
      <c r="I51" s="101">
        <f t="shared" si="32"/>
        <v>2.999945041491503</v>
      </c>
      <c r="J51" s="101">
        <f t="shared" si="32"/>
        <v>2.7586716744210982</v>
      </c>
      <c r="K51" s="101">
        <f t="shared" si="32"/>
        <v>3.3505783823280177</v>
      </c>
      <c r="L51" s="101">
        <f t="shared" si="32"/>
        <v>3.2095251380966916</v>
      </c>
      <c r="M51" s="101">
        <f t="shared" si="32"/>
        <v>2.6512616793359145</v>
      </c>
      <c r="N51" s="101">
        <f t="shared" si="32"/>
        <v>2.4737378119884301</v>
      </c>
      <c r="O51" s="101">
        <f t="shared" si="32"/>
        <v>3.3325708801550391</v>
      </c>
      <c r="V51" s="170"/>
      <c r="W51" s="170"/>
      <c r="X51" s="170"/>
      <c r="Y51" s="170"/>
      <c r="Z51" s="170"/>
      <c r="AA51" s="170"/>
      <c r="AB51" s="170"/>
      <c r="AC51" s="170"/>
      <c r="AD51" s="170"/>
      <c r="AE51" s="170"/>
      <c r="AG51" s="168">
        <v>26200</v>
      </c>
      <c r="AH51" s="168">
        <v>72600</v>
      </c>
      <c r="AI51" s="168">
        <v>24000</v>
      </c>
      <c r="AJ51" s="168">
        <v>17500</v>
      </c>
      <c r="AK51" s="168">
        <v>15500</v>
      </c>
      <c r="AL51" s="168">
        <v>17900</v>
      </c>
      <c r="AM51" s="168">
        <v>223500</v>
      </c>
      <c r="AN51" s="168">
        <v>1900</v>
      </c>
      <c r="AO51" s="168">
        <v>158800</v>
      </c>
      <c r="AP51" s="168">
        <v>22000</v>
      </c>
      <c r="AQ51" s="168">
        <v>580000</v>
      </c>
    </row>
    <row r="52" spans="1:55" ht="12" customHeight="1">
      <c r="A52" s="445" t="s">
        <v>447</v>
      </c>
      <c r="B52" s="101">
        <f>(POWER(B45/B19,1/26)-1)*100</f>
        <v>3.0759965282580959</v>
      </c>
      <c r="C52" s="101">
        <f>(POWER(C45/C19,1/26)-1)*100</f>
        <v>3.1025577667576076</v>
      </c>
      <c r="D52" s="101">
        <f>(POWER(D45/D19,1/26)-1)*100</f>
        <v>3.0993577197999667</v>
      </c>
      <c r="E52" s="734" t="s">
        <v>744</v>
      </c>
      <c r="F52" s="101">
        <f t="shared" ref="F52:O52" si="33">(POWER(F45/F19,1/26)-1)*100</f>
        <v>3.0316969113690195</v>
      </c>
      <c r="G52" s="101">
        <f t="shared" si="33"/>
        <v>3.2079991376832151</v>
      </c>
      <c r="H52" s="101">
        <f t="shared" si="33"/>
        <v>3.260589968843397</v>
      </c>
      <c r="I52" s="101">
        <f t="shared" si="33"/>
        <v>3.195575654895122</v>
      </c>
      <c r="J52" s="101">
        <f t="shared" si="33"/>
        <v>2.7765992458079092</v>
      </c>
      <c r="K52" s="101">
        <f t="shared" si="33"/>
        <v>3.3457766743368866</v>
      </c>
      <c r="L52" s="101">
        <f t="shared" si="33"/>
        <v>3.2877651060507329</v>
      </c>
      <c r="M52" s="101">
        <f t="shared" si="33"/>
        <v>2.751818791228211</v>
      </c>
      <c r="N52" s="101">
        <f t="shared" si="33"/>
        <v>2.904617134755294</v>
      </c>
      <c r="O52" s="101">
        <f t="shared" si="33"/>
        <v>3.2023647434459734</v>
      </c>
      <c r="V52" s="170"/>
      <c r="W52" s="170"/>
      <c r="X52" s="170"/>
      <c r="Y52" s="170"/>
      <c r="Z52" s="170"/>
      <c r="AA52" s="170"/>
      <c r="AB52" s="170"/>
      <c r="AC52" s="170"/>
      <c r="AD52" s="170"/>
      <c r="AE52" s="170"/>
    </row>
    <row r="53" spans="1:55" ht="12" customHeight="1">
      <c r="A53" s="445" t="s">
        <v>1408</v>
      </c>
      <c r="B53" s="101">
        <f>(POWER(B46/B19,1/27)-1)*100</f>
        <v>3.1977686162813379</v>
      </c>
      <c r="C53" s="101">
        <f>(POWER(C46/C19,1/27)-1)*100</f>
        <v>3.2343224512286772</v>
      </c>
      <c r="D53" s="101">
        <f>(POWER(D46/D19,1/27)-1)*100</f>
        <v>3.2253209947520789</v>
      </c>
      <c r="E53" s="734" t="s">
        <v>744</v>
      </c>
      <c r="F53" s="101">
        <f t="shared" ref="F53:O53" si="34">(POWER(F46/F19,1/27)-1)*100</f>
        <v>3.1640899737451766</v>
      </c>
      <c r="G53" s="101">
        <f t="shared" si="34"/>
        <v>3.2126384328856616</v>
      </c>
      <c r="H53" s="101">
        <f t="shared" si="34"/>
        <v>3.3816295157839571</v>
      </c>
      <c r="I53" s="101">
        <f t="shared" si="34"/>
        <v>3.3303360110645386</v>
      </c>
      <c r="J53" s="101">
        <f t="shared" si="34"/>
        <v>2.9031955796216424</v>
      </c>
      <c r="K53" s="101">
        <f t="shared" si="34"/>
        <v>3.5630382210148914</v>
      </c>
      <c r="L53" s="101">
        <f t="shared" si="34"/>
        <v>3.395990371747426</v>
      </c>
      <c r="M53" s="101">
        <f t="shared" si="34"/>
        <v>2.9477815273232233</v>
      </c>
      <c r="N53" s="101">
        <f t="shared" si="34"/>
        <v>2.9814730292446079</v>
      </c>
      <c r="O53" s="101">
        <f t="shared" si="34"/>
        <v>3.0819497992478739</v>
      </c>
      <c r="V53" s="170"/>
      <c r="W53" s="170"/>
      <c r="X53" s="170"/>
      <c r="Y53" s="170"/>
      <c r="Z53" s="170"/>
      <c r="AA53" s="170"/>
      <c r="AB53" s="170"/>
      <c r="AC53" s="170"/>
      <c r="AD53" s="170"/>
      <c r="AE53" s="170"/>
    </row>
    <row r="54" spans="1:55" ht="12" customHeight="1">
      <c r="A54" s="445" t="s">
        <v>603</v>
      </c>
      <c r="B54" s="101">
        <f>(POWER(B27/B19,1/8)-1)*100</f>
        <v>3.6337380338738567</v>
      </c>
      <c r="C54" s="101">
        <f t="shared" ref="C54:O54" si="35">(POWER(C27/C19,1/8)-1)*100</f>
        <v>3.8393355950149699</v>
      </c>
      <c r="D54" s="101">
        <f t="shared" si="35"/>
        <v>3.8327142623727051</v>
      </c>
      <c r="E54" s="101">
        <f t="shared" si="35"/>
        <v>1.6831504190512936</v>
      </c>
      <c r="F54" s="101">
        <f t="shared" si="35"/>
        <v>2.6410838499785649</v>
      </c>
      <c r="G54" s="101">
        <f t="shared" si="35"/>
        <v>3.9530704915544668</v>
      </c>
      <c r="H54" s="101">
        <f t="shared" si="35"/>
        <v>3.9530704915544668</v>
      </c>
      <c r="I54" s="101">
        <f t="shared" si="35"/>
        <v>3.9868708908979311</v>
      </c>
      <c r="J54" s="101">
        <f t="shared" si="35"/>
        <v>3.0721399707649866</v>
      </c>
      <c r="K54" s="101">
        <f t="shared" si="35"/>
        <v>4.9388706240649061</v>
      </c>
      <c r="L54" s="101">
        <f t="shared" si="35"/>
        <v>3.6614649628077478</v>
      </c>
      <c r="M54" s="101">
        <f t="shared" si="35"/>
        <v>1.7235730923834014</v>
      </c>
      <c r="N54" s="101">
        <f t="shared" si="35"/>
        <v>2.1359457377654989</v>
      </c>
      <c r="O54" s="101">
        <f t="shared" si="35"/>
        <v>3.7986753106827198</v>
      </c>
      <c r="AG54" s="170">
        <f>AG51/$AQ51*100</f>
        <v>4.5172413793103443</v>
      </c>
      <c r="AH54" s="170">
        <f t="shared" ref="AH54:AQ54" si="36">AH51/$AQ51*100</f>
        <v>12.517241379310345</v>
      </c>
      <c r="AI54" s="170">
        <f t="shared" si="36"/>
        <v>4.1379310344827589</v>
      </c>
      <c r="AJ54" s="170">
        <f t="shared" si="36"/>
        <v>3.0172413793103448</v>
      </c>
      <c r="AK54" s="170">
        <f t="shared" si="36"/>
        <v>2.6724137931034484</v>
      </c>
      <c r="AL54" s="170">
        <f t="shared" si="36"/>
        <v>3.0862068965517242</v>
      </c>
      <c r="AM54" s="170">
        <f t="shared" si="36"/>
        <v>38.53448275862069</v>
      </c>
      <c r="AN54" s="170">
        <f t="shared" si="36"/>
        <v>0.32758620689655171</v>
      </c>
      <c r="AO54" s="170">
        <f t="shared" si="36"/>
        <v>27.379310344827584</v>
      </c>
      <c r="AP54" s="170">
        <f t="shared" si="36"/>
        <v>3.7931034482758621</v>
      </c>
      <c r="AQ54" s="170">
        <f t="shared" si="36"/>
        <v>100</v>
      </c>
    </row>
    <row r="55" spans="1:55" ht="12" customHeight="1">
      <c r="A55" s="445" t="s">
        <v>1146</v>
      </c>
      <c r="B55" s="101">
        <f>(POWER(B44/B27,1/17)-1)*100</f>
        <v>2.7726571726174543</v>
      </c>
      <c r="C55" s="101">
        <f>(POWER(C44/C27,1/17)-1)*100</f>
        <v>2.7149872866519376</v>
      </c>
      <c r="D55" s="101">
        <f>(POWER(D44/D27,1/17)-1)*100</f>
        <v>2.6842624715647467</v>
      </c>
      <c r="E55" s="734" t="s">
        <v>744</v>
      </c>
      <c r="F55" s="101">
        <f t="shared" ref="F55:O55" si="37">(POWER(F44/F27,1/17)-1)*100</f>
        <v>2.758680785483536</v>
      </c>
      <c r="G55" s="101">
        <f t="shared" si="37"/>
        <v>2.7611678052383626</v>
      </c>
      <c r="H55" s="101">
        <f t="shared" si="37"/>
        <v>2.7611678052383626</v>
      </c>
      <c r="I55" s="101">
        <f t="shared" si="37"/>
        <v>2.5387558978126945</v>
      </c>
      <c r="J55" s="101">
        <f t="shared" si="37"/>
        <v>2.6114872332895445</v>
      </c>
      <c r="K55" s="101">
        <f t="shared" si="37"/>
        <v>2.6114872332895445</v>
      </c>
      <c r="L55" s="101">
        <f t="shared" si="37"/>
        <v>2.9975298817470408</v>
      </c>
      <c r="M55" s="101">
        <f t="shared" si="37"/>
        <v>3.0907437390673032</v>
      </c>
      <c r="N55" s="101">
        <f t="shared" si="37"/>
        <v>2.6330851276960221</v>
      </c>
      <c r="O55" s="101">
        <f t="shared" si="37"/>
        <v>3.113952424119959</v>
      </c>
      <c r="AG55" s="168" t="s">
        <v>725</v>
      </c>
    </row>
    <row r="56" spans="1:55" ht="12" customHeight="1">
      <c r="A56" s="445" t="s">
        <v>448</v>
      </c>
      <c r="B56" s="101">
        <f>(POWER(B45/B27,1/18)-1)*100</f>
        <v>2.8290758799847548</v>
      </c>
      <c r="C56" s="101">
        <f>(POWER(C45/C27,1/18)-1)*100</f>
        <v>2.7767811944042098</v>
      </c>
      <c r="D56" s="101">
        <f>(POWER(D45/D27,1/18)-1)*100</f>
        <v>2.7750862465319992</v>
      </c>
      <c r="E56" s="734" t="s">
        <v>744</v>
      </c>
      <c r="F56" s="101">
        <f t="shared" ref="F56:O56" si="38">(POWER(F45/F27,1/18)-1)*100</f>
        <v>3.2057795369107245</v>
      </c>
      <c r="G56" s="101">
        <f t="shared" si="38"/>
        <v>2.8785727370508996</v>
      </c>
      <c r="H56" s="101">
        <f t="shared" si="38"/>
        <v>2.954303375764944</v>
      </c>
      <c r="I56" s="101">
        <f t="shared" si="38"/>
        <v>2.8458244151113865</v>
      </c>
      <c r="J56" s="101">
        <f t="shared" si="38"/>
        <v>2.6455199651044037</v>
      </c>
      <c r="K56" s="101">
        <f t="shared" si="38"/>
        <v>2.6455199651044037</v>
      </c>
      <c r="L56" s="101">
        <f t="shared" si="38"/>
        <v>3.122109000948492</v>
      </c>
      <c r="M56" s="101">
        <f t="shared" si="38"/>
        <v>3.2121469237824662</v>
      </c>
      <c r="N56" s="101">
        <f t="shared" si="38"/>
        <v>3.24810319761204</v>
      </c>
      <c r="O56" s="101">
        <f t="shared" si="38"/>
        <v>2.9384386143529007</v>
      </c>
    </row>
    <row r="57" spans="1:55" ht="12" customHeight="1">
      <c r="A57" s="445" t="s">
        <v>1409</v>
      </c>
      <c r="B57" s="101">
        <f>(POWER(B46/B27,1/19)-1)*100</f>
        <v>3.014751682408856</v>
      </c>
      <c r="C57" s="101">
        <f>(POWER(C46/C27,1/19)-1)*100</f>
        <v>2.9806358549293588</v>
      </c>
      <c r="D57" s="101">
        <f>(POWER(D46/D27,1/19)-1)*100</f>
        <v>2.9706406369308658</v>
      </c>
      <c r="E57" s="734" t="s">
        <v>744</v>
      </c>
      <c r="F57" s="101">
        <f t="shared" ref="F57:O57" si="39">(POWER(F46/F27,1/19)-1)*100</f>
        <v>3.3850995724012956</v>
      </c>
      <c r="G57" s="101">
        <f t="shared" si="39"/>
        <v>2.9024575326527691</v>
      </c>
      <c r="H57" s="101">
        <f t="shared" si="39"/>
        <v>3.14196355915628</v>
      </c>
      <c r="I57" s="101">
        <f t="shared" si="39"/>
        <v>3.055141878191292</v>
      </c>
      <c r="J57" s="101">
        <f t="shared" si="39"/>
        <v>2.8321439696972428</v>
      </c>
      <c r="K57" s="101">
        <f t="shared" si="39"/>
        <v>2.9891505804288121</v>
      </c>
      <c r="L57" s="101">
        <f t="shared" si="39"/>
        <v>3.2844150944656869</v>
      </c>
      <c r="M57" s="101">
        <f t="shared" si="39"/>
        <v>3.4676351577477726</v>
      </c>
      <c r="N57" s="101">
        <f t="shared" si="39"/>
        <v>3.3395752654503896</v>
      </c>
      <c r="O57" s="101">
        <f t="shared" si="39"/>
        <v>2.781653190049127</v>
      </c>
    </row>
    <row r="58" spans="1:55" ht="12" customHeight="1">
      <c r="A58" s="445" t="s">
        <v>818</v>
      </c>
      <c r="B58" s="101">
        <f>(POWER(B44/B38,1/6)-1)*100</f>
        <v>2.1243795039856073</v>
      </c>
      <c r="C58" s="101">
        <f>(POWER(C44/C38,1/6)-1)*100</f>
        <v>2.1478088948402307</v>
      </c>
      <c r="D58" s="101">
        <f>(POWER(D44/D38,1/6)-1)*100</f>
        <v>2.148712292725885</v>
      </c>
      <c r="E58" s="734" t="s">
        <v>744</v>
      </c>
      <c r="F58" s="101">
        <f t="shared" ref="F58:O58" si="40">(POWER(F44/F38,1/6)-1)*100</f>
        <v>3.4721596979309322</v>
      </c>
      <c r="G58" s="101">
        <f t="shared" si="40"/>
        <v>4.1564899388718102</v>
      </c>
      <c r="H58" s="101">
        <f t="shared" si="40"/>
        <v>3.8496883788323721</v>
      </c>
      <c r="I58" s="101">
        <f t="shared" si="40"/>
        <v>2.5812120881578471</v>
      </c>
      <c r="J58" s="101">
        <f t="shared" si="40"/>
        <v>1.9550562603193322</v>
      </c>
      <c r="K58" s="101">
        <f t="shared" si="40"/>
        <v>2.0787136204579948</v>
      </c>
      <c r="L58" s="101">
        <f t="shared" si="40"/>
        <v>4.0184529553866088</v>
      </c>
      <c r="M58" s="101">
        <f t="shared" si="40"/>
        <v>3.9040837196221423</v>
      </c>
      <c r="N58" s="101">
        <f t="shared" si="40"/>
        <v>2.8902773874560861</v>
      </c>
      <c r="O58" s="101">
        <f t="shared" si="40"/>
        <v>0.85855284462001968</v>
      </c>
    </row>
    <row r="59" spans="1:55" ht="12" customHeight="1">
      <c r="A59" s="445" t="s">
        <v>449</v>
      </c>
      <c r="B59" s="101">
        <f>(POWER(B45/B38,1/7)-1)*100</f>
        <v>2.3610938048915786</v>
      </c>
      <c r="C59" s="101">
        <f>(POWER(C45/C38,1/7)-1)*100</f>
        <v>2.3868632406864876</v>
      </c>
      <c r="D59" s="101">
        <f>(POWER(D45/D38,1/7)-1)*100</f>
        <v>2.4577121225245468</v>
      </c>
      <c r="E59" s="734" t="s">
        <v>744</v>
      </c>
      <c r="F59" s="101">
        <f t="shared" ref="F59:O59" si="41">(POWER(F45/F38,1/7)-1)*100</f>
        <v>4.5304098988945052</v>
      </c>
      <c r="G59" s="101">
        <f t="shared" si="41"/>
        <v>4.261687079533627</v>
      </c>
      <c r="H59" s="101">
        <f t="shared" si="41"/>
        <v>4.195362743720854</v>
      </c>
      <c r="I59" s="101">
        <f t="shared" si="41"/>
        <v>3.3668904395861343</v>
      </c>
      <c r="J59" s="101">
        <f t="shared" si="41"/>
        <v>2.13562971925223</v>
      </c>
      <c r="K59" s="101">
        <f t="shared" si="41"/>
        <v>2.2418002711743323</v>
      </c>
      <c r="L59" s="101">
        <f t="shared" si="41"/>
        <v>4.195362743720854</v>
      </c>
      <c r="M59" s="101">
        <f t="shared" si="41"/>
        <v>4.1020810096671356</v>
      </c>
      <c r="N59" s="101">
        <f t="shared" si="41"/>
        <v>4.4458381483239329</v>
      </c>
      <c r="O59" s="101">
        <f t="shared" si="41"/>
        <v>0.73545261386380734</v>
      </c>
    </row>
    <row r="60" spans="1:55" ht="12" customHeight="1">
      <c r="A60" s="445" t="s">
        <v>1410</v>
      </c>
      <c r="B60" s="101">
        <f>(POWER(B46/B38,1/8)-1)*100</f>
        <v>2.8592437327777942</v>
      </c>
      <c r="C60" s="101">
        <f>(POWER(C46/C38,1/8)-1)*100</f>
        <v>2.9187273878020337</v>
      </c>
      <c r="D60" s="101">
        <f>(POWER(D46/D38,1/8)-1)*100</f>
        <v>2.9611227777310622</v>
      </c>
      <c r="E60" s="734" t="s">
        <v>744</v>
      </c>
      <c r="F60" s="101">
        <f>(POWER(F46/F38,1/8)-1)*100</f>
        <v>4.7950845007639131</v>
      </c>
      <c r="G60" s="101">
        <f t="shared" ref="G60:O60" si="42">(POWER(G46/G38,1/8)-1)*100</f>
        <v>4.1451882753512193</v>
      </c>
      <c r="H60" s="101">
        <f t="shared" si="42"/>
        <v>4.4903708144364396</v>
      </c>
      <c r="I60" s="101">
        <f t="shared" si="42"/>
        <v>3.8016440831384557</v>
      </c>
      <c r="J60" s="101">
        <f t="shared" si="42"/>
        <v>2.6410838499785649</v>
      </c>
      <c r="K60" s="101">
        <f t="shared" si="42"/>
        <v>3.1073642812364577</v>
      </c>
      <c r="L60" s="101">
        <f t="shared" si="42"/>
        <v>4.4500036316266645</v>
      </c>
      <c r="M60" s="101">
        <f t="shared" si="42"/>
        <v>4.6028217392905635</v>
      </c>
      <c r="N60" s="101">
        <f t="shared" si="42"/>
        <v>4.5149481168380134</v>
      </c>
      <c r="O60" s="101">
        <f t="shared" si="42"/>
        <v>0.64322605023947599</v>
      </c>
    </row>
    <row r="61" spans="1:55" ht="10.9" customHeight="1"/>
    <row r="62" spans="1:55" ht="12" customHeight="1">
      <c r="A62" s="100" t="s">
        <v>429</v>
      </c>
      <c r="B62" s="100" t="s">
        <v>1159</v>
      </c>
      <c r="AS62" s="1164" t="s">
        <v>375</v>
      </c>
      <c r="AT62" s="1164" t="s">
        <v>377</v>
      </c>
      <c r="AU62" s="1164" t="s">
        <v>386</v>
      </c>
      <c r="AV62" s="1164" t="s">
        <v>378</v>
      </c>
      <c r="AW62" s="1164" t="s">
        <v>379</v>
      </c>
      <c r="AX62" s="1164" t="s">
        <v>380</v>
      </c>
      <c r="AY62" s="1164" t="s">
        <v>381</v>
      </c>
      <c r="AZ62" s="1164" t="s">
        <v>382</v>
      </c>
      <c r="BA62" s="1164" t="s">
        <v>383</v>
      </c>
      <c r="BB62" s="1164" t="s">
        <v>384</v>
      </c>
      <c r="BC62" s="1164" t="s">
        <v>385</v>
      </c>
    </row>
    <row r="63" spans="1:55" ht="12" customHeight="1">
      <c r="A63" s="100"/>
      <c r="B63" s="100" t="s">
        <v>444</v>
      </c>
      <c r="AS63" s="1164"/>
      <c r="AT63" s="1164"/>
      <c r="AU63" s="1164"/>
      <c r="AV63" s="1164"/>
      <c r="AW63" s="1164"/>
      <c r="AX63" s="1164"/>
      <c r="AY63" s="1164"/>
      <c r="AZ63" s="1164"/>
      <c r="BA63" s="1164"/>
      <c r="BB63" s="1164"/>
      <c r="BC63" s="1164"/>
    </row>
    <row r="64" spans="1:55" ht="12" customHeight="1">
      <c r="A64" s="100"/>
      <c r="B64" s="100" t="s">
        <v>430</v>
      </c>
      <c r="AR64" s="739">
        <v>1976</v>
      </c>
      <c r="AS64" s="728">
        <v>9747.5</v>
      </c>
      <c r="AT64" s="728">
        <v>158.80000000000001</v>
      </c>
      <c r="AU64" s="728">
        <v>43</v>
      </c>
      <c r="AV64" s="728">
        <v>297.89999999999998</v>
      </c>
      <c r="AW64" s="728">
        <v>231.1</v>
      </c>
      <c r="AX64" s="728">
        <v>2543.4</v>
      </c>
      <c r="AY64" s="728">
        <v>3740.7</v>
      </c>
      <c r="AZ64" s="728">
        <v>434.4</v>
      </c>
      <c r="BA64" s="728">
        <v>382.3</v>
      </c>
      <c r="BB64" s="728">
        <v>854.9</v>
      </c>
      <c r="BC64" s="728">
        <v>1060.9000000000001</v>
      </c>
    </row>
    <row r="65" spans="1:55" ht="12" customHeight="1">
      <c r="A65" s="100"/>
      <c r="B65" s="100" t="s">
        <v>431</v>
      </c>
      <c r="AR65" s="739">
        <v>1977</v>
      </c>
      <c r="AS65" s="728">
        <v>9917.1</v>
      </c>
      <c r="AT65" s="728">
        <v>160.9</v>
      </c>
      <c r="AU65" s="728">
        <v>43.6</v>
      </c>
      <c r="AV65" s="728">
        <v>298.3</v>
      </c>
      <c r="AW65" s="728">
        <v>228.3</v>
      </c>
      <c r="AX65" s="728">
        <v>2556</v>
      </c>
      <c r="AY65" s="728">
        <v>3803.9</v>
      </c>
      <c r="AZ65" s="728">
        <v>438.2</v>
      </c>
      <c r="BA65" s="728">
        <v>395.4</v>
      </c>
      <c r="BB65" s="728">
        <v>903.7</v>
      </c>
      <c r="BC65" s="728">
        <v>1089.0999999999999</v>
      </c>
    </row>
    <row r="66" spans="1:55" ht="12" customHeight="1">
      <c r="B66" s="100" t="s">
        <v>1053</v>
      </c>
      <c r="AR66" s="739">
        <v>1978</v>
      </c>
      <c r="AS66" s="728">
        <v>10220.299999999999</v>
      </c>
      <c r="AT66" s="728">
        <v>166.1</v>
      </c>
      <c r="AU66" s="728">
        <v>44.9</v>
      </c>
      <c r="AV66" s="728">
        <v>306</v>
      </c>
      <c r="AW66" s="728">
        <v>239.3</v>
      </c>
      <c r="AX66" s="728">
        <v>2596.1</v>
      </c>
      <c r="AY66" s="728">
        <v>3923.6</v>
      </c>
      <c r="AZ66" s="728">
        <v>444.4</v>
      </c>
      <c r="BA66" s="728">
        <v>403.2</v>
      </c>
      <c r="BB66" s="728">
        <v>959.2</v>
      </c>
      <c r="BC66" s="728">
        <v>1137.5</v>
      </c>
    </row>
    <row r="67" spans="1:55" ht="12" customHeight="1">
      <c r="A67" s="100" t="s">
        <v>432</v>
      </c>
      <c r="B67" s="100" t="s">
        <v>488</v>
      </c>
      <c r="W67" s="1164" t="s">
        <v>375</v>
      </c>
      <c r="X67" s="1164" t="s">
        <v>377</v>
      </c>
      <c r="Y67" s="1164" t="s">
        <v>386</v>
      </c>
      <c r="Z67" s="1164" t="s">
        <v>378</v>
      </c>
      <c r="AA67" s="1164" t="s">
        <v>379</v>
      </c>
      <c r="AB67" s="1164" t="s">
        <v>380</v>
      </c>
      <c r="AC67" s="1164" t="s">
        <v>381</v>
      </c>
      <c r="AD67" s="1164" t="s">
        <v>382</v>
      </c>
      <c r="AE67" s="1164" t="s">
        <v>383</v>
      </c>
      <c r="AF67" s="1164" t="s">
        <v>384</v>
      </c>
      <c r="AG67" s="1164" t="s">
        <v>385</v>
      </c>
      <c r="AR67" s="739">
        <v>1979</v>
      </c>
      <c r="AS67" s="728">
        <v>10668.6</v>
      </c>
      <c r="AT67" s="728">
        <v>176.7</v>
      </c>
      <c r="AU67" s="728">
        <v>46.4</v>
      </c>
      <c r="AV67" s="728">
        <v>317.3</v>
      </c>
      <c r="AW67" s="728">
        <v>250.1</v>
      </c>
      <c r="AX67" s="728">
        <v>2692</v>
      </c>
      <c r="AY67" s="728">
        <v>4092.8</v>
      </c>
      <c r="AZ67" s="728">
        <v>454.6</v>
      </c>
      <c r="BA67" s="728">
        <v>416.1</v>
      </c>
      <c r="BB67" s="728">
        <v>1033.9000000000001</v>
      </c>
      <c r="BC67" s="728">
        <v>1188.5</v>
      </c>
    </row>
    <row r="68" spans="1:55" ht="12" customHeight="1">
      <c r="A68" s="100"/>
      <c r="B68" s="100" t="s">
        <v>689</v>
      </c>
      <c r="W68" s="1164"/>
      <c r="X68" s="1164"/>
      <c r="Y68" s="1164"/>
      <c r="Z68" s="1164"/>
      <c r="AA68" s="1164"/>
      <c r="AB68" s="1164"/>
      <c r="AC68" s="1164"/>
      <c r="AD68" s="1164"/>
      <c r="AE68" s="1164"/>
      <c r="AF68" s="1164"/>
      <c r="AG68" s="1164"/>
      <c r="AR68" s="739">
        <v>1980</v>
      </c>
      <c r="AS68" s="728">
        <v>10984</v>
      </c>
      <c r="AT68" s="728">
        <v>182.6</v>
      </c>
      <c r="AU68" s="728">
        <v>47.8</v>
      </c>
      <c r="AV68" s="728">
        <v>324.39999999999998</v>
      </c>
      <c r="AW68" s="728">
        <v>253.9</v>
      </c>
      <c r="AX68" s="728">
        <v>2756.2</v>
      </c>
      <c r="AY68" s="728">
        <v>4165.1000000000004</v>
      </c>
      <c r="AZ68" s="728">
        <v>462</v>
      </c>
      <c r="BA68" s="728">
        <v>423.1</v>
      </c>
      <c r="BB68" s="728">
        <v>1102.5</v>
      </c>
      <c r="BC68" s="728">
        <v>1266.4000000000001</v>
      </c>
    </row>
    <row r="69" spans="1:55" ht="12" customHeight="1">
      <c r="A69" s="100"/>
      <c r="B69" s="100" t="s">
        <v>92</v>
      </c>
      <c r="V69" s="728">
        <v>1980</v>
      </c>
      <c r="W69" s="728">
        <v>1520</v>
      </c>
      <c r="X69" s="728">
        <v>50</v>
      </c>
      <c r="Y69" s="728" t="s">
        <v>593</v>
      </c>
      <c r="Z69" s="728">
        <v>52</v>
      </c>
      <c r="AA69" s="728">
        <v>45</v>
      </c>
      <c r="AB69" s="728">
        <v>524</v>
      </c>
      <c r="AC69" s="728">
        <v>462</v>
      </c>
      <c r="AD69" s="728">
        <v>66</v>
      </c>
      <c r="AE69" s="728">
        <v>47</v>
      </c>
      <c r="AF69" s="728">
        <v>121</v>
      </c>
      <c r="AG69" s="728">
        <v>149</v>
      </c>
      <c r="AR69" s="739">
        <v>1981</v>
      </c>
      <c r="AS69" s="728">
        <v>11305</v>
      </c>
      <c r="AT69" s="728">
        <v>186.1</v>
      </c>
      <c r="AU69" s="728">
        <v>47.1</v>
      </c>
      <c r="AV69" s="728">
        <v>328.3</v>
      </c>
      <c r="AW69" s="728">
        <v>257.7</v>
      </c>
      <c r="AX69" s="728">
        <v>2791.2</v>
      </c>
      <c r="AY69" s="728">
        <v>4292.5</v>
      </c>
      <c r="AZ69" s="728">
        <v>468.8</v>
      </c>
      <c r="BA69" s="728">
        <v>430.9</v>
      </c>
      <c r="BB69" s="728">
        <v>1182.8</v>
      </c>
      <c r="BC69" s="728">
        <v>1319.6</v>
      </c>
    </row>
    <row r="70" spans="1:55" ht="12" customHeight="1">
      <c r="A70" s="100"/>
      <c r="B70" s="100" t="s">
        <v>1405</v>
      </c>
      <c r="V70" s="728">
        <v>1981</v>
      </c>
      <c r="W70" s="728">
        <v>1527</v>
      </c>
      <c r="X70" s="728">
        <v>36</v>
      </c>
      <c r="Y70" s="728">
        <v>7</v>
      </c>
      <c r="Z70" s="728">
        <v>54</v>
      </c>
      <c r="AA70" s="728">
        <v>53</v>
      </c>
      <c r="AB70" s="728">
        <v>509</v>
      </c>
      <c r="AC70" s="728">
        <v>463</v>
      </c>
      <c r="AD70" s="728">
        <v>72</v>
      </c>
      <c r="AE70" s="728">
        <v>54</v>
      </c>
      <c r="AF70" s="728">
        <v>105</v>
      </c>
      <c r="AG70" s="728">
        <v>173</v>
      </c>
      <c r="AR70" s="739">
        <v>1982</v>
      </c>
      <c r="AS70" s="728">
        <v>10943.7</v>
      </c>
      <c r="AT70" s="728">
        <v>180.8</v>
      </c>
      <c r="AU70" s="728">
        <v>46.6</v>
      </c>
      <c r="AV70" s="728">
        <v>321.10000000000002</v>
      </c>
      <c r="AW70" s="728">
        <v>248.4</v>
      </c>
      <c r="AX70" s="728">
        <v>2640.1</v>
      </c>
      <c r="AY70" s="728">
        <v>4198.6000000000004</v>
      </c>
      <c r="AZ70" s="728">
        <v>460.3</v>
      </c>
      <c r="BA70" s="728">
        <v>430</v>
      </c>
      <c r="BB70" s="728">
        <v>1164.3</v>
      </c>
      <c r="BC70" s="728">
        <v>1253.4000000000001</v>
      </c>
    </row>
    <row r="71" spans="1:55">
      <c r="A71" s="100"/>
      <c r="B71" s="1242" t="s">
        <v>1498</v>
      </c>
      <c r="C71" s="1243"/>
      <c r="D71" s="1243"/>
      <c r="E71" s="1243"/>
      <c r="F71" s="1243"/>
      <c r="G71" s="1243"/>
      <c r="H71" s="1243"/>
      <c r="I71" s="1243"/>
      <c r="J71" s="1243"/>
      <c r="K71" s="1243"/>
      <c r="L71" s="1243"/>
      <c r="M71" s="1243"/>
      <c r="N71" s="1243"/>
      <c r="V71" s="728">
        <v>1982</v>
      </c>
      <c r="W71" s="728">
        <v>1717</v>
      </c>
      <c r="X71" s="728">
        <v>41</v>
      </c>
      <c r="Y71" s="728">
        <v>6</v>
      </c>
      <c r="Z71" s="728">
        <v>58</v>
      </c>
      <c r="AA71" s="728">
        <v>53</v>
      </c>
      <c r="AB71" s="728">
        <v>563</v>
      </c>
      <c r="AC71" s="728">
        <v>548</v>
      </c>
      <c r="AD71" s="728">
        <v>79</v>
      </c>
      <c r="AE71" s="728">
        <v>57</v>
      </c>
      <c r="AF71" s="728">
        <v>126</v>
      </c>
      <c r="AG71" s="728">
        <v>187</v>
      </c>
      <c r="AR71" s="739">
        <v>1983</v>
      </c>
      <c r="AS71" s="728">
        <v>11022</v>
      </c>
      <c r="AT71" s="728">
        <v>180.8</v>
      </c>
      <c r="AU71" s="728">
        <v>48.8</v>
      </c>
      <c r="AV71" s="728">
        <v>324.8</v>
      </c>
      <c r="AW71" s="728">
        <v>251.3</v>
      </c>
      <c r="AX71" s="728">
        <v>2683.8</v>
      </c>
      <c r="AY71" s="728">
        <v>4249</v>
      </c>
      <c r="AZ71" s="728">
        <v>467.9</v>
      </c>
      <c r="BA71" s="728">
        <v>436.9</v>
      </c>
      <c r="BB71" s="728">
        <v>1133.8</v>
      </c>
      <c r="BC71" s="728">
        <v>1244.9000000000001</v>
      </c>
    </row>
    <row r="72" spans="1:55">
      <c r="A72" s="168" t="s">
        <v>1830</v>
      </c>
      <c r="E72" s="1164"/>
      <c r="F72" s="723"/>
      <c r="G72" s="723"/>
      <c r="H72" s="723"/>
      <c r="I72" s="723"/>
      <c r="J72" s="723"/>
      <c r="K72" s="1164"/>
      <c r="L72" s="1164"/>
      <c r="M72" s="1164"/>
      <c r="N72" s="1164"/>
      <c r="O72" s="1164"/>
      <c r="V72" s="728">
        <v>1983</v>
      </c>
      <c r="W72" s="728">
        <v>2009</v>
      </c>
      <c r="X72" s="728">
        <v>60</v>
      </c>
      <c r="Y72" s="728">
        <v>6</v>
      </c>
      <c r="Z72" s="728">
        <v>58</v>
      </c>
      <c r="AA72" s="728">
        <v>68</v>
      </c>
      <c r="AB72" s="728">
        <v>610</v>
      </c>
      <c r="AC72" s="728">
        <v>667</v>
      </c>
      <c r="AD72" s="728">
        <v>71</v>
      </c>
      <c r="AE72" s="728">
        <v>59</v>
      </c>
      <c r="AF72" s="728">
        <v>182</v>
      </c>
      <c r="AG72" s="728">
        <v>228</v>
      </c>
      <c r="AR72" s="739">
        <v>1984</v>
      </c>
      <c r="AS72" s="728">
        <v>11301.7</v>
      </c>
      <c r="AT72" s="728">
        <v>179</v>
      </c>
      <c r="AU72" s="728">
        <v>49.5</v>
      </c>
      <c r="AV72" s="728">
        <v>339.9</v>
      </c>
      <c r="AW72" s="728">
        <v>255.2</v>
      </c>
      <c r="AX72" s="728">
        <v>2762.5</v>
      </c>
      <c r="AY72" s="728">
        <v>4410.2</v>
      </c>
      <c r="AZ72" s="728">
        <v>479.1</v>
      </c>
      <c r="BA72" s="728">
        <v>443.2</v>
      </c>
      <c r="BB72" s="728">
        <v>1138.0999999999999</v>
      </c>
      <c r="BC72" s="728">
        <v>1245.0999999999999</v>
      </c>
    </row>
    <row r="73" spans="1:55">
      <c r="B73" s="168" t="s">
        <v>93</v>
      </c>
      <c r="E73" s="1164"/>
      <c r="F73" s="723"/>
      <c r="G73" s="723"/>
      <c r="H73" s="723"/>
      <c r="I73" s="723"/>
      <c r="J73" s="723"/>
      <c r="K73" s="1164"/>
      <c r="L73" s="1164"/>
      <c r="M73" s="1164"/>
      <c r="N73" s="1164"/>
      <c r="O73" s="1164"/>
      <c r="V73" s="728">
        <v>1984</v>
      </c>
      <c r="W73" s="728">
        <v>2021</v>
      </c>
      <c r="X73" s="728">
        <v>49</v>
      </c>
      <c r="Y73" s="728">
        <v>6</v>
      </c>
      <c r="Z73" s="728">
        <v>60</v>
      </c>
      <c r="AA73" s="728">
        <v>60</v>
      </c>
      <c r="AB73" s="728">
        <v>649</v>
      </c>
      <c r="AC73" s="728">
        <v>597</v>
      </c>
      <c r="AD73" s="728">
        <v>84</v>
      </c>
      <c r="AE73" s="728">
        <v>74</v>
      </c>
      <c r="AF73" s="728">
        <v>202</v>
      </c>
      <c r="AG73" s="728">
        <v>242</v>
      </c>
      <c r="AR73" s="739">
        <v>1985</v>
      </c>
      <c r="AS73" s="728">
        <v>11627.3</v>
      </c>
      <c r="AT73" s="728">
        <v>182.4</v>
      </c>
      <c r="AU73" s="728">
        <v>50.4</v>
      </c>
      <c r="AV73" s="728">
        <v>342.7</v>
      </c>
      <c r="AW73" s="728">
        <v>261.7</v>
      </c>
      <c r="AX73" s="728">
        <v>2838.1</v>
      </c>
      <c r="AY73" s="728">
        <v>4569.6000000000004</v>
      </c>
      <c r="AZ73" s="728">
        <v>485.2</v>
      </c>
      <c r="BA73" s="728">
        <v>450.1</v>
      </c>
      <c r="BB73" s="728">
        <v>1173.5999999999999</v>
      </c>
      <c r="BC73" s="728">
        <v>1273.5</v>
      </c>
    </row>
    <row r="74" spans="1:55">
      <c r="V74" s="728">
        <v>1985</v>
      </c>
      <c r="W74" s="728">
        <v>1912</v>
      </c>
      <c r="X74" s="728">
        <v>53</v>
      </c>
      <c r="Y74" s="728">
        <v>6</v>
      </c>
      <c r="Z74" s="728">
        <v>55</v>
      </c>
      <c r="AA74" s="728">
        <v>49</v>
      </c>
      <c r="AB74" s="728">
        <v>623</v>
      </c>
      <c r="AC74" s="728">
        <v>543</v>
      </c>
      <c r="AD74" s="728">
        <v>75</v>
      </c>
      <c r="AE74" s="728">
        <v>76</v>
      </c>
      <c r="AF74" s="728">
        <v>174</v>
      </c>
      <c r="AG74" s="728">
        <v>259</v>
      </c>
      <c r="AR74" s="739">
        <v>1986</v>
      </c>
      <c r="AS74" s="728">
        <v>11986.6</v>
      </c>
      <c r="AT74" s="728">
        <v>186.8</v>
      </c>
      <c r="AU74" s="728">
        <v>52.1</v>
      </c>
      <c r="AV74" s="728">
        <v>350.2</v>
      </c>
      <c r="AW74" s="728">
        <v>270.60000000000002</v>
      </c>
      <c r="AX74" s="728">
        <v>2929.2</v>
      </c>
      <c r="AY74" s="728">
        <v>4729.3</v>
      </c>
      <c r="AZ74" s="728">
        <v>498.9</v>
      </c>
      <c r="BA74" s="728">
        <v>460</v>
      </c>
      <c r="BB74" s="728">
        <v>1182.7</v>
      </c>
      <c r="BC74" s="728">
        <v>1326.8</v>
      </c>
    </row>
    <row r="75" spans="1:55">
      <c r="V75" s="728">
        <v>1986</v>
      </c>
      <c r="W75" s="728">
        <v>1856</v>
      </c>
      <c r="X75" s="728">
        <v>48</v>
      </c>
      <c r="Y75" s="728">
        <v>5</v>
      </c>
      <c r="Z75" s="728">
        <v>55</v>
      </c>
      <c r="AA75" s="728">
        <v>47</v>
      </c>
      <c r="AB75" s="728">
        <v>621</v>
      </c>
      <c r="AC75" s="728">
        <v>522</v>
      </c>
      <c r="AD75" s="728">
        <v>79</v>
      </c>
      <c r="AE75" s="728">
        <v>83</v>
      </c>
      <c r="AF75" s="728">
        <v>165</v>
      </c>
      <c r="AG75" s="728">
        <v>229</v>
      </c>
      <c r="AR75" s="739">
        <v>1987</v>
      </c>
      <c r="AS75" s="728">
        <v>12333</v>
      </c>
      <c r="AT75" s="728">
        <v>190.3</v>
      </c>
      <c r="AU75" s="728">
        <v>53.4</v>
      </c>
      <c r="AV75" s="728">
        <v>359</v>
      </c>
      <c r="AW75" s="728">
        <v>280.3</v>
      </c>
      <c r="AX75" s="728">
        <v>3022.1</v>
      </c>
      <c r="AY75" s="728">
        <v>4895.6000000000004</v>
      </c>
      <c r="AZ75" s="728">
        <v>505.2</v>
      </c>
      <c r="BA75" s="728">
        <v>461.9</v>
      </c>
      <c r="BB75" s="728">
        <v>1187.7</v>
      </c>
      <c r="BC75" s="728">
        <v>1377.7</v>
      </c>
    </row>
    <row r="76" spans="1:55">
      <c r="V76" s="728">
        <v>1987</v>
      </c>
      <c r="W76" s="728">
        <v>1850</v>
      </c>
      <c r="X76" s="728">
        <v>48</v>
      </c>
      <c r="Y76" s="728">
        <v>6</v>
      </c>
      <c r="Z76" s="728">
        <v>57</v>
      </c>
      <c r="AA76" s="728">
        <v>51</v>
      </c>
      <c r="AB76" s="728">
        <v>606</v>
      </c>
      <c r="AC76" s="728">
        <v>498</v>
      </c>
      <c r="AD76" s="728">
        <v>81</v>
      </c>
      <c r="AE76" s="728">
        <v>68</v>
      </c>
      <c r="AF76" s="728">
        <v>196</v>
      </c>
      <c r="AG76" s="728">
        <v>241</v>
      </c>
      <c r="AR76" s="739">
        <v>1988</v>
      </c>
      <c r="AS76" s="728">
        <v>12709.6</v>
      </c>
      <c r="AT76" s="728">
        <v>199.7</v>
      </c>
      <c r="AU76" s="728">
        <v>54.6</v>
      </c>
      <c r="AV76" s="728">
        <v>373.7</v>
      </c>
      <c r="AW76" s="728">
        <v>291</v>
      </c>
      <c r="AX76" s="728">
        <v>3081.4</v>
      </c>
      <c r="AY76" s="728">
        <v>5083.1000000000004</v>
      </c>
      <c r="AZ76" s="728">
        <v>506.3</v>
      </c>
      <c r="BA76" s="728">
        <v>462.8</v>
      </c>
      <c r="BB76" s="728">
        <v>1222.3</v>
      </c>
      <c r="BC76" s="728">
        <v>1434.6</v>
      </c>
    </row>
    <row r="77" spans="1:55">
      <c r="V77" s="728">
        <v>1988</v>
      </c>
      <c r="W77" s="728">
        <v>1693</v>
      </c>
      <c r="X77" s="728">
        <v>37</v>
      </c>
      <c r="Y77" s="728">
        <v>5</v>
      </c>
      <c r="Z77" s="728">
        <v>48</v>
      </c>
      <c r="AA77" s="728">
        <v>44</v>
      </c>
      <c r="AB77" s="728">
        <v>598</v>
      </c>
      <c r="AC77" s="728">
        <v>457</v>
      </c>
      <c r="AD77" s="728">
        <v>77</v>
      </c>
      <c r="AE77" s="728">
        <v>66</v>
      </c>
      <c r="AF77" s="728">
        <v>172</v>
      </c>
      <c r="AG77" s="728">
        <v>190</v>
      </c>
      <c r="AR77" s="739">
        <v>1989</v>
      </c>
      <c r="AS77" s="728">
        <v>12996.2</v>
      </c>
      <c r="AT77" s="728">
        <v>206.3</v>
      </c>
      <c r="AU77" s="728">
        <v>55</v>
      </c>
      <c r="AV77" s="728">
        <v>381.6</v>
      </c>
      <c r="AW77" s="728">
        <v>296.8</v>
      </c>
      <c r="AX77" s="728">
        <v>3128.8</v>
      </c>
      <c r="AY77" s="728">
        <v>5199</v>
      </c>
      <c r="AZ77" s="728">
        <v>512.70000000000005</v>
      </c>
      <c r="BA77" s="728">
        <v>456.4</v>
      </c>
      <c r="BB77" s="728">
        <v>1251.3</v>
      </c>
      <c r="BC77" s="728">
        <v>1508.3</v>
      </c>
    </row>
    <row r="78" spans="1:55">
      <c r="V78" s="728">
        <v>1989</v>
      </c>
      <c r="W78" s="728">
        <v>1613</v>
      </c>
      <c r="X78" s="728">
        <v>31</v>
      </c>
      <c r="Y78" s="728">
        <v>5</v>
      </c>
      <c r="Z78" s="728">
        <v>53</v>
      </c>
      <c r="AA78" s="728">
        <v>44</v>
      </c>
      <c r="AB78" s="728">
        <v>483</v>
      </c>
      <c r="AC78" s="728">
        <v>471</v>
      </c>
      <c r="AD78" s="728">
        <v>73</v>
      </c>
      <c r="AE78" s="728">
        <v>65</v>
      </c>
      <c r="AF78" s="728">
        <v>183</v>
      </c>
      <c r="AG78" s="728">
        <v>205</v>
      </c>
      <c r="AR78" s="739">
        <v>1990</v>
      </c>
      <c r="AS78" s="728">
        <v>13086.4</v>
      </c>
      <c r="AT78" s="728">
        <v>206.9</v>
      </c>
      <c r="AU78" s="728">
        <v>55.1</v>
      </c>
      <c r="AV78" s="728">
        <v>385.3</v>
      </c>
      <c r="AW78" s="728">
        <v>300.3</v>
      </c>
      <c r="AX78" s="728">
        <v>3140.3</v>
      </c>
      <c r="AY78" s="728">
        <v>5194.1000000000004</v>
      </c>
      <c r="AZ78" s="728">
        <v>513.79999999999995</v>
      </c>
      <c r="BA78" s="728">
        <v>454.2</v>
      </c>
      <c r="BB78" s="728">
        <v>1276.8</v>
      </c>
      <c r="BC78" s="728">
        <v>1559.6</v>
      </c>
    </row>
    <row r="79" spans="1:55">
      <c r="V79" s="728">
        <v>1990</v>
      </c>
      <c r="W79" s="728">
        <v>1951</v>
      </c>
      <c r="X79" s="728">
        <v>42</v>
      </c>
      <c r="Y79" s="728">
        <v>5</v>
      </c>
      <c r="Z79" s="728">
        <v>50</v>
      </c>
      <c r="AA79" s="728">
        <v>47</v>
      </c>
      <c r="AB79" s="728">
        <v>647</v>
      </c>
      <c r="AC79" s="728">
        <v>551</v>
      </c>
      <c r="AD79" s="728">
        <v>86</v>
      </c>
      <c r="AE79" s="728">
        <v>77</v>
      </c>
      <c r="AF79" s="728">
        <v>190</v>
      </c>
      <c r="AG79" s="728">
        <v>255</v>
      </c>
      <c r="AR79" s="739">
        <v>1991</v>
      </c>
      <c r="AS79" s="728">
        <v>12857.4</v>
      </c>
      <c r="AT79" s="728">
        <v>204.7</v>
      </c>
      <c r="AU79" s="728">
        <v>53.4</v>
      </c>
      <c r="AV79" s="728">
        <v>380.6</v>
      </c>
      <c r="AW79" s="728">
        <v>295.2</v>
      </c>
      <c r="AX79" s="728">
        <v>3084.4</v>
      </c>
      <c r="AY79" s="728">
        <v>5017.1000000000004</v>
      </c>
      <c r="AZ79" s="728">
        <v>506.8</v>
      </c>
      <c r="BA79" s="728">
        <v>453.3</v>
      </c>
      <c r="BB79" s="728">
        <v>1284.4000000000001</v>
      </c>
      <c r="BC79" s="728">
        <v>1577.5</v>
      </c>
    </row>
    <row r="80" spans="1:55">
      <c r="V80" s="728">
        <v>1991</v>
      </c>
      <c r="W80" s="728">
        <v>2253</v>
      </c>
      <c r="X80" s="728">
        <v>48</v>
      </c>
      <c r="Y80" s="728">
        <v>7</v>
      </c>
      <c r="Z80" s="728">
        <v>57</v>
      </c>
      <c r="AA80" s="728">
        <v>51</v>
      </c>
      <c r="AB80" s="728">
        <v>754</v>
      </c>
      <c r="AC80" s="728">
        <v>656</v>
      </c>
      <c r="AD80" s="728">
        <v>102</v>
      </c>
      <c r="AE80" s="728">
        <v>85</v>
      </c>
      <c r="AF80" s="728">
        <v>209</v>
      </c>
      <c r="AG80" s="728">
        <v>283</v>
      </c>
      <c r="AR80" s="739">
        <v>1992</v>
      </c>
      <c r="AS80" s="728">
        <v>12730.9</v>
      </c>
      <c r="AT80" s="728">
        <v>194.9</v>
      </c>
      <c r="AU80" s="728">
        <v>53.7</v>
      </c>
      <c r="AV80" s="728">
        <v>368.9</v>
      </c>
      <c r="AW80" s="728">
        <v>296.89999999999998</v>
      </c>
      <c r="AX80" s="728">
        <v>3038.6</v>
      </c>
      <c r="AY80" s="728">
        <v>4932.8999999999996</v>
      </c>
      <c r="AZ80" s="728">
        <v>499.9</v>
      </c>
      <c r="BA80" s="728">
        <v>448</v>
      </c>
      <c r="BB80" s="728">
        <v>1280</v>
      </c>
      <c r="BC80" s="728">
        <v>1617.2</v>
      </c>
    </row>
    <row r="81" spans="22:55">
      <c r="V81" s="728">
        <v>1992</v>
      </c>
      <c r="W81" s="728">
        <v>2348</v>
      </c>
      <c r="X81" s="728">
        <v>54</v>
      </c>
      <c r="Y81" s="728">
        <v>5</v>
      </c>
      <c r="Z81" s="728">
        <v>63</v>
      </c>
      <c r="AA81" s="728">
        <v>57</v>
      </c>
      <c r="AB81" s="728">
        <v>680</v>
      </c>
      <c r="AC81" s="728">
        <v>724</v>
      </c>
      <c r="AD81" s="728">
        <v>104</v>
      </c>
      <c r="AE81" s="728">
        <v>82</v>
      </c>
      <c r="AF81" s="728">
        <v>263</v>
      </c>
      <c r="AG81" s="728">
        <v>316</v>
      </c>
      <c r="AR81" s="739">
        <v>1993</v>
      </c>
      <c r="AS81" s="728">
        <v>12792.7</v>
      </c>
      <c r="AT81" s="728">
        <v>193.8</v>
      </c>
      <c r="AU81" s="728">
        <v>54.6</v>
      </c>
      <c r="AV81" s="728">
        <v>366.5</v>
      </c>
      <c r="AW81" s="728">
        <v>299.89999999999998</v>
      </c>
      <c r="AX81" s="728">
        <v>3030.9</v>
      </c>
      <c r="AY81" s="728">
        <v>4938</v>
      </c>
      <c r="AZ81" s="728">
        <v>503.8</v>
      </c>
      <c r="BA81" s="728">
        <v>448.5</v>
      </c>
      <c r="BB81" s="728">
        <v>1288.7</v>
      </c>
      <c r="BC81" s="728">
        <v>1668</v>
      </c>
    </row>
    <row r="82" spans="22:55">
      <c r="V82" s="728">
        <v>1993</v>
      </c>
      <c r="W82" s="728">
        <v>2489</v>
      </c>
      <c r="X82" s="728">
        <v>52</v>
      </c>
      <c r="Y82" s="728">
        <v>5</v>
      </c>
      <c r="Z82" s="728">
        <v>66</v>
      </c>
      <c r="AA82" s="728">
        <v>56</v>
      </c>
      <c r="AB82" s="728">
        <v>805</v>
      </c>
      <c r="AC82" s="728">
        <v>765</v>
      </c>
      <c r="AD82" s="728">
        <v>96</v>
      </c>
      <c r="AE82" s="728">
        <v>84</v>
      </c>
      <c r="AF82" s="728">
        <v>244</v>
      </c>
      <c r="AG82" s="728">
        <v>315</v>
      </c>
      <c r="AR82" s="739">
        <v>1994</v>
      </c>
      <c r="AS82" s="728">
        <v>13058.7</v>
      </c>
      <c r="AT82" s="728">
        <v>193.5</v>
      </c>
      <c r="AU82" s="728">
        <v>55.7</v>
      </c>
      <c r="AV82" s="728">
        <v>372.6</v>
      </c>
      <c r="AW82" s="728">
        <v>298.60000000000002</v>
      </c>
      <c r="AX82" s="728">
        <v>3094.8</v>
      </c>
      <c r="AY82" s="728">
        <v>5013.6000000000004</v>
      </c>
      <c r="AZ82" s="728">
        <v>507.7</v>
      </c>
      <c r="BA82" s="728">
        <v>454.5</v>
      </c>
      <c r="BB82" s="728">
        <v>1324.5</v>
      </c>
      <c r="BC82" s="728">
        <v>1743.2</v>
      </c>
    </row>
    <row r="83" spans="22:55">
      <c r="V83" s="728">
        <v>1994</v>
      </c>
      <c r="W83" s="728">
        <v>2520</v>
      </c>
      <c r="X83" s="728">
        <v>54</v>
      </c>
      <c r="Y83" s="728">
        <v>5</v>
      </c>
      <c r="Z83" s="728">
        <v>81</v>
      </c>
      <c r="AA83" s="728">
        <v>59</v>
      </c>
      <c r="AB83" s="728">
        <v>781</v>
      </c>
      <c r="AC83" s="728">
        <v>778</v>
      </c>
      <c r="AD83" s="728">
        <v>94</v>
      </c>
      <c r="AE83" s="728">
        <v>76</v>
      </c>
      <c r="AF83" s="728">
        <v>247</v>
      </c>
      <c r="AG83" s="728">
        <v>345</v>
      </c>
      <c r="AR83" s="739">
        <v>1995</v>
      </c>
      <c r="AS83" s="728">
        <v>13295.4</v>
      </c>
      <c r="AT83" s="728">
        <v>194.4</v>
      </c>
      <c r="AU83" s="728">
        <v>57.2</v>
      </c>
      <c r="AV83" s="728">
        <v>375.9</v>
      </c>
      <c r="AW83" s="728">
        <v>307.5</v>
      </c>
      <c r="AX83" s="728">
        <v>3135.3</v>
      </c>
      <c r="AY83" s="728">
        <v>5100</v>
      </c>
      <c r="AZ83" s="728">
        <v>516.5</v>
      </c>
      <c r="BA83" s="728">
        <v>458</v>
      </c>
      <c r="BB83" s="728">
        <v>1364.9</v>
      </c>
      <c r="BC83" s="728">
        <v>1785.6</v>
      </c>
    </row>
    <row r="84" spans="22:55">
      <c r="V84" s="728">
        <v>1995</v>
      </c>
      <c r="W84" s="728">
        <v>2680</v>
      </c>
      <c r="X84" s="728">
        <v>63</v>
      </c>
      <c r="Y84" s="728">
        <v>7</v>
      </c>
      <c r="Z84" s="728">
        <v>82</v>
      </c>
      <c r="AA84" s="728">
        <v>57</v>
      </c>
      <c r="AB84" s="728">
        <v>799</v>
      </c>
      <c r="AC84" s="728">
        <v>875</v>
      </c>
      <c r="AD84" s="728">
        <v>101</v>
      </c>
      <c r="AE84" s="728">
        <v>78</v>
      </c>
      <c r="AF84" s="728">
        <v>256</v>
      </c>
      <c r="AG84" s="728">
        <v>363</v>
      </c>
      <c r="AR84" s="739">
        <v>1996</v>
      </c>
      <c r="AS84" s="728">
        <v>13421.4</v>
      </c>
      <c r="AT84" s="728">
        <v>187.5</v>
      </c>
      <c r="AU84" s="728">
        <v>58.9</v>
      </c>
      <c r="AV84" s="728">
        <v>376.9</v>
      </c>
      <c r="AW84" s="728">
        <v>305.5</v>
      </c>
      <c r="AX84" s="728">
        <v>3129.8</v>
      </c>
      <c r="AY84" s="728">
        <v>5167.1000000000004</v>
      </c>
      <c r="AZ84" s="728">
        <v>517.4</v>
      </c>
      <c r="BA84" s="728">
        <v>456.8</v>
      </c>
      <c r="BB84" s="728">
        <v>1405.1</v>
      </c>
      <c r="BC84" s="728">
        <v>1816.4</v>
      </c>
    </row>
    <row r="85" spans="22:55">
      <c r="V85" s="728">
        <v>1996</v>
      </c>
      <c r="W85" s="728">
        <v>2914</v>
      </c>
      <c r="X85" s="728">
        <v>55</v>
      </c>
      <c r="Y85" s="728">
        <v>8</v>
      </c>
      <c r="Z85" s="728">
        <v>82</v>
      </c>
      <c r="AA85" s="728">
        <v>55</v>
      </c>
      <c r="AB85" s="728">
        <v>864</v>
      </c>
      <c r="AC85" s="728">
        <v>980</v>
      </c>
      <c r="AD85" s="728">
        <v>99</v>
      </c>
      <c r="AE85" s="728">
        <v>75</v>
      </c>
      <c r="AF85" s="728">
        <v>267</v>
      </c>
      <c r="AG85" s="728">
        <v>430</v>
      </c>
      <c r="AR85" s="739">
        <v>1997</v>
      </c>
      <c r="AS85" s="728">
        <v>13706</v>
      </c>
      <c r="AT85" s="728">
        <v>188.3</v>
      </c>
      <c r="AU85" s="728">
        <v>58.8</v>
      </c>
      <c r="AV85" s="728">
        <v>382</v>
      </c>
      <c r="AW85" s="728">
        <v>309.10000000000002</v>
      </c>
      <c r="AX85" s="728">
        <v>3172.8</v>
      </c>
      <c r="AY85" s="728">
        <v>5291.4</v>
      </c>
      <c r="AZ85" s="728">
        <v>525.6</v>
      </c>
      <c r="BA85" s="728">
        <v>466.2</v>
      </c>
      <c r="BB85" s="728">
        <v>1451.4</v>
      </c>
      <c r="BC85" s="728">
        <v>1860.5</v>
      </c>
    </row>
    <row r="86" spans="22:55">
      <c r="V86" s="728">
        <v>1997</v>
      </c>
      <c r="W86" s="728">
        <v>2921</v>
      </c>
      <c r="X86" s="728">
        <v>48</v>
      </c>
      <c r="Y86" s="728">
        <v>8</v>
      </c>
      <c r="Z86" s="728">
        <v>80</v>
      </c>
      <c r="AA86" s="728">
        <v>65</v>
      </c>
      <c r="AB86" s="728">
        <v>892</v>
      </c>
      <c r="AC86" s="728">
        <v>923</v>
      </c>
      <c r="AD86" s="728">
        <v>97</v>
      </c>
      <c r="AE86" s="728">
        <v>72</v>
      </c>
      <c r="AF86" s="728">
        <v>285</v>
      </c>
      <c r="AG86" s="728">
        <v>450</v>
      </c>
      <c r="AR86" s="739">
        <v>1998</v>
      </c>
      <c r="AS86" s="728">
        <v>14046.2</v>
      </c>
      <c r="AT86" s="728">
        <v>192.4</v>
      </c>
      <c r="AU86" s="728">
        <v>59.6</v>
      </c>
      <c r="AV86" s="728">
        <v>395.3</v>
      </c>
      <c r="AW86" s="728">
        <v>315.2</v>
      </c>
      <c r="AX86" s="728">
        <v>3257.5</v>
      </c>
      <c r="AY86" s="728">
        <v>5453.3</v>
      </c>
      <c r="AZ86" s="728">
        <v>534.20000000000005</v>
      </c>
      <c r="BA86" s="728">
        <v>470.5</v>
      </c>
      <c r="BB86" s="728">
        <v>1509.9</v>
      </c>
      <c r="BC86" s="728">
        <v>1858.4</v>
      </c>
    </row>
    <row r="87" spans="22:55">
      <c r="V87" s="728">
        <v>1998</v>
      </c>
      <c r="W87" s="728">
        <v>2648</v>
      </c>
      <c r="X87" s="728">
        <v>49</v>
      </c>
      <c r="Y87" s="728">
        <v>7</v>
      </c>
      <c r="Z87" s="728">
        <v>87</v>
      </c>
      <c r="AA87" s="728">
        <v>57</v>
      </c>
      <c r="AB87" s="728">
        <v>785</v>
      </c>
      <c r="AC87" s="728">
        <v>832</v>
      </c>
      <c r="AD87" s="728">
        <v>88</v>
      </c>
      <c r="AE87" s="728">
        <v>73</v>
      </c>
      <c r="AF87" s="728">
        <v>262</v>
      </c>
      <c r="AG87" s="728">
        <v>408</v>
      </c>
      <c r="AR87" s="739">
        <v>1999</v>
      </c>
      <c r="AS87" s="728">
        <v>14406.7</v>
      </c>
      <c r="AT87" s="728">
        <v>201</v>
      </c>
      <c r="AU87" s="728">
        <v>60.2</v>
      </c>
      <c r="AV87" s="728">
        <v>404</v>
      </c>
      <c r="AW87" s="728">
        <v>325.5</v>
      </c>
      <c r="AX87" s="728">
        <v>3328.1</v>
      </c>
      <c r="AY87" s="728">
        <v>5636.7</v>
      </c>
      <c r="AZ87" s="728">
        <v>541.4</v>
      </c>
      <c r="BA87" s="728">
        <v>471.6</v>
      </c>
      <c r="BB87" s="728">
        <v>1544</v>
      </c>
      <c r="BC87" s="728">
        <v>1894.4</v>
      </c>
    </row>
    <row r="88" spans="22:55">
      <c r="V88" s="728">
        <v>1999</v>
      </c>
      <c r="W88" s="728">
        <v>2576</v>
      </c>
      <c r="X88" s="728">
        <v>50</v>
      </c>
      <c r="Y88" s="728">
        <v>9</v>
      </c>
      <c r="Z88" s="728">
        <v>74</v>
      </c>
      <c r="AA88" s="728">
        <v>50</v>
      </c>
      <c r="AB88" s="728">
        <v>718</v>
      </c>
      <c r="AC88" s="728">
        <v>834</v>
      </c>
      <c r="AD88" s="728">
        <v>96</v>
      </c>
      <c r="AE88" s="728">
        <v>64</v>
      </c>
      <c r="AF88" s="728">
        <v>243</v>
      </c>
      <c r="AG88" s="728">
        <v>439</v>
      </c>
      <c r="AR88" s="739">
        <v>2000</v>
      </c>
      <c r="AS88" s="728">
        <v>14764.2</v>
      </c>
      <c r="AT88" s="728">
        <v>198</v>
      </c>
      <c r="AU88" s="728">
        <v>62.7</v>
      </c>
      <c r="AV88" s="728">
        <v>411.4</v>
      </c>
      <c r="AW88" s="728">
        <v>331.2</v>
      </c>
      <c r="AX88" s="728">
        <v>3402.8</v>
      </c>
      <c r="AY88" s="728">
        <v>5817.1</v>
      </c>
      <c r="AZ88" s="728">
        <v>552.29999999999995</v>
      </c>
      <c r="BA88" s="728">
        <v>473.5</v>
      </c>
      <c r="BB88" s="728">
        <v>1584</v>
      </c>
      <c r="BC88" s="728">
        <v>1931.3</v>
      </c>
    </row>
    <row r="89" spans="22:55">
      <c r="V89" s="728">
        <v>2000</v>
      </c>
      <c r="W89" s="728">
        <v>2513</v>
      </c>
      <c r="X89" s="728">
        <v>46</v>
      </c>
      <c r="Y89" s="728">
        <v>9</v>
      </c>
      <c r="Z89" s="728">
        <v>73</v>
      </c>
      <c r="AA89" s="728">
        <v>47</v>
      </c>
      <c r="AB89" s="728">
        <v>711</v>
      </c>
      <c r="AC89" s="728">
        <v>817</v>
      </c>
      <c r="AD89" s="728">
        <v>87</v>
      </c>
      <c r="AE89" s="728">
        <v>68</v>
      </c>
      <c r="AF89" s="728">
        <v>229</v>
      </c>
      <c r="AG89" s="728">
        <v>426</v>
      </c>
      <c r="AR89" s="739">
        <v>2001</v>
      </c>
      <c r="AS89" s="728">
        <v>14946.2</v>
      </c>
      <c r="AT89" s="728">
        <v>203.8</v>
      </c>
      <c r="AU89" s="728">
        <v>63.6</v>
      </c>
      <c r="AV89" s="728">
        <v>415.2</v>
      </c>
      <c r="AW89" s="728">
        <v>330.1</v>
      </c>
      <c r="AX89" s="728">
        <v>3440.2</v>
      </c>
      <c r="AY89" s="728">
        <v>5926.2</v>
      </c>
      <c r="AZ89" s="728">
        <v>554.29999999999995</v>
      </c>
      <c r="BA89" s="728">
        <v>460.3</v>
      </c>
      <c r="BB89" s="728">
        <v>1630.9</v>
      </c>
      <c r="BC89" s="728">
        <v>1921.6</v>
      </c>
    </row>
    <row r="90" spans="22:55">
      <c r="V90" s="728">
        <v>2001</v>
      </c>
      <c r="W90" s="728">
        <v>2316</v>
      </c>
      <c r="X90" s="728">
        <v>40</v>
      </c>
      <c r="Y90" s="728">
        <v>8</v>
      </c>
      <c r="Z90" s="728">
        <v>66</v>
      </c>
      <c r="AA90" s="728">
        <v>46</v>
      </c>
      <c r="AB90" s="728">
        <v>681</v>
      </c>
      <c r="AC90" s="728">
        <v>735</v>
      </c>
      <c r="AD90" s="728">
        <v>71</v>
      </c>
      <c r="AE90" s="728">
        <v>61</v>
      </c>
      <c r="AF90" s="728">
        <v>212</v>
      </c>
      <c r="AG90" s="728">
        <v>395</v>
      </c>
      <c r="AR90" s="739">
        <v>2002</v>
      </c>
      <c r="AS90" s="728">
        <v>15310.4</v>
      </c>
      <c r="AT90" s="728">
        <v>207.2</v>
      </c>
      <c r="AU90" s="728">
        <v>64.7</v>
      </c>
      <c r="AV90" s="728">
        <v>422.9</v>
      </c>
      <c r="AW90" s="728">
        <v>343.1</v>
      </c>
      <c r="AX90" s="728">
        <v>3569.9</v>
      </c>
      <c r="AY90" s="728">
        <v>6031.4</v>
      </c>
      <c r="AZ90" s="728">
        <v>567.20000000000005</v>
      </c>
      <c r="BA90" s="728">
        <v>468.3</v>
      </c>
      <c r="BB90" s="728">
        <v>1670.8</v>
      </c>
      <c r="BC90" s="728">
        <v>1965</v>
      </c>
    </row>
    <row r="91" spans="22:55">
      <c r="V91" s="728">
        <v>2002</v>
      </c>
      <c r="W91" s="728">
        <v>2414</v>
      </c>
      <c r="X91" s="728">
        <v>42</v>
      </c>
      <c r="Y91" s="728">
        <v>7</v>
      </c>
      <c r="Z91" s="728">
        <v>60</v>
      </c>
      <c r="AA91" s="728">
        <v>52</v>
      </c>
      <c r="AB91" s="728">
        <v>614</v>
      </c>
      <c r="AC91" s="728">
        <v>871</v>
      </c>
      <c r="AD91" s="728">
        <v>77</v>
      </c>
      <c r="AE91" s="728">
        <v>56</v>
      </c>
      <c r="AF91" s="728">
        <v>209</v>
      </c>
      <c r="AG91" s="728">
        <v>426</v>
      </c>
      <c r="AR91" s="739">
        <v>2003</v>
      </c>
      <c r="AS91" s="728">
        <v>15672.3</v>
      </c>
      <c r="AT91" s="728">
        <v>212.3</v>
      </c>
      <c r="AU91" s="728">
        <v>66.099999999999994</v>
      </c>
      <c r="AV91" s="728">
        <v>431.2</v>
      </c>
      <c r="AW91" s="728">
        <v>343.1</v>
      </c>
      <c r="AX91" s="728">
        <v>3628.8</v>
      </c>
      <c r="AY91" s="728">
        <v>6213.2</v>
      </c>
      <c r="AZ91" s="728">
        <v>570.29999999999995</v>
      </c>
      <c r="BA91" s="728">
        <v>476.1</v>
      </c>
      <c r="BB91" s="728">
        <v>1716.7</v>
      </c>
      <c r="BC91" s="728">
        <v>2014.7</v>
      </c>
    </row>
    <row r="92" spans="22:55">
      <c r="V92" s="728">
        <v>2003</v>
      </c>
      <c r="W92" s="728">
        <v>2482</v>
      </c>
      <c r="X92" s="728">
        <v>45</v>
      </c>
      <c r="Y92" s="728">
        <v>7</v>
      </c>
      <c r="Z92" s="728">
        <v>68</v>
      </c>
      <c r="AA92" s="728">
        <v>51</v>
      </c>
      <c r="AB92" s="728">
        <v>645</v>
      </c>
      <c r="AC92" s="728">
        <v>873</v>
      </c>
      <c r="AD92" s="728">
        <v>82</v>
      </c>
      <c r="AE92" s="728">
        <v>60</v>
      </c>
      <c r="AF92" s="728">
        <v>241</v>
      </c>
      <c r="AG92" s="728">
        <v>409</v>
      </c>
      <c r="AR92" s="739">
        <v>2004</v>
      </c>
      <c r="AS92" s="728">
        <v>15947</v>
      </c>
      <c r="AT92" s="728">
        <v>214.3</v>
      </c>
      <c r="AU92" s="728">
        <v>66.900000000000006</v>
      </c>
      <c r="AV92" s="728">
        <v>442.2</v>
      </c>
      <c r="AW92" s="728">
        <v>350.1</v>
      </c>
      <c r="AX92" s="728">
        <v>3680.5</v>
      </c>
      <c r="AY92" s="728">
        <v>6316.5</v>
      </c>
      <c r="AZ92" s="728">
        <v>576.6</v>
      </c>
      <c r="BA92" s="728">
        <v>479.7</v>
      </c>
      <c r="BB92" s="728">
        <v>1757.5</v>
      </c>
      <c r="BC92" s="728">
        <v>2062.6999999999998</v>
      </c>
    </row>
    <row r="93" spans="22:55">
      <c r="V93" s="728">
        <v>2004</v>
      </c>
      <c r="W93" s="728">
        <v>2449</v>
      </c>
      <c r="X93" s="728">
        <v>42</v>
      </c>
      <c r="Y93" s="728">
        <v>5</v>
      </c>
      <c r="Z93" s="728">
        <v>63</v>
      </c>
      <c r="AA93" s="728">
        <v>47</v>
      </c>
      <c r="AB93" s="728">
        <v>593</v>
      </c>
      <c r="AC93" s="728">
        <v>928</v>
      </c>
      <c r="AD93" s="728">
        <v>82</v>
      </c>
      <c r="AE93" s="728">
        <v>67</v>
      </c>
      <c r="AF93" s="728">
        <v>237</v>
      </c>
      <c r="AG93" s="728">
        <v>384</v>
      </c>
      <c r="AR93" s="739">
        <v>2005</v>
      </c>
      <c r="AS93" s="728">
        <v>16169.7</v>
      </c>
      <c r="AT93" s="728">
        <v>214.1</v>
      </c>
      <c r="AU93" s="728">
        <v>68.2</v>
      </c>
      <c r="AV93" s="728">
        <v>443.1</v>
      </c>
      <c r="AW93" s="728">
        <v>350.5</v>
      </c>
      <c r="AX93" s="728">
        <v>3717.3</v>
      </c>
      <c r="AY93" s="728">
        <v>6397.7</v>
      </c>
      <c r="AZ93" s="728">
        <v>580.29999999999995</v>
      </c>
      <c r="BA93" s="728">
        <v>483.5</v>
      </c>
      <c r="BB93" s="728">
        <v>1784.4</v>
      </c>
      <c r="BC93" s="728">
        <v>2130.5</v>
      </c>
    </row>
    <row r="94" spans="22:55">
      <c r="V94" s="728">
        <v>2005</v>
      </c>
      <c r="W94" s="728">
        <v>2379</v>
      </c>
      <c r="X94" s="728">
        <v>32</v>
      </c>
      <c r="Y94" s="728">
        <v>5</v>
      </c>
      <c r="Z94" s="728">
        <v>58</v>
      </c>
      <c r="AA94" s="728">
        <v>51</v>
      </c>
      <c r="AB94" s="728">
        <v>633</v>
      </c>
      <c r="AC94" s="728">
        <v>874</v>
      </c>
      <c r="AD94" s="728">
        <v>90</v>
      </c>
      <c r="AE94" s="728">
        <v>68</v>
      </c>
      <c r="AF94" s="728">
        <v>198</v>
      </c>
      <c r="AG94" s="728">
        <v>370</v>
      </c>
      <c r="AR94" s="168">
        <v>2006</v>
      </c>
      <c r="AS94" s="728">
        <v>16484.3</v>
      </c>
      <c r="AT94" s="728">
        <v>215.7</v>
      </c>
      <c r="AU94" s="728">
        <v>68.599999999999994</v>
      </c>
      <c r="AV94" s="728">
        <v>441.8</v>
      </c>
      <c r="AW94" s="728">
        <v>355.4</v>
      </c>
      <c r="AX94" s="728">
        <v>3765.4</v>
      </c>
      <c r="AY94" s="728">
        <v>6492.7</v>
      </c>
      <c r="AZ94" s="728">
        <v>587</v>
      </c>
      <c r="BA94" s="728">
        <v>491.6</v>
      </c>
      <c r="BB94" s="728">
        <v>1870.7</v>
      </c>
      <c r="BC94" s="728">
        <v>2195.5</v>
      </c>
    </row>
    <row r="95" spans="22:55">
      <c r="V95" s="728">
        <v>2006</v>
      </c>
      <c r="W95" s="728">
        <v>2375</v>
      </c>
      <c r="X95" s="728">
        <v>28</v>
      </c>
      <c r="Y95" s="728">
        <v>5</v>
      </c>
      <c r="Z95" s="728">
        <v>57</v>
      </c>
      <c r="AA95" s="728">
        <v>48</v>
      </c>
      <c r="AB95" s="728">
        <v>631</v>
      </c>
      <c r="AC95" s="728">
        <v>904</v>
      </c>
      <c r="AD95" s="728">
        <v>85</v>
      </c>
      <c r="AE95" s="728">
        <v>63</v>
      </c>
      <c r="AF95" s="728">
        <v>174</v>
      </c>
      <c r="AG95" s="728">
        <v>381</v>
      </c>
      <c r="AR95" s="168">
        <v>2007</v>
      </c>
      <c r="AS95" s="728">
        <v>16866.400000000001</v>
      </c>
      <c r="AT95" s="728">
        <v>217.1</v>
      </c>
      <c r="AU95" s="728">
        <v>69.3</v>
      </c>
      <c r="AV95" s="728">
        <v>447.6</v>
      </c>
      <c r="AW95" s="728">
        <v>362.8</v>
      </c>
      <c r="AX95" s="728">
        <v>3851.7</v>
      </c>
      <c r="AY95" s="728">
        <v>6593.8</v>
      </c>
      <c r="AZ95" s="728">
        <v>596.5</v>
      </c>
      <c r="BA95" s="728">
        <v>501.8</v>
      </c>
      <c r="BB95" s="728">
        <v>1959.4</v>
      </c>
      <c r="BC95" s="728">
        <v>2266.3000000000002</v>
      </c>
    </row>
    <row r="96" spans="22:55">
      <c r="AR96" s="168">
        <v>2008</v>
      </c>
      <c r="AS96" s="168">
        <v>17125.8</v>
      </c>
      <c r="AT96" s="168">
        <v>220.3</v>
      </c>
      <c r="AU96" s="168">
        <v>70.2</v>
      </c>
      <c r="AV96" s="168">
        <v>453.2</v>
      </c>
      <c r="AW96" s="168">
        <v>366.2</v>
      </c>
      <c r="AX96" s="168">
        <v>3881.7</v>
      </c>
      <c r="AY96" s="168">
        <v>6687.3</v>
      </c>
      <c r="AZ96" s="168">
        <v>606.70000000000005</v>
      </c>
      <c r="BA96" s="168">
        <v>512.70000000000005</v>
      </c>
      <c r="BB96" s="168">
        <v>2013.3</v>
      </c>
      <c r="BC96" s="168">
        <v>2314.3000000000002</v>
      </c>
    </row>
  </sheetData>
  <mergeCells count="29">
    <mergeCell ref="Z67:Z68"/>
    <mergeCell ref="AA67:AA68"/>
    <mergeCell ref="E72:E73"/>
    <mergeCell ref="K72:K73"/>
    <mergeCell ref="W67:W68"/>
    <mergeCell ref="X67:X68"/>
    <mergeCell ref="Y67:Y68"/>
    <mergeCell ref="B71:N71"/>
    <mergeCell ref="AW62:AW63"/>
    <mergeCell ref="AX62:AX63"/>
    <mergeCell ref="BA62:BA63"/>
    <mergeCell ref="BB62:BB63"/>
    <mergeCell ref="BC62:BC63"/>
    <mergeCell ref="AD67:AD68"/>
    <mergeCell ref="AE67:AE68"/>
    <mergeCell ref="AY62:AY63"/>
    <mergeCell ref="AZ62:AZ63"/>
    <mergeCell ref="L72:L73"/>
    <mergeCell ref="M72:M73"/>
    <mergeCell ref="N72:N73"/>
    <mergeCell ref="O72:O73"/>
    <mergeCell ref="AF67:AF68"/>
    <mergeCell ref="AG67:AG68"/>
    <mergeCell ref="AB67:AB68"/>
    <mergeCell ref="AC67:AC68"/>
    <mergeCell ref="AS62:AS63"/>
    <mergeCell ref="AT62:AT63"/>
    <mergeCell ref="AU62:AU63"/>
    <mergeCell ref="AV62:AV63"/>
  </mergeCells>
  <phoneticPr fontId="35" type="noConversion"/>
  <pageMargins left="0.75" right="0.75" top="1" bottom="1" header="0.5" footer="0.5"/>
  <pageSetup scale="74" orientation="landscape" horizontalDpi="4294967292" verticalDpi="1200" r:id="rId1"/>
  <headerFooter alignWithMargins="0"/>
</worksheet>
</file>

<file path=xl/worksheets/sheet135.xml><?xml version="1.0" encoding="utf-8"?>
<worksheet xmlns="http://schemas.openxmlformats.org/spreadsheetml/2006/main" xmlns:r="http://schemas.openxmlformats.org/officeDocument/2006/relationships">
  <sheetPr codeName="Sheet79">
    <pageSetUpPr fitToPage="1"/>
  </sheetPr>
  <dimension ref="A1:AB90"/>
  <sheetViews>
    <sheetView view="pageBreakPreview" zoomScaleSheetLayoutView="100" workbookViewId="0">
      <pane xSplit="1" ySplit="2" topLeftCell="B3"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8" style="168" customWidth="1"/>
    <col min="2" max="4" width="6.7109375" style="168" customWidth="1"/>
    <col min="5" max="5" width="8.28515625" style="168" customWidth="1"/>
    <col min="6" max="6" width="6.28515625" style="168" customWidth="1"/>
    <col min="7" max="8" width="7.28515625" style="168" customWidth="1"/>
    <col min="9" max="10" width="7.5703125" style="168" customWidth="1"/>
    <col min="11" max="11" width="6.7109375" style="168" customWidth="1"/>
    <col min="12" max="12" width="6.28515625" style="168" customWidth="1"/>
    <col min="13" max="13" width="6.7109375" style="168" customWidth="1"/>
    <col min="14" max="14" width="6.140625" style="168" customWidth="1"/>
    <col min="15" max="15" width="9.5703125" style="168" customWidth="1"/>
    <col min="16" max="17" width="9.140625" style="168" customWidth="1"/>
    <col min="18" max="16384" width="8" style="168"/>
  </cols>
  <sheetData>
    <row r="1" spans="1:28" ht="16.149999999999999" customHeight="1">
      <c r="B1" s="949" t="s">
        <v>1831</v>
      </c>
      <c r="C1" s="98"/>
      <c r="D1" s="98"/>
    </row>
    <row r="2" spans="1:28" s="175" customFormat="1" ht="57" customHeight="1">
      <c r="A2" s="735" t="s">
        <v>752</v>
      </c>
      <c r="B2" s="185" t="s">
        <v>94</v>
      </c>
      <c r="C2" s="735" t="s">
        <v>95</v>
      </c>
      <c r="D2" s="735" t="s">
        <v>96</v>
      </c>
      <c r="E2" s="735" t="s">
        <v>1038</v>
      </c>
      <c r="F2" s="724" t="s">
        <v>377</v>
      </c>
      <c r="G2" s="724" t="s">
        <v>386</v>
      </c>
      <c r="H2" s="724" t="s">
        <v>378</v>
      </c>
      <c r="I2" s="724" t="s">
        <v>379</v>
      </c>
      <c r="J2" s="965" t="s">
        <v>380</v>
      </c>
      <c r="K2" s="965" t="s">
        <v>381</v>
      </c>
      <c r="L2" s="965" t="s">
        <v>382</v>
      </c>
      <c r="M2" s="965" t="s">
        <v>383</v>
      </c>
      <c r="N2" s="965" t="s">
        <v>384</v>
      </c>
      <c r="O2" s="965" t="s">
        <v>385</v>
      </c>
      <c r="P2" s="96"/>
    </row>
    <row r="3" spans="1:28">
      <c r="A3" s="168">
        <v>1981</v>
      </c>
      <c r="B3" s="186">
        <f>'35a'!B19/'4'!$B5*'4'!$B$26</f>
        <v>7.324456086735065</v>
      </c>
      <c r="C3" s="179">
        <f>'35a'!C19/'4'!$B5*'4'!$B$26</f>
        <v>7.2540229885057457</v>
      </c>
      <c r="D3" s="179">
        <f>'35a'!D19/'4'!$B5*'4'!$B$26</f>
        <v>7.2749319823623235</v>
      </c>
      <c r="E3" s="179">
        <f>'35a'!E19/'4'!$B5*'4'!$B$26</f>
        <v>7.0707070707070701</v>
      </c>
      <c r="F3" s="179">
        <f>'35a'!F19/'4'!$B5*'4'!$B$26</f>
        <v>6.9696969696969706</v>
      </c>
      <c r="G3" s="179">
        <f>'35a'!G19/'4'!$B5*'4'!$B$26</f>
        <v>6.666666666666667</v>
      </c>
      <c r="H3" s="179">
        <f>'35a'!H19/'4'!$B5*'4'!$B$26</f>
        <v>6.666666666666667</v>
      </c>
      <c r="I3" s="179">
        <f>'35a'!I19/'4'!$B5*'4'!$B$26</f>
        <v>6.4646464646464645</v>
      </c>
      <c r="J3" s="179">
        <f>'35a'!J19/'4'!$B5*'4'!$B$26</f>
        <v>7.9292929292929291</v>
      </c>
      <c r="K3" s="179">
        <f>'35a'!K19/'4'!$B5*'4'!$B$26</f>
        <v>6.8686868686868685</v>
      </c>
      <c r="L3" s="179">
        <f>'35a'!L19/'4'!$B5*'4'!$B$26</f>
        <v>6.9696969696969706</v>
      </c>
      <c r="M3" s="179">
        <f>'35a'!M19/'4'!$B5*'4'!$B$26</f>
        <v>7.9292929292929291</v>
      </c>
      <c r="N3" s="179">
        <f>'35a'!N19/'4'!$B5*'4'!$B$26</f>
        <v>7.6767676767676765</v>
      </c>
      <c r="O3" s="179">
        <f>'35a'!O19/'4'!$B5*'4'!$B$26</f>
        <v>7.1212121212121211</v>
      </c>
      <c r="R3" s="96"/>
      <c r="S3" s="723"/>
      <c r="T3" s="723"/>
      <c r="U3" s="723"/>
      <c r="V3" s="723"/>
      <c r="W3" s="723"/>
      <c r="X3" s="96"/>
      <c r="Y3" s="96"/>
      <c r="Z3" s="96"/>
      <c r="AA3" s="96"/>
      <c r="AB3" s="96"/>
    </row>
    <row r="4" spans="1:28">
      <c r="A4" s="168">
        <v>1982</v>
      </c>
      <c r="B4" s="186">
        <f>'35a'!B20/'4'!$B6*'4'!$B$26</f>
        <v>6.7386246821403439</v>
      </c>
      <c r="C4" s="179">
        <f>'35a'!C20/'4'!$B6*'4'!$B$26</f>
        <v>6.6653790591043292</v>
      </c>
      <c r="D4" s="179">
        <f>'35a'!D20/'4'!$B6*'4'!$B$26</f>
        <v>6.6735774304894466</v>
      </c>
      <c r="E4" s="179">
        <f>'35a'!E20/'4'!$B6*'4'!$B$26</f>
        <v>6.3752276867030968</v>
      </c>
      <c r="F4" s="179">
        <f>'35a'!F20/'4'!$B6*'4'!$B$26</f>
        <v>6.2841530054644812</v>
      </c>
      <c r="G4" s="179">
        <f>'35a'!G20/'4'!$B6*'4'!$B$26</f>
        <v>6.8306010928961758</v>
      </c>
      <c r="H4" s="179">
        <f>'35a'!H20/'4'!$B6*'4'!$B$26</f>
        <v>6.8306010928961758</v>
      </c>
      <c r="I4" s="179">
        <f>'35a'!I20/'4'!$B6*'4'!$B$26</f>
        <v>6.9216757741347905</v>
      </c>
      <c r="J4" s="179">
        <f>'35a'!J20/'4'!$B6*'4'!$B$26</f>
        <v>7.14936247723133</v>
      </c>
      <c r="K4" s="179">
        <f>'35a'!K20/'4'!$B6*'4'!$B$26</f>
        <v>6.1930783242258656</v>
      </c>
      <c r="L4" s="179">
        <f>'35a'!L20/'4'!$B6*'4'!$B$26</f>
        <v>7.2859744990892539</v>
      </c>
      <c r="M4" s="179">
        <f>'35a'!M20/'4'!$B6*'4'!$B$26</f>
        <v>7.741347905282332</v>
      </c>
      <c r="N4" s="179">
        <f>'35a'!N20/'4'!$B6*'4'!$B$26</f>
        <v>6.9216757741347905</v>
      </c>
      <c r="O4" s="179">
        <f>'35a'!O20/'4'!$B6*'4'!$B$26</f>
        <v>6.4207650273224042</v>
      </c>
      <c r="R4" s="96"/>
      <c r="S4" s="723"/>
      <c r="T4" s="723"/>
      <c r="U4" s="723"/>
      <c r="V4" s="723"/>
      <c r="W4" s="723"/>
      <c r="X4" s="96"/>
      <c r="Y4" s="96"/>
      <c r="Z4" s="96"/>
      <c r="AA4" s="96"/>
      <c r="AB4" s="96"/>
    </row>
    <row r="5" spans="1:28">
      <c r="A5" s="168">
        <v>1983</v>
      </c>
      <c r="B5" s="186">
        <f>'35a'!B21/'4'!$B7*'4'!$B$26</f>
        <v>6.3530806722588293</v>
      </c>
      <c r="C5" s="179">
        <f>'35a'!C21/'4'!$B7*'4'!$B$26</f>
        <v>6.3120659979820761</v>
      </c>
      <c r="D5" s="179">
        <f>'35a'!D21/'4'!$B7*'4'!$B$26</f>
        <v>6.3149545846501329</v>
      </c>
      <c r="E5" s="179">
        <f>'35a'!E21/'4'!$B7*'4'!$B$26</f>
        <v>6.024096385542169</v>
      </c>
      <c r="F5" s="179">
        <f>'35a'!F21/'4'!$B7*'4'!$B$26</f>
        <v>6.4543889845094666</v>
      </c>
      <c r="G5" s="179">
        <f>'35a'!G21/'4'!$B7*'4'!$B$26</f>
        <v>6.4543889845094666</v>
      </c>
      <c r="H5" s="179">
        <f>'35a'!H21/'4'!$B7*'4'!$B$26</f>
        <v>6.4543889845094666</v>
      </c>
      <c r="I5" s="179">
        <f>'35a'!I21/'4'!$B7*'4'!$B$26</f>
        <v>6.5404475043029251</v>
      </c>
      <c r="J5" s="179">
        <f>'35a'!J21/'4'!$B7*'4'!$B$26</f>
        <v>6.7555938037865744</v>
      </c>
      <c r="K5" s="179">
        <f>'35a'!K21/'4'!$B7*'4'!$B$26</f>
        <v>5.8519793459552494</v>
      </c>
      <c r="L5" s="179">
        <f>'35a'!L21/'4'!$B7*'4'!$B$26</f>
        <v>6.8846815834767634</v>
      </c>
      <c r="M5" s="179">
        <f>'35a'!M21/'4'!$B7*'4'!$B$26</f>
        <v>7.3149741824440619</v>
      </c>
      <c r="N5" s="179">
        <f>'35a'!N21/'4'!$B7*'4'!$B$26</f>
        <v>6.5404475043029251</v>
      </c>
      <c r="O5" s="179">
        <f>'35a'!O21/'4'!$B7*'4'!$B$26</f>
        <v>6.0671256454388987</v>
      </c>
    </row>
    <row r="6" spans="1:28">
      <c r="A6" s="168">
        <v>1984</v>
      </c>
      <c r="B6" s="186">
        <f>'35a'!B22/'4'!$B8*'4'!$B$26</f>
        <v>6.3858773309295307</v>
      </c>
      <c r="C6" s="179">
        <f>'35a'!C22/'4'!$B8*'4'!$B$26</f>
        <v>6.3855055764197113</v>
      </c>
      <c r="D6" s="179">
        <f>'35a'!D22/'4'!$B8*'4'!$B$26</f>
        <v>6.3905606829031907</v>
      </c>
      <c r="E6" s="179">
        <f>'35a'!E22/'4'!$B8*'4'!$B$26</f>
        <v>5.7755775577557751</v>
      </c>
      <c r="F6" s="179">
        <f>'35a'!F22/'4'!$B8*'4'!$B$26</f>
        <v>6.1881188118811883</v>
      </c>
      <c r="G6" s="179">
        <f>'35a'!G22/'4'!$B8*'4'!$B$26</f>
        <v>6.1881188118811883</v>
      </c>
      <c r="H6" s="179">
        <f>'35a'!H22/'4'!$B8*'4'!$B$26</f>
        <v>6.1881188118811883</v>
      </c>
      <c r="I6" s="179">
        <f>'35a'!I22/'4'!$B8*'4'!$B$26</f>
        <v>6.2706270627062706</v>
      </c>
      <c r="J6" s="179">
        <f>'35a'!J22/'4'!$B8*'4'!$B$26</f>
        <v>6.4768976897689763</v>
      </c>
      <c r="K6" s="179">
        <f>'35a'!K22/'4'!$B8*'4'!$B$26</f>
        <v>6.4768976897689763</v>
      </c>
      <c r="L6" s="179">
        <f>'35a'!L22/'4'!$B8*'4'!$B$26</f>
        <v>6.6006600660065997</v>
      </c>
      <c r="M6" s="179">
        <f>'35a'!M22/'4'!$B8*'4'!$B$26</f>
        <v>7.0132013201320138</v>
      </c>
      <c r="N6" s="179">
        <f>'35a'!N22/'4'!$B8*'4'!$B$26</f>
        <v>6.2706270627062706</v>
      </c>
      <c r="O6" s="179">
        <f>'35a'!O22/'4'!$B8*'4'!$B$26</f>
        <v>5.8168316831683162</v>
      </c>
    </row>
    <row r="7" spans="1:28">
      <c r="A7" s="168">
        <v>1985</v>
      </c>
      <c r="B7" s="186">
        <f>'35a'!B23/'4'!$B9*'4'!$B$26</f>
        <v>6.1752216577007371</v>
      </c>
      <c r="C7" s="179">
        <f>'35a'!C23/'4'!$B9*'4'!$B$26</f>
        <v>6.1861042692939252</v>
      </c>
      <c r="D7" s="179">
        <f>'35a'!D23/'4'!$B9*'4'!$B$26</f>
        <v>6.186826460277735</v>
      </c>
      <c r="E7" s="179">
        <f>'35a'!E23/'4'!$B9*'4'!$B$26</f>
        <v>5.5555555555555554</v>
      </c>
      <c r="F7" s="179">
        <f>'35a'!F23/'4'!$B9*'4'!$B$26</f>
        <v>6.3492063492063489</v>
      </c>
      <c r="G7" s="179">
        <f>'35a'!G23/'4'!$B9*'4'!$B$26</f>
        <v>6.3492063492063489</v>
      </c>
      <c r="H7" s="179">
        <f>'35a'!H23/'4'!$B9*'4'!$B$26</f>
        <v>6.3492063492063489</v>
      </c>
      <c r="I7" s="179">
        <f>'35a'!I23/'4'!$B9*'4'!$B$26</f>
        <v>6.0317460317460307</v>
      </c>
      <c r="J7" s="179">
        <f>'35a'!J23/'4'!$B9*'4'!$B$26</f>
        <v>6.2301587301587293</v>
      </c>
      <c r="K7" s="179">
        <f>'35a'!K23/'4'!$B9*'4'!$B$26</f>
        <v>6.2301587301587293</v>
      </c>
      <c r="L7" s="179">
        <f>'35a'!L23/'4'!$B9*'4'!$B$26</f>
        <v>6.8253968253968251</v>
      </c>
      <c r="M7" s="179">
        <f>'35a'!M23/'4'!$B9*'4'!$B$26</f>
        <v>6.746031746031746</v>
      </c>
      <c r="N7" s="179">
        <f>'35a'!N23/'4'!$B9*'4'!$B$26</f>
        <v>6.0317460317460307</v>
      </c>
      <c r="O7" s="179">
        <f>'35a'!O23/'4'!$B9*'4'!$B$26</f>
        <v>5.5952380952380949</v>
      </c>
    </row>
    <row r="8" spans="1:28">
      <c r="A8" s="168">
        <v>1986</v>
      </c>
      <c r="B8" s="186">
        <f>'35a'!B24/'4'!$B10*'4'!$B$26</f>
        <v>6.356670357180402</v>
      </c>
      <c r="C8" s="179">
        <f>'35a'!C24/'4'!$B10*'4'!$B$26</f>
        <v>6.3916105971404544</v>
      </c>
      <c r="D8" s="179">
        <f>'35a'!D24/'4'!$B10*'4'!$B$26</f>
        <v>6.3765024144847926</v>
      </c>
      <c r="E8" s="179">
        <f>'35a'!E24/'4'!$B10*'4'!$B$26</f>
        <v>6.0975609756097571</v>
      </c>
      <c r="F8" s="179">
        <f>'35a'!F24/'4'!$B10*'4'!$B$26</f>
        <v>6.0975609756097571</v>
      </c>
      <c r="G8" s="179">
        <f>'35a'!G24/'4'!$B10*'4'!$B$26</f>
        <v>6.0975609756097571</v>
      </c>
      <c r="H8" s="179">
        <f>'35a'!H24/'4'!$B10*'4'!$B$26</f>
        <v>6.0975609756097571</v>
      </c>
      <c r="I8" s="179">
        <f>'35a'!I24/'4'!$B10*'4'!$B$26</f>
        <v>6.0975609756097571</v>
      </c>
      <c r="J8" s="179">
        <f>'35a'!J24/'4'!$B10*'4'!$B$26</f>
        <v>6.6310975609756104</v>
      </c>
      <c r="K8" s="179">
        <f>'35a'!K24/'4'!$B10*'4'!$B$26</f>
        <v>6.6310975609756104</v>
      </c>
      <c r="L8" s="179">
        <f>'35a'!L24/'4'!$B10*'4'!$B$26</f>
        <v>6.5548780487804876</v>
      </c>
      <c r="M8" s="179">
        <f>'35a'!M24/'4'!$B10*'4'!$B$26</f>
        <v>6.8597560975609762</v>
      </c>
      <c r="N8" s="179">
        <f>'35a'!N24/'4'!$B10*'4'!$B$26</f>
        <v>5.7926829268292686</v>
      </c>
      <c r="O8" s="179">
        <f>'35a'!O24/'4'!$B10*'4'!$B$26</f>
        <v>5.3734756097560981</v>
      </c>
    </row>
    <row r="9" spans="1:28">
      <c r="A9" s="168">
        <v>1987</v>
      </c>
      <c r="B9" s="186">
        <f>'35a'!B25/'4'!$B11*'4'!$B$26</f>
        <v>6.2687906884987168</v>
      </c>
      <c r="C9" s="179">
        <f>'35a'!C25/'4'!$B11*'4'!$B$26</f>
        <v>6.3315882204882952</v>
      </c>
      <c r="D9" s="179">
        <f>'35a'!D25/'4'!$B11*'4'!$B$26</f>
        <v>6.3126177409016577</v>
      </c>
      <c r="E9" s="179">
        <f>'35a'!E25/'4'!$B11*'4'!$B$26</f>
        <v>5.8394160583941606</v>
      </c>
      <c r="F9" s="179">
        <f>'35a'!F25/'4'!$B11*'4'!$B$26</f>
        <v>5.8394160583941606</v>
      </c>
      <c r="G9" s="179">
        <f>'35a'!G25/'4'!$B11*'4'!$B$26</f>
        <v>5.8394160583941606</v>
      </c>
      <c r="H9" s="179">
        <f>'35a'!H25/'4'!$B11*'4'!$B$26</f>
        <v>5.8394160583941606</v>
      </c>
      <c r="I9" s="179">
        <f>'35a'!I25/'4'!$B11*'4'!$B$26</f>
        <v>5.8394160583941606</v>
      </c>
      <c r="J9" s="179">
        <f>'35a'!J25/'4'!$B11*'4'!$B$26</f>
        <v>6.6423357664233578</v>
      </c>
      <c r="K9" s="179">
        <f>'35a'!K25/'4'!$B11*'4'!$B$26</f>
        <v>6.6423357664233578</v>
      </c>
      <c r="L9" s="179">
        <f>'35a'!L25/'4'!$B11*'4'!$B$26</f>
        <v>6.7153284671532836</v>
      </c>
      <c r="M9" s="179">
        <f>'35a'!M25/'4'!$B11*'4'!$B$26</f>
        <v>6.5693430656934311</v>
      </c>
      <c r="N9" s="179">
        <f>'35a'!N25/'4'!$B11*'4'!$B$26</f>
        <v>5.547445255474452</v>
      </c>
      <c r="O9" s="179">
        <f>'35a'!O25/'4'!$B11*'4'!$B$26</f>
        <v>5.1459854014598534</v>
      </c>
    </row>
    <row r="10" spans="1:28">
      <c r="A10" s="168">
        <v>1988</v>
      </c>
      <c r="B10" s="186">
        <f>'35a'!B26/'4'!$B12*'4'!$B$26</f>
        <v>6.5022780517265399</v>
      </c>
      <c r="C10" s="179">
        <f>'35a'!C26/'4'!$B12*'4'!$B$26</f>
        <v>6.502990604416893</v>
      </c>
      <c r="D10" s="179">
        <f>'35a'!D26/'4'!$B12*'4'!$B$26</f>
        <v>6.507575358412609</v>
      </c>
      <c r="E10" s="179">
        <f>'35a'!E26/'4'!$B12*'4'!$B$26</f>
        <v>5.6179775280898872</v>
      </c>
      <c r="F10" s="179">
        <f>'35a'!F26/'4'!$B12*'4'!$B$26</f>
        <v>5.9691011235955056</v>
      </c>
      <c r="G10" s="179">
        <f>'35a'!G26/'4'!$B12*'4'!$B$26</f>
        <v>5.9691011235955056</v>
      </c>
      <c r="H10" s="179">
        <f>'35a'!H26/'4'!$B12*'4'!$B$26</f>
        <v>5.6179775280898872</v>
      </c>
      <c r="I10" s="179">
        <f>'35a'!I26/'4'!$B12*'4'!$B$26</f>
        <v>5.6179775280898872</v>
      </c>
      <c r="J10" s="179">
        <f>'35a'!J26/'4'!$B12*'4'!$B$26</f>
        <v>6.6713483146067416</v>
      </c>
      <c r="K10" s="179">
        <f>'35a'!K26/'4'!$B12*'4'!$B$26</f>
        <v>6.6713483146067416</v>
      </c>
      <c r="L10" s="179">
        <f>'35a'!L26/'4'!$B12*'4'!$B$26</f>
        <v>6.4606741573033695</v>
      </c>
      <c r="M10" s="179">
        <f>'35a'!M26/'4'!$B12*'4'!$B$26</f>
        <v>6.320224719101124</v>
      </c>
      <c r="N10" s="179">
        <f>'35a'!N26/'4'!$B12*'4'!$B$26</f>
        <v>6.320224719101124</v>
      </c>
      <c r="O10" s="179">
        <f>'35a'!O26/'4'!$B12*'4'!$B$26</f>
        <v>6.320224719101124</v>
      </c>
    </row>
    <row r="11" spans="1:28">
      <c r="A11" s="168">
        <v>1989</v>
      </c>
      <c r="B11" s="186">
        <f>'35a'!B27/'4'!$B13*'4'!$B$26</f>
        <v>6.4489392668525447</v>
      </c>
      <c r="C11" s="179">
        <f>'35a'!C27/'4'!$B13*'4'!$B$26</f>
        <v>6.4889994007007195</v>
      </c>
      <c r="D11" s="179">
        <f>'35a'!D27/'4'!$B13*'4'!$B$26</f>
        <v>6.5043843132426948</v>
      </c>
      <c r="E11" s="179">
        <f>'35a'!E27/'4'!$B13*'4'!$B$26</f>
        <v>5.3475935828877006</v>
      </c>
      <c r="F11" s="179">
        <f>'35a'!F27/'4'!$B13*'4'!$B$26</f>
        <v>5.6818181818181825</v>
      </c>
      <c r="G11" s="179">
        <f>'35a'!G27/'4'!$B13*'4'!$B$26</f>
        <v>6.0160427807486636</v>
      </c>
      <c r="H11" s="179">
        <f>'35a'!H27/'4'!$B13*'4'!$B$26</f>
        <v>6.0160427807486636</v>
      </c>
      <c r="I11" s="179">
        <f>'35a'!I27/'4'!$B13*'4'!$B$26</f>
        <v>5.8489304812834231</v>
      </c>
      <c r="J11" s="179">
        <f>'35a'!J27/'4'!$B13*'4'!$B$26</f>
        <v>6.6844919786096257</v>
      </c>
      <c r="K11" s="179">
        <f>'35a'!K27/'4'!$B13*'4'!$B$26</f>
        <v>6.6844919786096257</v>
      </c>
      <c r="L11" s="179">
        <f>'35a'!L27/'4'!$B13*'4'!$B$26</f>
        <v>6.1497326203208553</v>
      </c>
      <c r="M11" s="179">
        <f>'35a'!M27/'4'!$B13*'4'!$B$26</f>
        <v>6.0160427807486636</v>
      </c>
      <c r="N11" s="179">
        <f>'35a'!N27/'4'!$B13*'4'!$B$26</f>
        <v>6.0160427807486636</v>
      </c>
      <c r="O11" s="179">
        <f>'35a'!O27/'4'!$B13*'4'!$B$26</f>
        <v>6.3502673796791447</v>
      </c>
    </row>
    <row r="12" spans="1:28">
      <c r="A12" s="168">
        <v>1990</v>
      </c>
      <c r="B12" s="186">
        <f>'35a'!B28/'4'!$B14*'4'!$B$26</f>
        <v>6.4892480569880409</v>
      </c>
      <c r="C12" s="179">
        <f>'35a'!C28/'4'!$B14*'4'!$B$26</f>
        <v>6.5467540464461624</v>
      </c>
      <c r="D12" s="179">
        <f>'35a'!D28/'4'!$B14*'4'!$B$26</f>
        <v>6.523583994974687</v>
      </c>
      <c r="E12" s="179">
        <f>'35a'!E28/'4'!$B14*'4'!$B$26</f>
        <v>5.1020408163265296</v>
      </c>
      <c r="F12" s="179">
        <f>'35a'!F28/'4'!$B14*'4'!$B$26</f>
        <v>5.420918367346939</v>
      </c>
      <c r="G12" s="179">
        <f>'35a'!G28/'4'!$B14*'4'!$B$26</f>
        <v>5.7397959183673466</v>
      </c>
      <c r="H12" s="179">
        <f>'35a'!H28/'4'!$B14*'4'!$B$26</f>
        <v>5.7397959183673466</v>
      </c>
      <c r="I12" s="179">
        <f>'35a'!I28/'4'!$B14*'4'!$B$26</f>
        <v>6.0586734693877551</v>
      </c>
      <c r="J12" s="179">
        <f>'35a'!J28/'4'!$B14*'4'!$B$26</f>
        <v>6.7602040816326525</v>
      </c>
      <c r="K12" s="179">
        <f>'35a'!K28/'4'!$B14*'4'!$B$26</f>
        <v>6.8877551020408152</v>
      </c>
      <c r="L12" s="179">
        <f>'35a'!L28/'4'!$B14*'4'!$B$26</f>
        <v>5.8673469387755093</v>
      </c>
      <c r="M12" s="179">
        <f>'35a'!M28/'4'!$B14*'4'!$B$26</f>
        <v>5.7397959183673466</v>
      </c>
      <c r="N12" s="179">
        <f>'35a'!N28/'4'!$B14*'4'!$B$26</f>
        <v>5.7397959183673466</v>
      </c>
      <c r="O12" s="179">
        <f>'35a'!O28/'4'!$B14*'4'!$B$26</f>
        <v>6.3775510204081636</v>
      </c>
    </row>
    <row r="13" spans="1:28">
      <c r="A13" s="168">
        <v>1991</v>
      </c>
      <c r="B13" s="186">
        <f>'35a'!B29/'4'!$B15*'4'!$B$26</f>
        <v>6.5331972828499199</v>
      </c>
      <c r="C13" s="179">
        <f>'35a'!C29/'4'!$B15*'4'!$B$26</f>
        <v>6.6334853406630039</v>
      </c>
      <c r="D13" s="179">
        <f>'35a'!D29/'4'!$B15*'4'!$B$26</f>
        <v>6.5886212804461035</v>
      </c>
      <c r="E13" s="179">
        <f>'35a'!E29/'4'!$B15*'4'!$B$26</f>
        <v>4.8309178743961354</v>
      </c>
      <c r="F13" s="179">
        <f>'35a'!F29/'4'!$B15*'4'!$B$26</f>
        <v>5.7367149758454108</v>
      </c>
      <c r="G13" s="179">
        <f>'35a'!G29/'4'!$B15*'4'!$B$26</f>
        <v>5.7367149758454108</v>
      </c>
      <c r="H13" s="179">
        <f>'35a'!H29/'4'!$B15*'4'!$B$26</f>
        <v>5.7367149758454108</v>
      </c>
      <c r="I13" s="179">
        <f>'35a'!I29/'4'!$B15*'4'!$B$26</f>
        <v>6.0386473429951693</v>
      </c>
      <c r="J13" s="179">
        <f>'35a'!J29/'4'!$B15*'4'!$B$26</f>
        <v>6.7028985507246386</v>
      </c>
      <c r="K13" s="179">
        <f>'35a'!K29/'4'!$B15*'4'!$B$26</f>
        <v>7.2463768115942031</v>
      </c>
      <c r="L13" s="179">
        <f>'35a'!L29/'4'!$B15*'4'!$B$26</f>
        <v>6.0386473429951693</v>
      </c>
      <c r="M13" s="179">
        <f>'35a'!M29/'4'!$B15*'4'!$B$26</f>
        <v>5.88768115942029</v>
      </c>
      <c r="N13" s="179">
        <f>'35a'!N29/'4'!$B15*'4'!$B$26</f>
        <v>5.4347826086956523</v>
      </c>
      <c r="O13" s="179">
        <f>'35a'!O29/'4'!$B15*'4'!$B$26</f>
        <v>6.0386473429951693</v>
      </c>
    </row>
    <row r="14" spans="1:28">
      <c r="A14" s="168">
        <v>1992</v>
      </c>
      <c r="B14" s="186">
        <f>'35a'!B30/'4'!$B16*'4'!$B$26</f>
        <v>6.7567129066277278</v>
      </c>
      <c r="C14" s="179">
        <f>'35a'!C30/'4'!$B16*'4'!$B$26</f>
        <v>6.8587541050903118</v>
      </c>
      <c r="D14" s="179">
        <f>'35a'!D30/'4'!$B16*'4'!$B$26</f>
        <v>6.8386184682263496</v>
      </c>
      <c r="E14" s="179">
        <f>'35a'!E30/'4'!$B16*'4'!$B$26</f>
        <v>4.7619047619047619</v>
      </c>
      <c r="F14" s="179">
        <f>'35a'!F30/'4'!$B16*'4'!$B$26</f>
        <v>5.6547619047619051</v>
      </c>
      <c r="G14" s="179">
        <f>'35a'!G30/'4'!$B16*'4'!$B$26</f>
        <v>5.6547619047619051</v>
      </c>
      <c r="H14" s="179">
        <f>'35a'!H30/'4'!$B16*'4'!$B$26</f>
        <v>5.9523809523809517</v>
      </c>
      <c r="I14" s="179">
        <f>'35a'!I30/'4'!$B16*'4'!$B$26</f>
        <v>5.9523809523809517</v>
      </c>
      <c r="J14" s="179">
        <f>'35a'!J30/'4'!$B16*'4'!$B$26</f>
        <v>6.7857142857142865</v>
      </c>
      <c r="K14" s="179">
        <f>'35a'!K30/'4'!$B16*'4'!$B$26</f>
        <v>7.5595238095238093</v>
      </c>
      <c r="L14" s="179">
        <f>'35a'!L30/'4'!$B16*'4'!$B$26</f>
        <v>5.9523809523809517</v>
      </c>
      <c r="M14" s="179">
        <f>'35a'!M30/'4'!$B16*'4'!$B$26</f>
        <v>5.8035714285714288</v>
      </c>
      <c r="N14" s="179">
        <f>'35a'!N30/'4'!$B16*'4'!$B$26</f>
        <v>5.9523809523809517</v>
      </c>
      <c r="O14" s="179">
        <f>'35a'!O30/'4'!$B16*'4'!$B$26</f>
        <v>6.5476190476190483</v>
      </c>
    </row>
    <row r="15" spans="1:28">
      <c r="A15" s="168">
        <v>1993</v>
      </c>
      <c r="B15" s="186">
        <f>'35a'!B31/'4'!$B17*'4'!$B$26</f>
        <v>6.8042611790945573</v>
      </c>
      <c r="C15" s="179">
        <f>'35a'!C31/'4'!$B17*'4'!$B$26</f>
        <v>6.8781018369320002</v>
      </c>
      <c r="D15" s="179">
        <f>'35a'!D31/'4'!$B17*'4'!$B$26</f>
        <v>6.8511542140454091</v>
      </c>
      <c r="E15" s="179">
        <f>'35a'!E31/'4'!$B17*'4'!$B$26</f>
        <v>4.6728971962616832</v>
      </c>
      <c r="F15" s="179">
        <f>'35a'!F31/'4'!$B17*'4'!$B$26</f>
        <v>5.5490654205607486</v>
      </c>
      <c r="G15" s="179">
        <f>'35a'!G31/'4'!$B17*'4'!$B$26</f>
        <v>5.5490654205607486</v>
      </c>
      <c r="H15" s="179">
        <f>'35a'!H31/'4'!$B17*'4'!$B$26</f>
        <v>6.0163551401869162</v>
      </c>
      <c r="I15" s="179">
        <f>'35a'!I31/'4'!$B17*'4'!$B$26</f>
        <v>5.8411214953271031</v>
      </c>
      <c r="J15" s="179">
        <f>'35a'!J31/'4'!$B17*'4'!$B$26</f>
        <v>6.83411214953271</v>
      </c>
      <c r="K15" s="179">
        <f>'35a'!K31/'4'!$B17*'4'!$B$26</f>
        <v>7.4182242990654208</v>
      </c>
      <c r="L15" s="179">
        <f>'35a'!L31/'4'!$B17*'4'!$B$26</f>
        <v>5.8411214953271031</v>
      </c>
      <c r="M15" s="179">
        <f>'35a'!M31/'4'!$B17*'4'!$B$26</f>
        <v>6.25</v>
      </c>
      <c r="N15" s="179">
        <f>'35a'!N31/'4'!$B17*'4'!$B$26</f>
        <v>5.8411214953271031</v>
      </c>
      <c r="O15" s="179">
        <f>'35a'!O31/'4'!$B17*'4'!$B$26</f>
        <v>7.0093457943925239</v>
      </c>
    </row>
    <row r="16" spans="1:28">
      <c r="A16" s="168">
        <v>1994</v>
      </c>
      <c r="B16" s="186">
        <f>'35a'!B32/'4'!$B18*'4'!$B$26</f>
        <v>6.9792187586820029</v>
      </c>
      <c r="C16" s="179">
        <f>'35a'!C32/'4'!$B18*'4'!$B$26</f>
        <v>7.075373194382971</v>
      </c>
      <c r="D16" s="179">
        <f>'35a'!D32/'4'!$B18*'4'!$B$26</f>
        <v>7.0418310163427842</v>
      </c>
      <c r="E16" s="179">
        <f>'35a'!E32/'4'!$B18*'4'!$B$26</f>
        <v>4.6674445740956827</v>
      </c>
      <c r="F16" s="179">
        <f>'35a'!F32/'4'!$B18*'4'!$B$26</f>
        <v>5.5425904317386223</v>
      </c>
      <c r="G16" s="179">
        <f>'35a'!G32/'4'!$B18*'4'!$B$26</f>
        <v>5.5425904317386223</v>
      </c>
      <c r="H16" s="179">
        <f>'35a'!H32/'4'!$B18*'4'!$B$26</f>
        <v>6.0093348891481915</v>
      </c>
      <c r="I16" s="179">
        <f>'35a'!I32/'4'!$B18*'4'!$B$26</f>
        <v>5.8343057176196034</v>
      </c>
      <c r="J16" s="179">
        <f>'35a'!J32/'4'!$B18*'4'!$B$26</f>
        <v>7.0011668611435232</v>
      </c>
      <c r="K16" s="179">
        <f>'35a'!K32/'4'!$B18*'4'!$B$26</f>
        <v>7.8179696616102685</v>
      </c>
      <c r="L16" s="179">
        <f>'35a'!L32/'4'!$B18*'4'!$B$26</f>
        <v>5.8343057176196034</v>
      </c>
      <c r="M16" s="179">
        <f>'35a'!M32/'4'!$B18*'4'!$B$26</f>
        <v>6.2427071178529747</v>
      </c>
      <c r="N16" s="179">
        <f>'35a'!N32/'4'!$B18*'4'!$B$26</f>
        <v>5.8343057176196034</v>
      </c>
      <c r="O16" s="179">
        <f>'35a'!O32/'4'!$B18*'4'!$B$26</f>
        <v>7.0011668611435232</v>
      </c>
    </row>
    <row r="17" spans="1:15">
      <c r="A17" s="168">
        <v>1995</v>
      </c>
      <c r="B17" s="186">
        <f>'35a'!B33/'4'!$B19*'4'!$B$26</f>
        <v>7.1836451305118247</v>
      </c>
      <c r="C17" s="179">
        <f>'35a'!C33/'4'!$B19*'4'!$B$26</f>
        <v>7.2475200755786489</v>
      </c>
      <c r="D17" s="179">
        <f>'35a'!D33/'4'!$B19*'4'!$B$26</f>
        <v>7.200742533741372</v>
      </c>
      <c r="E17" s="179">
        <f>'35a'!E33/'4'!$B19*'4'!$B$26</f>
        <v>4.5662100456621006</v>
      </c>
      <c r="F17" s="179">
        <f>'35a'!F33/'4'!$B19*'4'!$B$26</f>
        <v>5.422374429223745</v>
      </c>
      <c r="G17" s="179">
        <f>'35a'!G33/'4'!$B19*'4'!$B$26</f>
        <v>5.422374429223745</v>
      </c>
      <c r="H17" s="179">
        <f>'35a'!H33/'4'!$B19*'4'!$B$26</f>
        <v>5.8789954337899557</v>
      </c>
      <c r="I17" s="179">
        <f>'35a'!I33/'4'!$B19*'4'!$B$26</f>
        <v>5.7077625570776256</v>
      </c>
      <c r="J17" s="179">
        <f>'35a'!J33/'4'!$B19*'4'!$B$26</f>
        <v>7.3630136986301373</v>
      </c>
      <c r="K17" s="179">
        <f>'35a'!K33/'4'!$B19*'4'!$B$26</f>
        <v>7.8196347031963471</v>
      </c>
      <c r="L17" s="179">
        <f>'35a'!L33/'4'!$B19*'4'!$B$26</f>
        <v>5.993150684931507</v>
      </c>
      <c r="M17" s="179">
        <f>'35a'!M33/'4'!$B19*'4'!$B$26</f>
        <v>6.1073059360730593</v>
      </c>
      <c r="N17" s="179">
        <f>'35a'!N33/'4'!$B19*'4'!$B$26</f>
        <v>5.7077625570776256</v>
      </c>
      <c r="O17" s="179">
        <f>'35a'!O33/'4'!$B19*'4'!$B$26</f>
        <v>7.7054794520547949</v>
      </c>
    </row>
    <row r="18" spans="1:15">
      <c r="A18" s="168">
        <v>1996</v>
      </c>
      <c r="B18" s="186">
        <f>'35a'!B34/'4'!$B20*'4'!$B$26</f>
        <v>7.2772014085061594</v>
      </c>
      <c r="C18" s="179">
        <f>'35a'!C34/'4'!$B20*'4'!$B$26</f>
        <v>7.3000416973740334</v>
      </c>
      <c r="D18" s="179">
        <f>'35a'!D34/'4'!$B20*'4'!$B$26</f>
        <v>7.2375682604026954</v>
      </c>
      <c r="E18" s="101" t="s">
        <v>744</v>
      </c>
      <c r="F18" s="179">
        <f>'35a'!F34/'4'!$B20*'4'!$B$26</f>
        <v>5.6242969628796393</v>
      </c>
      <c r="G18" s="179">
        <f>'35a'!G34/'4'!$B20*'4'!$B$26</f>
        <v>5.7930258717660292</v>
      </c>
      <c r="H18" s="179">
        <f>'35a'!H34/'4'!$B20*'4'!$B$26</f>
        <v>6.0179977502812143</v>
      </c>
      <c r="I18" s="179">
        <f>'35a'!I34/'4'!$B20*'4'!$B$26</f>
        <v>6.0461192350956132</v>
      </c>
      <c r="J18" s="179">
        <f>'35a'!J34/'4'!$B20*'4'!$B$26</f>
        <v>7.5365579302587182</v>
      </c>
      <c r="K18" s="179">
        <f>'35a'!K34/'4'!$B20*'4'!$B$26</f>
        <v>7.7052868391451064</v>
      </c>
      <c r="L18" s="179">
        <f>'35a'!L34/'4'!$B20*'4'!$B$26</f>
        <v>6.0742407199100112</v>
      </c>
      <c r="M18" s="179">
        <f>'35a'!M34/'4'!$B20*'4'!$B$26</f>
        <v>6.2992125984251954</v>
      </c>
      <c r="N18" s="179">
        <f>'35a'!N34/'4'!$B20*'4'!$B$26</f>
        <v>5.6242969628796393</v>
      </c>
      <c r="O18" s="179">
        <f>'35a'!O34/'4'!$B20*'4'!$B$26</f>
        <v>7.8740157480314963</v>
      </c>
    </row>
    <row r="19" spans="1:15">
      <c r="A19" s="168">
        <v>1997</v>
      </c>
      <c r="B19" s="186">
        <f>'35a'!B35/'4'!$B21*'4'!$B$26</f>
        <v>7.1888832167429628</v>
      </c>
      <c r="C19" s="179">
        <f>'35a'!C35/'4'!$B21*'4'!$B$26</f>
        <v>7.226788983826669</v>
      </c>
      <c r="D19" s="179">
        <f>'35a'!D35/'4'!$B21*'4'!$B$26</f>
        <v>7.155458609949263</v>
      </c>
      <c r="E19" s="101" t="s">
        <v>744</v>
      </c>
      <c r="F19" s="179">
        <f>'35a'!F35/'4'!$B21*'4'!$B$26</f>
        <v>5.8075221238938042</v>
      </c>
      <c r="G19" s="179">
        <f>'35a'!G35/'4'!$B21*'4'!$B$26</f>
        <v>5.9734513274336285</v>
      </c>
      <c r="H19" s="179">
        <f>'35a'!H35/'4'!$B21*'4'!$B$26</f>
        <v>6.0840707964601766</v>
      </c>
      <c r="I19" s="179">
        <f>'35a'!I35/'4'!$B21*'4'!$B$26</f>
        <v>6.0840707964601766</v>
      </c>
      <c r="J19" s="179">
        <f>'35a'!J35/'4'!$B21*'4'!$B$26</f>
        <v>7.5221238938053085</v>
      </c>
      <c r="K19" s="179">
        <f>'35a'!K35/'4'!$B21*'4'!$B$26</f>
        <v>7.577433628318583</v>
      </c>
      <c r="L19" s="179">
        <f>'35a'!L35/'4'!$B21*'4'!$B$26</f>
        <v>5.9734513274336285</v>
      </c>
      <c r="M19" s="179">
        <f>'35a'!M35/'4'!$B21*'4'!$B$26</f>
        <v>6.1946902654867246</v>
      </c>
      <c r="N19" s="179">
        <f>'35a'!N35/'4'!$B21*'4'!$B$26</f>
        <v>5.5309734513274336</v>
      </c>
      <c r="O19" s="179">
        <f>'35a'!O35/'4'!$B21*'4'!$B$26</f>
        <v>7.7433628318584065</v>
      </c>
    </row>
    <row r="20" spans="1:15">
      <c r="A20" s="168">
        <v>1998</v>
      </c>
      <c r="B20" s="186">
        <f>'35a'!B36/'4'!$B22*'4'!$B$26</f>
        <v>7.2049044847337722</v>
      </c>
      <c r="C20" s="179">
        <f>'35a'!C36/'4'!$B22*'4'!$B$26</f>
        <v>7.2258941723004888</v>
      </c>
      <c r="D20" s="179">
        <f>'35a'!D36/'4'!$B22*'4'!$B$26</f>
        <v>7.1764464234073548</v>
      </c>
      <c r="E20" s="101" t="s">
        <v>744</v>
      </c>
      <c r="F20" s="179">
        <f>'35a'!F36/'4'!$B22*'4'!$B$26</f>
        <v>5.7502738225629795</v>
      </c>
      <c r="G20" s="179">
        <f>'35a'!G36/'4'!$B22*'4'!$B$26</f>
        <v>5.9145673603504934</v>
      </c>
      <c r="H20" s="179">
        <f>'35a'!H36/'4'!$B22*'4'!$B$26</f>
        <v>6.024096385542169</v>
      </c>
      <c r="I20" s="179">
        <f>'35a'!I36/'4'!$B22*'4'!$B$26</f>
        <v>6.024096385542169</v>
      </c>
      <c r="J20" s="179">
        <f>'35a'!J36/'4'!$B22*'4'!$B$26</f>
        <v>7.5575027382256295</v>
      </c>
      <c r="K20" s="179">
        <f>'35a'!K36/'4'!$B22*'4'!$B$26</f>
        <v>7.5027382256297921</v>
      </c>
      <c r="L20" s="179">
        <f>'35a'!L36/'4'!$B22*'4'!$B$26</f>
        <v>5.9145673603504934</v>
      </c>
      <c r="M20" s="179">
        <f>'35a'!M36/'4'!$B22*'4'!$B$26</f>
        <v>6.1336254107338446</v>
      </c>
      <c r="N20" s="179">
        <f>'35a'!N36/'4'!$B22*'4'!$B$26</f>
        <v>5.9145673603504934</v>
      </c>
      <c r="O20" s="179">
        <f>'35a'!O36/'4'!$B22*'4'!$B$26</f>
        <v>7.8313253012048198</v>
      </c>
    </row>
    <row r="21" spans="1:15">
      <c r="A21" s="168">
        <v>1999</v>
      </c>
      <c r="B21" s="186">
        <f>'35a'!B37/'4'!$B23*'4'!$B$26</f>
        <v>7.1799115291270255</v>
      </c>
      <c r="C21" s="179">
        <f>'35a'!C37/'4'!$B23*'4'!$B$26</f>
        <v>7.1732489514123463</v>
      </c>
      <c r="D21" s="179">
        <f>'35a'!D37/'4'!$B23*'4'!$B$26</f>
        <v>7.1428070824271046</v>
      </c>
      <c r="E21" s="101" t="s">
        <v>744</v>
      </c>
      <c r="F21" s="179">
        <f>'35a'!F37/'4'!$B23*'4'!$B$26</f>
        <v>5.9203444564047363</v>
      </c>
      <c r="G21" s="179">
        <f>'35a'!G37/'4'!$B23*'4'!$B$26</f>
        <v>5.8127018299246505</v>
      </c>
      <c r="H21" s="179">
        <f>'35a'!H37/'4'!$B23*'4'!$B$26</f>
        <v>6.0279870828848221</v>
      </c>
      <c r="I21" s="179">
        <f>'35a'!I37/'4'!$B23*'4'!$B$26</f>
        <v>5.9203444564047363</v>
      </c>
      <c r="J21" s="179">
        <f>'35a'!J37/'4'!$B23*'4'!$B$26</f>
        <v>7.4273412271259414</v>
      </c>
      <c r="K21" s="179">
        <f>'35a'!K37/'4'!$B23*'4'!$B$26</f>
        <v>7.3735199138858984</v>
      </c>
      <c r="L21" s="179">
        <f>'35a'!L37/'4'!$B23*'4'!$B$26</f>
        <v>6.4585575888051663</v>
      </c>
      <c r="M21" s="179">
        <f>'35a'!M37/'4'!$B23*'4'!$B$26</f>
        <v>6.4585575888051663</v>
      </c>
      <c r="N21" s="179">
        <f>'35a'!N37/'4'!$B23*'4'!$B$26</f>
        <v>6.2163616792249732</v>
      </c>
      <c r="O21" s="179">
        <f>'35a'!O37/'4'!$B23*'4'!$B$26</f>
        <v>7.6964477933261568</v>
      </c>
    </row>
    <row r="22" spans="1:15">
      <c r="A22" s="168">
        <v>2000</v>
      </c>
      <c r="B22" s="186">
        <f>'35a'!B38/'4'!$B24*'4'!$B$26</f>
        <v>7.0955142274845855</v>
      </c>
      <c r="C22" s="179">
        <f>'35a'!C38/'4'!$B24*'4'!$B$26</f>
        <v>7.0620617364273848</v>
      </c>
      <c r="D22" s="179">
        <f>'35a'!D38/'4'!$B24*'4'!$B$26</f>
        <v>7.0425207958840428</v>
      </c>
      <c r="E22" s="101" t="s">
        <v>744</v>
      </c>
      <c r="F22" s="179">
        <f>'35a'!F38/'4'!$B24*'4'!$B$26</f>
        <v>5.765199161425576</v>
      </c>
      <c r="G22" s="179">
        <f>'35a'!G38/'4'!$B24*'4'!$B$26</f>
        <v>5.8700209643605863</v>
      </c>
      <c r="H22" s="179">
        <f>'35a'!H38/'4'!$B24*'4'!$B$26</f>
        <v>5.9748427672955975</v>
      </c>
      <c r="I22" s="179">
        <f>'35a'!I38/'4'!$B24*'4'!$B$26</f>
        <v>6.0272536687631026</v>
      </c>
      <c r="J22" s="179">
        <f>'35a'!J38/'4'!$B24*'4'!$B$26</f>
        <v>7.232704402515723</v>
      </c>
      <c r="K22" s="179">
        <f>'35a'!K38/'4'!$B24*'4'!$B$26</f>
        <v>7.180293501048217</v>
      </c>
      <c r="L22" s="179">
        <f>'35a'!L38/'4'!$B24*'4'!$B$26</f>
        <v>6.2893081761006293</v>
      </c>
      <c r="M22" s="179">
        <f>'35a'!M38/'4'!$B24*'4'!$B$26</f>
        <v>6.2893081761006293</v>
      </c>
      <c r="N22" s="179">
        <f>'35a'!N38/'4'!$B24*'4'!$B$26</f>
        <v>6.184486373165619</v>
      </c>
      <c r="O22" s="179">
        <f>'35a'!O38/'4'!$B24*'4'!$B$26</f>
        <v>7.9664570230607952</v>
      </c>
    </row>
    <row r="23" spans="1:15">
      <c r="A23" s="168">
        <v>2001</v>
      </c>
      <c r="B23" s="186">
        <f>'35a'!B39/'4'!$B25*'4'!$B$26</f>
        <v>7.0386587833900212</v>
      </c>
      <c r="C23" s="179">
        <f>'35a'!C39/'4'!$B25*'4'!$B$26</f>
        <v>6.9869808194062477</v>
      </c>
      <c r="D23" s="179">
        <f>'35a'!D39/'4'!$B25*'4'!$B$26</f>
        <v>6.9603896144587747</v>
      </c>
      <c r="E23" s="101" t="s">
        <v>744</v>
      </c>
      <c r="F23" s="179">
        <f>'35a'!F39/'4'!$B25*'4'!$B$26</f>
        <v>5.6237218813905931</v>
      </c>
      <c r="G23" s="179">
        <f>'35a'!G39/'4'!$B25*'4'!$B$26</f>
        <v>5.9304703476482619</v>
      </c>
      <c r="H23" s="179">
        <f>'35a'!H39/'4'!$B25*'4'!$B$26</f>
        <v>5.9304703476482619</v>
      </c>
      <c r="I23" s="179">
        <f>'35a'!I39/'4'!$B25*'4'!$B$26</f>
        <v>6.0327198364008181</v>
      </c>
      <c r="J23" s="179">
        <f>'35a'!J39/'4'!$B25*'4'!$B$26</f>
        <v>7.1574642126789367</v>
      </c>
      <c r="K23" s="179">
        <f>'35a'!K39/'4'!$B25*'4'!$B$26</f>
        <v>7.0040899795501019</v>
      </c>
      <c r="L23" s="179">
        <f>'35a'!L39/'4'!$B25*'4'!$B$26</f>
        <v>6.3905930470347645</v>
      </c>
      <c r="M23" s="179">
        <f>'35a'!M39/'4'!$B25*'4'!$B$26</f>
        <v>6.1349693251533743</v>
      </c>
      <c r="N23" s="179">
        <f>'35a'!N39/'4'!$B25*'4'!$B$26</f>
        <v>6.0327198364008181</v>
      </c>
      <c r="O23" s="179">
        <f>'35a'!O39/'4'!$B25*'4'!$B$26</f>
        <v>8.1799591002044991</v>
      </c>
    </row>
    <row r="24" spans="1:15">
      <c r="A24" s="168">
        <v>2002</v>
      </c>
      <c r="B24" s="186">
        <f>'35a'!B40/'4'!$B26*'4'!$B$26</f>
        <v>6.9815658657829331</v>
      </c>
      <c r="C24" s="179">
        <f>'35a'!C40/'4'!$B26*'4'!$B$26</f>
        <v>6.9372025862068973</v>
      </c>
      <c r="D24" s="179">
        <f>'35a'!D40/'4'!$B26*'4'!$B$26</f>
        <v>6.8925919636325617</v>
      </c>
      <c r="E24" s="101" t="s">
        <v>744</v>
      </c>
      <c r="F24" s="179">
        <f>'35a'!F40/'4'!$B26*'4'!$B$26</f>
        <v>5.875</v>
      </c>
      <c r="G24" s="179">
        <f>'35a'!G40/'4'!$B26*'4'!$B$26</f>
        <v>6</v>
      </c>
      <c r="H24" s="179">
        <f>'35a'!H40/'4'!$B26*'4'!$B$26</f>
        <v>6</v>
      </c>
      <c r="I24" s="179">
        <f>'35a'!I40/'4'!$B26*'4'!$B$26</f>
        <v>6</v>
      </c>
      <c r="J24" s="179">
        <f>'35a'!J40/'4'!$B26*'4'!$B$26</f>
        <v>7.2000000000000011</v>
      </c>
      <c r="K24" s="179">
        <f>'35a'!K40/'4'!$B26*'4'!$B$26</f>
        <v>6.8499999999999988</v>
      </c>
      <c r="L24" s="179">
        <f>'35a'!L40/'4'!$B26*'4'!$B$26</f>
        <v>6.5</v>
      </c>
      <c r="M24" s="179">
        <f>'35a'!M40/'4'!$B26*'4'!$B$26</f>
        <v>6.5</v>
      </c>
      <c r="N24" s="179">
        <f>'35a'!N40/'4'!$B26*'4'!$B$26</f>
        <v>5.9</v>
      </c>
      <c r="O24" s="179">
        <f>'35a'!O40/'4'!$B26*'4'!$B$26</f>
        <v>8</v>
      </c>
    </row>
    <row r="25" spans="1:15">
      <c r="A25" s="168">
        <v>2003</v>
      </c>
      <c r="B25" s="186">
        <f>'35a'!B41/'4'!$B27*'4'!$B$26</f>
        <v>6.8115725049147633</v>
      </c>
      <c r="C25" s="179">
        <f>'35a'!C41/'4'!$B27*'4'!$B$26</f>
        <v>6.8020344156715442</v>
      </c>
      <c r="D25" s="179">
        <f>'35a'!D41/'4'!$B27*'4'!$B$26</f>
        <v>6.7501747426144885</v>
      </c>
      <c r="E25" s="101" t="s">
        <v>744</v>
      </c>
      <c r="F25" s="179">
        <f>'35a'!F41/'4'!$B27*'4'!$B$26</f>
        <v>5.836575875486381</v>
      </c>
      <c r="G25" s="179">
        <f>'35a'!G41/'4'!$B27*'4'!$B$26</f>
        <v>6.0797665369649803</v>
      </c>
      <c r="H25" s="179">
        <f>'35a'!H41/'4'!$B27*'4'!$B$26</f>
        <v>6.0797665369649803</v>
      </c>
      <c r="I25" s="179">
        <f>'35a'!I41/'4'!$B27*'4'!$B$26</f>
        <v>5.836575875486381</v>
      </c>
      <c r="J25" s="179">
        <f>'35a'!J41/'4'!$B27*'4'!$B$26</f>
        <v>7.1011673151750969</v>
      </c>
      <c r="K25" s="179">
        <f>'35a'!K41/'4'!$B27*'4'!$B$26</f>
        <v>6.663424124513619</v>
      </c>
      <c r="L25" s="179">
        <f>'35a'!L41/'4'!$B27*'4'!$B$26</f>
        <v>6.5661478599221796</v>
      </c>
      <c r="M25" s="179">
        <f>'35a'!M41/'4'!$B27*'4'!$B$26</f>
        <v>6.4688715953307403</v>
      </c>
      <c r="N25" s="179">
        <f>'35a'!N41/'4'!$B27*'4'!$B$26</f>
        <v>5.7392996108949417</v>
      </c>
      <c r="O25" s="179">
        <f>'35a'!O41/'4'!$B27*'4'!$B$26</f>
        <v>7.782101167315175</v>
      </c>
    </row>
    <row r="26" spans="1:15">
      <c r="A26" s="168">
        <v>2004</v>
      </c>
      <c r="B26" s="186">
        <f>'35a'!B42/'4'!$B28*'4'!$B$26</f>
        <v>6.8360358378739079</v>
      </c>
      <c r="C26" s="179">
        <f>'35a'!C42/'4'!$B28*'4'!$B$26</f>
        <v>6.8520320785166176</v>
      </c>
      <c r="D26" s="179">
        <f>'35a'!D42/'4'!$B28*'4'!$B$26</f>
        <v>6.7945535800328081</v>
      </c>
      <c r="E26" s="101" t="s">
        <v>744</v>
      </c>
      <c r="F26" s="179">
        <f>'35a'!F42/'4'!$B28*'4'!$B$26</f>
        <v>5.7306590257879648</v>
      </c>
      <c r="G26" s="179">
        <f>'35a'!G42/'4'!$B28*'4'!$B$26</f>
        <v>6.2082139446036289</v>
      </c>
      <c r="H26" s="179">
        <f>'35a'!H42/'4'!$B28*'4'!$B$26</f>
        <v>6.2082139446036289</v>
      </c>
      <c r="I26" s="179">
        <f>'35a'!I42/'4'!$B28*'4'!$B$26</f>
        <v>5.9216809933142311</v>
      </c>
      <c r="J26" s="179">
        <f>'35a'!J42/'4'!$B28*'4'!$B$26</f>
        <v>7.1155682903533908</v>
      </c>
      <c r="K26" s="179">
        <f>'35a'!K42/'4'!$B28*'4'!$B$26</f>
        <v>6.8290353390639922</v>
      </c>
      <c r="L26" s="179">
        <f>'35a'!L42/'4'!$B28*'4'!$B$26</f>
        <v>6.6857688634192929</v>
      </c>
      <c r="M26" s="179">
        <f>'35a'!M42/'4'!$B28*'4'!$B$26</f>
        <v>6.351480420248329</v>
      </c>
      <c r="N26" s="179">
        <f>'35a'!N42/'4'!$B28*'4'!$B$26</f>
        <v>5.6351480420248334</v>
      </c>
      <c r="O26" s="179">
        <f>'35a'!O42/'4'!$B28*'4'!$B$26</f>
        <v>7.6408787010506209</v>
      </c>
    </row>
    <row r="27" spans="1:15">
      <c r="A27" s="168">
        <v>2005</v>
      </c>
      <c r="B27" s="186">
        <f>'35a'!B43/'4'!$B29*'4'!$B$26</f>
        <v>6.9728897321972241</v>
      </c>
      <c r="C27" s="179">
        <f>'35a'!C43/'4'!$B29*'4'!$B$26</f>
        <v>6.9400902352562035</v>
      </c>
      <c r="D27" s="179">
        <f>'35a'!D43/'4'!$B29*'4'!$B$26</f>
        <v>6.9408757431908388</v>
      </c>
      <c r="E27" s="101" t="s">
        <v>744</v>
      </c>
      <c r="F27" s="179">
        <f>'35a'!F43/'4'!$B29*'4'!$B$26</f>
        <v>5.8411214953271031</v>
      </c>
      <c r="G27" s="179">
        <f>'35a'!G43/'4'!$B29*'4'!$B$26</f>
        <v>6.3551401869158877</v>
      </c>
      <c r="H27" s="179">
        <f>'35a'!H43/'4'!$B29*'4'!$B$26</f>
        <v>6.3551401869158877</v>
      </c>
      <c r="I27" s="179">
        <f>'35a'!I43/'4'!$B29*'4'!$B$26</f>
        <v>5.8878504672897192</v>
      </c>
      <c r="J27" s="179">
        <f>'35a'!J43/'4'!$B29*'4'!$B$26</f>
        <v>7.102803738317756</v>
      </c>
      <c r="K27" s="179">
        <f>'35a'!K43/'4'!$B29*'4'!$B$26</f>
        <v>6.962616822429907</v>
      </c>
      <c r="L27" s="179">
        <f>'35a'!L43/'4'!$B29*'4'!$B$26</f>
        <v>6.7757009345794383</v>
      </c>
      <c r="M27" s="179">
        <f>'35a'!M43/'4'!$B29*'4'!$B$26</f>
        <v>6.5887850467289715</v>
      </c>
      <c r="N27" s="179">
        <f>'35a'!N43/'4'!$B29*'4'!$B$26</f>
        <v>6.5420560747663545</v>
      </c>
      <c r="O27" s="179">
        <f>'35a'!O43/'4'!$B29*'4'!$B$26</f>
        <v>7.4766355140186906</v>
      </c>
    </row>
    <row r="28" spans="1:15">
      <c r="A28" s="284">
        <v>2006</v>
      </c>
      <c r="B28" s="186">
        <f>'35a'!B44/'4'!$B30*'4'!$B$26</f>
        <v>7.0385643301654683</v>
      </c>
      <c r="C28" s="179">
        <f>'35a'!C44/'4'!$B30*'4'!$B$26</f>
        <v>7.015028920003795</v>
      </c>
      <c r="D28" s="179">
        <f>'35a'!D44/'4'!$B30*'4'!$B$26</f>
        <v>6.99598934548243</v>
      </c>
      <c r="E28" s="101" t="s">
        <v>744</v>
      </c>
      <c r="F28" s="179">
        <f>'35a'!F44/'4'!$B30*'4'!$B$26</f>
        <v>6.1869844179651698</v>
      </c>
      <c r="G28" s="179">
        <f>'35a'!G44/'4'!$B30*'4'!$B$26</f>
        <v>6.5536205316223661</v>
      </c>
      <c r="H28" s="179">
        <f>'35a'!H44/'4'!$B30*'4'!$B$26</f>
        <v>6.5536205316223661</v>
      </c>
      <c r="I28" s="179">
        <f>'35a'!I44/'4'!$B30*'4'!$B$26</f>
        <v>6.1411549037580206</v>
      </c>
      <c r="J28" s="179">
        <f>'35a'!J44/'4'!$B30*'4'!$B$26</f>
        <v>7.1035747021081574</v>
      </c>
      <c r="K28" s="179">
        <f>'35a'!K44/'4'!$B30*'4'!$B$26</f>
        <v>7.1035747021081574</v>
      </c>
      <c r="L28" s="179">
        <f>'35a'!L44/'4'!$B30*'4'!$B$26</f>
        <v>6.966086159486709</v>
      </c>
      <c r="M28" s="179">
        <f>'35a'!M44/'4'!$B30*'4'!$B$26</f>
        <v>6.9202566452795597</v>
      </c>
      <c r="N28" s="179">
        <f>'35a'!N44/'4'!$B30*'4'!$B$26</f>
        <v>6.4161319890009167</v>
      </c>
      <c r="O28" s="179">
        <f>'35a'!O44/'4'!$B30*'4'!$B$26</f>
        <v>7.3327222731439043</v>
      </c>
    </row>
    <row r="29" spans="1:15">
      <c r="A29" s="178">
        <v>2007</v>
      </c>
      <c r="B29" s="186">
        <f>'35a'!B45/'4'!$B31*'4'!$B$26</f>
        <v>7.1482841633231056</v>
      </c>
      <c r="C29" s="179">
        <f>'35a'!C45/'4'!$B31*'4'!$B$26</f>
        <v>7.1271300448430512</v>
      </c>
      <c r="D29" s="179">
        <f>'35a'!D45/'4'!$B31*'4'!$B$26</f>
        <v>7.1419075237333356</v>
      </c>
      <c r="E29" s="101" t="s">
        <v>744</v>
      </c>
      <c r="F29" s="179">
        <f>'35a'!F45/'4'!$B31*'4'!$B$26</f>
        <v>6.7264573991031389</v>
      </c>
      <c r="G29" s="179">
        <f>'35a'!G45/'4'!$B31*'4'!$B$26</f>
        <v>6.7264573991031389</v>
      </c>
      <c r="H29" s="179">
        <f>'35a'!H45/'4'!$B31*'4'!$B$26</f>
        <v>6.8161434977578468</v>
      </c>
      <c r="I29" s="179">
        <f>'35a'!I45/'4'!$B31*'4'!$B$26</f>
        <v>6.5022421524663674</v>
      </c>
      <c r="J29" s="179">
        <f>'35a'!J45/'4'!$B31*'4'!$B$26</f>
        <v>7.1748878923766819</v>
      </c>
      <c r="K29" s="179">
        <f>'35a'!K45/'4'!$B31*'4'!$B$26</f>
        <v>7.1748878923766819</v>
      </c>
      <c r="L29" s="179">
        <f>'35a'!L45/'4'!$B31*'4'!$B$26</f>
        <v>7.1748878923766819</v>
      </c>
      <c r="M29" s="179">
        <f>'35a'!M45/'4'!$B31*'4'!$B$26</f>
        <v>7.1300448430493271</v>
      </c>
      <c r="N29" s="179">
        <f>'35a'!N45/'4'!$B31*'4'!$B$26</f>
        <v>7.1748878923766819</v>
      </c>
      <c r="O29" s="179">
        <f>'35a'!O45/'4'!$B31*'4'!$B$26</f>
        <v>7.1748878923766819</v>
      </c>
    </row>
    <row r="30" spans="1:15" ht="12.6" customHeight="1">
      <c r="A30" s="284">
        <v>2008</v>
      </c>
      <c r="B30" s="179">
        <f>'35a'!B46/'4'!$B32*'4'!$B$26</f>
        <v>7.4334978550671167</v>
      </c>
      <c r="C30" s="179">
        <f>'35a'!C46/'4'!$B32*'4'!$B$26</f>
        <v>7.4327495542325277</v>
      </c>
      <c r="D30" s="179">
        <f>'35a'!D46/'4'!$B32*'4'!$B$26</f>
        <v>7.4366446045307928</v>
      </c>
      <c r="E30" s="101" t="s">
        <v>744</v>
      </c>
      <c r="F30" s="179">
        <f>'35a'!F46/'4'!$B32*'4'!$B$26</f>
        <v>7.0113935144609991</v>
      </c>
      <c r="G30" s="179">
        <f>'35a'!G46/'4'!$B32*'4'!$B$26</f>
        <v>6.7922874671340931</v>
      </c>
      <c r="H30" s="179">
        <f>'35a'!H46/'4'!$B32*'4'!$B$26</f>
        <v>7.0990359333917619</v>
      </c>
      <c r="I30" s="179">
        <f>'35a'!I46/'4'!$B32*'4'!$B$26</f>
        <v>6.7922874671340931</v>
      </c>
      <c r="J30" s="179">
        <f>'35a'!J46/'4'!$B32*'4'!$B$26</f>
        <v>7.449605609114812</v>
      </c>
      <c r="K30" s="179">
        <f>'35a'!K46/'4'!$B32*'4'!$B$26</f>
        <v>7.6687116564417179</v>
      </c>
      <c r="L30" s="179">
        <f>'35a'!L46/'4'!$B32*'4'!$B$26</f>
        <v>7.449605609114812</v>
      </c>
      <c r="M30" s="179">
        <f>'35a'!M46/'4'!$B32*'4'!$B$26</f>
        <v>7.5372480280455747</v>
      </c>
      <c r="N30" s="179">
        <f>'35a'!N46/'4'!$B32*'4'!$B$26</f>
        <v>7.3619631901840492</v>
      </c>
      <c r="O30" s="179">
        <f>'35a'!O46/'4'!$B32*'4'!$B$26</f>
        <v>7.0113935144609991</v>
      </c>
    </row>
    <row r="31" spans="1:15" ht="11.45" customHeight="1">
      <c r="A31" s="284"/>
      <c r="B31" s="115" t="s">
        <v>427</v>
      </c>
      <c r="C31" s="99"/>
      <c r="D31" s="99"/>
      <c r="E31" s="734"/>
      <c r="F31" s="734"/>
      <c r="G31" s="734"/>
      <c r="H31" s="734"/>
      <c r="I31" s="734"/>
      <c r="J31" s="734"/>
      <c r="K31" s="734"/>
      <c r="L31" s="734"/>
      <c r="M31" s="734"/>
      <c r="N31" s="734"/>
      <c r="O31" s="734"/>
    </row>
    <row r="32" spans="1:15" ht="11.45" customHeight="1">
      <c r="A32" s="445" t="s">
        <v>819</v>
      </c>
      <c r="B32" s="101">
        <f>(POWER(B28/B3,1/25)-1)*100</f>
        <v>-0.15913196570932486</v>
      </c>
      <c r="C32" s="101">
        <f>(POWER(C28/C3,1/25)-1)*100</f>
        <v>-0.13391574790835303</v>
      </c>
      <c r="D32" s="101">
        <f>(POWER(D28/D3,1/25)-1)*100</f>
        <v>-0.15626749220338798</v>
      </c>
      <c r="E32" s="734" t="s">
        <v>744</v>
      </c>
      <c r="F32" s="101">
        <f t="shared" ref="F32:O32" si="0">(POWER(F28/F3,1/25)-1)*100</f>
        <v>-0.4753623574464183</v>
      </c>
      <c r="G32" s="101">
        <f t="shared" si="0"/>
        <v>-6.8385946269344799E-2</v>
      </c>
      <c r="H32" s="101">
        <f t="shared" si="0"/>
        <v>-6.8385946269344799E-2</v>
      </c>
      <c r="I32" s="101">
        <f t="shared" si="0"/>
        <v>-0.20513134418418399</v>
      </c>
      <c r="J32" s="101">
        <f t="shared" si="0"/>
        <v>-0.4388969444205526</v>
      </c>
      <c r="K32" s="101">
        <f t="shared" si="0"/>
        <v>0.13459124674568557</v>
      </c>
      <c r="L32" s="101">
        <f t="shared" si="0"/>
        <v>-2.0728065785236005E-3</v>
      </c>
      <c r="M32" s="101">
        <f t="shared" si="0"/>
        <v>-0.5429646344327077</v>
      </c>
      <c r="N32" s="101">
        <f t="shared" si="0"/>
        <v>-0.71496444489939082</v>
      </c>
      <c r="O32" s="101">
        <f t="shared" si="0"/>
        <v>0.1171440887549835</v>
      </c>
    </row>
    <row r="33" spans="1:18" ht="10.9" customHeight="1">
      <c r="A33" s="445" t="s">
        <v>447</v>
      </c>
      <c r="B33" s="101">
        <f>(POWER(B29/B3,1/26)-1)*100</f>
        <v>-9.3596736389978119E-2</v>
      </c>
      <c r="C33" s="101">
        <f t="shared" ref="C33:O33" si="1">(POWER(C29/C3,1/26)-1)*100</f>
        <v>-6.7852257616152212E-2</v>
      </c>
      <c r="D33" s="101">
        <f t="shared" si="1"/>
        <v>-7.0953902932047175E-2</v>
      </c>
      <c r="E33" s="734" t="s">
        <v>744</v>
      </c>
      <c r="F33" s="101">
        <f t="shared" si="1"/>
        <v>-0.13653413732144237</v>
      </c>
      <c r="G33" s="101">
        <f t="shared" si="1"/>
        <v>3.4346784635874705E-2</v>
      </c>
      <c r="H33" s="101">
        <f t="shared" si="1"/>
        <v>8.532044448710252E-2</v>
      </c>
      <c r="I33" s="101">
        <f t="shared" si="1"/>
        <v>2.2305324711435759E-2</v>
      </c>
      <c r="J33" s="101">
        <f t="shared" si="1"/>
        <v>-0.38378753389827214</v>
      </c>
      <c r="K33" s="101">
        <f t="shared" si="1"/>
        <v>0.16788765352104829</v>
      </c>
      <c r="L33" s="101">
        <f t="shared" si="1"/>
        <v>0.11165994454553907</v>
      </c>
      <c r="M33" s="101">
        <f t="shared" si="1"/>
        <v>-0.40780598796790191</v>
      </c>
      <c r="N33" s="101">
        <f t="shared" si="1"/>
        <v>-0.25970620294915037</v>
      </c>
      <c r="O33" s="101">
        <f t="shared" si="1"/>
        <v>2.888564836971419E-2</v>
      </c>
    </row>
    <row r="34" spans="1:18" ht="10.9" customHeight="1">
      <c r="A34" s="445" t="s">
        <v>603</v>
      </c>
      <c r="B34" s="101">
        <f>(POWER(B11/B3,1/8)-1)*100</f>
        <v>-1.5786963057925374</v>
      </c>
      <c r="C34" s="101">
        <f t="shared" ref="C34:O34" si="2">(POWER(C11/C3,1/8)-1)*100</f>
        <v>-1.3834396221318102</v>
      </c>
      <c r="D34" s="101">
        <f t="shared" si="2"/>
        <v>-1.3897279236368076</v>
      </c>
      <c r="E34" s="101">
        <f t="shared" si="2"/>
        <v>-3.4311758135553538</v>
      </c>
      <c r="F34" s="101">
        <f t="shared" si="2"/>
        <v>-2.5214232666259884</v>
      </c>
      <c r="G34" s="101">
        <f t="shared" si="2"/>
        <v>-1.2754252148035383</v>
      </c>
      <c r="H34" s="101">
        <f t="shared" si="2"/>
        <v>-1.2754252148035383</v>
      </c>
      <c r="I34" s="101">
        <f t="shared" si="2"/>
        <v>-1.2433248637800043</v>
      </c>
      <c r="J34" s="101">
        <f t="shared" si="2"/>
        <v>-2.1120478433511836</v>
      </c>
      <c r="K34" s="101">
        <f t="shared" si="2"/>
        <v>-0.33920756923442319</v>
      </c>
      <c r="L34" s="101">
        <f t="shared" si="2"/>
        <v>-1.5523639496999864</v>
      </c>
      <c r="M34" s="101">
        <f t="shared" si="2"/>
        <v>-3.3927862670270814</v>
      </c>
      <c r="N34" s="101">
        <f t="shared" si="2"/>
        <v>-3.001154602124001</v>
      </c>
      <c r="O34" s="101">
        <f t="shared" si="2"/>
        <v>-1.4220548286126511</v>
      </c>
    </row>
    <row r="35" spans="1:18" ht="10.9" customHeight="1">
      <c r="A35" s="445" t="s">
        <v>1146</v>
      </c>
      <c r="B35" s="101">
        <f>(POWER(B28/B11,1/17)-1)*100</f>
        <v>0.51596510637996751</v>
      </c>
      <c r="C35" s="101">
        <f>(POWER(C28/C11,1/17)-1)*100</f>
        <v>0.45956154141555405</v>
      </c>
      <c r="D35" s="101">
        <f>(POWER(D28/D11,1/17)-1)*100</f>
        <v>0.42951138482560935</v>
      </c>
      <c r="E35" s="734" t="s">
        <v>744</v>
      </c>
      <c r="F35" s="101">
        <f t="shared" ref="F35:O35" si="3">(POWER(F28/F11,1/17)-1)*100</f>
        <v>0.50229561412280521</v>
      </c>
      <c r="G35" s="101">
        <f t="shared" si="3"/>
        <v>0.5047280236544216</v>
      </c>
      <c r="H35" s="101">
        <f t="shared" si="3"/>
        <v>0.5047280236544216</v>
      </c>
      <c r="I35" s="101">
        <f t="shared" si="3"/>
        <v>0.28719985866312303</v>
      </c>
      <c r="J35" s="101">
        <f t="shared" si="3"/>
        <v>0.35833415235615451</v>
      </c>
      <c r="K35" s="101">
        <f t="shared" si="3"/>
        <v>0.35833415235615451</v>
      </c>
      <c r="L35" s="101">
        <f t="shared" si="3"/>
        <v>0.73590003855050767</v>
      </c>
      <c r="M35" s="101">
        <f t="shared" si="3"/>
        <v>0.82706709686735103</v>
      </c>
      <c r="N35" s="101">
        <f t="shared" si="3"/>
        <v>0.37945779808310487</v>
      </c>
      <c r="O35" s="101">
        <f t="shared" si="3"/>
        <v>0.8497661633418252</v>
      </c>
    </row>
    <row r="36" spans="1:18" ht="10.9" customHeight="1">
      <c r="A36" s="445" t="s">
        <v>448</v>
      </c>
      <c r="B36" s="101">
        <f>(POWER(B29/B11,1/18)-1)*100</f>
        <v>0.57362053928540213</v>
      </c>
      <c r="C36" s="101">
        <f t="shared" ref="C36:O36" si="4">(POWER(C29/C11,1/18)-1)*100</f>
        <v>0.52247288655402624</v>
      </c>
      <c r="D36" s="101">
        <f t="shared" si="4"/>
        <v>0.5208151157078289</v>
      </c>
      <c r="E36" s="734" t="s">
        <v>744</v>
      </c>
      <c r="F36" s="101">
        <f t="shared" si="4"/>
        <v>0.94206156944356412</v>
      </c>
      <c r="G36" s="101">
        <f t="shared" si="4"/>
        <v>0.62203173113806187</v>
      </c>
      <c r="H36" s="101">
        <f t="shared" si="4"/>
        <v>0.69610129226214124</v>
      </c>
      <c r="I36" s="101">
        <f t="shared" si="4"/>
        <v>0.5900017116532208</v>
      </c>
      <c r="J36" s="101">
        <f t="shared" si="4"/>
        <v>0.39409074410894362</v>
      </c>
      <c r="K36" s="101">
        <f t="shared" si="4"/>
        <v>0.39409074410894362</v>
      </c>
      <c r="L36" s="101">
        <f t="shared" si="4"/>
        <v>0.86022626496211618</v>
      </c>
      <c r="M36" s="101">
        <f t="shared" si="4"/>
        <v>0.94828929390364802</v>
      </c>
      <c r="N36" s="101">
        <f t="shared" si="4"/>
        <v>0.98345690198720082</v>
      </c>
      <c r="O36" s="101">
        <f t="shared" si="4"/>
        <v>0.68058450889569855</v>
      </c>
    </row>
    <row r="37" spans="1:18" ht="10.9" customHeight="1">
      <c r="A37" s="445" t="s">
        <v>1409</v>
      </c>
      <c r="B37" s="101">
        <f>(POWER(B30/B11,1/19)-1)*100</f>
        <v>0.7505969617149777</v>
      </c>
      <c r="C37" s="101">
        <f t="shared" ref="C37:O37" si="5">(POWER(C30/C11,1/19)-1)*100</f>
        <v>0.71723096385283291</v>
      </c>
      <c r="D37" s="101">
        <f t="shared" si="5"/>
        <v>0.70745543011940804</v>
      </c>
      <c r="E37" s="734"/>
      <c r="F37" s="101">
        <f t="shared" si="5"/>
        <v>1.1128049988248678</v>
      </c>
      <c r="G37" s="101">
        <f t="shared" si="5"/>
        <v>0.64077091798373509</v>
      </c>
      <c r="H37" s="101">
        <f t="shared" si="5"/>
        <v>0.87501285665820827</v>
      </c>
      <c r="I37" s="101">
        <f t="shared" si="5"/>
        <v>0.79009942393539756</v>
      </c>
      <c r="J37" s="101">
        <f t="shared" si="5"/>
        <v>0.57200277238731445</v>
      </c>
      <c r="K37" s="101">
        <f t="shared" si="5"/>
        <v>0.72555854473834724</v>
      </c>
      <c r="L37" s="101">
        <f t="shared" si="5"/>
        <v>1.0143334586704578</v>
      </c>
      <c r="M37" s="101">
        <f t="shared" si="5"/>
        <v>1.193526539754064</v>
      </c>
      <c r="N37" s="101">
        <f t="shared" si="5"/>
        <v>1.0682812677410558</v>
      </c>
      <c r="O37" s="101">
        <f t="shared" si="5"/>
        <v>0.5226217263960109</v>
      </c>
    </row>
    <row r="38" spans="1:18" ht="10.9" customHeight="1">
      <c r="A38" s="445" t="s">
        <v>809</v>
      </c>
      <c r="B38" s="101">
        <f>(POWER(B27/B22,1/5)-1)*100</f>
        <v>-0.34805390041111606</v>
      </c>
      <c r="C38" s="101">
        <f>(POWER(C27/C22,1/5)-1)*100</f>
        <v>-0.34783889190919126</v>
      </c>
      <c r="D38" s="101">
        <f>(POWER(D27/D22,1/5)-1)*100</f>
        <v>-0.29034207654228261</v>
      </c>
      <c r="E38" s="734" t="s">
        <v>744</v>
      </c>
      <c r="F38" s="101">
        <f t="shared" ref="F38:O38" si="6">(POWER(F27/F22,1/5)-1)*100</f>
        <v>0.26200494465025148</v>
      </c>
      <c r="G38" s="101">
        <f t="shared" si="6"/>
        <v>1.600792740178103</v>
      </c>
      <c r="H38" s="101">
        <f t="shared" si="6"/>
        <v>1.2417703566299787</v>
      </c>
      <c r="I38" s="101">
        <f t="shared" si="6"/>
        <v>-0.46691609019648972</v>
      </c>
      <c r="J38" s="101">
        <f t="shared" si="6"/>
        <v>-0.36181228263026943</v>
      </c>
      <c r="K38" s="101">
        <f t="shared" si="6"/>
        <v>-0.61380598467128955</v>
      </c>
      <c r="L38" s="101">
        <f t="shared" si="6"/>
        <v>1.5009882324016566</v>
      </c>
      <c r="M38" s="101">
        <f t="shared" si="6"/>
        <v>0.93469911295021024</v>
      </c>
      <c r="N38" s="101">
        <f t="shared" si="6"/>
        <v>1.1304931617695191</v>
      </c>
      <c r="O38" s="101">
        <f t="shared" si="6"/>
        <v>-1.2611196229670552</v>
      </c>
    </row>
    <row r="39" spans="1:18">
      <c r="A39" s="445" t="s">
        <v>818</v>
      </c>
      <c r="B39" s="101">
        <f>(POWER(B28/B22,1/6)-1)*100</f>
        <v>-0.13421928579212539</v>
      </c>
      <c r="C39" s="101">
        <f>(POWER(C28/C22,1/6)-1)*100</f>
        <v>-0.11130806301926643</v>
      </c>
      <c r="D39" s="101">
        <f>(POWER(D28/D22,1/6)-1)*100</f>
        <v>-0.11042464482289294</v>
      </c>
      <c r="E39" s="734" t="s">
        <v>744</v>
      </c>
      <c r="F39" s="101">
        <f t="shared" ref="F39:O39" si="7">(POWER(F28/F22,1/6)-1)*100</f>
        <v>1.1837531900577236</v>
      </c>
      <c r="G39" s="101">
        <f t="shared" si="7"/>
        <v>1.8529486760898939</v>
      </c>
      <c r="H39" s="101">
        <f t="shared" si="7"/>
        <v>1.5529323874574397</v>
      </c>
      <c r="I39" s="101">
        <f t="shared" si="7"/>
        <v>0.31250991731914812</v>
      </c>
      <c r="J39" s="101">
        <f t="shared" si="7"/>
        <v>-0.2997977500523108</v>
      </c>
      <c r="K39" s="101">
        <f t="shared" si="7"/>
        <v>-0.17887521547941265</v>
      </c>
      <c r="L39" s="101">
        <f t="shared" si="7"/>
        <v>1.7179645401750321</v>
      </c>
      <c r="M39" s="101">
        <f t="shared" si="7"/>
        <v>1.6061247123613676</v>
      </c>
      <c r="N39" s="101">
        <f t="shared" si="7"/>
        <v>0.61473987999800528</v>
      </c>
      <c r="O39" s="101">
        <f t="shared" si="7"/>
        <v>-1.3720507242829472</v>
      </c>
    </row>
    <row r="40" spans="1:18">
      <c r="A40" s="445" t="s">
        <v>1410</v>
      </c>
      <c r="B40" s="101">
        <f>(POWER(B30/B22,1/8)-1)*100</f>
        <v>0.58336670837004778</v>
      </c>
      <c r="C40" s="101">
        <f t="shared" ref="C40:O40" si="8">(POWER(C30/C22,1/8)-1)*100</f>
        <v>0.6415342202953811</v>
      </c>
      <c r="D40" s="101">
        <f t="shared" si="8"/>
        <v>0.68299156430478014</v>
      </c>
      <c r="E40" s="734" t="s">
        <v>744</v>
      </c>
      <c r="F40" s="101">
        <f t="shared" si="8"/>
        <v>2.4763748113774353</v>
      </c>
      <c r="G40" s="101">
        <f t="shared" si="8"/>
        <v>1.8408582744982027</v>
      </c>
      <c r="H40" s="101">
        <f t="shared" si="8"/>
        <v>2.178403259763062</v>
      </c>
      <c r="I40" s="101">
        <f t="shared" si="8"/>
        <v>1.5049153858295083</v>
      </c>
      <c r="J40" s="101">
        <f t="shared" si="8"/>
        <v>0.37003385955329815</v>
      </c>
      <c r="K40" s="101">
        <f t="shared" si="8"/>
        <v>0.82599730925541071</v>
      </c>
      <c r="L40" s="101">
        <f t="shared" si="8"/>
        <v>2.1389292464980336</v>
      </c>
      <c r="M40" s="101">
        <f t="shared" si="8"/>
        <v>2.2883660808069806</v>
      </c>
      <c r="N40" s="101">
        <f t="shared" si="8"/>
        <v>2.202436761570481</v>
      </c>
      <c r="O40" s="101">
        <f t="shared" si="8"/>
        <v>-1.5836190782846815</v>
      </c>
    </row>
    <row r="41" spans="1:18">
      <c r="A41" s="445" t="s">
        <v>1832</v>
      </c>
      <c r="B41" s="101">
        <f>(POWER(B30/B5,1/25)-1)*100</f>
        <v>0.63020421106374513</v>
      </c>
      <c r="C41" s="101">
        <f t="shared" ref="C41:O41" si="9">(POWER(C30/C5,1/25)-1)*100</f>
        <v>0.6558727345649773</v>
      </c>
      <c r="D41" s="101">
        <f t="shared" si="9"/>
        <v>0.65613998440348098</v>
      </c>
      <c r="E41" s="734" t="s">
        <v>744</v>
      </c>
      <c r="F41" s="101">
        <f t="shared" si="9"/>
        <v>0.33165319096786217</v>
      </c>
      <c r="G41" s="101">
        <f t="shared" si="9"/>
        <v>0.20431808701484311</v>
      </c>
      <c r="H41" s="101">
        <f t="shared" si="9"/>
        <v>0.38152045821442382</v>
      </c>
      <c r="I41" s="101">
        <f t="shared" si="9"/>
        <v>0.15124299151410003</v>
      </c>
      <c r="J41" s="101">
        <f t="shared" si="9"/>
        <v>0.39192690964644505</v>
      </c>
      <c r="K41" s="101">
        <f t="shared" si="9"/>
        <v>1.0873437790575258</v>
      </c>
      <c r="L41" s="101">
        <f t="shared" si="9"/>
        <v>0.31594690088421196</v>
      </c>
      <c r="M41" s="101">
        <f t="shared" si="9"/>
        <v>0.11980621963325611</v>
      </c>
      <c r="N41" s="101">
        <f t="shared" si="9"/>
        <v>0.474405943027012</v>
      </c>
      <c r="O41" s="101">
        <f t="shared" si="9"/>
        <v>0.58028320757723684</v>
      </c>
    </row>
    <row r="42" spans="1:18">
      <c r="A42" s="1078"/>
      <c r="B42" s="101"/>
      <c r="C42" s="101"/>
      <c r="D42" s="101"/>
      <c r="E42" s="1052"/>
      <c r="F42" s="101"/>
      <c r="G42" s="101"/>
      <c r="H42" s="101"/>
      <c r="I42" s="101"/>
      <c r="J42" s="101"/>
      <c r="K42" s="101"/>
      <c r="L42" s="101"/>
      <c r="M42" s="101"/>
      <c r="N42" s="101"/>
      <c r="O42" s="101"/>
    </row>
    <row r="43" spans="1:18">
      <c r="A43" s="168" t="s">
        <v>429</v>
      </c>
      <c r="B43" s="168" t="s">
        <v>97</v>
      </c>
    </row>
    <row r="44" spans="1:18">
      <c r="B44" s="168" t="s">
        <v>450</v>
      </c>
    </row>
    <row r="45" spans="1:18">
      <c r="B45" s="187" t="s">
        <v>532</v>
      </c>
      <c r="C45" s="187"/>
      <c r="D45" s="187"/>
    </row>
    <row r="46" spans="1:18" ht="13.5" customHeight="1">
      <c r="B46" s="187" t="s">
        <v>533</v>
      </c>
      <c r="C46" s="187"/>
      <c r="D46" s="187"/>
    </row>
    <row r="47" spans="1:18">
      <c r="B47" s="187" t="s">
        <v>1054</v>
      </c>
      <c r="C47" s="187"/>
      <c r="D47" s="187"/>
    </row>
    <row r="48" spans="1:18">
      <c r="A48" s="168" t="s">
        <v>432</v>
      </c>
      <c r="B48" s="1244" t="s">
        <v>1557</v>
      </c>
      <c r="C48" s="1244"/>
      <c r="D48" s="1244"/>
      <c r="E48" s="1244"/>
      <c r="F48" s="1244"/>
      <c r="G48" s="1244"/>
      <c r="H48" s="1244"/>
      <c r="I48" s="1244"/>
      <c r="J48" s="1244"/>
      <c r="K48" s="1244"/>
      <c r="L48" s="1244"/>
      <c r="M48" s="1244"/>
      <c r="N48" s="1244"/>
      <c r="O48" s="1244"/>
      <c r="P48" s="1244"/>
      <c r="Q48" s="1244"/>
      <c r="R48" s="1244"/>
    </row>
    <row r="49" spans="1:12">
      <c r="B49" s="168" t="s">
        <v>1830</v>
      </c>
      <c r="C49" s="170"/>
      <c r="D49" s="170"/>
    </row>
    <row r="50" spans="1:12">
      <c r="B50" s="170"/>
      <c r="C50" s="170"/>
      <c r="D50" s="170"/>
    </row>
    <row r="51" spans="1:12">
      <c r="B51" s="170"/>
      <c r="C51" s="170"/>
      <c r="D51" s="170"/>
    </row>
    <row r="52" spans="1:12">
      <c r="B52" s="170"/>
      <c r="C52" s="170"/>
      <c r="D52" s="170"/>
    </row>
    <row r="53" spans="1:12">
      <c r="B53" s="170"/>
      <c r="C53" s="170"/>
      <c r="D53" s="170"/>
    </row>
    <row r="54" spans="1:12">
      <c r="A54" s="168">
        <v>1986</v>
      </c>
      <c r="B54" s="170">
        <f>B8</f>
        <v>6.356670357180402</v>
      </c>
      <c r="C54" s="170">
        <f t="shared" ref="C54:L54" si="10">C8</f>
        <v>6.3916105971404544</v>
      </c>
      <c r="D54" s="170">
        <f t="shared" si="10"/>
        <v>6.3765024144847926</v>
      </c>
      <c r="E54" s="170">
        <f t="shared" si="10"/>
        <v>6.0975609756097571</v>
      </c>
      <c r="F54" s="170">
        <f t="shared" si="10"/>
        <v>6.0975609756097571</v>
      </c>
      <c r="G54" s="170">
        <f t="shared" si="10"/>
        <v>6.0975609756097571</v>
      </c>
      <c r="H54" s="170">
        <f t="shared" si="10"/>
        <v>6.0975609756097571</v>
      </c>
      <c r="I54" s="170">
        <f t="shared" si="10"/>
        <v>6.0975609756097571</v>
      </c>
      <c r="J54" s="170">
        <f t="shared" si="10"/>
        <v>6.6310975609756104</v>
      </c>
      <c r="K54" s="170">
        <f t="shared" si="10"/>
        <v>6.6310975609756104</v>
      </c>
      <c r="L54" s="170">
        <f t="shared" si="10"/>
        <v>6.5548780487804876</v>
      </c>
    </row>
    <row r="55" spans="1:12">
      <c r="A55" s="168">
        <v>1987</v>
      </c>
      <c r="B55" s="170">
        <f t="shared" ref="B55:L70" si="11">B9</f>
        <v>6.2687906884987168</v>
      </c>
      <c r="C55" s="170">
        <f t="shared" si="11"/>
        <v>6.3315882204882952</v>
      </c>
      <c r="D55" s="170">
        <f t="shared" si="11"/>
        <v>6.3126177409016577</v>
      </c>
      <c r="E55" s="170">
        <f t="shared" si="11"/>
        <v>5.8394160583941606</v>
      </c>
      <c r="F55" s="170">
        <f t="shared" si="11"/>
        <v>5.8394160583941606</v>
      </c>
      <c r="G55" s="170">
        <f t="shared" si="11"/>
        <v>5.8394160583941606</v>
      </c>
      <c r="H55" s="170">
        <f t="shared" si="11"/>
        <v>5.8394160583941606</v>
      </c>
      <c r="I55" s="170">
        <f t="shared" si="11"/>
        <v>5.8394160583941606</v>
      </c>
      <c r="J55" s="170">
        <f t="shared" si="11"/>
        <v>6.6423357664233578</v>
      </c>
      <c r="K55" s="170">
        <f t="shared" si="11"/>
        <v>6.6423357664233578</v>
      </c>
      <c r="L55" s="170">
        <f t="shared" si="11"/>
        <v>6.7153284671532836</v>
      </c>
    </row>
    <row r="56" spans="1:12">
      <c r="A56" s="168">
        <v>1988</v>
      </c>
      <c r="B56" s="170">
        <f t="shared" si="11"/>
        <v>6.5022780517265399</v>
      </c>
      <c r="C56" s="170">
        <f t="shared" si="11"/>
        <v>6.502990604416893</v>
      </c>
      <c r="D56" s="170">
        <f t="shared" si="11"/>
        <v>6.507575358412609</v>
      </c>
      <c r="E56" s="170">
        <f t="shared" si="11"/>
        <v>5.6179775280898872</v>
      </c>
      <c r="F56" s="170">
        <f t="shared" si="11"/>
        <v>5.9691011235955056</v>
      </c>
      <c r="G56" s="170">
        <f t="shared" si="11"/>
        <v>5.9691011235955056</v>
      </c>
      <c r="H56" s="170">
        <f t="shared" si="11"/>
        <v>5.6179775280898872</v>
      </c>
      <c r="I56" s="170">
        <f t="shared" si="11"/>
        <v>5.6179775280898872</v>
      </c>
      <c r="J56" s="170">
        <f t="shared" si="11"/>
        <v>6.6713483146067416</v>
      </c>
      <c r="K56" s="170">
        <f t="shared" si="11"/>
        <v>6.6713483146067416</v>
      </c>
      <c r="L56" s="170">
        <f t="shared" si="11"/>
        <v>6.4606741573033695</v>
      </c>
    </row>
    <row r="57" spans="1:12">
      <c r="A57" s="168">
        <v>1989</v>
      </c>
      <c r="B57" s="170">
        <f t="shared" si="11"/>
        <v>6.4489392668525447</v>
      </c>
      <c r="C57" s="170">
        <f t="shared" si="11"/>
        <v>6.4889994007007195</v>
      </c>
      <c r="D57" s="170">
        <f t="shared" si="11"/>
        <v>6.5043843132426948</v>
      </c>
      <c r="E57" s="170">
        <f t="shared" si="11"/>
        <v>5.3475935828877006</v>
      </c>
      <c r="F57" s="170">
        <f t="shared" si="11"/>
        <v>5.6818181818181825</v>
      </c>
      <c r="G57" s="170">
        <f t="shared" si="11"/>
        <v>6.0160427807486636</v>
      </c>
      <c r="H57" s="170">
        <f t="shared" si="11"/>
        <v>6.0160427807486636</v>
      </c>
      <c r="I57" s="170">
        <f t="shared" si="11"/>
        <v>5.8489304812834231</v>
      </c>
      <c r="J57" s="170">
        <f t="shared" si="11"/>
        <v>6.6844919786096257</v>
      </c>
      <c r="K57" s="170">
        <f t="shared" si="11"/>
        <v>6.6844919786096257</v>
      </c>
      <c r="L57" s="170">
        <f t="shared" si="11"/>
        <v>6.1497326203208553</v>
      </c>
    </row>
    <row r="58" spans="1:12">
      <c r="A58" s="168">
        <v>1990</v>
      </c>
      <c r="B58" s="170">
        <f t="shared" si="11"/>
        <v>6.4892480569880409</v>
      </c>
      <c r="C58" s="170">
        <f t="shared" si="11"/>
        <v>6.5467540464461624</v>
      </c>
      <c r="D58" s="170">
        <f t="shared" si="11"/>
        <v>6.523583994974687</v>
      </c>
      <c r="E58" s="170">
        <f t="shared" si="11"/>
        <v>5.1020408163265296</v>
      </c>
      <c r="F58" s="170">
        <f t="shared" si="11"/>
        <v>5.420918367346939</v>
      </c>
      <c r="G58" s="170">
        <f t="shared" si="11"/>
        <v>5.7397959183673466</v>
      </c>
      <c r="H58" s="170">
        <f t="shared" si="11"/>
        <v>5.7397959183673466</v>
      </c>
      <c r="I58" s="170">
        <f t="shared" si="11"/>
        <v>6.0586734693877551</v>
      </c>
      <c r="J58" s="170">
        <f t="shared" si="11"/>
        <v>6.7602040816326525</v>
      </c>
      <c r="K58" s="170">
        <f t="shared" si="11"/>
        <v>6.8877551020408152</v>
      </c>
      <c r="L58" s="170">
        <f t="shared" si="11"/>
        <v>5.8673469387755093</v>
      </c>
    </row>
    <row r="59" spans="1:12">
      <c r="A59" s="168">
        <v>1991</v>
      </c>
      <c r="B59" s="170">
        <f t="shared" si="11"/>
        <v>6.5331972828499199</v>
      </c>
      <c r="C59" s="170">
        <f t="shared" si="11"/>
        <v>6.6334853406630039</v>
      </c>
      <c r="D59" s="170">
        <f t="shared" si="11"/>
        <v>6.5886212804461035</v>
      </c>
      <c r="E59" s="170">
        <f t="shared" si="11"/>
        <v>4.8309178743961354</v>
      </c>
      <c r="F59" s="170">
        <f t="shared" si="11"/>
        <v>5.7367149758454108</v>
      </c>
      <c r="G59" s="170">
        <f t="shared" si="11"/>
        <v>5.7367149758454108</v>
      </c>
      <c r="H59" s="170">
        <f t="shared" si="11"/>
        <v>5.7367149758454108</v>
      </c>
      <c r="I59" s="170">
        <f t="shared" si="11"/>
        <v>6.0386473429951693</v>
      </c>
      <c r="J59" s="170">
        <f t="shared" si="11"/>
        <v>6.7028985507246386</v>
      </c>
      <c r="K59" s="170">
        <f t="shared" si="11"/>
        <v>7.2463768115942031</v>
      </c>
      <c r="L59" s="170">
        <f t="shared" si="11"/>
        <v>6.0386473429951693</v>
      </c>
    </row>
    <row r="60" spans="1:12">
      <c r="A60" s="168">
        <v>1992</v>
      </c>
      <c r="B60" s="170">
        <f t="shared" si="11"/>
        <v>6.7567129066277278</v>
      </c>
      <c r="C60" s="170">
        <f t="shared" si="11"/>
        <v>6.8587541050903118</v>
      </c>
      <c r="D60" s="170">
        <f t="shared" si="11"/>
        <v>6.8386184682263496</v>
      </c>
      <c r="E60" s="170">
        <f t="shared" si="11"/>
        <v>4.7619047619047619</v>
      </c>
      <c r="F60" s="170">
        <f t="shared" si="11"/>
        <v>5.6547619047619051</v>
      </c>
      <c r="G60" s="170">
        <f t="shared" si="11"/>
        <v>5.6547619047619051</v>
      </c>
      <c r="H60" s="170">
        <f t="shared" si="11"/>
        <v>5.9523809523809517</v>
      </c>
      <c r="I60" s="170">
        <f t="shared" si="11"/>
        <v>5.9523809523809517</v>
      </c>
      <c r="J60" s="170">
        <f t="shared" si="11"/>
        <v>6.7857142857142865</v>
      </c>
      <c r="K60" s="170">
        <f t="shared" si="11"/>
        <v>7.5595238095238093</v>
      </c>
      <c r="L60" s="170">
        <f t="shared" si="11"/>
        <v>5.9523809523809517</v>
      </c>
    </row>
    <row r="61" spans="1:12">
      <c r="A61" s="168">
        <v>1993</v>
      </c>
      <c r="B61" s="170">
        <f t="shared" si="11"/>
        <v>6.8042611790945573</v>
      </c>
      <c r="C61" s="170">
        <f t="shared" si="11"/>
        <v>6.8781018369320002</v>
      </c>
      <c r="D61" s="170">
        <f t="shared" si="11"/>
        <v>6.8511542140454091</v>
      </c>
      <c r="E61" s="170">
        <f t="shared" si="11"/>
        <v>4.6728971962616832</v>
      </c>
      <c r="F61" s="170">
        <f t="shared" si="11"/>
        <v>5.5490654205607486</v>
      </c>
      <c r="G61" s="170">
        <f t="shared" si="11"/>
        <v>5.5490654205607486</v>
      </c>
      <c r="H61" s="170">
        <f t="shared" si="11"/>
        <v>6.0163551401869162</v>
      </c>
      <c r="I61" s="170">
        <f t="shared" si="11"/>
        <v>5.8411214953271031</v>
      </c>
      <c r="J61" s="170">
        <f t="shared" si="11"/>
        <v>6.83411214953271</v>
      </c>
      <c r="K61" s="170">
        <f t="shared" si="11"/>
        <v>7.4182242990654208</v>
      </c>
      <c r="L61" s="170">
        <f t="shared" si="11"/>
        <v>5.8411214953271031</v>
      </c>
    </row>
    <row r="62" spans="1:12">
      <c r="A62" s="168">
        <v>1994</v>
      </c>
      <c r="B62" s="170">
        <f t="shared" si="11"/>
        <v>6.9792187586820029</v>
      </c>
      <c r="C62" s="170">
        <f t="shared" si="11"/>
        <v>7.075373194382971</v>
      </c>
      <c r="D62" s="170">
        <f t="shared" si="11"/>
        <v>7.0418310163427842</v>
      </c>
      <c r="E62" s="170">
        <f t="shared" si="11"/>
        <v>4.6674445740956827</v>
      </c>
      <c r="F62" s="170">
        <f t="shared" si="11"/>
        <v>5.5425904317386223</v>
      </c>
      <c r="G62" s="170">
        <f t="shared" si="11"/>
        <v>5.5425904317386223</v>
      </c>
      <c r="H62" s="170">
        <f t="shared" si="11"/>
        <v>6.0093348891481915</v>
      </c>
      <c r="I62" s="170">
        <f t="shared" si="11"/>
        <v>5.8343057176196034</v>
      </c>
      <c r="J62" s="170">
        <f t="shared" si="11"/>
        <v>7.0011668611435232</v>
      </c>
      <c r="K62" s="170">
        <f t="shared" si="11"/>
        <v>7.8179696616102685</v>
      </c>
      <c r="L62" s="170">
        <f t="shared" si="11"/>
        <v>5.8343057176196034</v>
      </c>
    </row>
    <row r="63" spans="1:12">
      <c r="A63" s="168">
        <v>1995</v>
      </c>
      <c r="B63" s="170">
        <f t="shared" si="11"/>
        <v>7.1836451305118247</v>
      </c>
      <c r="C63" s="170">
        <f t="shared" si="11"/>
        <v>7.2475200755786489</v>
      </c>
      <c r="D63" s="170">
        <f t="shared" si="11"/>
        <v>7.200742533741372</v>
      </c>
      <c r="E63" s="170">
        <f t="shared" si="11"/>
        <v>4.5662100456621006</v>
      </c>
      <c r="F63" s="170">
        <f t="shared" si="11"/>
        <v>5.422374429223745</v>
      </c>
      <c r="G63" s="170">
        <f t="shared" si="11"/>
        <v>5.422374429223745</v>
      </c>
      <c r="H63" s="170">
        <f t="shared" si="11"/>
        <v>5.8789954337899557</v>
      </c>
      <c r="I63" s="170">
        <f t="shared" si="11"/>
        <v>5.7077625570776256</v>
      </c>
      <c r="J63" s="170">
        <f t="shared" si="11"/>
        <v>7.3630136986301373</v>
      </c>
      <c r="K63" s="170">
        <f t="shared" si="11"/>
        <v>7.8196347031963471</v>
      </c>
      <c r="L63" s="170">
        <f t="shared" si="11"/>
        <v>5.993150684931507</v>
      </c>
    </row>
    <row r="64" spans="1:12">
      <c r="A64" s="168">
        <v>1996</v>
      </c>
      <c r="B64" s="170">
        <f t="shared" si="11"/>
        <v>7.2772014085061594</v>
      </c>
      <c r="C64" s="170">
        <f t="shared" si="11"/>
        <v>7.3000416973740334</v>
      </c>
      <c r="D64" s="170">
        <f t="shared" si="11"/>
        <v>7.2375682604026954</v>
      </c>
      <c r="E64" s="170" t="str">
        <f t="shared" si="11"/>
        <v>n/a</v>
      </c>
      <c r="F64" s="170">
        <f t="shared" si="11"/>
        <v>5.6242969628796393</v>
      </c>
      <c r="G64" s="170">
        <f t="shared" si="11"/>
        <v>5.7930258717660292</v>
      </c>
      <c r="H64" s="170">
        <f t="shared" si="11"/>
        <v>6.0179977502812143</v>
      </c>
      <c r="I64" s="170">
        <f t="shared" si="11"/>
        <v>6.0461192350956132</v>
      </c>
      <c r="J64" s="170">
        <f t="shared" si="11"/>
        <v>7.5365579302587182</v>
      </c>
      <c r="K64" s="170">
        <f t="shared" si="11"/>
        <v>7.7052868391451064</v>
      </c>
      <c r="L64" s="170">
        <f t="shared" si="11"/>
        <v>6.0742407199100112</v>
      </c>
    </row>
    <row r="65" spans="1:12">
      <c r="A65" s="168">
        <v>1997</v>
      </c>
      <c r="B65" s="170">
        <f t="shared" si="11"/>
        <v>7.1888832167429628</v>
      </c>
      <c r="C65" s="170">
        <f t="shared" si="11"/>
        <v>7.226788983826669</v>
      </c>
      <c r="D65" s="170">
        <f t="shared" si="11"/>
        <v>7.155458609949263</v>
      </c>
      <c r="E65" s="170" t="str">
        <f t="shared" si="11"/>
        <v>n/a</v>
      </c>
      <c r="F65" s="170">
        <f t="shared" si="11"/>
        <v>5.8075221238938042</v>
      </c>
      <c r="G65" s="170">
        <f t="shared" si="11"/>
        <v>5.9734513274336285</v>
      </c>
      <c r="H65" s="170">
        <f t="shared" si="11"/>
        <v>6.0840707964601766</v>
      </c>
      <c r="I65" s="170">
        <f t="shared" si="11"/>
        <v>6.0840707964601766</v>
      </c>
      <c r="J65" s="170">
        <f t="shared" si="11"/>
        <v>7.5221238938053085</v>
      </c>
      <c r="K65" s="170">
        <f t="shared" si="11"/>
        <v>7.577433628318583</v>
      </c>
      <c r="L65" s="170">
        <f t="shared" si="11"/>
        <v>5.9734513274336285</v>
      </c>
    </row>
    <row r="66" spans="1:12">
      <c r="A66" s="168">
        <v>1998</v>
      </c>
      <c r="B66" s="170">
        <f t="shared" si="11"/>
        <v>7.2049044847337722</v>
      </c>
      <c r="C66" s="170">
        <f t="shared" si="11"/>
        <v>7.2258941723004888</v>
      </c>
      <c r="D66" s="170">
        <f t="shared" si="11"/>
        <v>7.1764464234073548</v>
      </c>
      <c r="E66" s="170" t="str">
        <f t="shared" si="11"/>
        <v>n/a</v>
      </c>
      <c r="F66" s="170">
        <f t="shared" si="11"/>
        <v>5.7502738225629795</v>
      </c>
      <c r="G66" s="170">
        <f t="shared" si="11"/>
        <v>5.9145673603504934</v>
      </c>
      <c r="H66" s="170">
        <f t="shared" si="11"/>
        <v>6.024096385542169</v>
      </c>
      <c r="I66" s="170">
        <f t="shared" si="11"/>
        <v>6.024096385542169</v>
      </c>
      <c r="J66" s="170">
        <f t="shared" si="11"/>
        <v>7.5575027382256295</v>
      </c>
      <c r="K66" s="170">
        <f t="shared" si="11"/>
        <v>7.5027382256297921</v>
      </c>
      <c r="L66" s="170">
        <f t="shared" si="11"/>
        <v>5.9145673603504934</v>
      </c>
    </row>
    <row r="67" spans="1:12">
      <c r="A67" s="168">
        <v>1999</v>
      </c>
      <c r="B67" s="170">
        <f t="shared" si="11"/>
        <v>7.1799115291270255</v>
      </c>
      <c r="C67" s="170">
        <f t="shared" si="11"/>
        <v>7.1732489514123463</v>
      </c>
      <c r="D67" s="170">
        <f t="shared" si="11"/>
        <v>7.1428070824271046</v>
      </c>
      <c r="E67" s="170" t="str">
        <f t="shared" si="11"/>
        <v>n/a</v>
      </c>
      <c r="F67" s="170">
        <f t="shared" si="11"/>
        <v>5.9203444564047363</v>
      </c>
      <c r="G67" s="170">
        <f t="shared" si="11"/>
        <v>5.8127018299246505</v>
      </c>
      <c r="H67" s="170">
        <f t="shared" si="11"/>
        <v>6.0279870828848221</v>
      </c>
      <c r="I67" s="170">
        <f t="shared" si="11"/>
        <v>5.9203444564047363</v>
      </c>
      <c r="J67" s="170">
        <f t="shared" si="11"/>
        <v>7.4273412271259414</v>
      </c>
      <c r="K67" s="170">
        <f t="shared" si="11"/>
        <v>7.3735199138858984</v>
      </c>
      <c r="L67" s="170">
        <f t="shared" si="11"/>
        <v>6.4585575888051663</v>
      </c>
    </row>
    <row r="68" spans="1:12">
      <c r="A68" s="168">
        <v>2000</v>
      </c>
      <c r="B68" s="170">
        <f t="shared" si="11"/>
        <v>7.0955142274845855</v>
      </c>
      <c r="C68" s="170">
        <f t="shared" si="11"/>
        <v>7.0620617364273848</v>
      </c>
      <c r="D68" s="170">
        <f t="shared" si="11"/>
        <v>7.0425207958840428</v>
      </c>
      <c r="E68" s="170" t="str">
        <f t="shared" si="11"/>
        <v>n/a</v>
      </c>
      <c r="F68" s="170">
        <f t="shared" si="11"/>
        <v>5.765199161425576</v>
      </c>
      <c r="G68" s="170">
        <f t="shared" si="11"/>
        <v>5.8700209643605863</v>
      </c>
      <c r="H68" s="170">
        <f t="shared" si="11"/>
        <v>5.9748427672955975</v>
      </c>
      <c r="I68" s="170">
        <f t="shared" si="11"/>
        <v>6.0272536687631026</v>
      </c>
      <c r="J68" s="170">
        <f t="shared" si="11"/>
        <v>7.232704402515723</v>
      </c>
      <c r="K68" s="170">
        <f t="shared" si="11"/>
        <v>7.180293501048217</v>
      </c>
      <c r="L68" s="170">
        <f t="shared" si="11"/>
        <v>6.2893081761006293</v>
      </c>
    </row>
    <row r="69" spans="1:12">
      <c r="A69" s="168">
        <v>2001</v>
      </c>
      <c r="B69" s="170">
        <f t="shared" si="11"/>
        <v>7.0386587833900212</v>
      </c>
      <c r="C69" s="170">
        <f t="shared" si="11"/>
        <v>6.9869808194062477</v>
      </c>
      <c r="D69" s="170">
        <f t="shared" si="11"/>
        <v>6.9603896144587747</v>
      </c>
      <c r="E69" s="170" t="str">
        <f t="shared" si="11"/>
        <v>n/a</v>
      </c>
      <c r="F69" s="170">
        <f t="shared" si="11"/>
        <v>5.6237218813905931</v>
      </c>
      <c r="G69" s="170">
        <f t="shared" si="11"/>
        <v>5.9304703476482619</v>
      </c>
      <c r="H69" s="170">
        <f t="shared" si="11"/>
        <v>5.9304703476482619</v>
      </c>
      <c r="I69" s="170">
        <f t="shared" si="11"/>
        <v>6.0327198364008181</v>
      </c>
      <c r="J69" s="170">
        <f t="shared" si="11"/>
        <v>7.1574642126789367</v>
      </c>
      <c r="K69" s="170">
        <f t="shared" si="11"/>
        <v>7.0040899795501019</v>
      </c>
      <c r="L69" s="170">
        <f t="shared" si="11"/>
        <v>6.3905930470347645</v>
      </c>
    </row>
    <row r="70" spans="1:12">
      <c r="A70" s="168">
        <v>2002</v>
      </c>
      <c r="B70" s="170">
        <f t="shared" si="11"/>
        <v>6.9815658657829331</v>
      </c>
      <c r="C70" s="170">
        <f t="shared" si="11"/>
        <v>6.9372025862068973</v>
      </c>
      <c r="D70" s="170">
        <f t="shared" si="11"/>
        <v>6.8925919636325617</v>
      </c>
      <c r="E70" s="170" t="str">
        <f t="shared" si="11"/>
        <v>n/a</v>
      </c>
      <c r="F70" s="170">
        <f t="shared" si="11"/>
        <v>5.875</v>
      </c>
      <c r="G70" s="170">
        <f t="shared" si="11"/>
        <v>6</v>
      </c>
      <c r="H70" s="170">
        <f t="shared" si="11"/>
        <v>6</v>
      </c>
      <c r="I70" s="170">
        <f t="shared" si="11"/>
        <v>6</v>
      </c>
      <c r="J70" s="170">
        <f t="shared" si="11"/>
        <v>7.2000000000000011</v>
      </c>
      <c r="K70" s="170">
        <f t="shared" si="11"/>
        <v>6.8499999999999988</v>
      </c>
      <c r="L70" s="170">
        <f t="shared" si="11"/>
        <v>6.5</v>
      </c>
    </row>
    <row r="71" spans="1:12">
      <c r="A71" s="168">
        <v>2003</v>
      </c>
      <c r="B71" s="170">
        <f t="shared" ref="B71:L73" si="12">B25</f>
        <v>6.8115725049147633</v>
      </c>
      <c r="C71" s="170">
        <f t="shared" si="12"/>
        <v>6.8020344156715442</v>
      </c>
      <c r="D71" s="170">
        <f t="shared" si="12"/>
        <v>6.7501747426144885</v>
      </c>
      <c r="E71" s="170" t="str">
        <f t="shared" si="12"/>
        <v>n/a</v>
      </c>
      <c r="F71" s="170">
        <f t="shared" si="12"/>
        <v>5.836575875486381</v>
      </c>
      <c r="G71" s="170">
        <f t="shared" si="12"/>
        <v>6.0797665369649803</v>
      </c>
      <c r="H71" s="170">
        <f t="shared" si="12"/>
        <v>6.0797665369649803</v>
      </c>
      <c r="I71" s="170">
        <f t="shared" si="12"/>
        <v>5.836575875486381</v>
      </c>
      <c r="J71" s="170">
        <f t="shared" si="12"/>
        <v>7.1011673151750969</v>
      </c>
      <c r="K71" s="170">
        <f t="shared" si="12"/>
        <v>6.663424124513619</v>
      </c>
      <c r="L71" s="170">
        <f t="shared" si="12"/>
        <v>6.5661478599221796</v>
      </c>
    </row>
    <row r="72" spans="1:12">
      <c r="A72" s="168">
        <v>2004</v>
      </c>
      <c r="B72" s="170">
        <f t="shared" si="12"/>
        <v>6.8360358378739079</v>
      </c>
      <c r="C72" s="170">
        <f t="shared" si="12"/>
        <v>6.8520320785166176</v>
      </c>
      <c r="D72" s="170">
        <f t="shared" si="12"/>
        <v>6.7945535800328081</v>
      </c>
      <c r="E72" s="170" t="str">
        <f t="shared" si="12"/>
        <v>n/a</v>
      </c>
      <c r="F72" s="170">
        <f t="shared" si="12"/>
        <v>5.7306590257879648</v>
      </c>
      <c r="G72" s="170">
        <f t="shared" si="12"/>
        <v>6.2082139446036289</v>
      </c>
      <c r="H72" s="170">
        <f t="shared" si="12"/>
        <v>6.2082139446036289</v>
      </c>
      <c r="I72" s="170">
        <f t="shared" si="12"/>
        <v>5.9216809933142311</v>
      </c>
      <c r="J72" s="170">
        <f t="shared" si="12"/>
        <v>7.1155682903533908</v>
      </c>
      <c r="K72" s="170">
        <f t="shared" si="12"/>
        <v>6.8290353390639922</v>
      </c>
      <c r="L72" s="170">
        <f t="shared" si="12"/>
        <v>6.6857688634192929</v>
      </c>
    </row>
    <row r="73" spans="1:12">
      <c r="A73" s="168">
        <v>2005</v>
      </c>
      <c r="B73" s="170">
        <f t="shared" si="12"/>
        <v>6.9728897321972241</v>
      </c>
      <c r="C73" s="170">
        <f t="shared" si="12"/>
        <v>6.9400902352562035</v>
      </c>
      <c r="D73" s="170">
        <f t="shared" si="12"/>
        <v>6.9408757431908388</v>
      </c>
      <c r="E73" s="170" t="str">
        <f t="shared" si="12"/>
        <v>n/a</v>
      </c>
      <c r="F73" s="170">
        <f t="shared" si="12"/>
        <v>5.8411214953271031</v>
      </c>
      <c r="G73" s="170">
        <f t="shared" si="12"/>
        <v>6.3551401869158877</v>
      </c>
      <c r="H73" s="170">
        <f t="shared" si="12"/>
        <v>6.3551401869158877</v>
      </c>
      <c r="I73" s="170">
        <f t="shared" si="12"/>
        <v>5.8878504672897192</v>
      </c>
      <c r="J73" s="170">
        <f t="shared" si="12"/>
        <v>7.102803738317756</v>
      </c>
      <c r="K73" s="170">
        <f t="shared" si="12"/>
        <v>6.962616822429907</v>
      </c>
      <c r="L73" s="170">
        <f t="shared" si="12"/>
        <v>6.7757009345794383</v>
      </c>
    </row>
    <row r="74" spans="1:12">
      <c r="B74" s="170"/>
      <c r="C74" s="170"/>
      <c r="D74" s="170"/>
    </row>
    <row r="75" spans="1:12">
      <c r="B75" s="170"/>
      <c r="C75" s="170"/>
      <c r="D75" s="170"/>
    </row>
    <row r="76" spans="1:12">
      <c r="B76" s="170"/>
      <c r="C76" s="170"/>
      <c r="D76" s="170"/>
    </row>
    <row r="77" spans="1:12">
      <c r="B77" s="170"/>
      <c r="C77" s="170"/>
      <c r="D77" s="170"/>
    </row>
    <row r="78" spans="1:12">
      <c r="B78" s="170"/>
      <c r="C78" s="170"/>
      <c r="D78" s="170"/>
    </row>
    <row r="79" spans="1:12">
      <c r="B79" s="170"/>
      <c r="C79" s="170"/>
      <c r="D79" s="170"/>
    </row>
    <row r="80" spans="1:12">
      <c r="B80" s="170"/>
      <c r="C80" s="170"/>
      <c r="D80" s="170"/>
    </row>
    <row r="81" spans="2:4">
      <c r="B81" s="170"/>
      <c r="C81" s="170"/>
      <c r="D81" s="170"/>
    </row>
    <row r="82" spans="2:4">
      <c r="B82" s="170"/>
      <c r="C82" s="170"/>
      <c r="D82" s="170"/>
    </row>
    <row r="83" spans="2:4">
      <c r="B83" s="170"/>
      <c r="C83" s="170"/>
      <c r="D83" s="170"/>
    </row>
    <row r="84" spans="2:4">
      <c r="B84" s="170"/>
      <c r="C84" s="170"/>
      <c r="D84" s="170"/>
    </row>
    <row r="85" spans="2:4">
      <c r="B85" s="170"/>
      <c r="C85" s="170"/>
      <c r="D85" s="170"/>
    </row>
    <row r="86" spans="2:4">
      <c r="B86" s="170"/>
      <c r="C86" s="170"/>
      <c r="D86" s="170"/>
    </row>
    <row r="87" spans="2:4">
      <c r="B87" s="170"/>
      <c r="C87" s="170"/>
      <c r="D87" s="170"/>
    </row>
    <row r="88" spans="2:4">
      <c r="B88" s="170"/>
      <c r="C88" s="170"/>
      <c r="D88" s="170"/>
    </row>
    <row r="89" spans="2:4">
      <c r="B89" s="170"/>
      <c r="C89" s="170"/>
      <c r="D89" s="170"/>
    </row>
    <row r="90" spans="2:4">
      <c r="B90" s="170"/>
      <c r="C90" s="170"/>
      <c r="D90" s="170"/>
    </row>
  </sheetData>
  <mergeCells count="1">
    <mergeCell ref="B48:R48"/>
  </mergeCells>
  <phoneticPr fontId="35" type="noConversion"/>
  <pageMargins left="0.75" right="0.75" top="1" bottom="1" header="0.5" footer="0.5"/>
  <pageSetup scale="72" orientation="landscape" horizontalDpi="4294967292" verticalDpi="0" r:id="rId1"/>
  <headerFooter alignWithMargins="0"/>
</worksheet>
</file>

<file path=xl/worksheets/sheet136.xml><?xml version="1.0" encoding="utf-8"?>
<worksheet xmlns="http://schemas.openxmlformats.org/spreadsheetml/2006/main" xmlns:r="http://schemas.openxmlformats.org/officeDocument/2006/relationships">
  <sheetPr codeName="Sheet110"/>
  <dimension ref="A1:IF67"/>
  <sheetViews>
    <sheetView view="pageBreakPreview" zoomScaleNormal="40" zoomScaleSheetLayoutView="100" workbookViewId="0">
      <pane xSplit="1" ySplit="5" topLeftCell="AB6"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9.42578125" style="169" customWidth="1"/>
    <col min="2" max="3" width="13.5703125" style="170" customWidth="1"/>
    <col min="4" max="6" width="25" style="170" customWidth="1"/>
    <col min="7" max="8" width="13.7109375" style="170" customWidth="1"/>
    <col min="9" max="9" width="24.5703125" style="170" customWidth="1"/>
    <col min="10" max="11" width="13.5703125" style="170" customWidth="1"/>
    <col min="12" max="12" width="24.7109375" style="170" customWidth="1"/>
    <col min="13" max="14" width="13.5703125" style="170" customWidth="1"/>
    <col min="15" max="15" width="24.7109375" style="170" customWidth="1"/>
    <col min="16" max="17" width="13.5703125" style="170" customWidth="1"/>
    <col min="18" max="18" width="24.42578125" style="170" customWidth="1"/>
    <col min="19" max="20" width="13.5703125" style="170" customWidth="1"/>
    <col min="21" max="21" width="24.7109375" style="170" customWidth="1"/>
    <col min="22" max="23" width="13.5703125" style="170" customWidth="1"/>
    <col min="24" max="24" width="24.42578125" style="170" customWidth="1"/>
    <col min="25" max="26" width="13.5703125" style="170" customWidth="1"/>
    <col min="27" max="27" width="24.42578125" style="170" customWidth="1"/>
    <col min="28" max="29" width="13.5703125" style="170" customWidth="1"/>
    <col min="30" max="30" width="24.7109375" style="170" customWidth="1"/>
    <col min="31" max="31" width="13.5703125" style="170" customWidth="1"/>
    <col min="32" max="32" width="13.7109375" style="170" customWidth="1"/>
    <col min="33" max="33" width="23.85546875" style="170" customWidth="1"/>
    <col min="34" max="34" width="13.5703125" style="168" customWidth="1"/>
    <col min="35" max="35" width="13.7109375" style="168" customWidth="1"/>
    <col min="36" max="36" width="23.85546875" style="168" customWidth="1"/>
    <col min="37" max="16384" width="8" style="168"/>
  </cols>
  <sheetData>
    <row r="1" spans="1:240" ht="15.75">
      <c r="B1" s="949" t="s">
        <v>799</v>
      </c>
      <c r="C1" s="949"/>
      <c r="D1" s="949"/>
      <c r="E1" s="949"/>
      <c r="F1" s="949"/>
      <c r="G1" s="949" t="s">
        <v>799</v>
      </c>
      <c r="H1" s="949"/>
      <c r="I1" s="949"/>
      <c r="K1" s="949"/>
      <c r="L1" s="949"/>
      <c r="M1" s="949" t="s">
        <v>799</v>
      </c>
      <c r="N1" s="949"/>
      <c r="O1" s="949"/>
      <c r="P1" s="949"/>
      <c r="Q1" s="949"/>
      <c r="R1" s="949"/>
      <c r="S1" s="949" t="s">
        <v>799</v>
      </c>
      <c r="T1" s="949"/>
      <c r="U1" s="949"/>
      <c r="V1" s="949"/>
      <c r="W1" s="949"/>
      <c r="X1" s="949"/>
      <c r="Y1" s="949" t="s">
        <v>799</v>
      </c>
      <c r="Z1" s="949"/>
      <c r="AA1" s="949"/>
      <c r="AB1" s="949"/>
      <c r="AC1" s="949"/>
      <c r="AD1" s="949"/>
      <c r="AE1" s="949" t="s">
        <v>799</v>
      </c>
      <c r="AF1" s="949"/>
      <c r="AG1" s="949"/>
      <c r="AH1" s="949"/>
      <c r="AI1" s="949"/>
      <c r="AJ1" s="949"/>
      <c r="AK1" s="949"/>
      <c r="AL1" s="949"/>
      <c r="AM1" s="949"/>
      <c r="AN1" s="949"/>
      <c r="AO1" s="949"/>
      <c r="AP1" s="949"/>
      <c r="AQ1" s="949"/>
      <c r="AR1" s="949"/>
      <c r="AS1" s="949"/>
      <c r="AT1" s="949"/>
      <c r="AU1" s="949"/>
      <c r="AV1" s="949"/>
      <c r="AW1" s="949"/>
      <c r="AX1" s="949"/>
      <c r="AY1" s="949"/>
      <c r="AZ1" s="949"/>
      <c r="BA1" s="949"/>
      <c r="BB1" s="949"/>
      <c r="BC1" s="949"/>
      <c r="BD1" s="949"/>
      <c r="BE1" s="949"/>
      <c r="BF1" s="949"/>
      <c r="BG1" s="949"/>
      <c r="BH1" s="949"/>
      <c r="BI1" s="949"/>
      <c r="BJ1" s="949"/>
      <c r="BK1" s="949"/>
      <c r="BL1" s="949"/>
      <c r="BM1" s="949"/>
      <c r="BN1" s="949"/>
      <c r="BO1" s="949"/>
      <c r="BP1" s="949"/>
      <c r="BQ1" s="949"/>
      <c r="BR1" s="949"/>
      <c r="BS1" s="949"/>
      <c r="BT1" s="949"/>
      <c r="BU1" s="949"/>
      <c r="BV1" s="949"/>
      <c r="BW1" s="949"/>
      <c r="BX1" s="949"/>
      <c r="BY1" s="949"/>
      <c r="BZ1" s="949"/>
      <c r="CA1" s="949"/>
      <c r="CB1" s="949"/>
      <c r="CC1" s="949"/>
      <c r="CD1" s="949"/>
      <c r="CE1" s="949"/>
      <c r="CF1" s="949"/>
      <c r="CG1" s="949"/>
      <c r="CH1" s="949"/>
      <c r="CI1" s="949"/>
      <c r="CJ1" s="949"/>
      <c r="CK1" s="949"/>
      <c r="CL1" s="949"/>
      <c r="CM1" s="949"/>
      <c r="CN1" s="949"/>
      <c r="CO1" s="949"/>
      <c r="CP1" s="949"/>
      <c r="CQ1" s="949"/>
      <c r="CR1" s="949"/>
      <c r="CS1" s="949"/>
      <c r="CT1" s="949"/>
      <c r="CU1" s="949"/>
      <c r="CV1" s="949"/>
      <c r="CW1" s="949"/>
      <c r="CX1" s="949"/>
      <c r="CY1" s="949"/>
      <c r="CZ1" s="949"/>
      <c r="DA1" s="949"/>
      <c r="DB1" s="949"/>
      <c r="DC1" s="949"/>
      <c r="DD1" s="949"/>
      <c r="DE1" s="949"/>
      <c r="DF1" s="949"/>
      <c r="DG1" s="949"/>
      <c r="DH1" s="949"/>
      <c r="DI1" s="949"/>
      <c r="DJ1" s="949"/>
      <c r="DK1" s="949"/>
      <c r="DL1" s="949"/>
      <c r="DM1" s="949"/>
      <c r="DN1" s="949"/>
      <c r="DO1" s="949"/>
      <c r="DP1" s="949"/>
      <c r="DQ1" s="949"/>
      <c r="DR1" s="949"/>
      <c r="DS1" s="949"/>
      <c r="DT1" s="949"/>
      <c r="DU1" s="949"/>
      <c r="DV1" s="949"/>
      <c r="DW1" s="949"/>
      <c r="DX1" s="949"/>
      <c r="DY1" s="949"/>
      <c r="DZ1" s="949"/>
      <c r="EA1" s="949"/>
      <c r="EB1" s="949"/>
      <c r="EC1" s="949"/>
      <c r="ED1" s="949"/>
      <c r="EE1" s="949"/>
      <c r="EF1" s="949"/>
      <c r="EG1" s="949"/>
      <c r="EH1" s="949"/>
      <c r="EI1" s="949"/>
      <c r="EJ1" s="949"/>
      <c r="EK1" s="949"/>
      <c r="EL1" s="949"/>
      <c r="EM1" s="949"/>
      <c r="EN1" s="949"/>
      <c r="EO1" s="949"/>
      <c r="EP1" s="949"/>
      <c r="EQ1" s="949"/>
      <c r="ER1" s="949"/>
      <c r="ES1" s="949"/>
      <c r="ET1" s="949"/>
      <c r="EU1" s="949"/>
      <c r="EV1" s="949"/>
      <c r="EW1" s="949"/>
      <c r="EX1" s="949"/>
      <c r="EY1" s="949"/>
      <c r="EZ1" s="949"/>
      <c r="FA1" s="949"/>
      <c r="FB1" s="949"/>
      <c r="FC1" s="949"/>
      <c r="FD1" s="949"/>
      <c r="FE1" s="949"/>
      <c r="FF1" s="949"/>
      <c r="FG1" s="949"/>
      <c r="FH1" s="949"/>
      <c r="FI1" s="949"/>
      <c r="FJ1" s="949"/>
      <c r="FK1" s="949"/>
      <c r="FL1" s="949"/>
      <c r="FM1" s="949"/>
      <c r="FN1" s="949"/>
      <c r="FO1" s="949"/>
      <c r="FP1" s="949"/>
      <c r="FQ1" s="949"/>
      <c r="FR1" s="949"/>
      <c r="FS1" s="949"/>
      <c r="FT1" s="949"/>
      <c r="FU1" s="949"/>
      <c r="FV1" s="949"/>
      <c r="FW1" s="949"/>
      <c r="FX1" s="949"/>
      <c r="FY1" s="949"/>
      <c r="FZ1" s="949"/>
      <c r="GA1" s="949"/>
      <c r="GB1" s="949"/>
      <c r="GC1" s="949"/>
      <c r="GD1" s="949"/>
      <c r="GE1" s="949"/>
      <c r="GF1" s="949"/>
      <c r="GG1" s="949"/>
      <c r="GH1" s="949"/>
      <c r="GI1" s="949"/>
      <c r="GJ1" s="949"/>
      <c r="GK1" s="949"/>
      <c r="GL1" s="949"/>
      <c r="GM1" s="949"/>
      <c r="GN1" s="949"/>
      <c r="GO1" s="949"/>
      <c r="GP1" s="949"/>
      <c r="GQ1" s="949"/>
      <c r="GR1" s="949"/>
      <c r="GS1" s="949"/>
      <c r="GT1" s="949"/>
      <c r="GU1" s="949"/>
      <c r="GV1" s="949"/>
      <c r="GW1" s="949"/>
      <c r="GX1" s="949"/>
      <c r="GY1" s="949"/>
      <c r="GZ1" s="949"/>
      <c r="HA1" s="949"/>
      <c r="HB1" s="949"/>
      <c r="HC1" s="949"/>
      <c r="HD1" s="949"/>
      <c r="HE1" s="949"/>
      <c r="HF1" s="949"/>
      <c r="HG1" s="949"/>
      <c r="HH1" s="949"/>
      <c r="HI1" s="949"/>
      <c r="HJ1" s="949"/>
      <c r="HK1" s="949"/>
      <c r="HL1" s="949"/>
      <c r="HM1" s="949"/>
      <c r="HN1" s="949"/>
      <c r="HO1" s="949"/>
      <c r="HP1" s="949"/>
      <c r="HQ1" s="949"/>
      <c r="HR1" s="949"/>
      <c r="HS1" s="949"/>
      <c r="HT1" s="949"/>
      <c r="HU1" s="949"/>
      <c r="HV1" s="949"/>
      <c r="HW1" s="949"/>
      <c r="HX1" s="949"/>
      <c r="HY1" s="949"/>
      <c r="HZ1" s="949"/>
      <c r="IA1" s="949"/>
      <c r="IB1" s="949"/>
      <c r="IC1" s="949"/>
      <c r="ID1" s="949"/>
      <c r="IE1" s="949"/>
      <c r="IF1" s="949"/>
    </row>
    <row r="2" spans="1:240" ht="15.75">
      <c r="B2" s="949" t="s">
        <v>2209</v>
      </c>
      <c r="C2" s="949"/>
      <c r="D2" s="949"/>
      <c r="E2" s="949"/>
      <c r="F2" s="949"/>
      <c r="G2" s="949" t="s">
        <v>2210</v>
      </c>
      <c r="H2" s="949"/>
      <c r="I2" s="949"/>
      <c r="K2" s="949"/>
      <c r="L2" s="949"/>
      <c r="M2" s="949" t="s">
        <v>2210</v>
      </c>
      <c r="N2" s="949"/>
      <c r="O2" s="949"/>
      <c r="P2" s="949"/>
      <c r="Q2" s="949"/>
      <c r="R2" s="949"/>
      <c r="S2" s="949" t="s">
        <v>2210</v>
      </c>
      <c r="T2" s="949"/>
      <c r="U2" s="949"/>
      <c r="V2" s="949"/>
      <c r="W2" s="949"/>
      <c r="X2" s="949"/>
      <c r="Y2" s="949" t="s">
        <v>2210</v>
      </c>
      <c r="Z2" s="949"/>
      <c r="AA2" s="949"/>
      <c r="AB2" s="949"/>
      <c r="AC2" s="949"/>
      <c r="AD2" s="949"/>
      <c r="AE2" s="949" t="s">
        <v>2210</v>
      </c>
      <c r="AF2" s="949"/>
      <c r="AG2" s="949"/>
      <c r="AH2" s="949"/>
      <c r="AI2" s="949"/>
      <c r="AJ2" s="949"/>
      <c r="AK2" s="949"/>
      <c r="AL2" s="949"/>
      <c r="AM2" s="949"/>
      <c r="AN2" s="949"/>
      <c r="AO2" s="949"/>
      <c r="AP2" s="949"/>
      <c r="AQ2" s="949"/>
      <c r="AR2" s="949"/>
      <c r="AS2" s="949"/>
      <c r="AT2" s="949"/>
      <c r="AU2" s="949"/>
      <c r="AV2" s="949"/>
      <c r="AW2" s="949"/>
      <c r="AX2" s="949"/>
      <c r="AY2" s="949"/>
      <c r="AZ2" s="949"/>
      <c r="BA2" s="949"/>
      <c r="BB2" s="949"/>
      <c r="BC2" s="949"/>
      <c r="BD2" s="949"/>
      <c r="BE2" s="949"/>
      <c r="BF2" s="949"/>
      <c r="BG2" s="949"/>
      <c r="BH2" s="949"/>
      <c r="BI2" s="949"/>
      <c r="BJ2" s="949"/>
      <c r="BK2" s="949"/>
      <c r="BL2" s="949"/>
      <c r="BM2" s="949"/>
      <c r="BN2" s="949"/>
      <c r="BO2" s="949"/>
      <c r="BP2" s="949"/>
      <c r="BQ2" s="949"/>
      <c r="BR2" s="949"/>
      <c r="BS2" s="949"/>
      <c r="BT2" s="949"/>
      <c r="BU2" s="949"/>
      <c r="BV2" s="949"/>
      <c r="BW2" s="949"/>
      <c r="BX2" s="949"/>
      <c r="BY2" s="949"/>
      <c r="BZ2" s="949"/>
      <c r="CA2" s="949"/>
      <c r="CB2" s="949"/>
      <c r="CC2" s="949"/>
      <c r="CD2" s="949"/>
      <c r="CE2" s="949"/>
      <c r="CF2" s="949"/>
      <c r="CG2" s="949"/>
      <c r="CH2" s="949"/>
      <c r="CI2" s="949"/>
      <c r="CJ2" s="949"/>
      <c r="CK2" s="949"/>
      <c r="CL2" s="949"/>
      <c r="CM2" s="949"/>
      <c r="CN2" s="949"/>
      <c r="CO2" s="949"/>
      <c r="CP2" s="949"/>
      <c r="CQ2" s="949"/>
      <c r="CR2" s="949"/>
      <c r="CS2" s="949"/>
      <c r="CT2" s="949"/>
      <c r="CU2" s="949"/>
      <c r="CV2" s="949"/>
      <c r="CW2" s="949"/>
      <c r="CX2" s="949"/>
      <c r="CY2" s="949"/>
      <c r="CZ2" s="949"/>
      <c r="DA2" s="949"/>
      <c r="DB2" s="949"/>
      <c r="DC2" s="949"/>
      <c r="DD2" s="949"/>
      <c r="DE2" s="949"/>
      <c r="DF2" s="949"/>
      <c r="DG2" s="949"/>
      <c r="DH2" s="949"/>
      <c r="DI2" s="949"/>
      <c r="DJ2" s="949"/>
      <c r="DK2" s="949"/>
      <c r="DL2" s="949"/>
      <c r="DM2" s="949"/>
      <c r="DN2" s="949"/>
      <c r="DO2" s="949"/>
      <c r="DP2" s="949"/>
      <c r="DQ2" s="949"/>
      <c r="DR2" s="949"/>
      <c r="DS2" s="949"/>
      <c r="DT2" s="949"/>
      <c r="DU2" s="949"/>
      <c r="DV2" s="949"/>
      <c r="DW2" s="949"/>
      <c r="DX2" s="949"/>
      <c r="DY2" s="949"/>
      <c r="DZ2" s="949"/>
      <c r="EA2" s="949"/>
      <c r="EB2" s="949"/>
      <c r="EC2" s="949"/>
      <c r="ED2" s="949"/>
      <c r="EE2" s="949"/>
      <c r="EF2" s="949"/>
      <c r="EG2" s="949"/>
      <c r="EH2" s="949"/>
      <c r="EI2" s="949"/>
      <c r="EJ2" s="949"/>
      <c r="EK2" s="949"/>
      <c r="EL2" s="949"/>
      <c r="EM2" s="949"/>
      <c r="EN2" s="949"/>
      <c r="EO2" s="949"/>
      <c r="EP2" s="949"/>
      <c r="EQ2" s="949"/>
      <c r="ER2" s="949"/>
      <c r="ES2" s="949"/>
      <c r="ET2" s="949"/>
      <c r="EU2" s="949"/>
      <c r="EV2" s="949"/>
      <c r="EW2" s="949"/>
      <c r="EX2" s="949"/>
      <c r="EY2" s="949"/>
      <c r="EZ2" s="949"/>
      <c r="FA2" s="949"/>
      <c r="FB2" s="949"/>
      <c r="FC2" s="949"/>
      <c r="FD2" s="949"/>
      <c r="FE2" s="949"/>
      <c r="FF2" s="949"/>
      <c r="FG2" s="949"/>
      <c r="FH2" s="949"/>
      <c r="FI2" s="949"/>
      <c r="FJ2" s="949"/>
      <c r="FK2" s="949"/>
      <c r="FL2" s="949"/>
      <c r="FM2" s="949"/>
      <c r="FN2" s="949"/>
      <c r="FO2" s="949"/>
      <c r="FP2" s="949"/>
      <c r="FQ2" s="949"/>
      <c r="FR2" s="949"/>
      <c r="FS2" s="949"/>
      <c r="FT2" s="949"/>
      <c r="FU2" s="949"/>
      <c r="FV2" s="949"/>
      <c r="FW2" s="949"/>
      <c r="FX2" s="949"/>
      <c r="FY2" s="949"/>
      <c r="FZ2" s="949"/>
      <c r="GA2" s="949"/>
      <c r="GB2" s="949"/>
      <c r="GC2" s="949"/>
      <c r="GD2" s="949"/>
      <c r="GE2" s="949"/>
      <c r="GF2" s="949"/>
      <c r="GG2" s="949"/>
      <c r="GH2" s="949"/>
      <c r="GI2" s="949"/>
      <c r="GJ2" s="949"/>
      <c r="GK2" s="949"/>
      <c r="GL2" s="949"/>
      <c r="GM2" s="949"/>
      <c r="GN2" s="949"/>
      <c r="GO2" s="949"/>
      <c r="GP2" s="949"/>
      <c r="GQ2" s="949"/>
      <c r="GR2" s="949"/>
      <c r="GS2" s="949"/>
      <c r="GT2" s="949"/>
      <c r="GU2" s="949"/>
      <c r="GV2" s="949"/>
      <c r="GW2" s="949"/>
      <c r="GX2" s="949"/>
      <c r="GY2" s="949"/>
      <c r="GZ2" s="949"/>
      <c r="HA2" s="949"/>
      <c r="HB2" s="949"/>
      <c r="HC2" s="949"/>
      <c r="HD2" s="949"/>
      <c r="HE2" s="949"/>
      <c r="HF2" s="949"/>
      <c r="HG2" s="949"/>
      <c r="HH2" s="949"/>
      <c r="HI2" s="949"/>
      <c r="HJ2" s="949"/>
      <c r="HK2" s="949"/>
      <c r="HL2" s="949"/>
      <c r="HM2" s="949"/>
      <c r="HN2" s="949"/>
      <c r="HO2" s="949"/>
      <c r="HP2" s="949"/>
      <c r="HQ2" s="949"/>
      <c r="HR2" s="949"/>
      <c r="HS2" s="949"/>
      <c r="HT2" s="949"/>
      <c r="HU2" s="949"/>
      <c r="HV2" s="949"/>
      <c r="HW2" s="949"/>
      <c r="HX2" s="949"/>
      <c r="HY2" s="949"/>
      <c r="HZ2" s="949"/>
      <c r="IA2" s="949"/>
      <c r="IB2" s="949"/>
      <c r="IC2" s="949"/>
      <c r="ID2" s="949"/>
      <c r="IE2" s="949"/>
      <c r="IF2" s="949"/>
    </row>
    <row r="3" spans="1:240" ht="15.75">
      <c r="A3" s="102"/>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98"/>
      <c r="GK3" s="98"/>
      <c r="GL3" s="98"/>
      <c r="GM3" s="98"/>
      <c r="GN3" s="98"/>
      <c r="GO3" s="98"/>
      <c r="GP3" s="98"/>
      <c r="GQ3" s="98"/>
      <c r="GR3" s="98"/>
      <c r="GS3" s="98"/>
      <c r="GT3" s="98"/>
      <c r="GU3" s="98"/>
      <c r="GV3" s="98"/>
      <c r="GW3" s="98"/>
      <c r="GX3" s="98"/>
      <c r="GY3" s="98"/>
      <c r="GZ3" s="98"/>
      <c r="HA3" s="98"/>
      <c r="HB3" s="98"/>
      <c r="HC3" s="98"/>
      <c r="HD3" s="98"/>
      <c r="HE3" s="98"/>
      <c r="HF3" s="98"/>
      <c r="HG3" s="98"/>
      <c r="HH3" s="98"/>
      <c r="HI3" s="98"/>
      <c r="HJ3" s="98"/>
      <c r="HK3" s="98"/>
      <c r="HL3" s="98"/>
      <c r="HM3" s="98"/>
      <c r="HN3" s="98"/>
      <c r="HO3" s="98"/>
      <c r="HP3" s="98"/>
      <c r="HQ3" s="98"/>
      <c r="HR3" s="98"/>
      <c r="HS3" s="98"/>
      <c r="HT3" s="98"/>
      <c r="HU3" s="98"/>
      <c r="HV3" s="98"/>
      <c r="HW3" s="98"/>
      <c r="HX3" s="98"/>
      <c r="HY3" s="98"/>
      <c r="HZ3" s="98"/>
      <c r="IA3" s="98"/>
      <c r="IB3" s="98"/>
      <c r="IC3" s="98"/>
      <c r="ID3" s="98"/>
      <c r="IE3" s="98"/>
      <c r="IF3" s="98"/>
    </row>
    <row r="4" spans="1:240" ht="12.75" customHeight="1">
      <c r="B4" s="1245" t="s">
        <v>800</v>
      </c>
      <c r="C4" s="1245"/>
      <c r="D4" s="1245"/>
      <c r="E4" s="291"/>
      <c r="F4" s="291"/>
      <c r="G4" s="1245" t="s">
        <v>1039</v>
      </c>
      <c r="H4" s="1246"/>
      <c r="I4" s="1246"/>
      <c r="J4" s="1245" t="s">
        <v>1040</v>
      </c>
      <c r="K4" s="1246"/>
      <c r="L4" s="1246"/>
      <c r="M4" s="1245" t="s">
        <v>791</v>
      </c>
      <c r="N4" s="1246"/>
      <c r="O4" s="1246"/>
      <c r="P4" s="1245" t="s">
        <v>792</v>
      </c>
      <c r="Q4" s="1246"/>
      <c r="R4" s="1246"/>
      <c r="S4" s="1245" t="s">
        <v>1041</v>
      </c>
      <c r="T4" s="1246"/>
      <c r="U4" s="1246"/>
      <c r="V4" s="1245" t="s">
        <v>738</v>
      </c>
      <c r="W4" s="1246"/>
      <c r="X4" s="1246"/>
      <c r="Y4" s="1245" t="s">
        <v>739</v>
      </c>
      <c r="Z4" s="1246"/>
      <c r="AA4" s="1246"/>
      <c r="AB4" s="1245" t="s">
        <v>740</v>
      </c>
      <c r="AC4" s="1246"/>
      <c r="AD4" s="1246"/>
      <c r="AE4" s="1245" t="s">
        <v>741</v>
      </c>
      <c r="AF4" s="1246"/>
      <c r="AG4" s="1246"/>
      <c r="AH4" s="1245" t="s">
        <v>742</v>
      </c>
      <c r="AI4" s="1246"/>
      <c r="AJ4" s="1246"/>
    </row>
    <row r="5" spans="1:240" s="175" customFormat="1" ht="67.150000000000006" customHeight="1">
      <c r="A5" s="289" t="s">
        <v>752</v>
      </c>
      <c r="B5" s="286" t="s">
        <v>493</v>
      </c>
      <c r="C5" s="174" t="s">
        <v>492</v>
      </c>
      <c r="D5" s="292" t="s">
        <v>491</v>
      </c>
      <c r="E5" s="291"/>
      <c r="F5" s="291"/>
      <c r="G5" s="286" t="s">
        <v>493</v>
      </c>
      <c r="H5" s="174" t="s">
        <v>492</v>
      </c>
      <c r="I5" s="292" t="s">
        <v>491</v>
      </c>
      <c r="J5" s="174" t="s">
        <v>493</v>
      </c>
      <c r="K5" s="174" t="s">
        <v>492</v>
      </c>
      <c r="L5" s="292" t="s">
        <v>491</v>
      </c>
      <c r="M5" s="286" t="s">
        <v>493</v>
      </c>
      <c r="N5" s="174" t="s">
        <v>492</v>
      </c>
      <c r="O5" s="292" t="s">
        <v>491</v>
      </c>
      <c r="P5" s="174" t="s">
        <v>493</v>
      </c>
      <c r="Q5" s="174" t="s">
        <v>492</v>
      </c>
      <c r="R5" s="292" t="s">
        <v>491</v>
      </c>
      <c r="S5" s="286" t="s">
        <v>493</v>
      </c>
      <c r="T5" s="174" t="s">
        <v>492</v>
      </c>
      <c r="U5" s="292" t="s">
        <v>491</v>
      </c>
      <c r="V5" s="174" t="s">
        <v>493</v>
      </c>
      <c r="W5" s="174" t="s">
        <v>492</v>
      </c>
      <c r="X5" s="292" t="s">
        <v>491</v>
      </c>
      <c r="Y5" s="286" t="s">
        <v>493</v>
      </c>
      <c r="Z5" s="174" t="s">
        <v>492</v>
      </c>
      <c r="AA5" s="292" t="s">
        <v>491</v>
      </c>
      <c r="AB5" s="174" t="s">
        <v>493</v>
      </c>
      <c r="AC5" s="174" t="s">
        <v>492</v>
      </c>
      <c r="AD5" s="292" t="s">
        <v>491</v>
      </c>
      <c r="AE5" s="286" t="s">
        <v>493</v>
      </c>
      <c r="AF5" s="174" t="s">
        <v>492</v>
      </c>
      <c r="AG5" s="292" t="s">
        <v>491</v>
      </c>
      <c r="AH5" s="174" t="s">
        <v>493</v>
      </c>
      <c r="AI5" s="174" t="s">
        <v>492</v>
      </c>
      <c r="AJ5" s="292" t="s">
        <v>491</v>
      </c>
    </row>
    <row r="6" spans="1:240" s="175" customFormat="1">
      <c r="A6" s="290"/>
      <c r="B6" s="286" t="s">
        <v>584</v>
      </c>
      <c r="C6" s="174" t="s">
        <v>585</v>
      </c>
      <c r="D6" s="292" t="s">
        <v>801</v>
      </c>
      <c r="E6" s="291"/>
      <c r="F6" s="291"/>
      <c r="G6" s="174" t="s">
        <v>584</v>
      </c>
      <c r="H6" s="174" t="s">
        <v>585</v>
      </c>
      <c r="I6" s="292" t="s">
        <v>801</v>
      </c>
      <c r="J6" s="174" t="s">
        <v>584</v>
      </c>
      <c r="K6" s="174" t="s">
        <v>585</v>
      </c>
      <c r="L6" s="292" t="s">
        <v>801</v>
      </c>
      <c r="M6" s="174" t="s">
        <v>584</v>
      </c>
      <c r="N6" s="174" t="s">
        <v>585</v>
      </c>
      <c r="O6" s="292" t="s">
        <v>801</v>
      </c>
      <c r="P6" s="174" t="s">
        <v>584</v>
      </c>
      <c r="Q6" s="174" t="s">
        <v>585</v>
      </c>
      <c r="R6" s="292" t="s">
        <v>801</v>
      </c>
      <c r="S6" s="174" t="s">
        <v>584</v>
      </c>
      <c r="T6" s="174" t="s">
        <v>585</v>
      </c>
      <c r="U6" s="292" t="s">
        <v>801</v>
      </c>
      <c r="V6" s="174" t="s">
        <v>584</v>
      </c>
      <c r="W6" s="174" t="s">
        <v>585</v>
      </c>
      <c r="X6" s="292" t="s">
        <v>801</v>
      </c>
      <c r="Y6" s="174" t="s">
        <v>584</v>
      </c>
      <c r="Z6" s="174" t="s">
        <v>585</v>
      </c>
      <c r="AA6" s="292" t="s">
        <v>801</v>
      </c>
      <c r="AB6" s="174" t="s">
        <v>584</v>
      </c>
      <c r="AC6" s="174" t="s">
        <v>585</v>
      </c>
      <c r="AD6" s="292" t="s">
        <v>801</v>
      </c>
      <c r="AE6" s="174" t="s">
        <v>584</v>
      </c>
      <c r="AF6" s="174" t="s">
        <v>585</v>
      </c>
      <c r="AG6" s="292" t="s">
        <v>801</v>
      </c>
      <c r="AH6" s="174" t="s">
        <v>584</v>
      </c>
      <c r="AI6" s="174" t="s">
        <v>585</v>
      </c>
      <c r="AJ6" s="292" t="s">
        <v>801</v>
      </c>
    </row>
    <row r="7" spans="1:240" s="178" customFormat="1">
      <c r="A7" s="288">
        <f t="shared" ref="A7:A14" si="0">A8-1</f>
        <v>1983</v>
      </c>
      <c r="B7" s="287">
        <f>'35a'!D21</f>
        <v>3.6689886136817274</v>
      </c>
      <c r="C7" s="177">
        <v>10.373092550790069</v>
      </c>
      <c r="D7" s="293">
        <f t="shared" ref="D7:D29" si="1">B7/C7*100</f>
        <v>35.370248512843723</v>
      </c>
      <c r="E7" s="181"/>
      <c r="F7" s="181"/>
      <c r="G7" s="176">
        <f>'35a'!F21</f>
        <v>3.75</v>
      </c>
      <c r="H7" s="176">
        <v>12.057189631650751</v>
      </c>
      <c r="I7" s="293">
        <f t="shared" ref="I7:I29" si="2">G7/H7*100</f>
        <v>31.101775078298964</v>
      </c>
      <c r="J7" s="176">
        <f>'35a'!G21</f>
        <v>3.75</v>
      </c>
      <c r="K7" s="176">
        <v>9.7393091828138179</v>
      </c>
      <c r="L7" s="293">
        <f t="shared" ref="L7:L29" si="3">J7/K7*100</f>
        <v>38.50375760343789</v>
      </c>
      <c r="M7" s="176">
        <f>'35a'!H21</f>
        <v>3.75</v>
      </c>
      <c r="N7" s="176">
        <v>9.2457715780296432</v>
      </c>
      <c r="O7" s="293">
        <f t="shared" ref="O7:O29" si="4">M7/N7*100</f>
        <v>40.559081179454779</v>
      </c>
      <c r="P7" s="176">
        <f>'35a'!I21</f>
        <v>3.8</v>
      </c>
      <c r="Q7" s="176">
        <v>9.093923145665773</v>
      </c>
      <c r="R7" s="293">
        <f t="shared" ref="R7:R14" si="5">P7/Q7*100</f>
        <v>41.786145969477502</v>
      </c>
      <c r="S7" s="176">
        <f>'35a'!J21</f>
        <v>3.9249999999999998</v>
      </c>
      <c r="T7" s="176">
        <v>9.1296335078534021</v>
      </c>
      <c r="U7" s="293">
        <f t="shared" ref="U7:U29" si="6">S7/T7*100</f>
        <v>42.991868146992708</v>
      </c>
      <c r="V7" s="176">
        <f>'35a'!K21</f>
        <v>3.4</v>
      </c>
      <c r="W7" s="176">
        <v>9.9550000000000001</v>
      </c>
      <c r="X7" s="293">
        <f t="shared" ref="X7:X29" si="7">V7/W7*100</f>
        <v>34.153691612255152</v>
      </c>
      <c r="Y7" s="176">
        <f>'35a'!L21</f>
        <v>4</v>
      </c>
      <c r="Z7" s="176">
        <v>7.8075000000000001</v>
      </c>
      <c r="AA7" s="293">
        <f t="shared" ref="AA7:AA29" si="8">Y7/Z7*100</f>
        <v>51.232788984950375</v>
      </c>
      <c r="AB7" s="176">
        <f>'35a'!M21</f>
        <v>4.25</v>
      </c>
      <c r="AC7" s="176">
        <v>10.280431432973806</v>
      </c>
      <c r="AD7" s="293">
        <f t="shared" ref="AD7:AD30" si="9">AB7/AC7*100</f>
        <v>41.340677458033568</v>
      </c>
      <c r="AE7" s="176">
        <f>'35a'!N21</f>
        <v>3.8</v>
      </c>
      <c r="AF7" s="176">
        <v>11.021780821917808</v>
      </c>
      <c r="AG7" s="293">
        <f>AE7/AF7*100</f>
        <v>34.47718713879118</v>
      </c>
      <c r="AH7" s="176">
        <f>'35a'!O21</f>
        <v>3.5249999999999999</v>
      </c>
      <c r="AI7" s="176">
        <v>11.021780821917808</v>
      </c>
      <c r="AJ7" s="293">
        <f>AH7/AI7*100</f>
        <v>31.982127543220766</v>
      </c>
    </row>
    <row r="8" spans="1:240" s="173" customFormat="1">
      <c r="A8" s="289">
        <f t="shared" si="0"/>
        <v>1984</v>
      </c>
      <c r="B8" s="186">
        <f>'35a'!D22</f>
        <v>3.8726797738393337</v>
      </c>
      <c r="C8" s="180">
        <v>10.710428893905194</v>
      </c>
      <c r="D8" s="294">
        <f t="shared" si="1"/>
        <v>36.158027023951348</v>
      </c>
      <c r="E8" s="181"/>
      <c r="F8" s="181"/>
      <c r="G8" s="179">
        <f>'35a'!F22</f>
        <v>3.75</v>
      </c>
      <c r="H8" s="291">
        <v>12.176371077762619</v>
      </c>
      <c r="I8" s="294">
        <f t="shared" si="2"/>
        <v>30.797353136260153</v>
      </c>
      <c r="J8" s="179">
        <f>'35a'!G22</f>
        <v>3.75</v>
      </c>
      <c r="K8" s="291">
        <v>10.276798652064025</v>
      </c>
      <c r="L8" s="294">
        <f t="shared" si="3"/>
        <v>36.489962749701611</v>
      </c>
      <c r="M8" s="179">
        <f>'35a'!H22</f>
        <v>3.75</v>
      </c>
      <c r="N8" s="291">
        <v>9.7374542284219689</v>
      </c>
      <c r="O8" s="294">
        <f t="shared" si="4"/>
        <v>38.511092448110197</v>
      </c>
      <c r="P8" s="179">
        <f>'35a'!I22</f>
        <v>3.8</v>
      </c>
      <c r="Q8" s="291">
        <v>9.6994638069705097</v>
      </c>
      <c r="R8" s="294">
        <f t="shared" si="5"/>
        <v>39.177423367146687</v>
      </c>
      <c r="S8" s="179">
        <f>'35a'!J22</f>
        <v>3.9249999999999998</v>
      </c>
      <c r="T8" s="291">
        <v>9.5368237347294933</v>
      </c>
      <c r="U8" s="294">
        <f t="shared" si="6"/>
        <v>41.156260293525605</v>
      </c>
      <c r="V8" s="179">
        <f>'35a'!K22</f>
        <v>3.9249999999999998</v>
      </c>
      <c r="W8" s="291">
        <v>10.449593023255815</v>
      </c>
      <c r="X8" s="294">
        <f t="shared" si="7"/>
        <v>37.561271441527147</v>
      </c>
      <c r="Y8" s="179">
        <f>'35a'!L22</f>
        <v>4</v>
      </c>
      <c r="Z8" s="291">
        <v>8.0347925764192141</v>
      </c>
      <c r="AA8" s="294">
        <f t="shared" si="8"/>
        <v>49.783488023565631</v>
      </c>
      <c r="AB8" s="179">
        <f>'35a'!M22</f>
        <v>4.25</v>
      </c>
      <c r="AC8" s="291">
        <v>10.537442218798152</v>
      </c>
      <c r="AD8" s="294">
        <f t="shared" si="9"/>
        <v>40.332368251740071</v>
      </c>
      <c r="AE8" s="179">
        <f>'35a'!N22</f>
        <v>3.8</v>
      </c>
      <c r="AF8" s="291">
        <v>11.360565068493152</v>
      </c>
      <c r="AG8" s="294">
        <f>AE8/AF8*100</f>
        <v>33.449040405030011</v>
      </c>
      <c r="AH8" s="179">
        <f>'35a'!O22</f>
        <v>3.5249999999999999</v>
      </c>
      <c r="AI8" s="291">
        <v>11.360565068493152</v>
      </c>
      <c r="AJ8" s="294">
        <f>AH8/AI8*100</f>
        <v>31.028386165192313</v>
      </c>
    </row>
    <row r="9" spans="1:240" s="173" customFormat="1">
      <c r="A9" s="289">
        <f t="shared" si="0"/>
        <v>1985</v>
      </c>
      <c r="B9" s="186">
        <f>'35a'!D23</f>
        <v>3.8977006699749728</v>
      </c>
      <c r="C9" s="180">
        <v>11.037223476297967</v>
      </c>
      <c r="D9" s="294">
        <f t="shared" si="1"/>
        <v>35.314141082176526</v>
      </c>
      <c r="E9" s="181"/>
      <c r="F9" s="181"/>
      <c r="G9" s="179">
        <f>'35a'!F23</f>
        <v>4</v>
      </c>
      <c r="H9" s="291">
        <v>12.444529331514325</v>
      </c>
      <c r="I9" s="294">
        <f t="shared" si="2"/>
        <v>32.142637888846984</v>
      </c>
      <c r="J9" s="179">
        <f>'35a'!G23</f>
        <v>4</v>
      </c>
      <c r="K9" s="291">
        <v>10.438045492839091</v>
      </c>
      <c r="L9" s="294">
        <f t="shared" si="3"/>
        <v>38.321350512834584</v>
      </c>
      <c r="M9" s="179">
        <f>'35a'!H23</f>
        <v>4</v>
      </c>
      <c r="N9" s="291">
        <v>9.9832955536181345</v>
      </c>
      <c r="O9" s="294">
        <f t="shared" si="4"/>
        <v>40.066929587698368</v>
      </c>
      <c r="P9" s="179">
        <f>'35a'!I23</f>
        <v>3.8</v>
      </c>
      <c r="Q9" s="291">
        <v>10.088739946380697</v>
      </c>
      <c r="R9" s="294">
        <f t="shared" si="5"/>
        <v>37.665754298317879</v>
      </c>
      <c r="S9" s="179">
        <f>'35a'!J23</f>
        <v>3.9249999999999998</v>
      </c>
      <c r="T9" s="291">
        <v>9.836858638743454</v>
      </c>
      <c r="U9" s="294">
        <f t="shared" si="6"/>
        <v>39.900949522045522</v>
      </c>
      <c r="V9" s="179">
        <f>'35a'!K23</f>
        <v>3.9249999999999998</v>
      </c>
      <c r="W9" s="291">
        <v>10.881046511627906</v>
      </c>
      <c r="X9" s="294">
        <f t="shared" si="7"/>
        <v>36.071898009126173</v>
      </c>
      <c r="Y9" s="179">
        <f>'35a'!L23</f>
        <v>4.3</v>
      </c>
      <c r="Z9" s="291">
        <v>8.2279912663755468</v>
      </c>
      <c r="AA9" s="294">
        <f t="shared" si="8"/>
        <v>52.260629123080747</v>
      </c>
      <c r="AB9" s="179">
        <f>'35a'!M23</f>
        <v>4.25</v>
      </c>
      <c r="AC9" s="291">
        <v>10.858705701078584</v>
      </c>
      <c r="AD9" s="294">
        <f t="shared" si="9"/>
        <v>39.139102918848344</v>
      </c>
      <c r="AE9" s="179">
        <f>'35a'!N23</f>
        <v>3.8</v>
      </c>
      <c r="AF9" s="291">
        <v>11.48478595890411</v>
      </c>
      <c r="AG9" s="294">
        <f t="shared" ref="AG9:AG32" si="10">AE9/AF9*100</f>
        <v>33.087251374100482</v>
      </c>
      <c r="AH9" s="179">
        <f>'35a'!O23</f>
        <v>3.5249999999999999</v>
      </c>
      <c r="AI9" s="291">
        <v>11.48478595890411</v>
      </c>
      <c r="AJ9" s="294">
        <f t="shared" ref="AJ9:AJ32" si="11">AH9/AI9*100</f>
        <v>30.69277923518532</v>
      </c>
    </row>
    <row r="10" spans="1:240" s="178" customFormat="1">
      <c r="A10" s="289">
        <f t="shared" si="0"/>
        <v>1986</v>
      </c>
      <c r="B10" s="186">
        <f>'35a'!D24</f>
        <v>4.182985583902024</v>
      </c>
      <c r="C10" s="181">
        <v>11.321851015801355</v>
      </c>
      <c r="D10" s="294">
        <f t="shared" si="1"/>
        <v>36.946128138093634</v>
      </c>
      <c r="E10" s="181"/>
      <c r="F10" s="181"/>
      <c r="G10" s="179">
        <f>'35a'!F24</f>
        <v>4</v>
      </c>
      <c r="H10" s="179">
        <v>12.285620736698498</v>
      </c>
      <c r="I10" s="294">
        <f t="shared" si="2"/>
        <v>32.55838744925245</v>
      </c>
      <c r="J10" s="179">
        <f>'35a'!G24</f>
        <v>4</v>
      </c>
      <c r="K10" s="179">
        <v>10.728289806234205</v>
      </c>
      <c r="L10" s="294">
        <f t="shared" si="3"/>
        <v>37.284600549060499</v>
      </c>
      <c r="M10" s="179">
        <f>'35a'!H24</f>
        <v>4</v>
      </c>
      <c r="N10" s="179">
        <v>10.368090671316477</v>
      </c>
      <c r="O10" s="294">
        <f t="shared" si="4"/>
        <v>38.579909520526066</v>
      </c>
      <c r="P10" s="179">
        <f>'35a'!I24</f>
        <v>4</v>
      </c>
      <c r="Q10" s="179">
        <v>10.391510277033065</v>
      </c>
      <c r="R10" s="294">
        <f t="shared" si="5"/>
        <v>38.492961016847119</v>
      </c>
      <c r="S10" s="179">
        <f>'35a'!J24</f>
        <v>4.3499999999999996</v>
      </c>
      <c r="T10" s="179">
        <v>10.265479930191971</v>
      </c>
      <c r="U10" s="294">
        <f t="shared" si="6"/>
        <v>42.375028051110824</v>
      </c>
      <c r="V10" s="179">
        <f>'35a'!K24</f>
        <v>4.3499999999999996</v>
      </c>
      <c r="W10" s="179">
        <v>11.323023255813952</v>
      </c>
      <c r="X10" s="294">
        <f t="shared" si="7"/>
        <v>38.417301649243157</v>
      </c>
      <c r="Y10" s="179">
        <f>'35a'!L24</f>
        <v>4.3</v>
      </c>
      <c r="Z10" s="179">
        <v>8.2279912663755468</v>
      </c>
      <c r="AA10" s="294">
        <f t="shared" si="8"/>
        <v>52.260629123080747</v>
      </c>
      <c r="AB10" s="179">
        <f>'35a'!M24</f>
        <v>4.5</v>
      </c>
      <c r="AC10" s="179">
        <v>11.190677966101696</v>
      </c>
      <c r="AD10" s="294">
        <f t="shared" si="9"/>
        <v>40.212040893600907</v>
      </c>
      <c r="AE10" s="179">
        <f>'35a'!N24</f>
        <v>3.8</v>
      </c>
      <c r="AF10" s="179">
        <v>11.688056506849316</v>
      </c>
      <c r="AG10" s="294">
        <f t="shared" si="10"/>
        <v>32.511820915420472</v>
      </c>
      <c r="AH10" s="179">
        <f>'35a'!O24</f>
        <v>3.5249999999999999</v>
      </c>
      <c r="AI10" s="179">
        <v>11.688056506849316</v>
      </c>
      <c r="AJ10" s="294">
        <f t="shared" si="11"/>
        <v>30.158991770225573</v>
      </c>
    </row>
    <row r="11" spans="1:240" s="173" customFormat="1">
      <c r="A11" s="289">
        <f t="shared" si="0"/>
        <v>1987</v>
      </c>
      <c r="B11" s="186">
        <f>'35a'!D25</f>
        <v>4.3241431525176353</v>
      </c>
      <c r="C11" s="180">
        <v>11.680270880361174</v>
      </c>
      <c r="D11" s="294">
        <f t="shared" si="1"/>
        <v>37.020914983984731</v>
      </c>
      <c r="E11" s="181"/>
      <c r="F11" s="181"/>
      <c r="G11" s="179">
        <f>'35a'!F25</f>
        <v>4</v>
      </c>
      <c r="H11" s="291">
        <v>12.523983628922238</v>
      </c>
      <c r="I11" s="294">
        <f t="shared" si="2"/>
        <v>31.938719488283322</v>
      </c>
      <c r="J11" s="179">
        <f>'35a'!G25</f>
        <v>4</v>
      </c>
      <c r="K11" s="291">
        <v>10.868037068239259</v>
      </c>
      <c r="L11" s="294">
        <f t="shared" si="3"/>
        <v>36.805174429240736</v>
      </c>
      <c r="M11" s="179">
        <f>'35a'!H25</f>
        <v>4</v>
      </c>
      <c r="N11" s="291">
        <v>10.41084568439407</v>
      </c>
      <c r="O11" s="294">
        <f t="shared" si="4"/>
        <v>38.421470467053673</v>
      </c>
      <c r="P11" s="179">
        <f>'35a'!I25</f>
        <v>4</v>
      </c>
      <c r="Q11" s="291">
        <v>10.240125111706881</v>
      </c>
      <c r="R11" s="294">
        <f t="shared" si="5"/>
        <v>39.062022742544968</v>
      </c>
      <c r="S11" s="179">
        <f>'35a'!J25</f>
        <v>4.55</v>
      </c>
      <c r="T11" s="291">
        <v>10.522652705061082</v>
      </c>
      <c r="U11" s="294">
        <f t="shared" si="6"/>
        <v>43.240047234587394</v>
      </c>
      <c r="V11" s="179">
        <f>'35a'!K25</f>
        <v>4.55</v>
      </c>
      <c r="W11" s="291">
        <v>11.85970930232558</v>
      </c>
      <c r="X11" s="294">
        <f t="shared" si="7"/>
        <v>38.365189938574517</v>
      </c>
      <c r="Y11" s="179">
        <f>'35a'!L25</f>
        <v>4.5999999999999996</v>
      </c>
      <c r="Z11" s="291">
        <v>8.4780131004366801</v>
      </c>
      <c r="AA11" s="294">
        <f t="shared" si="8"/>
        <v>54.257995894852606</v>
      </c>
      <c r="AB11" s="179">
        <f>'35a'!M25</f>
        <v>4.5</v>
      </c>
      <c r="AC11" s="291">
        <v>11.565485362095533</v>
      </c>
      <c r="AD11" s="294">
        <f t="shared" si="9"/>
        <v>38.908872901678656</v>
      </c>
      <c r="AE11" s="179">
        <f>'35a'!N25</f>
        <v>3.8</v>
      </c>
      <c r="AF11" s="291">
        <v>11.642885273972604</v>
      </c>
      <c r="AG11" s="294">
        <f t="shared" si="10"/>
        <v>32.637957950979818</v>
      </c>
      <c r="AH11" s="179">
        <f>'35a'!O25</f>
        <v>3.5249999999999999</v>
      </c>
      <c r="AI11" s="291">
        <v>11.642885273972604</v>
      </c>
      <c r="AJ11" s="294">
        <f t="shared" si="11"/>
        <v>30.276000467685225</v>
      </c>
    </row>
    <row r="12" spans="1:240" s="173" customFormat="1">
      <c r="A12" s="289">
        <f t="shared" si="0"/>
        <v>1988</v>
      </c>
      <c r="B12" s="186">
        <f>'35a'!D26</f>
        <v>4.6333936551897779</v>
      </c>
      <c r="C12" s="180">
        <v>12.123024830699773</v>
      </c>
      <c r="D12" s="294">
        <f t="shared" si="1"/>
        <v>38.219781943004783</v>
      </c>
      <c r="E12" s="181"/>
      <c r="F12" s="181"/>
      <c r="G12" s="179">
        <f>'35a'!F26</f>
        <v>4.25</v>
      </c>
      <c r="H12" s="291">
        <v>12.72261937244202</v>
      </c>
      <c r="I12" s="294">
        <f t="shared" si="2"/>
        <v>33.405070729426697</v>
      </c>
      <c r="J12" s="179">
        <f>'35a'!G26</f>
        <v>4.25</v>
      </c>
      <c r="K12" s="291">
        <v>11.276529064869418</v>
      </c>
      <c r="L12" s="294">
        <f t="shared" si="3"/>
        <v>37.688902104108706</v>
      </c>
      <c r="M12" s="179">
        <f>'35a'!H26</f>
        <v>4</v>
      </c>
      <c r="N12" s="291">
        <v>10.635309503051435</v>
      </c>
      <c r="O12" s="294">
        <f t="shared" si="4"/>
        <v>37.61056506021135</v>
      </c>
      <c r="P12" s="179">
        <f>'35a'!I26</f>
        <v>4</v>
      </c>
      <c r="Q12" s="291">
        <v>10.62940125111707</v>
      </c>
      <c r="R12" s="294">
        <f t="shared" si="5"/>
        <v>37.631470536307305</v>
      </c>
      <c r="S12" s="179">
        <f>'35a'!J26</f>
        <v>4.75</v>
      </c>
      <c r="T12" s="291">
        <v>10.811972076788829</v>
      </c>
      <c r="U12" s="294">
        <f t="shared" si="6"/>
        <v>43.932780867953895</v>
      </c>
      <c r="V12" s="179">
        <f>'35a'!K26</f>
        <v>4.75</v>
      </c>
      <c r="W12" s="291">
        <v>12.396395348837212</v>
      </c>
      <c r="X12" s="294">
        <f t="shared" si="7"/>
        <v>38.317590447335583</v>
      </c>
      <c r="Y12" s="179">
        <f>'35a'!L26</f>
        <v>4.5999999999999996</v>
      </c>
      <c r="Z12" s="291">
        <v>8.9780567685589521</v>
      </c>
      <c r="AA12" s="294">
        <f t="shared" si="8"/>
        <v>51.236031566531693</v>
      </c>
      <c r="AB12" s="179">
        <f>'35a'!M26</f>
        <v>4.5</v>
      </c>
      <c r="AC12" s="291">
        <v>12.068798151001539</v>
      </c>
      <c r="AD12" s="294">
        <f t="shared" si="9"/>
        <v>37.286231352096678</v>
      </c>
      <c r="AE12" s="179">
        <f>'35a'!N26</f>
        <v>4.5</v>
      </c>
      <c r="AF12" s="291">
        <v>11.880034246575342</v>
      </c>
      <c r="AG12" s="294">
        <f t="shared" si="10"/>
        <v>37.878678685604086</v>
      </c>
      <c r="AH12" s="179">
        <f>'35a'!O26</f>
        <v>4.5</v>
      </c>
      <c r="AI12" s="291">
        <v>11.880034246575342</v>
      </c>
      <c r="AJ12" s="294">
        <f t="shared" si="11"/>
        <v>37.878678685604086</v>
      </c>
    </row>
    <row r="13" spans="1:240" s="173" customFormat="1">
      <c r="A13" s="289">
        <f t="shared" si="0"/>
        <v>1989</v>
      </c>
      <c r="B13" s="186">
        <f>'35a'!D27</f>
        <v>4.8652794663055356</v>
      </c>
      <c r="C13" s="180">
        <v>12.787155756207676</v>
      </c>
      <c r="D13" s="294">
        <f t="shared" si="1"/>
        <v>38.048175521312686</v>
      </c>
      <c r="E13" s="181"/>
      <c r="F13" s="181"/>
      <c r="G13" s="179">
        <f>'35a'!F27</f>
        <v>4.25</v>
      </c>
      <c r="H13" s="291">
        <v>13.47743519781719</v>
      </c>
      <c r="I13" s="294">
        <f t="shared" si="2"/>
        <v>31.534189833747682</v>
      </c>
      <c r="J13" s="179">
        <f>'35a'!G27</f>
        <v>4.5</v>
      </c>
      <c r="K13" s="291">
        <v>11.86776748104465</v>
      </c>
      <c r="L13" s="294">
        <f t="shared" si="3"/>
        <v>37.917830857298625</v>
      </c>
      <c r="M13" s="179">
        <f>'35a'!H27</f>
        <v>4.5</v>
      </c>
      <c r="N13" s="291">
        <v>11.30870095902354</v>
      </c>
      <c r="O13" s="294">
        <f t="shared" si="4"/>
        <v>39.792368869824259</v>
      </c>
      <c r="P13" s="179">
        <f>'35a'!I27</f>
        <v>4.375</v>
      </c>
      <c r="Q13" s="291">
        <v>11.094369973190348</v>
      </c>
      <c r="R13" s="294">
        <f t="shared" si="5"/>
        <v>39.434415929631243</v>
      </c>
      <c r="S13" s="179">
        <f>'35a'!J27</f>
        <v>5</v>
      </c>
      <c r="T13" s="291">
        <v>11.122722513089004</v>
      </c>
      <c r="U13" s="294">
        <f t="shared" si="6"/>
        <v>44.953022914273888</v>
      </c>
      <c r="V13" s="179">
        <f>'35a'!K27</f>
        <v>5</v>
      </c>
      <c r="W13" s="291">
        <v>13.175116279069766</v>
      </c>
      <c r="X13" s="294">
        <f t="shared" si="7"/>
        <v>37.95032919704164</v>
      </c>
      <c r="Y13" s="179">
        <f>'35a'!L27</f>
        <v>4.5999999999999996</v>
      </c>
      <c r="Z13" s="291">
        <v>9.43264192139738</v>
      </c>
      <c r="AA13" s="294">
        <f t="shared" si="8"/>
        <v>48.766825225975943</v>
      </c>
      <c r="AB13" s="179">
        <f>'35a'!M27</f>
        <v>4.5</v>
      </c>
      <c r="AC13" s="291">
        <v>12.614946070878272</v>
      </c>
      <c r="AD13" s="294">
        <f t="shared" si="9"/>
        <v>35.671971760452422</v>
      </c>
      <c r="AE13" s="179">
        <f>'35a'!N27</f>
        <v>4.5</v>
      </c>
      <c r="AF13" s="291">
        <v>12.094597602739727</v>
      </c>
      <c r="AG13" s="294">
        <f t="shared" si="10"/>
        <v>37.206694656634447</v>
      </c>
      <c r="AH13" s="179">
        <f>'35a'!O27</f>
        <v>4.75</v>
      </c>
      <c r="AI13" s="291">
        <v>12.094597602739727</v>
      </c>
      <c r="AJ13" s="294">
        <f t="shared" si="11"/>
        <v>39.273733248669693</v>
      </c>
    </row>
    <row r="14" spans="1:240" s="173" customFormat="1">
      <c r="A14" s="289">
        <f t="shared" si="0"/>
        <v>1990</v>
      </c>
      <c r="B14" s="186">
        <f>'35a'!D28</f>
        <v>5.1144898520601547</v>
      </c>
      <c r="C14" s="180">
        <v>13.324785553047404</v>
      </c>
      <c r="D14" s="294">
        <f t="shared" si="1"/>
        <v>38.383280779257731</v>
      </c>
      <c r="E14" s="181"/>
      <c r="F14" s="181"/>
      <c r="G14" s="179">
        <f>'35a'!F28</f>
        <v>4.25</v>
      </c>
      <c r="H14" s="291">
        <v>13.825047748976807</v>
      </c>
      <c r="I14" s="294">
        <f t="shared" si="2"/>
        <v>30.741304313502589</v>
      </c>
      <c r="J14" s="179">
        <f>'35a'!G28</f>
        <v>4.5</v>
      </c>
      <c r="K14" s="291">
        <v>12.190261162594776</v>
      </c>
      <c r="L14" s="294">
        <f t="shared" si="3"/>
        <v>36.914713638851573</v>
      </c>
      <c r="M14" s="179">
        <f>'35a'!H28</f>
        <v>4.5</v>
      </c>
      <c r="N14" s="291">
        <v>11.618674803836093</v>
      </c>
      <c r="O14" s="294">
        <f t="shared" si="4"/>
        <v>38.730750933094818</v>
      </c>
      <c r="P14" s="179">
        <f>'35a'!I28</f>
        <v>4.75</v>
      </c>
      <c r="Q14" s="291">
        <v>11.278194816800715</v>
      </c>
      <c r="R14" s="294">
        <f t="shared" si="5"/>
        <v>42.116669175851598</v>
      </c>
      <c r="S14" s="179">
        <f>'35a'!J28</f>
        <v>5.3</v>
      </c>
      <c r="T14" s="291">
        <v>11.744223385689352</v>
      </c>
      <c r="U14" s="294">
        <f t="shared" si="6"/>
        <v>45.128569390617947</v>
      </c>
      <c r="V14" s="179">
        <f>'35a'!K28</f>
        <v>5.4</v>
      </c>
      <c r="W14" s="291">
        <v>13.743372093023256</v>
      </c>
      <c r="X14" s="294">
        <f t="shared" si="7"/>
        <v>39.291667019197419</v>
      </c>
      <c r="Y14" s="179">
        <f>'35a'!L28</f>
        <v>4.5999999999999996</v>
      </c>
      <c r="Z14" s="291">
        <v>9.9895087336244544</v>
      </c>
      <c r="AA14" s="294">
        <f t="shared" si="8"/>
        <v>46.048310509169546</v>
      </c>
      <c r="AB14" s="179">
        <f>'35a'!M28</f>
        <v>4.5</v>
      </c>
      <c r="AC14" s="291">
        <v>13.214637904468413</v>
      </c>
      <c r="AD14" s="294">
        <f t="shared" si="9"/>
        <v>34.053146461760896</v>
      </c>
      <c r="AE14" s="179">
        <f>'35a'!N28</f>
        <v>4.5</v>
      </c>
      <c r="AF14" s="291">
        <v>12.749580479452051</v>
      </c>
      <c r="AG14" s="294">
        <f t="shared" si="10"/>
        <v>35.295278987825959</v>
      </c>
      <c r="AH14" s="179">
        <f>'35a'!O28</f>
        <v>5</v>
      </c>
      <c r="AI14" s="291">
        <v>12.749580479452051</v>
      </c>
      <c r="AJ14" s="294">
        <f t="shared" si="11"/>
        <v>39.216976653139959</v>
      </c>
    </row>
    <row r="15" spans="1:240" s="178" customFormat="1">
      <c r="A15" s="295">
        <v>1991</v>
      </c>
      <c r="B15" s="186">
        <f>'35a'!D29</f>
        <v>5.4553784202093736</v>
      </c>
      <c r="C15" s="180">
        <v>14.01</v>
      </c>
      <c r="D15" s="294">
        <f t="shared" si="1"/>
        <v>38.939175019338855</v>
      </c>
      <c r="E15" s="181"/>
      <c r="F15" s="181"/>
      <c r="G15" s="179">
        <f>'35a'!F29</f>
        <v>4.75</v>
      </c>
      <c r="H15" s="725">
        <v>12.1</v>
      </c>
      <c r="I15" s="294">
        <f t="shared" si="2"/>
        <v>39.256198347107443</v>
      </c>
      <c r="J15" s="179">
        <f>'35a'!G29</f>
        <v>4.75</v>
      </c>
      <c r="K15" s="725">
        <v>10.41</v>
      </c>
      <c r="L15" s="294">
        <f t="shared" si="3"/>
        <v>45.629202689721424</v>
      </c>
      <c r="M15" s="179">
        <f>'35a'!H29</f>
        <v>4.75</v>
      </c>
      <c r="N15" s="725">
        <v>12.27</v>
      </c>
      <c r="O15" s="294">
        <f t="shared" si="4"/>
        <v>38.712306438467806</v>
      </c>
      <c r="P15" s="179">
        <f>'35a'!I29</f>
        <v>5</v>
      </c>
      <c r="Q15" s="725">
        <v>12.25</v>
      </c>
      <c r="R15" s="294">
        <v>39.256198347107443</v>
      </c>
      <c r="S15" s="179">
        <f>'35a'!J29</f>
        <v>5.55</v>
      </c>
      <c r="T15" s="725">
        <v>13.9</v>
      </c>
      <c r="U15" s="294">
        <f t="shared" si="6"/>
        <v>39.928057553956833</v>
      </c>
      <c r="V15" s="179">
        <f>'35a'!K29</f>
        <v>6</v>
      </c>
      <c r="W15" s="725">
        <v>14.48</v>
      </c>
      <c r="X15" s="294">
        <f t="shared" si="7"/>
        <v>41.436464088397791</v>
      </c>
      <c r="Y15" s="179">
        <f>'35a'!L29</f>
        <v>5</v>
      </c>
      <c r="Z15" s="725">
        <v>12.74</v>
      </c>
      <c r="AA15" s="294">
        <f t="shared" si="8"/>
        <v>39.246467817896388</v>
      </c>
      <c r="AB15" s="179">
        <f>'35a'!M29</f>
        <v>4.875</v>
      </c>
      <c r="AC15" s="725">
        <v>13.17</v>
      </c>
      <c r="AD15" s="294">
        <f t="shared" si="9"/>
        <v>37.015945330296127</v>
      </c>
      <c r="AE15" s="179">
        <f>'35a'!N29</f>
        <v>4.5</v>
      </c>
      <c r="AF15" s="725">
        <v>13.61</v>
      </c>
      <c r="AG15" s="294">
        <f t="shared" si="10"/>
        <v>33.063923585598829</v>
      </c>
      <c r="AH15" s="179">
        <f>'35a'!O29</f>
        <v>5</v>
      </c>
      <c r="AI15" s="291">
        <v>14.56</v>
      </c>
      <c r="AJ15" s="294">
        <f t="shared" si="11"/>
        <v>34.340659340659343</v>
      </c>
    </row>
    <row r="16" spans="1:240">
      <c r="A16" s="295">
        <v>1992</v>
      </c>
      <c r="B16" s="186">
        <f>'35a'!D30</f>
        <v>5.7444395133101338</v>
      </c>
      <c r="C16" s="180">
        <v>14.44</v>
      </c>
      <c r="D16" s="294">
        <f t="shared" si="1"/>
        <v>39.781437072784861</v>
      </c>
      <c r="E16" s="181"/>
      <c r="F16" s="181"/>
      <c r="G16" s="179">
        <f>'35a'!F30</f>
        <v>4.75</v>
      </c>
      <c r="H16" s="725">
        <v>12.44</v>
      </c>
      <c r="I16" s="294">
        <f t="shared" si="2"/>
        <v>38.183279742765272</v>
      </c>
      <c r="J16" s="179">
        <f>'35a'!G30</f>
        <v>4.75</v>
      </c>
      <c r="K16" s="725">
        <v>10.5</v>
      </c>
      <c r="L16" s="294">
        <f t="shared" si="3"/>
        <v>45.238095238095241</v>
      </c>
      <c r="M16" s="179">
        <f>'35a'!H30</f>
        <v>5</v>
      </c>
      <c r="N16" s="725">
        <v>12.69</v>
      </c>
      <c r="O16" s="294">
        <f t="shared" si="4"/>
        <v>39.401103230890463</v>
      </c>
      <c r="P16" s="179">
        <f>'35a'!I30</f>
        <v>5</v>
      </c>
      <c r="Q16" s="725">
        <v>12.62</v>
      </c>
      <c r="R16" s="294">
        <v>40.2561983471074</v>
      </c>
      <c r="S16" s="179">
        <f>'35a'!J30</f>
        <v>5.7</v>
      </c>
      <c r="T16" s="725">
        <v>14.4</v>
      </c>
      <c r="U16" s="294">
        <f t="shared" si="6"/>
        <v>39.583333333333329</v>
      </c>
      <c r="V16" s="179">
        <f>'35a'!K30</f>
        <v>6.35</v>
      </c>
      <c r="W16" s="725">
        <v>14.93</v>
      </c>
      <c r="X16" s="294">
        <f t="shared" si="7"/>
        <v>42.531815137307433</v>
      </c>
      <c r="Y16" s="179">
        <f>'35a'!L30</f>
        <v>5</v>
      </c>
      <c r="Z16" s="725">
        <v>13.05</v>
      </c>
      <c r="AA16" s="294">
        <f t="shared" si="8"/>
        <v>38.314176245210724</v>
      </c>
      <c r="AB16" s="179">
        <f>'35a'!M30</f>
        <v>4.875</v>
      </c>
      <c r="AC16" s="725">
        <v>13.33</v>
      </c>
      <c r="AD16" s="294">
        <f t="shared" si="9"/>
        <v>36.571642910727682</v>
      </c>
      <c r="AE16" s="179">
        <f>'35a'!N30</f>
        <v>5</v>
      </c>
      <c r="AF16" s="725">
        <v>14.09</v>
      </c>
      <c r="AG16" s="294">
        <f t="shared" si="10"/>
        <v>35.486160397444998</v>
      </c>
      <c r="AH16" s="179">
        <f>'35a'!O30</f>
        <v>5.5</v>
      </c>
      <c r="AI16" s="291">
        <v>14.9</v>
      </c>
      <c r="AJ16" s="294">
        <f t="shared" si="11"/>
        <v>36.912751677852349</v>
      </c>
    </row>
    <row r="17" spans="1:36">
      <c r="A17" s="295">
        <v>1993</v>
      </c>
      <c r="B17" s="186">
        <f>'35a'!D31</f>
        <v>5.8645880072228698</v>
      </c>
      <c r="C17" s="180">
        <v>14.7</v>
      </c>
      <c r="D17" s="294">
        <f t="shared" si="1"/>
        <v>39.895156511720202</v>
      </c>
      <c r="E17" s="181"/>
      <c r="F17" s="181"/>
      <c r="G17" s="179">
        <f>'35a'!F31</f>
        <v>4.75</v>
      </c>
      <c r="H17" s="725">
        <v>12.69</v>
      </c>
      <c r="I17" s="294">
        <f t="shared" si="2"/>
        <v>37.431048069345948</v>
      </c>
      <c r="J17" s="179">
        <f>'35a'!G31</f>
        <v>4.75</v>
      </c>
      <c r="K17" s="725">
        <v>10.82</v>
      </c>
      <c r="L17" s="294">
        <f t="shared" si="3"/>
        <v>43.900184842883547</v>
      </c>
      <c r="M17" s="179">
        <f>'35a'!H31</f>
        <v>5.15</v>
      </c>
      <c r="N17" s="725">
        <v>12.87</v>
      </c>
      <c r="O17" s="294">
        <f t="shared" si="4"/>
        <v>40.015540015540019</v>
      </c>
      <c r="P17" s="179">
        <f>'35a'!I31</f>
        <v>5</v>
      </c>
      <c r="Q17" s="725">
        <v>12.84</v>
      </c>
      <c r="R17" s="294">
        <v>41.2561983471074</v>
      </c>
      <c r="S17" s="179">
        <f>'35a'!J31</f>
        <v>5.85</v>
      </c>
      <c r="T17" s="725">
        <v>14.66</v>
      </c>
      <c r="U17" s="294">
        <f t="shared" si="6"/>
        <v>39.904502046384714</v>
      </c>
      <c r="V17" s="179">
        <f>'35a'!K31</f>
        <v>6.35</v>
      </c>
      <c r="W17" s="725">
        <v>15.17</v>
      </c>
      <c r="X17" s="294">
        <f t="shared" si="7"/>
        <v>41.858932102834537</v>
      </c>
      <c r="Y17" s="179">
        <f>'35a'!L31</f>
        <v>5</v>
      </c>
      <c r="Z17" s="725">
        <v>13.36</v>
      </c>
      <c r="AA17" s="294">
        <f t="shared" si="8"/>
        <v>37.425149700598801</v>
      </c>
      <c r="AB17" s="179">
        <f>'35a'!M31</f>
        <v>5.35</v>
      </c>
      <c r="AC17" s="725">
        <v>13.54</v>
      </c>
      <c r="AD17" s="294">
        <f t="shared" si="9"/>
        <v>39.512555391432791</v>
      </c>
      <c r="AE17" s="179">
        <f>'35a'!N31</f>
        <v>5</v>
      </c>
      <c r="AF17" s="725">
        <v>14.42</v>
      </c>
      <c r="AG17" s="294">
        <f t="shared" si="10"/>
        <v>34.674063800277395</v>
      </c>
      <c r="AH17" s="179">
        <f>'35a'!O31</f>
        <v>6</v>
      </c>
      <c r="AI17" s="291">
        <v>15.17</v>
      </c>
      <c r="AJ17" s="294">
        <f t="shared" si="11"/>
        <v>39.55174686882004</v>
      </c>
    </row>
    <row r="18" spans="1:36">
      <c r="A18" s="295">
        <v>1994</v>
      </c>
      <c r="B18" s="186">
        <f>'35a'!D32</f>
        <v>6.0348491810057663</v>
      </c>
      <c r="C18" s="180">
        <v>14.89</v>
      </c>
      <c r="D18" s="294">
        <f t="shared" si="1"/>
        <v>40.529544533282511</v>
      </c>
      <c r="E18" s="181"/>
      <c r="F18" s="181"/>
      <c r="G18" s="179">
        <f>'35a'!F32</f>
        <v>4.75</v>
      </c>
      <c r="H18" s="725">
        <v>12.89</v>
      </c>
      <c r="I18" s="294">
        <f t="shared" si="2"/>
        <v>36.850271528316526</v>
      </c>
      <c r="J18" s="179">
        <f>'35a'!G32</f>
        <v>4.75</v>
      </c>
      <c r="K18" s="725">
        <v>10.76</v>
      </c>
      <c r="L18" s="294">
        <f t="shared" si="3"/>
        <v>44.144981412639403</v>
      </c>
      <c r="M18" s="179">
        <f>'35a'!H32</f>
        <v>5.15</v>
      </c>
      <c r="N18" s="725">
        <v>12.65</v>
      </c>
      <c r="O18" s="294">
        <f t="shared" si="4"/>
        <v>40.71146245059289</v>
      </c>
      <c r="P18" s="179">
        <f>'35a'!I32</f>
        <v>5</v>
      </c>
      <c r="Q18" s="725">
        <v>12.68</v>
      </c>
      <c r="R18" s="294">
        <v>42.2561983471074</v>
      </c>
      <c r="S18" s="179">
        <f>'35a'!J32</f>
        <v>6</v>
      </c>
      <c r="T18" s="725">
        <v>14.86</v>
      </c>
      <c r="U18" s="294">
        <f t="shared" si="6"/>
        <v>40.376850605652756</v>
      </c>
      <c r="V18" s="179">
        <f>'35a'!K32</f>
        <v>6.7</v>
      </c>
      <c r="W18" s="725">
        <v>15.45</v>
      </c>
      <c r="X18" s="294">
        <f t="shared" si="7"/>
        <v>43.36569579288026</v>
      </c>
      <c r="Y18" s="179">
        <f>'35a'!L32</f>
        <v>5</v>
      </c>
      <c r="Z18" s="725">
        <v>13.41</v>
      </c>
      <c r="AA18" s="294">
        <f t="shared" si="8"/>
        <v>37.285607755406417</v>
      </c>
      <c r="AB18" s="179">
        <f>'35a'!M32</f>
        <v>5.35</v>
      </c>
      <c r="AC18" s="725">
        <v>13.89</v>
      </c>
      <c r="AD18" s="294">
        <f t="shared" si="9"/>
        <v>38.516918646508273</v>
      </c>
      <c r="AE18" s="179">
        <f>'35a'!N32</f>
        <v>5</v>
      </c>
      <c r="AF18" s="725">
        <v>14.28</v>
      </c>
      <c r="AG18" s="294">
        <f t="shared" si="10"/>
        <v>35.0140056022409</v>
      </c>
      <c r="AH18" s="179">
        <f>'35a'!O32</f>
        <v>6</v>
      </c>
      <c r="AI18" s="291">
        <v>15.52</v>
      </c>
      <c r="AJ18" s="294">
        <f t="shared" si="11"/>
        <v>38.659793814432994</v>
      </c>
    </row>
    <row r="19" spans="1:36">
      <c r="A19" s="295">
        <v>1995</v>
      </c>
      <c r="B19" s="186">
        <f>'35a'!D33</f>
        <v>6.3078504595574412</v>
      </c>
      <c r="C19" s="180">
        <v>15.05</v>
      </c>
      <c r="D19" s="294">
        <f t="shared" si="1"/>
        <v>41.912627638255422</v>
      </c>
      <c r="E19" s="181"/>
      <c r="F19" s="181"/>
      <c r="G19" s="179">
        <f>'35a'!F33</f>
        <v>4.75</v>
      </c>
      <c r="H19" s="725">
        <v>12.63</v>
      </c>
      <c r="I19" s="294">
        <f t="shared" si="2"/>
        <v>37.608867775138556</v>
      </c>
      <c r="J19" s="179">
        <f>'35a'!G33</f>
        <v>4.75</v>
      </c>
      <c r="K19" s="725">
        <v>11.41</v>
      </c>
      <c r="L19" s="294">
        <f t="shared" si="3"/>
        <v>41.630148992112183</v>
      </c>
      <c r="M19" s="179">
        <f>'35a'!H33</f>
        <v>5.15</v>
      </c>
      <c r="N19" s="725">
        <v>12.56</v>
      </c>
      <c r="O19" s="294">
        <f t="shared" si="4"/>
        <v>41.003184713375795</v>
      </c>
      <c r="P19" s="179">
        <f>'35a'!I33</f>
        <v>5</v>
      </c>
      <c r="Q19" s="725">
        <v>12.82</v>
      </c>
      <c r="R19" s="294">
        <v>43.2561983471074</v>
      </c>
      <c r="S19" s="179">
        <f>'35a'!J33</f>
        <v>6.45</v>
      </c>
      <c r="T19" s="725">
        <v>14.91</v>
      </c>
      <c r="U19" s="294">
        <f t="shared" si="6"/>
        <v>43.259557344064383</v>
      </c>
      <c r="V19" s="179">
        <f>'35a'!K33</f>
        <v>6.85</v>
      </c>
      <c r="W19" s="725">
        <v>15.65</v>
      </c>
      <c r="X19" s="294">
        <f t="shared" si="7"/>
        <v>43.769968051118205</v>
      </c>
      <c r="Y19" s="179">
        <f>'35a'!L33</f>
        <v>5.25</v>
      </c>
      <c r="Z19" s="725">
        <v>13.64</v>
      </c>
      <c r="AA19" s="294">
        <f t="shared" si="8"/>
        <v>38.489736070381234</v>
      </c>
      <c r="AB19" s="179">
        <f>'35a'!M33</f>
        <v>5.35</v>
      </c>
      <c r="AC19" s="725">
        <v>13.86</v>
      </c>
      <c r="AD19" s="294">
        <f t="shared" si="9"/>
        <v>38.6002886002886</v>
      </c>
      <c r="AE19" s="179">
        <f>'35a'!N33</f>
        <v>5</v>
      </c>
      <c r="AF19" s="725">
        <v>14.05</v>
      </c>
      <c r="AG19" s="294">
        <f t="shared" si="10"/>
        <v>35.587188612099638</v>
      </c>
      <c r="AH19" s="179">
        <f>'35a'!O33</f>
        <v>6.75</v>
      </c>
      <c r="AI19" s="291">
        <v>16.18</v>
      </c>
      <c r="AJ19" s="294">
        <f t="shared" si="11"/>
        <v>41.718170580964156</v>
      </c>
    </row>
    <row r="20" spans="1:36">
      <c r="A20" s="295">
        <v>1996</v>
      </c>
      <c r="B20" s="186">
        <f>'35a'!D34</f>
        <v>6.4341981834979967</v>
      </c>
      <c r="C20" s="180">
        <v>15.45</v>
      </c>
      <c r="D20" s="294">
        <f t="shared" si="1"/>
        <v>41.645295686071179</v>
      </c>
      <c r="E20" s="181"/>
      <c r="F20" s="181"/>
      <c r="G20" s="179">
        <f>'35a'!F34</f>
        <v>5</v>
      </c>
      <c r="H20" s="725">
        <v>13.45</v>
      </c>
      <c r="I20" s="294">
        <f t="shared" si="2"/>
        <v>37.174721189591082</v>
      </c>
      <c r="J20" s="179">
        <f>'35a'!G34</f>
        <v>5.15</v>
      </c>
      <c r="K20" s="725">
        <v>12.19</v>
      </c>
      <c r="L20" s="294">
        <f t="shared" si="3"/>
        <v>42.247744052502057</v>
      </c>
      <c r="M20" s="179">
        <f>'35a'!H34</f>
        <v>5.35</v>
      </c>
      <c r="N20" s="725">
        <v>12.95</v>
      </c>
      <c r="O20" s="294">
        <f t="shared" si="4"/>
        <v>41.312741312741316</v>
      </c>
      <c r="P20" s="179">
        <f>'35a'!I34</f>
        <v>5.375</v>
      </c>
      <c r="Q20" s="725">
        <v>13.31</v>
      </c>
      <c r="R20" s="294">
        <v>44.2561983471074</v>
      </c>
      <c r="S20" s="179">
        <f>'35a'!J34</f>
        <v>6.7</v>
      </c>
      <c r="T20" s="725">
        <v>15.27</v>
      </c>
      <c r="U20" s="294">
        <f t="shared" si="6"/>
        <v>43.876882776686315</v>
      </c>
      <c r="V20" s="179">
        <f>'35a'!K34</f>
        <v>6.85</v>
      </c>
      <c r="W20" s="725">
        <v>16.13</v>
      </c>
      <c r="X20" s="294">
        <f t="shared" si="7"/>
        <v>42.467451952882826</v>
      </c>
      <c r="Y20" s="179">
        <f>'35a'!L34</f>
        <v>5.4</v>
      </c>
      <c r="Z20" s="725">
        <v>13.75</v>
      </c>
      <c r="AA20" s="294">
        <f t="shared" si="8"/>
        <v>39.272727272727273</v>
      </c>
      <c r="AB20" s="179">
        <f>'35a'!M34</f>
        <v>5.6</v>
      </c>
      <c r="AC20" s="725">
        <v>13.85</v>
      </c>
      <c r="AD20" s="294">
        <f t="shared" si="9"/>
        <v>40.433212996389891</v>
      </c>
      <c r="AE20" s="179">
        <f>'35a'!N34</f>
        <v>5</v>
      </c>
      <c r="AF20" s="725">
        <v>14.57</v>
      </c>
      <c r="AG20" s="294">
        <f t="shared" si="10"/>
        <v>34.317089910775564</v>
      </c>
      <c r="AH20" s="179">
        <f>'35a'!O34</f>
        <v>7</v>
      </c>
      <c r="AI20" s="291">
        <v>16.38</v>
      </c>
      <c r="AJ20" s="294">
        <f t="shared" si="11"/>
        <v>42.73504273504274</v>
      </c>
    </row>
    <row r="21" spans="1:36">
      <c r="A21" s="295">
        <v>1997</v>
      </c>
      <c r="B21" s="186">
        <f>'35a'!D35</f>
        <v>6.4685345833941339</v>
      </c>
      <c r="C21" s="180">
        <v>15.58</v>
      </c>
      <c r="D21" s="294">
        <f t="shared" si="1"/>
        <v>41.518193731669669</v>
      </c>
      <c r="E21" s="181"/>
      <c r="F21" s="181"/>
      <c r="G21" s="179">
        <f>'35a'!F35</f>
        <v>5.25</v>
      </c>
      <c r="H21" s="725">
        <v>13.54</v>
      </c>
      <c r="I21" s="294">
        <f t="shared" si="2"/>
        <v>38.774002954209749</v>
      </c>
      <c r="J21" s="179">
        <f>'35a'!G35</f>
        <v>5.4</v>
      </c>
      <c r="K21" s="725">
        <v>12.08</v>
      </c>
      <c r="L21" s="294">
        <f t="shared" si="3"/>
        <v>44.701986754966889</v>
      </c>
      <c r="M21" s="179">
        <f>'35a'!H35</f>
        <v>5.5</v>
      </c>
      <c r="N21" s="725">
        <v>13.33</v>
      </c>
      <c r="O21" s="294">
        <f t="shared" si="4"/>
        <v>41.260315078769693</v>
      </c>
      <c r="P21" s="179">
        <f>'35a'!I35</f>
        <v>5.5</v>
      </c>
      <c r="Q21" s="725">
        <v>13.54</v>
      </c>
      <c r="R21" s="294">
        <v>45.2561983471074</v>
      </c>
      <c r="S21" s="179">
        <f>'35a'!J35</f>
        <v>6.8</v>
      </c>
      <c r="T21" s="725">
        <v>15.41</v>
      </c>
      <c r="U21" s="294">
        <f t="shared" si="6"/>
        <v>44.127190136275146</v>
      </c>
      <c r="V21" s="179">
        <f>'35a'!K35</f>
        <v>6.85</v>
      </c>
      <c r="W21" s="725">
        <v>16.09</v>
      </c>
      <c r="X21" s="294">
        <f t="shared" si="7"/>
        <v>42.57302672467371</v>
      </c>
      <c r="Y21" s="179">
        <f>'35a'!L35</f>
        <v>5.4</v>
      </c>
      <c r="Z21" s="725">
        <v>13.91</v>
      </c>
      <c r="AA21" s="294">
        <f t="shared" si="8"/>
        <v>38.820992092020127</v>
      </c>
      <c r="AB21" s="179">
        <f>'35a'!M35</f>
        <v>5.6</v>
      </c>
      <c r="AC21" s="725">
        <v>14.35</v>
      </c>
      <c r="AD21" s="294">
        <f t="shared" si="9"/>
        <v>39.024390243902438</v>
      </c>
      <c r="AE21" s="179">
        <f>'35a'!N35</f>
        <v>5</v>
      </c>
      <c r="AF21" s="725">
        <v>15.07</v>
      </c>
      <c r="AG21" s="294">
        <f t="shared" si="10"/>
        <v>33.178500331785003</v>
      </c>
      <c r="AH21" s="179">
        <f>'35a'!O35</f>
        <v>7</v>
      </c>
      <c r="AI21" s="291">
        <v>16.52</v>
      </c>
      <c r="AJ21" s="294">
        <f t="shared" si="11"/>
        <v>42.372881355932208</v>
      </c>
    </row>
    <row r="22" spans="1:36">
      <c r="A22" s="295">
        <v>1998</v>
      </c>
      <c r="B22" s="186">
        <f>'35a'!D36</f>
        <v>6.5520955845709157</v>
      </c>
      <c r="C22" s="180">
        <v>15.77</v>
      </c>
      <c r="D22" s="294">
        <f t="shared" si="1"/>
        <v>41.547847714463636</v>
      </c>
      <c r="E22" s="181"/>
      <c r="F22" s="181"/>
      <c r="G22" s="179">
        <f>'35a'!F36</f>
        <v>5.25</v>
      </c>
      <c r="H22" s="725">
        <v>14.2</v>
      </c>
      <c r="I22" s="294">
        <f t="shared" si="2"/>
        <v>36.971830985915496</v>
      </c>
      <c r="J22" s="179">
        <f>'35a'!G36</f>
        <v>5.4</v>
      </c>
      <c r="K22" s="725">
        <v>12.36</v>
      </c>
      <c r="L22" s="294">
        <f t="shared" si="3"/>
        <v>43.689320388349515</v>
      </c>
      <c r="M22" s="179">
        <f>'35a'!H36</f>
        <v>5.5</v>
      </c>
      <c r="N22" s="725">
        <v>13.91</v>
      </c>
      <c r="O22" s="294">
        <f t="shared" si="4"/>
        <v>39.539899352983468</v>
      </c>
      <c r="P22" s="179">
        <f>'35a'!I36</f>
        <v>5.5</v>
      </c>
      <c r="Q22" s="725">
        <v>13.95</v>
      </c>
      <c r="R22" s="294">
        <v>46.2561983471074</v>
      </c>
      <c r="S22" s="179">
        <f>'35a'!J36</f>
        <v>6.9</v>
      </c>
      <c r="T22" s="725">
        <v>15.22</v>
      </c>
      <c r="U22" s="294">
        <f t="shared" si="6"/>
        <v>45.335085413929043</v>
      </c>
      <c r="V22" s="179">
        <f>'35a'!K36</f>
        <v>6.85</v>
      </c>
      <c r="W22" s="725">
        <v>16.420000000000002</v>
      </c>
      <c r="X22" s="294">
        <f t="shared" si="7"/>
        <v>41.717417783191223</v>
      </c>
      <c r="Y22" s="179">
        <f>'35a'!L36</f>
        <v>5.4</v>
      </c>
      <c r="Z22" s="725">
        <v>14.14</v>
      </c>
      <c r="AA22" s="294">
        <f t="shared" si="8"/>
        <v>38.189533239038191</v>
      </c>
      <c r="AB22" s="179">
        <f>'35a'!M36</f>
        <v>5.6</v>
      </c>
      <c r="AC22" s="725">
        <v>14.59</v>
      </c>
      <c r="AD22" s="294">
        <f t="shared" si="9"/>
        <v>38.382453735435227</v>
      </c>
      <c r="AE22" s="179">
        <f>'35a'!N36</f>
        <v>5.4</v>
      </c>
      <c r="AF22" s="725">
        <v>15.85</v>
      </c>
      <c r="AG22" s="294">
        <f t="shared" si="10"/>
        <v>34.069400630914828</v>
      </c>
      <c r="AH22" s="179">
        <f>'35a'!O36</f>
        <v>7.15</v>
      </c>
      <c r="AI22" s="291">
        <v>16.420000000000002</v>
      </c>
      <c r="AJ22" s="294">
        <f t="shared" si="11"/>
        <v>43.544457978075513</v>
      </c>
    </row>
    <row r="23" spans="1:36">
      <c r="A23" s="295">
        <v>1999</v>
      </c>
      <c r="B23" s="186">
        <f>'35a'!D37</f>
        <v>6.6356677795747805</v>
      </c>
      <c r="C23" s="180">
        <v>16.04</v>
      </c>
      <c r="D23" s="294">
        <f t="shared" si="1"/>
        <v>41.369499872660732</v>
      </c>
      <c r="E23" s="181"/>
      <c r="F23" s="181"/>
      <c r="G23" s="179">
        <f>'35a'!F37</f>
        <v>5.5</v>
      </c>
      <c r="H23" s="725">
        <v>14.65</v>
      </c>
      <c r="I23" s="294">
        <f t="shared" si="2"/>
        <v>37.542662116040951</v>
      </c>
      <c r="J23" s="179">
        <f>'35a'!G37</f>
        <v>5.4</v>
      </c>
      <c r="K23" s="725">
        <v>12.66</v>
      </c>
      <c r="L23" s="294">
        <f t="shared" si="3"/>
        <v>42.654028436018962</v>
      </c>
      <c r="M23" s="179">
        <f>'35a'!H37</f>
        <v>5.6</v>
      </c>
      <c r="N23" s="725">
        <v>14.24</v>
      </c>
      <c r="O23" s="294">
        <f t="shared" si="4"/>
        <v>39.325842696629209</v>
      </c>
      <c r="P23" s="179">
        <f>'35a'!I37</f>
        <v>5.5</v>
      </c>
      <c r="Q23" s="725">
        <v>14.15</v>
      </c>
      <c r="R23" s="294">
        <v>47.2561983471074</v>
      </c>
      <c r="S23" s="179">
        <f>'35a'!J37</f>
        <v>6.9</v>
      </c>
      <c r="T23" s="725">
        <v>15.19</v>
      </c>
      <c r="U23" s="294">
        <f t="shared" si="6"/>
        <v>45.424621461487824</v>
      </c>
      <c r="V23" s="179">
        <f>'35a'!K37</f>
        <v>6.85</v>
      </c>
      <c r="W23" s="725">
        <v>16.86</v>
      </c>
      <c r="X23" s="294">
        <f t="shared" si="7"/>
        <v>40.628706998813755</v>
      </c>
      <c r="Y23" s="179">
        <f>'35a'!L37</f>
        <v>6</v>
      </c>
      <c r="Z23" s="725">
        <v>14.49</v>
      </c>
      <c r="AA23" s="294">
        <f t="shared" si="8"/>
        <v>41.407867494824011</v>
      </c>
      <c r="AB23" s="179">
        <f>'35a'!M37</f>
        <v>6</v>
      </c>
      <c r="AC23" s="725">
        <v>14.81</v>
      </c>
      <c r="AD23" s="294">
        <f t="shared" si="9"/>
        <v>40.513166779203239</v>
      </c>
      <c r="AE23" s="179">
        <f>'35a'!N37</f>
        <v>5.7750000000000004</v>
      </c>
      <c r="AF23" s="725">
        <v>16.670000000000002</v>
      </c>
      <c r="AG23" s="294">
        <f t="shared" si="10"/>
        <v>34.643071385722855</v>
      </c>
      <c r="AH23" s="179">
        <f>'35a'!O37</f>
        <v>7.15</v>
      </c>
      <c r="AI23" s="291">
        <v>16.21</v>
      </c>
      <c r="AJ23" s="294">
        <f t="shared" si="11"/>
        <v>44.108574953732266</v>
      </c>
    </row>
    <row r="24" spans="1:36">
      <c r="A24" s="295">
        <v>2000</v>
      </c>
      <c r="B24" s="186">
        <f>'35a'!D38</f>
        <v>6.7185648392733777</v>
      </c>
      <c r="C24" s="180">
        <v>16.48</v>
      </c>
      <c r="D24" s="294">
        <f t="shared" si="1"/>
        <v>40.767990529571463</v>
      </c>
      <c r="E24" s="181"/>
      <c r="F24" s="181"/>
      <c r="G24" s="179">
        <f>'35a'!F38</f>
        <v>5.5</v>
      </c>
      <c r="H24" s="725">
        <v>15.04</v>
      </c>
      <c r="I24" s="294">
        <f t="shared" si="2"/>
        <v>36.569148936170215</v>
      </c>
      <c r="J24" s="179">
        <f>'35a'!G38</f>
        <v>5.6</v>
      </c>
      <c r="K24" s="725">
        <v>12.76</v>
      </c>
      <c r="L24" s="294">
        <f t="shared" si="3"/>
        <v>43.887147335423194</v>
      </c>
      <c r="M24" s="179">
        <f>'35a'!H38</f>
        <v>5.7</v>
      </c>
      <c r="N24" s="725">
        <v>14.98</v>
      </c>
      <c r="O24" s="294">
        <f t="shared" si="4"/>
        <v>38.050734312416559</v>
      </c>
      <c r="P24" s="179">
        <f>'35a'!I38</f>
        <v>5.75</v>
      </c>
      <c r="Q24" s="725">
        <v>14.73</v>
      </c>
      <c r="R24" s="294">
        <v>48.2561983471074</v>
      </c>
      <c r="S24" s="179">
        <f>'35a'!J38</f>
        <v>6.9</v>
      </c>
      <c r="T24" s="725">
        <v>15.62</v>
      </c>
      <c r="U24" s="294">
        <f t="shared" si="6"/>
        <v>44.174135723431505</v>
      </c>
      <c r="V24" s="179">
        <f>'35a'!K38</f>
        <v>6.85</v>
      </c>
      <c r="W24" s="725">
        <v>17.3</v>
      </c>
      <c r="X24" s="294">
        <f t="shared" si="7"/>
        <v>39.595375722543345</v>
      </c>
      <c r="Y24" s="179">
        <f>'35a'!L38</f>
        <v>6</v>
      </c>
      <c r="Z24" s="725">
        <v>14.84</v>
      </c>
      <c r="AA24" s="294">
        <f t="shared" si="8"/>
        <v>40.431266846361183</v>
      </c>
      <c r="AB24" s="179">
        <f>'35a'!M38</f>
        <v>6</v>
      </c>
      <c r="AC24" s="725">
        <v>15.17</v>
      </c>
      <c r="AD24" s="294">
        <f t="shared" si="9"/>
        <v>39.55174686882004</v>
      </c>
      <c r="AE24" s="179">
        <f>'35a'!N38</f>
        <v>5.9</v>
      </c>
      <c r="AF24" s="725">
        <v>16.86</v>
      </c>
      <c r="AG24" s="294">
        <f t="shared" si="10"/>
        <v>34.994068801897988</v>
      </c>
      <c r="AH24" s="179">
        <f>'35a'!O38</f>
        <v>7.6</v>
      </c>
      <c r="AI24" s="291">
        <v>16.82</v>
      </c>
      <c r="AJ24" s="294">
        <f t="shared" si="11"/>
        <v>45.184304399524372</v>
      </c>
    </row>
    <row r="25" spans="1:36">
      <c r="A25" s="295">
        <v>2001</v>
      </c>
      <c r="B25" s="186">
        <f>'35a'!D39</f>
        <v>6.8072610429406808</v>
      </c>
      <c r="C25" s="180">
        <v>16.34</v>
      </c>
      <c r="D25" s="294">
        <f t="shared" si="1"/>
        <v>41.660104301962555</v>
      </c>
      <c r="E25" s="181"/>
      <c r="F25" s="181"/>
      <c r="G25" s="179">
        <f>'35a'!F39</f>
        <v>5.5</v>
      </c>
      <c r="H25" s="725">
        <v>15.22</v>
      </c>
      <c r="I25" s="294">
        <f t="shared" si="2"/>
        <v>36.136662286465175</v>
      </c>
      <c r="J25" s="179">
        <f>'35a'!G39</f>
        <v>5.8</v>
      </c>
      <c r="K25" s="725">
        <v>13.32</v>
      </c>
      <c r="L25" s="294">
        <f t="shared" si="3"/>
        <v>43.543543543543542</v>
      </c>
      <c r="M25" s="179">
        <f>'35a'!H39</f>
        <v>5.8</v>
      </c>
      <c r="N25" s="725">
        <v>14.87</v>
      </c>
      <c r="O25" s="294">
        <f t="shared" si="4"/>
        <v>39.004707464694015</v>
      </c>
      <c r="P25" s="179">
        <f>'35a'!I39</f>
        <v>5.9</v>
      </c>
      <c r="Q25" s="725">
        <v>14.61</v>
      </c>
      <c r="R25" s="294">
        <v>49.2561983471074</v>
      </c>
      <c r="S25" s="179">
        <f>'35a'!J39</f>
        <v>7</v>
      </c>
      <c r="T25" s="725">
        <v>15.55</v>
      </c>
      <c r="U25" s="294">
        <f t="shared" si="6"/>
        <v>45.016077170418008</v>
      </c>
      <c r="V25" s="179">
        <f>'35a'!K39</f>
        <v>6.85</v>
      </c>
      <c r="W25" s="725">
        <v>17.05</v>
      </c>
      <c r="X25" s="294">
        <f t="shared" si="7"/>
        <v>40.175953079178882</v>
      </c>
      <c r="Y25" s="179">
        <f>'35a'!L39</f>
        <v>6.25</v>
      </c>
      <c r="Z25" s="725">
        <v>14.7</v>
      </c>
      <c r="AA25" s="294">
        <f t="shared" si="8"/>
        <v>42.517006802721092</v>
      </c>
      <c r="AB25" s="179">
        <f>'35a'!M39</f>
        <v>6</v>
      </c>
      <c r="AC25" s="725">
        <v>15.19</v>
      </c>
      <c r="AD25" s="294">
        <f t="shared" si="9"/>
        <v>39.499670836076369</v>
      </c>
      <c r="AE25" s="179">
        <f>'35a'!N39</f>
        <v>5.9</v>
      </c>
      <c r="AF25" s="725">
        <v>16.86</v>
      </c>
      <c r="AG25" s="294">
        <f t="shared" si="10"/>
        <v>34.994068801897988</v>
      </c>
      <c r="AH25" s="179">
        <f>'35a'!O39</f>
        <v>8</v>
      </c>
      <c r="AI25" s="291">
        <v>16.670000000000002</v>
      </c>
      <c r="AJ25" s="294">
        <f t="shared" si="11"/>
        <v>47.990401919616069</v>
      </c>
    </row>
    <row r="26" spans="1:36">
      <c r="A26" s="295">
        <v>2002</v>
      </c>
      <c r="B26" s="186">
        <f>'35a'!D40</f>
        <v>6.8925919636325625</v>
      </c>
      <c r="C26" s="180">
        <v>16.649999999999999</v>
      </c>
      <c r="D26" s="294">
        <f t="shared" si="1"/>
        <v>41.396948730525907</v>
      </c>
      <c r="E26" s="181"/>
      <c r="F26" s="181"/>
      <c r="G26" s="179">
        <f>'35a'!F40</f>
        <v>5.875</v>
      </c>
      <c r="H26" s="725">
        <v>15.74</v>
      </c>
      <c r="I26" s="294">
        <f t="shared" si="2"/>
        <v>37.325285895806857</v>
      </c>
      <c r="J26" s="179">
        <f>'35a'!G40</f>
        <v>6</v>
      </c>
      <c r="K26" s="725">
        <v>13.75</v>
      </c>
      <c r="L26" s="294">
        <f t="shared" si="3"/>
        <v>43.636363636363633</v>
      </c>
      <c r="M26" s="179">
        <f>'35a'!H40</f>
        <v>6</v>
      </c>
      <c r="N26" s="725">
        <v>15.24</v>
      </c>
      <c r="O26" s="294">
        <f t="shared" si="4"/>
        <v>39.370078740157474</v>
      </c>
      <c r="P26" s="179">
        <f>'35a'!I40</f>
        <v>6</v>
      </c>
      <c r="Q26" s="725">
        <v>15.09</v>
      </c>
      <c r="R26" s="294">
        <v>50.2561983471074</v>
      </c>
      <c r="S26" s="179">
        <f>'35a'!J40</f>
        <v>7.2</v>
      </c>
      <c r="T26" s="725">
        <v>15.88</v>
      </c>
      <c r="U26" s="294">
        <f t="shared" si="6"/>
        <v>45.340050377833748</v>
      </c>
      <c r="V26" s="179">
        <f>'35a'!K40</f>
        <v>6.85</v>
      </c>
      <c r="W26" s="725">
        <v>17.329999999999998</v>
      </c>
      <c r="X26" s="294">
        <f t="shared" si="7"/>
        <v>39.526832083092906</v>
      </c>
      <c r="Y26" s="179">
        <f>'35a'!L40</f>
        <v>6.5</v>
      </c>
      <c r="Z26" s="725">
        <v>15.23</v>
      </c>
      <c r="AA26" s="294">
        <f t="shared" si="8"/>
        <v>42.67892317793828</v>
      </c>
      <c r="AB26" s="179">
        <f>'35a'!M40</f>
        <v>6.5</v>
      </c>
      <c r="AC26" s="725">
        <v>15.35</v>
      </c>
      <c r="AD26" s="294">
        <f t="shared" si="9"/>
        <v>42.34527687296417</v>
      </c>
      <c r="AE26" s="179">
        <f>'35a'!N40</f>
        <v>5.9</v>
      </c>
      <c r="AF26" s="725">
        <v>17.18</v>
      </c>
      <c r="AG26" s="294">
        <f t="shared" si="10"/>
        <v>34.342258440046571</v>
      </c>
      <c r="AH26" s="179">
        <f>'35a'!O40</f>
        <v>8</v>
      </c>
      <c r="AI26" s="291">
        <v>16.93</v>
      </c>
      <c r="AJ26" s="294">
        <f t="shared" si="11"/>
        <v>47.253396337861787</v>
      </c>
    </row>
    <row r="27" spans="1:36">
      <c r="A27" s="295">
        <v>2003</v>
      </c>
      <c r="B27" s="186">
        <f>'35a'!D41</f>
        <v>6.9391796354076938</v>
      </c>
      <c r="C27" s="180">
        <v>17.170000000000002</v>
      </c>
      <c r="D27" s="294">
        <f t="shared" si="1"/>
        <v>40.414558156131001</v>
      </c>
      <c r="E27" s="181"/>
      <c r="F27" s="181"/>
      <c r="G27" s="179">
        <f>'35a'!F41</f>
        <v>6</v>
      </c>
      <c r="H27" s="725">
        <v>16.91</v>
      </c>
      <c r="I27" s="294">
        <f t="shared" si="2"/>
        <v>35.481963335304549</v>
      </c>
      <c r="J27" s="179">
        <f>'35a'!G41</f>
        <v>6.25</v>
      </c>
      <c r="K27" s="725">
        <v>14</v>
      </c>
      <c r="L27" s="294">
        <f t="shared" si="3"/>
        <v>44.642857142857146</v>
      </c>
      <c r="M27" s="179">
        <f>'35a'!H41</f>
        <v>6.25</v>
      </c>
      <c r="N27" s="725">
        <v>15.64</v>
      </c>
      <c r="O27" s="294">
        <f t="shared" si="4"/>
        <v>39.961636828644501</v>
      </c>
      <c r="P27" s="179">
        <f>'35a'!I41</f>
        <v>6</v>
      </c>
      <c r="Q27" s="725">
        <v>15.63</v>
      </c>
      <c r="R27" s="294">
        <v>51.2561983471074</v>
      </c>
      <c r="S27" s="179">
        <f>'35a'!J41</f>
        <v>7.3</v>
      </c>
      <c r="T27" s="725">
        <v>16.239999999999998</v>
      </c>
      <c r="U27" s="294">
        <f t="shared" si="6"/>
        <v>44.950738916256164</v>
      </c>
      <c r="V27" s="179">
        <f>'35a'!K41</f>
        <v>6.85</v>
      </c>
      <c r="W27" s="725">
        <v>17.88</v>
      </c>
      <c r="X27" s="294">
        <f t="shared" si="7"/>
        <v>38.31096196868009</v>
      </c>
      <c r="Y27" s="179">
        <f>'35a'!L41</f>
        <v>6.75</v>
      </c>
      <c r="Z27" s="725">
        <v>15.66</v>
      </c>
      <c r="AA27" s="294">
        <f t="shared" si="8"/>
        <v>43.103448275862064</v>
      </c>
      <c r="AB27" s="179">
        <f>'35a'!M41</f>
        <v>6.65</v>
      </c>
      <c r="AC27" s="725">
        <v>16.02</v>
      </c>
      <c r="AD27" s="294">
        <f t="shared" si="9"/>
        <v>41.510611735330841</v>
      </c>
      <c r="AE27" s="179">
        <f>'35a'!N41</f>
        <v>5.9</v>
      </c>
      <c r="AF27" s="725">
        <v>18.03</v>
      </c>
      <c r="AG27" s="294">
        <f t="shared" si="10"/>
        <v>32.723239046034386</v>
      </c>
      <c r="AH27" s="179">
        <f>'35a'!O41</f>
        <v>8</v>
      </c>
      <c r="AI27" s="291">
        <v>17.309999999999999</v>
      </c>
      <c r="AJ27" s="294">
        <f t="shared" si="11"/>
        <v>46.216060080878108</v>
      </c>
    </row>
    <row r="28" spans="1:36">
      <c r="A28" s="295">
        <v>2004</v>
      </c>
      <c r="B28" s="186">
        <f>'35a'!D42</f>
        <v>7.1138975982943506</v>
      </c>
      <c r="C28" s="180">
        <v>17.690000000000001</v>
      </c>
      <c r="D28" s="294">
        <f t="shared" si="1"/>
        <v>40.214231759719333</v>
      </c>
      <c r="E28" s="181"/>
      <c r="F28" s="181"/>
      <c r="G28" s="179">
        <f>'35a'!F42</f>
        <v>6</v>
      </c>
      <c r="H28" s="725">
        <v>17.41</v>
      </c>
      <c r="I28" s="294">
        <f t="shared" si="2"/>
        <v>34.46295232624928</v>
      </c>
      <c r="J28" s="179">
        <f>'35a'!G42</f>
        <v>6.5</v>
      </c>
      <c r="K28" s="725">
        <v>14.68</v>
      </c>
      <c r="L28" s="294">
        <f t="shared" si="3"/>
        <v>44.277929155313352</v>
      </c>
      <c r="M28" s="179">
        <f>'35a'!H42</f>
        <v>6.5</v>
      </c>
      <c r="N28" s="725">
        <v>16.059999999999999</v>
      </c>
      <c r="O28" s="294">
        <f t="shared" si="4"/>
        <v>40.473225404732254</v>
      </c>
      <c r="P28" s="179">
        <f>'35a'!I42</f>
        <v>6.2</v>
      </c>
      <c r="Q28" s="725">
        <v>15.71</v>
      </c>
      <c r="R28" s="294">
        <v>52.2561983471074</v>
      </c>
      <c r="S28" s="179">
        <f>'35a'!J42</f>
        <v>7.45</v>
      </c>
      <c r="T28" s="725">
        <v>16.79</v>
      </c>
      <c r="U28" s="294">
        <f t="shared" si="6"/>
        <v>44.371649791542588</v>
      </c>
      <c r="V28" s="179">
        <f>'35a'!K42</f>
        <v>7.15</v>
      </c>
      <c r="W28" s="725">
        <v>18.43</v>
      </c>
      <c r="X28" s="294">
        <f t="shared" si="7"/>
        <v>38.795442213781875</v>
      </c>
      <c r="Y28" s="179">
        <f>'35a'!L42</f>
        <v>7</v>
      </c>
      <c r="Z28" s="725">
        <v>16.34</v>
      </c>
      <c r="AA28" s="294">
        <f t="shared" si="8"/>
        <v>42.83965728274174</v>
      </c>
      <c r="AB28" s="179">
        <f>'35a'!M42</f>
        <v>6.65</v>
      </c>
      <c r="AC28" s="725">
        <v>16.5</v>
      </c>
      <c r="AD28" s="294">
        <f t="shared" si="9"/>
        <v>40.303030303030305</v>
      </c>
      <c r="AE28" s="179">
        <f>'35a'!N42</f>
        <v>5.9</v>
      </c>
      <c r="AF28" s="725">
        <v>18.46</v>
      </c>
      <c r="AG28" s="294">
        <f t="shared" si="10"/>
        <v>31.960996749729141</v>
      </c>
      <c r="AH28" s="179">
        <f>'35a'!O42</f>
        <v>8</v>
      </c>
      <c r="AI28" s="291">
        <v>17.739999999999998</v>
      </c>
      <c r="AJ28" s="294">
        <f t="shared" si="11"/>
        <v>45.095828635851184</v>
      </c>
    </row>
    <row r="29" spans="1:36">
      <c r="A29" s="295">
        <v>2005</v>
      </c>
      <c r="B29" s="186">
        <f>'35a'!D43</f>
        <v>7.4267370452141979</v>
      </c>
      <c r="C29" s="180">
        <v>18.3</v>
      </c>
      <c r="D29" s="294">
        <f t="shared" si="1"/>
        <v>40.583262542154088</v>
      </c>
      <c r="E29" s="181"/>
      <c r="F29" s="181"/>
      <c r="G29" s="179">
        <f>'35a'!F43</f>
        <v>6.25</v>
      </c>
      <c r="H29" s="725">
        <v>18.02</v>
      </c>
      <c r="I29" s="294">
        <f t="shared" si="2"/>
        <v>34.683684794672587</v>
      </c>
      <c r="J29" s="179">
        <f>'35a'!G43</f>
        <v>6.8</v>
      </c>
      <c r="K29" s="725">
        <v>15.52</v>
      </c>
      <c r="L29" s="294">
        <f t="shared" si="3"/>
        <v>43.814432989690722</v>
      </c>
      <c r="M29" s="179">
        <f>'35a'!H43</f>
        <v>6.8</v>
      </c>
      <c r="N29" s="725">
        <v>16.75</v>
      </c>
      <c r="O29" s="294">
        <f t="shared" si="4"/>
        <v>40.597014925373131</v>
      </c>
      <c r="P29" s="179">
        <f>'35a'!I43</f>
        <v>6.3</v>
      </c>
      <c r="Q29" s="725">
        <v>16.34</v>
      </c>
      <c r="R29" s="294">
        <v>53.2561983471074</v>
      </c>
      <c r="S29" s="179">
        <f>'35a'!J43</f>
        <v>7.6</v>
      </c>
      <c r="T29" s="725">
        <v>17.36</v>
      </c>
      <c r="U29" s="294">
        <f t="shared" si="6"/>
        <v>43.778801843317972</v>
      </c>
      <c r="V29" s="179">
        <f>'35a'!K43</f>
        <v>7.45</v>
      </c>
      <c r="W29" s="725">
        <v>18.87</v>
      </c>
      <c r="X29" s="294">
        <f t="shared" si="7"/>
        <v>39.480657127715951</v>
      </c>
      <c r="Y29" s="179">
        <f>'35a'!L43</f>
        <v>7.25</v>
      </c>
      <c r="Z29" s="725">
        <v>17.079999999999998</v>
      </c>
      <c r="AA29" s="294">
        <f t="shared" si="8"/>
        <v>42.44730679156909</v>
      </c>
      <c r="AB29" s="179">
        <f>'35a'!M43</f>
        <v>7.05</v>
      </c>
      <c r="AC29" s="725">
        <v>17.45</v>
      </c>
      <c r="AD29" s="294">
        <f t="shared" si="9"/>
        <v>40.401146131805163</v>
      </c>
      <c r="AE29" s="179">
        <f>'35a'!N43</f>
        <v>7</v>
      </c>
      <c r="AF29" s="725">
        <v>19.48</v>
      </c>
      <c r="AG29" s="294">
        <f t="shared" si="10"/>
        <v>35.93429158110883</v>
      </c>
      <c r="AH29" s="179">
        <f>'35a'!O43</f>
        <v>8</v>
      </c>
      <c r="AI29" s="291">
        <v>18.37</v>
      </c>
      <c r="AJ29" s="294">
        <f t="shared" si="11"/>
        <v>43.549265106151331</v>
      </c>
    </row>
    <row r="30" spans="1:36">
      <c r="A30" s="295">
        <v>2006</v>
      </c>
      <c r="B30" s="186">
        <f>'35a'!D44</f>
        <v>7.6326243759213313</v>
      </c>
      <c r="C30" s="180">
        <v>18.760000000000002</v>
      </c>
      <c r="D30" s="294">
        <f>B30/C30*100</f>
        <v>40.685631001712849</v>
      </c>
      <c r="E30" s="181"/>
      <c r="F30" s="181"/>
      <c r="G30" s="179">
        <f>'35a'!F44</f>
        <v>6.75</v>
      </c>
      <c r="H30" s="725">
        <v>18.52</v>
      </c>
      <c r="I30" s="294">
        <f>G30/H30*100</f>
        <v>36.447084233261343</v>
      </c>
      <c r="J30" s="179">
        <f>'35a'!G44</f>
        <v>7.15</v>
      </c>
      <c r="K30" s="725">
        <v>15.71</v>
      </c>
      <c r="L30" s="294">
        <f>J30/K30*100</f>
        <v>45.512412476129853</v>
      </c>
      <c r="M30" s="179">
        <f>'35a'!H44</f>
        <v>7.15</v>
      </c>
      <c r="N30" s="725">
        <v>16.87</v>
      </c>
      <c r="O30" s="294">
        <f>M30/N30*100</f>
        <v>42.382928275044456</v>
      </c>
      <c r="P30" s="179">
        <f>'35a'!I44</f>
        <v>6.7</v>
      </c>
      <c r="Q30" s="725">
        <v>16.77</v>
      </c>
      <c r="R30" s="294">
        <v>53.2561983471074</v>
      </c>
      <c r="S30" s="179">
        <f>'35a'!J44</f>
        <v>7.75</v>
      </c>
      <c r="T30" s="725">
        <v>17.57</v>
      </c>
      <c r="U30" s="294">
        <f>S30/T30*100</f>
        <v>44.109277177006263</v>
      </c>
      <c r="V30" s="179">
        <f>'35a'!K44</f>
        <v>7.75</v>
      </c>
      <c r="W30" s="725">
        <v>19.239999999999998</v>
      </c>
      <c r="X30" s="294">
        <f>V30/W30*100</f>
        <v>40.280665280665282</v>
      </c>
      <c r="Y30" s="179">
        <f>'35a'!L44</f>
        <v>7.6</v>
      </c>
      <c r="Z30" s="725">
        <v>17.399999999999999</v>
      </c>
      <c r="AA30" s="294">
        <f>Y30/Z30*100</f>
        <v>43.678160919540232</v>
      </c>
      <c r="AB30" s="179">
        <f>'35a'!M44</f>
        <v>7.55</v>
      </c>
      <c r="AC30" s="725">
        <v>18.21</v>
      </c>
      <c r="AD30" s="294">
        <f t="shared" si="9"/>
        <v>41.460735859417902</v>
      </c>
      <c r="AE30" s="179">
        <f>'35a'!N44</f>
        <v>7</v>
      </c>
      <c r="AF30" s="725">
        <v>20.65</v>
      </c>
      <c r="AG30" s="294">
        <f t="shared" si="10"/>
        <v>33.898305084745765</v>
      </c>
      <c r="AH30" s="179">
        <f>'35a'!O44</f>
        <v>8</v>
      </c>
      <c r="AI30" s="291">
        <v>18.899999999999999</v>
      </c>
      <c r="AJ30" s="294">
        <f t="shared" si="11"/>
        <v>42.328042328042329</v>
      </c>
    </row>
    <row r="31" spans="1:36">
      <c r="A31" s="295">
        <v>2007</v>
      </c>
      <c r="B31" s="186">
        <f>'35a'!D45</f>
        <v>7.9632268889626703</v>
      </c>
      <c r="C31" s="180">
        <v>19.48</v>
      </c>
      <c r="D31" s="294">
        <f>B31/C31*100</f>
        <v>40.878988136358672</v>
      </c>
      <c r="E31" s="181"/>
      <c r="F31" s="181"/>
      <c r="G31" s="179">
        <f>'35a'!F45</f>
        <v>7.5</v>
      </c>
      <c r="H31" s="725">
        <v>19.02</v>
      </c>
      <c r="I31" s="294">
        <f>G31/H31*100</f>
        <v>39.43217665615142</v>
      </c>
      <c r="J31" s="179">
        <f>'35a'!G45</f>
        <v>7.5</v>
      </c>
      <c r="K31" s="725">
        <v>16.27</v>
      </c>
      <c r="L31" s="294">
        <f>J31/K31*100</f>
        <v>46.097111247695146</v>
      </c>
      <c r="M31" s="179">
        <f>'35a'!H45</f>
        <v>7.6</v>
      </c>
      <c r="N31" s="725">
        <v>17.239999999999998</v>
      </c>
      <c r="O31" s="294">
        <f>M31/N31*100</f>
        <v>44.083526682134568</v>
      </c>
      <c r="P31" s="179">
        <f>'35a'!I45</f>
        <v>7.25</v>
      </c>
      <c r="Q31" s="725">
        <v>17.52</v>
      </c>
      <c r="R31" s="294">
        <v>53.2561983471074</v>
      </c>
      <c r="S31" s="179">
        <f>'35a'!J45</f>
        <v>8</v>
      </c>
      <c r="T31" s="725">
        <v>18.37</v>
      </c>
      <c r="U31" s="294">
        <f>S31/T31*100</f>
        <v>43.549265106151331</v>
      </c>
      <c r="V31" s="179">
        <f>'35a'!K45</f>
        <v>8</v>
      </c>
      <c r="W31" s="725">
        <v>19.87</v>
      </c>
      <c r="X31" s="294">
        <f>V31/W31*100</f>
        <v>40.261701056869654</v>
      </c>
      <c r="Y31" s="179">
        <f>'35a'!L45</f>
        <v>8</v>
      </c>
      <c r="Z31" s="725">
        <v>18.100000000000001</v>
      </c>
      <c r="AA31" s="294">
        <f>Y31/Z31*100</f>
        <v>44.19889502762431</v>
      </c>
      <c r="AB31" s="179">
        <f>'35a'!M45</f>
        <v>7.95</v>
      </c>
      <c r="AC31" s="725">
        <v>19.190000000000001</v>
      </c>
      <c r="AD31" s="294">
        <f>AB31/AC31*100</f>
        <v>41.427826993225636</v>
      </c>
      <c r="AE31" s="179">
        <f>'35a'!N45</f>
        <v>8</v>
      </c>
      <c r="AF31" s="725">
        <v>21.75</v>
      </c>
      <c r="AG31" s="294">
        <f t="shared" si="10"/>
        <v>36.781609195402297</v>
      </c>
      <c r="AH31" s="179">
        <f>'35a'!O45</f>
        <v>8</v>
      </c>
      <c r="AI31" s="291">
        <v>19.41</v>
      </c>
      <c r="AJ31" s="294">
        <f t="shared" si="11"/>
        <v>41.21586810922205</v>
      </c>
    </row>
    <row r="32" spans="1:36" ht="13.5" customHeight="1">
      <c r="A32" s="295">
        <v>2008</v>
      </c>
      <c r="B32" s="186">
        <f>'35a'!D46</f>
        <v>8.4852114937696346</v>
      </c>
      <c r="C32" s="181">
        <v>20.16</v>
      </c>
      <c r="D32" s="294">
        <f>B32/C32*100</f>
        <v>42.089342727031919</v>
      </c>
      <c r="E32" s="179"/>
      <c r="F32" s="179"/>
      <c r="G32" s="179">
        <f>'35a'!F46</f>
        <v>8</v>
      </c>
      <c r="H32" s="179">
        <v>19.48</v>
      </c>
      <c r="I32" s="294">
        <f>G32/H32*100</f>
        <v>41.067761806981515</v>
      </c>
      <c r="J32" s="179">
        <f>'35a'!G46</f>
        <v>7.75</v>
      </c>
      <c r="K32" s="179">
        <v>16.510000000000002</v>
      </c>
      <c r="L32" s="294">
        <f>J32/K32*100</f>
        <v>46.941247728649302</v>
      </c>
      <c r="M32" s="179">
        <f>'35a'!H46</f>
        <v>8.1</v>
      </c>
      <c r="N32" s="179">
        <v>17.829999999999998</v>
      </c>
      <c r="O32" s="294">
        <f>M32/N32*100</f>
        <v>45.429052159282115</v>
      </c>
      <c r="P32" s="179">
        <f>'35a'!I46</f>
        <v>7.75</v>
      </c>
      <c r="Q32" s="179">
        <v>18.2</v>
      </c>
      <c r="R32" s="294">
        <v>54.2561983471074</v>
      </c>
      <c r="S32" s="179">
        <f>'35a'!J46</f>
        <v>8.5</v>
      </c>
      <c r="T32" s="179">
        <v>18.98</v>
      </c>
      <c r="U32" s="294">
        <f>S32/T32*100</f>
        <v>44.783983140147519</v>
      </c>
      <c r="V32" s="179">
        <f>'35a'!K46</f>
        <v>8.75</v>
      </c>
      <c r="W32" s="179">
        <v>20.309999999999999</v>
      </c>
      <c r="X32" s="294">
        <f>V32/W32*100</f>
        <v>43.082225504677503</v>
      </c>
      <c r="Y32" s="179">
        <f>'35a'!L46</f>
        <v>8.5</v>
      </c>
      <c r="Z32" s="179">
        <v>18.75</v>
      </c>
      <c r="AA32" s="294">
        <f>Y32/Z32*100</f>
        <v>45.333333333333329</v>
      </c>
      <c r="AB32" s="179">
        <f>'35a'!M46</f>
        <v>8.6</v>
      </c>
      <c r="AC32" s="179">
        <v>20.12</v>
      </c>
      <c r="AD32" s="294">
        <f>AB32/AC32*100</f>
        <v>42.74353876739562</v>
      </c>
      <c r="AE32" s="179">
        <f>'35a'!N46</f>
        <v>8.4</v>
      </c>
      <c r="AF32" s="179">
        <v>23.14</v>
      </c>
      <c r="AG32" s="294">
        <f t="shared" si="10"/>
        <v>36.300777873811583</v>
      </c>
      <c r="AH32" s="179">
        <f>'35a'!O46</f>
        <v>8</v>
      </c>
      <c r="AI32" s="179">
        <v>20.21</v>
      </c>
      <c r="AJ32" s="294">
        <f t="shared" si="11"/>
        <v>39.584364176150423</v>
      </c>
    </row>
    <row r="33" spans="1:36" s="184" customFormat="1">
      <c r="A33" s="169"/>
      <c r="B33" s="1247" t="s">
        <v>802</v>
      </c>
      <c r="C33" s="1247"/>
      <c r="D33" s="296" t="s">
        <v>803</v>
      </c>
      <c r="E33" s="296"/>
      <c r="F33" s="183"/>
      <c r="G33" s="1247" t="s">
        <v>802</v>
      </c>
      <c r="H33" s="1247"/>
      <c r="I33" s="183" t="s">
        <v>803</v>
      </c>
      <c r="J33" s="1247" t="s">
        <v>802</v>
      </c>
      <c r="K33" s="1247"/>
      <c r="L33" s="183" t="s">
        <v>803</v>
      </c>
      <c r="M33" s="1247" t="s">
        <v>802</v>
      </c>
      <c r="N33" s="1247"/>
      <c r="O33" s="183" t="s">
        <v>803</v>
      </c>
      <c r="P33" s="1247" t="s">
        <v>802</v>
      </c>
      <c r="Q33" s="1247"/>
      <c r="R33" s="183" t="s">
        <v>803</v>
      </c>
      <c r="S33" s="1247" t="s">
        <v>802</v>
      </c>
      <c r="T33" s="1247"/>
      <c r="U33" s="183" t="s">
        <v>803</v>
      </c>
      <c r="V33" s="1247" t="s">
        <v>802</v>
      </c>
      <c r="W33" s="1247"/>
      <c r="X33" s="183" t="s">
        <v>803</v>
      </c>
      <c r="Y33" s="1247" t="s">
        <v>802</v>
      </c>
      <c r="Z33" s="1247"/>
      <c r="AA33" s="183" t="s">
        <v>803</v>
      </c>
      <c r="AB33" s="1247" t="s">
        <v>802</v>
      </c>
      <c r="AC33" s="1247"/>
      <c r="AD33" s="183" t="s">
        <v>803</v>
      </c>
      <c r="AE33" s="1247" t="s">
        <v>802</v>
      </c>
      <c r="AF33" s="1247"/>
      <c r="AG33" s="183" t="s">
        <v>803</v>
      </c>
      <c r="AH33" s="1247" t="s">
        <v>802</v>
      </c>
      <c r="AI33" s="1247"/>
      <c r="AJ33" s="183" t="s">
        <v>803</v>
      </c>
    </row>
    <row r="34" spans="1:36">
      <c r="A34" s="182" t="s">
        <v>1832</v>
      </c>
      <c r="B34" s="179">
        <f>(POWER(B32/B7, 1/25)-1)*100</f>
        <v>3.4105034084614072</v>
      </c>
      <c r="C34" s="179">
        <f>(POWER(C32/C7, 1/25)-1)*100</f>
        <v>2.6935792769888112</v>
      </c>
      <c r="D34" s="179">
        <f>D32-D7</f>
        <v>6.7190942141881962</v>
      </c>
      <c r="E34" s="179"/>
      <c r="F34" s="179"/>
      <c r="G34" s="179">
        <f>(POWER(G32/G7, 1/25)-1)*100</f>
        <v>3.0771373300108262</v>
      </c>
      <c r="H34" s="179">
        <f>(POWER(H32/H7, 1/25)-1)*100</f>
        <v>1.9374380482961584</v>
      </c>
      <c r="I34" s="179">
        <f>I32-I7</f>
        <v>9.9659867286825516</v>
      </c>
      <c r="J34" s="179">
        <f>(POWER(J32/J7, 1/25)-1)*100</f>
        <v>2.9463178171287518</v>
      </c>
      <c r="K34" s="179">
        <f>(POWER(K32/K7, 1/25)-1)*100</f>
        <v>2.133627430065399</v>
      </c>
      <c r="L34" s="179">
        <f>L32-L7</f>
        <v>8.4374901252114114</v>
      </c>
      <c r="M34" s="179">
        <f>(POWER(M32/M7, 1/25)-1)*100</f>
        <v>3.1283691695227489</v>
      </c>
      <c r="N34" s="179">
        <f>(POWER(N32/N7, 1/25)-1)*100</f>
        <v>2.6616706324718908</v>
      </c>
      <c r="O34" s="179">
        <f>O32-O7</f>
        <v>4.8699709798273361</v>
      </c>
      <c r="P34" s="179">
        <f>(POWER(P32/P7, 1/25)-1)*100</f>
        <v>2.8917903700695247</v>
      </c>
      <c r="Q34" s="179">
        <f>(POWER(Q32/Q7, 1/25)-1)*100</f>
        <v>2.8141298605319331</v>
      </c>
      <c r="R34" s="179">
        <f>R32-R7</f>
        <v>12.470052377629898</v>
      </c>
      <c r="S34" s="179">
        <f>(POWER(S32/S7, 1/25)-1)*100</f>
        <v>3.1390603840025344</v>
      </c>
      <c r="T34" s="179">
        <f>(POWER(T32/T7, 1/25)-1)*100</f>
        <v>2.9707117265441285</v>
      </c>
      <c r="U34" s="179">
        <f>U32-U7</f>
        <v>1.7921149931548115</v>
      </c>
      <c r="V34" s="179">
        <f>(POWER(V32/V7, 1/25)-1)*100</f>
        <v>3.8535067014917601</v>
      </c>
      <c r="W34" s="179">
        <f>(POWER(W32/W7, 1/25)-1)*100</f>
        <v>2.8932171246233152</v>
      </c>
      <c r="X34" s="179">
        <f>X32-X7</f>
        <v>8.928533892422351</v>
      </c>
      <c r="Y34" s="179">
        <f>(POWER(Y32/Y7, 1/25)-1)*100</f>
        <v>3.0610012516306906</v>
      </c>
      <c r="Z34" s="179">
        <f>(POWER(Z32/Z7, 1/25)-1)*100</f>
        <v>3.5665647516124777</v>
      </c>
      <c r="AA34" s="179">
        <f>AA32-AA7</f>
        <v>-5.8994556516170462</v>
      </c>
      <c r="AB34" s="179">
        <f>(POWER(AB32/AB7, 1/25)-1)*100</f>
        <v>2.8594933596115535</v>
      </c>
      <c r="AC34" s="179">
        <f>(POWER(AC32/AC7, 1/25)-1)*100</f>
        <v>2.7222835692883862</v>
      </c>
      <c r="AD34" s="179">
        <f>AD32-AD7</f>
        <v>1.4028613093620521</v>
      </c>
      <c r="AE34" s="179">
        <f>(POWER(AE32/AE7, 1/25)-1)*100</f>
        <v>3.22379638087118</v>
      </c>
      <c r="AF34" s="179">
        <f>(POWER(AF32/AF7, 1/25)-1)*100</f>
        <v>3.0112040263335915</v>
      </c>
      <c r="AG34" s="179">
        <f>AG32-AG7</f>
        <v>1.823590735020403</v>
      </c>
      <c r="AH34" s="179">
        <f>(POWER(AH32/AH7, 1/25)-1)*100</f>
        <v>3.3325708801550391</v>
      </c>
      <c r="AI34" s="179">
        <f>(POWER(AI32/AI7, 1/25)-1)*100</f>
        <v>2.4548641310055963</v>
      </c>
      <c r="AJ34" s="179">
        <f>AJ32-AJ7</f>
        <v>7.6022366329296567</v>
      </c>
    </row>
    <row r="35" spans="1:36">
      <c r="A35" s="182" t="s">
        <v>1409</v>
      </c>
      <c r="B35" s="179">
        <f>(POWER(B32/B13, 1/19)-1)*100</f>
        <v>2.9706406369308658</v>
      </c>
      <c r="C35" s="179">
        <f>(POWER(C32/C13, 1/19)-1)*100</f>
        <v>2.4250383887431504</v>
      </c>
      <c r="D35" s="179">
        <f>D32-D13</f>
        <v>4.0411672057192334</v>
      </c>
      <c r="E35" s="179"/>
      <c r="F35" s="179"/>
      <c r="G35" s="179">
        <f>(POWER(G32/G13, 1/19)-1)*100</f>
        <v>3.3850995724012956</v>
      </c>
      <c r="H35" s="179">
        <f>(POWER(H32/H13, 1/19)-1)*100</f>
        <v>1.957713981438447</v>
      </c>
      <c r="I35" s="179">
        <f>I32-I13</f>
        <v>9.5335719732338333</v>
      </c>
      <c r="J35" s="179">
        <f>(POWER(J32/J13, 1/19)-1)*100</f>
        <v>2.9024575326527691</v>
      </c>
      <c r="K35" s="179">
        <f>(POWER(K32/K13, 1/19)-1)*100</f>
        <v>1.752763457370321</v>
      </c>
      <c r="L35" s="179">
        <f>L32-L13</f>
        <v>9.0234168713506762</v>
      </c>
      <c r="M35" s="179">
        <f>(POWER(M32/M13, 1/19)-1)*100</f>
        <v>3.14196355915628</v>
      </c>
      <c r="N35" s="179">
        <f>(POWER(N32/N13, 1/19)-1)*100</f>
        <v>2.4253120982163701</v>
      </c>
      <c r="O35" s="179">
        <f>O32-O13</f>
        <v>5.6366832894578565</v>
      </c>
      <c r="P35" s="179">
        <f>(POWER(P32/P13, 1/19)-1)*100</f>
        <v>3.055141878191292</v>
      </c>
      <c r="Q35" s="179">
        <f>(POWER(Q32/Q13, 1/19)-1)*100</f>
        <v>2.6394094003066915</v>
      </c>
      <c r="R35" s="179">
        <f>R32-R13</f>
        <v>14.821782417476157</v>
      </c>
      <c r="S35" s="179">
        <f>(POWER(S32/S13, 1/19)-1)*100</f>
        <v>2.8321439696972428</v>
      </c>
      <c r="T35" s="179">
        <f>(POWER(T32/T13, 1/19)-1)*100</f>
        <v>2.8525362684520994</v>
      </c>
      <c r="U35" s="179">
        <f>U32-U13</f>
        <v>-0.16903977412636806</v>
      </c>
      <c r="V35" s="179">
        <f>(POWER(V32/V13, 1/19)-1)*100</f>
        <v>2.9891505804288121</v>
      </c>
      <c r="W35" s="179">
        <f>(POWER(W32/W13, 1/19)-1)*100</f>
        <v>2.3039477957387033</v>
      </c>
      <c r="X35" s="179">
        <f>X32-X13</f>
        <v>5.1318963076358628</v>
      </c>
      <c r="Y35" s="179">
        <f>(POWER(Y32/Y13, 1/19)-1)*100</f>
        <v>3.2844150944656869</v>
      </c>
      <c r="Z35" s="179">
        <f>(POWER(Z32/Z13, 1/19)-1)*100</f>
        <v>3.6820498719311923</v>
      </c>
      <c r="AA35" s="179">
        <f>AA32-AA13</f>
        <v>-3.4334918926426141</v>
      </c>
      <c r="AB35" s="179">
        <f>(POWER(AB32/AB13, 1/19)-1)*100</f>
        <v>3.4676351577477726</v>
      </c>
      <c r="AC35" s="179">
        <f>(POWER(AC32/AC13, 1/19)-1)*100</f>
        <v>2.4874439738614695</v>
      </c>
      <c r="AD35" s="179">
        <f>AD32-AD13</f>
        <v>7.071567006943198</v>
      </c>
      <c r="AE35" s="179">
        <f>(POWER(AE32/AE13, 1/19)-1)*100</f>
        <v>3.3395752654503896</v>
      </c>
      <c r="AF35" s="179">
        <f>(POWER(AF32/AF13, 1/19)-1)*100</f>
        <v>3.4737292623122418</v>
      </c>
      <c r="AG35" s="179">
        <f>AG32-AG13</f>
        <v>-0.90591678282286381</v>
      </c>
      <c r="AH35" s="179">
        <f>(POWER(AH32/AH13, 1/19)-1)*100</f>
        <v>2.781653190049127</v>
      </c>
      <c r="AI35" s="179">
        <f>(POWER(AI32/AI13, 1/19)-1)*100</f>
        <v>2.7390440663743743</v>
      </c>
      <c r="AJ35" s="179">
        <f>AJ32-AJ13</f>
        <v>0.31063092748073018</v>
      </c>
    </row>
    <row r="36" spans="1:36">
      <c r="A36" s="182" t="s">
        <v>277</v>
      </c>
      <c r="B36" s="179">
        <f>(POWER(B13/B7, 1/6)-1)*100</f>
        <v>4.8158364915675822</v>
      </c>
      <c r="C36" s="179">
        <f>(POWER(C13/C7, 1/6)-1)*100</f>
        <v>3.5486124525989871</v>
      </c>
      <c r="D36" s="179">
        <f>D13-D7</f>
        <v>2.6779270084689628</v>
      </c>
      <c r="E36" s="179"/>
      <c r="F36" s="179"/>
      <c r="G36" s="179">
        <f>(POWER(G13/G7, 1/6)-1)*100</f>
        <v>2.1079625425384885</v>
      </c>
      <c r="H36" s="179">
        <f>(POWER(H13/H7, 1/6)-1)*100</f>
        <v>1.8732575241501515</v>
      </c>
      <c r="I36" s="179">
        <f>I13-I7</f>
        <v>0.43241475544871832</v>
      </c>
      <c r="J36" s="179">
        <f>(POWER(J13/J7, 1/6)-1)*100</f>
        <v>3.0853320886444546</v>
      </c>
      <c r="K36" s="179">
        <f>(POWER(K13/K7, 1/6)-1)*100</f>
        <v>3.3491270399279793</v>
      </c>
      <c r="L36" s="179">
        <f>L13-L7</f>
        <v>-0.58592674613926476</v>
      </c>
      <c r="M36" s="179">
        <f>(POWER(M13/M7, 1/6)-1)*100</f>
        <v>3.0853320886444546</v>
      </c>
      <c r="N36" s="179">
        <f>(POWER(N13/N7, 1/6)-1)*100</f>
        <v>3.4137436171973068</v>
      </c>
      <c r="O36" s="179">
        <f>O13-O7</f>
        <v>-0.76671230963052039</v>
      </c>
      <c r="P36" s="179">
        <f>(POWER(P13/P7, 1/6)-1)*100</f>
        <v>2.3762168359080738</v>
      </c>
      <c r="Q36" s="179">
        <f>(POWER(Q13/Q7, 1/6)-1)*100</f>
        <v>3.3693758917945349</v>
      </c>
      <c r="R36" s="179">
        <f>R13-R7</f>
        <v>-2.3517300398462595</v>
      </c>
      <c r="S36" s="179">
        <f>(POWER(S13/S7, 1/6)-1)*100</f>
        <v>4.1170186770259853</v>
      </c>
      <c r="T36" s="179">
        <f>(POWER(T13/T7, 1/6)-1)*100</f>
        <v>3.3458305327130233</v>
      </c>
      <c r="U36" s="179">
        <f>U13-U7</f>
        <v>1.9611547672811795</v>
      </c>
      <c r="V36" s="179">
        <f>(POWER(V13/V7, 1/6)-1)*100</f>
        <v>6.6387832715179007</v>
      </c>
      <c r="W36" s="179">
        <f>(POWER(W13/W7, 1/6)-1)*100</f>
        <v>4.7817221547664657</v>
      </c>
      <c r="X36" s="179">
        <f>X13-X7</f>
        <v>3.7966375847864882</v>
      </c>
      <c r="Y36" s="179">
        <f>(POWER(Y13/Y7, 1/6)-1)*100</f>
        <v>2.3567073118145654</v>
      </c>
      <c r="Z36" s="179">
        <f>(POWER(Z13/Z7, 1/6)-1)*100</f>
        <v>3.2017098010112655</v>
      </c>
      <c r="AA36" s="179">
        <f>AA13-AA7</f>
        <v>-2.4659637589744321</v>
      </c>
      <c r="AB36" s="179">
        <f>(POWER(AB13/AB7, 1/6)-1)*100</f>
        <v>0.9571922911484787</v>
      </c>
      <c r="AC36" s="179">
        <f>(POWER(AC13/AC7, 1/6)-1)*100</f>
        <v>3.4694982058108614</v>
      </c>
      <c r="AD36" s="179">
        <f>AD13-AD7</f>
        <v>-5.6687056975811458</v>
      </c>
      <c r="AE36" s="179">
        <f>(POWER(AE13/AE7, 1/6)-1)*100</f>
        <v>2.8580183164757855</v>
      </c>
      <c r="AF36" s="179">
        <f>(POWER(AF13/AF7, 1/6)-1)*100</f>
        <v>1.56013641115611</v>
      </c>
      <c r="AG36" s="179">
        <f>AG13-AG7</f>
        <v>2.7295075178432668</v>
      </c>
      <c r="AH36" s="179">
        <f>(POWER(AH13/AH7, 1/6)-1)*100</f>
        <v>5.0967004445368946</v>
      </c>
      <c r="AI36" s="179">
        <f>(POWER(AI13/AI7, 1/6)-1)*100</f>
        <v>1.56013641115611</v>
      </c>
      <c r="AJ36" s="179">
        <f>AJ13-AJ7</f>
        <v>7.2916057054489265</v>
      </c>
    </row>
    <row r="37" spans="1:36">
      <c r="A37" s="182" t="s">
        <v>449</v>
      </c>
      <c r="B37" s="179">
        <f>(POWER(B32/B24, 1/8)-1)*100</f>
        <v>2.9611227777310622</v>
      </c>
      <c r="C37" s="179">
        <f>(POWER(C32/C24, 1/8)-1)*100</f>
        <v>2.5514168723714814</v>
      </c>
      <c r="D37" s="179">
        <f>D32-D24</f>
        <v>1.3213521974604561</v>
      </c>
      <c r="E37" s="179"/>
      <c r="F37" s="179"/>
      <c r="G37" s="179">
        <f>(POWER(G32/G24, 1/8)-1)*100</f>
        <v>4.7950845007639131</v>
      </c>
      <c r="H37" s="179">
        <f>(POWER(H32/H24, 1/8)-1)*100</f>
        <v>3.2862808451713299</v>
      </c>
      <c r="I37" s="179">
        <f>I32-I24</f>
        <v>4.4986128708113</v>
      </c>
      <c r="J37" s="179">
        <f>(POWER(J32/J24, 1/8)-1)*100</f>
        <v>4.1451882753512193</v>
      </c>
      <c r="K37" s="179">
        <f>(POWER(K32/K24, 1/8)-1)*100</f>
        <v>3.2730610514740022</v>
      </c>
      <c r="L37" s="179">
        <f>L32-L24</f>
        <v>3.0541003932261077</v>
      </c>
      <c r="M37" s="179">
        <f>(POWER(M32/M24, 1/8)-1)*100</f>
        <v>4.4903708144364396</v>
      </c>
      <c r="N37" s="179">
        <f>(POWER(N32/N24, 1/8)-1)*100</f>
        <v>2.2009519914790943</v>
      </c>
      <c r="O37" s="179">
        <f>O32-O24</f>
        <v>7.3783178468655564</v>
      </c>
      <c r="P37" s="179">
        <f>(POWER(P32/P24, 1/8)-1)*100</f>
        <v>3.8016440831384557</v>
      </c>
      <c r="Q37" s="179">
        <f>(POWER(Q32/Q24, 1/8)-1)*100</f>
        <v>2.6794609762015753</v>
      </c>
      <c r="R37" s="179">
        <f>R32-R24</f>
        <v>6</v>
      </c>
      <c r="S37" s="179">
        <f>(POWER(S32/S24, 1/8)-1)*100</f>
        <v>2.6410838499785649</v>
      </c>
      <c r="T37" s="179">
        <f>(POWER(T32/T24, 1/8)-1)*100</f>
        <v>2.4653192027901172</v>
      </c>
      <c r="U37" s="179">
        <f>U32-U24</f>
        <v>0.60984741671601483</v>
      </c>
      <c r="V37" s="179">
        <f>(POWER(V32/V24, 1/8)-1)*100</f>
        <v>3.1073642812364577</v>
      </c>
      <c r="W37" s="179">
        <f>(POWER(W32/W24, 1/8)-1)*100</f>
        <v>2.0253228032533821</v>
      </c>
      <c r="X37" s="179">
        <f>X32-X24</f>
        <v>3.4868497821341577</v>
      </c>
      <c r="Y37" s="179">
        <f>(POWER(Y32/Y24, 1/8)-1)*100</f>
        <v>4.4500036316266645</v>
      </c>
      <c r="Z37" s="179">
        <f>(POWER(Z32/Z24, 1/8)-1)*100</f>
        <v>2.9664930718410476</v>
      </c>
      <c r="AA37" s="179">
        <f>AA32-AA24</f>
        <v>4.9020664869721458</v>
      </c>
      <c r="AB37" s="179">
        <f>(POWER(AB32/AB24, 1/8)-1)*100</f>
        <v>4.6028217392905635</v>
      </c>
      <c r="AC37" s="179">
        <f>(POWER(AC32/AC24, 1/8)-1)*100</f>
        <v>3.5929735834728582</v>
      </c>
      <c r="AD37" s="179">
        <f>AD32-AD24</f>
        <v>3.1917918985755804</v>
      </c>
      <c r="AE37" s="179">
        <f>(POWER(AE32/AE24, 1/8)-1)*100</f>
        <v>4.5149481168380134</v>
      </c>
      <c r="AF37" s="179">
        <f>(POWER(AF32/AF24, 1/8)-1)*100</f>
        <v>4.0370964460675784</v>
      </c>
      <c r="AG37" s="179">
        <f>AG32-AG24</f>
        <v>1.3067090719135948</v>
      </c>
      <c r="AH37" s="179">
        <f>(POWER(AH32/AH24, 1/8)-1)*100</f>
        <v>0.64322605023947599</v>
      </c>
      <c r="AI37" s="179">
        <f>(POWER(AI32/AI24, 1/8)-1)*100</f>
        <v>2.3216512868760919</v>
      </c>
      <c r="AJ37" s="179">
        <f>AJ32-AJ24</f>
        <v>-5.5999402233739488</v>
      </c>
    </row>
    <row r="39" spans="1:36">
      <c r="B39" s="168" t="s">
        <v>688</v>
      </c>
    </row>
    <row r="40" spans="1:36">
      <c r="B40" s="168" t="s">
        <v>451</v>
      </c>
    </row>
    <row r="41" spans="1:36">
      <c r="B41" s="168" t="s">
        <v>1213</v>
      </c>
    </row>
    <row r="42" spans="1:36">
      <c r="B42" s="168" t="s">
        <v>1212</v>
      </c>
    </row>
    <row r="43" spans="1:36">
      <c r="B43" s="168" t="s">
        <v>293</v>
      </c>
    </row>
    <row r="44" spans="1:36">
      <c r="B44" s="168" t="s">
        <v>294</v>
      </c>
    </row>
    <row r="45" spans="1:36">
      <c r="B45" s="168" t="s">
        <v>388</v>
      </c>
    </row>
    <row r="46" spans="1:36">
      <c r="B46" s="168" t="s">
        <v>609</v>
      </c>
    </row>
    <row r="47" spans="1:36">
      <c r="B47" s="170" t="s">
        <v>824</v>
      </c>
    </row>
    <row r="48" spans="1:36">
      <c r="B48" s="168" t="s">
        <v>1830</v>
      </c>
    </row>
    <row r="51" spans="2:15">
      <c r="B51" s="285">
        <v>1991</v>
      </c>
      <c r="C51" s="180">
        <v>14.01</v>
      </c>
      <c r="D51" s="725">
        <v>12.1</v>
      </c>
      <c r="G51" s="725">
        <v>10.41</v>
      </c>
      <c r="H51" s="725">
        <v>12.27</v>
      </c>
      <c r="I51" s="725">
        <v>12.25</v>
      </c>
      <c r="J51" s="725">
        <v>13.9</v>
      </c>
      <c r="K51" s="725">
        <v>14.48</v>
      </c>
      <c r="L51" s="725">
        <v>12.74</v>
      </c>
      <c r="M51" s="725">
        <v>13.17</v>
      </c>
      <c r="N51" s="725">
        <v>13.61</v>
      </c>
      <c r="O51" s="291">
        <v>14.56</v>
      </c>
    </row>
    <row r="52" spans="2:15">
      <c r="B52" s="285">
        <v>1992</v>
      </c>
      <c r="C52" s="180">
        <v>14.44</v>
      </c>
      <c r="D52" s="725">
        <v>12.44</v>
      </c>
      <c r="G52" s="725">
        <v>10.5</v>
      </c>
      <c r="H52" s="725">
        <v>12.69</v>
      </c>
      <c r="I52" s="725">
        <v>12.62</v>
      </c>
      <c r="J52" s="725">
        <v>14.4</v>
      </c>
      <c r="K52" s="725">
        <v>14.93</v>
      </c>
      <c r="L52" s="725">
        <v>13.05</v>
      </c>
      <c r="M52" s="725">
        <v>13.33</v>
      </c>
      <c r="N52" s="725">
        <v>14.09</v>
      </c>
      <c r="O52" s="291">
        <v>14.9</v>
      </c>
    </row>
    <row r="53" spans="2:15">
      <c r="B53" s="285">
        <v>1993</v>
      </c>
      <c r="C53" s="180">
        <v>14.7</v>
      </c>
      <c r="D53" s="725">
        <v>12.69</v>
      </c>
      <c r="G53" s="725">
        <v>10.82</v>
      </c>
      <c r="H53" s="725">
        <v>12.87</v>
      </c>
      <c r="I53" s="725">
        <v>12.84</v>
      </c>
      <c r="J53" s="725">
        <v>14.66</v>
      </c>
      <c r="K53" s="725">
        <v>15.17</v>
      </c>
      <c r="L53" s="725">
        <v>13.36</v>
      </c>
      <c r="M53" s="725">
        <v>13.54</v>
      </c>
      <c r="N53" s="725">
        <v>14.42</v>
      </c>
      <c r="O53" s="291">
        <v>15.17</v>
      </c>
    </row>
    <row r="54" spans="2:15">
      <c r="B54" s="285">
        <v>1994</v>
      </c>
      <c r="C54" s="180">
        <v>14.89</v>
      </c>
      <c r="D54" s="725">
        <v>12.89</v>
      </c>
      <c r="G54" s="725">
        <v>10.76</v>
      </c>
      <c r="H54" s="725">
        <v>12.65</v>
      </c>
      <c r="I54" s="725">
        <v>12.68</v>
      </c>
      <c r="J54" s="725">
        <v>14.86</v>
      </c>
      <c r="K54" s="725">
        <v>15.45</v>
      </c>
      <c r="L54" s="725">
        <v>13.41</v>
      </c>
      <c r="M54" s="725">
        <v>13.89</v>
      </c>
      <c r="N54" s="725">
        <v>14.28</v>
      </c>
      <c r="O54" s="291">
        <v>15.52</v>
      </c>
    </row>
    <row r="55" spans="2:15">
      <c r="B55" s="285">
        <v>1995</v>
      </c>
      <c r="C55" s="180">
        <v>15.05</v>
      </c>
      <c r="D55" s="725">
        <v>12.63</v>
      </c>
      <c r="G55" s="725">
        <v>11.41</v>
      </c>
      <c r="H55" s="725">
        <v>12.56</v>
      </c>
      <c r="I55" s="725">
        <v>12.82</v>
      </c>
      <c r="J55" s="725">
        <v>14.91</v>
      </c>
      <c r="K55" s="725">
        <v>15.65</v>
      </c>
      <c r="L55" s="725">
        <v>13.64</v>
      </c>
      <c r="M55" s="725">
        <v>13.86</v>
      </c>
      <c r="N55" s="725">
        <v>14.05</v>
      </c>
      <c r="O55" s="291">
        <v>16.18</v>
      </c>
    </row>
    <row r="56" spans="2:15">
      <c r="B56" s="285">
        <v>1996</v>
      </c>
      <c r="C56" s="180">
        <v>15.45</v>
      </c>
      <c r="D56" s="725">
        <v>13.45</v>
      </c>
      <c r="G56" s="725">
        <v>12.19</v>
      </c>
      <c r="H56" s="725">
        <v>12.95</v>
      </c>
      <c r="I56" s="725">
        <v>13.31</v>
      </c>
      <c r="J56" s="725">
        <v>15.27</v>
      </c>
      <c r="K56" s="725">
        <v>16.13</v>
      </c>
      <c r="L56" s="725">
        <v>13.75</v>
      </c>
      <c r="M56" s="725">
        <v>13.85</v>
      </c>
      <c r="N56" s="725">
        <v>14.57</v>
      </c>
      <c r="O56" s="291">
        <v>16.38</v>
      </c>
    </row>
    <row r="57" spans="2:15">
      <c r="B57" s="285">
        <v>1997</v>
      </c>
      <c r="C57" s="180">
        <v>15.58</v>
      </c>
      <c r="D57" s="725">
        <v>13.54</v>
      </c>
      <c r="G57" s="725">
        <v>12.08</v>
      </c>
      <c r="H57" s="725">
        <v>13.33</v>
      </c>
      <c r="I57" s="725">
        <v>13.54</v>
      </c>
      <c r="J57" s="725">
        <v>15.41</v>
      </c>
      <c r="K57" s="725">
        <v>16.09</v>
      </c>
      <c r="L57" s="725">
        <v>13.91</v>
      </c>
      <c r="M57" s="725">
        <v>14.35</v>
      </c>
      <c r="N57" s="725">
        <v>15.07</v>
      </c>
      <c r="O57" s="291">
        <v>16.52</v>
      </c>
    </row>
    <row r="58" spans="2:15">
      <c r="B58" s="285">
        <v>1998</v>
      </c>
      <c r="C58" s="180">
        <v>15.77</v>
      </c>
      <c r="D58" s="725">
        <v>14.2</v>
      </c>
      <c r="G58" s="725">
        <v>12.36</v>
      </c>
      <c r="H58" s="725">
        <v>13.91</v>
      </c>
      <c r="I58" s="725">
        <v>13.95</v>
      </c>
      <c r="J58" s="725">
        <v>15.22</v>
      </c>
      <c r="K58" s="725">
        <v>16.420000000000002</v>
      </c>
      <c r="L58" s="725">
        <v>14.14</v>
      </c>
      <c r="M58" s="725">
        <v>14.59</v>
      </c>
      <c r="N58" s="725">
        <v>15.85</v>
      </c>
      <c r="O58" s="291">
        <v>16.420000000000002</v>
      </c>
    </row>
    <row r="59" spans="2:15">
      <c r="B59" s="285">
        <v>1999</v>
      </c>
      <c r="C59" s="180">
        <v>16.04</v>
      </c>
      <c r="D59" s="725">
        <v>14.65</v>
      </c>
      <c r="G59" s="725">
        <v>12.66</v>
      </c>
      <c r="H59" s="725">
        <v>14.24</v>
      </c>
      <c r="I59" s="725">
        <v>14.15</v>
      </c>
      <c r="J59" s="725">
        <v>15.19</v>
      </c>
      <c r="K59" s="725">
        <v>16.86</v>
      </c>
      <c r="L59" s="725">
        <v>14.49</v>
      </c>
      <c r="M59" s="725">
        <v>14.81</v>
      </c>
      <c r="N59" s="725">
        <v>16.670000000000002</v>
      </c>
      <c r="O59" s="291">
        <v>16.21</v>
      </c>
    </row>
    <row r="60" spans="2:15">
      <c r="B60" s="285">
        <v>2000</v>
      </c>
      <c r="C60" s="180">
        <v>16.48</v>
      </c>
      <c r="D60" s="725">
        <v>15.04</v>
      </c>
      <c r="G60" s="725">
        <v>12.76</v>
      </c>
      <c r="H60" s="725">
        <v>14.98</v>
      </c>
      <c r="I60" s="725">
        <v>14.73</v>
      </c>
      <c r="J60" s="725">
        <v>15.62</v>
      </c>
      <c r="K60" s="725">
        <v>17.3</v>
      </c>
      <c r="L60" s="725">
        <v>14.84</v>
      </c>
      <c r="M60" s="725">
        <v>15.17</v>
      </c>
      <c r="N60" s="725">
        <v>16.86</v>
      </c>
      <c r="O60" s="291">
        <v>16.82</v>
      </c>
    </row>
    <row r="61" spans="2:15">
      <c r="B61" s="285">
        <v>2001</v>
      </c>
      <c r="C61" s="180">
        <v>16.760000000000002</v>
      </c>
      <c r="D61" s="725">
        <v>15.36</v>
      </c>
      <c r="G61" s="725">
        <v>13.04</v>
      </c>
      <c r="H61" s="725">
        <v>15.15</v>
      </c>
      <c r="I61" s="725">
        <v>14.9</v>
      </c>
      <c r="J61" s="725">
        <v>16</v>
      </c>
      <c r="K61" s="725">
        <v>17.61</v>
      </c>
      <c r="L61" s="725">
        <v>14.99</v>
      </c>
      <c r="M61" s="725">
        <v>15.33</v>
      </c>
      <c r="N61" s="725">
        <v>17.25</v>
      </c>
      <c r="O61" s="291">
        <v>16.82</v>
      </c>
    </row>
    <row r="62" spans="2:15">
      <c r="B62" s="285">
        <v>2002</v>
      </c>
      <c r="C62" s="180">
        <v>17.11</v>
      </c>
      <c r="D62" s="725">
        <v>15.92</v>
      </c>
      <c r="G62" s="725">
        <v>13.69</v>
      </c>
      <c r="H62" s="725">
        <v>15.46</v>
      </c>
      <c r="I62" s="725">
        <v>15.41</v>
      </c>
      <c r="J62" s="725">
        <v>16.37</v>
      </c>
      <c r="K62" s="725">
        <v>17.97</v>
      </c>
      <c r="L62" s="725">
        <v>15.39</v>
      </c>
      <c r="M62" s="725">
        <v>15.56</v>
      </c>
      <c r="N62" s="725">
        <v>17.57</v>
      </c>
      <c r="O62" s="291">
        <v>17.11</v>
      </c>
    </row>
    <row r="63" spans="2:15">
      <c r="B63" s="285">
        <v>2003</v>
      </c>
      <c r="C63" s="180">
        <v>17.239999999999998</v>
      </c>
      <c r="D63" s="725">
        <v>16.21</v>
      </c>
      <c r="G63" s="725">
        <v>13.77</v>
      </c>
      <c r="H63" s="725">
        <v>15.72</v>
      </c>
      <c r="I63" s="725">
        <v>15.84</v>
      </c>
      <c r="J63" s="725">
        <v>16.27</v>
      </c>
      <c r="K63" s="725">
        <v>18.149999999999999</v>
      </c>
      <c r="L63" s="725">
        <v>15.47</v>
      </c>
      <c r="M63" s="725">
        <v>15.76</v>
      </c>
      <c r="N63" s="725">
        <v>17.84</v>
      </c>
      <c r="O63" s="291">
        <v>17.3</v>
      </c>
    </row>
    <row r="64" spans="2:15">
      <c r="B64" s="285">
        <v>2004</v>
      </c>
      <c r="C64" s="180">
        <v>17.73</v>
      </c>
      <c r="D64" s="725">
        <v>16.93</v>
      </c>
      <c r="G64" s="725">
        <v>14.54</v>
      </c>
      <c r="H64" s="725">
        <v>16.32</v>
      </c>
      <c r="I64" s="725">
        <v>16.23</v>
      </c>
      <c r="J64" s="725">
        <v>16.78</v>
      </c>
      <c r="K64" s="725">
        <v>18.559999999999999</v>
      </c>
      <c r="L64" s="725">
        <v>16.170000000000002</v>
      </c>
      <c r="M64" s="725">
        <v>16.37</v>
      </c>
      <c r="N64" s="725">
        <v>18.489999999999998</v>
      </c>
      <c r="O64" s="291">
        <v>17.73</v>
      </c>
    </row>
    <row r="65" spans="2:15">
      <c r="B65" s="285">
        <v>2005</v>
      </c>
      <c r="C65" s="180">
        <v>18.11</v>
      </c>
      <c r="D65" s="725">
        <v>17.53</v>
      </c>
      <c r="G65" s="725">
        <v>14.93</v>
      </c>
      <c r="H65" s="725">
        <v>16.8</v>
      </c>
      <c r="I65" s="725">
        <v>16.7</v>
      </c>
      <c r="J65" s="725">
        <v>17.18</v>
      </c>
      <c r="K65" s="725">
        <v>18.77</v>
      </c>
      <c r="L65" s="725">
        <v>16.64</v>
      </c>
      <c r="M65" s="725">
        <v>17.03</v>
      </c>
      <c r="N65" s="725">
        <v>19.32</v>
      </c>
      <c r="O65" s="291">
        <v>18.010000000000002</v>
      </c>
    </row>
    <row r="66" spans="2:15">
      <c r="B66" s="170">
        <v>2006</v>
      </c>
      <c r="C66" s="180">
        <v>18.55</v>
      </c>
      <c r="D66" s="725">
        <v>18.11</v>
      </c>
      <c r="G66" s="725">
        <v>15.13</v>
      </c>
      <c r="H66" s="725">
        <v>17.09</v>
      </c>
      <c r="I66" s="725">
        <v>17.18</v>
      </c>
      <c r="J66" s="725">
        <v>17.47</v>
      </c>
      <c r="K66" s="725">
        <v>19.05</v>
      </c>
      <c r="L66" s="725">
        <v>17.010000000000002</v>
      </c>
      <c r="M66" s="725">
        <v>17.62</v>
      </c>
      <c r="N66" s="725">
        <v>20.190000000000001</v>
      </c>
      <c r="O66" s="291">
        <v>18.670000000000002</v>
      </c>
    </row>
    <row r="67" spans="2:15">
      <c r="B67" s="170">
        <v>2007</v>
      </c>
      <c r="C67" s="180">
        <v>19.13</v>
      </c>
      <c r="D67" s="725">
        <v>18.829999999999998</v>
      </c>
      <c r="G67" s="725">
        <v>15.83</v>
      </c>
      <c r="H67" s="725">
        <v>17.61</v>
      </c>
      <c r="I67" s="725">
        <v>17.62</v>
      </c>
      <c r="J67" s="725">
        <v>18.079999999999998</v>
      </c>
      <c r="K67" s="725">
        <v>19.489999999999998</v>
      </c>
      <c r="L67" s="725">
        <v>17.54</v>
      </c>
      <c r="M67" s="725">
        <v>18.32</v>
      </c>
      <c r="N67" s="725">
        <v>21.11</v>
      </c>
      <c r="O67" s="291">
        <v>19.23</v>
      </c>
    </row>
  </sheetData>
  <mergeCells count="22">
    <mergeCell ref="B4:D4"/>
    <mergeCell ref="M4:O4"/>
    <mergeCell ref="G4:I4"/>
    <mergeCell ref="J4:L4"/>
    <mergeCell ref="B33:C33"/>
    <mergeCell ref="G33:H33"/>
    <mergeCell ref="J33:K33"/>
    <mergeCell ref="M33:N33"/>
    <mergeCell ref="P4:R4"/>
    <mergeCell ref="AE4:AG4"/>
    <mergeCell ref="P33:Q33"/>
    <mergeCell ref="S33:T33"/>
    <mergeCell ref="AH4:AJ4"/>
    <mergeCell ref="V4:X4"/>
    <mergeCell ref="Y4:AA4"/>
    <mergeCell ref="AB4:AD4"/>
    <mergeCell ref="S4:U4"/>
    <mergeCell ref="V33:W33"/>
    <mergeCell ref="Y33:Z33"/>
    <mergeCell ref="AB33:AC33"/>
    <mergeCell ref="AE33:AF33"/>
    <mergeCell ref="AH33:AI33"/>
  </mergeCells>
  <phoneticPr fontId="35" type="noConversion"/>
  <pageMargins left="0.75" right="0.75" top="1" bottom="1" header="0.5" footer="0.5"/>
  <pageSetup scale="71" orientation="landscape" verticalDpi="0" r:id="rId1"/>
  <headerFooter alignWithMargins="0">
    <oddFooter>Page &amp;P</oddFooter>
  </headerFooter>
  <colBreaks count="5" manualBreakCount="5">
    <brk id="6" max="47" man="1"/>
    <brk id="12" max="47" man="1"/>
    <brk id="18" max="47" man="1"/>
    <brk id="24" max="47" man="1"/>
    <brk id="30" max="47" man="1"/>
  </colBreaks>
</worksheet>
</file>

<file path=xl/worksheets/sheet137.xml><?xml version="1.0" encoding="utf-8"?>
<worksheet xmlns="http://schemas.openxmlformats.org/spreadsheetml/2006/main" xmlns:r="http://schemas.openxmlformats.org/officeDocument/2006/relationships">
  <sheetPr codeName="Sheet80"/>
  <dimension ref="A1:O102"/>
  <sheetViews>
    <sheetView view="pageBreakPreview" zoomScale="55" zoomScaleSheetLayoutView="55"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47" style="168" customWidth="1"/>
    <col min="2" max="13" width="6.7109375" style="168" customWidth="1"/>
    <col min="14" max="14" width="14" style="168" customWidth="1"/>
    <col min="15" max="15" width="12.85546875" style="168" customWidth="1"/>
    <col min="16" max="19" width="6.7109375" style="168" customWidth="1"/>
    <col min="20" max="20" width="8" style="168" customWidth="1"/>
    <col min="21" max="21" width="7.85546875" style="168" customWidth="1"/>
    <col min="22" max="30" width="9.140625" style="168" customWidth="1"/>
    <col min="31" max="16384" width="9.140625" style="168"/>
  </cols>
  <sheetData>
    <row r="1" spans="1:15" ht="16.149999999999999" customHeight="1">
      <c r="A1" s="949" t="s">
        <v>487</v>
      </c>
    </row>
    <row r="2" spans="1:15" ht="16.149999999999999" customHeight="1">
      <c r="A2" s="949" t="s">
        <v>1833</v>
      </c>
    </row>
    <row r="3" spans="1:15" s="103" customFormat="1" ht="26.25" customHeight="1">
      <c r="A3" s="1017" t="s">
        <v>752</v>
      </c>
      <c r="B3" s="1018">
        <v>1997</v>
      </c>
      <c r="C3" s="1018">
        <v>1998</v>
      </c>
      <c r="D3" s="1018">
        <v>1999</v>
      </c>
      <c r="E3" s="1018">
        <v>2000</v>
      </c>
      <c r="F3" s="1018">
        <v>2001</v>
      </c>
      <c r="G3" s="1018">
        <v>2002</v>
      </c>
      <c r="H3" s="1018">
        <v>2003</v>
      </c>
      <c r="I3" s="1018">
        <v>2004</v>
      </c>
      <c r="J3" s="1018">
        <v>2005</v>
      </c>
      <c r="K3" s="1018">
        <v>2006</v>
      </c>
      <c r="L3" s="1018">
        <v>2007</v>
      </c>
      <c r="M3" s="1018">
        <v>2008</v>
      </c>
      <c r="N3" s="1018" t="s">
        <v>232</v>
      </c>
      <c r="O3" s="1018" t="s">
        <v>803</v>
      </c>
    </row>
    <row r="4" spans="1:15">
      <c r="A4" s="284" t="s">
        <v>375</v>
      </c>
      <c r="N4" s="169" t="s">
        <v>1779</v>
      </c>
      <c r="O4" s="169" t="s">
        <v>1779</v>
      </c>
    </row>
    <row r="5" spans="1:15">
      <c r="A5" s="284" t="s">
        <v>489</v>
      </c>
      <c r="B5" s="170">
        <f>'[5]35a'!$D$35</f>
        <v>6.4685345833941339</v>
      </c>
      <c r="C5" s="170">
        <f>'[5]35a'!$D$36</f>
        <v>6.5520955845709157</v>
      </c>
      <c r="D5" s="170">
        <f>'[5]35a'!$D$37</f>
        <v>6.6356677795747805</v>
      </c>
      <c r="E5" s="170">
        <f>'[5]35a'!$D$38</f>
        <v>6.7185648392733777</v>
      </c>
      <c r="F5" s="170">
        <f>'[5]35a'!$D$39</f>
        <v>6.8072610429406808</v>
      </c>
      <c r="G5" s="170">
        <f>'[5]35a'!$D$40</f>
        <v>6.8925919636325625</v>
      </c>
      <c r="H5" s="170">
        <f>'[5]35a'!$D$41</f>
        <v>6.9391796354076938</v>
      </c>
      <c r="I5" s="170">
        <f>'[5]35a'!$D$42</f>
        <v>7.1138975982943506</v>
      </c>
      <c r="J5" s="170">
        <f>'[5]35a'!$D$43</f>
        <v>7.4267370452141979</v>
      </c>
      <c r="K5" s="170">
        <f>'[5]35a'!$D$44</f>
        <v>7.6326243759213313</v>
      </c>
      <c r="L5" s="170">
        <f>'[5]35a'!$D$45</f>
        <v>7.9632268889626703</v>
      </c>
      <c r="M5" s="170">
        <f>'[5]35a'!$D$45</f>
        <v>7.9632268889626703</v>
      </c>
      <c r="N5" s="171">
        <f>(POWER(M5/B5, 1/11)-1)*100</f>
        <v>1.9078319674722843</v>
      </c>
      <c r="O5" s="171"/>
    </row>
    <row r="6" spans="1:15">
      <c r="A6" s="284" t="s">
        <v>490</v>
      </c>
      <c r="B6" s="172">
        <f>$C$79</f>
        <v>15.59</v>
      </c>
      <c r="C6" s="172">
        <f>$C$80</f>
        <v>15.78</v>
      </c>
      <c r="D6" s="172">
        <f>$C$81</f>
        <v>16.170000000000002</v>
      </c>
      <c r="E6" s="172">
        <f>$C$82</f>
        <v>16.66</v>
      </c>
      <c r="F6" s="172">
        <f>$C$83</f>
        <v>17.22</v>
      </c>
      <c r="G6" s="172">
        <f>$C$84</f>
        <v>17.66</v>
      </c>
      <c r="H6" s="172">
        <f>$C$85</f>
        <v>18.04</v>
      </c>
      <c r="I6" s="172">
        <f>$C$86</f>
        <v>18.5</v>
      </c>
      <c r="J6" s="172">
        <f>$C$87</f>
        <v>19.09</v>
      </c>
      <c r="K6" s="172">
        <f>$C$88</f>
        <v>19.72</v>
      </c>
      <c r="L6" s="172">
        <f>$C$89</f>
        <v>20.41</v>
      </c>
      <c r="M6" s="172">
        <f>$C$90</f>
        <v>21.32</v>
      </c>
      <c r="N6" s="171">
        <f>(POWER(M6/B6, 1/11)-1)*100</f>
        <v>2.8864731954553857</v>
      </c>
      <c r="O6" s="171"/>
    </row>
    <row r="7" spans="1:15">
      <c r="A7" s="284" t="s">
        <v>494</v>
      </c>
      <c r="B7" s="172">
        <f>$C$91</f>
        <v>14</v>
      </c>
      <c r="C7" s="172">
        <f>$C$92</f>
        <v>14.29</v>
      </c>
      <c r="D7" s="172">
        <f>$C$93</f>
        <v>14.5</v>
      </c>
      <c r="E7" s="172">
        <f>$C$94</f>
        <v>15</v>
      </c>
      <c r="F7" s="172">
        <f>$C$95</f>
        <v>15.38</v>
      </c>
      <c r="G7" s="172">
        <f>$C$96</f>
        <v>15.66</v>
      </c>
      <c r="H7" s="172">
        <f>$C$97</f>
        <v>16</v>
      </c>
      <c r="I7" s="172">
        <f>$C$98</f>
        <v>16.350000000000001</v>
      </c>
      <c r="J7" s="172">
        <f>$C$99</f>
        <v>17</v>
      </c>
      <c r="K7" s="172">
        <f>$C$100</f>
        <v>17.309999999999999</v>
      </c>
      <c r="L7" s="172">
        <f>$C$101</f>
        <v>18</v>
      </c>
      <c r="M7" s="172">
        <f>$C$102</f>
        <v>18.760000000000002</v>
      </c>
      <c r="N7" s="171">
        <f>(POWER(M7/B7, 1/11)-1)*100</f>
        <v>2.6963436981605637</v>
      </c>
      <c r="O7" s="171"/>
    </row>
    <row r="8" spans="1:15">
      <c r="A8" s="284" t="s">
        <v>491</v>
      </c>
      <c r="B8" s="172">
        <f>B$5/B6*100</f>
        <v>41.491562433573662</v>
      </c>
      <c r="C8" s="172">
        <f t="shared" ref="B8:K9" si="0">C$5/C6*100</f>
        <v>41.521518279917089</v>
      </c>
      <c r="D8" s="172">
        <f t="shared" si="0"/>
        <v>41.03690649087681</v>
      </c>
      <c r="E8" s="172">
        <f t="shared" si="0"/>
        <v>40.327520043657728</v>
      </c>
      <c r="F8" s="172">
        <f t="shared" si="0"/>
        <v>39.531132653546344</v>
      </c>
      <c r="G8" s="172">
        <f t="shared" si="0"/>
        <v>39.029399567568305</v>
      </c>
      <c r="H8" s="172">
        <f t="shared" si="0"/>
        <v>38.465519043279897</v>
      </c>
      <c r="I8" s="172">
        <f t="shared" si="0"/>
        <v>38.453500531320813</v>
      </c>
      <c r="J8" s="172">
        <f t="shared" si="0"/>
        <v>38.903808513432153</v>
      </c>
      <c r="K8" s="172">
        <f>K$5/K6*100</f>
        <v>38.704991764306953</v>
      </c>
      <c r="L8" s="172">
        <f>L$5/L6*100</f>
        <v>39.016300288891081</v>
      </c>
      <c r="M8" s="172">
        <f>M$5/M6*100</f>
        <v>37.350970398511585</v>
      </c>
      <c r="N8" s="171"/>
      <c r="O8" s="171">
        <f>M8-B8</f>
        <v>-4.1405920350620775</v>
      </c>
    </row>
    <row r="9" spans="1:15">
      <c r="A9" s="284" t="s">
        <v>495</v>
      </c>
      <c r="B9" s="172">
        <f t="shared" si="0"/>
        <v>46.203818452815241</v>
      </c>
      <c r="C9" s="172">
        <f t="shared" si="0"/>
        <v>45.850913817851058</v>
      </c>
      <c r="D9" s="172">
        <f t="shared" si="0"/>
        <v>45.763226066032971</v>
      </c>
      <c r="E9" s="172">
        <f t="shared" si="0"/>
        <v>44.790432261822517</v>
      </c>
      <c r="F9" s="172">
        <f t="shared" si="0"/>
        <v>44.260474921590898</v>
      </c>
      <c r="G9" s="172">
        <f t="shared" si="0"/>
        <v>44.013997213490178</v>
      </c>
      <c r="H9" s="172">
        <f t="shared" si="0"/>
        <v>43.369872721298087</v>
      </c>
      <c r="I9" s="172">
        <f t="shared" si="0"/>
        <v>43.510077053788073</v>
      </c>
      <c r="J9" s="172">
        <f t="shared" si="0"/>
        <v>43.686688501259987</v>
      </c>
      <c r="K9" s="172">
        <f t="shared" si="0"/>
        <v>44.093728341544377</v>
      </c>
      <c r="L9" s="172">
        <f>L$5/L7*100</f>
        <v>44.240149383125946</v>
      </c>
      <c r="M9" s="172">
        <f>M$5/M7*100</f>
        <v>42.447904525387365</v>
      </c>
      <c r="N9" s="171"/>
      <c r="O9" s="171">
        <f>M9-B9</f>
        <v>-3.7559139274278763</v>
      </c>
    </row>
    <row r="10" spans="1:15">
      <c r="A10" s="1016" t="s">
        <v>1039</v>
      </c>
      <c r="N10" s="171"/>
      <c r="O10" s="171"/>
    </row>
    <row r="11" spans="1:15">
      <c r="A11" s="284" t="s">
        <v>489</v>
      </c>
      <c r="B11" s="170">
        <f>'[5]35a'!$F$35</f>
        <v>5.25</v>
      </c>
      <c r="C11" s="170">
        <f>'[5]35a'!$F$36</f>
        <v>5.25</v>
      </c>
      <c r="D11" s="170">
        <f>'[5]35a'!$F$37</f>
        <v>5.5</v>
      </c>
      <c r="E11" s="170">
        <f>'[5]35a'!$F$38</f>
        <v>5.5</v>
      </c>
      <c r="F11" s="170">
        <f>'[5]35a'!$F$39</f>
        <v>5.5</v>
      </c>
      <c r="G11" s="170">
        <f>'[5]35a'!$F$40</f>
        <v>5.875</v>
      </c>
      <c r="H11" s="170">
        <f>'[5]35a'!$F$41</f>
        <v>6</v>
      </c>
      <c r="I11" s="170">
        <f>'[5]35a'!$F$42</f>
        <v>6</v>
      </c>
      <c r="J11" s="170">
        <f>'[5]35a'!$F$43</f>
        <v>6.25</v>
      </c>
      <c r="K11" s="170">
        <f>'[5]35a'!$F$44</f>
        <v>6.75</v>
      </c>
      <c r="L11" s="170">
        <f>'[5]35a'!$F$45</f>
        <v>7.5</v>
      </c>
      <c r="M11" s="170">
        <f>'[5]35a'!$F$46</f>
        <v>8</v>
      </c>
      <c r="N11" s="171">
        <f>(POWER(M11/B11, 1/11)-1)*100</f>
        <v>3.9034725073730847</v>
      </c>
      <c r="O11" s="171"/>
    </row>
    <row r="12" spans="1:15">
      <c r="A12" s="284" t="s">
        <v>490</v>
      </c>
      <c r="B12" s="172">
        <f>$D$79</f>
        <v>13.16</v>
      </c>
      <c r="C12" s="172">
        <f>$D$80</f>
        <v>13.05</v>
      </c>
      <c r="D12" s="172">
        <f>$D$81</f>
        <v>13.06</v>
      </c>
      <c r="E12" s="172">
        <f>$D$82</f>
        <v>13.74</v>
      </c>
      <c r="F12" s="172">
        <f>$D$83</f>
        <v>14.32</v>
      </c>
      <c r="G12" s="172">
        <f>$D$84</f>
        <v>14.88</v>
      </c>
      <c r="H12" s="172">
        <f>$D$85</f>
        <v>15.46</v>
      </c>
      <c r="I12" s="172">
        <f>$D$86</f>
        <v>15.44</v>
      </c>
      <c r="J12" s="172">
        <f>$D$87</f>
        <v>16.09</v>
      </c>
      <c r="K12" s="172">
        <f>$D$88</f>
        <v>16.600000000000001</v>
      </c>
      <c r="L12" s="172">
        <f>$D$89</f>
        <v>17.46</v>
      </c>
      <c r="M12" s="172">
        <f>$D$90</f>
        <v>18.850000000000001</v>
      </c>
      <c r="N12" s="171">
        <f>(POWER(M12/B12, 1/11)-1)*100</f>
        <v>3.3205859515654357</v>
      </c>
      <c r="O12" s="171"/>
    </row>
    <row r="13" spans="1:15">
      <c r="A13" s="284" t="s">
        <v>494</v>
      </c>
      <c r="B13" s="172">
        <f>$D$91</f>
        <v>11.88</v>
      </c>
      <c r="C13" s="172">
        <f>$D$92</f>
        <v>11.54</v>
      </c>
      <c r="D13" s="172">
        <f>$D$93</f>
        <v>11.8</v>
      </c>
      <c r="E13" s="172">
        <f>$D$94</f>
        <v>12.03</v>
      </c>
      <c r="F13" s="172">
        <f>$D$95</f>
        <v>12.5</v>
      </c>
      <c r="G13" s="172">
        <f>$D$96</f>
        <v>13</v>
      </c>
      <c r="H13" s="172">
        <f>$D$97</f>
        <v>13.47</v>
      </c>
      <c r="I13" s="172">
        <f>$D$98</f>
        <v>13.66</v>
      </c>
      <c r="J13" s="172">
        <f>$D$99</f>
        <v>14</v>
      </c>
      <c r="K13" s="172">
        <f>$D$100</f>
        <v>14.25</v>
      </c>
      <c r="L13" s="172">
        <f>$D$101</f>
        <v>15</v>
      </c>
      <c r="M13" s="172">
        <f>$D$102</f>
        <v>16</v>
      </c>
      <c r="N13" s="171">
        <f>(POWER(M13/B13, 1/11)-1)*100</f>
        <v>2.7436209832762071</v>
      </c>
      <c r="O13" s="171"/>
    </row>
    <row r="14" spans="1:15">
      <c r="A14" s="284" t="s">
        <v>491</v>
      </c>
      <c r="B14" s="172">
        <f t="shared" ref="B14:K15" si="1">B$11/B12*100</f>
        <v>39.893617021276597</v>
      </c>
      <c r="C14" s="172">
        <f t="shared" si="1"/>
        <v>40.229885057471257</v>
      </c>
      <c r="D14" s="172">
        <f t="shared" si="1"/>
        <v>42.113323124042878</v>
      </c>
      <c r="E14" s="172">
        <f t="shared" si="1"/>
        <v>40.02911208151383</v>
      </c>
      <c r="F14" s="172">
        <f t="shared" si="1"/>
        <v>38.407821229050278</v>
      </c>
      <c r="G14" s="172">
        <f t="shared" si="1"/>
        <v>39.482526881720425</v>
      </c>
      <c r="H14" s="172">
        <f t="shared" si="1"/>
        <v>38.809831824062094</v>
      </c>
      <c r="I14" s="172">
        <f t="shared" si="1"/>
        <v>38.860103626943001</v>
      </c>
      <c r="J14" s="172">
        <f t="shared" si="1"/>
        <v>38.844002486016159</v>
      </c>
      <c r="K14" s="172">
        <f t="shared" si="1"/>
        <v>40.662650602409634</v>
      </c>
      <c r="L14" s="172">
        <f>L$11/L12*100</f>
        <v>42.955326460481096</v>
      </c>
      <c r="M14" s="172">
        <f>M$11/M12*100</f>
        <v>42.440318302387261</v>
      </c>
      <c r="N14" s="171"/>
      <c r="O14" s="171">
        <f>M14-B14</f>
        <v>2.5467012811106642</v>
      </c>
    </row>
    <row r="15" spans="1:15">
      <c r="A15" s="284" t="s">
        <v>495</v>
      </c>
      <c r="B15" s="172">
        <f t="shared" si="1"/>
        <v>44.19191919191919</v>
      </c>
      <c r="C15" s="172">
        <f t="shared" si="1"/>
        <v>45.493934142114391</v>
      </c>
      <c r="D15" s="172">
        <f t="shared" si="1"/>
        <v>46.610169491525419</v>
      </c>
      <c r="E15" s="172">
        <f t="shared" si="1"/>
        <v>45.7190357439734</v>
      </c>
      <c r="F15" s="172">
        <f t="shared" si="1"/>
        <v>44</v>
      </c>
      <c r="G15" s="172">
        <f t="shared" si="1"/>
        <v>45.192307692307693</v>
      </c>
      <c r="H15" s="172">
        <f t="shared" si="1"/>
        <v>44.543429844097993</v>
      </c>
      <c r="I15" s="172">
        <f t="shared" si="1"/>
        <v>43.923865300146417</v>
      </c>
      <c r="J15" s="172">
        <f t="shared" si="1"/>
        <v>44.642857142857146</v>
      </c>
      <c r="K15" s="172">
        <f t="shared" si="1"/>
        <v>47.368421052631575</v>
      </c>
      <c r="L15" s="172">
        <f>L$11/L13*100</f>
        <v>50</v>
      </c>
      <c r="M15" s="172">
        <f>M$11/M13*100</f>
        <v>50</v>
      </c>
      <c r="N15" s="171"/>
      <c r="O15" s="171">
        <f>M15-B15</f>
        <v>5.8080808080808097</v>
      </c>
    </row>
    <row r="16" spans="1:15">
      <c r="A16" s="1016" t="s">
        <v>1040</v>
      </c>
      <c r="N16" s="171"/>
      <c r="O16" s="171"/>
    </row>
    <row r="17" spans="1:15">
      <c r="A17" s="284" t="s">
        <v>489</v>
      </c>
      <c r="B17" s="170">
        <f>'[5]35a'!$G$35</f>
        <v>5.4</v>
      </c>
      <c r="C17" s="170">
        <f>'[5]35a'!$G$36</f>
        <v>5.4</v>
      </c>
      <c r="D17" s="170">
        <f>'[5]35a'!$G$37</f>
        <v>5.4</v>
      </c>
      <c r="E17" s="170">
        <f>'[5]35a'!$G$38</f>
        <v>5.6</v>
      </c>
      <c r="F17" s="170">
        <f>'[5]35a'!$G$39</f>
        <v>5.8</v>
      </c>
      <c r="G17" s="170">
        <f>'[5]35a'!$G$40</f>
        <v>6</v>
      </c>
      <c r="H17" s="170">
        <f>'[5]35a'!$G$41</f>
        <v>6.25</v>
      </c>
      <c r="I17" s="170">
        <f>'[5]35a'!$G$42</f>
        <v>6.5</v>
      </c>
      <c r="J17" s="170">
        <f>'[5]35a'!$G$43</f>
        <v>6.8</v>
      </c>
      <c r="K17" s="170">
        <f>'[5]35a'!$G$44</f>
        <v>7.15</v>
      </c>
      <c r="L17" s="170">
        <f>'[5]35a'!$G$45</f>
        <v>7.5</v>
      </c>
      <c r="M17" s="170">
        <f>'[5]35a'!$G$46</f>
        <v>7.75</v>
      </c>
      <c r="N17" s="171">
        <f>(POWER(M17/B17, 1/11)-1)*100</f>
        <v>3.3390247024875697</v>
      </c>
      <c r="O17" s="171"/>
    </row>
    <row r="18" spans="1:15">
      <c r="A18" s="284" t="s">
        <v>490</v>
      </c>
      <c r="B18" s="172">
        <f>$E$79</f>
        <v>11.79</v>
      </c>
      <c r="C18" s="172">
        <f>$E$80</f>
        <v>11.94</v>
      </c>
      <c r="D18" s="172">
        <f>$E$81</f>
        <v>12.28</v>
      </c>
      <c r="E18" s="172">
        <f>$E$82</f>
        <v>12.63</v>
      </c>
      <c r="F18" s="172">
        <f>$E$83</f>
        <v>13.22</v>
      </c>
      <c r="G18" s="172">
        <f>$E$84</f>
        <v>13.61</v>
      </c>
      <c r="H18" s="172">
        <f>$E$85</f>
        <v>14.52</v>
      </c>
      <c r="I18" s="172">
        <f>$E$86</f>
        <v>15.09</v>
      </c>
      <c r="J18" s="172">
        <f>$E$87</f>
        <v>15.15</v>
      </c>
      <c r="K18" s="172">
        <f>$E$88</f>
        <v>15.48</v>
      </c>
      <c r="L18" s="172">
        <f>$E$89</f>
        <v>15.97</v>
      </c>
      <c r="M18" s="172">
        <f>$E$90</f>
        <v>16.96</v>
      </c>
      <c r="N18" s="171">
        <f>(POWER(M18/B18, 1/11)-1)*100</f>
        <v>3.3607472138114769</v>
      </c>
      <c r="O18" s="171"/>
    </row>
    <row r="19" spans="1:15">
      <c r="A19" s="284" t="s">
        <v>494</v>
      </c>
      <c r="B19" s="172">
        <f>$E$91</f>
        <v>10.38</v>
      </c>
      <c r="C19" s="172">
        <f>$E$92</f>
        <v>10.58</v>
      </c>
      <c r="D19" s="172">
        <f>$E$93</f>
        <v>10.84</v>
      </c>
      <c r="E19" s="172">
        <f>$E$94</f>
        <v>11.22</v>
      </c>
      <c r="F19" s="172">
        <f>$E$95</f>
        <v>12</v>
      </c>
      <c r="G19" s="172">
        <f>$E$96</f>
        <v>12</v>
      </c>
      <c r="H19" s="172">
        <f>$E$97</f>
        <v>12.84</v>
      </c>
      <c r="I19" s="172">
        <f>$E$98</f>
        <v>13.22</v>
      </c>
      <c r="J19" s="172">
        <f>$E$99</f>
        <v>13.45</v>
      </c>
      <c r="K19" s="172">
        <f>$E$100</f>
        <v>13.69</v>
      </c>
      <c r="L19" s="172">
        <f>$E$101</f>
        <v>14</v>
      </c>
      <c r="M19" s="172">
        <f>$E$102</f>
        <v>15</v>
      </c>
      <c r="N19" s="171">
        <f>(POWER(M19/B19, 1/11)-1)*100</f>
        <v>3.4036358562314017</v>
      </c>
      <c r="O19" s="171"/>
    </row>
    <row r="20" spans="1:15">
      <c r="A20" s="284" t="s">
        <v>491</v>
      </c>
      <c r="B20" s="172">
        <f t="shared" ref="B20:K21" si="2">B$17/B18*100</f>
        <v>45.801526717557259</v>
      </c>
      <c r="C20" s="172">
        <f t="shared" si="2"/>
        <v>45.226130653266338</v>
      </c>
      <c r="D20" s="172">
        <f t="shared" si="2"/>
        <v>43.973941368078179</v>
      </c>
      <c r="E20" s="172">
        <f t="shared" si="2"/>
        <v>44.338875692794929</v>
      </c>
      <c r="F20" s="172">
        <f t="shared" si="2"/>
        <v>43.872919818456879</v>
      </c>
      <c r="G20" s="172">
        <f t="shared" si="2"/>
        <v>44.085231447465098</v>
      </c>
      <c r="H20" s="172">
        <f t="shared" si="2"/>
        <v>43.044077134986225</v>
      </c>
      <c r="I20" s="172">
        <f t="shared" si="2"/>
        <v>43.074884029158383</v>
      </c>
      <c r="J20" s="172">
        <f t="shared" si="2"/>
        <v>44.884488448844884</v>
      </c>
      <c r="K20" s="172">
        <f t="shared" si="2"/>
        <v>46.188630490956072</v>
      </c>
      <c r="L20" s="172">
        <f>L$17/L18*100</f>
        <v>46.963055729492794</v>
      </c>
      <c r="M20" s="172">
        <f>M$17/M18*100</f>
        <v>45.695754716981128</v>
      </c>
      <c r="N20" s="171"/>
      <c r="O20" s="171">
        <f>M20-B20</f>
        <v>-0.10577200057613112</v>
      </c>
    </row>
    <row r="21" spans="1:15">
      <c r="A21" s="284" t="s">
        <v>495</v>
      </c>
      <c r="B21" s="172">
        <f t="shared" si="2"/>
        <v>52.023121387283233</v>
      </c>
      <c r="C21" s="172">
        <f t="shared" si="2"/>
        <v>51.039697542533077</v>
      </c>
      <c r="D21" s="172">
        <f t="shared" si="2"/>
        <v>49.815498154981555</v>
      </c>
      <c r="E21" s="172">
        <f t="shared" si="2"/>
        <v>49.910873440285201</v>
      </c>
      <c r="F21" s="172">
        <f t="shared" si="2"/>
        <v>48.333333333333336</v>
      </c>
      <c r="G21" s="172">
        <f t="shared" si="2"/>
        <v>50</v>
      </c>
      <c r="H21" s="172">
        <f t="shared" si="2"/>
        <v>48.676012461059194</v>
      </c>
      <c r="I21" s="172">
        <f t="shared" si="2"/>
        <v>49.167927382753405</v>
      </c>
      <c r="J21" s="172">
        <f t="shared" si="2"/>
        <v>50.557620817843862</v>
      </c>
      <c r="K21" s="172">
        <f t="shared" si="2"/>
        <v>52.227903579254928</v>
      </c>
      <c r="L21" s="172">
        <f>L$17/L19*100</f>
        <v>53.571428571428569</v>
      </c>
      <c r="M21" s="172">
        <f>M$17/M19*100</f>
        <v>51.666666666666671</v>
      </c>
      <c r="N21" s="171"/>
      <c r="O21" s="171">
        <f>M21-B21</f>
        <v>-0.35645472061656136</v>
      </c>
    </row>
    <row r="22" spans="1:15">
      <c r="A22" s="1016" t="s">
        <v>791</v>
      </c>
      <c r="N22" s="171"/>
      <c r="O22" s="171"/>
    </row>
    <row r="23" spans="1:15">
      <c r="A23" s="284" t="s">
        <v>489</v>
      </c>
      <c r="B23" s="170">
        <f>'[5]35a'!$H$35</f>
        <v>5.5</v>
      </c>
      <c r="C23" s="170">
        <f>'[5]35a'!$H$36</f>
        <v>5.5</v>
      </c>
      <c r="D23" s="170">
        <f>'[5]35a'!$H$37</f>
        <v>5.6</v>
      </c>
      <c r="E23" s="170">
        <f>'[5]35a'!$H$38</f>
        <v>5.7</v>
      </c>
      <c r="F23" s="170">
        <f>'[5]35a'!$H$39</f>
        <v>5.8</v>
      </c>
      <c r="G23" s="170">
        <f>'[5]35a'!$H$40</f>
        <v>6</v>
      </c>
      <c r="H23" s="170">
        <f>'[5]35a'!$H$41</f>
        <v>6.25</v>
      </c>
      <c r="I23" s="170">
        <f>'[5]35a'!$H$42</f>
        <v>6.5</v>
      </c>
      <c r="J23" s="170">
        <f>'[5]35a'!$H$43</f>
        <v>6.8</v>
      </c>
      <c r="K23" s="170">
        <f>'[5]35a'!$H$44</f>
        <v>7.15</v>
      </c>
      <c r="L23" s="170">
        <f>'[5]35a'!$H$45</f>
        <v>7.6</v>
      </c>
      <c r="M23" s="170">
        <f>'[5]35a'!$H$46</f>
        <v>8.1</v>
      </c>
      <c r="N23" s="171">
        <f>(POWER(M23/B23, 1/11)-1)*100</f>
        <v>3.5818940657146081</v>
      </c>
      <c r="O23" s="171"/>
    </row>
    <row r="24" spans="1:15">
      <c r="A24" s="284" t="s">
        <v>490</v>
      </c>
      <c r="B24" s="172">
        <f>$F$79</f>
        <v>12.87</v>
      </c>
      <c r="C24" s="172">
        <f>$F$80</f>
        <v>13.2</v>
      </c>
      <c r="D24" s="172">
        <f>$F$81</f>
        <v>13.45</v>
      </c>
      <c r="E24" s="172">
        <f>$F$82</f>
        <v>14.01</v>
      </c>
      <c r="F24" s="172">
        <f>$F$83</f>
        <v>14.53</v>
      </c>
      <c r="G24" s="172">
        <f>$F$84</f>
        <v>14.81</v>
      </c>
      <c r="H24" s="172">
        <f>$F$85</f>
        <v>15.42</v>
      </c>
      <c r="I24" s="172">
        <f>$F$86</f>
        <v>15.79</v>
      </c>
      <c r="J24" s="172">
        <f>$F$87</f>
        <v>16.239999999999998</v>
      </c>
      <c r="K24" s="172">
        <f>$F$88</f>
        <v>16.649999999999999</v>
      </c>
      <c r="L24" s="172">
        <f>$F$89</f>
        <v>17.53</v>
      </c>
      <c r="M24" s="172">
        <f>$F$90</f>
        <v>18.12</v>
      </c>
      <c r="N24" s="171">
        <f>(POWER(M24/B24, 1/11)-1)*100</f>
        <v>3.1590278034640651</v>
      </c>
      <c r="O24" s="171"/>
    </row>
    <row r="25" spans="1:15">
      <c r="A25" s="284" t="s">
        <v>494</v>
      </c>
      <c r="B25" s="172">
        <f>$F$91</f>
        <v>11.23</v>
      </c>
      <c r="C25" s="172">
        <f>$F$92</f>
        <v>11.54</v>
      </c>
      <c r="D25" s="172">
        <f>$F$93</f>
        <v>12</v>
      </c>
      <c r="E25" s="172">
        <f>$F$94</f>
        <v>12.21</v>
      </c>
      <c r="F25" s="172">
        <f>$F$95</f>
        <v>12.69</v>
      </c>
      <c r="G25" s="172">
        <f>$F$96</f>
        <v>12.93</v>
      </c>
      <c r="H25" s="172">
        <f>$F$97</f>
        <v>13.46</v>
      </c>
      <c r="I25" s="172">
        <f>$F$98</f>
        <v>13.88</v>
      </c>
      <c r="J25" s="172">
        <f>$F$99</f>
        <v>14</v>
      </c>
      <c r="K25" s="172">
        <f>$F$100</f>
        <v>14.47</v>
      </c>
      <c r="L25" s="172">
        <f>$F$101</f>
        <v>15.38</v>
      </c>
      <c r="M25" s="172">
        <f>$F$102</f>
        <v>15.38</v>
      </c>
      <c r="N25" s="171">
        <f>(POWER(M25/B25, 1/11)-1)*100</f>
        <v>2.9001606172602168</v>
      </c>
      <c r="O25" s="171"/>
    </row>
    <row r="26" spans="1:15">
      <c r="A26" s="284" t="s">
        <v>491</v>
      </c>
      <c r="B26" s="172">
        <f t="shared" ref="B26:K27" si="3">B$23/B24*100</f>
        <v>42.73504273504274</v>
      </c>
      <c r="C26" s="172">
        <f t="shared" si="3"/>
        <v>41.666666666666671</v>
      </c>
      <c r="D26" s="172">
        <f t="shared" si="3"/>
        <v>41.635687732342006</v>
      </c>
      <c r="E26" s="172">
        <f t="shared" si="3"/>
        <v>40.685224839400433</v>
      </c>
      <c r="F26" s="172">
        <f t="shared" si="3"/>
        <v>39.917412250516179</v>
      </c>
      <c r="G26" s="172">
        <f t="shared" si="3"/>
        <v>40.513166779203239</v>
      </c>
      <c r="H26" s="172">
        <f t="shared" si="3"/>
        <v>40.531776913099868</v>
      </c>
      <c r="I26" s="172">
        <f t="shared" si="3"/>
        <v>41.165294490183662</v>
      </c>
      <c r="J26" s="172">
        <f t="shared" si="3"/>
        <v>41.871921182266014</v>
      </c>
      <c r="K26" s="172">
        <f t="shared" si="3"/>
        <v>42.942942942942949</v>
      </c>
      <c r="L26" s="172">
        <f>L$23/L24*100</f>
        <v>43.35424985738733</v>
      </c>
      <c r="M26" s="172">
        <f>M$23/M24*100</f>
        <v>44.701986754966882</v>
      </c>
      <c r="N26" s="171"/>
      <c r="O26" s="171">
        <f>M26-B26</f>
        <v>1.9669440199241421</v>
      </c>
    </row>
    <row r="27" spans="1:15">
      <c r="A27" s="284" t="s">
        <v>495</v>
      </c>
      <c r="B27" s="172">
        <f t="shared" si="3"/>
        <v>48.975957257346394</v>
      </c>
      <c r="C27" s="172">
        <f t="shared" si="3"/>
        <v>47.660311958405551</v>
      </c>
      <c r="D27" s="172">
        <f t="shared" si="3"/>
        <v>46.666666666666664</v>
      </c>
      <c r="E27" s="172">
        <f t="shared" si="3"/>
        <v>46.683046683046683</v>
      </c>
      <c r="F27" s="172">
        <f t="shared" si="3"/>
        <v>45.70527974783294</v>
      </c>
      <c r="G27" s="172">
        <f t="shared" si="3"/>
        <v>46.403712296983763</v>
      </c>
      <c r="H27" s="172">
        <f t="shared" si="3"/>
        <v>46.433878157503713</v>
      </c>
      <c r="I27" s="172">
        <f t="shared" si="3"/>
        <v>46.829971181556196</v>
      </c>
      <c r="J27" s="172">
        <f t="shared" si="3"/>
        <v>48.571428571428569</v>
      </c>
      <c r="K27" s="172">
        <f t="shared" si="3"/>
        <v>49.41257774706289</v>
      </c>
      <c r="L27" s="172">
        <f>L$23/L25*100</f>
        <v>49.41482444733419</v>
      </c>
      <c r="M27" s="172">
        <f>M$23/M25*100</f>
        <v>52.665799739921972</v>
      </c>
      <c r="N27" s="171"/>
      <c r="O27" s="171">
        <f>M27-B27</f>
        <v>3.6898424825755782</v>
      </c>
    </row>
    <row r="28" spans="1:15">
      <c r="A28" s="1016" t="s">
        <v>792</v>
      </c>
      <c r="N28" s="171"/>
      <c r="O28" s="171"/>
    </row>
    <row r="29" spans="1:15">
      <c r="A29" s="284" t="s">
        <v>489</v>
      </c>
      <c r="B29" s="170">
        <f>'[5]35a'!$I$35</f>
        <v>5.5</v>
      </c>
      <c r="C29" s="170">
        <f>'[5]35a'!$I$36</f>
        <v>5.5</v>
      </c>
      <c r="D29" s="170">
        <f>'[5]35a'!$I$37</f>
        <v>5.5</v>
      </c>
      <c r="E29" s="170">
        <f>'[5]35a'!$I$38</f>
        <v>5.75</v>
      </c>
      <c r="F29" s="170">
        <f>'[5]35a'!$I$39</f>
        <v>5.9</v>
      </c>
      <c r="G29" s="170">
        <f>'[5]35a'!$I$40</f>
        <v>6</v>
      </c>
      <c r="H29" s="170">
        <f>'[5]35a'!$I$41</f>
        <v>6</v>
      </c>
      <c r="I29" s="170">
        <f>'[5]35a'!$I$42</f>
        <v>6.2</v>
      </c>
      <c r="J29" s="170">
        <f>'[5]35a'!$I$43</f>
        <v>6.3</v>
      </c>
      <c r="K29" s="170">
        <f>'[5]35a'!$I$44</f>
        <v>6.7</v>
      </c>
      <c r="L29" s="170">
        <f>'[5]35a'!$I$45</f>
        <v>7.25</v>
      </c>
      <c r="M29" s="170">
        <f>'[5]35a'!$I$46</f>
        <v>7.75</v>
      </c>
      <c r="N29" s="171">
        <f>(POWER(M29/B29, 1/11)-1)*100</f>
        <v>3.1667882062054398</v>
      </c>
      <c r="O29" s="171"/>
    </row>
    <row r="30" spans="1:15">
      <c r="A30" s="284" t="s">
        <v>490</v>
      </c>
      <c r="B30" s="172">
        <f>$G$79</f>
        <v>12.9</v>
      </c>
      <c r="C30" s="172">
        <f>$G$80</f>
        <v>13.12</v>
      </c>
      <c r="D30" s="172">
        <f>$G$81</f>
        <v>13.34</v>
      </c>
      <c r="E30" s="172">
        <f>$G$82</f>
        <v>14.01</v>
      </c>
      <c r="F30" s="172">
        <f>$G$83</f>
        <v>14.2</v>
      </c>
      <c r="G30" s="172">
        <f>$G$84</f>
        <v>14.45</v>
      </c>
      <c r="H30" s="172">
        <f>$G$85</f>
        <v>14.8</v>
      </c>
      <c r="I30" s="172">
        <f>$G$86</f>
        <v>15.21</v>
      </c>
      <c r="J30" s="172">
        <f>$G$87</f>
        <v>15.63</v>
      </c>
      <c r="K30" s="172">
        <f>$G$88</f>
        <v>16.21</v>
      </c>
      <c r="L30" s="172">
        <f>$G$89</f>
        <v>16.93</v>
      </c>
      <c r="M30" s="172">
        <f>$G$90</f>
        <v>17.79</v>
      </c>
      <c r="N30" s="171">
        <f>(POWER(M30/B30, 1/11)-1)*100</f>
        <v>2.9650080963132819</v>
      </c>
      <c r="O30" s="171"/>
    </row>
    <row r="31" spans="1:15">
      <c r="A31" s="284" t="s">
        <v>494</v>
      </c>
      <c r="B31" s="172">
        <f>$G$91</f>
        <v>11.54</v>
      </c>
      <c r="C31" s="172">
        <f>$G$92</f>
        <v>12</v>
      </c>
      <c r="D31" s="172">
        <f>$G$93</f>
        <v>12</v>
      </c>
      <c r="E31" s="172">
        <f>$G$94</f>
        <v>12.4</v>
      </c>
      <c r="F31" s="172">
        <f>$G$95</f>
        <v>12.5</v>
      </c>
      <c r="G31" s="172">
        <f>$G$96</f>
        <v>12.89</v>
      </c>
      <c r="H31" s="172">
        <f>$G$97</f>
        <v>13</v>
      </c>
      <c r="I31" s="172">
        <f>$G$98</f>
        <v>13.5</v>
      </c>
      <c r="J31" s="172">
        <f>$G$99</f>
        <v>13.75</v>
      </c>
      <c r="K31" s="172">
        <f>$G$100</f>
        <v>14.03</v>
      </c>
      <c r="L31" s="172">
        <f>$G$101</f>
        <v>14.98</v>
      </c>
      <c r="M31" s="172">
        <f>$G$102</f>
        <v>15.5</v>
      </c>
      <c r="N31" s="171">
        <f>(POWER(M31/B31, 1/11)-1)*100</f>
        <v>2.7182964436044177</v>
      </c>
      <c r="O31" s="171"/>
    </row>
    <row r="32" spans="1:15">
      <c r="A32" s="284" t="s">
        <v>491</v>
      </c>
      <c r="B32" s="172">
        <f t="shared" ref="B32:K33" si="4">B$29/B30*100</f>
        <v>42.63565891472868</v>
      </c>
      <c r="C32" s="172">
        <f t="shared" si="4"/>
        <v>41.920731707317074</v>
      </c>
      <c r="D32" s="172">
        <f t="shared" si="4"/>
        <v>41.229385307346327</v>
      </c>
      <c r="E32" s="172">
        <f t="shared" si="4"/>
        <v>41.042112776588155</v>
      </c>
      <c r="F32" s="172">
        <f t="shared" si="4"/>
        <v>41.549295774647895</v>
      </c>
      <c r="G32" s="172">
        <f t="shared" si="4"/>
        <v>41.522491349480973</v>
      </c>
      <c r="H32" s="172">
        <f t="shared" si="4"/>
        <v>40.54054054054054</v>
      </c>
      <c r="I32" s="172">
        <f t="shared" si="4"/>
        <v>40.762656147271528</v>
      </c>
      <c r="J32" s="172">
        <f t="shared" si="4"/>
        <v>40.307101727447211</v>
      </c>
      <c r="K32" s="172">
        <f t="shared" si="4"/>
        <v>41.332510795805057</v>
      </c>
      <c r="L32" s="172">
        <f>L$29/L30*100</f>
        <v>42.823390431187242</v>
      </c>
      <c r="M32" s="172">
        <f>M$29/M30*100</f>
        <v>43.563799887577289</v>
      </c>
      <c r="N32" s="171"/>
      <c r="O32" s="171">
        <f>M32-B32</f>
        <v>0.92814097284860964</v>
      </c>
    </row>
    <row r="33" spans="1:15">
      <c r="A33" s="284" t="s">
        <v>495</v>
      </c>
      <c r="B33" s="172">
        <f t="shared" si="4"/>
        <v>47.660311958405551</v>
      </c>
      <c r="C33" s="172">
        <f t="shared" si="4"/>
        <v>45.833333333333329</v>
      </c>
      <c r="D33" s="172">
        <f t="shared" si="4"/>
        <v>45.833333333333329</v>
      </c>
      <c r="E33" s="172">
        <f t="shared" si="4"/>
        <v>46.37096774193548</v>
      </c>
      <c r="F33" s="172">
        <f t="shared" si="4"/>
        <v>47.2</v>
      </c>
      <c r="G33" s="172">
        <f t="shared" si="4"/>
        <v>46.547711404189293</v>
      </c>
      <c r="H33" s="172">
        <f t="shared" si="4"/>
        <v>46.153846153846153</v>
      </c>
      <c r="I33" s="172">
        <f t="shared" si="4"/>
        <v>45.925925925925924</v>
      </c>
      <c r="J33" s="172">
        <f t="shared" si="4"/>
        <v>45.81818181818182</v>
      </c>
      <c r="K33" s="172">
        <f t="shared" si="4"/>
        <v>47.754811119030656</v>
      </c>
      <c r="L33" s="172">
        <f>L$29/L31*100</f>
        <v>48.397863818424561</v>
      </c>
      <c r="M33" s="172">
        <f>M$29/M31*100</f>
        <v>50</v>
      </c>
      <c r="N33" s="171"/>
      <c r="O33" s="171">
        <f>M33-B33</f>
        <v>2.3396880415944494</v>
      </c>
    </row>
    <row r="34" spans="1:15">
      <c r="A34" s="1016" t="s">
        <v>1041</v>
      </c>
      <c r="N34" s="171"/>
      <c r="O34" s="171"/>
    </row>
    <row r="35" spans="1:15">
      <c r="A35" s="284" t="s">
        <v>489</v>
      </c>
      <c r="B35" s="170">
        <f>'[5]35a'!$J$35</f>
        <v>6.8</v>
      </c>
      <c r="C35" s="170">
        <f>'[5]35a'!$J$36</f>
        <v>6.9</v>
      </c>
      <c r="D35" s="170">
        <f>'[5]35a'!$J$37</f>
        <v>6.9</v>
      </c>
      <c r="E35" s="170">
        <f>'[5]35a'!$J$38</f>
        <v>6.9</v>
      </c>
      <c r="F35" s="170">
        <f>'[5]35a'!$J$39</f>
        <v>7</v>
      </c>
      <c r="G35" s="170">
        <f>'[5]35a'!$J$40</f>
        <v>7.2</v>
      </c>
      <c r="H35" s="170">
        <f>'[5]35a'!$J$41</f>
        <v>7.3</v>
      </c>
      <c r="I35" s="170">
        <f>'[5]35a'!$J$42</f>
        <v>7.45</v>
      </c>
      <c r="J35" s="170">
        <f>'[5]35a'!$J$43</f>
        <v>7.6</v>
      </c>
      <c r="K35" s="170">
        <f>'[5]35a'!$J$44</f>
        <v>7.75</v>
      </c>
      <c r="L35" s="170">
        <f>'[5]35a'!$J$45</f>
        <v>8</v>
      </c>
      <c r="M35" s="170">
        <f>'[5]35a'!$J$46</f>
        <v>8.5</v>
      </c>
      <c r="N35" s="171">
        <f>(POWER(M35/B35, 1/11)-1)*100</f>
        <v>2.0492932168465039</v>
      </c>
      <c r="O35" s="171"/>
    </row>
    <row r="36" spans="1:15">
      <c r="A36" s="284" t="s">
        <v>490</v>
      </c>
      <c r="B36" s="172">
        <f>$H$79</f>
        <v>15.32</v>
      </c>
      <c r="C36" s="172">
        <f>$H$80</f>
        <v>15.49</v>
      </c>
      <c r="D36" s="172">
        <f>$H$81</f>
        <v>15.72</v>
      </c>
      <c r="E36" s="172">
        <f>$H$82</f>
        <v>16.07</v>
      </c>
      <c r="F36" s="172">
        <f>$H$83</f>
        <v>16.63</v>
      </c>
      <c r="G36" s="172">
        <f>$H$84</f>
        <v>16.97</v>
      </c>
      <c r="H36" s="172">
        <f>$H$85</f>
        <v>17.420000000000002</v>
      </c>
      <c r="I36" s="172">
        <f>$H$86</f>
        <v>17.989999999999998</v>
      </c>
      <c r="J36" s="172">
        <f>$H$87</f>
        <v>18.43</v>
      </c>
      <c r="K36" s="172">
        <f>$H$88</f>
        <v>18.87</v>
      </c>
      <c r="L36" s="172">
        <f>$H$89</f>
        <v>19.350000000000001</v>
      </c>
      <c r="M36" s="172">
        <f>$H90</f>
        <v>20.03</v>
      </c>
      <c r="N36" s="171">
        <f>(POWER(M36/B36, 1/11)-1)*100</f>
        <v>2.4669560369851018</v>
      </c>
      <c r="O36" s="171"/>
    </row>
    <row r="37" spans="1:15">
      <c r="A37" s="284" t="s">
        <v>494</v>
      </c>
      <c r="B37" s="172">
        <f>$H$91</f>
        <v>13.75</v>
      </c>
      <c r="C37" s="172">
        <f>$H$92</f>
        <v>14</v>
      </c>
      <c r="D37" s="172">
        <f>$H$93</f>
        <v>14</v>
      </c>
      <c r="E37" s="172">
        <f>$H$94</f>
        <v>14.42</v>
      </c>
      <c r="F37" s="172">
        <f>$H$95</f>
        <v>15</v>
      </c>
      <c r="G37" s="172">
        <f>$H$96</f>
        <v>15</v>
      </c>
      <c r="H37" s="172">
        <f>$H$97</f>
        <v>15.38</v>
      </c>
      <c r="I37" s="172">
        <f>$H$98</f>
        <v>16</v>
      </c>
      <c r="J37" s="172">
        <f>$H$99</f>
        <v>16.32</v>
      </c>
      <c r="K37" s="172">
        <f>$H$100</f>
        <v>16.649999999999999</v>
      </c>
      <c r="L37" s="172">
        <f>$H$101</f>
        <v>17</v>
      </c>
      <c r="M37" s="172">
        <f>$H$102</f>
        <v>17.79</v>
      </c>
      <c r="N37" s="171">
        <f>(POWER(M37/B37, 1/11)-1)*100</f>
        <v>2.3694324361024144</v>
      </c>
      <c r="O37" s="171"/>
    </row>
    <row r="38" spans="1:15">
      <c r="A38" s="284" t="s">
        <v>491</v>
      </c>
      <c r="B38" s="172">
        <f t="shared" ref="B38:K39" si="5">B$35/B36*100</f>
        <v>44.386422976501308</v>
      </c>
      <c r="C38" s="172">
        <f t="shared" si="5"/>
        <v>44.544867656552618</v>
      </c>
      <c r="D38" s="172">
        <f t="shared" si="5"/>
        <v>43.893129770992367</v>
      </c>
      <c r="E38" s="172">
        <f t="shared" si="5"/>
        <v>42.937149968886125</v>
      </c>
      <c r="F38" s="172">
        <f t="shared" si="5"/>
        <v>42.09260372820205</v>
      </c>
      <c r="G38" s="172">
        <f t="shared" si="5"/>
        <v>42.42781378903949</v>
      </c>
      <c r="H38" s="172">
        <f t="shared" si="5"/>
        <v>41.905855338691154</v>
      </c>
      <c r="I38" s="172">
        <f t="shared" si="5"/>
        <v>41.411895497498612</v>
      </c>
      <c r="J38" s="172">
        <f t="shared" si="5"/>
        <v>41.237113402061851</v>
      </c>
      <c r="K38" s="172">
        <f t="shared" si="5"/>
        <v>41.070482246952835</v>
      </c>
      <c r="L38" s="172">
        <f>L$35/L36*100</f>
        <v>41.343669250645995</v>
      </c>
      <c r="M38" s="172">
        <f>M$35/M36*100</f>
        <v>42.43634548177733</v>
      </c>
      <c r="N38" s="171"/>
      <c r="O38" s="171">
        <f>M38-B38</f>
        <v>-1.9500774947239776</v>
      </c>
    </row>
    <row r="39" spans="1:15">
      <c r="A39" s="284" t="s">
        <v>495</v>
      </c>
      <c r="B39" s="172">
        <f t="shared" si="5"/>
        <v>49.454545454545453</v>
      </c>
      <c r="C39" s="172">
        <f t="shared" si="5"/>
        <v>49.285714285714292</v>
      </c>
      <c r="D39" s="172">
        <f t="shared" si="5"/>
        <v>49.285714285714292</v>
      </c>
      <c r="E39" s="172">
        <f t="shared" si="5"/>
        <v>47.850208044382804</v>
      </c>
      <c r="F39" s="172">
        <f t="shared" si="5"/>
        <v>46.666666666666664</v>
      </c>
      <c r="G39" s="172">
        <f t="shared" si="5"/>
        <v>48.000000000000007</v>
      </c>
      <c r="H39" s="172">
        <f t="shared" si="5"/>
        <v>47.46423927178153</v>
      </c>
      <c r="I39" s="172">
        <f t="shared" si="5"/>
        <v>46.5625</v>
      </c>
      <c r="J39" s="172">
        <f t="shared" si="5"/>
        <v>46.568627450980387</v>
      </c>
      <c r="K39" s="172">
        <f t="shared" si="5"/>
        <v>46.546546546546551</v>
      </c>
      <c r="L39" s="172">
        <f>L$35/L37*100</f>
        <v>47.058823529411761</v>
      </c>
      <c r="M39" s="172">
        <f>M$35/M37*100</f>
        <v>47.779651489600901</v>
      </c>
      <c r="N39" s="171"/>
      <c r="O39" s="171">
        <f>M39-B39</f>
        <v>-1.6748939649445518</v>
      </c>
    </row>
    <row r="40" spans="1:15">
      <c r="A40" s="1016" t="s">
        <v>738</v>
      </c>
      <c r="N40" s="171"/>
      <c r="O40" s="171"/>
    </row>
    <row r="41" spans="1:15">
      <c r="A41" s="284" t="s">
        <v>489</v>
      </c>
      <c r="B41" s="170">
        <f>'[5]35a'!$K$35</f>
        <v>6.85</v>
      </c>
      <c r="C41" s="170">
        <f>'[5]35a'!$K$36</f>
        <v>6.85</v>
      </c>
      <c r="D41" s="170">
        <f>'[5]35a'!$K$37</f>
        <v>6.85</v>
      </c>
      <c r="E41" s="170">
        <f>'[5]35a'!$K$38</f>
        <v>6.85</v>
      </c>
      <c r="F41" s="170">
        <f>'[5]35a'!$K$39</f>
        <v>6.85</v>
      </c>
      <c r="G41" s="170">
        <f>'[5]35a'!$K$40</f>
        <v>6.85</v>
      </c>
      <c r="H41" s="170">
        <f>'[5]35a'!$K$41</f>
        <v>6.85</v>
      </c>
      <c r="I41" s="170">
        <f>'[5]35a'!$K$42</f>
        <v>7.15</v>
      </c>
      <c r="J41" s="170">
        <f>'[5]35a'!$K$43</f>
        <v>7.45</v>
      </c>
      <c r="K41" s="170">
        <f>'[5]35a'!$K$44</f>
        <v>7.75</v>
      </c>
      <c r="L41" s="170">
        <f>'[5]35a'!$K$45</f>
        <v>8</v>
      </c>
      <c r="M41" s="170">
        <f>'[5]35a'!$K$46</f>
        <v>8.75</v>
      </c>
      <c r="N41" s="171">
        <f>(POWER(M41/B41, 1/11)-1)*100</f>
        <v>2.2504494344709247</v>
      </c>
      <c r="O41" s="171"/>
    </row>
    <row r="42" spans="1:15">
      <c r="A42" s="284" t="s">
        <v>490</v>
      </c>
      <c r="B42" s="172">
        <f>$I$79</f>
        <v>16.329999999999998</v>
      </c>
      <c r="C42" s="172">
        <f>$I$80</f>
        <v>16.48</v>
      </c>
      <c r="D42" s="172">
        <f>$I$81</f>
        <v>17</v>
      </c>
      <c r="E42" s="172">
        <f>$I$82</f>
        <v>17.59</v>
      </c>
      <c r="F42" s="172">
        <f>$I$83</f>
        <v>18.170000000000002</v>
      </c>
      <c r="G42" s="172">
        <f>$I$84</f>
        <v>18.54</v>
      </c>
      <c r="H42" s="172">
        <f>$I$85</f>
        <v>18.88</v>
      </c>
      <c r="I42" s="172">
        <f>$I$86</f>
        <v>19.43</v>
      </c>
      <c r="J42" s="172">
        <f>$I$87</f>
        <v>20.059999999999999</v>
      </c>
      <c r="K42" s="172">
        <f>$I$88</f>
        <v>20.65</v>
      </c>
      <c r="L42" s="172">
        <f>$I$89</f>
        <v>21.27</v>
      </c>
      <c r="M42" s="172">
        <f>$I$90</f>
        <v>22.15</v>
      </c>
      <c r="N42" s="171">
        <f>(POWER(M42/B42, 1/11)-1)*100</f>
        <v>2.8099697671058799</v>
      </c>
      <c r="O42" s="171"/>
    </row>
    <row r="43" spans="1:15">
      <c r="A43" s="284" t="s">
        <v>494</v>
      </c>
      <c r="B43" s="172">
        <f>$I$91</f>
        <v>14.9</v>
      </c>
      <c r="C43" s="172">
        <f>$I$92</f>
        <v>15</v>
      </c>
      <c r="D43" s="172">
        <f>$I$93</f>
        <v>15</v>
      </c>
      <c r="E43" s="172">
        <f>$I$94</f>
        <v>15.82</v>
      </c>
      <c r="F43" s="172">
        <f>$I$95</f>
        <v>16.149999999999999</v>
      </c>
      <c r="G43" s="172">
        <f>$I$96</f>
        <v>16.48</v>
      </c>
      <c r="H43" s="172">
        <f>$I$97</f>
        <v>16.829999999999998</v>
      </c>
      <c r="I43" s="172">
        <f>$I$98</f>
        <v>17.14</v>
      </c>
      <c r="J43" s="172">
        <f>$I$99</f>
        <v>17.95</v>
      </c>
      <c r="K43" s="172">
        <f>$I$100</f>
        <v>18</v>
      </c>
      <c r="L43" s="172">
        <f>$I$101</f>
        <v>18.75</v>
      </c>
      <c r="M43" s="172">
        <f>$I$102</f>
        <v>19.3</v>
      </c>
      <c r="N43" s="171">
        <f>(POWER(M43/B43, 1/11)-1)*100</f>
        <v>2.3800999369327114</v>
      </c>
      <c r="O43" s="171"/>
    </row>
    <row r="44" spans="1:15">
      <c r="A44" s="284" t="s">
        <v>491</v>
      </c>
      <c r="B44" s="172">
        <f t="shared" ref="B44:K45" si="6">B$41/B42*100</f>
        <v>41.947336191059406</v>
      </c>
      <c r="C44" s="172">
        <f t="shared" si="6"/>
        <v>41.565533980582522</v>
      </c>
      <c r="D44" s="172">
        <f t="shared" si="6"/>
        <v>40.294117647058819</v>
      </c>
      <c r="E44" s="172">
        <f t="shared" si="6"/>
        <v>38.9425810119386</v>
      </c>
      <c r="F44" s="172">
        <f t="shared" si="6"/>
        <v>37.699504678040718</v>
      </c>
      <c r="G44" s="172">
        <f t="shared" si="6"/>
        <v>36.947141316073356</v>
      </c>
      <c r="H44" s="172">
        <f t="shared" si="6"/>
        <v>36.281779661016948</v>
      </c>
      <c r="I44" s="172">
        <f t="shared" si="6"/>
        <v>36.798764796706131</v>
      </c>
      <c r="J44" s="172">
        <f t="shared" si="6"/>
        <v>37.13858424725823</v>
      </c>
      <c r="K44" s="172">
        <f t="shared" si="6"/>
        <v>37.530266343825666</v>
      </c>
      <c r="L44" s="172">
        <f>L$41/L42*100</f>
        <v>37.611659614480494</v>
      </c>
      <c r="M44" s="172">
        <f>M$41/M42*100</f>
        <v>39.503386004514674</v>
      </c>
      <c r="N44" s="171"/>
      <c r="O44" s="171">
        <f>M44-B44</f>
        <v>-2.4439501865447326</v>
      </c>
    </row>
    <row r="45" spans="1:15">
      <c r="A45" s="284" t="s">
        <v>495</v>
      </c>
      <c r="B45" s="172">
        <f t="shared" si="6"/>
        <v>45.973154362416103</v>
      </c>
      <c r="C45" s="172">
        <f t="shared" si="6"/>
        <v>45.666666666666664</v>
      </c>
      <c r="D45" s="172">
        <f t="shared" si="6"/>
        <v>45.666666666666664</v>
      </c>
      <c r="E45" s="172">
        <f t="shared" si="6"/>
        <v>43.29962073324905</v>
      </c>
      <c r="F45" s="172">
        <f t="shared" si="6"/>
        <v>42.414860681114554</v>
      </c>
      <c r="G45" s="172">
        <f t="shared" si="6"/>
        <v>41.565533980582522</v>
      </c>
      <c r="H45" s="172">
        <f t="shared" si="6"/>
        <v>40.701128936423061</v>
      </c>
      <c r="I45" s="172">
        <f t="shared" si="6"/>
        <v>41.715285880980161</v>
      </c>
      <c r="J45" s="172">
        <f t="shared" si="6"/>
        <v>41.504178272980504</v>
      </c>
      <c r="K45" s="172">
        <f t="shared" si="6"/>
        <v>43.055555555555557</v>
      </c>
      <c r="L45" s="172">
        <f>L$41/L43*100</f>
        <v>42.666666666666671</v>
      </c>
      <c r="M45" s="172">
        <f>M$41/M43*100</f>
        <v>45.336787564766837</v>
      </c>
      <c r="N45" s="171"/>
      <c r="O45" s="171">
        <f>M45-B45</f>
        <v>-0.6363667976492664</v>
      </c>
    </row>
    <row r="46" spans="1:15">
      <c r="A46" s="1016" t="s">
        <v>739</v>
      </c>
      <c r="N46" s="171"/>
      <c r="O46" s="171"/>
    </row>
    <row r="47" spans="1:15">
      <c r="A47" s="284" t="s">
        <v>489</v>
      </c>
      <c r="B47" s="170">
        <f>'[5]35a'!$L$35</f>
        <v>5.4</v>
      </c>
      <c r="C47" s="170">
        <f>'[5]35a'!$L$36</f>
        <v>5.4</v>
      </c>
      <c r="D47" s="170">
        <f>'[5]35a'!$L$37</f>
        <v>6</v>
      </c>
      <c r="E47" s="170">
        <f>'[5]35a'!$L$38</f>
        <v>6</v>
      </c>
      <c r="F47" s="170">
        <f>'[5]35a'!$L$39</f>
        <v>6.25</v>
      </c>
      <c r="G47" s="170">
        <f>'[5]35a'!$L$40</f>
        <v>6.5</v>
      </c>
      <c r="H47" s="170">
        <f>'[5]35a'!$L$41</f>
        <v>6.75</v>
      </c>
      <c r="I47" s="170">
        <f>'[5]35a'!$L$42</f>
        <v>7</v>
      </c>
      <c r="J47" s="170">
        <f>'[5]35a'!$L$43</f>
        <v>7.25</v>
      </c>
      <c r="K47" s="170">
        <f>'[5]35a'!$L$44</f>
        <v>7.6</v>
      </c>
      <c r="L47" s="170">
        <f>'[5]35a'!$L$45</f>
        <v>8</v>
      </c>
      <c r="M47" s="170">
        <f>'[5]35a'!$L$46</f>
        <v>8.5</v>
      </c>
      <c r="N47" s="171">
        <f>(POWER(M47/B47, 1/11)-1)*100</f>
        <v>4.210475783658052</v>
      </c>
      <c r="O47" s="171"/>
    </row>
    <row r="48" spans="1:15">
      <c r="A48" s="284" t="s">
        <v>490</v>
      </c>
      <c r="B48" s="172">
        <f>$J$79</f>
        <v>13.81</v>
      </c>
      <c r="C48" s="172">
        <f>$J$80</f>
        <v>14.04</v>
      </c>
      <c r="D48" s="172">
        <f>$J$81</f>
        <v>14.48</v>
      </c>
      <c r="E48" s="172">
        <f>$J$82</f>
        <v>14.98</v>
      </c>
      <c r="F48" s="172">
        <f>$J$83</f>
        <v>15.34</v>
      </c>
      <c r="G48" s="172">
        <f>$J$84</f>
        <v>15.72</v>
      </c>
      <c r="H48" s="172">
        <f>$J$85</f>
        <v>16.059999999999999</v>
      </c>
      <c r="I48" s="172">
        <f>$J$86</f>
        <v>16.739999999999998</v>
      </c>
      <c r="J48" s="172">
        <f>$J$87</f>
        <v>17.170000000000002</v>
      </c>
      <c r="K48" s="172">
        <f>$J$88</f>
        <v>17.55</v>
      </c>
      <c r="L48" s="172">
        <f>$J$89</f>
        <v>18.420000000000002</v>
      </c>
      <c r="M48" s="172">
        <f>$J$90</f>
        <v>19.239999999999998</v>
      </c>
      <c r="N48" s="171">
        <f>(POWER(M48/B48, 1/11)-1)*100</f>
        <v>3.06042865351972</v>
      </c>
      <c r="O48" s="171"/>
    </row>
    <row r="49" spans="1:15">
      <c r="A49" s="284" t="s">
        <v>494</v>
      </c>
      <c r="B49" s="172">
        <f>$J$91</f>
        <v>12.3</v>
      </c>
      <c r="C49" s="172">
        <f>$J$92</f>
        <v>12.39</v>
      </c>
      <c r="D49" s="172">
        <f>$J$93</f>
        <v>12.82</v>
      </c>
      <c r="E49" s="172">
        <f>$J$94</f>
        <v>13.19</v>
      </c>
      <c r="F49" s="172">
        <f>$J$95</f>
        <v>13.36</v>
      </c>
      <c r="G49" s="172">
        <f>$J$96</f>
        <v>14</v>
      </c>
      <c r="H49" s="172">
        <f>$J$97</f>
        <v>14</v>
      </c>
      <c r="I49" s="172">
        <f>$J$98</f>
        <v>14.5</v>
      </c>
      <c r="J49" s="172">
        <f>$J$99</f>
        <v>15</v>
      </c>
      <c r="K49" s="172">
        <f>$J$100</f>
        <v>15.03</v>
      </c>
      <c r="L49" s="172">
        <f>$J$101</f>
        <v>16</v>
      </c>
      <c r="M49" s="172">
        <f>$J$102</f>
        <v>17</v>
      </c>
      <c r="N49" s="171">
        <f>(POWER(M49/B49, 1/11)-1)*100</f>
        <v>2.9856489519670459</v>
      </c>
      <c r="O49" s="171"/>
    </row>
    <row r="50" spans="1:15">
      <c r="A50" s="284" t="s">
        <v>491</v>
      </c>
      <c r="B50" s="172">
        <f t="shared" ref="B50:K51" si="7">B$47/B48*100</f>
        <v>39.102099927588711</v>
      </c>
      <c r="C50" s="172">
        <f t="shared" si="7"/>
        <v>38.461538461538467</v>
      </c>
      <c r="D50" s="172">
        <f t="shared" si="7"/>
        <v>41.436464088397791</v>
      </c>
      <c r="E50" s="172">
        <f t="shared" si="7"/>
        <v>40.053404539385845</v>
      </c>
      <c r="F50" s="172">
        <f t="shared" si="7"/>
        <v>40.743155149934815</v>
      </c>
      <c r="G50" s="172">
        <f t="shared" si="7"/>
        <v>41.348600508905854</v>
      </c>
      <c r="H50" s="172">
        <f t="shared" si="7"/>
        <v>42.029887920298883</v>
      </c>
      <c r="I50" s="172">
        <f t="shared" si="7"/>
        <v>41.816009557945044</v>
      </c>
      <c r="J50" s="172">
        <f t="shared" si="7"/>
        <v>42.224810716365752</v>
      </c>
      <c r="K50" s="172">
        <f t="shared" si="7"/>
        <v>43.304843304843303</v>
      </c>
      <c r="L50" s="172">
        <f>L$47/L48*100</f>
        <v>43.431053203040172</v>
      </c>
      <c r="M50" s="172">
        <f>M$47/M48*100</f>
        <v>44.178794178794185</v>
      </c>
      <c r="N50" s="171"/>
      <c r="O50" s="171">
        <f>M50-B50</f>
        <v>5.076694251205474</v>
      </c>
    </row>
    <row r="51" spans="1:15">
      <c r="A51" s="284" t="s">
        <v>495</v>
      </c>
      <c r="B51" s="172">
        <f t="shared" si="7"/>
        <v>43.902439024390247</v>
      </c>
      <c r="C51" s="172">
        <f t="shared" si="7"/>
        <v>43.583535108958834</v>
      </c>
      <c r="D51" s="172">
        <f t="shared" si="7"/>
        <v>46.801872074882994</v>
      </c>
      <c r="E51" s="172">
        <f t="shared" si="7"/>
        <v>45.489006823351026</v>
      </c>
      <c r="F51" s="172">
        <f t="shared" si="7"/>
        <v>46.781437125748504</v>
      </c>
      <c r="G51" s="172">
        <f t="shared" si="7"/>
        <v>46.428571428571431</v>
      </c>
      <c r="H51" s="172">
        <f t="shared" si="7"/>
        <v>48.214285714285715</v>
      </c>
      <c r="I51" s="172">
        <f t="shared" si="7"/>
        <v>48.275862068965516</v>
      </c>
      <c r="J51" s="172">
        <f t="shared" si="7"/>
        <v>48.333333333333336</v>
      </c>
      <c r="K51" s="172">
        <f t="shared" si="7"/>
        <v>50.565535595475723</v>
      </c>
      <c r="L51" s="172">
        <f>L$47/L49*100</f>
        <v>50</v>
      </c>
      <c r="M51" s="172">
        <f>M$47/M49*100</f>
        <v>50</v>
      </c>
      <c r="N51" s="171"/>
      <c r="O51" s="171">
        <f>M51-B51</f>
        <v>6.0975609756097526</v>
      </c>
    </row>
    <row r="52" spans="1:15">
      <c r="A52" s="1016" t="s">
        <v>740</v>
      </c>
      <c r="N52" s="171"/>
      <c r="O52" s="171"/>
    </row>
    <row r="53" spans="1:15">
      <c r="A53" s="284" t="s">
        <v>489</v>
      </c>
      <c r="B53" s="170">
        <f>'[5]35a'!$M$35</f>
        <v>5.6</v>
      </c>
      <c r="C53" s="170">
        <f>'[5]35a'!$M$36</f>
        <v>5.6</v>
      </c>
      <c r="D53" s="170">
        <f>'[5]35a'!$M$37</f>
        <v>6</v>
      </c>
      <c r="E53" s="170">
        <f>'[5]35a'!$M$38</f>
        <v>6</v>
      </c>
      <c r="F53" s="170">
        <f>'[5]35a'!$M$39</f>
        <v>6</v>
      </c>
      <c r="G53" s="170">
        <f>'[5]35a'!$M$40</f>
        <v>6.5</v>
      </c>
      <c r="H53" s="170">
        <f>'[5]35a'!$M$41</f>
        <v>6.65</v>
      </c>
      <c r="I53" s="170">
        <f>'[5]35a'!$M$42</f>
        <v>6.65</v>
      </c>
      <c r="J53" s="170">
        <f>'[5]35a'!$M$43</f>
        <v>7.05</v>
      </c>
      <c r="K53" s="170">
        <f>'[5]35a'!$M$44</f>
        <v>7.55</v>
      </c>
      <c r="L53" s="170">
        <f>'[5]35a'!$M$45</f>
        <v>7.95</v>
      </c>
      <c r="M53" s="170">
        <f>'[5]35a'!$M$46</f>
        <v>8.6</v>
      </c>
      <c r="N53" s="171">
        <f>(POWER(M53/B53, 1/11)-1)*100</f>
        <v>3.9770068263667913</v>
      </c>
      <c r="O53" s="171"/>
    </row>
    <row r="54" spans="1:15">
      <c r="A54" s="284" t="s">
        <v>490</v>
      </c>
      <c r="B54" s="172">
        <f>$K$79</f>
        <v>13.55</v>
      </c>
      <c r="C54" s="172">
        <f>$K$80</f>
        <v>13.76</v>
      </c>
      <c r="D54" s="172">
        <f>$K$81</f>
        <v>14.21</v>
      </c>
      <c r="E54" s="172">
        <f>$K$82</f>
        <v>14.73</v>
      </c>
      <c r="F54" s="172">
        <f>$K$83</f>
        <v>15.35</v>
      </c>
      <c r="G54" s="172">
        <f>$K$84</f>
        <v>15.83</v>
      </c>
      <c r="H54" s="172">
        <f>$K$85</f>
        <v>16.420000000000002</v>
      </c>
      <c r="I54" s="172">
        <f>$K$86</f>
        <v>16.940000000000001</v>
      </c>
      <c r="J54" s="172">
        <f>$K$87</f>
        <v>17.28</v>
      </c>
      <c r="K54" s="172">
        <f>$K$88</f>
        <v>18.11</v>
      </c>
      <c r="L54" s="172">
        <f>$K$89</f>
        <v>19</v>
      </c>
      <c r="M54" s="172">
        <f>$K$90</f>
        <v>20.34</v>
      </c>
      <c r="N54" s="171">
        <f>(POWER(M54/B54, 1/11)-1)*100</f>
        <v>3.7617823203876188</v>
      </c>
      <c r="O54" s="171"/>
    </row>
    <row r="55" spans="1:15">
      <c r="A55" s="284" t="s">
        <v>494</v>
      </c>
      <c r="B55" s="172">
        <f>$K$91</f>
        <v>12</v>
      </c>
      <c r="C55" s="172">
        <f>$K$92</f>
        <v>12.31</v>
      </c>
      <c r="D55" s="172">
        <f>$K$93</f>
        <v>12.69</v>
      </c>
      <c r="E55" s="172">
        <f>$K$94</f>
        <v>13</v>
      </c>
      <c r="F55" s="172">
        <f>$K$95</f>
        <v>13.85</v>
      </c>
      <c r="G55" s="172">
        <f>$K$96</f>
        <v>14</v>
      </c>
      <c r="H55" s="172">
        <f>$K$97</f>
        <v>14.7</v>
      </c>
      <c r="I55" s="172">
        <f>$K$98</f>
        <v>15</v>
      </c>
      <c r="J55" s="172">
        <f>$K$99</f>
        <v>15.38</v>
      </c>
      <c r="K55" s="172">
        <f>$K$100</f>
        <v>16</v>
      </c>
      <c r="L55" s="172">
        <f>$K$101</f>
        <v>17</v>
      </c>
      <c r="M55" s="172">
        <f>$K$102</f>
        <v>18</v>
      </c>
      <c r="N55" s="171">
        <f>(POWER(M55/B55, 1/11)-1)*100</f>
        <v>3.7548235793918971</v>
      </c>
      <c r="O55" s="171"/>
    </row>
    <row r="56" spans="1:15">
      <c r="A56" s="284" t="s">
        <v>491</v>
      </c>
      <c r="B56" s="172">
        <f t="shared" ref="B56:K57" si="8">B$53/B54*100</f>
        <v>41.328413284132836</v>
      </c>
      <c r="C56" s="172">
        <f t="shared" si="8"/>
        <v>40.697674418604649</v>
      </c>
      <c r="D56" s="172">
        <f t="shared" si="8"/>
        <v>42.223786066150595</v>
      </c>
      <c r="E56" s="172">
        <f t="shared" si="8"/>
        <v>40.733197556008143</v>
      </c>
      <c r="F56" s="172">
        <f t="shared" si="8"/>
        <v>39.087947882736159</v>
      </c>
      <c r="G56" s="172">
        <f t="shared" si="8"/>
        <v>41.0612760581175</v>
      </c>
      <c r="H56" s="172">
        <f t="shared" si="8"/>
        <v>40.499390986601703</v>
      </c>
      <c r="I56" s="172">
        <f t="shared" si="8"/>
        <v>39.256198347107436</v>
      </c>
      <c r="J56" s="172">
        <f t="shared" si="8"/>
        <v>40.798611111111107</v>
      </c>
      <c r="K56" s="172">
        <f t="shared" si="8"/>
        <v>41.689674213141906</v>
      </c>
      <c r="L56" s="172">
        <f>L$53/L54*100</f>
        <v>41.842105263157897</v>
      </c>
      <c r="M56" s="172">
        <f>M$53/M54*100</f>
        <v>42.281219272369711</v>
      </c>
      <c r="N56" s="171"/>
      <c r="O56" s="171">
        <f>M56-B56</f>
        <v>0.95280598823687512</v>
      </c>
    </row>
    <row r="57" spans="1:15">
      <c r="A57" s="284" t="s">
        <v>495</v>
      </c>
      <c r="B57" s="172">
        <f t="shared" si="8"/>
        <v>46.666666666666664</v>
      </c>
      <c r="C57" s="172">
        <f t="shared" si="8"/>
        <v>45.491470349309502</v>
      </c>
      <c r="D57" s="172">
        <f t="shared" si="8"/>
        <v>47.281323877068559</v>
      </c>
      <c r="E57" s="172">
        <f t="shared" si="8"/>
        <v>46.153846153846153</v>
      </c>
      <c r="F57" s="172">
        <f t="shared" si="8"/>
        <v>43.321299638989167</v>
      </c>
      <c r="G57" s="172">
        <f t="shared" si="8"/>
        <v>46.428571428571431</v>
      </c>
      <c r="H57" s="172">
        <f t="shared" si="8"/>
        <v>45.238095238095241</v>
      </c>
      <c r="I57" s="172">
        <f t="shared" si="8"/>
        <v>44.333333333333336</v>
      </c>
      <c r="J57" s="172">
        <f t="shared" si="8"/>
        <v>45.838751625487646</v>
      </c>
      <c r="K57" s="172">
        <f t="shared" si="8"/>
        <v>47.1875</v>
      </c>
      <c r="L57" s="172">
        <f>L$53/L55*100</f>
        <v>46.764705882352942</v>
      </c>
      <c r="M57" s="172">
        <f>M$53/M55*100</f>
        <v>47.777777777777771</v>
      </c>
      <c r="N57" s="171"/>
      <c r="O57" s="171">
        <f>M57-B57</f>
        <v>1.1111111111111072</v>
      </c>
    </row>
    <row r="58" spans="1:15">
      <c r="A58" s="1016" t="s">
        <v>741</v>
      </c>
      <c r="N58" s="171"/>
      <c r="O58" s="171"/>
    </row>
    <row r="59" spans="1:15">
      <c r="A59" s="284" t="s">
        <v>489</v>
      </c>
      <c r="B59" s="170">
        <f>'[5]35a'!$N$35</f>
        <v>5</v>
      </c>
      <c r="C59" s="170">
        <f>'[5]35a'!$N$36</f>
        <v>5.4</v>
      </c>
      <c r="D59" s="170">
        <f>'[5]35a'!$N$37</f>
        <v>5.7750000000000004</v>
      </c>
      <c r="E59" s="170">
        <f>'[5]35a'!$N$38</f>
        <v>5.9</v>
      </c>
      <c r="F59" s="170">
        <f>'[5]35a'!$N$39</f>
        <v>5.9</v>
      </c>
      <c r="G59" s="170">
        <f>'[5]35a'!$N$40</f>
        <v>5.9</v>
      </c>
      <c r="H59" s="170">
        <f>'[5]35a'!$N$41</f>
        <v>5.9</v>
      </c>
      <c r="I59" s="170">
        <f>'[5]35a'!$N$42</f>
        <v>5.9</v>
      </c>
      <c r="J59" s="170">
        <f>'[5]35a'!$N$43</f>
        <v>7</v>
      </c>
      <c r="K59" s="170">
        <f>'[5]35a'!$N$44</f>
        <v>7</v>
      </c>
      <c r="L59" s="170">
        <f>'[5]35a'!$N$45</f>
        <v>8</v>
      </c>
      <c r="M59" s="170">
        <f>'[5]35a'!$N$46</f>
        <v>8.4</v>
      </c>
      <c r="N59" s="171">
        <f>(POWER(M59/B59, 1/11)-1)*100</f>
        <v>4.8292942503622704</v>
      </c>
      <c r="O59" s="171"/>
    </row>
    <row r="60" spans="1:15">
      <c r="A60" s="284" t="s">
        <v>490</v>
      </c>
      <c r="B60" s="172">
        <f>$L$79</f>
        <v>14.79</v>
      </c>
      <c r="C60" s="172">
        <f>$L$80</f>
        <v>15.15</v>
      </c>
      <c r="D60" s="172">
        <f>$L$81</f>
        <v>15.76</v>
      </c>
      <c r="E60" s="172">
        <f>$L$82</f>
        <v>16.29</v>
      </c>
      <c r="F60" s="172">
        <f>$L$83</f>
        <v>17.13</v>
      </c>
      <c r="G60" s="172">
        <f>$L$84</f>
        <v>17.989999999999998</v>
      </c>
      <c r="H60" s="172">
        <f>$L$85</f>
        <v>18.13</v>
      </c>
      <c r="I60" s="172">
        <f>$L$86</f>
        <v>18.54</v>
      </c>
      <c r="J60" s="172">
        <f>$L$87</f>
        <v>19.760000000000002</v>
      </c>
      <c r="K60" s="172">
        <f>$L$88</f>
        <v>21.12</v>
      </c>
      <c r="L60" s="172">
        <f>$L$89</f>
        <v>22.4</v>
      </c>
      <c r="M60" s="172">
        <f>$L$90</f>
        <v>23.68</v>
      </c>
      <c r="N60" s="171">
        <f>(POWER(M60/B60, 1/11)-1)*100</f>
        <v>4.371769779241963</v>
      </c>
      <c r="O60" s="171"/>
    </row>
    <row r="61" spans="1:15">
      <c r="A61" s="284" t="s">
        <v>494</v>
      </c>
      <c r="B61" s="172">
        <f>$L$91</f>
        <v>13</v>
      </c>
      <c r="C61" s="172">
        <f>$L$92</f>
        <v>13.46</v>
      </c>
      <c r="D61" s="172">
        <f>$L$93</f>
        <v>14</v>
      </c>
      <c r="E61" s="172">
        <f>$L$94</f>
        <v>14.42</v>
      </c>
      <c r="F61" s="172">
        <f>$L$95</f>
        <v>15</v>
      </c>
      <c r="G61" s="172">
        <f>$L$96</f>
        <v>15.47</v>
      </c>
      <c r="H61" s="172">
        <f>$L$97</f>
        <v>15.87</v>
      </c>
      <c r="I61" s="172">
        <f>$L$98</f>
        <v>16</v>
      </c>
      <c r="J61" s="172">
        <f>$L$99</f>
        <v>17.18</v>
      </c>
      <c r="K61" s="172">
        <f>$L$100</f>
        <v>18.46</v>
      </c>
      <c r="L61" s="172">
        <f>$L$101</f>
        <v>19.670000000000002</v>
      </c>
      <c r="M61" s="172">
        <f>$L$102</f>
        <v>20.51</v>
      </c>
      <c r="N61" s="171">
        <f>(POWER(M61/B61, 1/11)-1)*100</f>
        <v>4.2322296667931303</v>
      </c>
      <c r="O61" s="171"/>
    </row>
    <row r="62" spans="1:15">
      <c r="A62" s="284" t="s">
        <v>491</v>
      </c>
      <c r="B62" s="172">
        <f t="shared" ref="B62:K63" si="9">B$59/B60*100</f>
        <v>33.806626098715348</v>
      </c>
      <c r="C62" s="172">
        <f t="shared" si="9"/>
        <v>35.643564356435647</v>
      </c>
      <c r="D62" s="172">
        <f t="shared" si="9"/>
        <v>36.643401015228427</v>
      </c>
      <c r="E62" s="172">
        <f t="shared" si="9"/>
        <v>36.218538980969925</v>
      </c>
      <c r="F62" s="172">
        <f t="shared" si="9"/>
        <v>34.442498540572096</v>
      </c>
      <c r="G62" s="172">
        <f t="shared" si="9"/>
        <v>32.795997776542528</v>
      </c>
      <c r="H62" s="172">
        <f t="shared" si="9"/>
        <v>32.542746828461119</v>
      </c>
      <c r="I62" s="172">
        <f t="shared" si="9"/>
        <v>31.823085221143476</v>
      </c>
      <c r="J62" s="172">
        <f t="shared" si="9"/>
        <v>35.425101214574894</v>
      </c>
      <c r="K62" s="172">
        <f t="shared" si="9"/>
        <v>33.143939393939391</v>
      </c>
      <c r="L62" s="172">
        <f>L$59/L60*100</f>
        <v>35.714285714285715</v>
      </c>
      <c r="M62" s="172">
        <f>M$59/M60*100</f>
        <v>35.472972972972975</v>
      </c>
      <c r="N62" s="171"/>
      <c r="O62" s="171">
        <f>M62-B62</f>
        <v>1.6663468742576271</v>
      </c>
    </row>
    <row r="63" spans="1:15">
      <c r="A63" s="284" t="s">
        <v>495</v>
      </c>
      <c r="B63" s="172">
        <f t="shared" si="9"/>
        <v>38.461538461538467</v>
      </c>
      <c r="C63" s="172">
        <f t="shared" si="9"/>
        <v>40.118870728083209</v>
      </c>
      <c r="D63" s="172">
        <f t="shared" si="9"/>
        <v>41.25</v>
      </c>
      <c r="E63" s="172">
        <f t="shared" si="9"/>
        <v>40.915395284327325</v>
      </c>
      <c r="F63" s="172">
        <f t="shared" si="9"/>
        <v>39.333333333333336</v>
      </c>
      <c r="G63" s="172">
        <f t="shared" si="9"/>
        <v>38.138332255979321</v>
      </c>
      <c r="H63" s="172">
        <f t="shared" si="9"/>
        <v>37.177063642092001</v>
      </c>
      <c r="I63" s="172">
        <f t="shared" si="9"/>
        <v>36.875</v>
      </c>
      <c r="J63" s="172">
        <f t="shared" si="9"/>
        <v>40.745052386495928</v>
      </c>
      <c r="K63" s="172">
        <f t="shared" si="9"/>
        <v>37.919826652221019</v>
      </c>
      <c r="L63" s="172">
        <f>L$59/L61*100</f>
        <v>40.671072699542449</v>
      </c>
      <c r="M63" s="172">
        <f>M$59/M61*100</f>
        <v>40.955631399317404</v>
      </c>
      <c r="N63" s="171"/>
      <c r="O63" s="171">
        <f>M63-B63</f>
        <v>2.4940929377789374</v>
      </c>
    </row>
    <row r="64" spans="1:15">
      <c r="A64" s="1016" t="s">
        <v>742</v>
      </c>
      <c r="N64" s="171"/>
      <c r="O64" s="171"/>
    </row>
    <row r="65" spans="1:15">
      <c r="A65" s="284" t="s">
        <v>489</v>
      </c>
      <c r="B65" s="170">
        <f>'[5]35a'!$O$35</f>
        <v>7</v>
      </c>
      <c r="C65" s="170">
        <f>'[5]35a'!$O$36</f>
        <v>7.15</v>
      </c>
      <c r="D65" s="170">
        <f>'[5]35a'!$O$37</f>
        <v>7.15</v>
      </c>
      <c r="E65" s="170">
        <f>'[5]35a'!$O$38</f>
        <v>7.6</v>
      </c>
      <c r="F65" s="170">
        <f>'[5]35a'!$O$39</f>
        <v>8</v>
      </c>
      <c r="G65" s="170">
        <f>'[5]35a'!$O$40</f>
        <v>8</v>
      </c>
      <c r="H65" s="170">
        <f>'[5]35a'!$O$41</f>
        <v>8</v>
      </c>
      <c r="I65" s="170">
        <f>'[5]35a'!$O$42</f>
        <v>8</v>
      </c>
      <c r="J65" s="170">
        <f>'[5]35a'!$O$43</f>
        <v>8</v>
      </c>
      <c r="K65" s="170">
        <f>'[5]35a'!$O$44</f>
        <v>8</v>
      </c>
      <c r="L65" s="170">
        <f>'[5]35a'!$O$45</f>
        <v>8</v>
      </c>
      <c r="M65" s="170">
        <f>'[5]35a'!$O$46</f>
        <v>8</v>
      </c>
      <c r="N65" s="171">
        <f>(POWER(M65/B65, 1/11)-1)*100</f>
        <v>1.2213196859612419</v>
      </c>
      <c r="O65" s="171"/>
    </row>
    <row r="66" spans="1:15">
      <c r="A66" s="284" t="s">
        <v>490</v>
      </c>
      <c r="B66" s="172">
        <f>$N$79</f>
        <v>16.91</v>
      </c>
      <c r="C66" s="172">
        <f>$N$80</f>
        <v>17.170000000000002</v>
      </c>
      <c r="D66" s="172">
        <f>$N$81</f>
        <v>17.34</v>
      </c>
      <c r="E66" s="172">
        <f>$N$82</f>
        <v>17.64</v>
      </c>
      <c r="F66" s="172">
        <f>$N$83</f>
        <v>17.98</v>
      </c>
      <c r="G66" s="172">
        <f>$N$84</f>
        <v>18.59</v>
      </c>
      <c r="H66" s="172">
        <f>$N$85</f>
        <v>19.02</v>
      </c>
      <c r="I66" s="172">
        <f>$N$86</f>
        <v>18.989999999999998</v>
      </c>
      <c r="J66" s="172">
        <f>$N$87</f>
        <v>19.36</v>
      </c>
      <c r="K66" s="172">
        <f>$N$88</f>
        <v>19.91</v>
      </c>
      <c r="L66" s="172">
        <f>$N$89</f>
        <v>20.49</v>
      </c>
      <c r="M66" s="172">
        <f>$N$90</f>
        <v>21.46</v>
      </c>
      <c r="N66" s="171">
        <f>(POWER(M66/B66, 1/11)-1)*100</f>
        <v>2.1898656508560599</v>
      </c>
      <c r="O66" s="171"/>
    </row>
    <row r="67" spans="1:15">
      <c r="A67" s="284" t="s">
        <v>494</v>
      </c>
      <c r="B67" s="172">
        <f>$N$91</f>
        <v>16</v>
      </c>
      <c r="C67" s="172">
        <f>$N$92</f>
        <v>16.48</v>
      </c>
      <c r="D67" s="172">
        <f>$N$93</f>
        <v>16.829999999999998</v>
      </c>
      <c r="E67" s="172">
        <f>$N$94</f>
        <v>16.920000000000002</v>
      </c>
      <c r="F67" s="172">
        <f>$N$95</f>
        <v>17</v>
      </c>
      <c r="G67" s="172">
        <f>$N$96</f>
        <v>17.440000000000001</v>
      </c>
      <c r="H67" s="172">
        <f>$N$97</f>
        <v>18</v>
      </c>
      <c r="I67" s="172">
        <f>$N$98</f>
        <v>17.75</v>
      </c>
      <c r="J67" s="172">
        <f>$N$99</f>
        <v>18</v>
      </c>
      <c r="K67" s="172">
        <f>$N$100</f>
        <v>18</v>
      </c>
      <c r="L67" s="172">
        <f>$N$101</f>
        <v>19</v>
      </c>
      <c r="M67" s="172">
        <f>$N$102</f>
        <v>19.71</v>
      </c>
      <c r="N67" s="171">
        <f>(POWER(M67/B67, 1/11)-1)*100</f>
        <v>1.9138788198070023</v>
      </c>
      <c r="O67" s="171"/>
    </row>
    <row r="68" spans="1:15">
      <c r="A68" s="284" t="s">
        <v>491</v>
      </c>
      <c r="B68" s="172">
        <f t="shared" ref="B68:K69" si="10">B$65/B66*100</f>
        <v>41.395623891188642</v>
      </c>
      <c r="C68" s="172">
        <f t="shared" si="10"/>
        <v>41.642399534071053</v>
      </c>
      <c r="D68" s="172">
        <f t="shared" si="10"/>
        <v>41.234140715109575</v>
      </c>
      <c r="E68" s="172">
        <f t="shared" si="10"/>
        <v>43.083900226757365</v>
      </c>
      <c r="F68" s="172">
        <f t="shared" si="10"/>
        <v>44.493882091212456</v>
      </c>
      <c r="G68" s="172">
        <f t="shared" si="10"/>
        <v>43.03388918773534</v>
      </c>
      <c r="H68" s="172">
        <f t="shared" si="10"/>
        <v>42.060988433228182</v>
      </c>
      <c r="I68" s="172">
        <f t="shared" si="10"/>
        <v>42.127435492364405</v>
      </c>
      <c r="J68" s="172">
        <f t="shared" si="10"/>
        <v>41.32231404958678</v>
      </c>
      <c r="K68" s="172">
        <f t="shared" si="10"/>
        <v>40.180813661476641</v>
      </c>
      <c r="L68" s="172">
        <f>L$65/L66*100</f>
        <v>39.043435822352365</v>
      </c>
      <c r="M68" s="172">
        <f>M$65/M66*100</f>
        <v>37.278657968313141</v>
      </c>
      <c r="N68" s="171"/>
      <c r="O68" s="171">
        <f>M68-B68</f>
        <v>-4.1169659228755009</v>
      </c>
    </row>
    <row r="69" spans="1:15">
      <c r="A69" s="284" t="s">
        <v>495</v>
      </c>
      <c r="B69" s="172">
        <f t="shared" si="10"/>
        <v>43.75</v>
      </c>
      <c r="C69" s="172">
        <f t="shared" si="10"/>
        <v>43.385922330097088</v>
      </c>
      <c r="D69" s="172">
        <f t="shared" si="10"/>
        <v>42.48366013071896</v>
      </c>
      <c r="E69" s="172">
        <f t="shared" si="10"/>
        <v>44.917257683215119</v>
      </c>
      <c r="F69" s="172">
        <f t="shared" si="10"/>
        <v>47.058823529411761</v>
      </c>
      <c r="G69" s="172">
        <f t="shared" si="10"/>
        <v>45.871559633027523</v>
      </c>
      <c r="H69" s="172">
        <f t="shared" si="10"/>
        <v>44.444444444444443</v>
      </c>
      <c r="I69" s="172">
        <f t="shared" si="10"/>
        <v>45.070422535211272</v>
      </c>
      <c r="J69" s="172">
        <f t="shared" si="10"/>
        <v>44.444444444444443</v>
      </c>
      <c r="K69" s="172">
        <f t="shared" si="10"/>
        <v>44.444444444444443</v>
      </c>
      <c r="L69" s="172">
        <f>L$65/L67*100</f>
        <v>42.105263157894733</v>
      </c>
      <c r="M69" s="172">
        <f>M$65/M67*100</f>
        <v>40.588533739218668</v>
      </c>
      <c r="N69" s="171"/>
      <c r="O69" s="171">
        <f>M69-B69</f>
        <v>-3.1614662607813315</v>
      </c>
    </row>
    <row r="70" spans="1:15" ht="6" customHeight="1">
      <c r="N70" s="171"/>
      <c r="O70" s="171"/>
    </row>
    <row r="71" spans="1:15">
      <c r="A71" s="168" t="s">
        <v>452</v>
      </c>
    </row>
    <row r="72" spans="1:15" ht="12.75" customHeight="1">
      <c r="A72" s="1248" t="s">
        <v>496</v>
      </c>
      <c r="B72" s="1248"/>
      <c r="C72" s="1248"/>
      <c r="D72" s="1248"/>
      <c r="E72" s="1248"/>
      <c r="F72" s="1248"/>
      <c r="G72" s="1248"/>
      <c r="H72" s="1248"/>
      <c r="I72" s="1248"/>
      <c r="J72" s="1248"/>
      <c r="K72" s="1248"/>
      <c r="L72" s="1248"/>
      <c r="M72" s="1248"/>
      <c r="N72" s="1248"/>
      <c r="O72" s="1248"/>
    </row>
    <row r="73" spans="1:15">
      <c r="A73" s="1248"/>
      <c r="B73" s="1248"/>
      <c r="C73" s="1248"/>
      <c r="D73" s="1248"/>
      <c r="E73" s="1248"/>
      <c r="F73" s="1248"/>
      <c r="G73" s="1248"/>
      <c r="H73" s="1248"/>
      <c r="I73" s="1248"/>
      <c r="J73" s="1248"/>
      <c r="K73" s="1248"/>
      <c r="L73" s="1248"/>
      <c r="M73" s="1248"/>
      <c r="N73" s="1248"/>
      <c r="O73" s="1248"/>
    </row>
    <row r="74" spans="1:15">
      <c r="A74" s="184" t="s">
        <v>825</v>
      </c>
      <c r="B74" s="736"/>
      <c r="C74" s="736"/>
      <c r="D74" s="736"/>
      <c r="E74" s="736"/>
      <c r="F74" s="736"/>
      <c r="G74" s="736"/>
      <c r="H74" s="736"/>
      <c r="I74" s="736"/>
      <c r="J74" s="736"/>
      <c r="K74" s="736"/>
      <c r="L74" s="736"/>
      <c r="M74" s="736"/>
      <c r="N74" s="736"/>
      <c r="O74" s="736"/>
    </row>
    <row r="75" spans="1:15">
      <c r="A75" s="168" t="s">
        <v>540</v>
      </c>
    </row>
    <row r="76" spans="1:15">
      <c r="A76" s="168" t="s">
        <v>1830</v>
      </c>
    </row>
    <row r="78" spans="1:15" ht="38.25">
      <c r="C78" s="168" t="s">
        <v>375</v>
      </c>
      <c r="D78" s="735" t="s">
        <v>1039</v>
      </c>
      <c r="E78" s="735" t="s">
        <v>1040</v>
      </c>
      <c r="F78" s="735" t="s">
        <v>791</v>
      </c>
      <c r="G78" s="735" t="s">
        <v>792</v>
      </c>
      <c r="H78" s="735" t="s">
        <v>1041</v>
      </c>
      <c r="I78" s="735" t="s">
        <v>738</v>
      </c>
      <c r="J78" s="735" t="s">
        <v>739</v>
      </c>
      <c r="K78" s="735" t="s">
        <v>740</v>
      </c>
      <c r="L78" s="735" t="s">
        <v>741</v>
      </c>
      <c r="M78" s="735"/>
      <c r="N78" s="735" t="s">
        <v>742</v>
      </c>
    </row>
    <row r="79" spans="1:15">
      <c r="B79">
        <v>1997</v>
      </c>
      <c r="C79">
        <v>15.59</v>
      </c>
      <c r="D79">
        <v>13.16</v>
      </c>
      <c r="E79">
        <v>11.79</v>
      </c>
      <c r="F79">
        <v>12.87</v>
      </c>
      <c r="G79">
        <v>12.9</v>
      </c>
      <c r="H79">
        <v>15.32</v>
      </c>
      <c r="I79">
        <v>16.329999999999998</v>
      </c>
      <c r="J79">
        <v>13.81</v>
      </c>
      <c r="K79">
        <v>13.55</v>
      </c>
      <c r="L79">
        <v>14.79</v>
      </c>
      <c r="M79">
        <v>16.91</v>
      </c>
      <c r="N79">
        <v>16.91</v>
      </c>
      <c r="O79"/>
    </row>
    <row r="80" spans="1:15">
      <c r="B80">
        <v>1998</v>
      </c>
      <c r="C80">
        <v>15.78</v>
      </c>
      <c r="D80">
        <v>13.05</v>
      </c>
      <c r="E80">
        <v>11.94</v>
      </c>
      <c r="F80">
        <v>13.2</v>
      </c>
      <c r="G80">
        <v>13.12</v>
      </c>
      <c r="H80">
        <v>15.49</v>
      </c>
      <c r="I80">
        <v>16.48</v>
      </c>
      <c r="J80">
        <v>14.04</v>
      </c>
      <c r="K80">
        <v>13.76</v>
      </c>
      <c r="L80">
        <v>15.15</v>
      </c>
      <c r="M80">
        <v>17.170000000000002</v>
      </c>
      <c r="N80">
        <v>17.170000000000002</v>
      </c>
      <c r="O80"/>
    </row>
    <row r="81" spans="2:15">
      <c r="B81">
        <v>1999</v>
      </c>
      <c r="C81">
        <v>16.170000000000002</v>
      </c>
      <c r="D81">
        <v>13.06</v>
      </c>
      <c r="E81">
        <v>12.28</v>
      </c>
      <c r="F81">
        <v>13.45</v>
      </c>
      <c r="G81">
        <v>13.34</v>
      </c>
      <c r="H81">
        <v>15.72</v>
      </c>
      <c r="I81">
        <v>17</v>
      </c>
      <c r="J81">
        <v>14.48</v>
      </c>
      <c r="K81">
        <v>14.21</v>
      </c>
      <c r="L81">
        <v>15.76</v>
      </c>
      <c r="M81">
        <v>17.34</v>
      </c>
      <c r="N81">
        <v>17.34</v>
      </c>
      <c r="O81"/>
    </row>
    <row r="82" spans="2:15">
      <c r="B82">
        <v>2000</v>
      </c>
      <c r="C82">
        <v>16.66</v>
      </c>
      <c r="D82">
        <v>13.74</v>
      </c>
      <c r="E82">
        <v>12.63</v>
      </c>
      <c r="F82">
        <v>14.01</v>
      </c>
      <c r="G82">
        <v>14.01</v>
      </c>
      <c r="H82">
        <v>16.07</v>
      </c>
      <c r="I82">
        <v>17.59</v>
      </c>
      <c r="J82">
        <v>14.98</v>
      </c>
      <c r="K82">
        <v>14.73</v>
      </c>
      <c r="L82">
        <v>16.29</v>
      </c>
      <c r="M82">
        <v>17.64</v>
      </c>
      <c r="N82">
        <v>17.64</v>
      </c>
      <c r="O82"/>
    </row>
    <row r="83" spans="2:15">
      <c r="B83">
        <v>2001</v>
      </c>
      <c r="C83">
        <v>17.22</v>
      </c>
      <c r="D83">
        <v>14.32</v>
      </c>
      <c r="E83">
        <v>13.22</v>
      </c>
      <c r="F83">
        <v>14.53</v>
      </c>
      <c r="G83">
        <v>14.2</v>
      </c>
      <c r="H83">
        <v>16.63</v>
      </c>
      <c r="I83">
        <v>18.170000000000002</v>
      </c>
      <c r="J83">
        <v>15.34</v>
      </c>
      <c r="K83">
        <v>15.35</v>
      </c>
      <c r="L83">
        <v>17.13</v>
      </c>
      <c r="M83">
        <v>17.98</v>
      </c>
      <c r="N83">
        <v>17.98</v>
      </c>
      <c r="O83"/>
    </row>
    <row r="84" spans="2:15">
      <c r="B84">
        <v>2002</v>
      </c>
      <c r="C84">
        <v>17.66</v>
      </c>
      <c r="D84">
        <v>14.88</v>
      </c>
      <c r="E84">
        <v>13.61</v>
      </c>
      <c r="F84">
        <v>14.81</v>
      </c>
      <c r="G84">
        <v>14.45</v>
      </c>
      <c r="H84">
        <v>16.97</v>
      </c>
      <c r="I84">
        <v>18.54</v>
      </c>
      <c r="J84">
        <v>15.72</v>
      </c>
      <c r="K84">
        <v>15.83</v>
      </c>
      <c r="L84">
        <v>17.989999999999998</v>
      </c>
      <c r="M84">
        <v>18.59</v>
      </c>
      <c r="N84">
        <v>18.59</v>
      </c>
      <c r="O84"/>
    </row>
    <row r="85" spans="2:15">
      <c r="B85">
        <v>2003</v>
      </c>
      <c r="C85">
        <v>18.04</v>
      </c>
      <c r="D85">
        <v>15.46</v>
      </c>
      <c r="E85">
        <v>14.52</v>
      </c>
      <c r="F85">
        <v>15.42</v>
      </c>
      <c r="G85">
        <v>14.8</v>
      </c>
      <c r="H85">
        <v>17.420000000000002</v>
      </c>
      <c r="I85">
        <v>18.88</v>
      </c>
      <c r="J85">
        <v>16.059999999999999</v>
      </c>
      <c r="K85">
        <v>16.420000000000002</v>
      </c>
      <c r="L85">
        <v>18.13</v>
      </c>
      <c r="M85">
        <v>19.02</v>
      </c>
      <c r="N85">
        <v>19.02</v>
      </c>
      <c r="O85"/>
    </row>
    <row r="86" spans="2:15">
      <c r="B86">
        <v>2004</v>
      </c>
      <c r="C86">
        <v>18.5</v>
      </c>
      <c r="D86">
        <v>15.44</v>
      </c>
      <c r="E86">
        <v>15.09</v>
      </c>
      <c r="F86">
        <v>15.79</v>
      </c>
      <c r="G86">
        <v>15.21</v>
      </c>
      <c r="H86">
        <v>17.989999999999998</v>
      </c>
      <c r="I86">
        <v>19.43</v>
      </c>
      <c r="J86">
        <v>16.739999999999998</v>
      </c>
      <c r="K86">
        <v>16.940000000000001</v>
      </c>
      <c r="L86">
        <v>18.54</v>
      </c>
      <c r="M86">
        <v>18.989999999999998</v>
      </c>
      <c r="N86">
        <v>18.989999999999998</v>
      </c>
      <c r="O86"/>
    </row>
    <row r="87" spans="2:15">
      <c r="B87">
        <v>2005</v>
      </c>
      <c r="C87">
        <v>19.09</v>
      </c>
      <c r="D87">
        <v>16.09</v>
      </c>
      <c r="E87">
        <v>15.15</v>
      </c>
      <c r="F87">
        <v>16.239999999999998</v>
      </c>
      <c r="G87">
        <v>15.63</v>
      </c>
      <c r="H87">
        <v>18.43</v>
      </c>
      <c r="I87">
        <v>20.059999999999999</v>
      </c>
      <c r="J87">
        <v>17.170000000000002</v>
      </c>
      <c r="K87">
        <v>17.28</v>
      </c>
      <c r="L87">
        <v>19.760000000000002</v>
      </c>
      <c r="M87">
        <v>19.36</v>
      </c>
      <c r="N87">
        <v>19.36</v>
      </c>
      <c r="O87"/>
    </row>
    <row r="88" spans="2:15">
      <c r="B88">
        <v>2006</v>
      </c>
      <c r="C88">
        <v>19.72</v>
      </c>
      <c r="D88">
        <v>16.600000000000001</v>
      </c>
      <c r="E88">
        <v>15.48</v>
      </c>
      <c r="F88">
        <v>16.649999999999999</v>
      </c>
      <c r="G88">
        <v>16.21</v>
      </c>
      <c r="H88">
        <v>18.87</v>
      </c>
      <c r="I88">
        <v>20.65</v>
      </c>
      <c r="J88">
        <v>17.55</v>
      </c>
      <c r="K88">
        <v>18.11</v>
      </c>
      <c r="L88">
        <v>21.12</v>
      </c>
      <c r="M88">
        <v>19.91</v>
      </c>
      <c r="N88">
        <v>19.91</v>
      </c>
      <c r="O88"/>
    </row>
    <row r="89" spans="2:15">
      <c r="B89">
        <v>2007</v>
      </c>
      <c r="C89">
        <v>20.41</v>
      </c>
      <c r="D89">
        <v>17.46</v>
      </c>
      <c r="E89">
        <v>15.97</v>
      </c>
      <c r="F89">
        <v>17.53</v>
      </c>
      <c r="G89">
        <v>16.93</v>
      </c>
      <c r="H89">
        <v>19.350000000000001</v>
      </c>
      <c r="I89">
        <v>21.27</v>
      </c>
      <c r="J89">
        <v>18.420000000000002</v>
      </c>
      <c r="K89">
        <v>19</v>
      </c>
      <c r="L89">
        <v>22.4</v>
      </c>
      <c r="M89">
        <v>20.49</v>
      </c>
      <c r="N89">
        <v>20.49</v>
      </c>
      <c r="O89"/>
    </row>
    <row r="90" spans="2:15">
      <c r="B90">
        <v>2008</v>
      </c>
      <c r="C90">
        <v>21.32</v>
      </c>
      <c r="D90">
        <v>18.850000000000001</v>
      </c>
      <c r="E90">
        <v>16.96</v>
      </c>
      <c r="F90">
        <v>18.12</v>
      </c>
      <c r="G90">
        <v>17.79</v>
      </c>
      <c r="H90">
        <v>20.03</v>
      </c>
      <c r="I90">
        <v>22.15</v>
      </c>
      <c r="J90">
        <v>19.239999999999998</v>
      </c>
      <c r="K90">
        <v>20.34</v>
      </c>
      <c r="L90">
        <v>23.68</v>
      </c>
      <c r="M90">
        <v>21.46</v>
      </c>
      <c r="N90">
        <v>21.46</v>
      </c>
      <c r="O90"/>
    </row>
    <row r="91" spans="2:15">
      <c r="B91">
        <v>1997</v>
      </c>
      <c r="C91">
        <v>14</v>
      </c>
      <c r="D91">
        <v>11.88</v>
      </c>
      <c r="E91">
        <v>10.38</v>
      </c>
      <c r="F91">
        <v>11.23</v>
      </c>
      <c r="G91">
        <v>11.54</v>
      </c>
      <c r="H91">
        <v>13.75</v>
      </c>
      <c r="I91">
        <v>14.9</v>
      </c>
      <c r="J91">
        <v>12.3</v>
      </c>
      <c r="K91">
        <v>12</v>
      </c>
      <c r="L91">
        <v>13</v>
      </c>
      <c r="M91">
        <v>16</v>
      </c>
      <c r="N91">
        <v>16</v>
      </c>
    </row>
    <row r="92" spans="2:15">
      <c r="B92">
        <v>1998</v>
      </c>
      <c r="C92">
        <v>14.29</v>
      </c>
      <c r="D92">
        <v>11.54</v>
      </c>
      <c r="E92">
        <v>10.58</v>
      </c>
      <c r="F92">
        <v>11.54</v>
      </c>
      <c r="G92">
        <v>12</v>
      </c>
      <c r="H92">
        <v>14</v>
      </c>
      <c r="I92">
        <v>15</v>
      </c>
      <c r="J92">
        <v>12.39</v>
      </c>
      <c r="K92">
        <v>12.31</v>
      </c>
      <c r="L92">
        <v>13.46</v>
      </c>
      <c r="M92">
        <v>16.48</v>
      </c>
      <c r="N92">
        <v>16.48</v>
      </c>
    </row>
    <row r="93" spans="2:15">
      <c r="B93">
        <v>1999</v>
      </c>
      <c r="C93">
        <v>14.5</v>
      </c>
      <c r="D93">
        <v>11.8</v>
      </c>
      <c r="E93">
        <v>10.84</v>
      </c>
      <c r="F93">
        <v>12</v>
      </c>
      <c r="G93">
        <v>12</v>
      </c>
      <c r="H93">
        <v>14</v>
      </c>
      <c r="I93">
        <v>15</v>
      </c>
      <c r="J93">
        <v>12.82</v>
      </c>
      <c r="K93">
        <v>12.69</v>
      </c>
      <c r="L93">
        <v>14</v>
      </c>
      <c r="M93">
        <v>16.829999999999998</v>
      </c>
      <c r="N93">
        <v>16.829999999999998</v>
      </c>
    </row>
    <row r="94" spans="2:15">
      <c r="B94">
        <v>2000</v>
      </c>
      <c r="C94">
        <v>15</v>
      </c>
      <c r="D94">
        <v>12.03</v>
      </c>
      <c r="E94">
        <v>11.22</v>
      </c>
      <c r="F94">
        <v>12.21</v>
      </c>
      <c r="G94">
        <v>12.4</v>
      </c>
      <c r="H94">
        <v>14.42</v>
      </c>
      <c r="I94">
        <v>15.82</v>
      </c>
      <c r="J94">
        <v>13.19</v>
      </c>
      <c r="K94">
        <v>13</v>
      </c>
      <c r="L94">
        <v>14.42</v>
      </c>
      <c r="M94">
        <v>16.920000000000002</v>
      </c>
      <c r="N94">
        <v>16.920000000000002</v>
      </c>
    </row>
    <row r="95" spans="2:15">
      <c r="B95">
        <v>2001</v>
      </c>
      <c r="C95">
        <v>15.38</v>
      </c>
      <c r="D95">
        <v>12.5</v>
      </c>
      <c r="E95">
        <v>12</v>
      </c>
      <c r="F95">
        <v>12.69</v>
      </c>
      <c r="G95">
        <v>12.5</v>
      </c>
      <c r="H95">
        <v>15</v>
      </c>
      <c r="I95">
        <v>16.149999999999999</v>
      </c>
      <c r="J95">
        <v>13.36</v>
      </c>
      <c r="K95">
        <v>13.85</v>
      </c>
      <c r="L95">
        <v>15</v>
      </c>
      <c r="M95">
        <v>17</v>
      </c>
      <c r="N95">
        <v>17</v>
      </c>
    </row>
    <row r="96" spans="2:15">
      <c r="B96">
        <v>2002</v>
      </c>
      <c r="C96">
        <v>15.66</v>
      </c>
      <c r="D96">
        <v>13</v>
      </c>
      <c r="E96">
        <v>12</v>
      </c>
      <c r="F96">
        <v>12.93</v>
      </c>
      <c r="G96">
        <v>12.89</v>
      </c>
      <c r="H96">
        <v>15</v>
      </c>
      <c r="I96">
        <v>16.48</v>
      </c>
      <c r="J96">
        <v>14</v>
      </c>
      <c r="K96">
        <v>14</v>
      </c>
      <c r="L96">
        <v>15.47</v>
      </c>
      <c r="M96">
        <v>17.440000000000001</v>
      </c>
      <c r="N96">
        <v>17.440000000000001</v>
      </c>
    </row>
    <row r="97" spans="2:14">
      <c r="B97">
        <v>2003</v>
      </c>
      <c r="C97">
        <v>16</v>
      </c>
      <c r="D97">
        <v>13.47</v>
      </c>
      <c r="E97">
        <v>12.84</v>
      </c>
      <c r="F97">
        <v>13.46</v>
      </c>
      <c r="G97">
        <v>13</v>
      </c>
      <c r="H97">
        <v>15.38</v>
      </c>
      <c r="I97">
        <v>16.829999999999998</v>
      </c>
      <c r="J97">
        <v>14</v>
      </c>
      <c r="K97">
        <v>14.7</v>
      </c>
      <c r="L97">
        <v>15.87</v>
      </c>
      <c r="M97">
        <v>18</v>
      </c>
      <c r="N97">
        <v>18</v>
      </c>
    </row>
    <row r="98" spans="2:14">
      <c r="B98">
        <v>2004</v>
      </c>
      <c r="C98">
        <v>16.350000000000001</v>
      </c>
      <c r="D98">
        <v>13.66</v>
      </c>
      <c r="E98">
        <v>13.22</v>
      </c>
      <c r="F98">
        <v>13.88</v>
      </c>
      <c r="G98">
        <v>13.5</v>
      </c>
      <c r="H98">
        <v>16</v>
      </c>
      <c r="I98">
        <v>17.14</v>
      </c>
      <c r="J98">
        <v>14.5</v>
      </c>
      <c r="K98">
        <v>15</v>
      </c>
      <c r="L98">
        <v>16</v>
      </c>
      <c r="M98">
        <v>17.75</v>
      </c>
      <c r="N98">
        <v>17.75</v>
      </c>
    </row>
    <row r="99" spans="2:14">
      <c r="B99">
        <v>2005</v>
      </c>
      <c r="C99">
        <v>17</v>
      </c>
      <c r="D99">
        <v>14</v>
      </c>
      <c r="E99">
        <v>13.45</v>
      </c>
      <c r="F99">
        <v>14</v>
      </c>
      <c r="G99">
        <v>13.75</v>
      </c>
      <c r="H99">
        <v>16.32</v>
      </c>
      <c r="I99">
        <v>17.95</v>
      </c>
      <c r="J99">
        <v>15</v>
      </c>
      <c r="K99">
        <v>15.38</v>
      </c>
      <c r="L99">
        <v>17.18</v>
      </c>
      <c r="M99">
        <v>18</v>
      </c>
      <c r="N99">
        <v>18</v>
      </c>
    </row>
    <row r="100" spans="2:14">
      <c r="B100" s="168">
        <v>2006</v>
      </c>
      <c r="C100">
        <v>17.309999999999999</v>
      </c>
      <c r="D100">
        <v>14.25</v>
      </c>
      <c r="E100">
        <v>13.69</v>
      </c>
      <c r="F100">
        <v>14.47</v>
      </c>
      <c r="G100">
        <v>14.03</v>
      </c>
      <c r="H100">
        <v>16.649999999999999</v>
      </c>
      <c r="I100">
        <v>18</v>
      </c>
      <c r="J100">
        <v>15.03</v>
      </c>
      <c r="K100">
        <v>16</v>
      </c>
      <c r="L100">
        <v>18.46</v>
      </c>
      <c r="M100">
        <v>18</v>
      </c>
      <c r="N100">
        <v>18</v>
      </c>
    </row>
    <row r="101" spans="2:14">
      <c r="B101" s="168">
        <v>2007</v>
      </c>
      <c r="C101">
        <v>18</v>
      </c>
      <c r="D101">
        <v>15</v>
      </c>
      <c r="E101">
        <v>14</v>
      </c>
      <c r="F101">
        <v>15.38</v>
      </c>
      <c r="G101">
        <v>14.98</v>
      </c>
      <c r="H101">
        <v>17</v>
      </c>
      <c r="I101">
        <v>18.75</v>
      </c>
      <c r="J101">
        <v>16</v>
      </c>
      <c r="K101">
        <v>17</v>
      </c>
      <c r="L101">
        <v>19.670000000000002</v>
      </c>
      <c r="M101">
        <v>19</v>
      </c>
      <c r="N101">
        <v>19</v>
      </c>
    </row>
    <row r="102" spans="2:14">
      <c r="B102" s="168">
        <v>2008</v>
      </c>
      <c r="C102">
        <v>18.760000000000002</v>
      </c>
      <c r="D102">
        <v>16</v>
      </c>
      <c r="E102">
        <v>15</v>
      </c>
      <c r="F102">
        <v>15.38</v>
      </c>
      <c r="G102">
        <v>15.5</v>
      </c>
      <c r="H102">
        <v>17.79</v>
      </c>
      <c r="I102">
        <v>19.3</v>
      </c>
      <c r="J102">
        <v>17</v>
      </c>
      <c r="K102">
        <v>18</v>
      </c>
      <c r="L102">
        <v>20.51</v>
      </c>
      <c r="M102">
        <v>19.71</v>
      </c>
      <c r="N102">
        <v>19.71</v>
      </c>
    </row>
  </sheetData>
  <mergeCells count="1">
    <mergeCell ref="A72:O73"/>
  </mergeCells>
  <phoneticPr fontId="35" type="noConversion"/>
  <pageMargins left="0.7" right="0.7" top="0.75" bottom="0.75" header="0.3" footer="0.3"/>
  <pageSetup scale="55" fitToWidth="0" fitToHeight="0" orientation="portrait" horizontalDpi="4294967292" verticalDpi="0" r:id="rId1"/>
  <headerFooter alignWithMargins="0"/>
  <colBreaks count="1" manualBreakCount="1">
    <brk id="15" max="75" man="1"/>
  </colBreaks>
</worksheet>
</file>

<file path=xl/worksheets/sheet138.xml><?xml version="1.0" encoding="utf-8"?>
<worksheet xmlns="http://schemas.openxmlformats.org/spreadsheetml/2006/main" xmlns:r="http://schemas.openxmlformats.org/officeDocument/2006/relationships">
  <sheetPr codeName="Sheet111"/>
  <dimension ref="A1:J24"/>
  <sheetViews>
    <sheetView view="pageBreakPreview" zoomScaleSheetLayoutView="100" workbookViewId="0">
      <selection activeCell="H62" sqref="H62"/>
    </sheetView>
  </sheetViews>
  <sheetFormatPr defaultColWidth="8" defaultRowHeight="12.75"/>
  <cols>
    <col min="1" max="1" width="20.7109375" style="160" customWidth="1"/>
    <col min="2" max="2" width="8.140625" style="160" customWidth="1"/>
    <col min="3" max="3" width="8.85546875" style="160" customWidth="1"/>
    <col min="4" max="5" width="8" style="160" customWidth="1"/>
    <col min="6" max="6" width="8.42578125" style="160" customWidth="1"/>
    <col min="7" max="16384" width="8" style="160"/>
  </cols>
  <sheetData>
    <row r="1" spans="1:10" ht="23.25" customHeight="1">
      <c r="A1" s="1250" t="s">
        <v>472</v>
      </c>
      <c r="B1" s="1188"/>
      <c r="C1" s="1188"/>
      <c r="D1" s="1188"/>
      <c r="E1" s="1188"/>
      <c r="F1" s="1188"/>
      <c r="G1" s="1188"/>
      <c r="H1" s="1188"/>
      <c r="I1" s="1188"/>
      <c r="J1" s="1188"/>
    </row>
    <row r="2" spans="1:10">
      <c r="A2" s="160" t="s">
        <v>85</v>
      </c>
    </row>
    <row r="3" spans="1:10" ht="18" customHeight="1">
      <c r="A3" s="161"/>
      <c r="B3" s="1249" t="s">
        <v>86</v>
      </c>
      <c r="C3" s="1249"/>
      <c r="D3" s="1249"/>
      <c r="E3" s="1249" t="s">
        <v>87</v>
      </c>
      <c r="F3" s="1249"/>
      <c r="G3" s="1249"/>
    </row>
    <row r="4" spans="1:10" s="163" customFormat="1" ht="51">
      <c r="A4" s="162"/>
      <c r="B4" s="162" t="s">
        <v>182</v>
      </c>
      <c r="C4" s="162" t="s">
        <v>88</v>
      </c>
      <c r="D4" s="162" t="s">
        <v>89</v>
      </c>
      <c r="E4" s="162" t="s">
        <v>182</v>
      </c>
      <c r="F4" s="162" t="s">
        <v>88</v>
      </c>
      <c r="G4" s="162" t="s">
        <v>89</v>
      </c>
    </row>
    <row r="5" spans="1:10">
      <c r="A5" s="164" t="s">
        <v>375</v>
      </c>
      <c r="B5" s="165">
        <v>15</v>
      </c>
      <c r="C5" s="165">
        <v>42</v>
      </c>
      <c r="D5" s="165">
        <v>12</v>
      </c>
      <c r="E5" s="165">
        <v>7</v>
      </c>
      <c r="F5" s="165">
        <v>28</v>
      </c>
      <c r="G5" s="165">
        <v>5</v>
      </c>
    </row>
    <row r="6" spans="1:10" ht="6.6" customHeight="1">
      <c r="A6" s="164"/>
      <c r="B6" s="165"/>
      <c r="C6" s="165"/>
      <c r="D6" s="165"/>
      <c r="E6" s="165"/>
      <c r="F6" s="165"/>
      <c r="G6" s="165"/>
    </row>
    <row r="7" spans="1:10">
      <c r="A7" s="164" t="s">
        <v>790</v>
      </c>
      <c r="B7" s="165">
        <v>15</v>
      </c>
      <c r="C7" s="165">
        <v>45</v>
      </c>
      <c r="D7" s="165">
        <v>9</v>
      </c>
      <c r="E7" s="165">
        <v>8</v>
      </c>
      <c r="F7" s="165">
        <v>28</v>
      </c>
      <c r="G7" s="165">
        <v>3</v>
      </c>
    </row>
    <row r="8" spans="1:10">
      <c r="A8" s="164" t="s">
        <v>1040</v>
      </c>
      <c r="B8" s="165">
        <v>13</v>
      </c>
      <c r="C8" s="165">
        <v>34</v>
      </c>
      <c r="D8" s="165">
        <v>10</v>
      </c>
      <c r="E8" s="165">
        <v>6</v>
      </c>
      <c r="F8" s="165">
        <v>24</v>
      </c>
      <c r="G8" s="165">
        <v>4</v>
      </c>
    </row>
    <row r="9" spans="1:10">
      <c r="A9" s="164" t="s">
        <v>791</v>
      </c>
      <c r="B9" s="165">
        <v>17</v>
      </c>
      <c r="C9" s="165">
        <v>46</v>
      </c>
      <c r="D9" s="165">
        <v>12</v>
      </c>
      <c r="E9" s="165">
        <v>8</v>
      </c>
      <c r="F9" s="165">
        <v>26</v>
      </c>
      <c r="G9" s="165">
        <v>5</v>
      </c>
    </row>
    <row r="10" spans="1:10">
      <c r="A10" s="164" t="s">
        <v>792</v>
      </c>
      <c r="B10" s="165">
        <v>15</v>
      </c>
      <c r="C10" s="165">
        <v>46</v>
      </c>
      <c r="D10" s="165">
        <v>10</v>
      </c>
      <c r="E10" s="165">
        <v>7</v>
      </c>
      <c r="F10" s="165">
        <v>28</v>
      </c>
      <c r="G10" s="165">
        <v>4</v>
      </c>
    </row>
    <row r="11" spans="1:10">
      <c r="A11" s="164" t="s">
        <v>1041</v>
      </c>
      <c r="B11" s="165">
        <v>14</v>
      </c>
      <c r="C11" s="165">
        <v>42</v>
      </c>
      <c r="D11" s="165">
        <v>10</v>
      </c>
      <c r="E11" s="165">
        <v>7</v>
      </c>
      <c r="F11" s="165">
        <v>28</v>
      </c>
      <c r="G11" s="165">
        <v>4</v>
      </c>
    </row>
    <row r="12" spans="1:10">
      <c r="A12" s="164" t="s">
        <v>738</v>
      </c>
      <c r="B12" s="165">
        <v>13</v>
      </c>
      <c r="C12" s="165">
        <v>41</v>
      </c>
      <c r="D12" s="165">
        <v>11</v>
      </c>
      <c r="E12" s="165">
        <v>7</v>
      </c>
      <c r="F12" s="165">
        <v>27</v>
      </c>
      <c r="G12" s="165">
        <v>5</v>
      </c>
    </row>
    <row r="13" spans="1:10">
      <c r="A13" s="164" t="s">
        <v>739</v>
      </c>
      <c r="B13" s="165">
        <v>14</v>
      </c>
      <c r="C13" s="165">
        <v>39</v>
      </c>
      <c r="D13" s="165">
        <v>11</v>
      </c>
      <c r="E13" s="165">
        <v>7</v>
      </c>
      <c r="F13" s="165">
        <v>26</v>
      </c>
      <c r="G13" s="165">
        <v>5</v>
      </c>
    </row>
    <row r="14" spans="1:10">
      <c r="A14" s="164" t="s">
        <v>740</v>
      </c>
      <c r="B14" s="165">
        <v>17</v>
      </c>
      <c r="C14" s="165">
        <v>42</v>
      </c>
      <c r="D14" s="165">
        <v>13</v>
      </c>
      <c r="E14" s="165">
        <v>7</v>
      </c>
      <c r="F14" s="165">
        <v>24</v>
      </c>
      <c r="G14" s="165">
        <v>5</v>
      </c>
    </row>
    <row r="15" spans="1:10">
      <c r="A15" s="164" t="s">
        <v>741</v>
      </c>
      <c r="B15" s="165">
        <v>17</v>
      </c>
      <c r="C15" s="165">
        <v>43</v>
      </c>
      <c r="D15" s="165">
        <v>15</v>
      </c>
      <c r="E15" s="165">
        <v>9</v>
      </c>
      <c r="F15" s="165">
        <v>29</v>
      </c>
      <c r="G15" s="165">
        <v>7</v>
      </c>
    </row>
    <row r="16" spans="1:10">
      <c r="A16" s="164" t="s">
        <v>742</v>
      </c>
      <c r="B16" s="165">
        <v>17</v>
      </c>
      <c r="C16" s="165">
        <v>46</v>
      </c>
      <c r="D16" s="165">
        <v>14</v>
      </c>
      <c r="E16" s="165">
        <v>8</v>
      </c>
      <c r="F16" s="165">
        <v>30</v>
      </c>
      <c r="G16" s="165">
        <v>6</v>
      </c>
    </row>
    <row r="17" spans="1:7">
      <c r="A17" s="164" t="s">
        <v>1042</v>
      </c>
      <c r="B17" s="165">
        <v>21</v>
      </c>
      <c r="C17" s="165">
        <v>58</v>
      </c>
      <c r="D17" s="165">
        <v>18</v>
      </c>
      <c r="E17" s="165">
        <v>10</v>
      </c>
      <c r="F17" s="165">
        <v>30</v>
      </c>
      <c r="G17" s="165">
        <v>7</v>
      </c>
    </row>
    <row r="18" spans="1:7">
      <c r="A18" s="164" t="s">
        <v>743</v>
      </c>
      <c r="B18" s="165">
        <v>28</v>
      </c>
      <c r="C18" s="165">
        <v>61</v>
      </c>
      <c r="D18" s="165">
        <v>22</v>
      </c>
      <c r="E18" s="165">
        <v>18</v>
      </c>
      <c r="F18" s="165">
        <v>49</v>
      </c>
      <c r="G18" s="165">
        <v>12</v>
      </c>
    </row>
    <row r="19" spans="1:7">
      <c r="A19" s="166" t="s">
        <v>745</v>
      </c>
      <c r="B19" s="167">
        <v>56</v>
      </c>
      <c r="C19" s="167">
        <v>74</v>
      </c>
      <c r="D19" s="167">
        <v>47</v>
      </c>
      <c r="E19" s="167">
        <v>49</v>
      </c>
      <c r="F19" s="167">
        <v>68</v>
      </c>
      <c r="G19" s="167">
        <v>40</v>
      </c>
    </row>
    <row r="21" spans="1:7">
      <c r="A21" s="160" t="s">
        <v>90</v>
      </c>
    </row>
    <row r="22" spans="1:7">
      <c r="A22" s="160" t="s">
        <v>91</v>
      </c>
    </row>
    <row r="23" spans="1:7">
      <c r="A23" s="160" t="s">
        <v>707</v>
      </c>
    </row>
    <row r="24" spans="1:7">
      <c r="A24" s="160" t="s">
        <v>708</v>
      </c>
    </row>
  </sheetData>
  <mergeCells count="3">
    <mergeCell ref="B3:D3"/>
    <mergeCell ref="E3:G3"/>
    <mergeCell ref="A1:J1"/>
  </mergeCells>
  <phoneticPr fontId="35" type="noConversion"/>
  <pageMargins left="0.75" right="0.75" top="1" bottom="1" header="0.5" footer="0.5"/>
  <pageSetup orientation="landscape" horizontalDpi="4294967292" verticalDpi="0" r:id="rId1"/>
  <headerFooter alignWithMargins="0"/>
</worksheet>
</file>

<file path=xl/worksheets/sheet139.xml><?xml version="1.0" encoding="utf-8"?>
<worksheet xmlns="http://schemas.openxmlformats.org/spreadsheetml/2006/main" xmlns:r="http://schemas.openxmlformats.org/officeDocument/2006/relationships">
  <sheetPr codeName="Sheet171"/>
  <dimension ref="A1:I17"/>
  <sheetViews>
    <sheetView view="pageBreakPreview" zoomScaleSheetLayoutView="100" workbookViewId="0">
      <selection activeCell="H62" sqref="H62"/>
    </sheetView>
  </sheetViews>
  <sheetFormatPr defaultRowHeight="12.75"/>
  <cols>
    <col min="1" max="1" width="14.42578125" style="1" customWidth="1"/>
    <col min="2" max="2" width="11.42578125" style="1" customWidth="1"/>
    <col min="3" max="16384" width="9.140625" style="1"/>
  </cols>
  <sheetData>
    <row r="1" spans="1:9" ht="15.75">
      <c r="A1" s="40" t="s">
        <v>706</v>
      </c>
    </row>
    <row r="3" spans="1:9">
      <c r="A3" s="2"/>
      <c r="B3" s="666" t="s">
        <v>473</v>
      </c>
      <c r="C3" s="1251" t="s">
        <v>1055</v>
      </c>
      <c r="D3" s="1252"/>
      <c r="E3" s="1252"/>
    </row>
    <row r="4" spans="1:9">
      <c r="A4" s="2"/>
      <c r="B4" s="132" t="s">
        <v>1073</v>
      </c>
      <c r="C4" s="237" t="s">
        <v>1073</v>
      </c>
      <c r="D4" s="132" t="s">
        <v>474</v>
      </c>
      <c r="E4" s="132" t="s">
        <v>475</v>
      </c>
    </row>
    <row r="5" spans="1:9">
      <c r="A5" s="2" t="s">
        <v>375</v>
      </c>
      <c r="B5" s="365">
        <v>90.8</v>
      </c>
      <c r="C5" s="47">
        <v>9.1999999999999993</v>
      </c>
      <c r="D5" s="365">
        <v>6.3</v>
      </c>
      <c r="E5" s="365">
        <v>2.9</v>
      </c>
    </row>
    <row r="6" spans="1:9">
      <c r="A6" s="2" t="s">
        <v>1039</v>
      </c>
      <c r="B6" s="365">
        <v>89.5</v>
      </c>
      <c r="C6" s="47">
        <v>10.5</v>
      </c>
      <c r="D6" s="365">
        <v>8</v>
      </c>
      <c r="E6" s="365">
        <v>2.5</v>
      </c>
      <c r="H6" s="300"/>
      <c r="I6" s="300"/>
    </row>
    <row r="7" spans="1:9">
      <c r="A7" s="2" t="s">
        <v>476</v>
      </c>
      <c r="B7" s="365">
        <v>90.8</v>
      </c>
      <c r="C7" s="47">
        <v>9.1999999999999993</v>
      </c>
      <c r="D7" s="365">
        <v>7.1</v>
      </c>
      <c r="E7" s="365">
        <v>2.4</v>
      </c>
      <c r="H7" s="300"/>
      <c r="I7" s="300"/>
    </row>
    <row r="8" spans="1:9">
      <c r="A8" s="2" t="s">
        <v>791</v>
      </c>
      <c r="B8" s="365">
        <v>85.4</v>
      </c>
      <c r="C8" s="47">
        <v>14.6</v>
      </c>
      <c r="D8" s="365">
        <v>9.5</v>
      </c>
      <c r="E8" s="365">
        <v>5.0999999999999996</v>
      </c>
      <c r="H8" s="300"/>
      <c r="I8" s="300"/>
    </row>
    <row r="9" spans="1:9">
      <c r="A9" s="2" t="s">
        <v>792</v>
      </c>
      <c r="B9" s="365">
        <v>89.8</v>
      </c>
      <c r="C9" s="47">
        <v>10.199999999999999</v>
      </c>
      <c r="D9" s="365">
        <v>7.4</v>
      </c>
      <c r="E9" s="365">
        <v>2.8</v>
      </c>
      <c r="H9" s="300"/>
      <c r="I9" s="300"/>
    </row>
    <row r="10" spans="1:9">
      <c r="A10" s="2" t="s">
        <v>1041</v>
      </c>
      <c r="B10" s="365">
        <v>91.4</v>
      </c>
      <c r="C10" s="47">
        <v>8.6</v>
      </c>
      <c r="D10" s="365">
        <v>6.1</v>
      </c>
      <c r="E10" s="365">
        <v>2.4</v>
      </c>
      <c r="H10" s="300"/>
      <c r="I10" s="300"/>
    </row>
    <row r="11" spans="1:9">
      <c r="A11" s="2" t="s">
        <v>738</v>
      </c>
      <c r="B11" s="365">
        <v>91.7</v>
      </c>
      <c r="C11" s="47">
        <v>8.4</v>
      </c>
      <c r="D11" s="365">
        <v>5.6</v>
      </c>
      <c r="E11" s="365">
        <v>2.7</v>
      </c>
      <c r="H11" s="300"/>
      <c r="I11" s="300"/>
    </row>
    <row r="12" spans="1:9">
      <c r="A12" s="2" t="s">
        <v>739</v>
      </c>
      <c r="B12" s="365">
        <v>90.6</v>
      </c>
      <c r="C12" s="47">
        <v>9.4</v>
      </c>
      <c r="D12" s="365">
        <v>6.8</v>
      </c>
      <c r="E12" s="365">
        <v>2.7</v>
      </c>
      <c r="H12" s="300"/>
      <c r="I12" s="300"/>
    </row>
    <row r="13" spans="1:9">
      <c r="A13" s="2" t="s">
        <v>740</v>
      </c>
      <c r="B13" s="365">
        <v>91.9</v>
      </c>
      <c r="C13" s="47">
        <v>8.1</v>
      </c>
      <c r="D13" s="365">
        <v>5.2</v>
      </c>
      <c r="E13" s="365">
        <v>2.9</v>
      </c>
      <c r="H13" s="300"/>
      <c r="I13" s="300"/>
    </row>
    <row r="14" spans="1:9">
      <c r="A14" s="2" t="s">
        <v>741</v>
      </c>
      <c r="B14" s="365">
        <v>89.3</v>
      </c>
      <c r="C14" s="47">
        <v>10.7</v>
      </c>
      <c r="D14" s="365">
        <v>7.2</v>
      </c>
      <c r="E14" s="365">
        <v>3.5</v>
      </c>
      <c r="H14" s="300"/>
      <c r="I14" s="300"/>
    </row>
    <row r="15" spans="1:9">
      <c r="A15" s="2" t="s">
        <v>742</v>
      </c>
      <c r="B15" s="365">
        <v>89.6</v>
      </c>
      <c r="C15" s="47">
        <v>10.4</v>
      </c>
      <c r="D15" s="365">
        <v>10.4</v>
      </c>
      <c r="E15" s="365">
        <v>3.5</v>
      </c>
      <c r="H15" s="300"/>
      <c r="I15" s="300"/>
    </row>
    <row r="17" spans="1:6" ht="43.5" customHeight="1">
      <c r="A17" s="1188" t="s">
        <v>477</v>
      </c>
      <c r="B17" s="1188"/>
      <c r="C17" s="1188"/>
      <c r="D17" s="1188"/>
      <c r="E17" s="1188"/>
      <c r="F17" s="1188"/>
    </row>
  </sheetData>
  <mergeCells count="2">
    <mergeCell ref="C3:E3"/>
    <mergeCell ref="A17:F17"/>
  </mergeCells>
  <phoneticPr fontId="35" type="noConversion"/>
  <pageMargins left="0.75" right="0.75" top="1" bottom="1" header="0.5" footer="0.5"/>
  <pageSetup orientation="portrait" horizontalDpi="0" verticalDpi="0" r:id="rId1"/>
  <headerFooter alignWithMargins="0"/>
</worksheet>
</file>

<file path=xl/worksheets/sheet14.xml><?xml version="1.0" encoding="utf-8"?>
<worksheet xmlns="http://schemas.openxmlformats.org/spreadsheetml/2006/main" xmlns:r="http://schemas.openxmlformats.org/officeDocument/2006/relationships">
  <sheetPr codeName="Sheet193">
    <pageSetUpPr fitToPage="1"/>
  </sheetPr>
  <dimension ref="A1:X4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24" ht="15.75">
      <c r="A1" s="3" t="s">
        <v>2099</v>
      </c>
    </row>
    <row r="2" spans="1:24">
      <c r="A2" s="4"/>
      <c r="B2" s="4"/>
    </row>
    <row r="3" spans="1:24" ht="12.75" customHeight="1">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24" s="4" customFormat="1" ht="12.75" customHeight="1">
      <c r="A4" s="7"/>
      <c r="B4" s="1167"/>
      <c r="C4" s="1165"/>
      <c r="D4" s="1165"/>
      <c r="E4" s="1165"/>
      <c r="F4" s="1165"/>
      <c r="G4" s="1165"/>
      <c r="H4" s="1165"/>
      <c r="I4" s="1165"/>
      <c r="J4" s="1165"/>
      <c r="K4" s="1165"/>
      <c r="L4" s="1165"/>
    </row>
    <row r="5" spans="1:24" ht="12.75" customHeight="1">
      <c r="A5" s="432">
        <v>1981</v>
      </c>
      <c r="B5" s="25">
        <v>53.6</v>
      </c>
      <c r="C5" s="25">
        <v>56.8</v>
      </c>
      <c r="D5" s="25">
        <v>53.8</v>
      </c>
      <c r="E5" s="25">
        <v>53.8</v>
      </c>
      <c r="F5" s="25">
        <v>54.9</v>
      </c>
      <c r="G5" s="25">
        <v>55.2</v>
      </c>
      <c r="H5" s="25">
        <v>52.3</v>
      </c>
      <c r="I5" s="25">
        <v>52.9</v>
      </c>
      <c r="J5" s="25">
        <v>54.2</v>
      </c>
      <c r="K5" s="25">
        <v>55.6</v>
      </c>
      <c r="L5" s="25">
        <v>53.9</v>
      </c>
      <c r="N5" s="815"/>
      <c r="O5" s="815"/>
      <c r="P5" s="815"/>
      <c r="Q5" s="815"/>
      <c r="R5" s="815"/>
      <c r="S5" s="815"/>
      <c r="T5" s="815"/>
      <c r="U5" s="815"/>
      <c r="V5" s="815"/>
      <c r="W5" s="815"/>
      <c r="X5" s="815"/>
    </row>
    <row r="6" spans="1:24" ht="12.75" customHeight="1">
      <c r="A6" s="120">
        <v>1982</v>
      </c>
      <c r="B6" s="25">
        <v>58.7</v>
      </c>
      <c r="C6" s="25">
        <v>62.1</v>
      </c>
      <c r="D6" s="25">
        <v>58.8</v>
      </c>
      <c r="E6" s="25">
        <v>59</v>
      </c>
      <c r="F6" s="25">
        <v>60</v>
      </c>
      <c r="G6" s="25">
        <v>60.6</v>
      </c>
      <c r="H6" s="25">
        <v>57.1</v>
      </c>
      <c r="I6" s="25">
        <v>57.5</v>
      </c>
      <c r="J6" s="25">
        <v>59.1</v>
      </c>
      <c r="K6" s="25">
        <v>60.7</v>
      </c>
      <c r="L6" s="25">
        <v>58.8</v>
      </c>
      <c r="N6" s="815"/>
      <c r="O6" s="815"/>
      <c r="P6" s="815"/>
      <c r="Q6" s="815"/>
      <c r="R6" s="815"/>
      <c r="S6" s="815"/>
      <c r="T6" s="815"/>
      <c r="U6" s="815"/>
      <c r="V6" s="815"/>
      <c r="W6" s="815"/>
      <c r="X6" s="815"/>
    </row>
    <row r="7" spans="1:24" ht="12.75" customHeight="1">
      <c r="A7" s="120">
        <v>1983</v>
      </c>
      <c r="B7" s="25">
        <v>61.9</v>
      </c>
      <c r="C7" s="25">
        <v>65.3</v>
      </c>
      <c r="D7" s="25">
        <v>62</v>
      </c>
      <c r="E7" s="25">
        <v>62.7</v>
      </c>
      <c r="F7" s="25">
        <v>63.6</v>
      </c>
      <c r="G7" s="25">
        <v>63.7</v>
      </c>
      <c r="H7" s="25">
        <v>60.6</v>
      </c>
      <c r="I7" s="25">
        <v>61.6</v>
      </c>
      <c r="J7" s="25">
        <v>62.7</v>
      </c>
      <c r="K7" s="25">
        <v>63.3</v>
      </c>
      <c r="L7" s="25">
        <v>61.6</v>
      </c>
      <c r="N7" s="815"/>
      <c r="O7" s="815"/>
      <c r="P7" s="815"/>
      <c r="Q7" s="815"/>
      <c r="R7" s="815"/>
      <c r="S7" s="815"/>
      <c r="T7" s="815"/>
      <c r="U7" s="815"/>
      <c r="V7" s="815"/>
      <c r="W7" s="815"/>
      <c r="X7" s="815"/>
    </row>
    <row r="8" spans="1:24" ht="12.75" customHeight="1">
      <c r="A8" s="120">
        <v>1984</v>
      </c>
      <c r="B8" s="25">
        <v>64.400000000000006</v>
      </c>
      <c r="C8" s="25">
        <v>67.900000000000006</v>
      </c>
      <c r="D8" s="25">
        <v>64.7</v>
      </c>
      <c r="E8" s="25">
        <v>65.7</v>
      </c>
      <c r="F8" s="25">
        <v>66.599999999999994</v>
      </c>
      <c r="G8" s="25">
        <v>66.400000000000006</v>
      </c>
      <c r="H8" s="25">
        <v>63.3</v>
      </c>
      <c r="I8" s="25">
        <v>63.9</v>
      </c>
      <c r="J8" s="25">
        <v>65.099999999999994</v>
      </c>
      <c r="K8" s="25">
        <v>64.8</v>
      </c>
      <c r="L8" s="25">
        <v>63.8</v>
      </c>
      <c r="N8" s="815"/>
      <c r="O8" s="815"/>
      <c r="P8" s="815"/>
      <c r="Q8" s="815"/>
      <c r="R8" s="815"/>
      <c r="S8" s="815"/>
      <c r="T8" s="815"/>
      <c r="U8" s="815"/>
      <c r="V8" s="815"/>
      <c r="W8" s="815"/>
      <c r="X8" s="815"/>
    </row>
    <row r="9" spans="1:24" ht="12.75" customHeight="1">
      <c r="A9" s="120">
        <v>1985</v>
      </c>
      <c r="B9" s="25">
        <v>66.7</v>
      </c>
      <c r="C9" s="25">
        <v>70</v>
      </c>
      <c r="D9" s="25">
        <v>67.400000000000006</v>
      </c>
      <c r="E9" s="25">
        <v>68</v>
      </c>
      <c r="F9" s="25">
        <v>69.2</v>
      </c>
      <c r="G9" s="25">
        <v>69</v>
      </c>
      <c r="H9" s="25">
        <v>66</v>
      </c>
      <c r="I9" s="25">
        <v>66.2</v>
      </c>
      <c r="J9" s="25">
        <v>67.2</v>
      </c>
      <c r="K9" s="25">
        <v>66.5</v>
      </c>
      <c r="L9" s="25">
        <v>65.2</v>
      </c>
      <c r="N9" s="815"/>
      <c r="O9" s="815"/>
      <c r="P9" s="815"/>
      <c r="Q9" s="815"/>
      <c r="R9" s="815"/>
      <c r="S9" s="815"/>
      <c r="T9" s="815"/>
      <c r="U9" s="815"/>
      <c r="V9" s="815"/>
      <c r="W9" s="815"/>
      <c r="X9" s="815"/>
    </row>
    <row r="10" spans="1:24" ht="12.75" customHeight="1">
      <c r="A10" s="120">
        <v>1986</v>
      </c>
      <c r="B10" s="25">
        <v>69.2</v>
      </c>
      <c r="C10" s="25">
        <v>72.400000000000006</v>
      </c>
      <c r="D10" s="25">
        <v>69.5</v>
      </c>
      <c r="E10" s="25">
        <v>70.099999999999994</v>
      </c>
      <c r="F10" s="25">
        <v>71.3</v>
      </c>
      <c r="G10" s="25">
        <v>71.400000000000006</v>
      </c>
      <c r="H10" s="25">
        <v>68.8</v>
      </c>
      <c r="I10" s="25">
        <v>68.599999999999994</v>
      </c>
      <c r="J10" s="25">
        <v>69</v>
      </c>
      <c r="K10" s="25">
        <v>68.400000000000006</v>
      </c>
      <c r="L10" s="25">
        <v>67.400000000000006</v>
      </c>
      <c r="N10" s="815"/>
      <c r="O10" s="815"/>
      <c r="P10" s="815"/>
      <c r="Q10" s="815"/>
      <c r="R10" s="815"/>
      <c r="S10" s="815"/>
      <c r="T10" s="815"/>
      <c r="U10" s="815"/>
      <c r="V10" s="815"/>
      <c r="W10" s="815"/>
      <c r="X10" s="815"/>
    </row>
    <row r="11" spans="1:24" ht="12.75" customHeight="1">
      <c r="A11" s="120">
        <v>1987</v>
      </c>
      <c r="B11" s="25">
        <v>72</v>
      </c>
      <c r="C11" s="25">
        <v>74.7</v>
      </c>
      <c r="D11" s="25">
        <v>72.2</v>
      </c>
      <c r="E11" s="25">
        <v>72.400000000000006</v>
      </c>
      <c r="F11" s="25">
        <v>73.599999999999994</v>
      </c>
      <c r="G11" s="25">
        <v>74.3</v>
      </c>
      <c r="H11" s="25">
        <v>72.2</v>
      </c>
      <c r="I11" s="25">
        <v>71.3</v>
      </c>
      <c r="J11" s="25">
        <v>71.099999999999994</v>
      </c>
      <c r="K11" s="25">
        <v>70.2</v>
      </c>
      <c r="L11" s="25">
        <v>69.400000000000006</v>
      </c>
      <c r="N11" s="815"/>
      <c r="O11" s="815"/>
      <c r="P11" s="815"/>
      <c r="Q11" s="815"/>
      <c r="R11" s="815"/>
      <c r="S11" s="815"/>
      <c r="T11" s="815"/>
      <c r="U11" s="815"/>
      <c r="V11" s="815"/>
      <c r="W11" s="815"/>
      <c r="X11" s="815"/>
    </row>
    <row r="12" spans="1:24" ht="12.75" customHeight="1">
      <c r="A12" s="120">
        <v>1988</v>
      </c>
      <c r="B12" s="25">
        <v>74.7</v>
      </c>
      <c r="C12" s="25">
        <v>76.8</v>
      </c>
      <c r="D12" s="25">
        <v>74.900000000000006</v>
      </c>
      <c r="E12" s="25">
        <v>74.7</v>
      </c>
      <c r="F12" s="25">
        <v>75.900000000000006</v>
      </c>
      <c r="G12" s="25">
        <v>76.900000000000006</v>
      </c>
      <c r="H12" s="25">
        <v>75.400000000000006</v>
      </c>
      <c r="I12" s="25">
        <v>74.099999999999994</v>
      </c>
      <c r="J12" s="25">
        <v>73.5</v>
      </c>
      <c r="K12" s="25">
        <v>72.2</v>
      </c>
      <c r="L12" s="25">
        <v>71.8</v>
      </c>
      <c r="N12" s="815"/>
      <c r="O12" s="815"/>
      <c r="P12" s="815"/>
      <c r="Q12" s="815"/>
      <c r="R12" s="815"/>
      <c r="S12" s="815"/>
      <c r="T12" s="815"/>
      <c r="U12" s="815"/>
      <c r="V12" s="815"/>
      <c r="W12" s="815"/>
      <c r="X12" s="815"/>
    </row>
    <row r="13" spans="1:24" ht="12.75" customHeight="1">
      <c r="A13" s="120">
        <v>1989</v>
      </c>
      <c r="B13" s="25">
        <v>77.900000000000006</v>
      </c>
      <c r="C13" s="25">
        <v>79.8</v>
      </c>
      <c r="D13" s="25">
        <v>77.7</v>
      </c>
      <c r="E13" s="25">
        <v>77.900000000000006</v>
      </c>
      <c r="F13" s="25">
        <v>79.3</v>
      </c>
      <c r="G13" s="25">
        <v>79.900000000000006</v>
      </c>
      <c r="H13" s="25">
        <v>79</v>
      </c>
      <c r="I13" s="25">
        <v>77.099999999999994</v>
      </c>
      <c r="J13" s="25">
        <v>76.3</v>
      </c>
      <c r="K13" s="25">
        <v>75</v>
      </c>
      <c r="L13" s="25">
        <v>75.2</v>
      </c>
      <c r="N13" s="815"/>
      <c r="O13" s="815"/>
      <c r="P13" s="815"/>
      <c r="Q13" s="815"/>
      <c r="R13" s="815"/>
      <c r="S13" s="815"/>
      <c r="T13" s="815"/>
      <c r="U13" s="815"/>
      <c r="V13" s="815"/>
      <c r="W13" s="815"/>
      <c r="X13" s="815"/>
    </row>
    <row r="14" spans="1:24" ht="12.75" customHeight="1">
      <c r="A14" s="120">
        <v>1990</v>
      </c>
      <c r="B14" s="25">
        <v>80.900000000000006</v>
      </c>
      <c r="C14" s="25">
        <v>82.5</v>
      </c>
      <c r="D14" s="25">
        <v>81.5</v>
      </c>
      <c r="E14" s="25">
        <v>81.3</v>
      </c>
      <c r="F14" s="25">
        <v>82.2</v>
      </c>
      <c r="G14" s="25">
        <v>83</v>
      </c>
      <c r="H14" s="25">
        <v>81.7</v>
      </c>
      <c r="I14" s="25">
        <v>79.900000000000006</v>
      </c>
      <c r="J14" s="25">
        <v>79</v>
      </c>
      <c r="K14" s="25">
        <v>78.400000000000006</v>
      </c>
      <c r="L14" s="25">
        <v>78.599999999999994</v>
      </c>
      <c r="N14" s="815"/>
      <c r="O14" s="815"/>
      <c r="P14" s="815"/>
      <c r="Q14" s="815"/>
      <c r="R14" s="815"/>
      <c r="S14" s="815"/>
      <c r="T14" s="815"/>
      <c r="U14" s="815"/>
      <c r="V14" s="815"/>
      <c r="W14" s="815"/>
      <c r="X14" s="815"/>
    </row>
    <row r="15" spans="1:24" ht="12.75" customHeight="1">
      <c r="A15" s="120">
        <v>1991</v>
      </c>
      <c r="B15" s="25">
        <v>83.7</v>
      </c>
      <c r="C15" s="25">
        <v>84.8</v>
      </c>
      <c r="D15" s="25">
        <v>84.4</v>
      </c>
      <c r="E15" s="25">
        <v>83.9</v>
      </c>
      <c r="F15" s="25">
        <v>84.6</v>
      </c>
      <c r="G15" s="25">
        <v>85.8</v>
      </c>
      <c r="H15" s="25">
        <v>84.6</v>
      </c>
      <c r="I15" s="25">
        <v>82.2</v>
      </c>
      <c r="J15" s="25">
        <v>81</v>
      </c>
      <c r="K15" s="25">
        <v>80.900000000000006</v>
      </c>
      <c r="L15" s="25">
        <v>81.5</v>
      </c>
      <c r="N15" s="815"/>
      <c r="O15" s="815"/>
      <c r="P15" s="815"/>
      <c r="Q15" s="815"/>
      <c r="R15" s="815"/>
      <c r="S15" s="815"/>
      <c r="T15" s="815"/>
      <c r="U15" s="815"/>
      <c r="V15" s="815"/>
      <c r="W15" s="815"/>
      <c r="X15" s="815"/>
    </row>
    <row r="16" spans="1:24" ht="12.75" customHeight="1">
      <c r="A16" s="120">
        <v>1992</v>
      </c>
      <c r="B16" s="25">
        <v>85.1</v>
      </c>
      <c r="C16" s="25">
        <v>85.8</v>
      </c>
      <c r="D16" s="25">
        <v>85.6</v>
      </c>
      <c r="E16" s="25">
        <v>84.9</v>
      </c>
      <c r="F16" s="25">
        <v>85.7</v>
      </c>
      <c r="G16" s="25">
        <v>87.3</v>
      </c>
      <c r="H16" s="25">
        <v>85.5</v>
      </c>
      <c r="I16" s="25">
        <v>83.8</v>
      </c>
      <c r="J16" s="25">
        <v>82.2</v>
      </c>
      <c r="K16" s="25">
        <v>82.6</v>
      </c>
      <c r="L16" s="25">
        <v>84.1</v>
      </c>
      <c r="N16" s="815"/>
      <c r="O16" s="815"/>
      <c r="P16" s="815"/>
      <c r="Q16" s="815"/>
      <c r="R16" s="815"/>
      <c r="S16" s="815"/>
      <c r="T16" s="815"/>
      <c r="U16" s="815"/>
      <c r="V16" s="815"/>
      <c r="W16" s="815"/>
      <c r="X16" s="815"/>
    </row>
    <row r="17" spans="1:24" ht="12.75" customHeight="1">
      <c r="A17" s="120">
        <v>1993</v>
      </c>
      <c r="B17" s="25">
        <v>86.8</v>
      </c>
      <c r="C17" s="25">
        <v>87.1</v>
      </c>
      <c r="D17" s="25">
        <v>87.3</v>
      </c>
      <c r="E17" s="25">
        <v>86.2</v>
      </c>
      <c r="F17" s="25">
        <v>87</v>
      </c>
      <c r="G17" s="25">
        <v>88.6</v>
      </c>
      <c r="H17" s="25">
        <v>87.3</v>
      </c>
      <c r="I17" s="25">
        <v>85.3</v>
      </c>
      <c r="J17" s="25">
        <v>84.1</v>
      </c>
      <c r="K17" s="25">
        <v>84.1</v>
      </c>
      <c r="L17" s="25">
        <v>86.7</v>
      </c>
      <c r="N17" s="815"/>
      <c r="O17" s="815"/>
      <c r="P17" s="815"/>
      <c r="Q17" s="815"/>
      <c r="R17" s="815"/>
      <c r="S17" s="815"/>
      <c r="T17" s="815"/>
      <c r="U17" s="815"/>
      <c r="V17" s="815"/>
      <c r="W17" s="815"/>
      <c r="X17" s="815"/>
    </row>
    <row r="18" spans="1:24" ht="12.75" customHeight="1">
      <c r="A18" s="120">
        <v>1994</v>
      </c>
      <c r="B18" s="25">
        <v>88.1</v>
      </c>
      <c r="C18" s="25">
        <v>88.7</v>
      </c>
      <c r="D18" s="25">
        <v>87.8</v>
      </c>
      <c r="E18" s="25">
        <v>87.6</v>
      </c>
      <c r="F18" s="25">
        <v>88.6</v>
      </c>
      <c r="G18" s="25">
        <v>89.1</v>
      </c>
      <c r="H18" s="25">
        <v>88.3</v>
      </c>
      <c r="I18" s="25">
        <v>87</v>
      </c>
      <c r="J18" s="25">
        <v>86.1</v>
      </c>
      <c r="K18" s="25">
        <v>85.9</v>
      </c>
      <c r="L18" s="25">
        <v>88.9</v>
      </c>
      <c r="N18" s="815"/>
      <c r="O18" s="815"/>
      <c r="P18" s="815"/>
      <c r="Q18" s="815"/>
      <c r="R18" s="815"/>
      <c r="S18" s="815"/>
      <c r="T18" s="815"/>
      <c r="U18" s="815"/>
      <c r="V18" s="815"/>
      <c r="W18" s="815"/>
      <c r="X18" s="815"/>
    </row>
    <row r="19" spans="1:24" ht="12.75" customHeight="1">
      <c r="A19" s="120">
        <v>1995</v>
      </c>
      <c r="B19" s="25">
        <v>89.2</v>
      </c>
      <c r="C19" s="25">
        <v>89.5</v>
      </c>
      <c r="D19" s="25">
        <v>88.3</v>
      </c>
      <c r="E19" s="25">
        <v>88.3</v>
      </c>
      <c r="F19" s="25">
        <v>89.5</v>
      </c>
      <c r="G19" s="25">
        <v>89.9</v>
      </c>
      <c r="H19" s="25">
        <v>89.3</v>
      </c>
      <c r="I19" s="25">
        <v>88.5</v>
      </c>
      <c r="J19" s="25">
        <v>87.6</v>
      </c>
      <c r="K19" s="25">
        <v>86.7</v>
      </c>
      <c r="L19" s="25">
        <v>90.6</v>
      </c>
      <c r="N19" s="815"/>
      <c r="O19" s="815"/>
      <c r="P19" s="815"/>
      <c r="Q19" s="815"/>
      <c r="R19" s="815"/>
      <c r="S19" s="815"/>
      <c r="T19" s="815"/>
      <c r="U19" s="815"/>
      <c r="V19" s="815"/>
      <c r="W19" s="815"/>
      <c r="X19" s="815"/>
    </row>
    <row r="20" spans="1:24" ht="12.75" customHeight="1">
      <c r="A20" s="120">
        <v>1996</v>
      </c>
      <c r="B20" s="25">
        <v>90.2</v>
      </c>
      <c r="C20" s="25">
        <v>90.4</v>
      </c>
      <c r="D20" s="25">
        <v>89.4</v>
      </c>
      <c r="E20" s="25">
        <v>89.2</v>
      </c>
      <c r="F20" s="25">
        <v>91</v>
      </c>
      <c r="G20" s="25">
        <v>90.6</v>
      </c>
      <c r="H20" s="25">
        <v>90.3</v>
      </c>
      <c r="I20" s="25">
        <v>89.9</v>
      </c>
      <c r="J20" s="25">
        <v>89</v>
      </c>
      <c r="K20" s="25">
        <v>88.3</v>
      </c>
      <c r="L20" s="25">
        <v>91.5</v>
      </c>
      <c r="N20" s="815"/>
      <c r="O20" s="815"/>
      <c r="P20" s="815"/>
      <c r="Q20" s="815"/>
      <c r="R20" s="815"/>
      <c r="S20" s="815"/>
      <c r="T20" s="815"/>
      <c r="U20" s="815"/>
      <c r="V20" s="815"/>
      <c r="W20" s="815"/>
      <c r="X20" s="815"/>
    </row>
    <row r="21" spans="1:24" ht="12.75" customHeight="1">
      <c r="A21" s="120">
        <v>1997</v>
      </c>
      <c r="B21" s="25">
        <v>91.5</v>
      </c>
      <c r="C21" s="25">
        <v>91.6</v>
      </c>
      <c r="D21" s="25">
        <v>90.3</v>
      </c>
      <c r="E21" s="25">
        <v>90.6</v>
      </c>
      <c r="F21" s="25">
        <v>91.7</v>
      </c>
      <c r="G21" s="25">
        <v>91.8</v>
      </c>
      <c r="H21" s="25">
        <v>91.6</v>
      </c>
      <c r="I21" s="25">
        <v>91</v>
      </c>
      <c r="J21" s="25">
        <v>90.6</v>
      </c>
      <c r="K21" s="25">
        <v>90.5</v>
      </c>
      <c r="L21" s="25">
        <v>92.6</v>
      </c>
      <c r="N21" s="815"/>
      <c r="O21" s="815"/>
      <c r="P21" s="815"/>
      <c r="Q21" s="815"/>
      <c r="R21" s="815"/>
      <c r="S21" s="815"/>
      <c r="T21" s="815"/>
      <c r="U21" s="815"/>
      <c r="V21" s="815"/>
      <c r="W21" s="815"/>
      <c r="X21" s="815"/>
    </row>
    <row r="22" spans="1:24" ht="12.75" customHeight="1">
      <c r="A22" s="120">
        <v>1998</v>
      </c>
      <c r="B22" s="25">
        <v>92.7</v>
      </c>
      <c r="C22" s="25">
        <v>92.4</v>
      </c>
      <c r="D22" s="25">
        <v>91.3</v>
      </c>
      <c r="E22" s="25">
        <v>91.6</v>
      </c>
      <c r="F22" s="25">
        <v>92.5</v>
      </c>
      <c r="G22" s="25">
        <v>92.7</v>
      </c>
      <c r="H22" s="25">
        <v>92.9</v>
      </c>
      <c r="I22" s="25">
        <v>92.3</v>
      </c>
      <c r="J22" s="25">
        <v>92.2</v>
      </c>
      <c r="K22" s="25">
        <v>91.9</v>
      </c>
      <c r="L22" s="25">
        <v>93.5</v>
      </c>
      <c r="N22" s="815"/>
      <c r="O22" s="815"/>
      <c r="P22" s="815"/>
      <c r="Q22" s="815"/>
      <c r="R22" s="815"/>
      <c r="S22" s="815"/>
      <c r="T22" s="815"/>
      <c r="U22" s="815"/>
      <c r="V22" s="815"/>
      <c r="W22" s="815"/>
      <c r="X22" s="815"/>
    </row>
    <row r="23" spans="1:24" ht="12.75" customHeight="1">
      <c r="A23" s="120">
        <v>1999</v>
      </c>
      <c r="B23" s="25">
        <v>93.9</v>
      </c>
      <c r="C23" s="25">
        <v>93.8</v>
      </c>
      <c r="D23" s="25">
        <v>92.4</v>
      </c>
      <c r="E23" s="25">
        <v>93.2</v>
      </c>
      <c r="F23" s="25">
        <v>93.8</v>
      </c>
      <c r="G23" s="25">
        <v>94</v>
      </c>
      <c r="H23" s="25">
        <v>94</v>
      </c>
      <c r="I23" s="25">
        <v>93.6</v>
      </c>
      <c r="J23" s="25">
        <v>93.5</v>
      </c>
      <c r="K23" s="25">
        <v>93.3</v>
      </c>
      <c r="L23" s="25">
        <v>94.3</v>
      </c>
      <c r="N23" s="815"/>
      <c r="O23" s="815"/>
      <c r="P23" s="815"/>
      <c r="Q23" s="815"/>
      <c r="R23" s="815"/>
      <c r="S23" s="815"/>
      <c r="T23" s="815"/>
      <c r="U23" s="815"/>
      <c r="V23" s="815"/>
      <c r="W23" s="815"/>
      <c r="X23" s="815"/>
    </row>
    <row r="24" spans="1:24" ht="12.75" customHeight="1">
      <c r="A24" s="120">
        <v>2000</v>
      </c>
      <c r="B24" s="25">
        <v>96.1</v>
      </c>
      <c r="C24" s="25">
        <v>97</v>
      </c>
      <c r="D24" s="25">
        <v>96.1</v>
      </c>
      <c r="E24" s="25">
        <v>96.1</v>
      </c>
      <c r="F24" s="25">
        <v>96.6</v>
      </c>
      <c r="G24" s="25">
        <v>96.4</v>
      </c>
      <c r="H24" s="25">
        <v>96.2</v>
      </c>
      <c r="I24" s="25">
        <v>96</v>
      </c>
      <c r="J24" s="25">
        <v>95.7</v>
      </c>
      <c r="K24" s="25">
        <v>95.6</v>
      </c>
      <c r="L24" s="25">
        <v>96.1</v>
      </c>
      <c r="N24" s="815"/>
      <c r="O24" s="815"/>
      <c r="P24" s="815"/>
      <c r="Q24" s="815"/>
      <c r="R24" s="815"/>
      <c r="S24" s="815"/>
      <c r="T24" s="815"/>
      <c r="U24" s="815"/>
      <c r="V24" s="815"/>
      <c r="W24" s="815"/>
      <c r="X24" s="815"/>
    </row>
    <row r="25" spans="1:24" ht="12.75" customHeight="1">
      <c r="A25" s="120">
        <v>2001</v>
      </c>
      <c r="B25" s="25">
        <v>97.8</v>
      </c>
      <c r="C25" s="25">
        <v>98.2</v>
      </c>
      <c r="D25" s="25">
        <v>97.3</v>
      </c>
      <c r="E25" s="25">
        <v>97.7</v>
      </c>
      <c r="F25" s="25">
        <v>97.8</v>
      </c>
      <c r="G25" s="25">
        <v>97.8</v>
      </c>
      <c r="H25" s="25">
        <v>97.9</v>
      </c>
      <c r="I25" s="25">
        <v>97.9</v>
      </c>
      <c r="J25" s="25">
        <v>97.6</v>
      </c>
      <c r="K25" s="25">
        <v>97.4</v>
      </c>
      <c r="L25" s="25">
        <v>97.6</v>
      </c>
      <c r="N25" s="815"/>
      <c r="O25" s="815"/>
      <c r="P25" s="815"/>
      <c r="Q25" s="815"/>
      <c r="R25" s="815"/>
      <c r="S25" s="815"/>
      <c r="T25" s="815"/>
      <c r="U25" s="815"/>
      <c r="V25" s="815"/>
      <c r="W25" s="815"/>
      <c r="X25" s="815"/>
    </row>
    <row r="26" spans="1:24" ht="12.75" customHeight="1">
      <c r="A26" s="120">
        <v>2002</v>
      </c>
      <c r="B26" s="25">
        <v>100</v>
      </c>
      <c r="C26" s="25">
        <v>100</v>
      </c>
      <c r="D26" s="25">
        <v>100</v>
      </c>
      <c r="E26" s="25">
        <v>100</v>
      </c>
      <c r="F26" s="25">
        <v>100</v>
      </c>
      <c r="G26" s="25">
        <v>100</v>
      </c>
      <c r="H26" s="25">
        <v>100</v>
      </c>
      <c r="I26" s="25">
        <v>100</v>
      </c>
      <c r="J26" s="25">
        <v>100</v>
      </c>
      <c r="K26" s="25">
        <v>100</v>
      </c>
      <c r="L26" s="25">
        <v>100</v>
      </c>
      <c r="N26" s="815"/>
      <c r="O26" s="815"/>
      <c r="P26" s="815"/>
      <c r="Q26" s="815"/>
      <c r="R26" s="815"/>
      <c r="S26" s="815"/>
      <c r="T26" s="815"/>
      <c r="U26" s="815"/>
      <c r="V26" s="815"/>
      <c r="W26" s="815"/>
      <c r="X26" s="815"/>
    </row>
    <row r="27" spans="1:24" ht="12.75" customHeight="1">
      <c r="A27" s="120">
        <v>2003</v>
      </c>
      <c r="B27" s="25">
        <v>101.5</v>
      </c>
      <c r="C27" s="25">
        <v>102</v>
      </c>
      <c r="D27" s="25">
        <v>101.5</v>
      </c>
      <c r="E27" s="25">
        <v>101.7</v>
      </c>
      <c r="F27" s="25">
        <v>101.9</v>
      </c>
      <c r="G27" s="25">
        <v>101.8</v>
      </c>
      <c r="H27" s="25">
        <v>101.4</v>
      </c>
      <c r="I27" s="25">
        <v>101.4</v>
      </c>
      <c r="J27" s="25">
        <v>101.4</v>
      </c>
      <c r="K27" s="25">
        <v>100.9</v>
      </c>
      <c r="L27" s="25">
        <v>101.5</v>
      </c>
      <c r="N27" s="815"/>
      <c r="O27" s="815"/>
      <c r="P27" s="815"/>
      <c r="Q27" s="815"/>
      <c r="R27" s="815"/>
      <c r="S27" s="815"/>
      <c r="T27" s="815"/>
      <c r="U27" s="815"/>
      <c r="V27" s="815"/>
      <c r="W27" s="815"/>
      <c r="X27" s="815"/>
    </row>
    <row r="28" spans="1:24" ht="12.75" customHeight="1">
      <c r="A28" s="119">
        <v>2004</v>
      </c>
      <c r="B28" s="25">
        <v>103.2</v>
      </c>
      <c r="C28" s="25">
        <v>104</v>
      </c>
      <c r="D28" s="25">
        <v>103.5</v>
      </c>
      <c r="E28" s="25">
        <v>103.6</v>
      </c>
      <c r="F28" s="25">
        <v>104.3</v>
      </c>
      <c r="G28" s="25">
        <v>103.1</v>
      </c>
      <c r="H28" s="25">
        <v>103.1</v>
      </c>
      <c r="I28" s="25">
        <v>103.2</v>
      </c>
      <c r="J28" s="25">
        <v>103.4</v>
      </c>
      <c r="K28" s="25">
        <v>103</v>
      </c>
      <c r="L28" s="25">
        <v>103.4</v>
      </c>
      <c r="N28" s="815"/>
      <c r="O28" s="815"/>
      <c r="P28" s="815"/>
      <c r="Q28" s="815"/>
      <c r="R28" s="815"/>
      <c r="S28" s="815"/>
      <c r="T28" s="815"/>
      <c r="U28" s="815"/>
      <c r="V28" s="815"/>
      <c r="W28" s="815"/>
      <c r="X28" s="815"/>
    </row>
    <row r="29" spans="1:24" ht="12.75" customHeight="1">
      <c r="A29" s="119">
        <v>2005</v>
      </c>
      <c r="B29" s="25">
        <v>105.5</v>
      </c>
      <c r="C29" s="25">
        <v>106.3</v>
      </c>
      <c r="D29" s="25">
        <v>106.4</v>
      </c>
      <c r="E29" s="25">
        <v>106.4</v>
      </c>
      <c r="F29" s="25">
        <v>107</v>
      </c>
      <c r="G29" s="25">
        <v>105.3</v>
      </c>
      <c r="H29" s="25">
        <v>105.1</v>
      </c>
      <c r="I29" s="25">
        <v>105.6</v>
      </c>
      <c r="J29" s="25">
        <v>105.5</v>
      </c>
      <c r="K29" s="25">
        <v>106</v>
      </c>
      <c r="L29" s="25">
        <v>105.2</v>
      </c>
      <c r="N29" s="815"/>
      <c r="O29" s="815"/>
      <c r="P29" s="815"/>
      <c r="Q29" s="815"/>
      <c r="R29" s="815"/>
      <c r="S29" s="815"/>
      <c r="T29" s="815"/>
      <c r="U29" s="815"/>
      <c r="V29" s="815"/>
      <c r="W29" s="815"/>
      <c r="X29" s="815"/>
    </row>
    <row r="30" spans="1:24" ht="12.75" customHeight="1">
      <c r="A30" s="119">
        <v>2006</v>
      </c>
      <c r="B30" s="25">
        <v>107.9</v>
      </c>
      <c r="C30" s="25">
        <v>118.4</v>
      </c>
      <c r="D30" s="25">
        <v>108.5</v>
      </c>
      <c r="E30" s="25">
        <v>108.4</v>
      </c>
      <c r="F30" s="25">
        <v>109.1</v>
      </c>
      <c r="G30" s="25">
        <v>106.7</v>
      </c>
      <c r="H30" s="25">
        <v>106.6</v>
      </c>
      <c r="I30" s="25">
        <v>107.9</v>
      </c>
      <c r="J30" s="25">
        <v>107.9</v>
      </c>
      <c r="K30" s="25">
        <v>110.9</v>
      </c>
      <c r="L30" s="25">
        <v>108.3</v>
      </c>
      <c r="N30" s="815"/>
      <c r="O30" s="815"/>
      <c r="P30" s="815"/>
      <c r="Q30" s="815"/>
      <c r="R30" s="815"/>
      <c r="S30" s="815"/>
      <c r="T30" s="815"/>
      <c r="U30" s="815"/>
      <c r="V30" s="815"/>
      <c r="W30" s="815"/>
      <c r="X30" s="815"/>
    </row>
    <row r="31" spans="1:24" ht="12.75" customHeight="1">
      <c r="A31" s="119">
        <v>2007</v>
      </c>
      <c r="B31" s="25">
        <v>110.2</v>
      </c>
      <c r="C31" s="25">
        <v>115.5</v>
      </c>
      <c r="D31" s="25">
        <v>110.8</v>
      </c>
      <c r="E31" s="25">
        <v>110.5</v>
      </c>
      <c r="F31" s="25">
        <v>111.4</v>
      </c>
      <c r="G31" s="25">
        <v>108.9</v>
      </c>
      <c r="H31" s="25">
        <v>108.1</v>
      </c>
      <c r="I31" s="25">
        <v>110.4</v>
      </c>
      <c r="J31" s="25">
        <v>111.2</v>
      </c>
      <c r="K31" s="25">
        <v>115.9</v>
      </c>
      <c r="L31" s="25">
        <v>110.5</v>
      </c>
      <c r="N31" s="815"/>
      <c r="O31" s="815"/>
      <c r="P31" s="815"/>
      <c r="Q31" s="815"/>
      <c r="R31" s="815"/>
      <c r="S31" s="815"/>
      <c r="T31" s="815"/>
      <c r="U31" s="815"/>
      <c r="V31" s="815"/>
      <c r="W31" s="815"/>
      <c r="X31" s="815"/>
    </row>
    <row r="32" spans="1:24" ht="12.75" customHeight="1">
      <c r="A32" s="119">
        <v>2008</v>
      </c>
      <c r="B32" s="25">
        <v>112.7</v>
      </c>
      <c r="C32" s="25">
        <v>113.8</v>
      </c>
      <c r="D32" s="25">
        <v>114.1</v>
      </c>
      <c r="E32" s="25">
        <v>113.4</v>
      </c>
      <c r="F32" s="25">
        <v>113.9</v>
      </c>
      <c r="G32" s="25">
        <v>110.7</v>
      </c>
      <c r="H32" s="25">
        <v>110.4</v>
      </c>
      <c r="I32" s="25">
        <v>113.2</v>
      </c>
      <c r="J32" s="25">
        <v>115.6</v>
      </c>
      <c r="K32" s="25">
        <v>119.7</v>
      </c>
      <c r="L32" s="25">
        <v>113.2</v>
      </c>
      <c r="N32" s="815"/>
      <c r="O32" s="815"/>
      <c r="P32" s="815"/>
      <c r="Q32" s="815"/>
      <c r="R32" s="815"/>
      <c r="S32" s="815"/>
      <c r="T32" s="815"/>
      <c r="U32" s="815"/>
      <c r="V32" s="815"/>
      <c r="W32" s="815"/>
      <c r="X32" s="815"/>
    </row>
    <row r="33" spans="1:12">
      <c r="A33" s="120"/>
      <c r="B33" s="23"/>
      <c r="C33" s="644"/>
      <c r="D33" s="666" t="s">
        <v>802</v>
      </c>
      <c r="E33" s="644"/>
      <c r="F33" s="644"/>
      <c r="G33" s="644"/>
      <c r="H33" s="644"/>
      <c r="I33" s="644"/>
      <c r="J33" s="644"/>
      <c r="K33" s="644"/>
      <c r="L33" s="644"/>
    </row>
    <row r="34" spans="1:12">
      <c r="A34" s="448" t="s">
        <v>603</v>
      </c>
      <c r="B34" s="23">
        <f t="shared" ref="B34:L34" si="0">((((B13/B5))^(1/8))-1)*100</f>
        <v>4.7843885515687523</v>
      </c>
      <c r="C34" s="23">
        <f t="shared" si="0"/>
        <v>4.3414384134970341</v>
      </c>
      <c r="D34" s="23">
        <f t="shared" si="0"/>
        <v>4.7019675290905116</v>
      </c>
      <c r="E34" s="23">
        <f t="shared" si="0"/>
        <v>4.7356175449340787</v>
      </c>
      <c r="F34" s="23">
        <f t="shared" si="0"/>
        <v>4.703838961553175</v>
      </c>
      <c r="G34" s="23">
        <f t="shared" si="0"/>
        <v>4.7311717927371655</v>
      </c>
      <c r="H34" s="23">
        <f t="shared" si="0"/>
        <v>5.2908605696359245</v>
      </c>
      <c r="I34" s="23">
        <f t="shared" si="0"/>
        <v>4.8213716129710704</v>
      </c>
      <c r="J34" s="23">
        <f t="shared" si="0"/>
        <v>4.3675903214358325</v>
      </c>
      <c r="K34" s="23">
        <f t="shared" si="0"/>
        <v>3.8121794949261156</v>
      </c>
      <c r="L34" s="23">
        <f t="shared" si="0"/>
        <v>4.2506171033720008</v>
      </c>
    </row>
    <row r="35" spans="1:12">
      <c r="A35" s="448" t="s">
        <v>604</v>
      </c>
      <c r="B35" s="23">
        <f t="shared" ref="B35:L35" si="1">((((B24/B13))^(1/11))-1)*100</f>
        <v>1.9270910888987247</v>
      </c>
      <c r="C35" s="23">
        <f t="shared" si="1"/>
        <v>1.7902681504685436</v>
      </c>
      <c r="D35" s="23">
        <f t="shared" si="1"/>
        <v>1.9509141920337925</v>
      </c>
      <c r="E35" s="23">
        <f t="shared" si="1"/>
        <v>1.9270910888987247</v>
      </c>
      <c r="F35" s="23">
        <f t="shared" si="1"/>
        <v>1.8101945140821529</v>
      </c>
      <c r="G35" s="23">
        <f t="shared" si="1"/>
        <v>1.7212858286399735</v>
      </c>
      <c r="H35" s="23">
        <f t="shared" si="1"/>
        <v>1.8068708600165184</v>
      </c>
      <c r="I35" s="23">
        <f t="shared" si="1"/>
        <v>2.0131311256405438</v>
      </c>
      <c r="J35" s="23">
        <f t="shared" si="1"/>
        <v>2.0808573872200142</v>
      </c>
      <c r="K35" s="23">
        <f t="shared" si="1"/>
        <v>2.2307417085886572</v>
      </c>
      <c r="L35" s="23">
        <f t="shared" si="1"/>
        <v>2.254474806450113</v>
      </c>
    </row>
    <row r="36" spans="1:12">
      <c r="A36" s="448" t="s">
        <v>1408</v>
      </c>
      <c r="B36" s="23">
        <f>((((B32/B5))^(1/27))-1)*100</f>
        <v>2.7907516259827458</v>
      </c>
      <c r="C36" s="23">
        <f t="shared" ref="C36:L36" si="2">((((C32/C5))^(1/27))-1)*100</f>
        <v>2.6071329762019424</v>
      </c>
      <c r="D36" s="23">
        <f t="shared" si="2"/>
        <v>2.8235792357885758</v>
      </c>
      <c r="E36" s="23">
        <f t="shared" si="2"/>
        <v>2.8001462587493364</v>
      </c>
      <c r="F36" s="23">
        <f t="shared" si="2"/>
        <v>2.7398529965161567</v>
      </c>
      <c r="G36" s="23">
        <f t="shared" si="2"/>
        <v>2.6107611163317168</v>
      </c>
      <c r="H36" s="23">
        <f t="shared" si="2"/>
        <v>2.8057274631107187</v>
      </c>
      <c r="I36" s="23">
        <f t="shared" si="2"/>
        <v>2.8576729491908148</v>
      </c>
      <c r="J36" s="23">
        <f t="shared" si="2"/>
        <v>2.8451106835920781</v>
      </c>
      <c r="K36" s="23">
        <f t="shared" si="2"/>
        <v>2.8807331170121131</v>
      </c>
      <c r="L36" s="23">
        <f t="shared" si="2"/>
        <v>2.7863558349760842</v>
      </c>
    </row>
    <row r="37" spans="1:12">
      <c r="A37" s="448" t="s">
        <v>449</v>
      </c>
      <c r="B37" s="644">
        <f>((((B31/B24))^(1/7)-1)*100)</f>
        <v>1.9750740955550627</v>
      </c>
      <c r="C37" s="644">
        <f t="shared" ref="C37:L37" si="3">((((C31/C24))^(1/7)-1)*100)</f>
        <v>2.5250608475545944</v>
      </c>
      <c r="D37" s="644">
        <f t="shared" si="3"/>
        <v>2.0542065215456429</v>
      </c>
      <c r="E37" s="644">
        <f t="shared" si="3"/>
        <v>2.0146863455744235</v>
      </c>
      <c r="F37" s="644">
        <f t="shared" si="3"/>
        <v>2.0572846385600307</v>
      </c>
      <c r="G37" s="644">
        <f t="shared" si="3"/>
        <v>1.7570262251508595</v>
      </c>
      <c r="H37" s="644">
        <f t="shared" si="3"/>
        <v>1.6800621805600935</v>
      </c>
      <c r="I37" s="644">
        <f t="shared" si="3"/>
        <v>2.0166645372730052</v>
      </c>
      <c r="J37" s="644">
        <f t="shared" si="3"/>
        <v>2.1676170884300738</v>
      </c>
      <c r="K37" s="644">
        <f t="shared" si="3"/>
        <v>2.7889681115115694</v>
      </c>
      <c r="L37" s="644">
        <f t="shared" si="3"/>
        <v>2.0146863455744235</v>
      </c>
    </row>
    <row r="38" spans="1:12">
      <c r="A38" s="448" t="s">
        <v>1410</v>
      </c>
      <c r="B38" s="644">
        <f>((((B32/B24))^(1/8)-1)*100)</f>
        <v>2.0117190285878994</v>
      </c>
      <c r="C38" s="644">
        <f t="shared" ref="C38:L38" si="4">((((C32/C24))^(1/8)-1)*100)</f>
        <v>2.0167105601353486</v>
      </c>
      <c r="D38" s="644">
        <f t="shared" si="4"/>
        <v>2.1692680563568434</v>
      </c>
      <c r="E38" s="644">
        <f t="shared" si="4"/>
        <v>2.0907062837110635</v>
      </c>
      <c r="F38" s="644">
        <f t="shared" si="4"/>
        <v>2.0806260122095521</v>
      </c>
      <c r="G38" s="644">
        <f t="shared" si="4"/>
        <v>1.7440036857070629</v>
      </c>
      <c r="H38" s="644">
        <f t="shared" si="4"/>
        <v>1.7359043978164568</v>
      </c>
      <c r="I38" s="644">
        <f t="shared" si="4"/>
        <v>2.0814662038692644</v>
      </c>
      <c r="J38" s="644">
        <f t="shared" si="4"/>
        <v>2.3895742247448171</v>
      </c>
      <c r="K38" s="644">
        <f t="shared" si="4"/>
        <v>2.8500559455243657</v>
      </c>
      <c r="L38" s="644">
        <f t="shared" si="4"/>
        <v>2.0681821287466207</v>
      </c>
    </row>
    <row r="39" spans="1:12">
      <c r="A39" s="2"/>
      <c r="D39" s="27" t="s">
        <v>276</v>
      </c>
    </row>
    <row r="40" spans="1:12">
      <c r="A40" s="448" t="s">
        <v>1408</v>
      </c>
      <c r="B40" s="10">
        <f>(B32/B5-1)*100</f>
        <v>110.26119402985076</v>
      </c>
      <c r="C40" s="10">
        <f t="shared" ref="C40:L40" si="5">(C32/C5-1)*100</f>
        <v>100.35211267605635</v>
      </c>
      <c r="D40" s="10">
        <f t="shared" si="5"/>
        <v>112.08178438661709</v>
      </c>
      <c r="E40" s="10">
        <f t="shared" si="5"/>
        <v>110.78066914498143</v>
      </c>
      <c r="F40" s="10">
        <f t="shared" si="5"/>
        <v>107.4681238615665</v>
      </c>
      <c r="G40" s="10">
        <f t="shared" si="5"/>
        <v>100.54347826086958</v>
      </c>
      <c r="H40" s="10">
        <f t="shared" si="5"/>
        <v>111.08986615678779</v>
      </c>
      <c r="I40" s="10">
        <f t="shared" si="5"/>
        <v>113.98865784499054</v>
      </c>
      <c r="J40" s="10">
        <f t="shared" si="5"/>
        <v>113.28413284132841</v>
      </c>
      <c r="K40" s="10">
        <f t="shared" si="5"/>
        <v>115.28776978417268</v>
      </c>
      <c r="L40" s="10">
        <f t="shared" si="5"/>
        <v>110.01855287569575</v>
      </c>
    </row>
    <row r="42" spans="1:12">
      <c r="A42" s="9" t="s">
        <v>1588</v>
      </c>
      <c r="B42" s="9"/>
      <c r="C42" s="9"/>
      <c r="D42" s="9"/>
      <c r="E42" s="9"/>
      <c r="F42" s="9"/>
      <c r="G42" s="9"/>
      <c r="H42" s="9"/>
      <c r="I42" s="9"/>
      <c r="J42" s="9"/>
      <c r="K42" s="9"/>
      <c r="L42" s="9"/>
    </row>
    <row r="43" spans="1:12">
      <c r="A43" s="4" t="s">
        <v>1718</v>
      </c>
    </row>
    <row r="44" spans="1:12">
      <c r="A44" s="1" t="s">
        <v>388</v>
      </c>
    </row>
    <row r="46" spans="1:12">
      <c r="E46" s="114"/>
    </row>
    <row r="47" spans="1:12">
      <c r="E47" s="114"/>
    </row>
  </sheetData>
  <mergeCells count="11">
    <mergeCell ref="G3:G4"/>
    <mergeCell ref="B3:B4"/>
    <mergeCell ref="C3:C4"/>
    <mergeCell ref="D3:D4"/>
    <mergeCell ref="E3:E4"/>
    <mergeCell ref="F3:F4"/>
    <mergeCell ref="H3:H4"/>
    <mergeCell ref="I3:I4"/>
    <mergeCell ref="J3:J4"/>
    <mergeCell ref="K3:K4"/>
    <mergeCell ref="L3:L4"/>
  </mergeCells>
  <pageMargins left="0.75" right="0.75" top="1" bottom="1" header="0.5" footer="0.5"/>
  <pageSetup scale="84" orientation="landscape" horizontalDpi="300" verticalDpi="300" r:id="rId1"/>
  <headerFooter alignWithMargins="0"/>
</worksheet>
</file>

<file path=xl/worksheets/sheet140.xml><?xml version="1.0" encoding="utf-8"?>
<worksheet xmlns="http://schemas.openxmlformats.org/spreadsheetml/2006/main" xmlns:r="http://schemas.openxmlformats.org/officeDocument/2006/relationships">
  <sheetPr codeName="Sheet172"/>
  <dimension ref="A1:E13"/>
  <sheetViews>
    <sheetView view="pageBreakPreview" zoomScale="106" zoomScaleSheetLayoutView="106" workbookViewId="0">
      <selection activeCell="H62" sqref="H62"/>
    </sheetView>
  </sheetViews>
  <sheetFormatPr defaultRowHeight="12.75"/>
  <cols>
    <col min="1" max="1" width="16.42578125" style="1" customWidth="1"/>
    <col min="2" max="2" width="12.28515625" style="1" customWidth="1"/>
    <col min="3" max="16384" width="9.140625" style="1"/>
  </cols>
  <sheetData>
    <row r="1" spans="1:5" ht="15.75">
      <c r="A1" s="1074" t="s">
        <v>1490</v>
      </c>
      <c r="B1" s="652"/>
      <c r="C1" s="652"/>
      <c r="D1" s="652"/>
      <c r="E1" s="652"/>
    </row>
    <row r="2" spans="1:5">
      <c r="A2" s="652"/>
      <c r="B2" s="652"/>
      <c r="C2" s="652"/>
      <c r="D2" s="652"/>
      <c r="E2" s="652"/>
    </row>
    <row r="3" spans="1:5">
      <c r="A3" s="652"/>
      <c r="B3" s="665" t="s">
        <v>473</v>
      </c>
      <c r="C3" s="1251" t="s">
        <v>1055</v>
      </c>
      <c r="D3" s="1252"/>
      <c r="E3" s="1252"/>
    </row>
    <row r="4" spans="1:5" ht="25.5">
      <c r="A4" s="367" t="s">
        <v>478</v>
      </c>
      <c r="B4" s="237" t="s">
        <v>1073</v>
      </c>
      <c r="C4" s="237" t="s">
        <v>1073</v>
      </c>
      <c r="D4" s="132" t="s">
        <v>474</v>
      </c>
      <c r="E4" s="132" t="s">
        <v>475</v>
      </c>
    </row>
    <row r="5" spans="1:5">
      <c r="A5" s="16" t="s">
        <v>479</v>
      </c>
      <c r="B5" s="665">
        <v>51.7</v>
      </c>
      <c r="C5" s="665">
        <v>48.3</v>
      </c>
      <c r="D5" s="666">
        <v>23.5</v>
      </c>
      <c r="E5" s="666">
        <v>24.8</v>
      </c>
    </row>
    <row r="6" spans="1:5">
      <c r="A6" s="16" t="s">
        <v>481</v>
      </c>
      <c r="B6" s="665">
        <v>70.900000000000006</v>
      </c>
      <c r="C6" s="665">
        <v>29.1</v>
      </c>
      <c r="D6" s="666">
        <v>18.399999999999999</v>
      </c>
      <c r="E6" s="666">
        <v>10.7</v>
      </c>
    </row>
    <row r="7" spans="1:5">
      <c r="A7" s="16" t="s">
        <v>480</v>
      </c>
      <c r="B7" s="665">
        <v>86.4</v>
      </c>
      <c r="C7" s="665">
        <v>13.6</v>
      </c>
      <c r="D7" s="666">
        <v>10.1</v>
      </c>
      <c r="E7" s="666">
        <v>3.5</v>
      </c>
    </row>
    <row r="8" spans="1:5">
      <c r="A8" s="16" t="s">
        <v>482</v>
      </c>
      <c r="B8" s="665">
        <v>94.8</v>
      </c>
      <c r="C8" s="665">
        <v>5.2</v>
      </c>
      <c r="D8" s="666">
        <v>4.4000000000000004</v>
      </c>
      <c r="E8" s="666">
        <v>0.9</v>
      </c>
    </row>
    <row r="9" spans="1:5">
      <c r="A9" s="16" t="s">
        <v>483</v>
      </c>
      <c r="B9" s="665">
        <v>98.7</v>
      </c>
      <c r="C9" s="665">
        <v>1.3</v>
      </c>
      <c r="D9" s="666">
        <v>1</v>
      </c>
      <c r="E9" s="666" t="s">
        <v>593</v>
      </c>
    </row>
    <row r="11" spans="1:5" ht="41.25" customHeight="1">
      <c r="A11" s="1253" t="s">
        <v>486</v>
      </c>
      <c r="B11" s="1253"/>
      <c r="C11" s="1253"/>
      <c r="D11" s="1253"/>
      <c r="E11" s="1253"/>
    </row>
    <row r="12" spans="1:5" ht="24.75" customHeight="1">
      <c r="A12" s="1188" t="s">
        <v>484</v>
      </c>
      <c r="B12" s="1188"/>
      <c r="C12" s="1188"/>
      <c r="D12" s="1188"/>
      <c r="E12" s="1188"/>
    </row>
    <row r="13" spans="1:5">
      <c r="A13" s="366" t="s">
        <v>485</v>
      </c>
    </row>
  </sheetData>
  <mergeCells count="3">
    <mergeCell ref="A12:E12"/>
    <mergeCell ref="C3:E3"/>
    <mergeCell ref="A11:E11"/>
  </mergeCells>
  <phoneticPr fontId="35" type="noConversion"/>
  <pageMargins left="0.75" right="0.75" top="1" bottom="1" header="0.5" footer="0.5"/>
  <pageSetup orientation="portrait" horizontalDpi="0" verticalDpi="0" r:id="rId1"/>
  <headerFooter alignWithMargins="0"/>
  <drawing r:id="rId2"/>
</worksheet>
</file>

<file path=xl/worksheets/sheet141.xml><?xml version="1.0" encoding="utf-8"?>
<worksheet xmlns="http://schemas.openxmlformats.org/spreadsheetml/2006/main" xmlns:r="http://schemas.openxmlformats.org/officeDocument/2006/relationships">
  <sheetPr codeName="Sheet112">
    <pageSetUpPr fitToPage="1"/>
  </sheetPr>
  <dimension ref="A1:O50"/>
  <sheetViews>
    <sheetView view="pageBreakPreview"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149" customWidth="1"/>
    <col min="2" max="2" width="9" style="149" customWidth="1"/>
    <col min="3" max="3" width="8.7109375" style="149" customWidth="1"/>
    <col min="4" max="4" width="10.85546875" style="149" customWidth="1"/>
    <col min="5" max="5" width="13" style="149" customWidth="1"/>
    <col min="6" max="6" width="11.7109375" style="149" customWidth="1"/>
    <col min="7" max="7" width="12.42578125" style="149" customWidth="1"/>
    <col min="8" max="8" width="11.28515625" style="149" customWidth="1"/>
    <col min="9" max="9" width="10.5703125" style="149" customWidth="1"/>
    <col min="10" max="10" width="10.42578125" style="149" customWidth="1"/>
    <col min="11" max="16384" width="9.140625" style="149"/>
  </cols>
  <sheetData>
    <row r="1" spans="1:12" ht="18.600000000000001" customHeight="1">
      <c r="A1" s="1138" t="s">
        <v>1834</v>
      </c>
    </row>
    <row r="2" spans="1:12" s="152" customFormat="1" ht="63" customHeight="1">
      <c r="A2" s="150"/>
      <c r="B2" s="151" t="s">
        <v>709</v>
      </c>
      <c r="C2" s="150" t="s">
        <v>710</v>
      </c>
      <c r="D2" s="150" t="s">
        <v>711</v>
      </c>
      <c r="E2" s="150" t="s">
        <v>712</v>
      </c>
      <c r="F2" s="150" t="s">
        <v>713</v>
      </c>
      <c r="G2" s="150" t="s">
        <v>714</v>
      </c>
      <c r="H2" s="150" t="s">
        <v>715</v>
      </c>
      <c r="I2" s="150" t="s">
        <v>716</v>
      </c>
      <c r="J2" s="150" t="s">
        <v>717</v>
      </c>
    </row>
    <row r="3" spans="1:12" s="152" customFormat="1">
      <c r="A3" s="153"/>
      <c r="B3" s="154" t="s">
        <v>584</v>
      </c>
      <c r="C3" s="153" t="s">
        <v>585</v>
      </c>
      <c r="D3" s="153" t="s">
        <v>587</v>
      </c>
      <c r="E3" s="153" t="s">
        <v>588</v>
      </c>
      <c r="F3" s="153" t="s">
        <v>718</v>
      </c>
      <c r="G3" s="153" t="s">
        <v>719</v>
      </c>
      <c r="H3" s="153" t="s">
        <v>720</v>
      </c>
      <c r="I3" s="153" t="s">
        <v>596</v>
      </c>
      <c r="J3" s="153" t="s">
        <v>721</v>
      </c>
    </row>
    <row r="4" spans="1:12" s="152" customFormat="1">
      <c r="A4" s="337">
        <v>1976</v>
      </c>
      <c r="B4" s="441">
        <v>17058</v>
      </c>
      <c r="C4" s="441">
        <v>10491.3</v>
      </c>
      <c r="D4" s="441">
        <v>9747.5</v>
      </c>
      <c r="E4" s="441">
        <v>743.8</v>
      </c>
      <c r="F4" s="155">
        <f t="shared" ref="F4:G32" si="0">D4/B4*100</f>
        <v>57.143275882283973</v>
      </c>
      <c r="G4" s="155">
        <f t="shared" si="0"/>
        <v>7.0896838332713781</v>
      </c>
      <c r="H4" s="155">
        <f t="shared" ref="H4:H32" si="1">C4/B4*100</f>
        <v>61.503693281744631</v>
      </c>
      <c r="I4" s="437">
        <v>77.7</v>
      </c>
      <c r="J4" s="437">
        <v>45.7</v>
      </c>
    </row>
    <row r="5" spans="1:12">
      <c r="A5" s="297">
        <v>1977</v>
      </c>
      <c r="B5" s="441">
        <v>17435.5</v>
      </c>
      <c r="C5" s="441">
        <v>10785.2</v>
      </c>
      <c r="D5" s="441">
        <v>9917.1</v>
      </c>
      <c r="E5" s="441">
        <v>868.1</v>
      </c>
      <c r="F5" s="155">
        <f t="shared" si="0"/>
        <v>56.878781795761526</v>
      </c>
      <c r="G5" s="155">
        <f t="shared" si="0"/>
        <v>8.0489930645699665</v>
      </c>
      <c r="H5" s="155">
        <f t="shared" si="1"/>
        <v>61.857704109431907</v>
      </c>
      <c r="I5" s="437">
        <v>77.599999999999994</v>
      </c>
      <c r="J5" s="437">
        <v>46.5</v>
      </c>
    </row>
    <row r="6" spans="1:12">
      <c r="A6" s="297">
        <v>1978</v>
      </c>
      <c r="B6" s="441">
        <v>17778.8</v>
      </c>
      <c r="C6" s="441">
        <v>11154.6</v>
      </c>
      <c r="D6" s="441">
        <v>10220.299999999999</v>
      </c>
      <c r="E6" s="441">
        <v>934.3</v>
      </c>
      <c r="F6" s="155">
        <f t="shared" si="0"/>
        <v>57.485882061781446</v>
      </c>
      <c r="G6" s="155">
        <f t="shared" si="0"/>
        <v>8.3759166621842098</v>
      </c>
      <c r="H6" s="155">
        <f t="shared" si="1"/>
        <v>62.741017391499994</v>
      </c>
      <c r="I6" s="437">
        <v>77.900000000000006</v>
      </c>
      <c r="J6" s="437">
        <v>47.9</v>
      </c>
    </row>
    <row r="7" spans="1:12">
      <c r="A7" s="297">
        <v>1979</v>
      </c>
      <c r="B7" s="441">
        <v>18119.400000000001</v>
      </c>
      <c r="C7" s="441">
        <v>11536.7</v>
      </c>
      <c r="D7" s="441">
        <v>10668.6</v>
      </c>
      <c r="E7" s="441">
        <v>868.2</v>
      </c>
      <c r="F7" s="155">
        <f t="shared" si="0"/>
        <v>58.879433093811052</v>
      </c>
      <c r="G7" s="155">
        <f t="shared" si="0"/>
        <v>7.5255489004654716</v>
      </c>
      <c r="H7" s="155">
        <f t="shared" si="1"/>
        <v>63.670430588209328</v>
      </c>
      <c r="I7" s="437">
        <v>78.400000000000006</v>
      </c>
      <c r="J7" s="437">
        <v>49.4</v>
      </c>
    </row>
    <row r="8" spans="1:12">
      <c r="A8" s="297">
        <v>1980</v>
      </c>
      <c r="B8" s="441">
        <v>18483.5</v>
      </c>
      <c r="C8" s="441">
        <v>11879.4</v>
      </c>
      <c r="D8" s="441">
        <v>10984</v>
      </c>
      <c r="E8" s="441">
        <v>895.3</v>
      </c>
      <c r="F8" s="155">
        <f t="shared" si="0"/>
        <v>59.425974517813188</v>
      </c>
      <c r="G8" s="155">
        <f t="shared" si="0"/>
        <v>7.5365759213428278</v>
      </c>
      <c r="H8" s="155">
        <f t="shared" si="1"/>
        <v>64.270295128087213</v>
      </c>
      <c r="I8" s="437">
        <v>78.3</v>
      </c>
      <c r="J8" s="437">
        <v>50.6</v>
      </c>
    </row>
    <row r="9" spans="1:12">
      <c r="A9" s="297">
        <v>1981</v>
      </c>
      <c r="B9" s="441">
        <v>18814.400000000001</v>
      </c>
      <c r="C9" s="441">
        <v>12235.8</v>
      </c>
      <c r="D9" s="441">
        <v>11305</v>
      </c>
      <c r="E9" s="441">
        <v>930.8</v>
      </c>
      <c r="F9" s="155">
        <f t="shared" si="0"/>
        <v>60.086954673016415</v>
      </c>
      <c r="G9" s="155">
        <f t="shared" si="0"/>
        <v>7.6071854721391325</v>
      </c>
      <c r="H9" s="155">
        <f t="shared" si="1"/>
        <v>65.034229101114022</v>
      </c>
      <c r="I9" s="437">
        <v>78.400000000000006</v>
      </c>
      <c r="J9" s="437">
        <v>52</v>
      </c>
      <c r="L9" s="363"/>
    </row>
    <row r="10" spans="1:12">
      <c r="A10" s="297">
        <v>1982</v>
      </c>
      <c r="B10" s="441">
        <v>19103.400000000001</v>
      </c>
      <c r="C10" s="441">
        <v>12301.8</v>
      </c>
      <c r="D10" s="441">
        <v>10943.7</v>
      </c>
      <c r="E10" s="441">
        <v>1358.2</v>
      </c>
      <c r="F10" s="155">
        <f t="shared" si="0"/>
        <v>57.286661013222769</v>
      </c>
      <c r="G10" s="155">
        <f t="shared" si="0"/>
        <v>11.040660716317937</v>
      </c>
      <c r="H10" s="155">
        <f t="shared" si="1"/>
        <v>64.39586670435628</v>
      </c>
      <c r="I10" s="437">
        <v>77</v>
      </c>
      <c r="J10" s="437">
        <v>52.1</v>
      </c>
    </row>
    <row r="11" spans="1:12">
      <c r="A11" s="297">
        <v>1983</v>
      </c>
      <c r="B11" s="441">
        <v>19355</v>
      </c>
      <c r="C11" s="441">
        <v>12527.6</v>
      </c>
      <c r="D11" s="441">
        <v>11022</v>
      </c>
      <c r="E11" s="441">
        <v>1505.6</v>
      </c>
      <c r="F11" s="155">
        <f t="shared" si="0"/>
        <v>56.94652544562129</v>
      </c>
      <c r="G11" s="155">
        <f t="shared" si="0"/>
        <v>12.01826367380823</v>
      </c>
      <c r="H11" s="155">
        <f t="shared" si="1"/>
        <v>64.725393955050379</v>
      </c>
      <c r="I11" s="437">
        <v>76.900000000000006</v>
      </c>
      <c r="J11" s="437">
        <v>53</v>
      </c>
    </row>
    <row r="12" spans="1:12">
      <c r="A12" s="297">
        <v>1984</v>
      </c>
      <c r="B12" s="441">
        <v>19597.900000000001</v>
      </c>
      <c r="C12" s="441">
        <v>12747.9</v>
      </c>
      <c r="D12" s="441">
        <v>11301.7</v>
      </c>
      <c r="E12" s="441">
        <v>1446.2</v>
      </c>
      <c r="F12" s="155">
        <f t="shared" si="0"/>
        <v>57.667913398884572</v>
      </c>
      <c r="G12" s="155">
        <f t="shared" si="0"/>
        <v>11.344613622635885</v>
      </c>
      <c r="H12" s="155">
        <f t="shared" si="1"/>
        <v>65.047275473392546</v>
      </c>
      <c r="I12" s="437">
        <v>76.7</v>
      </c>
      <c r="J12" s="437">
        <v>53.8</v>
      </c>
    </row>
    <row r="13" spans="1:12">
      <c r="A13" s="297">
        <v>1985</v>
      </c>
      <c r="B13" s="441">
        <v>19842.7</v>
      </c>
      <c r="C13" s="441">
        <v>13012.4</v>
      </c>
      <c r="D13" s="441">
        <v>11627.3</v>
      </c>
      <c r="E13" s="441">
        <v>1385.1</v>
      </c>
      <c r="F13" s="155">
        <f t="shared" si="0"/>
        <v>58.597368301692811</v>
      </c>
      <c r="G13" s="155">
        <f t="shared" si="0"/>
        <v>10.644462205281116</v>
      </c>
      <c r="H13" s="155">
        <f t="shared" si="1"/>
        <v>65.577769154399348</v>
      </c>
      <c r="I13" s="437">
        <v>76.7</v>
      </c>
      <c r="J13" s="437">
        <v>54.9</v>
      </c>
    </row>
    <row r="14" spans="1:12">
      <c r="A14" s="297">
        <v>1986</v>
      </c>
      <c r="B14" s="441">
        <v>20093.2</v>
      </c>
      <c r="C14" s="441">
        <v>13272.1</v>
      </c>
      <c r="D14" s="441">
        <v>11986.6</v>
      </c>
      <c r="E14" s="441">
        <v>1285.5</v>
      </c>
      <c r="F14" s="155">
        <f t="shared" si="0"/>
        <v>59.655007664284433</v>
      </c>
      <c r="G14" s="155">
        <f t="shared" si="0"/>
        <v>9.6857317229375912</v>
      </c>
      <c r="H14" s="155">
        <f t="shared" si="1"/>
        <v>66.052694443891468</v>
      </c>
      <c r="I14" s="437">
        <v>76.8</v>
      </c>
      <c r="J14" s="437">
        <v>55.7</v>
      </c>
    </row>
    <row r="15" spans="1:12">
      <c r="A15" s="297">
        <v>1987</v>
      </c>
      <c r="B15" s="441">
        <v>20348.099999999999</v>
      </c>
      <c r="C15" s="441">
        <v>13526</v>
      </c>
      <c r="D15" s="441">
        <v>12333</v>
      </c>
      <c r="E15" s="441">
        <v>1193</v>
      </c>
      <c r="F15" s="155">
        <f t="shared" si="0"/>
        <v>60.61008153095375</v>
      </c>
      <c r="G15" s="155">
        <f t="shared" si="0"/>
        <v>8.8200502735472419</v>
      </c>
      <c r="H15" s="155">
        <f t="shared" si="1"/>
        <v>66.473036794590172</v>
      </c>
      <c r="I15" s="437">
        <v>76.8</v>
      </c>
      <c r="J15" s="437">
        <v>56.5</v>
      </c>
    </row>
    <row r="16" spans="1:12">
      <c r="A16" s="297">
        <v>1988</v>
      </c>
      <c r="B16" s="441">
        <v>20612.2</v>
      </c>
      <c r="C16" s="441">
        <v>13779.1</v>
      </c>
      <c r="D16" s="441">
        <v>12709.6</v>
      </c>
      <c r="E16" s="441">
        <v>1069.5</v>
      </c>
      <c r="F16" s="155">
        <f t="shared" si="0"/>
        <v>61.660569953716724</v>
      </c>
      <c r="G16" s="155">
        <f t="shared" si="0"/>
        <v>7.7617551218874965</v>
      </c>
      <c r="H16" s="155">
        <f t="shared" si="1"/>
        <v>66.849244622116998</v>
      </c>
      <c r="I16" s="437">
        <v>76.599999999999994</v>
      </c>
      <c r="J16" s="437">
        <v>57.4</v>
      </c>
    </row>
    <row r="17" spans="1:12">
      <c r="A17" s="297">
        <v>1989</v>
      </c>
      <c r="B17" s="441">
        <v>20898.5</v>
      </c>
      <c r="C17" s="441">
        <v>14057</v>
      </c>
      <c r="D17" s="441">
        <v>12996.2</v>
      </c>
      <c r="E17" s="441">
        <v>1060.8</v>
      </c>
      <c r="F17" s="155">
        <f t="shared" si="0"/>
        <v>62.187238318539606</v>
      </c>
      <c r="G17" s="155">
        <f t="shared" si="0"/>
        <v>7.5464181546560427</v>
      </c>
      <c r="H17" s="155">
        <f t="shared" si="1"/>
        <v>67.263200708184797</v>
      </c>
      <c r="I17" s="437">
        <v>76.8</v>
      </c>
      <c r="J17" s="437">
        <v>58.1</v>
      </c>
    </row>
    <row r="18" spans="1:12">
      <c r="A18" s="297">
        <v>1990</v>
      </c>
      <c r="B18" s="441">
        <v>21214.7</v>
      </c>
      <c r="C18" s="441">
        <v>14244.6</v>
      </c>
      <c r="D18" s="441">
        <v>13086.4</v>
      </c>
      <c r="E18" s="441">
        <v>1158.3</v>
      </c>
      <c r="F18" s="155">
        <f t="shared" si="0"/>
        <v>61.685529373500444</v>
      </c>
      <c r="G18" s="155">
        <f t="shared" si="0"/>
        <v>8.1315024640916551</v>
      </c>
      <c r="H18" s="155">
        <f t="shared" si="1"/>
        <v>67.144951378053889</v>
      </c>
      <c r="I18" s="437">
        <v>76.099999999999994</v>
      </c>
      <c r="J18" s="437">
        <v>58.5</v>
      </c>
    </row>
    <row r="19" spans="1:12">
      <c r="A19" s="297">
        <v>1991</v>
      </c>
      <c r="B19" s="441">
        <v>21533.3</v>
      </c>
      <c r="C19" s="441">
        <v>14336.3</v>
      </c>
      <c r="D19" s="441">
        <v>12857.4</v>
      </c>
      <c r="E19" s="441">
        <v>1479</v>
      </c>
      <c r="F19" s="155">
        <f t="shared" si="0"/>
        <v>59.709380355077947</v>
      </c>
      <c r="G19" s="155">
        <f t="shared" si="0"/>
        <v>10.316469381918626</v>
      </c>
      <c r="H19" s="155">
        <f t="shared" si="1"/>
        <v>66.577347642953015</v>
      </c>
      <c r="I19" s="437">
        <v>75</v>
      </c>
      <c r="J19" s="437">
        <v>58.4</v>
      </c>
    </row>
    <row r="20" spans="1:12">
      <c r="A20" s="297">
        <v>1992</v>
      </c>
      <c r="B20" s="441">
        <v>21820.2</v>
      </c>
      <c r="C20" s="441">
        <v>14336.1</v>
      </c>
      <c r="D20" s="441">
        <v>12730.9</v>
      </c>
      <c r="E20" s="441">
        <v>1605.2</v>
      </c>
      <c r="F20" s="155">
        <f t="shared" si="0"/>
        <v>58.34456146139815</v>
      </c>
      <c r="G20" s="155">
        <f t="shared" si="0"/>
        <v>11.196908503707425</v>
      </c>
      <c r="H20" s="155">
        <f t="shared" si="1"/>
        <v>65.70104765309209</v>
      </c>
      <c r="I20" s="437">
        <v>73.900000000000006</v>
      </c>
      <c r="J20" s="437">
        <v>57.8</v>
      </c>
    </row>
    <row r="21" spans="1:12">
      <c r="A21" s="297">
        <v>1993</v>
      </c>
      <c r="B21" s="441">
        <v>22092.9</v>
      </c>
      <c r="C21" s="441">
        <v>14435</v>
      </c>
      <c r="D21" s="441">
        <v>12792.7</v>
      </c>
      <c r="E21" s="441">
        <v>1642.3</v>
      </c>
      <c r="F21" s="155">
        <f t="shared" si="0"/>
        <v>57.904123044054877</v>
      </c>
      <c r="G21" s="155">
        <f t="shared" si="0"/>
        <v>11.377208174575685</v>
      </c>
      <c r="H21" s="155">
        <f t="shared" si="1"/>
        <v>65.337732936825859</v>
      </c>
      <c r="I21" s="437">
        <v>73.3</v>
      </c>
      <c r="J21" s="437">
        <v>57.7</v>
      </c>
    </row>
    <row r="22" spans="1:12">
      <c r="A22" s="297">
        <v>1994</v>
      </c>
      <c r="B22" s="441">
        <v>22367.7</v>
      </c>
      <c r="C22" s="441">
        <v>14573.7</v>
      </c>
      <c r="D22" s="441">
        <v>13058.7</v>
      </c>
      <c r="E22" s="441">
        <v>1515</v>
      </c>
      <c r="F22" s="155">
        <f t="shared" si="0"/>
        <v>58.381952547646833</v>
      </c>
      <c r="G22" s="155">
        <f t="shared" si="0"/>
        <v>10.395438358138289</v>
      </c>
      <c r="H22" s="155">
        <f t="shared" si="1"/>
        <v>65.155112058906369</v>
      </c>
      <c r="I22" s="437">
        <v>73.099999999999994</v>
      </c>
      <c r="J22" s="437">
        <v>57.5</v>
      </c>
    </row>
    <row r="23" spans="1:12">
      <c r="A23" s="297">
        <v>1995</v>
      </c>
      <c r="B23" s="441">
        <v>22660</v>
      </c>
      <c r="C23" s="441">
        <v>14689.2</v>
      </c>
      <c r="D23" s="441">
        <v>13295.4</v>
      </c>
      <c r="E23" s="441">
        <v>1393.8</v>
      </c>
      <c r="F23" s="155">
        <f t="shared" si="0"/>
        <v>58.673433362753748</v>
      </c>
      <c r="G23" s="155">
        <f t="shared" si="0"/>
        <v>9.4886038722326589</v>
      </c>
      <c r="H23" s="155">
        <f t="shared" si="1"/>
        <v>64.824360105913499</v>
      </c>
      <c r="I23" s="437">
        <v>72.5</v>
      </c>
      <c r="J23" s="437">
        <v>57.5</v>
      </c>
    </row>
    <row r="24" spans="1:12">
      <c r="A24" s="297">
        <v>1996</v>
      </c>
      <c r="B24" s="441">
        <v>22967.1</v>
      </c>
      <c r="C24" s="441">
        <v>14853.5</v>
      </c>
      <c r="D24" s="441">
        <v>13421.4</v>
      </c>
      <c r="E24" s="441">
        <v>1432.2</v>
      </c>
      <c r="F24" s="155">
        <f t="shared" si="0"/>
        <v>58.437504081925887</v>
      </c>
      <c r="G24" s="155">
        <f t="shared" si="0"/>
        <v>9.6421718786817916</v>
      </c>
      <c r="H24" s="155">
        <f t="shared" si="1"/>
        <v>64.672945212935034</v>
      </c>
      <c r="I24" s="437">
        <v>72.2</v>
      </c>
      <c r="J24" s="437">
        <v>57.4</v>
      </c>
    </row>
    <row r="25" spans="1:12">
      <c r="A25" s="297">
        <v>1997</v>
      </c>
      <c r="B25" s="441">
        <v>23255.5</v>
      </c>
      <c r="C25" s="441">
        <v>15079.1</v>
      </c>
      <c r="D25" s="441">
        <v>13706</v>
      </c>
      <c r="E25" s="441">
        <v>1373.1</v>
      </c>
      <c r="F25" s="155">
        <f t="shared" si="0"/>
        <v>58.936595644041191</v>
      </c>
      <c r="G25" s="155">
        <f t="shared" si="0"/>
        <v>9.1059811261945338</v>
      </c>
      <c r="H25" s="155">
        <f t="shared" si="1"/>
        <v>64.841005353572285</v>
      </c>
      <c r="I25" s="437">
        <v>72.2</v>
      </c>
      <c r="J25" s="437">
        <v>57.8</v>
      </c>
    </row>
    <row r="26" spans="1:12">
      <c r="A26" s="297">
        <v>1998</v>
      </c>
      <c r="B26" s="441">
        <v>23522.799999999999</v>
      </c>
      <c r="C26" s="441">
        <v>15316.3</v>
      </c>
      <c r="D26" s="441">
        <v>14046.2</v>
      </c>
      <c r="E26" s="441">
        <v>1270.0999999999999</v>
      </c>
      <c r="F26" s="155">
        <f t="shared" si="0"/>
        <v>59.713129389358407</v>
      </c>
      <c r="G26" s="155">
        <f t="shared" si="0"/>
        <v>8.2924727251359656</v>
      </c>
      <c r="H26" s="155">
        <f t="shared" si="1"/>
        <v>65.112571632628772</v>
      </c>
      <c r="I26" s="437">
        <v>72.099999999999994</v>
      </c>
      <c r="J26" s="437">
        <v>58.4</v>
      </c>
    </row>
    <row r="27" spans="1:12">
      <c r="A27" s="297">
        <v>1999</v>
      </c>
      <c r="B27" s="441">
        <v>23786.9</v>
      </c>
      <c r="C27" s="441">
        <v>15588.3</v>
      </c>
      <c r="D27" s="441">
        <v>14406.7</v>
      </c>
      <c r="E27" s="441">
        <v>1181.5999999999999</v>
      </c>
      <c r="F27" s="155">
        <f t="shared" si="0"/>
        <v>60.565689518180179</v>
      </c>
      <c r="G27" s="155">
        <f t="shared" si="0"/>
        <v>7.5800440073644975</v>
      </c>
      <c r="H27" s="155">
        <f t="shared" si="1"/>
        <v>65.533129579726648</v>
      </c>
      <c r="I27" s="437">
        <v>72.400000000000006</v>
      </c>
      <c r="J27" s="437">
        <v>58.9</v>
      </c>
    </row>
    <row r="28" spans="1:12">
      <c r="A28" s="297">
        <v>2000</v>
      </c>
      <c r="B28" s="441">
        <v>24094.2</v>
      </c>
      <c r="C28" s="441">
        <v>15847</v>
      </c>
      <c r="D28" s="441">
        <v>14764.2</v>
      </c>
      <c r="E28" s="441">
        <v>1082.8</v>
      </c>
      <c r="F28" s="155">
        <f t="shared" si="0"/>
        <v>61.276987822795526</v>
      </c>
      <c r="G28" s="155">
        <f t="shared" si="0"/>
        <v>6.8328390231589573</v>
      </c>
      <c r="H28" s="155">
        <f t="shared" si="1"/>
        <v>65.771015431099599</v>
      </c>
      <c r="I28" s="437">
        <v>72.400000000000006</v>
      </c>
      <c r="J28" s="437">
        <v>59.4</v>
      </c>
    </row>
    <row r="29" spans="1:12">
      <c r="A29" s="297">
        <v>2001</v>
      </c>
      <c r="B29" s="441">
        <v>24444.3</v>
      </c>
      <c r="C29" s="441">
        <v>16109.8</v>
      </c>
      <c r="D29" s="441">
        <v>14946.2</v>
      </c>
      <c r="E29" s="441">
        <v>1163.5999999999999</v>
      </c>
      <c r="F29" s="155">
        <f t="shared" si="0"/>
        <v>61.143906759449038</v>
      </c>
      <c r="G29" s="155">
        <f t="shared" si="0"/>
        <v>7.2229326248618841</v>
      </c>
      <c r="H29" s="155">
        <f t="shared" si="1"/>
        <v>65.904116706144166</v>
      </c>
      <c r="I29" s="437">
        <v>72.3</v>
      </c>
      <c r="J29" s="437">
        <v>59.7</v>
      </c>
      <c r="L29" s="363"/>
    </row>
    <row r="30" spans="1:12">
      <c r="A30" s="297">
        <v>2002</v>
      </c>
      <c r="B30" s="441">
        <v>24797.3</v>
      </c>
      <c r="C30" s="441">
        <v>16579.3</v>
      </c>
      <c r="D30" s="441">
        <v>15310.4</v>
      </c>
      <c r="E30" s="441">
        <v>1268.9000000000001</v>
      </c>
      <c r="F30" s="155">
        <f t="shared" si="0"/>
        <v>61.742205804664216</v>
      </c>
      <c r="G30" s="155">
        <f t="shared" si="0"/>
        <v>7.6535197505322907</v>
      </c>
      <c r="H30" s="155">
        <f t="shared" si="1"/>
        <v>66.859295165199441</v>
      </c>
      <c r="I30" s="437">
        <v>73</v>
      </c>
      <c r="J30" s="437">
        <v>60.9</v>
      </c>
    </row>
    <row r="31" spans="1:12">
      <c r="A31" s="297">
        <v>2003</v>
      </c>
      <c r="B31" s="441">
        <v>25106.5</v>
      </c>
      <c r="C31" s="441">
        <v>16958.5</v>
      </c>
      <c r="D31" s="441">
        <v>15672.3</v>
      </c>
      <c r="E31" s="441">
        <v>1286.2</v>
      </c>
      <c r="F31" s="155">
        <f t="shared" si="0"/>
        <v>62.423276840658794</v>
      </c>
      <c r="G31" s="155">
        <f t="shared" si="0"/>
        <v>7.5843972049414745</v>
      </c>
      <c r="H31" s="155">
        <f t="shared" si="1"/>
        <v>67.546252962380265</v>
      </c>
      <c r="I31" s="437">
        <v>73.400000000000006</v>
      </c>
      <c r="J31" s="437">
        <v>61.9</v>
      </c>
    </row>
    <row r="32" spans="1:12">
      <c r="A32" s="297">
        <v>2004</v>
      </c>
      <c r="B32" s="441">
        <v>25443.4</v>
      </c>
      <c r="C32" s="441">
        <v>17182.3</v>
      </c>
      <c r="D32" s="441">
        <v>15947</v>
      </c>
      <c r="E32" s="441">
        <v>1235.3</v>
      </c>
      <c r="F32" s="158">
        <f t="shared" si="0"/>
        <v>62.676371868539583</v>
      </c>
      <c r="G32" s="158">
        <f t="shared" si="0"/>
        <v>7.1893751127613887</v>
      </c>
      <c r="H32" s="158">
        <f t="shared" si="1"/>
        <v>67.531461990142816</v>
      </c>
      <c r="I32" s="437">
        <v>73.2</v>
      </c>
      <c r="J32" s="437">
        <v>62</v>
      </c>
    </row>
    <row r="33" spans="1:15">
      <c r="A33" s="297">
        <v>2005</v>
      </c>
      <c r="B33" s="441">
        <v>25805.5</v>
      </c>
      <c r="C33" s="441">
        <v>17342.599999999999</v>
      </c>
      <c r="D33" s="441">
        <v>16169.7</v>
      </c>
      <c r="E33" s="441">
        <v>1172.8</v>
      </c>
      <c r="F33" s="158">
        <f t="shared" ref="F33:G36" si="2">D33/B33*100</f>
        <v>62.659898083741837</v>
      </c>
      <c r="G33" s="158">
        <f t="shared" si="2"/>
        <v>6.7625384890385529</v>
      </c>
      <c r="H33" s="158">
        <f>C33/B33*100</f>
        <v>67.205053186336244</v>
      </c>
      <c r="I33" s="437">
        <v>72.8</v>
      </c>
      <c r="J33" s="437">
        <v>61.8</v>
      </c>
    </row>
    <row r="34" spans="1:15">
      <c r="A34" s="297">
        <v>2006</v>
      </c>
      <c r="B34" s="441">
        <v>26185.1</v>
      </c>
      <c r="C34" s="441">
        <v>17592.8</v>
      </c>
      <c r="D34" s="441">
        <v>16484.3</v>
      </c>
      <c r="E34" s="441">
        <v>1108.4000000000001</v>
      </c>
      <c r="F34" s="158">
        <f t="shared" si="2"/>
        <v>62.952977074748617</v>
      </c>
      <c r="G34" s="158">
        <f t="shared" si="2"/>
        <v>6.300304670092312</v>
      </c>
      <c r="H34" s="158">
        <f>C34/B34*100</f>
        <v>67.186300606069864</v>
      </c>
      <c r="I34" s="437">
        <v>72.5</v>
      </c>
      <c r="J34" s="437">
        <v>62.1</v>
      </c>
      <c r="L34" s="363"/>
    </row>
    <row r="35" spans="1:15">
      <c r="A35" s="297">
        <v>2007</v>
      </c>
      <c r="B35" s="441">
        <v>26553.4</v>
      </c>
      <c r="C35" s="441">
        <v>17945.8</v>
      </c>
      <c r="D35" s="441">
        <v>16866.400000000001</v>
      </c>
      <c r="E35" s="441">
        <v>1079.4000000000001</v>
      </c>
      <c r="F35" s="158">
        <f t="shared" si="2"/>
        <v>63.518796086376881</v>
      </c>
      <c r="G35" s="158">
        <f t="shared" si="2"/>
        <v>6.0147778310245297</v>
      </c>
      <c r="H35" s="158">
        <f>C35/B35*100</f>
        <v>67.583812242500002</v>
      </c>
      <c r="I35" s="437">
        <v>72.7</v>
      </c>
      <c r="J35" s="437">
        <v>62.7</v>
      </c>
      <c r="K35" s="363"/>
      <c r="L35" s="363"/>
      <c r="M35" s="363"/>
      <c r="N35" s="363"/>
      <c r="O35" s="363"/>
    </row>
    <row r="36" spans="1:15">
      <c r="A36" s="297">
        <v>2008</v>
      </c>
      <c r="B36" s="441">
        <v>26924.7</v>
      </c>
      <c r="C36" s="441">
        <v>18245.099999999999</v>
      </c>
      <c r="D36" s="441">
        <v>17125.8</v>
      </c>
      <c r="E36" s="441">
        <v>1119.3</v>
      </c>
      <c r="F36" s="158">
        <f t="shared" si="2"/>
        <v>63.606279735707361</v>
      </c>
      <c r="G36" s="158">
        <f t="shared" si="2"/>
        <v>6.1347978361313444</v>
      </c>
      <c r="H36" s="158">
        <f>C36/B36*100</f>
        <v>67.763429118987389</v>
      </c>
      <c r="I36" s="437">
        <v>72.900000000000006</v>
      </c>
      <c r="J36" s="437">
        <v>62.8</v>
      </c>
      <c r="K36" s="363"/>
      <c r="L36" s="363"/>
      <c r="M36" s="363"/>
      <c r="N36" s="363"/>
      <c r="O36" s="363"/>
    </row>
    <row r="37" spans="1:15">
      <c r="A37" s="1109"/>
      <c r="B37" s="298" t="s">
        <v>802</v>
      </c>
      <c r="C37" s="298"/>
      <c r="D37" s="298"/>
      <c r="E37" s="298"/>
      <c r="F37" s="298" t="s">
        <v>655</v>
      </c>
      <c r="G37" s="298"/>
      <c r="H37" s="298"/>
      <c r="I37" s="298"/>
      <c r="J37" s="298"/>
      <c r="K37" s="363"/>
      <c r="L37" s="363"/>
    </row>
    <row r="38" spans="1:15">
      <c r="A38" s="297" t="s">
        <v>603</v>
      </c>
      <c r="B38" s="159">
        <f>(POWER(B17/B9, 1/8)-1)*100</f>
        <v>1.321845798843202</v>
      </c>
      <c r="C38" s="159">
        <f>(POWER(C17/C9, 1/8)-1)*100</f>
        <v>1.7495587204725771</v>
      </c>
      <c r="D38" s="159">
        <f>(POWER(D17/D9, 1/8)-1)*100</f>
        <v>1.7579214775647944</v>
      </c>
      <c r="E38" s="159">
        <f>(POWER(E17/E9, 1/8)-1)*100</f>
        <v>1.6476030617109227</v>
      </c>
      <c r="F38" s="156">
        <f>F17-F9</f>
        <v>2.1002836455231915</v>
      </c>
      <c r="G38" s="156">
        <f>G17-G9</f>
        <v>-6.0767317483089833E-2</v>
      </c>
      <c r="H38" s="156">
        <f>H17-H9</f>
        <v>2.2289716070707755</v>
      </c>
      <c r="I38" s="156">
        <f>I17-I9</f>
        <v>-1.6000000000000085</v>
      </c>
      <c r="J38" s="156">
        <f>J17-J9</f>
        <v>6.1000000000000014</v>
      </c>
    </row>
    <row r="39" spans="1:15">
      <c r="A39" s="297" t="s">
        <v>604</v>
      </c>
      <c r="B39" s="159">
        <f>(POWER(B28/B17, 1/11)-1)*100</f>
        <v>1.3019825860105305</v>
      </c>
      <c r="C39" s="159">
        <f>(POWER(C28/C17, 1/11)-1)*100</f>
        <v>1.0955919080697818</v>
      </c>
      <c r="D39" s="159">
        <f>(POWER(D28/D17, 1/11)-1)*100</f>
        <v>1.1662788332626128</v>
      </c>
      <c r="E39" s="159">
        <f>(POWER(E28/E17, 1/11)-1)*100</f>
        <v>0.18678275214942808</v>
      </c>
      <c r="F39" s="156">
        <f>F28-F17</f>
        <v>-0.91025049574408001</v>
      </c>
      <c r="G39" s="156">
        <f>G28-G17</f>
        <v>-0.71357913149708541</v>
      </c>
      <c r="H39" s="156">
        <f>H28-H17</f>
        <v>-1.4921852770851984</v>
      </c>
      <c r="I39" s="156">
        <f>I28-I17</f>
        <v>-4.3999999999999915</v>
      </c>
      <c r="J39" s="156">
        <f>J28-J17</f>
        <v>1.2999999999999972</v>
      </c>
    </row>
    <row r="40" spans="1:15">
      <c r="A40" s="297" t="s">
        <v>819</v>
      </c>
      <c r="B40" s="159">
        <f>(POWER(B34/B9, 1/25)-1)*100</f>
        <v>1.3310527261381377</v>
      </c>
      <c r="C40" s="159">
        <f>(POWER(C34/C9, 1/25)-1)*100</f>
        <v>1.4630945476824087</v>
      </c>
      <c r="D40" s="159">
        <f>(POWER(D34/D9, 1/25)-1)*100</f>
        <v>1.5200908466183272</v>
      </c>
      <c r="E40" s="159">
        <f>(POWER(E34/E9, 1/25)-1)*100</f>
        <v>0.70095882223313311</v>
      </c>
      <c r="F40" s="156">
        <f>F34-F9</f>
        <v>2.8660224017322022</v>
      </c>
      <c r="G40" s="156">
        <f>G34-G9</f>
        <v>-1.3068808020468206</v>
      </c>
      <c r="H40" s="156">
        <f>H34-H9</f>
        <v>2.1520715049558419</v>
      </c>
      <c r="I40" s="156">
        <f>I34-I9</f>
        <v>-5.9000000000000057</v>
      </c>
      <c r="J40" s="156">
        <f>J34-J9</f>
        <v>10.100000000000001</v>
      </c>
    </row>
    <row r="41" spans="1:15">
      <c r="A41" s="297" t="s">
        <v>447</v>
      </c>
      <c r="B41" s="159">
        <f>(POWER(B35/B9, 1/26)-1)*100</f>
        <v>1.3339544702391848</v>
      </c>
      <c r="C41" s="159">
        <f>(POWER(C35/C9, 1/26)-1)*100</f>
        <v>1.483941231900987</v>
      </c>
      <c r="D41" s="159">
        <f>(POWER(D35/D9, 1/26)-1)*100</f>
        <v>1.5506628834503378</v>
      </c>
      <c r="E41" s="159">
        <f>(POWER(E35/E9, 1/26)-1)*100</f>
        <v>0.57130335921080633</v>
      </c>
      <c r="F41" s="159">
        <f>F35-F9</f>
        <v>3.4318414133604662</v>
      </c>
      <c r="G41" s="159">
        <f>G35-G9</f>
        <v>-1.5924076411146029</v>
      </c>
      <c r="H41" s="159">
        <f>H35-H9</f>
        <v>2.5495831413859804</v>
      </c>
      <c r="I41" s="159">
        <f>I35-I9</f>
        <v>-5.7000000000000028</v>
      </c>
      <c r="J41" s="159">
        <f>J35-J9</f>
        <v>10.700000000000003</v>
      </c>
    </row>
    <row r="42" spans="1:15">
      <c r="A42" s="297" t="s">
        <v>1408</v>
      </c>
      <c r="B42" s="159">
        <f>(POWER(B36/B9, 1/27)-1)*100</f>
        <v>1.3363374404889772</v>
      </c>
      <c r="C42" s="159">
        <f>(POWER(C36/C9, 1/27)-1)*100</f>
        <v>1.4907448721309002</v>
      </c>
      <c r="D42" s="159">
        <f>(POWER(D36/D9, 1/27)-1)*100</f>
        <v>1.5501927105705082</v>
      </c>
      <c r="E42" s="159">
        <f>(POWER(E36/E9, 1/27)-1)*100</f>
        <v>0.68535393907096509</v>
      </c>
      <c r="F42" s="159">
        <f>F36-F9</f>
        <v>3.519325062690946</v>
      </c>
      <c r="G42" s="159">
        <f>G36-G9</f>
        <v>-1.4723876360077881</v>
      </c>
      <c r="H42" s="159">
        <f>H36-H9</f>
        <v>2.7292000178733673</v>
      </c>
      <c r="I42" s="159">
        <f>I36-I9</f>
        <v>-5.5</v>
      </c>
      <c r="J42" s="159">
        <f>J36-J9</f>
        <v>10.799999999999997</v>
      </c>
    </row>
    <row r="43" spans="1:15">
      <c r="A43" s="297" t="s">
        <v>809</v>
      </c>
      <c r="B43" s="159">
        <f>(POWER(B33/B28, 1/5)-1)*100</f>
        <v>1.3817896686299402</v>
      </c>
      <c r="C43" s="159">
        <f>(POWER(C33/C28, 1/5)-1)*100</f>
        <v>1.8200790541147427</v>
      </c>
      <c r="D43" s="159">
        <f>(POWER(D33/D28, 1/5)-1)*100</f>
        <v>1.8353144024568779</v>
      </c>
      <c r="E43" s="159">
        <f>(POWER(E33/E28, 1/5)-1)*100</f>
        <v>1.6096936634584225</v>
      </c>
      <c r="F43" s="156">
        <f>F33-F28</f>
        <v>1.3829102609463106</v>
      </c>
      <c r="G43" s="156">
        <f>G33-G28</f>
        <v>-7.0300534120404379E-2</v>
      </c>
      <c r="H43" s="156">
        <f>H33-H28</f>
        <v>1.4340377552366448</v>
      </c>
      <c r="I43" s="156">
        <f>I33-I28</f>
        <v>0.39999999999999147</v>
      </c>
      <c r="J43" s="156">
        <f>J33-J28</f>
        <v>2.3999999999999986</v>
      </c>
    </row>
    <row r="44" spans="1:15">
      <c r="A44" s="297" t="s">
        <v>818</v>
      </c>
      <c r="B44" s="159">
        <f>(POWER(B34/B28, 1/6)-1)*100</f>
        <v>1.3966533154190275</v>
      </c>
      <c r="C44" s="159">
        <f>(POWER(C34/C28, 1/6)-1)*100</f>
        <v>1.757083563754791</v>
      </c>
      <c r="D44" s="159">
        <f>(POWER(D34/D28, 1/6)-1)*100</f>
        <v>1.8536894324762798</v>
      </c>
      <c r="E44" s="159">
        <f>(POWER(E34/E28, 1/6)-1)*100</f>
        <v>0.39021361268969379</v>
      </c>
      <c r="F44" s="156">
        <f>F34-F28</f>
        <v>1.6759892519530908</v>
      </c>
      <c r="G44" s="156">
        <f>G34-G28</f>
        <v>-0.53253435306664532</v>
      </c>
      <c r="H44" s="156">
        <f>H34-H28</f>
        <v>1.4152851749702648</v>
      </c>
      <c r="I44" s="156">
        <f>I34-I28</f>
        <v>9.9999999999994316E-2</v>
      </c>
      <c r="J44" s="156">
        <f>J34-J28</f>
        <v>2.7000000000000028</v>
      </c>
    </row>
    <row r="45" spans="1:15">
      <c r="A45" s="297" t="s">
        <v>449</v>
      </c>
      <c r="B45" s="159">
        <f>(POWER(B35/B28, 1/7)-1)*100</f>
        <v>1.3980635093596483</v>
      </c>
      <c r="C45" s="159">
        <f>(POWER(C35/C28, 1/7)-1)*100</f>
        <v>1.7926774899310383</v>
      </c>
      <c r="D45" s="159">
        <f>(POWER(D35/D28, 1/7)-1)*100</f>
        <v>1.9198850464324568</v>
      </c>
      <c r="E45" s="159">
        <f>(POWER(E35/E28, 1/7)-1)*100</f>
        <v>-4.491773118814324E-2</v>
      </c>
      <c r="F45" s="159">
        <f>F35-F28</f>
        <v>2.2418082635813548</v>
      </c>
      <c r="G45" s="159">
        <f>G35-G28</f>
        <v>-0.81806119213442763</v>
      </c>
      <c r="H45" s="159">
        <f>H35-H28</f>
        <v>1.8127968114004034</v>
      </c>
      <c r="I45" s="159">
        <f>I35-I28</f>
        <v>0.29999999999999716</v>
      </c>
      <c r="J45" s="159">
        <f>J35-J28</f>
        <v>3.3000000000000043</v>
      </c>
    </row>
    <row r="46" spans="1:15">
      <c r="A46" s="297" t="s">
        <v>1410</v>
      </c>
      <c r="B46" s="159">
        <f>(POWER(B36/B28, 1/8)-1)*100</f>
        <v>1.3980948631757473</v>
      </c>
      <c r="C46" s="159">
        <f>(POWER(C36/C28, 1/8)-1)*100</f>
        <v>1.7770593827319159</v>
      </c>
      <c r="D46" s="159">
        <f>(POWER(D36/D28, 1/8)-1)*100</f>
        <v>1.872067089771301</v>
      </c>
      <c r="E46" s="159">
        <f>(POWER(E36/E28, 1/8)-1)*100</f>
        <v>0.41527502640101854</v>
      </c>
      <c r="F46" s="159">
        <f>F36-F28</f>
        <v>2.3292919129118346</v>
      </c>
      <c r="G46" s="159">
        <f>G36-G28</f>
        <v>-0.69804118702761286</v>
      </c>
      <c r="H46" s="159">
        <f>H36-H28</f>
        <v>1.9924136878877903</v>
      </c>
      <c r="I46" s="159">
        <f>I36-I28</f>
        <v>0.5</v>
      </c>
      <c r="J46" s="159">
        <f>J36-J28</f>
        <v>3.3999999999999986</v>
      </c>
    </row>
    <row r="47" spans="1:15">
      <c r="A47" s="1254" t="s">
        <v>722</v>
      </c>
      <c r="B47" s="1254"/>
      <c r="C47" s="1254"/>
      <c r="D47" s="1254"/>
      <c r="E47" s="1254"/>
      <c r="F47" s="1254"/>
      <c r="G47" s="1254"/>
      <c r="H47" s="1254"/>
      <c r="I47" s="1254"/>
      <c r="J47" s="1254"/>
    </row>
    <row r="48" spans="1:15">
      <c r="A48" s="149" t="s">
        <v>826</v>
      </c>
    </row>
    <row r="49" spans="1:1">
      <c r="A49" s="149" t="s">
        <v>723</v>
      </c>
    </row>
    <row r="50" spans="1:1">
      <c r="A50" s="149" t="s">
        <v>1830</v>
      </c>
    </row>
  </sheetData>
  <mergeCells count="1">
    <mergeCell ref="A47:J47"/>
  </mergeCells>
  <phoneticPr fontId="35" type="noConversion"/>
  <pageMargins left="0.75" right="0.75" top="1" bottom="1" header="0.5" footer="0.5"/>
  <pageSetup scale="85" orientation="portrait" horizontalDpi="4294967292" verticalDpi="0" r:id="rId1"/>
  <headerFooter alignWithMargins="0"/>
</worksheet>
</file>

<file path=xl/worksheets/sheet142.xml><?xml version="1.0" encoding="utf-8"?>
<worksheet xmlns="http://schemas.openxmlformats.org/spreadsheetml/2006/main" xmlns:r="http://schemas.openxmlformats.org/officeDocument/2006/relationships">
  <sheetPr codeName="Sheet113">
    <pageSetUpPr fitToPage="1"/>
  </sheetPr>
  <dimension ref="A1:J49"/>
  <sheetViews>
    <sheetView view="pageBreakPreview" zoomScale="55" zoomScaleSheetLayoutView="55"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0.5703125" style="149" customWidth="1"/>
    <col min="2" max="2" width="9.42578125" style="149" customWidth="1"/>
    <col min="3" max="3" width="7.7109375" style="149" customWidth="1"/>
    <col min="4" max="4" width="10.85546875" style="149" customWidth="1"/>
    <col min="5" max="5" width="13.140625" style="149" customWidth="1"/>
    <col min="6" max="6" width="10.42578125" style="149" customWidth="1"/>
    <col min="7" max="7" width="13.140625" style="149" customWidth="1"/>
    <col min="8" max="8" width="11" style="149" customWidth="1"/>
    <col min="9" max="9" width="10.5703125" style="149" customWidth="1"/>
    <col min="10" max="10" width="11.28515625" style="149" customWidth="1"/>
    <col min="11" max="16384" width="9.140625" style="149"/>
  </cols>
  <sheetData>
    <row r="1" spans="1:10" ht="18.600000000000001" customHeight="1">
      <c r="A1" s="1138" t="s">
        <v>1835</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336"/>
      <c r="B3" s="154" t="s">
        <v>584</v>
      </c>
      <c r="C3" s="153" t="s">
        <v>585</v>
      </c>
      <c r="D3" s="153" t="s">
        <v>587</v>
      </c>
      <c r="E3" s="153" t="s">
        <v>588</v>
      </c>
      <c r="F3" s="153" t="s">
        <v>718</v>
      </c>
      <c r="G3" s="153" t="s">
        <v>719</v>
      </c>
      <c r="H3" s="153" t="s">
        <v>720</v>
      </c>
      <c r="I3" s="153" t="s">
        <v>596</v>
      </c>
      <c r="J3" s="153" t="s">
        <v>721</v>
      </c>
    </row>
    <row r="4" spans="1:10" s="152" customFormat="1">
      <c r="A4" s="335">
        <v>1976</v>
      </c>
      <c r="B4" s="440">
        <v>370.7</v>
      </c>
      <c r="C4" s="440">
        <v>183.3</v>
      </c>
      <c r="D4" s="440">
        <v>158.80000000000001</v>
      </c>
      <c r="E4" s="440">
        <v>24.5</v>
      </c>
      <c r="F4" s="155">
        <f t="shared" ref="F4:G32" si="0">D4/B4*100</f>
        <v>42.837874291880226</v>
      </c>
      <c r="G4" s="155">
        <f t="shared" si="0"/>
        <v>13.36606655755592</v>
      </c>
      <c r="H4" s="155">
        <f t="shared" ref="H4:H32" si="1">C4/B4*100</f>
        <v>49.446992176962503</v>
      </c>
      <c r="I4" s="439">
        <v>66.400000000000006</v>
      </c>
      <c r="J4" s="439">
        <v>32</v>
      </c>
    </row>
    <row r="5" spans="1:10">
      <c r="A5" s="297">
        <v>1977</v>
      </c>
      <c r="B5" s="440">
        <v>376.2</v>
      </c>
      <c r="C5" s="440">
        <v>190.3</v>
      </c>
      <c r="D5" s="440">
        <v>160.9</v>
      </c>
      <c r="E5" s="440">
        <v>29.4</v>
      </c>
      <c r="F5" s="155">
        <f t="shared" si="0"/>
        <v>42.769803296119093</v>
      </c>
      <c r="G5" s="155">
        <f t="shared" si="0"/>
        <v>15.449290593799262</v>
      </c>
      <c r="H5" s="155">
        <f t="shared" si="1"/>
        <v>50.584795321637429</v>
      </c>
      <c r="I5" s="439">
        <v>66.599999999999994</v>
      </c>
      <c r="J5" s="439">
        <v>34.1</v>
      </c>
    </row>
    <row r="6" spans="1:10">
      <c r="A6" s="297">
        <v>1978</v>
      </c>
      <c r="B6" s="440">
        <v>382</v>
      </c>
      <c r="C6" s="440">
        <v>197.6</v>
      </c>
      <c r="D6" s="440">
        <v>166.1</v>
      </c>
      <c r="E6" s="440">
        <v>31.4</v>
      </c>
      <c r="F6" s="155">
        <f t="shared" si="0"/>
        <v>43.481675392670155</v>
      </c>
      <c r="G6" s="155">
        <f t="shared" si="0"/>
        <v>15.890688259109313</v>
      </c>
      <c r="H6" s="155">
        <f t="shared" si="1"/>
        <v>51.727748691099471</v>
      </c>
      <c r="I6" s="439">
        <v>66.8</v>
      </c>
      <c r="J6" s="439">
        <v>36.4</v>
      </c>
    </row>
    <row r="7" spans="1:10">
      <c r="A7" s="297">
        <v>1979</v>
      </c>
      <c r="B7" s="440">
        <v>388.6</v>
      </c>
      <c r="C7" s="440">
        <v>207.5</v>
      </c>
      <c r="D7" s="440">
        <v>176.7</v>
      </c>
      <c r="E7" s="440">
        <v>30.8</v>
      </c>
      <c r="F7" s="155">
        <f t="shared" si="0"/>
        <v>45.47092125579001</v>
      </c>
      <c r="G7" s="155">
        <f t="shared" si="0"/>
        <v>14.843373493975903</v>
      </c>
      <c r="H7" s="155">
        <f t="shared" si="1"/>
        <v>53.396809058157487</v>
      </c>
      <c r="I7" s="439">
        <v>68.5</v>
      </c>
      <c r="J7" s="439">
        <v>38.1</v>
      </c>
    </row>
    <row r="8" spans="1:10">
      <c r="A8" s="297">
        <v>1980</v>
      </c>
      <c r="B8" s="440">
        <v>395.6</v>
      </c>
      <c r="C8" s="440">
        <v>210.6</v>
      </c>
      <c r="D8" s="440">
        <v>182.6</v>
      </c>
      <c r="E8" s="440">
        <v>28</v>
      </c>
      <c r="F8" s="155">
        <f t="shared" si="0"/>
        <v>46.157735085945397</v>
      </c>
      <c r="G8" s="155">
        <f t="shared" si="0"/>
        <v>13.295346628679964</v>
      </c>
      <c r="H8" s="155">
        <f t="shared" si="1"/>
        <v>53.235591506572291</v>
      </c>
      <c r="I8" s="439">
        <v>68.099999999999994</v>
      </c>
      <c r="J8" s="439">
        <v>38.200000000000003</v>
      </c>
    </row>
    <row r="9" spans="1:10">
      <c r="A9" s="297">
        <v>1981</v>
      </c>
      <c r="B9" s="440">
        <v>401.8</v>
      </c>
      <c r="C9" s="440">
        <v>215.1</v>
      </c>
      <c r="D9" s="440">
        <v>186.1</v>
      </c>
      <c r="E9" s="440">
        <v>29</v>
      </c>
      <c r="F9" s="155">
        <f t="shared" si="0"/>
        <v>46.316575410652064</v>
      </c>
      <c r="G9" s="155">
        <f t="shared" si="0"/>
        <v>13.482101348210135</v>
      </c>
      <c r="H9" s="155">
        <f t="shared" si="1"/>
        <v>53.534096565455449</v>
      </c>
      <c r="I9" s="439">
        <v>67.599999999999994</v>
      </c>
      <c r="J9" s="439">
        <v>39.4</v>
      </c>
    </row>
    <row r="10" spans="1:10">
      <c r="A10" s="297">
        <v>1982</v>
      </c>
      <c r="B10" s="440">
        <v>406.5</v>
      </c>
      <c r="C10" s="440">
        <v>215.8</v>
      </c>
      <c r="D10" s="440">
        <v>180.8</v>
      </c>
      <c r="E10" s="440">
        <v>34.9</v>
      </c>
      <c r="F10" s="155">
        <f t="shared" si="0"/>
        <v>44.477244772447726</v>
      </c>
      <c r="G10" s="155">
        <f t="shared" si="0"/>
        <v>16.172381835032436</v>
      </c>
      <c r="H10" s="155">
        <f t="shared" si="1"/>
        <v>53.087330873308737</v>
      </c>
      <c r="I10" s="439">
        <v>65.900000000000006</v>
      </c>
      <c r="J10" s="439">
        <v>40.299999999999997</v>
      </c>
    </row>
    <row r="11" spans="1:10">
      <c r="A11" s="297">
        <v>1983</v>
      </c>
      <c r="B11" s="440">
        <v>413.8</v>
      </c>
      <c r="C11" s="440">
        <v>220.7</v>
      </c>
      <c r="D11" s="440">
        <v>180.8</v>
      </c>
      <c r="E11" s="440">
        <v>39.9</v>
      </c>
      <c r="F11" s="155">
        <f t="shared" si="0"/>
        <v>43.692605123247944</v>
      </c>
      <c r="G11" s="155">
        <f t="shared" si="0"/>
        <v>18.078840054372453</v>
      </c>
      <c r="H11" s="155">
        <f t="shared" si="1"/>
        <v>53.334944417593036</v>
      </c>
      <c r="I11" s="439">
        <v>66.2</v>
      </c>
      <c r="J11" s="439">
        <v>40.5</v>
      </c>
    </row>
    <row r="12" spans="1:10">
      <c r="A12" s="297">
        <v>1984</v>
      </c>
      <c r="B12" s="440">
        <v>418.6</v>
      </c>
      <c r="C12" s="440">
        <v>224.1</v>
      </c>
      <c r="D12" s="440">
        <v>179</v>
      </c>
      <c r="E12" s="440">
        <v>45.1</v>
      </c>
      <c r="F12" s="155">
        <f t="shared" si="0"/>
        <v>42.761586239847105</v>
      </c>
      <c r="G12" s="155">
        <f t="shared" si="0"/>
        <v>20.124944221329766</v>
      </c>
      <c r="H12" s="155">
        <f t="shared" si="1"/>
        <v>53.535594839942661</v>
      </c>
      <c r="I12" s="439">
        <v>65.2</v>
      </c>
      <c r="J12" s="439">
        <v>42</v>
      </c>
    </row>
    <row r="13" spans="1:10">
      <c r="A13" s="297">
        <v>1985</v>
      </c>
      <c r="B13" s="440">
        <v>421.9</v>
      </c>
      <c r="C13" s="440">
        <v>228.6</v>
      </c>
      <c r="D13" s="440">
        <v>182.4</v>
      </c>
      <c r="E13" s="440">
        <v>46.2</v>
      </c>
      <c r="F13" s="155">
        <f t="shared" si="0"/>
        <v>43.232993600379238</v>
      </c>
      <c r="G13" s="155">
        <f t="shared" si="0"/>
        <v>20.209973753280842</v>
      </c>
      <c r="H13" s="155">
        <f t="shared" si="1"/>
        <v>54.183455795212133</v>
      </c>
      <c r="I13" s="439">
        <v>65.400000000000006</v>
      </c>
      <c r="J13" s="439">
        <v>43</v>
      </c>
    </row>
    <row r="14" spans="1:10">
      <c r="A14" s="297">
        <v>1986</v>
      </c>
      <c r="B14" s="440">
        <v>424.2</v>
      </c>
      <c r="C14" s="440">
        <v>230.2</v>
      </c>
      <c r="D14" s="440">
        <v>186.8</v>
      </c>
      <c r="E14" s="440">
        <v>43.5</v>
      </c>
      <c r="F14" s="155">
        <f t="shared" si="0"/>
        <v>44.035832154644041</v>
      </c>
      <c r="G14" s="155">
        <f t="shared" si="0"/>
        <v>18.896611642050392</v>
      </c>
      <c r="H14" s="155">
        <f t="shared" si="1"/>
        <v>54.266855256954258</v>
      </c>
      <c r="I14" s="439">
        <v>64.400000000000006</v>
      </c>
      <c r="J14" s="439">
        <v>44.3</v>
      </c>
    </row>
    <row r="15" spans="1:10">
      <c r="A15" s="297">
        <v>1987</v>
      </c>
      <c r="B15" s="440">
        <v>427.1</v>
      </c>
      <c r="C15" s="440">
        <v>231.6</v>
      </c>
      <c r="D15" s="440">
        <v>190.3</v>
      </c>
      <c r="E15" s="440">
        <v>41.3</v>
      </c>
      <c r="F15" s="155">
        <f t="shared" si="0"/>
        <v>44.55630999765863</v>
      </c>
      <c r="G15" s="155">
        <f t="shared" si="0"/>
        <v>17.832469775474959</v>
      </c>
      <c r="H15" s="155">
        <f t="shared" si="1"/>
        <v>54.226176539452119</v>
      </c>
      <c r="I15" s="439">
        <v>63.8</v>
      </c>
      <c r="J15" s="439">
        <v>44.7</v>
      </c>
    </row>
    <row r="16" spans="1:10">
      <c r="A16" s="297">
        <v>1988</v>
      </c>
      <c r="B16" s="440">
        <v>430.9</v>
      </c>
      <c r="C16" s="440">
        <v>238.2</v>
      </c>
      <c r="D16" s="440">
        <v>199.7</v>
      </c>
      <c r="E16" s="440">
        <v>38.5</v>
      </c>
      <c r="F16" s="155">
        <f t="shared" si="0"/>
        <v>46.344859596194013</v>
      </c>
      <c r="G16" s="155">
        <f t="shared" si="0"/>
        <v>16.162888329135182</v>
      </c>
      <c r="H16" s="155">
        <f t="shared" si="1"/>
        <v>55.279647249941974</v>
      </c>
      <c r="I16" s="439">
        <v>64.3</v>
      </c>
      <c r="J16" s="439">
        <v>46.3</v>
      </c>
    </row>
    <row r="17" spans="1:10">
      <c r="A17" s="297">
        <v>1989</v>
      </c>
      <c r="B17" s="440">
        <v>435.6</v>
      </c>
      <c r="C17" s="440">
        <v>244.1</v>
      </c>
      <c r="D17" s="440">
        <v>206.3</v>
      </c>
      <c r="E17" s="440">
        <v>37.799999999999997</v>
      </c>
      <c r="F17" s="155">
        <f t="shared" si="0"/>
        <v>47.359963269054177</v>
      </c>
      <c r="G17" s="155">
        <f t="shared" si="0"/>
        <v>15.485456780008192</v>
      </c>
      <c r="H17" s="155">
        <f t="shared" si="1"/>
        <v>56.037649219467397</v>
      </c>
      <c r="I17" s="439">
        <v>64.599999999999994</v>
      </c>
      <c r="J17" s="439">
        <v>47.5</v>
      </c>
    </row>
    <row r="18" spans="1:10">
      <c r="A18" s="297">
        <v>1990</v>
      </c>
      <c r="B18" s="440">
        <v>439.8</v>
      </c>
      <c r="C18" s="440">
        <v>249.2</v>
      </c>
      <c r="D18" s="440">
        <v>206.9</v>
      </c>
      <c r="E18" s="440">
        <v>42.3</v>
      </c>
      <c r="F18" s="155">
        <f t="shared" si="0"/>
        <v>47.04411095952706</v>
      </c>
      <c r="G18" s="155">
        <f t="shared" si="0"/>
        <v>16.974317817014445</v>
      </c>
      <c r="H18" s="155">
        <f t="shared" si="1"/>
        <v>56.662119145065937</v>
      </c>
      <c r="I18" s="439">
        <v>64.3</v>
      </c>
      <c r="J18" s="439">
        <v>49</v>
      </c>
    </row>
    <row r="19" spans="1:10">
      <c r="A19" s="297">
        <v>1991</v>
      </c>
      <c r="B19" s="440">
        <v>444.4</v>
      </c>
      <c r="C19" s="440">
        <v>249.7</v>
      </c>
      <c r="D19" s="440">
        <v>204.7</v>
      </c>
      <c r="E19" s="440">
        <v>45</v>
      </c>
      <c r="F19" s="155">
        <f t="shared" si="0"/>
        <v>46.06210621062106</v>
      </c>
      <c r="G19" s="155">
        <f t="shared" si="0"/>
        <v>18.02162595114137</v>
      </c>
      <c r="H19" s="155">
        <f t="shared" si="1"/>
        <v>56.188118811881196</v>
      </c>
      <c r="I19" s="439">
        <v>63.2</v>
      </c>
      <c r="J19" s="439">
        <v>49.1</v>
      </c>
    </row>
    <row r="20" spans="1:10">
      <c r="A20" s="297">
        <v>1992</v>
      </c>
      <c r="B20" s="440">
        <v>447.9</v>
      </c>
      <c r="C20" s="440">
        <v>243.6</v>
      </c>
      <c r="D20" s="440">
        <v>194.9</v>
      </c>
      <c r="E20" s="440">
        <v>48.7</v>
      </c>
      <c r="F20" s="155">
        <f t="shared" si="0"/>
        <v>43.514177271712441</v>
      </c>
      <c r="G20" s="155">
        <f t="shared" si="0"/>
        <v>19.991789819376027</v>
      </c>
      <c r="H20" s="155">
        <f t="shared" si="1"/>
        <v>54.387139986604147</v>
      </c>
      <c r="I20" s="439">
        <v>61.4</v>
      </c>
      <c r="J20" s="439">
        <v>47.4</v>
      </c>
    </row>
    <row r="21" spans="1:10">
      <c r="A21" s="297">
        <v>1993</v>
      </c>
      <c r="B21" s="440">
        <v>450.3</v>
      </c>
      <c r="C21" s="440">
        <v>242.5</v>
      </c>
      <c r="D21" s="440">
        <v>193.8</v>
      </c>
      <c r="E21" s="440">
        <v>48.8</v>
      </c>
      <c r="F21" s="155">
        <f t="shared" si="0"/>
        <v>43.037974683544306</v>
      </c>
      <c r="G21" s="155">
        <f t="shared" si="0"/>
        <v>20.123711340206185</v>
      </c>
      <c r="H21" s="155">
        <f t="shared" si="1"/>
        <v>53.852986897623801</v>
      </c>
      <c r="I21" s="439">
        <v>60.7</v>
      </c>
      <c r="J21" s="439">
        <v>47.1</v>
      </c>
    </row>
    <row r="22" spans="1:10">
      <c r="A22" s="297">
        <v>1994</v>
      </c>
      <c r="B22" s="440">
        <v>449.1</v>
      </c>
      <c r="C22" s="440">
        <v>241.8</v>
      </c>
      <c r="D22" s="440">
        <v>193.5</v>
      </c>
      <c r="E22" s="440">
        <v>48.3</v>
      </c>
      <c r="F22" s="155">
        <f t="shared" si="0"/>
        <v>43.086172344689381</v>
      </c>
      <c r="G22" s="155">
        <f t="shared" si="0"/>
        <v>19.975186104218359</v>
      </c>
      <c r="H22" s="155">
        <f t="shared" si="1"/>
        <v>53.841015364061448</v>
      </c>
      <c r="I22" s="439">
        <v>60.4</v>
      </c>
      <c r="J22" s="439">
        <v>47.4</v>
      </c>
    </row>
    <row r="23" spans="1:10">
      <c r="A23" s="297">
        <v>1995</v>
      </c>
      <c r="B23" s="440">
        <v>446.7</v>
      </c>
      <c r="C23" s="440">
        <v>237.1</v>
      </c>
      <c r="D23" s="440">
        <v>194.4</v>
      </c>
      <c r="E23" s="440">
        <v>42.7</v>
      </c>
      <c r="F23" s="155">
        <f t="shared" si="0"/>
        <v>43.519140362659506</v>
      </c>
      <c r="G23" s="155">
        <f t="shared" si="0"/>
        <v>18.00927878532265</v>
      </c>
      <c r="H23" s="155">
        <f t="shared" si="1"/>
        <v>53.078128497873287</v>
      </c>
      <c r="I23" s="439">
        <v>59.4</v>
      </c>
      <c r="J23" s="439">
        <v>46.8</v>
      </c>
    </row>
    <row r="24" spans="1:10">
      <c r="A24" s="297">
        <v>1996</v>
      </c>
      <c r="B24" s="440">
        <v>443.7</v>
      </c>
      <c r="C24" s="440">
        <v>231.7</v>
      </c>
      <c r="D24" s="440">
        <v>187.5</v>
      </c>
      <c r="E24" s="440">
        <v>44.2</v>
      </c>
      <c r="F24" s="155">
        <f t="shared" si="0"/>
        <v>42.258282623394187</v>
      </c>
      <c r="G24" s="155">
        <f t="shared" si="0"/>
        <v>19.076391886059561</v>
      </c>
      <c r="H24" s="155">
        <f t="shared" si="1"/>
        <v>52.219968447148965</v>
      </c>
      <c r="I24" s="439">
        <v>58.6</v>
      </c>
      <c r="J24" s="439">
        <v>46</v>
      </c>
    </row>
    <row r="25" spans="1:10">
      <c r="A25" s="297">
        <v>1997</v>
      </c>
      <c r="B25" s="440">
        <v>439.4</v>
      </c>
      <c r="C25" s="440">
        <v>230.9</v>
      </c>
      <c r="D25" s="440">
        <v>188.3</v>
      </c>
      <c r="E25" s="440">
        <v>42.6</v>
      </c>
      <c r="F25" s="155">
        <f t="shared" si="0"/>
        <v>42.853891670459717</v>
      </c>
      <c r="G25" s="155">
        <f t="shared" si="0"/>
        <v>18.449545257687312</v>
      </c>
      <c r="H25" s="155">
        <f t="shared" si="1"/>
        <v>52.548930359581249</v>
      </c>
      <c r="I25" s="439">
        <v>58.9</v>
      </c>
      <c r="J25" s="439">
        <v>46.3</v>
      </c>
    </row>
    <row r="26" spans="1:10">
      <c r="A26" s="297">
        <v>1998</v>
      </c>
      <c r="B26" s="440">
        <v>433.7</v>
      </c>
      <c r="C26" s="440">
        <v>234.3</v>
      </c>
      <c r="D26" s="440">
        <v>192.4</v>
      </c>
      <c r="E26" s="440">
        <v>41.9</v>
      </c>
      <c r="F26" s="155">
        <f t="shared" si="0"/>
        <v>44.362462531703947</v>
      </c>
      <c r="G26" s="155">
        <f t="shared" si="0"/>
        <v>17.883055911224925</v>
      </c>
      <c r="H26" s="155">
        <f t="shared" si="1"/>
        <v>54.023518561217429</v>
      </c>
      <c r="I26" s="439">
        <v>60.1</v>
      </c>
      <c r="J26" s="439">
        <v>48.1</v>
      </c>
    </row>
    <row r="27" spans="1:10">
      <c r="A27" s="297">
        <v>1999</v>
      </c>
      <c r="B27" s="440">
        <v>431.2</v>
      </c>
      <c r="C27" s="440">
        <v>241.9</v>
      </c>
      <c r="D27" s="440">
        <v>201</v>
      </c>
      <c r="E27" s="440">
        <v>41</v>
      </c>
      <c r="F27" s="155">
        <f t="shared" si="0"/>
        <v>46.614100185528756</v>
      </c>
      <c r="G27" s="155">
        <f t="shared" si="0"/>
        <v>16.949152542372879</v>
      </c>
      <c r="H27" s="155">
        <f t="shared" si="1"/>
        <v>56.099257884972175</v>
      </c>
      <c r="I27" s="439">
        <v>62.2</v>
      </c>
      <c r="J27" s="439">
        <v>50.2</v>
      </c>
    </row>
    <row r="28" spans="1:10">
      <c r="A28" s="297">
        <v>2000</v>
      </c>
      <c r="B28" s="440">
        <v>429.4</v>
      </c>
      <c r="C28" s="440">
        <v>237.8</v>
      </c>
      <c r="D28" s="440">
        <v>198</v>
      </c>
      <c r="E28" s="440">
        <v>39.799999999999997</v>
      </c>
      <c r="F28" s="155">
        <f t="shared" si="0"/>
        <v>46.110852352119238</v>
      </c>
      <c r="G28" s="155">
        <f t="shared" si="0"/>
        <v>16.736753574432296</v>
      </c>
      <c r="H28" s="155">
        <f t="shared" si="1"/>
        <v>55.379599441080586</v>
      </c>
      <c r="I28" s="439">
        <v>60.6</v>
      </c>
      <c r="J28" s="439">
        <v>50.3</v>
      </c>
    </row>
    <row r="29" spans="1:10">
      <c r="A29" s="297">
        <v>2001</v>
      </c>
      <c r="B29" s="440">
        <v>427.3</v>
      </c>
      <c r="C29" s="440">
        <v>242.7</v>
      </c>
      <c r="D29" s="440">
        <v>203.8</v>
      </c>
      <c r="E29" s="440">
        <v>39</v>
      </c>
      <c r="F29" s="155">
        <f t="shared" si="0"/>
        <v>47.694827989702787</v>
      </c>
      <c r="G29" s="155">
        <f t="shared" si="0"/>
        <v>16.069221260815823</v>
      </c>
      <c r="H29" s="155">
        <f t="shared" si="1"/>
        <v>56.798502223262339</v>
      </c>
      <c r="I29" s="439">
        <v>62.1</v>
      </c>
      <c r="J29" s="439">
        <v>51.8</v>
      </c>
    </row>
    <row r="30" spans="1:10">
      <c r="A30" s="297">
        <v>2002</v>
      </c>
      <c r="B30" s="440">
        <v>426.8</v>
      </c>
      <c r="C30" s="440">
        <v>248.5</v>
      </c>
      <c r="D30" s="440">
        <v>207.2</v>
      </c>
      <c r="E30" s="440">
        <v>41.4</v>
      </c>
      <c r="F30" s="155">
        <f t="shared" si="0"/>
        <v>48.547328959700096</v>
      </c>
      <c r="G30" s="155">
        <f t="shared" si="0"/>
        <v>16.659959758551306</v>
      </c>
      <c r="H30" s="155">
        <f t="shared" si="1"/>
        <v>58.223992502343016</v>
      </c>
      <c r="I30" s="439">
        <v>63.5</v>
      </c>
      <c r="J30" s="439">
        <v>53.2</v>
      </c>
    </row>
    <row r="31" spans="1:10">
      <c r="A31" s="297">
        <v>2003</v>
      </c>
      <c r="B31" s="440">
        <v>428.8</v>
      </c>
      <c r="C31" s="440">
        <v>254.1</v>
      </c>
      <c r="D31" s="440">
        <v>212.3</v>
      </c>
      <c r="E31" s="440">
        <v>41.8</v>
      </c>
      <c r="F31" s="155">
        <f t="shared" si="0"/>
        <v>49.510261194029852</v>
      </c>
      <c r="G31" s="155">
        <f t="shared" si="0"/>
        <v>16.450216450216448</v>
      </c>
      <c r="H31" s="155">
        <f t="shared" si="1"/>
        <v>59.258395522388049</v>
      </c>
      <c r="I31" s="439">
        <v>64.099999999999994</v>
      </c>
      <c r="J31" s="439">
        <v>54.6</v>
      </c>
    </row>
    <row r="32" spans="1:10">
      <c r="A32" s="297">
        <v>2004</v>
      </c>
      <c r="B32" s="440">
        <v>429.9</v>
      </c>
      <c r="C32" s="440">
        <v>254.3</v>
      </c>
      <c r="D32" s="440">
        <v>214.3</v>
      </c>
      <c r="E32" s="440">
        <v>40</v>
      </c>
      <c r="F32" s="158">
        <f t="shared" si="0"/>
        <v>49.848802046987679</v>
      </c>
      <c r="G32" s="158">
        <f t="shared" si="0"/>
        <v>15.729453401494297</v>
      </c>
      <c r="H32" s="158">
        <f t="shared" si="1"/>
        <v>59.153291463130962</v>
      </c>
      <c r="I32" s="439">
        <v>64.400000000000006</v>
      </c>
      <c r="J32" s="439">
        <v>54.2</v>
      </c>
    </row>
    <row r="33" spans="1:10">
      <c r="A33" s="297">
        <v>2005</v>
      </c>
      <c r="B33" s="440">
        <v>429.7</v>
      </c>
      <c r="C33" s="440">
        <v>252.5</v>
      </c>
      <c r="D33" s="440">
        <v>214.1</v>
      </c>
      <c r="E33" s="440">
        <v>38.4</v>
      </c>
      <c r="F33" s="158">
        <f t="shared" ref="F33:G36" si="2">D33/B33*100</f>
        <v>49.825459622992781</v>
      </c>
      <c r="G33" s="158">
        <f t="shared" si="2"/>
        <v>15.207920792079207</v>
      </c>
      <c r="H33" s="158">
        <f>C33/B33*100</f>
        <v>58.761926925762168</v>
      </c>
      <c r="I33" s="439">
        <v>63.3</v>
      </c>
      <c r="J33" s="439">
        <v>54.4</v>
      </c>
    </row>
    <row r="34" spans="1:10">
      <c r="A34" s="297">
        <v>2006</v>
      </c>
      <c r="B34" s="440">
        <v>427.7</v>
      </c>
      <c r="C34" s="440">
        <v>253.1</v>
      </c>
      <c r="D34" s="440">
        <v>215.7</v>
      </c>
      <c r="E34" s="440">
        <v>37.5</v>
      </c>
      <c r="F34" s="158">
        <f t="shared" si="2"/>
        <v>50.432546177227024</v>
      </c>
      <c r="G34" s="158">
        <f t="shared" si="2"/>
        <v>14.816278150928486</v>
      </c>
      <c r="H34" s="158">
        <f>C34/B34*100</f>
        <v>59.176993219546418</v>
      </c>
      <c r="I34" s="439">
        <v>63.2</v>
      </c>
      <c r="J34" s="439">
        <v>55.4</v>
      </c>
    </row>
    <row r="35" spans="1:10">
      <c r="A35" s="297">
        <v>2007</v>
      </c>
      <c r="B35" s="440">
        <v>424.3</v>
      </c>
      <c r="C35" s="440">
        <v>251.2</v>
      </c>
      <c r="D35" s="440">
        <v>217.1</v>
      </c>
      <c r="E35" s="440">
        <v>34.1</v>
      </c>
      <c r="F35" s="158">
        <f t="shared" si="2"/>
        <v>51.166627386283295</v>
      </c>
      <c r="G35" s="158">
        <f t="shared" si="2"/>
        <v>13.574840764331212</v>
      </c>
      <c r="H35" s="158">
        <f>C35/B35*100</f>
        <v>59.203393825123726</v>
      </c>
      <c r="I35" s="439">
        <v>63.7</v>
      </c>
      <c r="J35" s="439">
        <v>55</v>
      </c>
    </row>
    <row r="36" spans="1:10">
      <c r="A36" s="297">
        <v>2008</v>
      </c>
      <c r="B36" s="440">
        <v>426.2</v>
      </c>
      <c r="C36" s="440">
        <v>253.8</v>
      </c>
      <c r="D36" s="440">
        <v>220.3</v>
      </c>
      <c r="E36" s="440">
        <v>33.5</v>
      </c>
      <c r="F36" s="158">
        <f t="shared" si="2"/>
        <v>51.689347724073208</v>
      </c>
      <c r="G36" s="158">
        <f t="shared" si="2"/>
        <v>13.199369582348305</v>
      </c>
      <c r="H36" s="158">
        <f>C36/B36*100</f>
        <v>59.549507273580481</v>
      </c>
      <c r="I36" s="439">
        <v>64.3</v>
      </c>
      <c r="J36" s="439">
        <v>55</v>
      </c>
    </row>
    <row r="37" spans="1:10">
      <c r="A37" s="1109"/>
      <c r="B37" s="298" t="s">
        <v>802</v>
      </c>
      <c r="C37" s="298"/>
      <c r="D37" s="298"/>
      <c r="E37" s="298"/>
      <c r="F37" s="298" t="s">
        <v>655</v>
      </c>
      <c r="G37" s="298"/>
      <c r="H37" s="298"/>
      <c r="I37" s="298"/>
      <c r="J37" s="298"/>
    </row>
    <row r="38" spans="1:10">
      <c r="A38" s="297" t="s">
        <v>603</v>
      </c>
      <c r="B38" s="159">
        <f>(POWER(B17/B9, 1/8)-1)*100</f>
        <v>1.0147381348448059</v>
      </c>
      <c r="C38" s="159">
        <f>(POWER(C17/C9, 1/8)-1)*100</f>
        <v>1.5934996859635397</v>
      </c>
      <c r="D38" s="159">
        <f>(POWER(D17/D9, 1/8)-1)*100</f>
        <v>1.2964223282099452</v>
      </c>
      <c r="E38" s="159">
        <f>(POWER(E17/E9, 1/8)-1)*100</f>
        <v>3.3681456092347739</v>
      </c>
      <c r="F38" s="156">
        <f>F17-F9</f>
        <v>1.043387858402113</v>
      </c>
      <c r="G38" s="156">
        <f>G17-G9</f>
        <v>2.0033554317980578</v>
      </c>
      <c r="H38" s="156">
        <f>H17-H9</f>
        <v>2.5035526540119477</v>
      </c>
      <c r="I38" s="156">
        <f>I17-I9</f>
        <v>-3</v>
      </c>
      <c r="J38" s="156">
        <f>J17-J9</f>
        <v>8.1000000000000014</v>
      </c>
    </row>
    <row r="39" spans="1:10">
      <c r="A39" s="297" t="s">
        <v>604</v>
      </c>
      <c r="B39" s="159">
        <f>(POWER(B28/B17, 1/11)-1)*100</f>
        <v>-0.13023789505557382</v>
      </c>
      <c r="C39" s="159">
        <f>(POWER(C28/C17, 1/11)-1)*100</f>
        <v>-0.23742672438625823</v>
      </c>
      <c r="D39" s="159">
        <f>(POWER(D28/D17, 1/11)-1)*100</f>
        <v>-0.37261668543675519</v>
      </c>
      <c r="E39" s="159">
        <f>(POWER(E28/E17, 1/11)-1)*100</f>
        <v>0.46980751169707347</v>
      </c>
      <c r="F39" s="156">
        <f>F28-F17</f>
        <v>-1.2491109169349386</v>
      </c>
      <c r="G39" s="156">
        <f>G28-G17</f>
        <v>1.2512967944241034</v>
      </c>
      <c r="H39" s="156">
        <f>H28-H17</f>
        <v>-0.65804977838681111</v>
      </c>
      <c r="I39" s="156">
        <f>I28-I17</f>
        <v>-3.9999999999999929</v>
      </c>
      <c r="J39" s="156">
        <f>J28-J17</f>
        <v>2.7999999999999972</v>
      </c>
    </row>
    <row r="40" spans="1:10">
      <c r="A40" s="297" t="s">
        <v>808</v>
      </c>
      <c r="B40" s="159">
        <f>(POWER(B33/B9, 1/24)-1)*100</f>
        <v>0.28011174186604038</v>
      </c>
      <c r="C40" s="159">
        <f>(POWER(C33/C9, 1/24)-1)*100</f>
        <v>0.67018665226885599</v>
      </c>
      <c r="D40" s="159">
        <f>(POWER(D33/D9, 1/24)-1)*100</f>
        <v>0.58570454728688048</v>
      </c>
      <c r="E40" s="159">
        <f>(POWER(E33/E9, 1/24)-1)*100</f>
        <v>1.1767095137621641</v>
      </c>
      <c r="F40" s="156">
        <f>F33-F9</f>
        <v>3.5088842123407176</v>
      </c>
      <c r="G40" s="156">
        <f>G33-G9</f>
        <v>1.7258194438690726</v>
      </c>
      <c r="H40" s="156">
        <f>H33-H9</f>
        <v>5.2278303603067187</v>
      </c>
      <c r="I40" s="156">
        <f>I33-I9</f>
        <v>-4.2999999999999972</v>
      </c>
      <c r="J40" s="156">
        <f>J33-J9</f>
        <v>15</v>
      </c>
    </row>
    <row r="41" spans="1:10">
      <c r="A41" s="297" t="s">
        <v>819</v>
      </c>
      <c r="B41" s="159">
        <f>(POWER(B34/B9, 1/25)-1)*100</f>
        <v>0.25018268729473103</v>
      </c>
      <c r="C41" s="159">
        <f>(POWER(C34/C9, 1/25)-1)*100</f>
        <v>0.65284835009111752</v>
      </c>
      <c r="D41" s="159">
        <f>(POWER(D34/D9, 1/25)-1)*100</f>
        <v>0.59216395878272099</v>
      </c>
      <c r="E41" s="159">
        <f>(POWER(E34/E9, 1/25)-1)*100</f>
        <v>1.0334843491858869</v>
      </c>
      <c r="F41" s="156">
        <f>F34-F9</f>
        <v>4.1159707665749607</v>
      </c>
      <c r="G41" s="156">
        <f>G34-G9</f>
        <v>1.3341768027183516</v>
      </c>
      <c r="H41" s="156">
        <f>H34-H9</f>
        <v>5.6428966540909684</v>
      </c>
      <c r="I41" s="156">
        <f>I34-I9</f>
        <v>-4.3999999999999915</v>
      </c>
      <c r="J41" s="156">
        <f>J34-J9</f>
        <v>16</v>
      </c>
    </row>
    <row r="42" spans="1:10">
      <c r="A42" s="297" t="s">
        <v>447</v>
      </c>
      <c r="B42" s="159">
        <f>(POWER(B35/B9, 1/26)-1)*100</f>
        <v>0.20978242772080602</v>
      </c>
      <c r="C42" s="159">
        <f>(POWER(C35/C9, 1/26)-1)*100</f>
        <v>0.59850081852601544</v>
      </c>
      <c r="D42" s="159">
        <f>(POWER(D35/D9, 1/26)-1)*100</f>
        <v>0.59435127366236351</v>
      </c>
      <c r="E42" s="159">
        <f>(POWER(E35/E9, 1/26)-1)*100</f>
        <v>0.62502810064382075</v>
      </c>
      <c r="F42" s="156">
        <f>F35-F9</f>
        <v>4.8500519756312315</v>
      </c>
      <c r="G42" s="156">
        <f>G35-G9</f>
        <v>9.2739416121077056E-2</v>
      </c>
      <c r="H42" s="156">
        <f>H35-H9</f>
        <v>5.6692972596682765</v>
      </c>
      <c r="I42" s="156">
        <f>I35-I9</f>
        <v>-3.8999999999999915</v>
      </c>
      <c r="J42" s="156">
        <f>J35-J9</f>
        <v>15.600000000000001</v>
      </c>
    </row>
    <row r="43" spans="1:10">
      <c r="A43" s="297" t="s">
        <v>1408</v>
      </c>
      <c r="B43" s="159">
        <f>(POWER(B36/B9, 1/27)-1)*100</f>
        <v>0.2185876934144737</v>
      </c>
      <c r="C43" s="159">
        <f>(POWER(C36/C9, 1/27)-1)*100</f>
        <v>0.6146349504003501</v>
      </c>
      <c r="D43" s="159">
        <f>(POWER(D36/D9, 1/27)-1)*100</f>
        <v>0.62679355185812913</v>
      </c>
      <c r="E43" s="159">
        <f>(POWER(E36/E9, 1/27)-1)*100</f>
        <v>0.53568751254018387</v>
      </c>
      <c r="F43" s="156">
        <f>F36-F9</f>
        <v>5.3727723134211445</v>
      </c>
      <c r="G43" s="156">
        <f>G36-G9</f>
        <v>-0.28273176586182913</v>
      </c>
      <c r="H43" s="156">
        <f>H36-H9</f>
        <v>6.0154107081250316</v>
      </c>
      <c r="I43" s="156">
        <f>I36-I9</f>
        <v>-3.2999999999999972</v>
      </c>
      <c r="J43" s="156">
        <f>J36-J9</f>
        <v>15.600000000000001</v>
      </c>
    </row>
    <row r="44" spans="1:10">
      <c r="A44" s="297" t="s">
        <v>449</v>
      </c>
      <c r="B44" s="159">
        <f>(POWER(B35/B28, 1/7)-1)*100</f>
        <v>-0.170542029194376</v>
      </c>
      <c r="C44" s="159">
        <f>(POWER(C35/C28, 1/7)-1)*100</f>
        <v>0.78620952764596463</v>
      </c>
      <c r="D44" s="159">
        <f>(POWER(D35/D28, 1/7)-1)*100</f>
        <v>1.3242782863909675</v>
      </c>
      <c r="E44" s="159">
        <f>(POWER(E35/E28, 1/7)-1)*100</f>
        <v>-2.1839352454722127</v>
      </c>
      <c r="F44" s="156">
        <f>F35-F28</f>
        <v>5.055775034164057</v>
      </c>
      <c r="G44" s="156">
        <f>G35-G28</f>
        <v>-3.161912810101084</v>
      </c>
      <c r="H44" s="156">
        <f>H35-H28</f>
        <v>3.8237943840431399</v>
      </c>
      <c r="I44" s="156">
        <f>I35-I28</f>
        <v>3.1000000000000014</v>
      </c>
      <c r="J44" s="156">
        <f>J35-J28</f>
        <v>4.7000000000000028</v>
      </c>
    </row>
    <row r="45" spans="1:10">
      <c r="A45" s="297" t="s">
        <v>1410</v>
      </c>
      <c r="B45" s="159">
        <f>(POWER(B36/B28, 1/8)-1)*100</f>
        <v>-9.3458372685528701E-2</v>
      </c>
      <c r="C45" s="159">
        <f>(POWER(C36/C28, 1/8)-1)*100</f>
        <v>0.81727877502406621</v>
      </c>
      <c r="D45" s="159">
        <f>(POWER(D36/D28, 1/8)-1)*100</f>
        <v>1.342978307750653</v>
      </c>
      <c r="E45" s="159">
        <f>(POWER(E36/E28, 1/8)-1)*100</f>
        <v>-2.1309851184516004</v>
      </c>
      <c r="F45" s="156">
        <f>F36-F28</f>
        <v>5.5784953719539701</v>
      </c>
      <c r="G45" s="156">
        <f>G36-G28</f>
        <v>-3.5373839920839902</v>
      </c>
      <c r="H45" s="156">
        <f>H36-H28</f>
        <v>4.1699078324998951</v>
      </c>
      <c r="I45" s="156">
        <f>I36-I28</f>
        <v>3.6999999999999957</v>
      </c>
      <c r="J45" s="156">
        <f>J36-J28</f>
        <v>4.7000000000000028</v>
      </c>
    </row>
    <row r="46" spans="1:10" ht="25.5" customHeight="1">
      <c r="A46" s="1254" t="s">
        <v>654</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3" orientation="portrait" horizontalDpi="4294967292" verticalDpi="0" r:id="rId1"/>
  <headerFooter alignWithMargins="0"/>
</worksheet>
</file>

<file path=xl/worksheets/sheet143.xml><?xml version="1.0" encoding="utf-8"?>
<worksheet xmlns="http://schemas.openxmlformats.org/spreadsheetml/2006/main" xmlns:r="http://schemas.openxmlformats.org/officeDocument/2006/relationships">
  <sheetPr codeName="Sheet114">
    <pageSetUpPr fitToPage="1"/>
  </sheetPr>
  <dimension ref="A1:J49"/>
  <sheetViews>
    <sheetView view="pageBreakPreview" zoomScale="70" zoomScaleSheetLayoutView="7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0.85546875" style="149" customWidth="1"/>
    <col min="2" max="2" width="10.140625" style="149" customWidth="1"/>
    <col min="3" max="3" width="7.7109375" style="149" customWidth="1"/>
    <col min="4" max="4" width="11.5703125" style="149" customWidth="1"/>
    <col min="5" max="5" width="13.42578125" style="149" customWidth="1"/>
    <col min="6" max="6" width="10.85546875" style="149" customWidth="1"/>
    <col min="7" max="7" width="13.28515625" style="149" customWidth="1"/>
    <col min="8" max="9" width="11.28515625" style="149" customWidth="1"/>
    <col min="10" max="10" width="11.7109375" style="149" customWidth="1"/>
    <col min="11" max="16384" width="9.140625" style="149"/>
  </cols>
  <sheetData>
    <row r="1" spans="1:10" ht="18.600000000000001" customHeight="1">
      <c r="A1" s="1138" t="s">
        <v>1836</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82.8</v>
      </c>
      <c r="C4" s="442">
        <v>47.3</v>
      </c>
      <c r="D4" s="442">
        <v>43</v>
      </c>
      <c r="E4" s="442">
        <v>4.4000000000000004</v>
      </c>
      <c r="F4" s="155">
        <f t="shared" ref="F4:G32" si="0">D4/B4*100</f>
        <v>51.932367149758448</v>
      </c>
      <c r="G4" s="155">
        <f t="shared" si="0"/>
        <v>9.3023255813953494</v>
      </c>
      <c r="H4" s="155">
        <f t="shared" ref="H4:H32" si="1">C4/B4*100</f>
        <v>57.125603864734295</v>
      </c>
      <c r="I4" s="443">
        <v>72.5</v>
      </c>
      <c r="J4" s="443">
        <v>42.3</v>
      </c>
    </row>
    <row r="5" spans="1:10">
      <c r="A5" s="297">
        <v>1977</v>
      </c>
      <c r="B5" s="442">
        <v>84.6</v>
      </c>
      <c r="C5" s="442">
        <v>48.2</v>
      </c>
      <c r="D5" s="442">
        <v>43.6</v>
      </c>
      <c r="E5" s="442">
        <v>4.5999999999999996</v>
      </c>
      <c r="F5" s="155">
        <f t="shared" si="0"/>
        <v>51.536643026004739</v>
      </c>
      <c r="G5" s="155">
        <f t="shared" si="0"/>
        <v>9.5435684647302885</v>
      </c>
      <c r="H5" s="155">
        <f t="shared" si="1"/>
        <v>56.973995271867615</v>
      </c>
      <c r="I5" s="443">
        <v>71.599999999999994</v>
      </c>
      <c r="J5" s="443">
        <v>42.8</v>
      </c>
    </row>
    <row r="6" spans="1:10">
      <c r="A6" s="297">
        <v>1978</v>
      </c>
      <c r="B6" s="442">
        <v>86.6</v>
      </c>
      <c r="C6" s="442">
        <v>49.7</v>
      </c>
      <c r="D6" s="442">
        <v>44.9</v>
      </c>
      <c r="E6" s="442">
        <v>4.8</v>
      </c>
      <c r="F6" s="155">
        <f t="shared" si="0"/>
        <v>51.847575057736726</v>
      </c>
      <c r="G6" s="155">
        <f t="shared" si="0"/>
        <v>9.6579476861166995</v>
      </c>
      <c r="H6" s="155">
        <f t="shared" si="1"/>
        <v>57.390300230946892</v>
      </c>
      <c r="I6" s="443">
        <v>71.3</v>
      </c>
      <c r="J6" s="443">
        <v>44</v>
      </c>
    </row>
    <row r="7" spans="1:10">
      <c r="A7" s="297">
        <v>1979</v>
      </c>
      <c r="B7" s="442">
        <v>88.5</v>
      </c>
      <c r="C7" s="442">
        <v>52.5</v>
      </c>
      <c r="D7" s="442">
        <v>46.4</v>
      </c>
      <c r="E7" s="442">
        <v>6.1</v>
      </c>
      <c r="F7" s="155">
        <f t="shared" si="0"/>
        <v>52.429378531073446</v>
      </c>
      <c r="G7" s="155">
        <f t="shared" si="0"/>
        <v>11.619047619047617</v>
      </c>
      <c r="H7" s="155">
        <f t="shared" si="1"/>
        <v>59.322033898305079</v>
      </c>
      <c r="I7" s="443">
        <v>72.400000000000006</v>
      </c>
      <c r="J7" s="443">
        <v>46.8</v>
      </c>
    </row>
    <row r="8" spans="1:10">
      <c r="A8" s="297">
        <v>1980</v>
      </c>
      <c r="B8" s="442">
        <v>89.8</v>
      </c>
      <c r="C8" s="442">
        <v>53.4</v>
      </c>
      <c r="D8" s="442">
        <v>47.8</v>
      </c>
      <c r="E8" s="442">
        <v>5.6</v>
      </c>
      <c r="F8" s="155">
        <f t="shared" si="0"/>
        <v>53.229398663697104</v>
      </c>
      <c r="G8" s="155">
        <f t="shared" si="0"/>
        <v>10.486891385767789</v>
      </c>
      <c r="H8" s="155">
        <f t="shared" si="1"/>
        <v>59.465478841870819</v>
      </c>
      <c r="I8" s="443">
        <v>72.3</v>
      </c>
      <c r="J8" s="443">
        <v>47.2</v>
      </c>
    </row>
    <row r="9" spans="1:10">
      <c r="A9" s="297">
        <v>1981</v>
      </c>
      <c r="B9" s="442">
        <v>90.5</v>
      </c>
      <c r="C9" s="442">
        <v>53.1</v>
      </c>
      <c r="D9" s="442">
        <v>47.1</v>
      </c>
      <c r="E9" s="442">
        <v>6</v>
      </c>
      <c r="F9" s="155">
        <f t="shared" si="0"/>
        <v>52.044198895027627</v>
      </c>
      <c r="G9" s="155">
        <f t="shared" si="0"/>
        <v>11.299435028248588</v>
      </c>
      <c r="H9" s="155">
        <f t="shared" si="1"/>
        <v>58.674033149171265</v>
      </c>
      <c r="I9" s="443">
        <v>70.7</v>
      </c>
      <c r="J9" s="443">
        <v>47.2</v>
      </c>
    </row>
    <row r="10" spans="1:10">
      <c r="A10" s="297">
        <v>1982</v>
      </c>
      <c r="B10" s="442">
        <v>91.1</v>
      </c>
      <c r="C10" s="442">
        <v>53.3</v>
      </c>
      <c r="D10" s="442">
        <v>46.6</v>
      </c>
      <c r="E10" s="442">
        <v>6.7</v>
      </c>
      <c r="F10" s="155">
        <f t="shared" si="0"/>
        <v>51.152579582875966</v>
      </c>
      <c r="G10" s="155">
        <f t="shared" si="0"/>
        <v>12.570356472795499</v>
      </c>
      <c r="H10" s="155">
        <f t="shared" si="1"/>
        <v>58.507135016465426</v>
      </c>
      <c r="I10" s="443">
        <v>70.2</v>
      </c>
      <c r="J10" s="443">
        <v>47.3</v>
      </c>
    </row>
    <row r="11" spans="1:10">
      <c r="A11" s="297">
        <v>1983</v>
      </c>
      <c r="B11" s="442">
        <v>92.6</v>
      </c>
      <c r="C11" s="442">
        <v>55.6</v>
      </c>
      <c r="D11" s="442">
        <v>48.8</v>
      </c>
      <c r="E11" s="442">
        <v>6.8</v>
      </c>
      <c r="F11" s="155">
        <f t="shared" si="0"/>
        <v>52.699784017278617</v>
      </c>
      <c r="G11" s="155">
        <f t="shared" si="0"/>
        <v>12.230215827338128</v>
      </c>
      <c r="H11" s="155">
        <f t="shared" si="1"/>
        <v>60.043196544276469</v>
      </c>
      <c r="I11" s="443">
        <v>71.099999999999994</v>
      </c>
      <c r="J11" s="443">
        <v>49.5</v>
      </c>
    </row>
    <row r="12" spans="1:10">
      <c r="A12" s="297">
        <v>1984</v>
      </c>
      <c r="B12" s="442">
        <v>94.1</v>
      </c>
      <c r="C12" s="442">
        <v>56.6</v>
      </c>
      <c r="D12" s="442">
        <v>49.5</v>
      </c>
      <c r="E12" s="442">
        <v>7.1</v>
      </c>
      <c r="F12" s="155">
        <f t="shared" si="0"/>
        <v>52.603613177470777</v>
      </c>
      <c r="G12" s="155">
        <f t="shared" si="0"/>
        <v>12.544169611307421</v>
      </c>
      <c r="H12" s="155">
        <f t="shared" si="1"/>
        <v>60.148777895855474</v>
      </c>
      <c r="I12" s="443">
        <v>70.3</v>
      </c>
      <c r="J12" s="443">
        <v>50.4</v>
      </c>
    </row>
    <row r="13" spans="1:10">
      <c r="A13" s="297">
        <v>1985</v>
      </c>
      <c r="B13" s="442">
        <v>95.3</v>
      </c>
      <c r="C13" s="442">
        <v>58.4</v>
      </c>
      <c r="D13" s="442">
        <v>50.4</v>
      </c>
      <c r="E13" s="442">
        <v>8</v>
      </c>
      <c r="F13" s="155">
        <f t="shared" si="0"/>
        <v>52.885624344176286</v>
      </c>
      <c r="G13" s="155">
        <f t="shared" si="0"/>
        <v>13.698630136986301</v>
      </c>
      <c r="H13" s="155">
        <f t="shared" si="1"/>
        <v>61.280167890870928</v>
      </c>
      <c r="I13" s="443">
        <v>71.7</v>
      </c>
      <c r="J13" s="443">
        <v>51.4</v>
      </c>
    </row>
    <row r="14" spans="1:10">
      <c r="A14" s="297">
        <v>1986</v>
      </c>
      <c r="B14" s="442">
        <v>96</v>
      </c>
      <c r="C14" s="442">
        <v>60</v>
      </c>
      <c r="D14" s="442">
        <v>52.1</v>
      </c>
      <c r="E14" s="442">
        <v>7.9</v>
      </c>
      <c r="F14" s="155">
        <f t="shared" si="0"/>
        <v>54.270833333333336</v>
      </c>
      <c r="G14" s="155">
        <f t="shared" si="0"/>
        <v>13.166666666666668</v>
      </c>
      <c r="H14" s="155">
        <f t="shared" si="1"/>
        <v>62.5</v>
      </c>
      <c r="I14" s="443">
        <v>72.099999999999994</v>
      </c>
      <c r="J14" s="443">
        <v>53.3</v>
      </c>
    </row>
    <row r="15" spans="1:10">
      <c r="A15" s="297">
        <v>1987</v>
      </c>
      <c r="B15" s="442">
        <v>96.3</v>
      </c>
      <c r="C15" s="442">
        <v>60.9</v>
      </c>
      <c r="D15" s="442">
        <v>53.4</v>
      </c>
      <c r="E15" s="442">
        <v>7.5</v>
      </c>
      <c r="F15" s="155">
        <f t="shared" si="0"/>
        <v>55.451713395638627</v>
      </c>
      <c r="G15" s="155">
        <f t="shared" si="0"/>
        <v>12.315270935960591</v>
      </c>
      <c r="H15" s="155">
        <f t="shared" si="1"/>
        <v>63.239875389408098</v>
      </c>
      <c r="I15" s="443">
        <v>72.5</v>
      </c>
      <c r="J15" s="443">
        <v>54.3</v>
      </c>
    </row>
    <row r="16" spans="1:10">
      <c r="A16" s="297">
        <v>1988</v>
      </c>
      <c r="B16" s="442">
        <v>96.9</v>
      </c>
      <c r="C16" s="442">
        <v>62.2</v>
      </c>
      <c r="D16" s="442">
        <v>54.6</v>
      </c>
      <c r="E16" s="442">
        <v>7.6</v>
      </c>
      <c r="F16" s="155">
        <f t="shared" si="0"/>
        <v>56.346749226006189</v>
      </c>
      <c r="G16" s="155">
        <f t="shared" si="0"/>
        <v>12.218649517684886</v>
      </c>
      <c r="H16" s="155">
        <f t="shared" si="1"/>
        <v>64.189886480908157</v>
      </c>
      <c r="I16" s="443">
        <v>72.8</v>
      </c>
      <c r="J16" s="443">
        <v>56</v>
      </c>
    </row>
    <row r="17" spans="1:10">
      <c r="A17" s="297">
        <v>1989</v>
      </c>
      <c r="B17" s="442">
        <v>97.5</v>
      </c>
      <c r="C17" s="442">
        <v>63.7</v>
      </c>
      <c r="D17" s="442">
        <v>55</v>
      </c>
      <c r="E17" s="442">
        <v>8.6999999999999993</v>
      </c>
      <c r="F17" s="155">
        <f t="shared" si="0"/>
        <v>56.410256410256409</v>
      </c>
      <c r="G17" s="155">
        <f t="shared" si="0"/>
        <v>13.657770800627942</v>
      </c>
      <c r="H17" s="155">
        <f t="shared" si="1"/>
        <v>65.333333333333329</v>
      </c>
      <c r="I17" s="443">
        <v>73.900000000000006</v>
      </c>
      <c r="J17" s="443">
        <v>57.1</v>
      </c>
    </row>
    <row r="18" spans="1:10">
      <c r="A18" s="297">
        <v>1990</v>
      </c>
      <c r="B18" s="442">
        <v>98.1</v>
      </c>
      <c r="C18" s="442">
        <v>64.400000000000006</v>
      </c>
      <c r="D18" s="442">
        <v>55.1</v>
      </c>
      <c r="E18" s="442">
        <v>9.3000000000000007</v>
      </c>
      <c r="F18" s="155">
        <f t="shared" si="0"/>
        <v>56.167176350662594</v>
      </c>
      <c r="G18" s="155">
        <f t="shared" si="0"/>
        <v>14.440993788819876</v>
      </c>
      <c r="H18" s="155">
        <f t="shared" si="1"/>
        <v>65.647298674821613</v>
      </c>
      <c r="I18" s="443">
        <v>73.3</v>
      </c>
      <c r="J18" s="443">
        <v>58.4</v>
      </c>
    </row>
    <row r="19" spans="1:10">
      <c r="A19" s="297">
        <v>1991</v>
      </c>
      <c r="B19" s="442">
        <v>98.5</v>
      </c>
      <c r="C19" s="442">
        <v>64.099999999999994</v>
      </c>
      <c r="D19" s="442">
        <v>53.4</v>
      </c>
      <c r="E19" s="442">
        <v>10.6</v>
      </c>
      <c r="F19" s="155">
        <f t="shared" si="0"/>
        <v>54.213197969543145</v>
      </c>
      <c r="G19" s="155">
        <f t="shared" si="0"/>
        <v>16.536661466458661</v>
      </c>
      <c r="H19" s="155">
        <f t="shared" si="1"/>
        <v>65.07614213197968</v>
      </c>
      <c r="I19" s="443">
        <v>71.8</v>
      </c>
      <c r="J19" s="443">
        <v>58.4</v>
      </c>
    </row>
    <row r="20" spans="1:10">
      <c r="A20" s="297">
        <v>1992</v>
      </c>
      <c r="B20" s="442">
        <v>99.6</v>
      </c>
      <c r="C20" s="442">
        <v>65.3</v>
      </c>
      <c r="D20" s="442">
        <v>53.7</v>
      </c>
      <c r="E20" s="442">
        <v>11.5</v>
      </c>
      <c r="F20" s="155">
        <f t="shared" si="0"/>
        <v>53.915662650602414</v>
      </c>
      <c r="G20" s="155">
        <f t="shared" si="0"/>
        <v>17.61102603369066</v>
      </c>
      <c r="H20" s="155">
        <f t="shared" si="1"/>
        <v>65.562248995983936</v>
      </c>
      <c r="I20" s="443">
        <v>72.099999999999994</v>
      </c>
      <c r="J20" s="443">
        <v>59.3</v>
      </c>
    </row>
    <row r="21" spans="1:10">
      <c r="A21" s="297">
        <v>1993</v>
      </c>
      <c r="B21" s="442">
        <v>100.8</v>
      </c>
      <c r="C21" s="442">
        <v>65.7</v>
      </c>
      <c r="D21" s="442">
        <v>54.6</v>
      </c>
      <c r="E21" s="442">
        <v>11.1</v>
      </c>
      <c r="F21" s="155">
        <f t="shared" si="0"/>
        <v>54.166666666666671</v>
      </c>
      <c r="G21" s="155">
        <f t="shared" si="0"/>
        <v>16.894977168949772</v>
      </c>
      <c r="H21" s="155">
        <f t="shared" si="1"/>
        <v>65.178571428571431</v>
      </c>
      <c r="I21" s="443">
        <v>71.400000000000006</v>
      </c>
      <c r="J21" s="443">
        <v>59.2</v>
      </c>
    </row>
    <row r="22" spans="1:10">
      <c r="A22" s="297">
        <v>1994</v>
      </c>
      <c r="B22" s="442">
        <v>102.1</v>
      </c>
      <c r="C22" s="442">
        <v>66.8</v>
      </c>
      <c r="D22" s="442">
        <v>55.7</v>
      </c>
      <c r="E22" s="442">
        <v>11</v>
      </c>
      <c r="F22" s="155">
        <f t="shared" si="0"/>
        <v>54.554358472086193</v>
      </c>
      <c r="G22" s="155">
        <f t="shared" si="0"/>
        <v>16.467065868263472</v>
      </c>
      <c r="H22" s="155">
        <f t="shared" si="1"/>
        <v>65.426052889324197</v>
      </c>
      <c r="I22" s="443">
        <v>71.7</v>
      </c>
      <c r="J22" s="443">
        <v>59.4</v>
      </c>
    </row>
    <row r="23" spans="1:10">
      <c r="A23" s="297">
        <v>1995</v>
      </c>
      <c r="B23" s="442">
        <v>103.2</v>
      </c>
      <c r="C23" s="442">
        <v>67.099999999999994</v>
      </c>
      <c r="D23" s="442">
        <v>57.2</v>
      </c>
      <c r="E23" s="442">
        <v>9.9</v>
      </c>
      <c r="F23" s="155">
        <f t="shared" si="0"/>
        <v>55.426356589147282</v>
      </c>
      <c r="G23" s="155">
        <f t="shared" si="0"/>
        <v>14.754098360655741</v>
      </c>
      <c r="H23" s="155">
        <f t="shared" si="1"/>
        <v>65.019379844961236</v>
      </c>
      <c r="I23" s="443">
        <v>71.900000000000006</v>
      </c>
      <c r="J23" s="443">
        <v>58.3</v>
      </c>
    </row>
    <row r="24" spans="1:10">
      <c r="A24" s="297">
        <v>1996</v>
      </c>
      <c r="B24" s="442">
        <v>104.4</v>
      </c>
      <c r="C24" s="442">
        <v>68.900000000000006</v>
      </c>
      <c r="D24" s="442">
        <v>58.9</v>
      </c>
      <c r="E24" s="442">
        <v>10.1</v>
      </c>
      <c r="F24" s="155">
        <f t="shared" si="0"/>
        <v>56.417624521072796</v>
      </c>
      <c r="G24" s="155">
        <f t="shared" si="0"/>
        <v>14.658925979680696</v>
      </c>
      <c r="H24" s="155">
        <f t="shared" si="1"/>
        <v>65.996168582375475</v>
      </c>
      <c r="I24" s="443">
        <v>72.2</v>
      </c>
      <c r="J24" s="443">
        <v>60.1</v>
      </c>
    </row>
    <row r="25" spans="1:10">
      <c r="A25" s="297">
        <v>1997</v>
      </c>
      <c r="B25" s="442">
        <v>105.2</v>
      </c>
      <c r="C25" s="442">
        <v>69.400000000000006</v>
      </c>
      <c r="D25" s="442">
        <v>58.8</v>
      </c>
      <c r="E25" s="442">
        <v>10.7</v>
      </c>
      <c r="F25" s="155">
        <f t="shared" si="0"/>
        <v>55.893536121673002</v>
      </c>
      <c r="G25" s="155">
        <f t="shared" si="0"/>
        <v>15.417867435158501</v>
      </c>
      <c r="H25" s="155">
        <f t="shared" si="1"/>
        <v>65.969581749049439</v>
      </c>
      <c r="I25" s="443">
        <v>72.099999999999994</v>
      </c>
      <c r="J25" s="443">
        <v>60.1</v>
      </c>
    </row>
    <row r="26" spans="1:10">
      <c r="A26" s="297">
        <v>1998</v>
      </c>
      <c r="B26" s="442">
        <v>105.6</v>
      </c>
      <c r="C26" s="442">
        <v>69.2</v>
      </c>
      <c r="D26" s="442">
        <v>59.6</v>
      </c>
      <c r="E26" s="442">
        <v>9.6</v>
      </c>
      <c r="F26" s="155">
        <f t="shared" si="0"/>
        <v>56.439393939393945</v>
      </c>
      <c r="G26" s="155">
        <f t="shared" si="0"/>
        <v>13.872832369942195</v>
      </c>
      <c r="H26" s="155">
        <f t="shared" si="1"/>
        <v>65.530303030303045</v>
      </c>
      <c r="I26" s="443">
        <v>70.400000000000006</v>
      </c>
      <c r="J26" s="443">
        <v>61.1</v>
      </c>
    </row>
    <row r="27" spans="1:10">
      <c r="A27" s="297">
        <v>1999</v>
      </c>
      <c r="B27" s="442">
        <v>106.3</v>
      </c>
      <c r="C27" s="442">
        <v>70.400000000000006</v>
      </c>
      <c r="D27" s="442">
        <v>60.2</v>
      </c>
      <c r="E27" s="442">
        <v>10.1</v>
      </c>
      <c r="F27" s="155">
        <f t="shared" si="0"/>
        <v>56.632173095014117</v>
      </c>
      <c r="G27" s="155">
        <f t="shared" si="0"/>
        <v>14.346590909090907</v>
      </c>
      <c r="H27" s="155">
        <f t="shared" si="1"/>
        <v>66.227657572906878</v>
      </c>
      <c r="I27" s="443">
        <v>71.7</v>
      </c>
      <c r="J27" s="443">
        <v>60.9</v>
      </c>
    </row>
    <row r="28" spans="1:10">
      <c r="A28" s="297">
        <v>2000</v>
      </c>
      <c r="B28" s="442">
        <v>106.9</v>
      </c>
      <c r="C28" s="442">
        <v>71.3</v>
      </c>
      <c r="D28" s="442">
        <v>62.7</v>
      </c>
      <c r="E28" s="442">
        <v>8.6</v>
      </c>
      <c r="F28" s="155">
        <f t="shared" si="0"/>
        <v>58.652946679139383</v>
      </c>
      <c r="G28" s="155">
        <f t="shared" si="0"/>
        <v>12.061711079943899</v>
      </c>
      <c r="H28" s="155">
        <f t="shared" si="1"/>
        <v>66.69784845650139</v>
      </c>
      <c r="I28" s="443">
        <v>71.7</v>
      </c>
      <c r="J28" s="443">
        <v>62.2</v>
      </c>
    </row>
    <row r="29" spans="1:10">
      <c r="A29" s="297">
        <v>2001</v>
      </c>
      <c r="B29" s="442">
        <v>107.8</v>
      </c>
      <c r="C29" s="442">
        <v>72.3</v>
      </c>
      <c r="D29" s="442">
        <v>63.6</v>
      </c>
      <c r="E29" s="442">
        <v>8.6</v>
      </c>
      <c r="F29" s="155">
        <f t="shared" si="0"/>
        <v>58.998144712430431</v>
      </c>
      <c r="G29" s="155">
        <f t="shared" si="0"/>
        <v>11.89488243430152</v>
      </c>
      <c r="H29" s="155">
        <f t="shared" si="1"/>
        <v>67.068645640074209</v>
      </c>
      <c r="I29" s="443">
        <v>72.400000000000006</v>
      </c>
      <c r="J29" s="443">
        <v>61.9</v>
      </c>
    </row>
    <row r="30" spans="1:10">
      <c r="A30" s="297">
        <v>2002</v>
      </c>
      <c r="B30" s="442">
        <v>108.7</v>
      </c>
      <c r="C30" s="442">
        <v>73.5</v>
      </c>
      <c r="D30" s="442">
        <v>64.7</v>
      </c>
      <c r="E30" s="442">
        <v>8.8000000000000007</v>
      </c>
      <c r="F30" s="155">
        <f t="shared" si="0"/>
        <v>59.521619135234594</v>
      </c>
      <c r="G30" s="155">
        <f t="shared" si="0"/>
        <v>11.972789115646259</v>
      </c>
      <c r="H30" s="155">
        <f t="shared" si="1"/>
        <v>67.617295308187678</v>
      </c>
      <c r="I30" s="443">
        <v>71.900000000000006</v>
      </c>
      <c r="J30" s="443">
        <v>63.6</v>
      </c>
    </row>
    <row r="31" spans="1:10">
      <c r="A31" s="297">
        <v>2003</v>
      </c>
      <c r="B31" s="442">
        <v>109.8</v>
      </c>
      <c r="C31" s="442">
        <v>74.3</v>
      </c>
      <c r="D31" s="442">
        <v>66.099999999999994</v>
      </c>
      <c r="E31" s="442">
        <v>8.1999999999999993</v>
      </c>
      <c r="F31" s="155">
        <f t="shared" si="0"/>
        <v>60.200364298724949</v>
      </c>
      <c r="G31" s="155">
        <f t="shared" si="0"/>
        <v>11.036339165545087</v>
      </c>
      <c r="H31" s="155">
        <f t="shared" si="1"/>
        <v>67.668488160291446</v>
      </c>
      <c r="I31" s="443">
        <v>72.099999999999994</v>
      </c>
      <c r="J31" s="443">
        <v>63.6</v>
      </c>
    </row>
    <row r="32" spans="1:10">
      <c r="A32" s="297">
        <v>2004</v>
      </c>
      <c r="B32" s="442">
        <v>110.9</v>
      </c>
      <c r="C32" s="442">
        <v>75.400000000000006</v>
      </c>
      <c r="D32" s="442">
        <v>66.900000000000006</v>
      </c>
      <c r="E32" s="442">
        <v>8.5</v>
      </c>
      <c r="F32" s="158">
        <f t="shared" si="0"/>
        <v>60.324616771866545</v>
      </c>
      <c r="G32" s="158">
        <f t="shared" si="0"/>
        <v>11.273209549071616</v>
      </c>
      <c r="H32" s="158">
        <f t="shared" si="1"/>
        <v>67.989179440937789</v>
      </c>
      <c r="I32" s="443">
        <v>71.8</v>
      </c>
      <c r="J32" s="443">
        <v>64.3</v>
      </c>
    </row>
    <row r="33" spans="1:10">
      <c r="A33" s="297">
        <v>2005</v>
      </c>
      <c r="B33" s="442">
        <v>111.6</v>
      </c>
      <c r="C33" s="442">
        <v>76.5</v>
      </c>
      <c r="D33" s="442">
        <v>68.2</v>
      </c>
      <c r="E33" s="442">
        <v>8.3000000000000007</v>
      </c>
      <c r="F33" s="158">
        <f t="shared" ref="F33:G36" si="2">D33/B33*100</f>
        <v>61.111111111111114</v>
      </c>
      <c r="G33" s="158">
        <f t="shared" si="2"/>
        <v>10.84967320261438</v>
      </c>
      <c r="H33" s="158">
        <f>C33/B33*100</f>
        <v>68.548387096774206</v>
      </c>
      <c r="I33" s="443">
        <v>72.7</v>
      </c>
      <c r="J33" s="443">
        <v>64.599999999999994</v>
      </c>
    </row>
    <row r="34" spans="1:10">
      <c r="A34" s="297">
        <v>2006</v>
      </c>
      <c r="B34" s="442">
        <v>112.3</v>
      </c>
      <c r="C34" s="442">
        <v>77.099999999999994</v>
      </c>
      <c r="D34" s="442">
        <v>68.599999999999994</v>
      </c>
      <c r="E34" s="442">
        <v>8.5</v>
      </c>
      <c r="F34" s="158">
        <f t="shared" si="2"/>
        <v>61.08637577916295</v>
      </c>
      <c r="G34" s="158">
        <f t="shared" si="2"/>
        <v>11.024643320363166</v>
      </c>
      <c r="H34" s="158">
        <f>C34/B34*100</f>
        <v>68.655387355298302</v>
      </c>
      <c r="I34" s="443">
        <v>72.900000000000006</v>
      </c>
      <c r="J34" s="443">
        <v>64.7</v>
      </c>
    </row>
    <row r="35" spans="1:10">
      <c r="A35" s="297">
        <v>2007</v>
      </c>
      <c r="B35" s="442">
        <v>113.3</v>
      </c>
      <c r="C35" s="442">
        <v>77.3</v>
      </c>
      <c r="D35" s="442">
        <v>69.3</v>
      </c>
      <c r="E35" s="442">
        <v>8</v>
      </c>
      <c r="F35" s="158">
        <f t="shared" si="2"/>
        <v>61.165048543689316</v>
      </c>
      <c r="G35" s="158">
        <f t="shared" si="2"/>
        <v>10.34928848641656</v>
      </c>
      <c r="H35" s="158">
        <f>C35/B35*100</f>
        <v>68.225948808473078</v>
      </c>
      <c r="I35" s="443">
        <v>71.8</v>
      </c>
      <c r="J35" s="443">
        <v>65</v>
      </c>
    </row>
    <row r="36" spans="1:10">
      <c r="A36" s="297">
        <v>2008</v>
      </c>
      <c r="B36" s="442">
        <v>114.5</v>
      </c>
      <c r="C36" s="442">
        <v>78.7</v>
      </c>
      <c r="D36" s="442">
        <v>70.2</v>
      </c>
      <c r="E36" s="442">
        <v>8.5</v>
      </c>
      <c r="F36" s="158">
        <f t="shared" si="2"/>
        <v>61.310043668122269</v>
      </c>
      <c r="G36" s="158">
        <f t="shared" si="2"/>
        <v>10.800508259212197</v>
      </c>
      <c r="H36" s="158">
        <f>C36/B36*100</f>
        <v>68.733624454148483</v>
      </c>
      <c r="I36" s="443">
        <v>71.8</v>
      </c>
      <c r="J36" s="443">
        <v>65.8</v>
      </c>
    </row>
    <row r="37" spans="1:10">
      <c r="A37" s="1109"/>
      <c r="B37" s="298" t="s">
        <v>802</v>
      </c>
      <c r="C37" s="298"/>
      <c r="D37" s="298"/>
      <c r="E37" s="298"/>
      <c r="F37" s="298" t="s">
        <v>655</v>
      </c>
      <c r="G37" s="298"/>
      <c r="H37" s="298"/>
      <c r="I37" s="298"/>
      <c r="J37" s="298"/>
    </row>
    <row r="38" spans="1:10">
      <c r="A38" s="297" t="s">
        <v>603</v>
      </c>
      <c r="B38" s="159">
        <f>(POWER(B17/B9, 1/8)-1)*100</f>
        <v>0.93563151108306819</v>
      </c>
      <c r="C38" s="159">
        <f>(POWER(C17/C9, 1/8)-1)*100</f>
        <v>2.3011731137452029</v>
      </c>
      <c r="D38" s="159">
        <f>(POWER(D17/D9, 1/8)-1)*100</f>
        <v>1.9571583640755952</v>
      </c>
      <c r="E38" s="159">
        <f>(POWER(E17/E9, 1/8)-1)*100</f>
        <v>4.754092844711777</v>
      </c>
      <c r="F38" s="156">
        <f>F17-F9</f>
        <v>4.3660575152287819</v>
      </c>
      <c r="G38" s="156">
        <f>G17-G9</f>
        <v>2.3583357723793537</v>
      </c>
      <c r="H38" s="156">
        <f>H17-H9</f>
        <v>6.6593001841620634</v>
      </c>
      <c r="I38" s="156">
        <f>I17-I9</f>
        <v>3.2000000000000028</v>
      </c>
      <c r="J38" s="156">
        <f>J17-J9</f>
        <v>9.8999999999999986</v>
      </c>
    </row>
    <row r="39" spans="1:10">
      <c r="A39" s="297" t="s">
        <v>604</v>
      </c>
      <c r="B39" s="159">
        <f>(POWER(B28/B17, 1/11)-1)*100</f>
        <v>0.84025082037084697</v>
      </c>
      <c r="C39" s="159">
        <f>(POWER(C28/C17, 1/11)-1)*100</f>
        <v>1.0299199463862818</v>
      </c>
      <c r="D39" s="159">
        <f>(POWER(D28/D17, 1/11)-1)*100</f>
        <v>1.1982886570432116</v>
      </c>
      <c r="E39" s="159">
        <f>(POWER(E28/E17, 1/11)-1)*100</f>
        <v>-0.10504317645414485</v>
      </c>
      <c r="F39" s="156">
        <f>F28-F17</f>
        <v>2.2426902688829742</v>
      </c>
      <c r="G39" s="156">
        <f>G28-G17</f>
        <v>-1.5960597206840426</v>
      </c>
      <c r="H39" s="156">
        <f>H28-H17</f>
        <v>1.3645151231680615</v>
      </c>
      <c r="I39" s="156">
        <f>I28-I17</f>
        <v>-2.2000000000000028</v>
      </c>
      <c r="J39" s="156">
        <f>J28-J17</f>
        <v>5.1000000000000014</v>
      </c>
    </row>
    <row r="40" spans="1:10">
      <c r="A40" s="297" t="s">
        <v>808</v>
      </c>
      <c r="B40" s="159">
        <f>(POWER(B33/B9, 1/24)-1)*100</f>
        <v>0.87703695914806978</v>
      </c>
      <c r="C40" s="159">
        <f>(POWER(C33/C9, 1/24)-1)*100</f>
        <v>1.5329383409546704</v>
      </c>
      <c r="D40" s="159">
        <f>(POWER(D33/D9, 1/24)-1)*100</f>
        <v>1.5543376100893624</v>
      </c>
      <c r="E40" s="159">
        <f>(POWER(E33/E9, 1/24)-1)*100</f>
        <v>1.3612486149872316</v>
      </c>
      <c r="F40" s="156">
        <f>F33-F9</f>
        <v>9.0669122160834874</v>
      </c>
      <c r="G40" s="156">
        <f>G33-G9</f>
        <v>-0.44976182563420863</v>
      </c>
      <c r="H40" s="156">
        <f>H33-H9</f>
        <v>9.8743539476029412</v>
      </c>
      <c r="I40" s="156">
        <f>I33-I9</f>
        <v>2</v>
      </c>
      <c r="J40" s="156">
        <f>J33-J9</f>
        <v>17.399999999999991</v>
      </c>
    </row>
    <row r="41" spans="1:10">
      <c r="A41" s="297" t="s">
        <v>819</v>
      </c>
      <c r="B41" s="159">
        <f>(POWER(B34/B9, 1/25)-1)*100</f>
        <v>0.86703319092555908</v>
      </c>
      <c r="C41" s="159">
        <f>(POWER(C34/C9, 1/25)-1)*100</f>
        <v>1.5028868633624626</v>
      </c>
      <c r="D41" s="159">
        <f>(POWER(D34/D9, 1/25)-1)*100</f>
        <v>1.5154463139388952</v>
      </c>
      <c r="E41" s="159">
        <f>(POWER(E34/E9, 1/25)-1)*100</f>
        <v>1.4029774115282168</v>
      </c>
      <c r="F41" s="156">
        <f>F34-F9</f>
        <v>9.0421768841353227</v>
      </c>
      <c r="G41" s="156">
        <f>G34-G9</f>
        <v>-0.27479170788542184</v>
      </c>
      <c r="H41" s="156">
        <f>H34-H9</f>
        <v>9.9813542061270368</v>
      </c>
      <c r="I41" s="156">
        <f>I34-I9</f>
        <v>2.2000000000000028</v>
      </c>
      <c r="J41" s="156">
        <f>J34-J9</f>
        <v>17.5</v>
      </c>
    </row>
    <row r="42" spans="1:10">
      <c r="A42" s="297" t="s">
        <v>447</v>
      </c>
      <c r="B42" s="159">
        <f>(POWER(B35/B9, 1/26)-1)*100</f>
        <v>0.8679345809671446</v>
      </c>
      <c r="C42" s="159">
        <f>(POWER(C35/C9, 1/26)-1)*100</f>
        <v>1.4547766124383354</v>
      </c>
      <c r="D42" s="159">
        <f>(POWER(D35/D9, 1/26)-1)*100</f>
        <v>1.4963616038322858</v>
      </c>
      <c r="E42" s="159">
        <f>(POWER(E35/E9, 1/26)-1)*100</f>
        <v>1.1126135229420742</v>
      </c>
      <c r="F42" s="156">
        <f>F35-F9</f>
        <v>9.1208496486616895</v>
      </c>
      <c r="G42" s="156">
        <f>G35-G9</f>
        <v>-0.95014654183202829</v>
      </c>
      <c r="H42" s="156">
        <f>H35-H9</f>
        <v>9.5519156593018124</v>
      </c>
      <c r="I42" s="156">
        <f>I35-I9</f>
        <v>1.0999999999999943</v>
      </c>
      <c r="J42" s="156">
        <f>J35-J9</f>
        <v>17.799999999999997</v>
      </c>
    </row>
    <row r="43" spans="1:10">
      <c r="A43" s="297" t="s">
        <v>1408</v>
      </c>
      <c r="B43" s="159">
        <f>(POWER(B36/B9, 1/27)-1)*100</f>
        <v>0.87500962434907681</v>
      </c>
      <c r="C43" s="159">
        <f>(POWER(C36/C9, 1/27)-1)*100</f>
        <v>1.4679524500019303</v>
      </c>
      <c r="D43" s="159">
        <f>(POWER(D36/D9, 1/27)-1)*100</f>
        <v>1.4890339786039375</v>
      </c>
      <c r="E43" s="159">
        <f>(POWER(E36/E9, 1/27)-1)*100</f>
        <v>1.2983815093310813</v>
      </c>
      <c r="F43" s="156">
        <f>F36-F9</f>
        <v>9.2658447730946421</v>
      </c>
      <c r="G43" s="156">
        <f>G36-G9</f>
        <v>-0.49892676903639099</v>
      </c>
      <c r="H43" s="156">
        <f>H36-H9</f>
        <v>10.059591304977218</v>
      </c>
      <c r="I43" s="156">
        <f>I36-I9</f>
        <v>1.0999999999999943</v>
      </c>
      <c r="J43" s="156">
        <f>J36-J9</f>
        <v>18.599999999999994</v>
      </c>
    </row>
    <row r="44" spans="1:10">
      <c r="A44" s="297" t="s">
        <v>449</v>
      </c>
      <c r="B44" s="159">
        <f>(POWER(B35/B28, 1/7)-1)*100</f>
        <v>0.83410730848370029</v>
      </c>
      <c r="C44" s="159">
        <f>(POWER(C35/C28, 1/7)-1)*100</f>
        <v>1.1609390217318438</v>
      </c>
      <c r="D44" s="159">
        <f>(POWER(D35/D28, 1/7)-1)*100</f>
        <v>1.4400337020140208</v>
      </c>
      <c r="E44" s="159">
        <f>(POWER(E35/E28, 1/7)-1)*100</f>
        <v>-1.0278336222879658</v>
      </c>
      <c r="F44" s="156">
        <f>F35-F28</f>
        <v>2.5121018645499333</v>
      </c>
      <c r="G44" s="156">
        <f>G35-G28</f>
        <v>-1.7124225935273394</v>
      </c>
      <c r="H44" s="156">
        <f>H35-H28</f>
        <v>1.5281003519716876</v>
      </c>
      <c r="I44" s="156">
        <f>I35-I28</f>
        <v>9.9999999999994316E-2</v>
      </c>
      <c r="J44" s="156">
        <f>J35-J28</f>
        <v>2.7999999999999972</v>
      </c>
    </row>
    <row r="45" spans="1:10">
      <c r="A45" s="297" t="s">
        <v>1410</v>
      </c>
      <c r="B45" s="159">
        <f>(POWER(B36/B28, 1/8)-1)*100</f>
        <v>0.86220834983370409</v>
      </c>
      <c r="C45" s="159">
        <f>(POWER(C36/C28, 1/8)-1)*100</f>
        <v>1.2419847093358527</v>
      </c>
      <c r="D45" s="159">
        <f>(POWER(D36/D28, 1/8)-1)*100</f>
        <v>1.4223563735406897</v>
      </c>
      <c r="E45" s="159">
        <f>(POWER(E36/E28, 1/8)-1)*100</f>
        <v>-0.14609367617710589</v>
      </c>
      <c r="F45" s="156">
        <f>F36-F28</f>
        <v>2.6570969889828859</v>
      </c>
      <c r="G45" s="156">
        <f>G36-G28</f>
        <v>-1.2612028207317021</v>
      </c>
      <c r="H45" s="156">
        <f>H36-H28</f>
        <v>2.035775997647093</v>
      </c>
      <c r="I45" s="156">
        <f>I36-I28</f>
        <v>9.9999999999994316E-2</v>
      </c>
      <c r="J45" s="156">
        <f>J36-J28</f>
        <v>3.5999999999999943</v>
      </c>
    </row>
    <row r="46" spans="1:10" ht="24" customHeight="1">
      <c r="A46" s="1254" t="s">
        <v>1558</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79" orientation="portrait" horizontalDpi="4294967292" verticalDpi="0" r:id="rId1"/>
  <headerFooter alignWithMargins="0"/>
</worksheet>
</file>

<file path=xl/worksheets/sheet144.xml><?xml version="1.0" encoding="utf-8"?>
<worksheet xmlns="http://schemas.openxmlformats.org/spreadsheetml/2006/main" xmlns:r="http://schemas.openxmlformats.org/officeDocument/2006/relationships">
  <sheetPr codeName="Sheet115">
    <pageSetUpPr fitToPage="1"/>
  </sheetPr>
  <dimension ref="A1:J49"/>
  <sheetViews>
    <sheetView view="pageBreakPreview" zoomScale="98" zoomScaleSheetLayoutView="98" workbookViewId="0">
      <pane xSplit="1" ySplit="3" topLeftCell="B22"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85546875" style="149" customWidth="1"/>
    <col min="2" max="2" width="10.28515625" style="149" customWidth="1"/>
    <col min="3" max="3" width="9" style="149" customWidth="1"/>
    <col min="4" max="4" width="10.7109375" style="149" customWidth="1"/>
    <col min="5" max="5" width="13.140625" style="149" customWidth="1"/>
    <col min="6" max="6" width="10.28515625" style="149" customWidth="1"/>
    <col min="7" max="7" width="13.140625" style="149" customWidth="1"/>
    <col min="8" max="8" width="10.85546875" style="149" customWidth="1"/>
    <col min="9" max="9" width="11.140625" style="149" customWidth="1"/>
    <col min="10" max="10" width="11.42578125" style="149" customWidth="1"/>
    <col min="11" max="16384" width="9.140625" style="149"/>
  </cols>
  <sheetData>
    <row r="1" spans="1:10" ht="18.600000000000001" customHeight="1">
      <c r="A1" s="1138" t="s">
        <v>1837</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589.5</v>
      </c>
      <c r="C4" s="442">
        <v>328</v>
      </c>
      <c r="D4" s="442">
        <v>297.89999999999998</v>
      </c>
      <c r="E4" s="442">
        <v>30.1</v>
      </c>
      <c r="F4" s="155">
        <f t="shared" ref="F4:G32" si="0">D4/B4*100</f>
        <v>50.534351145038158</v>
      </c>
      <c r="G4" s="155">
        <f t="shared" si="0"/>
        <v>9.176829268292682</v>
      </c>
      <c r="H4" s="155">
        <f t="shared" ref="H4:H32" si="1">C4/B4*100</f>
        <v>55.640373197625102</v>
      </c>
      <c r="I4" s="443">
        <v>72.2</v>
      </c>
      <c r="J4" s="443">
        <v>39.9</v>
      </c>
    </row>
    <row r="5" spans="1:10">
      <c r="A5" s="297">
        <v>1977</v>
      </c>
      <c r="B5" s="442">
        <v>598.9</v>
      </c>
      <c r="C5" s="442">
        <v>332.7</v>
      </c>
      <c r="D5" s="442">
        <v>298.3</v>
      </c>
      <c r="E5" s="442">
        <v>34.4</v>
      </c>
      <c r="F5" s="155">
        <f t="shared" si="0"/>
        <v>49.807981299048258</v>
      </c>
      <c r="G5" s="155">
        <f t="shared" si="0"/>
        <v>10.339645326119626</v>
      </c>
      <c r="H5" s="155">
        <f t="shared" si="1"/>
        <v>55.551845049256976</v>
      </c>
      <c r="I5" s="443">
        <v>71.5</v>
      </c>
      <c r="J5" s="443">
        <v>40.5</v>
      </c>
    </row>
    <row r="6" spans="1:10">
      <c r="A6" s="297">
        <v>1978</v>
      </c>
      <c r="B6" s="442">
        <v>608.5</v>
      </c>
      <c r="C6" s="442">
        <v>342</v>
      </c>
      <c r="D6" s="442">
        <v>306</v>
      </c>
      <c r="E6" s="442">
        <v>36</v>
      </c>
      <c r="F6" s="155">
        <f t="shared" si="0"/>
        <v>50.287592440427275</v>
      </c>
      <c r="G6" s="155">
        <f t="shared" si="0"/>
        <v>10.526315789473683</v>
      </c>
      <c r="H6" s="155">
        <f t="shared" si="1"/>
        <v>56.203779786359895</v>
      </c>
      <c r="I6" s="443">
        <v>71.5</v>
      </c>
      <c r="J6" s="443">
        <v>41.8</v>
      </c>
    </row>
    <row r="7" spans="1:10">
      <c r="A7" s="297">
        <v>1979</v>
      </c>
      <c r="B7" s="442">
        <v>618.20000000000005</v>
      </c>
      <c r="C7" s="442">
        <v>352.5</v>
      </c>
      <c r="D7" s="442">
        <v>317.3</v>
      </c>
      <c r="E7" s="442">
        <v>35.200000000000003</v>
      </c>
      <c r="F7" s="155">
        <f t="shared" si="0"/>
        <v>51.326431575541896</v>
      </c>
      <c r="G7" s="155">
        <f t="shared" si="0"/>
        <v>9.9858156028368796</v>
      </c>
      <c r="H7" s="155">
        <f t="shared" si="1"/>
        <v>57.020381753477835</v>
      </c>
      <c r="I7" s="443">
        <v>72.5</v>
      </c>
      <c r="J7" s="443">
        <v>42.4</v>
      </c>
    </row>
    <row r="8" spans="1:10">
      <c r="A8" s="297">
        <v>1980</v>
      </c>
      <c r="B8" s="442">
        <v>626.6</v>
      </c>
      <c r="C8" s="442">
        <v>359.2</v>
      </c>
      <c r="D8" s="442">
        <v>324.39999999999998</v>
      </c>
      <c r="E8" s="442">
        <v>34.799999999999997</v>
      </c>
      <c r="F8" s="155">
        <f t="shared" si="0"/>
        <v>51.771465049473342</v>
      </c>
      <c r="G8" s="155">
        <f t="shared" si="0"/>
        <v>9.6881959910913142</v>
      </c>
      <c r="H8" s="155">
        <f t="shared" si="1"/>
        <v>57.325247366741138</v>
      </c>
      <c r="I8" s="443">
        <v>71.7</v>
      </c>
      <c r="J8" s="443">
        <v>43.8</v>
      </c>
    </row>
    <row r="9" spans="1:10">
      <c r="A9" s="297">
        <v>1981</v>
      </c>
      <c r="B9" s="442">
        <v>632.70000000000005</v>
      </c>
      <c r="C9" s="442">
        <v>364.8</v>
      </c>
      <c r="D9" s="442">
        <v>328.3</v>
      </c>
      <c r="E9" s="442">
        <v>36.4</v>
      </c>
      <c r="F9" s="155">
        <f t="shared" si="0"/>
        <v>51.888730836099249</v>
      </c>
      <c r="G9" s="155">
        <f t="shared" si="0"/>
        <v>9.9780701754385959</v>
      </c>
      <c r="H9" s="155">
        <f t="shared" si="1"/>
        <v>57.657657657657658</v>
      </c>
      <c r="I9" s="443">
        <v>70.7</v>
      </c>
      <c r="J9" s="443">
        <v>45.5</v>
      </c>
    </row>
    <row r="10" spans="1:10">
      <c r="A10" s="297">
        <v>1982</v>
      </c>
      <c r="B10" s="442">
        <v>639.79999999999995</v>
      </c>
      <c r="C10" s="442">
        <v>368.2</v>
      </c>
      <c r="D10" s="442">
        <v>321.10000000000002</v>
      </c>
      <c r="E10" s="442">
        <v>47.1</v>
      </c>
      <c r="F10" s="155">
        <f t="shared" si="0"/>
        <v>50.187558612066276</v>
      </c>
      <c r="G10" s="155">
        <f t="shared" si="0"/>
        <v>12.791960890820206</v>
      </c>
      <c r="H10" s="155">
        <f t="shared" si="1"/>
        <v>57.54923413566739</v>
      </c>
      <c r="I10" s="443">
        <v>70.400000000000006</v>
      </c>
      <c r="J10" s="443">
        <v>45.6</v>
      </c>
    </row>
    <row r="11" spans="1:10">
      <c r="A11" s="297">
        <v>1983</v>
      </c>
      <c r="B11" s="442">
        <v>650.1</v>
      </c>
      <c r="C11" s="442">
        <v>375.3</v>
      </c>
      <c r="D11" s="442">
        <v>324.8</v>
      </c>
      <c r="E11" s="442">
        <v>50.4</v>
      </c>
      <c r="F11" s="155">
        <f t="shared" si="0"/>
        <v>49.96154437778803</v>
      </c>
      <c r="G11" s="155">
        <f t="shared" si="0"/>
        <v>13.429256594724221</v>
      </c>
      <c r="H11" s="155">
        <f t="shared" si="1"/>
        <v>57.729580064605443</v>
      </c>
      <c r="I11" s="443">
        <v>69.900000000000006</v>
      </c>
      <c r="J11" s="443">
        <v>46.3</v>
      </c>
    </row>
    <row r="12" spans="1:10">
      <c r="A12" s="297">
        <v>1984</v>
      </c>
      <c r="B12" s="442">
        <v>659.8</v>
      </c>
      <c r="C12" s="442">
        <v>390.8</v>
      </c>
      <c r="D12" s="442">
        <v>339.9</v>
      </c>
      <c r="E12" s="442">
        <v>50.9</v>
      </c>
      <c r="F12" s="155">
        <f t="shared" si="0"/>
        <v>51.515610791148838</v>
      </c>
      <c r="G12" s="155">
        <f t="shared" si="0"/>
        <v>13.024564994882294</v>
      </c>
      <c r="H12" s="155">
        <f t="shared" si="1"/>
        <v>59.230069718096402</v>
      </c>
      <c r="I12" s="443">
        <v>71</v>
      </c>
      <c r="J12" s="443">
        <v>48.1</v>
      </c>
    </row>
    <row r="13" spans="1:10">
      <c r="A13" s="297">
        <v>1985</v>
      </c>
      <c r="B13" s="442">
        <v>668.3</v>
      </c>
      <c r="C13" s="442">
        <v>396.1</v>
      </c>
      <c r="D13" s="442">
        <v>342.7</v>
      </c>
      <c r="E13" s="442">
        <v>53.5</v>
      </c>
      <c r="F13" s="155">
        <f t="shared" si="0"/>
        <v>51.279365554391745</v>
      </c>
      <c r="G13" s="155">
        <f t="shared" si="0"/>
        <v>13.506690229739965</v>
      </c>
      <c r="H13" s="155">
        <f t="shared" si="1"/>
        <v>59.269789016908582</v>
      </c>
      <c r="I13" s="443">
        <v>70.7</v>
      </c>
      <c r="J13" s="443">
        <v>48.5</v>
      </c>
    </row>
    <row r="14" spans="1:10">
      <c r="A14" s="297">
        <v>1986</v>
      </c>
      <c r="B14" s="442">
        <v>675</v>
      </c>
      <c r="C14" s="442">
        <v>403.9</v>
      </c>
      <c r="D14" s="442">
        <v>350.2</v>
      </c>
      <c r="E14" s="442">
        <v>53.7</v>
      </c>
      <c r="F14" s="155">
        <f t="shared" si="0"/>
        <v>51.881481481481487</v>
      </c>
      <c r="G14" s="155">
        <f t="shared" si="0"/>
        <v>13.295370141124041</v>
      </c>
      <c r="H14" s="155">
        <f t="shared" si="1"/>
        <v>59.837037037037035</v>
      </c>
      <c r="I14" s="443">
        <v>70.7</v>
      </c>
      <c r="J14" s="443">
        <v>49.6</v>
      </c>
    </row>
    <row r="15" spans="1:10">
      <c r="A15" s="297">
        <v>1987</v>
      </c>
      <c r="B15" s="442">
        <v>680.2</v>
      </c>
      <c r="C15" s="442">
        <v>408.1</v>
      </c>
      <c r="D15" s="442">
        <v>359</v>
      </c>
      <c r="E15" s="442">
        <v>49.1</v>
      </c>
      <c r="F15" s="155">
        <f t="shared" si="0"/>
        <v>52.778594531020282</v>
      </c>
      <c r="G15" s="155">
        <f t="shared" si="0"/>
        <v>12.031364861553541</v>
      </c>
      <c r="H15" s="155">
        <f t="shared" si="1"/>
        <v>59.997059688326956</v>
      </c>
      <c r="I15" s="443">
        <v>70.400000000000006</v>
      </c>
      <c r="J15" s="443">
        <v>50.2</v>
      </c>
    </row>
    <row r="16" spans="1:10">
      <c r="A16" s="297">
        <v>1988</v>
      </c>
      <c r="B16" s="442">
        <v>685.1</v>
      </c>
      <c r="C16" s="442">
        <v>416</v>
      </c>
      <c r="D16" s="442">
        <v>373.7</v>
      </c>
      <c r="E16" s="442">
        <v>42.3</v>
      </c>
      <c r="F16" s="155">
        <f t="shared" si="0"/>
        <v>54.546781491753023</v>
      </c>
      <c r="G16" s="155">
        <f t="shared" si="0"/>
        <v>10.16826923076923</v>
      </c>
      <c r="H16" s="155">
        <f t="shared" si="1"/>
        <v>60.721062618595823</v>
      </c>
      <c r="I16" s="443">
        <v>71.2</v>
      </c>
      <c r="J16" s="443">
        <v>50.9</v>
      </c>
    </row>
    <row r="17" spans="1:10">
      <c r="A17" s="297">
        <v>1989</v>
      </c>
      <c r="B17" s="442">
        <v>690.9</v>
      </c>
      <c r="C17" s="442">
        <v>423.3</v>
      </c>
      <c r="D17" s="442">
        <v>381.6</v>
      </c>
      <c r="E17" s="442">
        <v>41.7</v>
      </c>
      <c r="F17" s="155">
        <f t="shared" si="0"/>
        <v>55.232305688232742</v>
      </c>
      <c r="G17" s="155">
        <f t="shared" si="0"/>
        <v>9.8511693834160177</v>
      </c>
      <c r="H17" s="155">
        <f t="shared" si="1"/>
        <v>61.267911419887113</v>
      </c>
      <c r="I17" s="443">
        <v>71</v>
      </c>
      <c r="J17" s="443">
        <v>52.2</v>
      </c>
    </row>
    <row r="18" spans="1:10">
      <c r="A18" s="297">
        <v>1990</v>
      </c>
      <c r="B18" s="442">
        <v>697</v>
      </c>
      <c r="C18" s="442">
        <v>431.4</v>
      </c>
      <c r="D18" s="442">
        <v>385.3</v>
      </c>
      <c r="E18" s="442">
        <v>46.1</v>
      </c>
      <c r="F18" s="155">
        <f t="shared" si="0"/>
        <v>55.27977044476328</v>
      </c>
      <c r="G18" s="155">
        <f t="shared" si="0"/>
        <v>10.686138154844693</v>
      </c>
      <c r="H18" s="155">
        <f t="shared" si="1"/>
        <v>61.89383070301291</v>
      </c>
      <c r="I18" s="443">
        <v>70.900000000000006</v>
      </c>
      <c r="J18" s="443">
        <v>53.4</v>
      </c>
    </row>
    <row r="19" spans="1:10">
      <c r="A19" s="297">
        <v>1991</v>
      </c>
      <c r="B19" s="442">
        <v>703.4</v>
      </c>
      <c r="C19" s="442">
        <v>433</v>
      </c>
      <c r="D19" s="442">
        <v>380.6</v>
      </c>
      <c r="E19" s="442">
        <v>52.3</v>
      </c>
      <c r="F19" s="155">
        <f t="shared" si="0"/>
        <v>54.108615297128239</v>
      </c>
      <c r="G19" s="155">
        <f t="shared" si="0"/>
        <v>12.078521939953809</v>
      </c>
      <c r="H19" s="155">
        <f t="shared" si="1"/>
        <v>61.558146147284617</v>
      </c>
      <c r="I19" s="443">
        <v>70.2</v>
      </c>
      <c r="J19" s="443">
        <v>53.5</v>
      </c>
    </row>
    <row r="20" spans="1:10">
      <c r="A20" s="297">
        <v>1992</v>
      </c>
      <c r="B20" s="442">
        <v>708</v>
      </c>
      <c r="C20" s="442">
        <v>424.6</v>
      </c>
      <c r="D20" s="442">
        <v>368.9</v>
      </c>
      <c r="E20" s="442">
        <v>55.7</v>
      </c>
      <c r="F20" s="155">
        <f t="shared" si="0"/>
        <v>52.104519774011294</v>
      </c>
      <c r="G20" s="155">
        <f t="shared" si="0"/>
        <v>13.11822892133773</v>
      </c>
      <c r="H20" s="155">
        <f t="shared" si="1"/>
        <v>59.971751412429384</v>
      </c>
      <c r="I20" s="443">
        <v>67.8</v>
      </c>
      <c r="J20" s="443">
        <v>52.7</v>
      </c>
    </row>
    <row r="21" spans="1:10">
      <c r="A21" s="297">
        <v>1993</v>
      </c>
      <c r="B21" s="442">
        <v>712.6</v>
      </c>
      <c r="C21" s="442">
        <v>427.9</v>
      </c>
      <c r="D21" s="442">
        <v>366.5</v>
      </c>
      <c r="E21" s="442">
        <v>61.4</v>
      </c>
      <c r="F21" s="155">
        <f t="shared" si="0"/>
        <v>51.4313780522032</v>
      </c>
      <c r="G21" s="155">
        <f t="shared" si="0"/>
        <v>14.349146996961906</v>
      </c>
      <c r="H21" s="155">
        <f t="shared" si="1"/>
        <v>60.047712601740102</v>
      </c>
      <c r="I21" s="443">
        <v>67.5</v>
      </c>
      <c r="J21" s="443">
        <v>53.1</v>
      </c>
    </row>
    <row r="22" spans="1:10">
      <c r="A22" s="297">
        <v>1994</v>
      </c>
      <c r="B22" s="442">
        <v>716.5</v>
      </c>
      <c r="C22" s="442">
        <v>430.7</v>
      </c>
      <c r="D22" s="442">
        <v>372.6</v>
      </c>
      <c r="E22" s="442">
        <v>58.1</v>
      </c>
      <c r="F22" s="155">
        <f t="shared" si="0"/>
        <v>52.00279134682485</v>
      </c>
      <c r="G22" s="155">
        <f t="shared" si="0"/>
        <v>13.489667982354309</v>
      </c>
      <c r="H22" s="155">
        <f t="shared" si="1"/>
        <v>60.11165387299372</v>
      </c>
      <c r="I22" s="443">
        <v>67.599999999999994</v>
      </c>
      <c r="J22" s="443">
        <v>53.2</v>
      </c>
    </row>
    <row r="23" spans="1:10">
      <c r="A23" s="297">
        <v>1995</v>
      </c>
      <c r="B23" s="442">
        <v>720.2</v>
      </c>
      <c r="C23" s="442">
        <v>427.9</v>
      </c>
      <c r="D23" s="442">
        <v>375.9</v>
      </c>
      <c r="E23" s="442">
        <v>52</v>
      </c>
      <c r="F23" s="155">
        <f t="shared" si="0"/>
        <v>52.193835045820606</v>
      </c>
      <c r="G23" s="155">
        <f t="shared" si="0"/>
        <v>12.152372049544287</v>
      </c>
      <c r="H23" s="155">
        <f t="shared" si="1"/>
        <v>59.41405165231879</v>
      </c>
      <c r="I23" s="443">
        <v>67.5</v>
      </c>
      <c r="J23" s="443">
        <v>51.9</v>
      </c>
    </row>
    <row r="24" spans="1:10">
      <c r="A24" s="297">
        <v>1996</v>
      </c>
      <c r="B24" s="442">
        <v>724.7</v>
      </c>
      <c r="C24" s="442">
        <v>430.1</v>
      </c>
      <c r="D24" s="442">
        <v>376.9</v>
      </c>
      <c r="E24" s="442">
        <v>53.2</v>
      </c>
      <c r="F24" s="155">
        <f t="shared" si="0"/>
        <v>52.007727335449147</v>
      </c>
      <c r="G24" s="155">
        <f t="shared" si="0"/>
        <v>12.369216461288072</v>
      </c>
      <c r="H24" s="155">
        <f t="shared" si="1"/>
        <v>59.348696012142952</v>
      </c>
      <c r="I24" s="443">
        <v>66.900000000000006</v>
      </c>
      <c r="J24" s="443">
        <v>52.4</v>
      </c>
    </row>
    <row r="25" spans="1:10">
      <c r="A25" s="297">
        <v>1997</v>
      </c>
      <c r="B25" s="442">
        <v>728.3</v>
      </c>
      <c r="C25" s="442">
        <v>435.1</v>
      </c>
      <c r="D25" s="442">
        <v>382</v>
      </c>
      <c r="E25" s="442">
        <v>53.1</v>
      </c>
      <c r="F25" s="155">
        <f t="shared" si="0"/>
        <v>52.450913085267061</v>
      </c>
      <c r="G25" s="155">
        <f t="shared" si="0"/>
        <v>12.204091013560101</v>
      </c>
      <c r="H25" s="155">
        <f t="shared" si="1"/>
        <v>59.741864616229577</v>
      </c>
      <c r="I25" s="443">
        <v>66.8</v>
      </c>
      <c r="J25" s="443">
        <v>53.2</v>
      </c>
    </row>
    <row r="26" spans="1:10">
      <c r="A26" s="297">
        <v>1998</v>
      </c>
      <c r="B26" s="442">
        <v>730.8</v>
      </c>
      <c r="C26" s="442">
        <v>441.8</v>
      </c>
      <c r="D26" s="442">
        <v>395.3</v>
      </c>
      <c r="E26" s="442">
        <v>46.6</v>
      </c>
      <c r="F26" s="155">
        <f t="shared" si="0"/>
        <v>54.091406677613577</v>
      </c>
      <c r="G26" s="155">
        <f t="shared" si="0"/>
        <v>10.547759167043912</v>
      </c>
      <c r="H26" s="155">
        <f t="shared" si="1"/>
        <v>60.454296661193219</v>
      </c>
      <c r="I26" s="443">
        <v>67.599999999999994</v>
      </c>
      <c r="J26" s="443">
        <v>53.8</v>
      </c>
    </row>
    <row r="27" spans="1:10">
      <c r="A27" s="297">
        <v>1999</v>
      </c>
      <c r="B27" s="442">
        <v>735</v>
      </c>
      <c r="C27" s="442">
        <v>446.8</v>
      </c>
      <c r="D27" s="442">
        <v>404</v>
      </c>
      <c r="E27" s="442">
        <v>42.9</v>
      </c>
      <c r="F27" s="155">
        <f t="shared" si="0"/>
        <v>54.965986394557817</v>
      </c>
      <c r="G27" s="155">
        <f t="shared" si="0"/>
        <v>9.6016114592658912</v>
      </c>
      <c r="H27" s="155">
        <f t="shared" si="1"/>
        <v>60.789115646258509</v>
      </c>
      <c r="I27" s="443">
        <v>67.400000000000006</v>
      </c>
      <c r="J27" s="443">
        <v>54.7</v>
      </c>
    </row>
    <row r="28" spans="1:10">
      <c r="A28" s="297">
        <v>2000</v>
      </c>
      <c r="B28" s="442">
        <v>739.2</v>
      </c>
      <c r="C28" s="442">
        <v>452.8</v>
      </c>
      <c r="D28" s="442">
        <v>411.4</v>
      </c>
      <c r="E28" s="442">
        <v>41.4</v>
      </c>
      <c r="F28" s="155">
        <f t="shared" si="0"/>
        <v>55.654761904761898</v>
      </c>
      <c r="G28" s="155">
        <f t="shared" si="0"/>
        <v>9.1431095406360416</v>
      </c>
      <c r="H28" s="155">
        <f t="shared" si="1"/>
        <v>61.255411255411254</v>
      </c>
      <c r="I28" s="443">
        <v>67.3</v>
      </c>
      <c r="J28" s="443">
        <v>55.6</v>
      </c>
    </row>
    <row r="29" spans="1:10">
      <c r="A29" s="297">
        <v>2001</v>
      </c>
      <c r="B29" s="442">
        <v>742.6</v>
      </c>
      <c r="C29" s="442">
        <v>460</v>
      </c>
      <c r="D29" s="442">
        <v>415.2</v>
      </c>
      <c r="E29" s="442">
        <v>44.8</v>
      </c>
      <c r="F29" s="155">
        <f t="shared" si="0"/>
        <v>55.911661729060057</v>
      </c>
      <c r="G29" s="155">
        <f t="shared" si="0"/>
        <v>9.7391304347826093</v>
      </c>
      <c r="H29" s="155">
        <f t="shared" si="1"/>
        <v>61.944519256665764</v>
      </c>
      <c r="I29" s="443">
        <v>67.599999999999994</v>
      </c>
      <c r="J29" s="443">
        <v>56.7</v>
      </c>
    </row>
    <row r="30" spans="1:10">
      <c r="A30" s="297">
        <v>2002</v>
      </c>
      <c r="B30" s="442">
        <v>747.5</v>
      </c>
      <c r="C30" s="442">
        <v>467.7</v>
      </c>
      <c r="D30" s="442">
        <v>422.9</v>
      </c>
      <c r="E30" s="442">
        <v>44.8</v>
      </c>
      <c r="F30" s="155">
        <f t="shared" si="0"/>
        <v>56.575250836120397</v>
      </c>
      <c r="G30" s="155">
        <f t="shared" si="0"/>
        <v>9.5787898225358123</v>
      </c>
      <c r="H30" s="155">
        <f t="shared" si="1"/>
        <v>62.568561872909697</v>
      </c>
      <c r="I30" s="443">
        <v>67.900000000000006</v>
      </c>
      <c r="J30" s="443">
        <v>57.6</v>
      </c>
    </row>
    <row r="31" spans="1:10">
      <c r="A31" s="297">
        <v>2003</v>
      </c>
      <c r="B31" s="442">
        <v>752.7</v>
      </c>
      <c r="C31" s="442">
        <v>474.6</v>
      </c>
      <c r="D31" s="442">
        <v>431.2</v>
      </c>
      <c r="E31" s="442">
        <v>43.4</v>
      </c>
      <c r="F31" s="155">
        <f t="shared" si="0"/>
        <v>57.287099774146398</v>
      </c>
      <c r="G31" s="155">
        <f t="shared" si="0"/>
        <v>9.1445427728613566</v>
      </c>
      <c r="H31" s="155">
        <f t="shared" si="1"/>
        <v>63.053009166998805</v>
      </c>
      <c r="I31" s="443">
        <v>68.5</v>
      </c>
      <c r="J31" s="443">
        <v>57.9</v>
      </c>
    </row>
    <row r="32" spans="1:10">
      <c r="A32" s="297">
        <v>2004</v>
      </c>
      <c r="B32" s="442">
        <v>757.1</v>
      </c>
      <c r="C32" s="442">
        <v>485</v>
      </c>
      <c r="D32" s="442">
        <v>442.2</v>
      </c>
      <c r="E32" s="442">
        <v>42.8</v>
      </c>
      <c r="F32" s="155">
        <f t="shared" si="0"/>
        <v>58.407079646017699</v>
      </c>
      <c r="G32" s="155">
        <f t="shared" si="0"/>
        <v>8.8247422680412377</v>
      </c>
      <c r="H32" s="155">
        <f t="shared" si="1"/>
        <v>64.060229824329667</v>
      </c>
      <c r="I32" s="443">
        <v>69.599999999999994</v>
      </c>
      <c r="J32" s="443">
        <v>58.9</v>
      </c>
    </row>
    <row r="33" spans="1:10">
      <c r="A33" s="297">
        <v>2005</v>
      </c>
      <c r="B33" s="442">
        <v>760.7</v>
      </c>
      <c r="C33" s="442">
        <v>483.9</v>
      </c>
      <c r="D33" s="442">
        <v>443.1</v>
      </c>
      <c r="E33" s="442">
        <v>40.799999999999997</v>
      </c>
      <c r="F33" s="155">
        <f t="shared" ref="F33:G36" si="2">D33/B33*100</f>
        <v>58.248981201524906</v>
      </c>
      <c r="G33" s="155">
        <f t="shared" si="2"/>
        <v>8.4314941103533787</v>
      </c>
      <c r="H33" s="155">
        <f>C33/B33*100</f>
        <v>63.612462205863018</v>
      </c>
      <c r="I33" s="443">
        <v>68.599999999999994</v>
      </c>
      <c r="J33" s="443">
        <v>58.9</v>
      </c>
    </row>
    <row r="34" spans="1:10">
      <c r="A34" s="297">
        <v>2006</v>
      </c>
      <c r="B34" s="442">
        <v>762.8</v>
      </c>
      <c r="C34" s="442">
        <v>480</v>
      </c>
      <c r="D34" s="442">
        <v>441.8</v>
      </c>
      <c r="E34" s="442">
        <v>38.1</v>
      </c>
      <c r="F34" s="155">
        <f t="shared" si="2"/>
        <v>57.918196119559518</v>
      </c>
      <c r="G34" s="155">
        <f t="shared" si="2"/>
        <v>7.9375</v>
      </c>
      <c r="H34" s="155">
        <f>C34/B34*100</f>
        <v>62.926061877294181</v>
      </c>
      <c r="I34" s="443">
        <v>67.400000000000006</v>
      </c>
      <c r="J34" s="443">
        <v>58.8</v>
      </c>
    </row>
    <row r="35" spans="1:10">
      <c r="A35" s="297">
        <v>2007</v>
      </c>
      <c r="B35" s="442">
        <v>764.3</v>
      </c>
      <c r="C35" s="442">
        <v>486.7</v>
      </c>
      <c r="D35" s="442">
        <v>447.6</v>
      </c>
      <c r="E35" s="442">
        <v>39.1</v>
      </c>
      <c r="F35" s="155">
        <f t="shared" si="2"/>
        <v>58.563391338479661</v>
      </c>
      <c r="G35" s="155">
        <f t="shared" si="2"/>
        <v>8.033696322169714</v>
      </c>
      <c r="H35" s="155">
        <f>C35/B35*100</f>
        <v>63.67918356666231</v>
      </c>
      <c r="I35" s="443">
        <v>67.8</v>
      </c>
      <c r="J35" s="443">
        <v>59.8</v>
      </c>
    </row>
    <row r="36" spans="1:10">
      <c r="A36" s="297">
        <v>2008</v>
      </c>
      <c r="B36" s="442">
        <v>768.6</v>
      </c>
      <c r="C36" s="442">
        <v>491</v>
      </c>
      <c r="D36" s="442">
        <v>453.2</v>
      </c>
      <c r="E36" s="442">
        <v>37.799999999999997</v>
      </c>
      <c r="F36" s="155">
        <f t="shared" si="2"/>
        <v>58.964350767629448</v>
      </c>
      <c r="G36" s="155">
        <f t="shared" si="2"/>
        <v>7.6985743380855398</v>
      </c>
      <c r="H36" s="155">
        <f>C36/B36*100</f>
        <v>63.882383554514696</v>
      </c>
      <c r="I36" s="443">
        <v>68</v>
      </c>
      <c r="J36" s="443">
        <v>60</v>
      </c>
    </row>
    <row r="37" spans="1:10">
      <c r="A37" s="1109"/>
      <c r="B37" s="298" t="s">
        <v>802</v>
      </c>
      <c r="C37" s="298"/>
      <c r="D37" s="298"/>
      <c r="E37" s="298"/>
      <c r="F37" s="298" t="s">
        <v>655</v>
      </c>
      <c r="G37" s="298"/>
      <c r="H37" s="298"/>
      <c r="I37" s="298"/>
      <c r="J37" s="298"/>
    </row>
    <row r="38" spans="1:10">
      <c r="A38" s="297" t="s">
        <v>603</v>
      </c>
      <c r="B38" s="159">
        <f>(POWER(B17/B9, 1/8)-1)*100</f>
        <v>1.1060560591845903</v>
      </c>
      <c r="C38" s="159">
        <f>(POWER(C17/C9, 1/8)-1)*100</f>
        <v>1.8765383845171568</v>
      </c>
      <c r="D38" s="159">
        <f>(POWER(D17/D9, 1/8)-1)*100</f>
        <v>1.8983579092757941</v>
      </c>
      <c r="E38" s="159">
        <f>(POWER(E17/E9, 1/8)-1)*100</f>
        <v>1.7136721655649056</v>
      </c>
      <c r="F38" s="156">
        <f>F17-F9</f>
        <v>3.3435748521334929</v>
      </c>
      <c r="G38" s="156">
        <f>G17-G9</f>
        <v>-0.1269007920225782</v>
      </c>
      <c r="H38" s="156">
        <f>H17-H9</f>
        <v>3.6102537622294548</v>
      </c>
      <c r="I38" s="156">
        <f>I17-I9</f>
        <v>0.29999999999999716</v>
      </c>
      <c r="J38" s="156">
        <f>J17-J9</f>
        <v>6.7000000000000028</v>
      </c>
    </row>
    <row r="39" spans="1:10">
      <c r="A39" s="297" t="s">
        <v>604</v>
      </c>
      <c r="B39" s="159">
        <f>(POWER(B28/B17, 1/11)-1)*100</f>
        <v>0.61619457788799625</v>
      </c>
      <c r="C39" s="159">
        <f>(POWER(C28/C17, 1/11)-1)*100</f>
        <v>0.61432820621865059</v>
      </c>
      <c r="D39" s="159">
        <f>(POWER(D28/D17, 1/11)-1)*100</f>
        <v>0.68591476289183717</v>
      </c>
      <c r="E39" s="159">
        <f>(POWER(E28/E17, 1/11)-1)*100</f>
        <v>-6.561708051251447E-2</v>
      </c>
      <c r="F39" s="156">
        <f>F28-F17</f>
        <v>0.42245621652915588</v>
      </c>
      <c r="G39" s="156">
        <f>G28-G17</f>
        <v>-0.70805984277997602</v>
      </c>
      <c r="H39" s="156">
        <f>H28-H17</f>
        <v>-1.2500164475859776E-2</v>
      </c>
      <c r="I39" s="156">
        <f>I28-I17</f>
        <v>-3.7000000000000028</v>
      </c>
      <c r="J39" s="156">
        <f>J28-J17</f>
        <v>3.3999999999999986</v>
      </c>
    </row>
    <row r="40" spans="1:10">
      <c r="A40" s="297" t="s">
        <v>808</v>
      </c>
      <c r="B40" s="159">
        <f>(POWER(B33/B9, 1/24)-1)*100</f>
        <v>0.77063205892042852</v>
      </c>
      <c r="C40" s="159">
        <f>(POWER(C33/C9, 1/24)-1)*100</f>
        <v>1.1841605505725106</v>
      </c>
      <c r="D40" s="159">
        <f>(POWER(D33/D9, 1/24)-1)*100</f>
        <v>1.2572867763794626</v>
      </c>
      <c r="E40" s="159">
        <f>(POWER(E33/E9, 1/24)-1)*100</f>
        <v>0.4766042738359344</v>
      </c>
      <c r="F40" s="156">
        <f>F33-F9</f>
        <v>6.3602503654256566</v>
      </c>
      <c r="G40" s="156">
        <f>G33-G9</f>
        <v>-1.5465760650852172</v>
      </c>
      <c r="H40" s="156">
        <f>H33-H9</f>
        <v>5.9548045482053595</v>
      </c>
      <c r="I40" s="156">
        <f>I33-I9</f>
        <v>-2.1000000000000085</v>
      </c>
      <c r="J40" s="156">
        <f>J33-J9</f>
        <v>13.399999999999999</v>
      </c>
    </row>
    <row r="41" spans="1:10">
      <c r="A41" s="297" t="s">
        <v>819</v>
      </c>
      <c r="B41" s="159">
        <f>(POWER(B34/B9, 1/25)-1)*100</f>
        <v>0.75080248341770073</v>
      </c>
      <c r="C41" s="159">
        <f>(POWER(C34/C9, 1/25)-1)*100</f>
        <v>1.1037947373573109</v>
      </c>
      <c r="D41" s="159">
        <f>(POWER(D34/D9, 1/25)-1)*100</f>
        <v>1.1947992423794851</v>
      </c>
      <c r="E41" s="159">
        <f>(POWER(E34/E9, 1/25)-1)*100</f>
        <v>0.18274881243767194</v>
      </c>
      <c r="F41" s="156">
        <f>F34-F9</f>
        <v>6.0294652834602687</v>
      </c>
      <c r="G41" s="156">
        <f>G34-G9</f>
        <v>-2.0405701754385959</v>
      </c>
      <c r="H41" s="156">
        <f>H34-H9</f>
        <v>5.2684042196365226</v>
      </c>
      <c r="I41" s="156">
        <f>I34-I9</f>
        <v>-3.2999999999999972</v>
      </c>
      <c r="J41" s="156">
        <f>J34-J9</f>
        <v>13.299999999999997</v>
      </c>
    </row>
    <row r="42" spans="1:10">
      <c r="A42" s="297" t="s">
        <v>447</v>
      </c>
      <c r="B42" s="159">
        <f>(POWER(B35/B9, 1/26)-1)*100</f>
        <v>0.72943212834957194</v>
      </c>
      <c r="C42" s="159">
        <f>(POWER(C35/C9, 1/26)-1)*100</f>
        <v>1.1150114221777807</v>
      </c>
      <c r="D42" s="159">
        <f>(POWER(D35/D9, 1/26)-1)*100</f>
        <v>1.1993356219742957</v>
      </c>
      <c r="E42" s="159">
        <f>(POWER(E35/E9, 1/26)-1)*100</f>
        <v>0.2755855497814208</v>
      </c>
      <c r="F42" s="156">
        <f>F35-F9</f>
        <v>6.6746605023804122</v>
      </c>
      <c r="G42" s="156">
        <f>G35-G9</f>
        <v>-1.9443738532688819</v>
      </c>
      <c r="H42" s="156">
        <f>H35-H9</f>
        <v>6.0215259090046516</v>
      </c>
      <c r="I42" s="156">
        <f>I35-I9</f>
        <v>-2.9000000000000057</v>
      </c>
      <c r="J42" s="156">
        <f>J35-J9</f>
        <v>14.299999999999997</v>
      </c>
    </row>
    <row r="43" spans="1:10">
      <c r="A43" s="297" t="s">
        <v>1408</v>
      </c>
      <c r="B43" s="159">
        <f>(POWER(B36/B9, 1/27)-1)*100</f>
        <v>0.72324846181950342</v>
      </c>
      <c r="C43" s="159">
        <f>(POWER(C36/C9, 1/27)-1)*100</f>
        <v>1.106427500357543</v>
      </c>
      <c r="D43" s="159">
        <f>(POWER(D36/D9, 1/27)-1)*100</f>
        <v>1.2012529810133898</v>
      </c>
      <c r="E43" s="159">
        <f>(POWER(E36/E9, 1/27)-1)*100</f>
        <v>0.13987672889581582</v>
      </c>
      <c r="F43" s="156">
        <f>F36-F9</f>
        <v>7.0756199315301984</v>
      </c>
      <c r="G43" s="156">
        <f>G36-G9</f>
        <v>-2.2794958373530561</v>
      </c>
      <c r="H43" s="156">
        <f>H36-H9</f>
        <v>6.2247258968570378</v>
      </c>
      <c r="I43" s="156">
        <f>I36-I9</f>
        <v>-2.7000000000000028</v>
      </c>
      <c r="J43" s="156">
        <f>J36-J9</f>
        <v>14.5</v>
      </c>
    </row>
    <row r="44" spans="1:10">
      <c r="A44" s="297" t="s">
        <v>449</v>
      </c>
      <c r="B44" s="159">
        <f>(POWER(B35/B28, 1/7)-1)*100</f>
        <v>0.47816618207456862</v>
      </c>
      <c r="C44" s="159">
        <f>(POWER(C35/C28, 1/7)-1)*100</f>
        <v>1.036728458184788</v>
      </c>
      <c r="D44" s="159">
        <f>(POWER(D35/D28, 1/7)-1)*100</f>
        <v>1.2120580211583132</v>
      </c>
      <c r="E44" s="159">
        <f>(POWER(E35/E28, 1/7)-1)*100</f>
        <v>-0.81322406511109557</v>
      </c>
      <c r="F44" s="156">
        <f>F35-F28</f>
        <v>2.9086294337177634</v>
      </c>
      <c r="G44" s="156">
        <f>G35-G28</f>
        <v>-1.1094132184663277</v>
      </c>
      <c r="H44" s="156">
        <f>H35-H28</f>
        <v>2.4237723112510565</v>
      </c>
      <c r="I44" s="156">
        <f>I35-I28</f>
        <v>0.5</v>
      </c>
      <c r="J44" s="156">
        <f>J35-J28</f>
        <v>4.1999999999999957</v>
      </c>
    </row>
    <row r="45" spans="1:10">
      <c r="A45" s="297" t="s">
        <v>1410</v>
      </c>
      <c r="B45" s="159">
        <f>(POWER(B36/B28, 1/8)-1)*100</f>
        <v>0.48871731891937387</v>
      </c>
      <c r="C45" s="159">
        <f>(POWER(C36/C28, 1/8)-1)*100</f>
        <v>1.0175623219922825</v>
      </c>
      <c r="D45" s="159">
        <f>(POWER(D36/D28, 1/8)-1)*100</f>
        <v>1.216939577987497</v>
      </c>
      <c r="E45" s="159">
        <f>(POWER(E36/E28, 1/8)-1)*100</f>
        <v>-1.1307061464626567</v>
      </c>
      <c r="F45" s="156">
        <f>F36-F28</f>
        <v>3.3095888628675496</v>
      </c>
      <c r="G45" s="156">
        <f>G36-G28</f>
        <v>-1.4445352025505018</v>
      </c>
      <c r="H45" s="156">
        <f>H36-H28</f>
        <v>2.6269722991034428</v>
      </c>
      <c r="I45" s="156">
        <f>I36-I28</f>
        <v>0.70000000000000284</v>
      </c>
      <c r="J45" s="156">
        <f>J36-J28</f>
        <v>4.3999999999999986</v>
      </c>
    </row>
    <row r="46" spans="1:10">
      <c r="A46" s="1254" t="s">
        <v>1559</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3" orientation="portrait" horizontalDpi="4294967292" verticalDpi="0" r:id="rId1"/>
  <headerFooter alignWithMargins="0"/>
</worksheet>
</file>

<file path=xl/worksheets/sheet145.xml><?xml version="1.0" encoding="utf-8"?>
<worksheet xmlns="http://schemas.openxmlformats.org/spreadsheetml/2006/main" xmlns:r="http://schemas.openxmlformats.org/officeDocument/2006/relationships">
  <sheetPr codeName="Sheet116">
    <pageSetUpPr fitToPage="1"/>
  </sheetPr>
  <dimension ref="A1:J49"/>
  <sheetViews>
    <sheetView view="pageBreakPreview" zoomScale="55" zoomScaleSheetLayoutView="55"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7109375" style="149" customWidth="1"/>
    <col min="2" max="2" width="10.28515625" style="149" customWidth="1"/>
    <col min="3" max="3" width="9" style="149" customWidth="1"/>
    <col min="4" max="4" width="10.7109375" style="149" customWidth="1"/>
    <col min="5" max="5" width="13.140625" style="149" customWidth="1"/>
    <col min="6" max="6" width="10.28515625" style="149" customWidth="1"/>
    <col min="7" max="7" width="13.140625" style="149" customWidth="1"/>
    <col min="8" max="8" width="10.85546875" style="149" customWidth="1"/>
    <col min="9" max="9" width="11.140625" style="149" customWidth="1"/>
    <col min="10" max="10" width="11.42578125" style="149" customWidth="1"/>
    <col min="11" max="16384" width="9.140625" style="149"/>
  </cols>
  <sheetData>
    <row r="1" spans="1:10" ht="18.600000000000001" customHeight="1">
      <c r="A1" s="1138" t="s">
        <v>1838</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481.9</v>
      </c>
      <c r="C4" s="442">
        <v>259.60000000000002</v>
      </c>
      <c r="D4" s="442">
        <v>231.1</v>
      </c>
      <c r="E4" s="442">
        <v>28.5</v>
      </c>
      <c r="F4" s="155">
        <f t="shared" ref="F4:G32" si="0">D4/B4*100</f>
        <v>47.956007470429554</v>
      </c>
      <c r="G4" s="155">
        <f t="shared" si="0"/>
        <v>10.978428351309706</v>
      </c>
      <c r="H4" s="155">
        <f t="shared" ref="H4:H32" si="1">C4/B4*100</f>
        <v>53.870097530608021</v>
      </c>
      <c r="I4" s="443">
        <v>69.5</v>
      </c>
      <c r="J4" s="443">
        <v>38.6</v>
      </c>
    </row>
    <row r="5" spans="1:10">
      <c r="A5" s="297">
        <v>1977</v>
      </c>
      <c r="B5" s="442">
        <v>490.8</v>
      </c>
      <c r="C5" s="442">
        <v>263.3</v>
      </c>
      <c r="D5" s="442">
        <v>228.3</v>
      </c>
      <c r="E5" s="442">
        <v>35</v>
      </c>
      <c r="F5" s="155">
        <f t="shared" si="0"/>
        <v>46.515892420537895</v>
      </c>
      <c r="G5" s="155">
        <f t="shared" si="0"/>
        <v>13.292821876186858</v>
      </c>
      <c r="H5" s="155">
        <f t="shared" si="1"/>
        <v>53.64710676446618</v>
      </c>
      <c r="I5" s="443">
        <v>69.3</v>
      </c>
      <c r="J5" s="443">
        <v>38.299999999999997</v>
      </c>
    </row>
    <row r="6" spans="1:10">
      <c r="A6" s="297">
        <v>1978</v>
      </c>
      <c r="B6" s="442">
        <v>498.6</v>
      </c>
      <c r="C6" s="442">
        <v>273.3</v>
      </c>
      <c r="D6" s="442">
        <v>239.3</v>
      </c>
      <c r="E6" s="442">
        <v>34</v>
      </c>
      <c r="F6" s="155">
        <f t="shared" si="0"/>
        <v>47.99438427597272</v>
      </c>
      <c r="G6" s="155">
        <f t="shared" si="0"/>
        <v>12.440541529454812</v>
      </c>
      <c r="H6" s="155">
        <f t="shared" si="1"/>
        <v>54.813477737665458</v>
      </c>
      <c r="I6" s="443">
        <v>69.599999999999994</v>
      </c>
      <c r="J6" s="443">
        <v>40.4</v>
      </c>
    </row>
    <row r="7" spans="1:10">
      <c r="A7" s="297">
        <v>1979</v>
      </c>
      <c r="B7" s="442">
        <v>506.3</v>
      </c>
      <c r="C7" s="442">
        <v>280.7</v>
      </c>
      <c r="D7" s="442">
        <v>250.1</v>
      </c>
      <c r="E7" s="442">
        <v>30.6</v>
      </c>
      <c r="F7" s="155">
        <f t="shared" si="0"/>
        <v>49.397590361445779</v>
      </c>
      <c r="G7" s="155">
        <f t="shared" si="0"/>
        <v>10.901318133238334</v>
      </c>
      <c r="H7" s="155">
        <f t="shared" si="1"/>
        <v>55.441437882678244</v>
      </c>
      <c r="I7" s="443">
        <v>69.8</v>
      </c>
      <c r="J7" s="443">
        <v>41.4</v>
      </c>
    </row>
    <row r="8" spans="1:10">
      <c r="A8" s="297">
        <v>1980</v>
      </c>
      <c r="B8" s="442">
        <v>513.1</v>
      </c>
      <c r="C8" s="442">
        <v>285.7</v>
      </c>
      <c r="D8" s="442">
        <v>253.9</v>
      </c>
      <c r="E8" s="442">
        <v>31.8</v>
      </c>
      <c r="F8" s="155">
        <f t="shared" si="0"/>
        <v>49.483531475345934</v>
      </c>
      <c r="G8" s="155">
        <f t="shared" si="0"/>
        <v>11.130556527826393</v>
      </c>
      <c r="H8" s="155">
        <f t="shared" si="1"/>
        <v>55.681153771194694</v>
      </c>
      <c r="I8" s="443">
        <v>69.2</v>
      </c>
      <c r="J8" s="443">
        <v>42.7</v>
      </c>
    </row>
    <row r="9" spans="1:10">
      <c r="A9" s="297">
        <v>1981</v>
      </c>
      <c r="B9" s="442">
        <v>517</v>
      </c>
      <c r="C9" s="442">
        <v>291.39999999999998</v>
      </c>
      <c r="D9" s="442">
        <v>257.7</v>
      </c>
      <c r="E9" s="442">
        <v>33.700000000000003</v>
      </c>
      <c r="F9" s="155">
        <f t="shared" si="0"/>
        <v>49.845261121856865</v>
      </c>
      <c r="G9" s="155">
        <f t="shared" si="0"/>
        <v>11.564859299931369</v>
      </c>
      <c r="H9" s="155">
        <f t="shared" si="1"/>
        <v>56.36363636363636</v>
      </c>
      <c r="I9" s="443">
        <v>69.2</v>
      </c>
      <c r="J9" s="443">
        <v>44</v>
      </c>
    </row>
    <row r="10" spans="1:10">
      <c r="A10" s="297">
        <v>1982</v>
      </c>
      <c r="B10" s="442">
        <v>522.20000000000005</v>
      </c>
      <c r="C10" s="442">
        <v>289</v>
      </c>
      <c r="D10" s="442">
        <v>248.4</v>
      </c>
      <c r="E10" s="442">
        <v>40.6</v>
      </c>
      <c r="F10" s="155">
        <f t="shared" si="0"/>
        <v>47.567981616238988</v>
      </c>
      <c r="G10" s="155">
        <f t="shared" si="0"/>
        <v>14.048442906574396</v>
      </c>
      <c r="H10" s="155">
        <f t="shared" si="1"/>
        <v>55.342780543852918</v>
      </c>
      <c r="I10" s="443">
        <v>67.7</v>
      </c>
      <c r="J10" s="443">
        <v>43.5</v>
      </c>
    </row>
    <row r="11" spans="1:10">
      <c r="A11" s="297">
        <v>1983</v>
      </c>
      <c r="B11" s="442">
        <v>530.20000000000005</v>
      </c>
      <c r="C11" s="442">
        <v>295.3</v>
      </c>
      <c r="D11" s="442">
        <v>251.3</v>
      </c>
      <c r="E11" s="442">
        <v>43.9</v>
      </c>
      <c r="F11" s="155">
        <f t="shared" si="0"/>
        <v>47.397208600528103</v>
      </c>
      <c r="G11" s="155">
        <f t="shared" si="0"/>
        <v>14.866237724348119</v>
      </c>
      <c r="H11" s="155">
        <f t="shared" si="1"/>
        <v>55.695963787250093</v>
      </c>
      <c r="I11" s="443">
        <v>67.400000000000006</v>
      </c>
      <c r="J11" s="443">
        <v>44.4</v>
      </c>
    </row>
    <row r="12" spans="1:10">
      <c r="A12" s="297">
        <v>1984</v>
      </c>
      <c r="B12" s="442">
        <v>537.5</v>
      </c>
      <c r="C12" s="442">
        <v>298.8</v>
      </c>
      <c r="D12" s="442">
        <v>255.2</v>
      </c>
      <c r="E12" s="442">
        <v>43.6</v>
      </c>
      <c r="F12" s="155">
        <f t="shared" si="0"/>
        <v>47.479069767441857</v>
      </c>
      <c r="G12" s="155">
        <f t="shared" si="0"/>
        <v>14.591700133868809</v>
      </c>
      <c r="H12" s="155">
        <f t="shared" si="1"/>
        <v>55.590697674418607</v>
      </c>
      <c r="I12" s="443">
        <v>67</v>
      </c>
      <c r="J12" s="443">
        <v>44.6</v>
      </c>
    </row>
    <row r="13" spans="1:10">
      <c r="A13" s="297">
        <v>1985</v>
      </c>
      <c r="B13" s="442">
        <v>543</v>
      </c>
      <c r="C13" s="442">
        <v>308.7</v>
      </c>
      <c r="D13" s="442">
        <v>261.7</v>
      </c>
      <c r="E13" s="442">
        <v>47</v>
      </c>
      <c r="F13" s="155">
        <f t="shared" si="0"/>
        <v>48.195211786372006</v>
      </c>
      <c r="G13" s="155">
        <f t="shared" si="0"/>
        <v>15.225137674117267</v>
      </c>
      <c r="H13" s="155">
        <f t="shared" si="1"/>
        <v>56.850828729281766</v>
      </c>
      <c r="I13" s="443">
        <v>67.7</v>
      </c>
      <c r="J13" s="443">
        <v>46.4</v>
      </c>
    </row>
    <row r="14" spans="1:10">
      <c r="A14" s="297">
        <v>1986</v>
      </c>
      <c r="B14" s="442">
        <v>547.20000000000005</v>
      </c>
      <c r="C14" s="442">
        <v>316.2</v>
      </c>
      <c r="D14" s="442">
        <v>270.60000000000002</v>
      </c>
      <c r="E14" s="442">
        <v>45.6</v>
      </c>
      <c r="F14" s="155">
        <f t="shared" si="0"/>
        <v>49.451754385964911</v>
      </c>
      <c r="G14" s="155">
        <f t="shared" si="0"/>
        <v>14.421252371916509</v>
      </c>
      <c r="H14" s="155">
        <f t="shared" si="1"/>
        <v>57.785087719298232</v>
      </c>
      <c r="I14" s="443">
        <v>68.3</v>
      </c>
      <c r="J14" s="443">
        <v>47.7</v>
      </c>
    </row>
    <row r="15" spans="1:10">
      <c r="A15" s="297">
        <v>1987</v>
      </c>
      <c r="B15" s="442">
        <v>551.9</v>
      </c>
      <c r="C15" s="442">
        <v>323</v>
      </c>
      <c r="D15" s="442">
        <v>280.3</v>
      </c>
      <c r="E15" s="442">
        <v>42.7</v>
      </c>
      <c r="F15" s="155">
        <f t="shared" si="0"/>
        <v>50.788186265627836</v>
      </c>
      <c r="G15" s="155">
        <f t="shared" si="0"/>
        <v>13.21981424148607</v>
      </c>
      <c r="H15" s="155">
        <f t="shared" si="1"/>
        <v>58.525095125928615</v>
      </c>
      <c r="I15" s="443">
        <v>68.400000000000006</v>
      </c>
      <c r="J15" s="443">
        <v>49</v>
      </c>
    </row>
    <row r="16" spans="1:10">
      <c r="A16" s="297">
        <v>1988</v>
      </c>
      <c r="B16" s="442">
        <v>556.79999999999995</v>
      </c>
      <c r="C16" s="442">
        <v>329.8</v>
      </c>
      <c r="D16" s="442">
        <v>291</v>
      </c>
      <c r="E16" s="442">
        <v>38.799999999999997</v>
      </c>
      <c r="F16" s="155">
        <f t="shared" si="0"/>
        <v>52.262931034482762</v>
      </c>
      <c r="G16" s="155">
        <f t="shared" si="0"/>
        <v>11.76470588235294</v>
      </c>
      <c r="H16" s="155">
        <f t="shared" si="1"/>
        <v>59.231321839080465</v>
      </c>
      <c r="I16" s="443">
        <v>68.5</v>
      </c>
      <c r="J16" s="443">
        <v>50.3</v>
      </c>
    </row>
    <row r="17" spans="1:10">
      <c r="A17" s="297">
        <v>1989</v>
      </c>
      <c r="B17" s="442">
        <v>562.6</v>
      </c>
      <c r="C17" s="442">
        <v>337.6</v>
      </c>
      <c r="D17" s="442">
        <v>296.8</v>
      </c>
      <c r="E17" s="442">
        <v>40.799999999999997</v>
      </c>
      <c r="F17" s="155">
        <f t="shared" si="0"/>
        <v>52.755065766086027</v>
      </c>
      <c r="G17" s="155">
        <f t="shared" si="0"/>
        <v>12.085308056872037</v>
      </c>
      <c r="H17" s="155">
        <f t="shared" si="1"/>
        <v>60.007109847138281</v>
      </c>
      <c r="I17" s="443">
        <v>68.5</v>
      </c>
      <c r="J17" s="443">
        <v>51.8</v>
      </c>
    </row>
    <row r="18" spans="1:10">
      <c r="A18" s="297">
        <v>1990</v>
      </c>
      <c r="B18" s="442">
        <v>569.1</v>
      </c>
      <c r="C18" s="442">
        <v>341.5</v>
      </c>
      <c r="D18" s="442">
        <v>300.3</v>
      </c>
      <c r="E18" s="442">
        <v>41.3</v>
      </c>
      <c r="F18" s="155">
        <f t="shared" si="0"/>
        <v>52.767527675276746</v>
      </c>
      <c r="G18" s="155">
        <f t="shared" si="0"/>
        <v>12.093704245973646</v>
      </c>
      <c r="H18" s="155">
        <f t="shared" si="1"/>
        <v>60.007028641714989</v>
      </c>
      <c r="I18" s="443">
        <v>68.400000000000006</v>
      </c>
      <c r="J18" s="443">
        <v>52</v>
      </c>
    </row>
    <row r="19" spans="1:10">
      <c r="A19" s="297">
        <v>1991</v>
      </c>
      <c r="B19" s="442">
        <v>575.5</v>
      </c>
      <c r="C19" s="442">
        <v>338.2</v>
      </c>
      <c r="D19" s="442">
        <v>295.2</v>
      </c>
      <c r="E19" s="442">
        <v>43</v>
      </c>
      <c r="F19" s="155">
        <f t="shared" si="0"/>
        <v>51.294526498696783</v>
      </c>
      <c r="G19" s="155">
        <f t="shared" si="0"/>
        <v>12.714370195150797</v>
      </c>
      <c r="H19" s="155">
        <f t="shared" si="1"/>
        <v>58.766290182450042</v>
      </c>
      <c r="I19" s="443">
        <v>66.900000000000006</v>
      </c>
      <c r="J19" s="443">
        <v>51</v>
      </c>
    </row>
    <row r="20" spans="1:10">
      <c r="A20" s="297">
        <v>1992</v>
      </c>
      <c r="B20" s="442">
        <v>579.70000000000005</v>
      </c>
      <c r="C20" s="442">
        <v>341.3</v>
      </c>
      <c r="D20" s="442">
        <v>296.89999999999998</v>
      </c>
      <c r="E20" s="442">
        <v>44.4</v>
      </c>
      <c r="F20" s="155">
        <f t="shared" si="0"/>
        <v>51.21614628255994</v>
      </c>
      <c r="G20" s="155">
        <f t="shared" si="0"/>
        <v>13.009082918253734</v>
      </c>
      <c r="H20" s="155">
        <f t="shared" si="1"/>
        <v>58.875280317405554</v>
      </c>
      <c r="I20" s="443">
        <v>66.099999999999994</v>
      </c>
      <c r="J20" s="443">
        <v>51.9</v>
      </c>
    </row>
    <row r="21" spans="1:10">
      <c r="A21" s="297">
        <v>1993</v>
      </c>
      <c r="B21" s="442">
        <v>582.20000000000005</v>
      </c>
      <c r="C21" s="442">
        <v>343.2</v>
      </c>
      <c r="D21" s="442">
        <v>299.89999999999998</v>
      </c>
      <c r="E21" s="442">
        <v>43.3</v>
      </c>
      <c r="F21" s="155">
        <f t="shared" si="0"/>
        <v>51.511508072827198</v>
      </c>
      <c r="G21" s="155">
        <f t="shared" si="0"/>
        <v>12.616550116550115</v>
      </c>
      <c r="H21" s="155">
        <f t="shared" si="1"/>
        <v>58.948814840261079</v>
      </c>
      <c r="I21" s="443">
        <v>66.099999999999994</v>
      </c>
      <c r="J21" s="443">
        <v>52.1</v>
      </c>
    </row>
    <row r="22" spans="1:10">
      <c r="A22" s="297">
        <v>1994</v>
      </c>
      <c r="B22" s="442">
        <v>584.70000000000005</v>
      </c>
      <c r="C22" s="442">
        <v>341.4</v>
      </c>
      <c r="D22" s="442">
        <v>298.60000000000002</v>
      </c>
      <c r="E22" s="442">
        <v>42.8</v>
      </c>
      <c r="F22" s="155">
        <f t="shared" si="0"/>
        <v>51.068924234650247</v>
      </c>
      <c r="G22" s="155">
        <f t="shared" si="0"/>
        <v>12.536613942589339</v>
      </c>
      <c r="H22" s="155">
        <f t="shared" si="1"/>
        <v>58.388917393535131</v>
      </c>
      <c r="I22" s="443">
        <v>66.400000000000006</v>
      </c>
      <c r="J22" s="443">
        <v>50.7</v>
      </c>
    </row>
    <row r="23" spans="1:10">
      <c r="A23" s="297">
        <v>1995</v>
      </c>
      <c r="B23" s="442">
        <v>587.20000000000005</v>
      </c>
      <c r="C23" s="442">
        <v>347.2</v>
      </c>
      <c r="D23" s="442">
        <v>307.5</v>
      </c>
      <c r="E23" s="442">
        <v>39.700000000000003</v>
      </c>
      <c r="F23" s="155">
        <f t="shared" si="0"/>
        <v>52.367166212534059</v>
      </c>
      <c r="G23" s="155">
        <f t="shared" si="0"/>
        <v>11.434331797235025</v>
      </c>
      <c r="H23" s="155">
        <f t="shared" si="1"/>
        <v>59.128065395095362</v>
      </c>
      <c r="I23" s="443">
        <v>65.8</v>
      </c>
      <c r="J23" s="443">
        <v>52.7</v>
      </c>
    </row>
    <row r="24" spans="1:10">
      <c r="A24" s="297">
        <v>1996</v>
      </c>
      <c r="B24" s="442">
        <v>590.29999999999995</v>
      </c>
      <c r="C24" s="442">
        <v>345.5</v>
      </c>
      <c r="D24" s="442">
        <v>305.5</v>
      </c>
      <c r="E24" s="442">
        <v>40</v>
      </c>
      <c r="F24" s="155">
        <f t="shared" si="0"/>
        <v>51.753345756395049</v>
      </c>
      <c r="G24" s="155">
        <f t="shared" si="0"/>
        <v>11.577424023154848</v>
      </c>
      <c r="H24" s="155">
        <f t="shared" si="1"/>
        <v>58.529561240047435</v>
      </c>
      <c r="I24" s="443">
        <v>65.2</v>
      </c>
      <c r="J24" s="443">
        <v>52.2</v>
      </c>
    </row>
    <row r="25" spans="1:10">
      <c r="A25" s="297">
        <v>1997</v>
      </c>
      <c r="B25" s="442">
        <v>592.9</v>
      </c>
      <c r="C25" s="442">
        <v>354.1</v>
      </c>
      <c r="D25" s="442">
        <v>309.10000000000002</v>
      </c>
      <c r="E25" s="442">
        <v>45</v>
      </c>
      <c r="F25" s="155">
        <f t="shared" si="0"/>
        <v>52.133580705009287</v>
      </c>
      <c r="G25" s="155">
        <f t="shared" si="0"/>
        <v>12.708274498729171</v>
      </c>
      <c r="H25" s="155">
        <f t="shared" si="1"/>
        <v>59.723393489627263</v>
      </c>
      <c r="I25" s="443">
        <v>66.900000000000006</v>
      </c>
      <c r="J25" s="443">
        <v>52.8</v>
      </c>
    </row>
    <row r="26" spans="1:10">
      <c r="A26" s="297">
        <v>1998</v>
      </c>
      <c r="B26" s="442">
        <v>593.70000000000005</v>
      </c>
      <c r="C26" s="442">
        <v>359.1</v>
      </c>
      <c r="D26" s="442">
        <v>315.2</v>
      </c>
      <c r="E26" s="442">
        <v>43.9</v>
      </c>
      <c r="F26" s="155">
        <f t="shared" si="0"/>
        <v>53.090786592555162</v>
      </c>
      <c r="G26" s="155">
        <f t="shared" si="0"/>
        <v>12.225006961849067</v>
      </c>
      <c r="H26" s="155">
        <f t="shared" si="1"/>
        <v>60.485093481556341</v>
      </c>
      <c r="I26" s="443">
        <v>66.900000000000006</v>
      </c>
      <c r="J26" s="443">
        <v>54.4</v>
      </c>
    </row>
    <row r="27" spans="1:10">
      <c r="A27" s="297">
        <v>1999</v>
      </c>
      <c r="B27" s="442">
        <v>595.9</v>
      </c>
      <c r="C27" s="442">
        <v>362.4</v>
      </c>
      <c r="D27" s="442">
        <v>325.5</v>
      </c>
      <c r="E27" s="442">
        <v>36.9</v>
      </c>
      <c r="F27" s="155">
        <f t="shared" si="0"/>
        <v>54.623258936063102</v>
      </c>
      <c r="G27" s="155">
        <f t="shared" si="0"/>
        <v>10.182119205298013</v>
      </c>
      <c r="H27" s="155">
        <f t="shared" si="1"/>
        <v>60.815573082732001</v>
      </c>
      <c r="I27" s="443">
        <v>67.3</v>
      </c>
      <c r="J27" s="443">
        <v>54.6</v>
      </c>
    </row>
    <row r="28" spans="1:10">
      <c r="A28" s="297">
        <v>2000</v>
      </c>
      <c r="B28" s="442">
        <v>598.29999999999995</v>
      </c>
      <c r="C28" s="442">
        <v>368</v>
      </c>
      <c r="D28" s="442">
        <v>331.2</v>
      </c>
      <c r="E28" s="442">
        <v>36.799999999999997</v>
      </c>
      <c r="F28" s="155">
        <f t="shared" si="0"/>
        <v>55.356844392445261</v>
      </c>
      <c r="G28" s="155">
        <f t="shared" si="0"/>
        <v>10</v>
      </c>
      <c r="H28" s="155">
        <f t="shared" si="1"/>
        <v>61.507604880494739</v>
      </c>
      <c r="I28" s="443">
        <v>67.7</v>
      </c>
      <c r="J28" s="443">
        <v>55.6</v>
      </c>
    </row>
    <row r="29" spans="1:10">
      <c r="A29" s="297">
        <v>2001</v>
      </c>
      <c r="B29" s="442">
        <v>600</v>
      </c>
      <c r="C29" s="442">
        <v>371.5</v>
      </c>
      <c r="D29" s="442">
        <v>330.1</v>
      </c>
      <c r="E29" s="442">
        <v>41.4</v>
      </c>
      <c r="F29" s="155">
        <f t="shared" si="0"/>
        <v>55.016666666666666</v>
      </c>
      <c r="G29" s="155">
        <f t="shared" si="0"/>
        <v>11.144010767160161</v>
      </c>
      <c r="H29" s="155">
        <f t="shared" si="1"/>
        <v>61.916666666666664</v>
      </c>
      <c r="I29" s="443">
        <v>67.8</v>
      </c>
      <c r="J29" s="443">
        <v>56.3</v>
      </c>
    </row>
    <row r="30" spans="1:10">
      <c r="A30" s="297">
        <v>2002</v>
      </c>
      <c r="B30" s="442">
        <v>602.4</v>
      </c>
      <c r="C30" s="442">
        <v>382</v>
      </c>
      <c r="D30" s="442">
        <v>343.1</v>
      </c>
      <c r="E30" s="442">
        <v>38.9</v>
      </c>
      <c r="F30" s="155">
        <f t="shared" si="0"/>
        <v>56.955511288180617</v>
      </c>
      <c r="G30" s="155">
        <f t="shared" si="0"/>
        <v>10.183246073298429</v>
      </c>
      <c r="H30" s="155">
        <f t="shared" si="1"/>
        <v>63.41301460823373</v>
      </c>
      <c r="I30" s="443">
        <v>68.7</v>
      </c>
      <c r="J30" s="443">
        <v>58.3</v>
      </c>
    </row>
    <row r="31" spans="1:10">
      <c r="A31" s="297">
        <v>2003</v>
      </c>
      <c r="B31" s="442">
        <v>605</v>
      </c>
      <c r="C31" s="442">
        <v>382.4</v>
      </c>
      <c r="D31" s="442">
        <v>343.1</v>
      </c>
      <c r="E31" s="442">
        <v>39.4</v>
      </c>
      <c r="F31" s="155">
        <f t="shared" si="0"/>
        <v>56.710743801652896</v>
      </c>
      <c r="G31" s="155">
        <f t="shared" si="0"/>
        <v>10.303347280334728</v>
      </c>
      <c r="H31" s="155">
        <f t="shared" si="1"/>
        <v>63.206611570247929</v>
      </c>
      <c r="I31" s="443">
        <v>68.5</v>
      </c>
      <c r="J31" s="443">
        <v>58.2</v>
      </c>
    </row>
    <row r="32" spans="1:10">
      <c r="A32" s="297">
        <v>2004</v>
      </c>
      <c r="B32" s="442">
        <v>607.6</v>
      </c>
      <c r="C32" s="442">
        <v>388</v>
      </c>
      <c r="D32" s="442">
        <v>350.1</v>
      </c>
      <c r="E32" s="442">
        <v>38</v>
      </c>
      <c r="F32" s="155">
        <f t="shared" si="0"/>
        <v>57.6201448321264</v>
      </c>
      <c r="G32" s="155">
        <f t="shared" si="0"/>
        <v>9.7938144329896915</v>
      </c>
      <c r="H32" s="155">
        <f t="shared" si="1"/>
        <v>63.857801184990123</v>
      </c>
      <c r="I32" s="443">
        <v>68.400000000000006</v>
      </c>
      <c r="J32" s="443">
        <v>59.6</v>
      </c>
    </row>
    <row r="33" spans="1:10">
      <c r="A33" s="297">
        <v>2005</v>
      </c>
      <c r="B33" s="442">
        <v>610.4</v>
      </c>
      <c r="C33" s="442">
        <v>388.2</v>
      </c>
      <c r="D33" s="442">
        <v>350.5</v>
      </c>
      <c r="E33" s="442">
        <v>37.700000000000003</v>
      </c>
      <c r="F33" s="155">
        <f t="shared" ref="F33:G36" si="2">D33/B33*100</f>
        <v>57.421363040629103</v>
      </c>
      <c r="G33" s="155">
        <f t="shared" si="2"/>
        <v>9.7114889232354464</v>
      </c>
      <c r="H33" s="155">
        <f>C33/B33*100</f>
        <v>63.597640891218873</v>
      </c>
      <c r="I33" s="443">
        <v>68.3</v>
      </c>
      <c r="J33" s="443">
        <v>59.2</v>
      </c>
    </row>
    <row r="34" spans="1:10">
      <c r="A34" s="297">
        <v>2006</v>
      </c>
      <c r="B34" s="442">
        <v>611.29999999999995</v>
      </c>
      <c r="C34" s="442">
        <v>389.6</v>
      </c>
      <c r="D34" s="442">
        <v>355.4</v>
      </c>
      <c r="E34" s="442">
        <v>34.200000000000003</v>
      </c>
      <c r="F34" s="155">
        <f t="shared" si="2"/>
        <v>58.13839358743661</v>
      </c>
      <c r="G34" s="155">
        <f t="shared" si="2"/>
        <v>8.7782340862422998</v>
      </c>
      <c r="H34" s="155">
        <f>C34/B34*100</f>
        <v>63.733027973171943</v>
      </c>
      <c r="I34" s="443">
        <v>68.3</v>
      </c>
      <c r="J34" s="443">
        <v>59.3</v>
      </c>
    </row>
    <row r="35" spans="1:10">
      <c r="A35" s="297">
        <v>2007</v>
      </c>
      <c r="B35" s="442">
        <v>613.20000000000005</v>
      </c>
      <c r="C35" s="442">
        <v>392.4</v>
      </c>
      <c r="D35" s="442">
        <v>362.8</v>
      </c>
      <c r="E35" s="442">
        <v>29.6</v>
      </c>
      <c r="F35" s="155">
        <f t="shared" si="2"/>
        <v>59.165035877364645</v>
      </c>
      <c r="G35" s="155">
        <f t="shared" si="2"/>
        <v>7.5433231396534159</v>
      </c>
      <c r="H35" s="155">
        <f>C35/B35*100</f>
        <v>63.992172211350287</v>
      </c>
      <c r="I35" s="443">
        <v>68.3</v>
      </c>
      <c r="J35" s="443">
        <v>59.9</v>
      </c>
    </row>
    <row r="36" spans="1:10">
      <c r="A36" s="297">
        <v>2008</v>
      </c>
      <c r="B36" s="442">
        <v>617.9</v>
      </c>
      <c r="C36" s="442">
        <v>400.6</v>
      </c>
      <c r="D36" s="442">
        <v>366.2</v>
      </c>
      <c r="E36" s="442">
        <v>34.4</v>
      </c>
      <c r="F36" s="155">
        <f t="shared" si="2"/>
        <v>59.265253277229327</v>
      </c>
      <c r="G36" s="155">
        <f t="shared" si="2"/>
        <v>8.5871193210184718</v>
      </c>
      <c r="H36" s="155">
        <f>C36/B36*100</f>
        <v>64.832497167826517</v>
      </c>
      <c r="I36" s="443">
        <v>69.2</v>
      </c>
      <c r="J36" s="443">
        <v>60.7</v>
      </c>
    </row>
    <row r="37" spans="1:10">
      <c r="A37" s="1109"/>
      <c r="B37" s="298" t="s">
        <v>802</v>
      </c>
      <c r="C37" s="298"/>
      <c r="D37" s="298"/>
      <c r="E37" s="298"/>
      <c r="F37" s="298" t="s">
        <v>655</v>
      </c>
      <c r="G37" s="298"/>
      <c r="H37" s="298"/>
      <c r="I37" s="298"/>
      <c r="J37" s="298"/>
    </row>
    <row r="38" spans="1:10">
      <c r="A38" s="297" t="s">
        <v>603</v>
      </c>
      <c r="B38" s="159">
        <f>(POWER(B17/B9, 1/8)-1)*100</f>
        <v>1.0621767363633738</v>
      </c>
      <c r="C38" s="159">
        <f>(POWER(C17/C9, 1/8)-1)*100</f>
        <v>1.8565850124814043</v>
      </c>
      <c r="D38" s="159">
        <f>(POWER(D17/D9, 1/8)-1)*100</f>
        <v>1.7814619816532984</v>
      </c>
      <c r="E38" s="159">
        <f>(POWER(E17/E9, 1/8)-1)*100</f>
        <v>2.4185876850674193</v>
      </c>
      <c r="F38" s="156">
        <f>F17-F9</f>
        <v>2.9098046442291619</v>
      </c>
      <c r="G38" s="156">
        <f>G17-G9</f>
        <v>0.52044875694066839</v>
      </c>
      <c r="H38" s="156">
        <f>H17-H9</f>
        <v>3.6434734835019214</v>
      </c>
      <c r="I38" s="156">
        <f>I17-I9</f>
        <v>-0.70000000000000284</v>
      </c>
      <c r="J38" s="156">
        <f>J17-J9</f>
        <v>7.7999999999999972</v>
      </c>
    </row>
    <row r="39" spans="1:10">
      <c r="A39" s="297" t="s">
        <v>604</v>
      </c>
      <c r="B39" s="159">
        <f>(POWER(B28/B17, 1/11)-1)*100</f>
        <v>0.5608706989396639</v>
      </c>
      <c r="C39" s="159">
        <f>(POWER(C28/C17, 1/11)-1)*100</f>
        <v>0.78690884816992046</v>
      </c>
      <c r="D39" s="159">
        <f>(POWER(D28/D17, 1/11)-1)*100</f>
        <v>1.0019306961928098</v>
      </c>
      <c r="E39" s="159">
        <f>(POWER(E28/E17, 1/11)-1)*100</f>
        <v>-0.93365265437532763</v>
      </c>
      <c r="F39" s="156">
        <f>F28-F17</f>
        <v>2.6017786263592342</v>
      </c>
      <c r="G39" s="156">
        <f>G28-G17</f>
        <v>-2.0853080568720372</v>
      </c>
      <c r="H39" s="156">
        <f>H28-H17</f>
        <v>1.500495033356458</v>
      </c>
      <c r="I39" s="156">
        <f>I28-I17</f>
        <v>-0.79999999999999716</v>
      </c>
      <c r="J39" s="156">
        <f>J28-J17</f>
        <v>3.8000000000000043</v>
      </c>
    </row>
    <row r="40" spans="1:10">
      <c r="A40" s="297" t="s">
        <v>808</v>
      </c>
      <c r="B40" s="159">
        <f>(POWER(B33/B9, 1/24)-1)*100</f>
        <v>0.69436463234779922</v>
      </c>
      <c r="C40" s="159">
        <f>(POWER(C33/C9, 1/24)-1)*100</f>
        <v>1.2022689134414177</v>
      </c>
      <c r="D40" s="159">
        <f>(POWER(D33/D9, 1/24)-1)*100</f>
        <v>1.2897657661395945</v>
      </c>
      <c r="E40" s="159">
        <f>(POWER(E33/E9, 1/24)-1)*100</f>
        <v>0.46843648726082598</v>
      </c>
      <c r="F40" s="156">
        <f>F33-F9</f>
        <v>7.5761019187722383</v>
      </c>
      <c r="G40" s="156">
        <f>G33-G9</f>
        <v>-1.8533703766959224</v>
      </c>
      <c r="H40" s="156">
        <f>H33-H9</f>
        <v>7.2340045275825133</v>
      </c>
      <c r="I40" s="156">
        <f>I33-I9</f>
        <v>-0.90000000000000568</v>
      </c>
      <c r="J40" s="156">
        <f>J33-J9</f>
        <v>15.200000000000003</v>
      </c>
    </row>
    <row r="41" spans="1:10">
      <c r="A41" s="297" t="s">
        <v>819</v>
      </c>
      <c r="B41" s="159">
        <f>(POWER(B34/B9, 1/25)-1)*100</f>
        <v>0.672430580433514</v>
      </c>
      <c r="C41" s="159">
        <f>(POWER(C34/C9, 1/25)-1)*100</f>
        <v>1.1684685902308978</v>
      </c>
      <c r="D41" s="159">
        <f>(POWER(D34/D9, 1/25)-1)*100</f>
        <v>1.2940930304762732</v>
      </c>
      <c r="E41" s="159">
        <f>(POWER(E34/E9, 1/25)-1)*100</f>
        <v>5.8928582912276539E-2</v>
      </c>
      <c r="F41" s="156">
        <f>F34-F9</f>
        <v>8.2931324655797454</v>
      </c>
      <c r="G41" s="156">
        <f>G34-G9</f>
        <v>-2.786625213689069</v>
      </c>
      <c r="H41" s="156">
        <f>H34-H9</f>
        <v>7.3693916095355831</v>
      </c>
      <c r="I41" s="156">
        <f>I34-I9</f>
        <v>-0.90000000000000568</v>
      </c>
      <c r="J41" s="156">
        <f>J34-J9</f>
        <v>15.299999999999997</v>
      </c>
    </row>
    <row r="42" spans="1:10">
      <c r="A42" s="297" t="s">
        <v>447</v>
      </c>
      <c r="B42" s="159">
        <f>(POWER(B35/B9, 1/26)-1)*100</f>
        <v>0.658498137391339</v>
      </c>
      <c r="C42" s="159">
        <f>(POWER(C35/C9, 1/26)-1)*100</f>
        <v>1.1511321691937582</v>
      </c>
      <c r="D42" s="159">
        <f>(POWER(D35/D9, 1/26)-1)*100</f>
        <v>1.3242905361329438</v>
      </c>
      <c r="E42" s="159">
        <f>(POWER(E35/E9, 1/26)-1)*100</f>
        <v>-0.49769382586332123</v>
      </c>
      <c r="F42" s="156">
        <f>F35-F9</f>
        <v>9.3197747555077797</v>
      </c>
      <c r="G42" s="156">
        <f>G35-G9</f>
        <v>-4.0215361602779529</v>
      </c>
      <c r="H42" s="156">
        <f>H35-H9</f>
        <v>7.6285358477139269</v>
      </c>
      <c r="I42" s="156">
        <f>I35-I9</f>
        <v>-0.90000000000000568</v>
      </c>
      <c r="J42" s="156">
        <f>J35-J9</f>
        <v>15.899999999999999</v>
      </c>
    </row>
    <row r="43" spans="1:10">
      <c r="A43" s="297" t="s">
        <v>1408</v>
      </c>
      <c r="B43" s="159">
        <f>(POWER(B36/B9, 1/27)-1)*100</f>
        <v>0.66249506735889252</v>
      </c>
      <c r="C43" s="159">
        <f>(POWER(C36/C9, 1/27)-1)*100</f>
        <v>1.1857397363004729</v>
      </c>
      <c r="D43" s="159">
        <f>(POWER(D36/D9, 1/27)-1)*100</f>
        <v>1.3099257566436817</v>
      </c>
      <c r="E43" s="159">
        <f>(POWER(E36/E9, 1/27)-1)*100</f>
        <v>7.6172429882670478E-2</v>
      </c>
      <c r="F43" s="156">
        <f>F36-F9</f>
        <v>9.4199921553724622</v>
      </c>
      <c r="G43" s="156">
        <f>G36-G9</f>
        <v>-2.9777399789128971</v>
      </c>
      <c r="H43" s="156">
        <f>H36-H9</f>
        <v>8.4688608041901574</v>
      </c>
      <c r="I43" s="156">
        <f>I36-I9</f>
        <v>0</v>
      </c>
      <c r="J43" s="156">
        <f>J36-J9</f>
        <v>16.700000000000003</v>
      </c>
    </row>
    <row r="44" spans="1:10">
      <c r="A44" s="297" t="s">
        <v>449</v>
      </c>
      <c r="B44" s="159">
        <f>(POWER(B35/B28, 1/7)-1)*100</f>
        <v>0.35203027051295965</v>
      </c>
      <c r="C44" s="159">
        <f>(POWER(C35/C28, 1/7)-1)*100</f>
        <v>0.92134404750967569</v>
      </c>
      <c r="D44" s="159">
        <f>(POWER(D35/D28, 1/7)-1)*100</f>
        <v>1.3103580039392604</v>
      </c>
      <c r="E44" s="159">
        <f>(POWER(E35/E28, 1/7)-1)*100</f>
        <v>-3.0624621733949642</v>
      </c>
      <c r="F44" s="156">
        <f>F35-F28</f>
        <v>3.8081914849193836</v>
      </c>
      <c r="G44" s="156">
        <f>G35-G28</f>
        <v>-2.4566768603465841</v>
      </c>
      <c r="H44" s="156">
        <f>H35-H28</f>
        <v>2.4845673308555476</v>
      </c>
      <c r="I44" s="156">
        <f>I35-I28</f>
        <v>0.59999999999999432</v>
      </c>
      <c r="J44" s="156">
        <f>J35-J28</f>
        <v>4.2999999999999972</v>
      </c>
    </row>
    <row r="45" spans="1:10">
      <c r="A45" s="297" t="s">
        <v>1410</v>
      </c>
      <c r="B45" s="159">
        <f>(POWER(B36/B28, 1/8)-1)*100</f>
        <v>0.40374199674086952</v>
      </c>
      <c r="C45" s="159">
        <f>(POWER(C36/C28, 1/8)-1)*100</f>
        <v>1.0666546923728815</v>
      </c>
      <c r="D45" s="159">
        <f>(POWER(D36/D28, 1/8)-1)*100</f>
        <v>1.2636323284305195</v>
      </c>
      <c r="E45" s="159">
        <f>(POWER(E36/E28, 1/8)-1)*100</f>
        <v>-0.83947259415763087</v>
      </c>
      <c r="F45" s="156">
        <f>F36-F28</f>
        <v>3.9084088847840661</v>
      </c>
      <c r="G45" s="156">
        <f>G36-G28</f>
        <v>-1.4128806789815282</v>
      </c>
      <c r="H45" s="156">
        <f>H36-H28</f>
        <v>3.3248922873317781</v>
      </c>
      <c r="I45" s="156">
        <f>I36-I28</f>
        <v>1.5</v>
      </c>
      <c r="J45" s="156">
        <f>J36-J28</f>
        <v>5.1000000000000014</v>
      </c>
    </row>
    <row r="46" spans="1:10" ht="25.5" customHeight="1">
      <c r="A46" s="1254" t="s">
        <v>1560</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3" orientation="portrait" horizontalDpi="4294967292" verticalDpi="0" r:id="rId1"/>
  <headerFooter alignWithMargins="0"/>
</worksheet>
</file>

<file path=xl/worksheets/sheet146.xml><?xml version="1.0" encoding="utf-8"?>
<worksheet xmlns="http://schemas.openxmlformats.org/spreadsheetml/2006/main" xmlns:r="http://schemas.openxmlformats.org/officeDocument/2006/relationships">
  <sheetPr codeName="Sheet117">
    <pageSetUpPr fitToPage="1"/>
  </sheetPr>
  <dimension ref="A1:J49"/>
  <sheetViews>
    <sheetView view="pageBreakPreview" zoomScale="70" zoomScaleSheetLayoutView="7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0.42578125" style="149" customWidth="1"/>
    <col min="2" max="2" width="10.28515625" style="149" customWidth="1"/>
    <col min="3" max="3" width="9" style="149" customWidth="1"/>
    <col min="4" max="4" width="10.7109375" style="149" customWidth="1"/>
    <col min="5" max="5" width="13.140625" style="149" customWidth="1"/>
    <col min="6" max="6" width="10.28515625" style="149" customWidth="1"/>
    <col min="7" max="7" width="13.140625" style="149" customWidth="1"/>
    <col min="8" max="8" width="10.85546875" style="149" customWidth="1"/>
    <col min="9" max="9" width="11.140625" style="149" customWidth="1"/>
    <col min="10" max="10" width="11.42578125" style="149" customWidth="1"/>
    <col min="11" max="16384" width="9.140625" style="149"/>
  </cols>
  <sheetData>
    <row r="1" spans="1:10" ht="18.600000000000001" customHeight="1">
      <c r="A1" s="1138" t="s">
        <v>1839</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4739.1000000000004</v>
      </c>
      <c r="C4" s="442">
        <v>2785.5</v>
      </c>
      <c r="D4" s="442">
        <v>2543.4</v>
      </c>
      <c r="E4" s="442">
        <v>242.1</v>
      </c>
      <c r="F4" s="155">
        <f t="shared" ref="F4:G32" si="0">D4/B4*100</f>
        <v>53.668418054060893</v>
      </c>
      <c r="G4" s="155">
        <f t="shared" si="0"/>
        <v>8.6914378029079149</v>
      </c>
      <c r="H4" s="155">
        <f t="shared" ref="H4:H32" si="1">C4/B4*100</f>
        <v>58.776982971450273</v>
      </c>
      <c r="I4" s="443">
        <v>76.7</v>
      </c>
      <c r="J4" s="443">
        <v>41.4</v>
      </c>
    </row>
    <row r="5" spans="1:10">
      <c r="A5" s="297">
        <v>1977</v>
      </c>
      <c r="B5" s="442">
        <v>4809.2</v>
      </c>
      <c r="C5" s="442">
        <v>2852</v>
      </c>
      <c r="D5" s="442">
        <v>2556</v>
      </c>
      <c r="E5" s="442">
        <v>296</v>
      </c>
      <c r="F5" s="155">
        <f t="shared" si="0"/>
        <v>53.148132745570983</v>
      </c>
      <c r="G5" s="155">
        <f t="shared" si="0"/>
        <v>10.37868162692847</v>
      </c>
      <c r="H5" s="155">
        <f t="shared" si="1"/>
        <v>59.303002578391414</v>
      </c>
      <c r="I5" s="443">
        <v>76.3</v>
      </c>
      <c r="J5" s="443">
        <v>42.8</v>
      </c>
    </row>
    <row r="6" spans="1:10">
      <c r="A6" s="297">
        <v>1978</v>
      </c>
      <c r="B6" s="442">
        <v>4862.3999999999996</v>
      </c>
      <c r="C6" s="442">
        <v>2917.6</v>
      </c>
      <c r="D6" s="442">
        <v>2596.1</v>
      </c>
      <c r="E6" s="442">
        <v>321.5</v>
      </c>
      <c r="F6" s="155">
        <f t="shared" si="0"/>
        <v>53.391329384666008</v>
      </c>
      <c r="G6" s="155">
        <f t="shared" si="0"/>
        <v>11.019330956950919</v>
      </c>
      <c r="H6" s="155">
        <f t="shared" si="1"/>
        <v>60.003290556103984</v>
      </c>
      <c r="I6" s="443">
        <v>76.3</v>
      </c>
      <c r="J6" s="443">
        <v>44.3</v>
      </c>
    </row>
    <row r="7" spans="1:10">
      <c r="A7" s="297">
        <v>1979</v>
      </c>
      <c r="B7" s="442">
        <v>4923.5</v>
      </c>
      <c r="C7" s="442">
        <v>2982.6</v>
      </c>
      <c r="D7" s="442">
        <v>2692</v>
      </c>
      <c r="E7" s="442">
        <v>290.60000000000002</v>
      </c>
      <c r="F7" s="155">
        <f t="shared" si="0"/>
        <v>54.676551233878335</v>
      </c>
      <c r="G7" s="155">
        <f t="shared" si="0"/>
        <v>9.74317709381077</v>
      </c>
      <c r="H7" s="155">
        <f t="shared" si="1"/>
        <v>60.578856504519138</v>
      </c>
      <c r="I7" s="443">
        <v>76.599999999999994</v>
      </c>
      <c r="J7" s="443">
        <v>45.2</v>
      </c>
    </row>
    <row r="8" spans="1:10">
      <c r="A8" s="297">
        <v>1980</v>
      </c>
      <c r="B8" s="442">
        <v>4987.5</v>
      </c>
      <c r="C8" s="442">
        <v>3062.8</v>
      </c>
      <c r="D8" s="442">
        <v>2756.2</v>
      </c>
      <c r="E8" s="442">
        <v>306.60000000000002</v>
      </c>
      <c r="F8" s="155">
        <f t="shared" si="0"/>
        <v>55.262155388471179</v>
      </c>
      <c r="G8" s="155">
        <f t="shared" si="0"/>
        <v>10.010447956118584</v>
      </c>
      <c r="H8" s="155">
        <f t="shared" si="1"/>
        <v>61.409523809523812</v>
      </c>
      <c r="I8" s="443">
        <v>77.099999999999994</v>
      </c>
      <c r="J8" s="443">
        <v>46.4</v>
      </c>
    </row>
    <row r="9" spans="1:10">
      <c r="A9" s="297">
        <v>1981</v>
      </c>
      <c r="B9" s="442">
        <v>5042.3999999999996</v>
      </c>
      <c r="C9" s="442">
        <v>3120</v>
      </c>
      <c r="D9" s="442">
        <v>2791.2</v>
      </c>
      <c r="E9" s="442">
        <v>328.8</v>
      </c>
      <c r="F9" s="155">
        <f t="shared" si="0"/>
        <v>55.354593050928123</v>
      </c>
      <c r="G9" s="155">
        <f t="shared" si="0"/>
        <v>10.538461538461538</v>
      </c>
      <c r="H9" s="155">
        <f t="shared" si="1"/>
        <v>61.875297477391719</v>
      </c>
      <c r="I9" s="443">
        <v>76.5</v>
      </c>
      <c r="J9" s="443">
        <v>47.9</v>
      </c>
    </row>
    <row r="10" spans="1:10">
      <c r="A10" s="297">
        <v>1982</v>
      </c>
      <c r="B10" s="442">
        <v>5085.3</v>
      </c>
      <c r="C10" s="442">
        <v>3069.5</v>
      </c>
      <c r="D10" s="442">
        <v>2640.1</v>
      </c>
      <c r="E10" s="442">
        <v>429.4</v>
      </c>
      <c r="F10" s="155">
        <f t="shared" si="0"/>
        <v>51.916307789117646</v>
      </c>
      <c r="G10" s="155">
        <f t="shared" si="0"/>
        <v>13.989249063365369</v>
      </c>
      <c r="H10" s="155">
        <f t="shared" si="1"/>
        <v>60.36025406564017</v>
      </c>
      <c r="I10" s="443">
        <v>74.400000000000006</v>
      </c>
      <c r="J10" s="443">
        <v>47</v>
      </c>
    </row>
    <row r="11" spans="1:10">
      <c r="A11" s="297">
        <v>1983</v>
      </c>
      <c r="B11" s="442">
        <v>5119.3</v>
      </c>
      <c r="C11" s="442">
        <v>3127.2</v>
      </c>
      <c r="D11" s="442">
        <v>2683.8</v>
      </c>
      <c r="E11" s="442">
        <v>443.4</v>
      </c>
      <c r="F11" s="155">
        <f t="shared" si="0"/>
        <v>52.42513624909656</v>
      </c>
      <c r="G11" s="155">
        <f t="shared" si="0"/>
        <v>14.178818112049118</v>
      </c>
      <c r="H11" s="155">
        <f t="shared" si="1"/>
        <v>61.08647666673177</v>
      </c>
      <c r="I11" s="443">
        <v>74.7</v>
      </c>
      <c r="J11" s="443">
        <v>48.1</v>
      </c>
    </row>
    <row r="12" spans="1:10">
      <c r="A12" s="297">
        <v>1984</v>
      </c>
      <c r="B12" s="442">
        <v>5155.2</v>
      </c>
      <c r="C12" s="442">
        <v>3178.4</v>
      </c>
      <c r="D12" s="442">
        <v>2762.5</v>
      </c>
      <c r="E12" s="442">
        <v>415.9</v>
      </c>
      <c r="F12" s="155">
        <f t="shared" si="0"/>
        <v>53.586669770328989</v>
      </c>
      <c r="G12" s="155">
        <f t="shared" si="0"/>
        <v>13.085200100679586</v>
      </c>
      <c r="H12" s="155">
        <f t="shared" si="1"/>
        <v>61.654252017380514</v>
      </c>
      <c r="I12" s="443">
        <v>74.8</v>
      </c>
      <c r="J12" s="443">
        <v>49.1</v>
      </c>
    </row>
    <row r="13" spans="1:10">
      <c r="A13" s="297">
        <v>1985</v>
      </c>
      <c r="B13" s="442">
        <v>5196</v>
      </c>
      <c r="C13" s="442">
        <v>3237.1</v>
      </c>
      <c r="D13" s="442">
        <v>2838.1</v>
      </c>
      <c r="E13" s="442">
        <v>399</v>
      </c>
      <c r="F13" s="155">
        <f t="shared" si="0"/>
        <v>54.620862201693612</v>
      </c>
      <c r="G13" s="155">
        <f t="shared" si="0"/>
        <v>12.325847208921566</v>
      </c>
      <c r="H13" s="155">
        <f t="shared" si="1"/>
        <v>62.299846035411854</v>
      </c>
      <c r="I13" s="443">
        <v>74.7</v>
      </c>
      <c r="J13" s="443">
        <v>50.5</v>
      </c>
    </row>
    <row r="14" spans="1:10">
      <c r="A14" s="297">
        <v>1986</v>
      </c>
      <c r="B14" s="442">
        <v>5240.5</v>
      </c>
      <c r="C14" s="442">
        <v>3294.4</v>
      </c>
      <c r="D14" s="442">
        <v>2929.2</v>
      </c>
      <c r="E14" s="442">
        <v>365.3</v>
      </c>
      <c r="F14" s="155">
        <f t="shared" si="0"/>
        <v>55.895429825398338</v>
      </c>
      <c r="G14" s="155">
        <f t="shared" si="0"/>
        <v>11.088513841670714</v>
      </c>
      <c r="H14" s="155">
        <f t="shared" si="1"/>
        <v>62.864230512355689</v>
      </c>
      <c r="I14" s="443">
        <v>74.8</v>
      </c>
      <c r="J14" s="443">
        <v>51.5</v>
      </c>
    </row>
    <row r="15" spans="1:10">
      <c r="A15" s="297">
        <v>1987</v>
      </c>
      <c r="B15" s="442">
        <v>5290.9</v>
      </c>
      <c r="C15" s="442">
        <v>3363.9</v>
      </c>
      <c r="D15" s="442">
        <v>3022.1</v>
      </c>
      <c r="E15" s="442">
        <v>341.8</v>
      </c>
      <c r="F15" s="155">
        <f t="shared" si="0"/>
        <v>57.118826664650626</v>
      </c>
      <c r="G15" s="155">
        <f t="shared" si="0"/>
        <v>10.160825232616903</v>
      </c>
      <c r="H15" s="155">
        <f t="shared" si="1"/>
        <v>63.578975221606918</v>
      </c>
      <c r="I15" s="443">
        <v>75.400000000000006</v>
      </c>
      <c r="J15" s="443">
        <v>52.3</v>
      </c>
    </row>
    <row r="16" spans="1:10">
      <c r="A16" s="297">
        <v>1988</v>
      </c>
      <c r="B16" s="442">
        <v>5338.7</v>
      </c>
      <c r="C16" s="442">
        <v>3404.6</v>
      </c>
      <c r="D16" s="442">
        <v>3081.4</v>
      </c>
      <c r="E16" s="442">
        <v>323.10000000000002</v>
      </c>
      <c r="F16" s="155">
        <f t="shared" si="0"/>
        <v>57.718171090340356</v>
      </c>
      <c r="G16" s="155">
        <f t="shared" si="0"/>
        <v>9.4901016272102456</v>
      </c>
      <c r="H16" s="155">
        <f t="shared" si="1"/>
        <v>63.772079345158936</v>
      </c>
      <c r="I16" s="443">
        <v>75.3</v>
      </c>
      <c r="J16" s="443">
        <v>52.8</v>
      </c>
    </row>
    <row r="17" spans="1:10">
      <c r="A17" s="297">
        <v>1989</v>
      </c>
      <c r="B17" s="442">
        <v>5393.3</v>
      </c>
      <c r="C17" s="442">
        <v>3461.2</v>
      </c>
      <c r="D17" s="442">
        <v>3128.8</v>
      </c>
      <c r="E17" s="442">
        <v>332.4</v>
      </c>
      <c r="F17" s="155">
        <f t="shared" si="0"/>
        <v>58.012719485287299</v>
      </c>
      <c r="G17" s="155">
        <f t="shared" si="0"/>
        <v>9.6036056858892866</v>
      </c>
      <c r="H17" s="155">
        <f t="shared" si="1"/>
        <v>64.175921977268089</v>
      </c>
      <c r="I17" s="443">
        <v>75.099999999999994</v>
      </c>
      <c r="J17" s="443">
        <v>53.7</v>
      </c>
    </row>
    <row r="18" spans="1:10">
      <c r="A18" s="297">
        <v>1990</v>
      </c>
      <c r="B18" s="442">
        <v>5457</v>
      </c>
      <c r="C18" s="442">
        <v>3505.4</v>
      </c>
      <c r="D18" s="442">
        <v>3140.3</v>
      </c>
      <c r="E18" s="442">
        <v>365.1</v>
      </c>
      <c r="F18" s="155">
        <f t="shared" si="0"/>
        <v>57.54627084478652</v>
      </c>
      <c r="G18" s="155">
        <f t="shared" si="0"/>
        <v>10.415359160152907</v>
      </c>
      <c r="H18" s="155">
        <f t="shared" si="1"/>
        <v>64.236760124610598</v>
      </c>
      <c r="I18" s="443">
        <v>74.7</v>
      </c>
      <c r="J18" s="443">
        <v>54.3</v>
      </c>
    </row>
    <row r="19" spans="1:10">
      <c r="A19" s="297">
        <v>1991</v>
      </c>
      <c r="B19" s="442">
        <v>5517</v>
      </c>
      <c r="C19" s="442">
        <v>3510.9</v>
      </c>
      <c r="D19" s="442">
        <v>3084.4</v>
      </c>
      <c r="E19" s="442">
        <v>426.5</v>
      </c>
      <c r="F19" s="155">
        <f t="shared" si="0"/>
        <v>55.907195939822373</v>
      </c>
      <c r="G19" s="155">
        <f t="shared" si="0"/>
        <v>12.14788230937936</v>
      </c>
      <c r="H19" s="155">
        <f t="shared" si="1"/>
        <v>63.637846655791193</v>
      </c>
      <c r="I19" s="443">
        <v>73.3</v>
      </c>
      <c r="J19" s="443">
        <v>54.4</v>
      </c>
    </row>
    <row r="20" spans="1:10">
      <c r="A20" s="297">
        <v>1992</v>
      </c>
      <c r="B20" s="442">
        <v>5564.5</v>
      </c>
      <c r="C20" s="442">
        <v>3481</v>
      </c>
      <c r="D20" s="442">
        <v>3038.6</v>
      </c>
      <c r="E20" s="442">
        <v>442.5</v>
      </c>
      <c r="F20" s="155">
        <f t="shared" si="0"/>
        <v>54.606882918501206</v>
      </c>
      <c r="G20" s="155">
        <f t="shared" si="0"/>
        <v>12.711864406779661</v>
      </c>
      <c r="H20" s="155">
        <f t="shared" si="1"/>
        <v>62.557282774732684</v>
      </c>
      <c r="I20" s="443">
        <v>72</v>
      </c>
      <c r="J20" s="443">
        <v>53.6</v>
      </c>
    </row>
    <row r="21" spans="1:10">
      <c r="A21" s="297">
        <v>1993</v>
      </c>
      <c r="B21" s="442">
        <v>5610.9</v>
      </c>
      <c r="C21" s="442">
        <v>3493.7</v>
      </c>
      <c r="D21" s="442">
        <v>3030.9</v>
      </c>
      <c r="E21" s="442">
        <v>462.8</v>
      </c>
      <c r="F21" s="155">
        <f t="shared" si="0"/>
        <v>54.01807196706411</v>
      </c>
      <c r="G21" s="155">
        <f t="shared" si="0"/>
        <v>13.24670120502619</v>
      </c>
      <c r="H21" s="155">
        <f t="shared" si="1"/>
        <v>62.266303088631062</v>
      </c>
      <c r="I21" s="443">
        <v>71.3</v>
      </c>
      <c r="J21" s="443">
        <v>53.6</v>
      </c>
    </row>
    <row r="22" spans="1:10">
      <c r="A22" s="297">
        <v>1994</v>
      </c>
      <c r="B22" s="442">
        <v>5651.8</v>
      </c>
      <c r="C22" s="442">
        <v>3529.9</v>
      </c>
      <c r="D22" s="442">
        <v>3094.8</v>
      </c>
      <c r="E22" s="442">
        <v>435.1</v>
      </c>
      <c r="F22" s="155">
        <f t="shared" si="0"/>
        <v>54.75777628366184</v>
      </c>
      <c r="G22" s="155">
        <f t="shared" si="0"/>
        <v>12.326128218929714</v>
      </c>
      <c r="H22" s="155">
        <f t="shared" si="1"/>
        <v>62.456208641494747</v>
      </c>
      <c r="I22" s="443">
        <v>71.7</v>
      </c>
      <c r="J22" s="443">
        <v>53.7</v>
      </c>
    </row>
    <row r="23" spans="1:10">
      <c r="A23" s="297">
        <v>1995</v>
      </c>
      <c r="B23" s="442">
        <v>5693.8</v>
      </c>
      <c r="C23" s="442">
        <v>3540.9</v>
      </c>
      <c r="D23" s="442">
        <v>3135.3</v>
      </c>
      <c r="E23" s="442">
        <v>405.6</v>
      </c>
      <c r="F23" s="155">
        <f t="shared" si="0"/>
        <v>55.065158593557904</v>
      </c>
      <c r="G23" s="155">
        <f t="shared" si="0"/>
        <v>11.454714902990766</v>
      </c>
      <c r="H23" s="155">
        <f t="shared" si="1"/>
        <v>62.188696476869573</v>
      </c>
      <c r="I23" s="443">
        <v>70.8</v>
      </c>
      <c r="J23" s="443">
        <v>54</v>
      </c>
    </row>
    <row r="24" spans="1:10">
      <c r="A24" s="297">
        <v>1996</v>
      </c>
      <c r="B24" s="442">
        <v>5737.3</v>
      </c>
      <c r="C24" s="442">
        <v>3551.7</v>
      </c>
      <c r="D24" s="442">
        <v>3129.8</v>
      </c>
      <c r="E24" s="442">
        <v>421.9</v>
      </c>
      <c r="F24" s="155">
        <f t="shared" si="0"/>
        <v>54.551792655081655</v>
      </c>
      <c r="G24" s="155">
        <f t="shared" si="0"/>
        <v>11.878818593912774</v>
      </c>
      <c r="H24" s="155">
        <f t="shared" si="1"/>
        <v>61.905425897199031</v>
      </c>
      <c r="I24" s="443">
        <v>70.400000000000006</v>
      </c>
      <c r="J24" s="443">
        <v>53.7</v>
      </c>
    </row>
    <row r="25" spans="1:10">
      <c r="A25" s="297">
        <v>1997</v>
      </c>
      <c r="B25" s="442">
        <v>5772.1</v>
      </c>
      <c r="C25" s="442">
        <v>3582.3</v>
      </c>
      <c r="D25" s="442">
        <v>3172.8</v>
      </c>
      <c r="E25" s="442">
        <v>409.6</v>
      </c>
      <c r="F25" s="155">
        <f t="shared" si="0"/>
        <v>54.967862649642242</v>
      </c>
      <c r="G25" s="155">
        <f t="shared" si="0"/>
        <v>11.433994919465148</v>
      </c>
      <c r="H25" s="155">
        <f t="shared" si="1"/>
        <v>62.06233433239202</v>
      </c>
      <c r="I25" s="443">
        <v>70.3</v>
      </c>
      <c r="J25" s="443">
        <v>54.2</v>
      </c>
    </row>
    <row r="26" spans="1:10">
      <c r="A26" s="297">
        <v>1998</v>
      </c>
      <c r="B26" s="442">
        <v>5806</v>
      </c>
      <c r="C26" s="442">
        <v>3631.5</v>
      </c>
      <c r="D26" s="442">
        <v>3257.5</v>
      </c>
      <c r="E26" s="442">
        <v>374</v>
      </c>
      <c r="F26" s="155">
        <f t="shared" si="0"/>
        <v>56.105752669652084</v>
      </c>
      <c r="G26" s="155">
        <f t="shared" si="0"/>
        <v>10.298774611042269</v>
      </c>
      <c r="H26" s="155">
        <f t="shared" si="1"/>
        <v>62.54736479503962</v>
      </c>
      <c r="I26" s="443">
        <v>70.5</v>
      </c>
      <c r="J26" s="443">
        <v>55</v>
      </c>
    </row>
    <row r="27" spans="1:10">
      <c r="A27" s="297">
        <v>1999</v>
      </c>
      <c r="B27" s="442">
        <v>5845</v>
      </c>
      <c r="C27" s="442">
        <v>3670.5</v>
      </c>
      <c r="D27" s="442">
        <v>3328.1</v>
      </c>
      <c r="E27" s="442">
        <v>342.4</v>
      </c>
      <c r="F27" s="155">
        <f t="shared" si="0"/>
        <v>56.939264328485883</v>
      </c>
      <c r="G27" s="155">
        <f t="shared" si="0"/>
        <v>9.328429369295737</v>
      </c>
      <c r="H27" s="155">
        <f t="shared" si="1"/>
        <v>62.797262617621897</v>
      </c>
      <c r="I27" s="443">
        <v>70.8</v>
      </c>
      <c r="J27" s="443">
        <v>55.1</v>
      </c>
    </row>
    <row r="28" spans="1:10">
      <c r="A28" s="297">
        <v>2000</v>
      </c>
      <c r="B28" s="442">
        <v>5889</v>
      </c>
      <c r="C28" s="442">
        <v>3717.5</v>
      </c>
      <c r="D28" s="442">
        <v>3402.8</v>
      </c>
      <c r="E28" s="442">
        <v>314.7</v>
      </c>
      <c r="F28" s="155">
        <f t="shared" si="0"/>
        <v>57.782305994226526</v>
      </c>
      <c r="G28" s="155">
        <f t="shared" si="0"/>
        <v>8.4653665097511759</v>
      </c>
      <c r="H28" s="155">
        <f t="shared" si="1"/>
        <v>63.126167430803193</v>
      </c>
      <c r="I28" s="443">
        <v>70.599999999999994</v>
      </c>
      <c r="J28" s="443">
        <v>55.9</v>
      </c>
    </row>
    <row r="29" spans="1:10">
      <c r="A29" s="297">
        <v>2001</v>
      </c>
      <c r="B29" s="442">
        <v>5939.9</v>
      </c>
      <c r="C29" s="442">
        <v>3771.1</v>
      </c>
      <c r="D29" s="442">
        <v>3440.2</v>
      </c>
      <c r="E29" s="442">
        <v>330.9</v>
      </c>
      <c r="F29" s="155">
        <f t="shared" si="0"/>
        <v>57.916799946127043</v>
      </c>
      <c r="G29" s="155">
        <f t="shared" si="0"/>
        <v>8.7746280925989772</v>
      </c>
      <c r="H29" s="155">
        <f t="shared" si="1"/>
        <v>63.487600801360301</v>
      </c>
      <c r="I29" s="443">
        <v>70.7</v>
      </c>
      <c r="J29" s="443">
        <v>56.5</v>
      </c>
    </row>
    <row r="30" spans="1:10">
      <c r="A30" s="297">
        <v>2002</v>
      </c>
      <c r="B30" s="442">
        <v>5995</v>
      </c>
      <c r="C30" s="442">
        <v>3907.7</v>
      </c>
      <c r="D30" s="442">
        <v>3569.9</v>
      </c>
      <c r="E30" s="442">
        <v>337.9</v>
      </c>
      <c r="F30" s="155">
        <f t="shared" si="0"/>
        <v>59.547956630525448</v>
      </c>
      <c r="G30" s="155">
        <f t="shared" si="0"/>
        <v>8.6470302223814528</v>
      </c>
      <c r="H30" s="155">
        <f t="shared" si="1"/>
        <v>65.182652210175135</v>
      </c>
      <c r="I30" s="443">
        <v>72.2</v>
      </c>
      <c r="J30" s="443">
        <v>58.4</v>
      </c>
    </row>
    <row r="31" spans="1:10">
      <c r="A31" s="297">
        <v>2003</v>
      </c>
      <c r="B31" s="442">
        <v>6049.4</v>
      </c>
      <c r="C31" s="442">
        <v>3992.8</v>
      </c>
      <c r="D31" s="442">
        <v>3628.8</v>
      </c>
      <c r="E31" s="442">
        <v>364</v>
      </c>
      <c r="F31" s="155">
        <f t="shared" si="0"/>
        <v>59.986114325387653</v>
      </c>
      <c r="G31" s="155">
        <f t="shared" si="0"/>
        <v>9.1164095371669003</v>
      </c>
      <c r="H31" s="155">
        <f t="shared" si="1"/>
        <v>66.003239990742884</v>
      </c>
      <c r="I31" s="443">
        <v>72.3</v>
      </c>
      <c r="J31" s="443">
        <v>60</v>
      </c>
    </row>
    <row r="32" spans="1:10">
      <c r="A32" s="297">
        <v>2004</v>
      </c>
      <c r="B32" s="442">
        <v>6112.8</v>
      </c>
      <c r="C32" s="442">
        <v>4024.1</v>
      </c>
      <c r="D32" s="442">
        <v>3680.5</v>
      </c>
      <c r="E32" s="442">
        <v>343.7</v>
      </c>
      <c r="F32" s="155">
        <f t="shared" si="0"/>
        <v>60.209723858133742</v>
      </c>
      <c r="G32" s="155">
        <f t="shared" si="0"/>
        <v>8.5410402325985935</v>
      </c>
      <c r="H32" s="155">
        <f t="shared" si="1"/>
        <v>65.830715874885485</v>
      </c>
      <c r="I32" s="443">
        <v>71.900000000000006</v>
      </c>
      <c r="J32" s="443">
        <v>60</v>
      </c>
    </row>
    <row r="33" spans="1:10">
      <c r="A33" s="297">
        <v>2005</v>
      </c>
      <c r="B33" s="442">
        <v>6182.2</v>
      </c>
      <c r="C33" s="442">
        <v>4052.7</v>
      </c>
      <c r="D33" s="442">
        <v>3717.3</v>
      </c>
      <c r="E33" s="442">
        <v>335.4</v>
      </c>
      <c r="F33" s="155">
        <f t="shared" ref="F33:G36" si="2">D33/B33*100</f>
        <v>60.129080262689662</v>
      </c>
      <c r="G33" s="155">
        <f t="shared" si="2"/>
        <v>8.2759641720334596</v>
      </c>
      <c r="H33" s="155">
        <f>C33/B33*100</f>
        <v>65.554333408818863</v>
      </c>
      <c r="I33" s="443">
        <v>71.400000000000006</v>
      </c>
      <c r="J33" s="443">
        <v>59.9</v>
      </c>
    </row>
    <row r="34" spans="1:10">
      <c r="A34" s="297">
        <v>2006</v>
      </c>
      <c r="B34" s="442">
        <v>6251.5</v>
      </c>
      <c r="C34" s="442">
        <v>4094.2</v>
      </c>
      <c r="D34" s="442">
        <v>3765.4</v>
      </c>
      <c r="E34" s="442">
        <v>328.7</v>
      </c>
      <c r="F34" s="155">
        <f t="shared" si="2"/>
        <v>60.231944333359998</v>
      </c>
      <c r="G34" s="155">
        <f t="shared" si="2"/>
        <v>8.0284304626056375</v>
      </c>
      <c r="H34" s="155">
        <f>C34/B34*100</f>
        <v>65.491482044309365</v>
      </c>
      <c r="I34" s="443">
        <v>71.099999999999994</v>
      </c>
      <c r="J34" s="443">
        <v>60.1</v>
      </c>
    </row>
    <row r="35" spans="1:10">
      <c r="A35" s="297">
        <v>2007</v>
      </c>
      <c r="B35" s="442">
        <v>6314.5</v>
      </c>
      <c r="C35" s="442">
        <v>4150.1000000000004</v>
      </c>
      <c r="D35" s="442">
        <v>3851.7</v>
      </c>
      <c r="E35" s="442">
        <v>298.39999999999998</v>
      </c>
      <c r="F35" s="155">
        <f t="shared" si="2"/>
        <v>60.997703697838304</v>
      </c>
      <c r="G35" s="155">
        <f t="shared" si="2"/>
        <v>7.1901881882364265</v>
      </c>
      <c r="H35" s="155">
        <f>C35/B35*100</f>
        <v>65.723335180932779</v>
      </c>
      <c r="I35" s="443">
        <v>70.599999999999994</v>
      </c>
      <c r="J35" s="443">
        <v>61</v>
      </c>
    </row>
    <row r="36" spans="1:10">
      <c r="A36" s="297">
        <v>2008</v>
      </c>
      <c r="B36" s="442">
        <v>6372.1</v>
      </c>
      <c r="C36" s="442">
        <v>4184.8999999999996</v>
      </c>
      <c r="D36" s="442">
        <v>3881.7</v>
      </c>
      <c r="E36" s="442">
        <v>303.3</v>
      </c>
      <c r="F36" s="155">
        <f t="shared" si="2"/>
        <v>60.917123083441872</v>
      </c>
      <c r="G36" s="155">
        <f t="shared" si="2"/>
        <v>7.2474850056154283</v>
      </c>
      <c r="H36" s="155">
        <f>C36/B36*100</f>
        <v>65.675366048869279</v>
      </c>
      <c r="I36" s="443">
        <v>70.400000000000006</v>
      </c>
      <c r="J36" s="443">
        <v>61.1</v>
      </c>
    </row>
    <row r="37" spans="1:10">
      <c r="A37" s="1109"/>
      <c r="B37" s="298" t="s">
        <v>802</v>
      </c>
      <c r="C37" s="298"/>
      <c r="D37" s="298"/>
      <c r="E37" s="298"/>
      <c r="F37" s="298" t="s">
        <v>655</v>
      </c>
      <c r="G37" s="298"/>
      <c r="H37" s="298"/>
      <c r="I37" s="298"/>
      <c r="J37" s="298"/>
    </row>
    <row r="38" spans="1:10">
      <c r="A38" s="297" t="s">
        <v>603</v>
      </c>
      <c r="B38" s="159">
        <f>(POWER(B17/B9, 1/8)-1)*100</f>
        <v>0.84448688238794034</v>
      </c>
      <c r="C38" s="159">
        <f>(POWER(C17/C9, 1/8)-1)*100</f>
        <v>1.3057305232317518</v>
      </c>
      <c r="D38" s="159">
        <f>(POWER(D17/D9, 1/8)-1)*100</f>
        <v>1.4374576406597006</v>
      </c>
      <c r="E38" s="159">
        <f>(POWER(E17/E9, 1/8)-1)*100</f>
        <v>0.1362101794037951</v>
      </c>
      <c r="F38" s="156">
        <f>F17-F9</f>
        <v>2.6581264343591755</v>
      </c>
      <c r="G38" s="156">
        <f>G17-G9</f>
        <v>-0.93485585257225168</v>
      </c>
      <c r="H38" s="156">
        <f>H17-H9</f>
        <v>2.3006244998763705</v>
      </c>
      <c r="I38" s="156">
        <f>I17-I9</f>
        <v>-1.4000000000000057</v>
      </c>
      <c r="J38" s="156">
        <f>J17-J9</f>
        <v>5.8000000000000043</v>
      </c>
    </row>
    <row r="39" spans="1:10">
      <c r="A39" s="297" t="s">
        <v>604</v>
      </c>
      <c r="B39" s="159">
        <f>(POWER(B28/B17, 1/11)-1)*100</f>
        <v>0.80255572795218111</v>
      </c>
      <c r="C39" s="159">
        <f>(POWER(C28/C17, 1/11)-1)*100</f>
        <v>0.65153192777949176</v>
      </c>
      <c r="D39" s="159">
        <f>(POWER(D28/D17, 1/11)-1)*100</f>
        <v>0.766093024177672</v>
      </c>
      <c r="E39" s="159">
        <f>(POWER(E28/E17, 1/11)-1)*100</f>
        <v>-0.49621258571601601</v>
      </c>
      <c r="F39" s="156">
        <f>F28-F17</f>
        <v>-0.23041349106077291</v>
      </c>
      <c r="G39" s="156">
        <f>G28-G17</f>
        <v>-1.1382391761381108</v>
      </c>
      <c r="H39" s="156">
        <f>H28-H17</f>
        <v>-1.0497545464648965</v>
      </c>
      <c r="I39" s="156">
        <f>I28-I17</f>
        <v>-4.5</v>
      </c>
      <c r="J39" s="156">
        <f>J28-J17</f>
        <v>2.1999999999999957</v>
      </c>
    </row>
    <row r="40" spans="1:10">
      <c r="A40" s="297" t="s">
        <v>808</v>
      </c>
      <c r="B40" s="159">
        <f>(POWER(B33/B9, 1/24)-1)*100</f>
        <v>0.85274884736989964</v>
      </c>
      <c r="C40" s="159">
        <f>(POWER(C33/C9, 1/24)-1)*100</f>
        <v>1.0957528905122027</v>
      </c>
      <c r="D40" s="159">
        <f>(POWER(D33/D9, 1/24)-1)*100</f>
        <v>1.2010132137856067</v>
      </c>
      <c r="E40" s="159">
        <f>(POWER(E33/E9, 1/24)-1)*100</f>
        <v>8.2843405405141901E-2</v>
      </c>
      <c r="F40" s="156">
        <f>F33-F9</f>
        <v>4.7744872117615387</v>
      </c>
      <c r="G40" s="156">
        <f>G33-G9</f>
        <v>-2.2624973664280787</v>
      </c>
      <c r="H40" s="156">
        <f>H33-H9</f>
        <v>3.6790359314271441</v>
      </c>
      <c r="I40" s="156">
        <f>I33-I9</f>
        <v>-5.0999999999999943</v>
      </c>
      <c r="J40" s="156">
        <f>J33-J9</f>
        <v>12</v>
      </c>
    </row>
    <row r="41" spans="1:10">
      <c r="A41" s="297" t="s">
        <v>819</v>
      </c>
      <c r="B41" s="159">
        <f>(POWER(B34/B9, 1/25)-1)*100</f>
        <v>0.86346362908393814</v>
      </c>
      <c r="C41" s="159">
        <f>(POWER(C34/C9, 1/25)-1)*100</f>
        <v>1.092882144304208</v>
      </c>
      <c r="D41" s="159">
        <f>(POWER(D34/D9, 1/25)-1)*100</f>
        <v>1.2047290439444636</v>
      </c>
      <c r="E41" s="159">
        <f>(POWER(E34/E9, 1/25)-1)*100</f>
        <v>-1.21672264526973E-3</v>
      </c>
      <c r="F41" s="156">
        <f>F34-F9</f>
        <v>4.8773512824318743</v>
      </c>
      <c r="G41" s="156">
        <f>G34-G9</f>
        <v>-2.5100310758559008</v>
      </c>
      <c r="H41" s="156">
        <f>H34-H9</f>
        <v>3.6161845669176458</v>
      </c>
      <c r="I41" s="156">
        <f>I34-I9</f>
        <v>-5.4000000000000057</v>
      </c>
      <c r="J41" s="156">
        <f>J34-J9</f>
        <v>12.200000000000003</v>
      </c>
    </row>
    <row r="42" spans="1:10">
      <c r="A42" s="297" t="s">
        <v>447</v>
      </c>
      <c r="B42" s="159">
        <f>(POWER(B35/B9, 1/26)-1)*100</f>
        <v>0.86900960439630914</v>
      </c>
      <c r="C42" s="159">
        <f>(POWER(C35/C9, 1/26)-1)*100</f>
        <v>1.103347972289237</v>
      </c>
      <c r="D42" s="159">
        <f>(POWER(D35/D9, 1/26)-1)*100</f>
        <v>1.2463296700284676</v>
      </c>
      <c r="E42" s="159">
        <f>(POWER(E35/E9, 1/26)-1)*100</f>
        <v>-0.37243854713642222</v>
      </c>
      <c r="F42" s="156">
        <f>F35-F9</f>
        <v>5.6431106469101806</v>
      </c>
      <c r="G42" s="156">
        <f>G35-G9</f>
        <v>-3.3482733502251119</v>
      </c>
      <c r="H42" s="156">
        <f>H35-H9</f>
        <v>3.8480377035410598</v>
      </c>
      <c r="I42" s="156">
        <f>I35-I9</f>
        <v>-5.9000000000000057</v>
      </c>
      <c r="J42" s="156">
        <f>J35-J9</f>
        <v>13.100000000000001</v>
      </c>
    </row>
    <row r="43" spans="1:10">
      <c r="A43" s="297" t="s">
        <v>1408</v>
      </c>
      <c r="B43" s="159">
        <f>(POWER(B36/B9, 1/27)-1)*100</f>
        <v>0.87060840949135798</v>
      </c>
      <c r="C43" s="159">
        <f>(POWER(C36/C9, 1/27)-1)*100</f>
        <v>1.0935276576386821</v>
      </c>
      <c r="D43" s="159">
        <f>(POWER(D36/D9, 1/27)-1)*100</f>
        <v>1.228977999481895</v>
      </c>
      <c r="E43" s="159">
        <f>(POWER(E36/E9, 1/27)-1)*100</f>
        <v>-0.29854327981950757</v>
      </c>
      <c r="F43" s="156">
        <f>F36-F9</f>
        <v>5.5625300325137488</v>
      </c>
      <c r="G43" s="156">
        <f>G36-G9</f>
        <v>-3.29097653284611</v>
      </c>
      <c r="H43" s="156">
        <f>H36-H9</f>
        <v>3.8000685714775599</v>
      </c>
      <c r="I43" s="156">
        <f>I36-I9</f>
        <v>-6.0999999999999943</v>
      </c>
      <c r="J43" s="156">
        <f>J36-J9</f>
        <v>13.200000000000003</v>
      </c>
    </row>
    <row r="44" spans="1:10">
      <c r="A44" s="297" t="s">
        <v>449</v>
      </c>
      <c r="B44" s="159">
        <f>(POWER(B35/B28, 1/7)-1)*100</f>
        <v>1.0015879657856663</v>
      </c>
      <c r="C44" s="159">
        <f>(POWER(C35/C28, 1/7)-1)*100</f>
        <v>1.5850163661471406</v>
      </c>
      <c r="D44" s="159">
        <f>(POWER(D35/D28, 1/7)-1)*100</f>
        <v>1.785989797733567</v>
      </c>
      <c r="E44" s="159">
        <f>(POWER(E35/E28, 1/7)-1)*100</f>
        <v>-0.75690572780233722</v>
      </c>
      <c r="F44" s="156">
        <f>F35-F28</f>
        <v>3.215397703611778</v>
      </c>
      <c r="G44" s="156">
        <f>G35-G28</f>
        <v>-1.2751783215147494</v>
      </c>
      <c r="H44" s="156">
        <f>H35-H28</f>
        <v>2.5971677501295858</v>
      </c>
      <c r="I44" s="156">
        <f>I35-I28</f>
        <v>0</v>
      </c>
      <c r="J44" s="156">
        <f>J35-J28</f>
        <v>5.1000000000000014</v>
      </c>
    </row>
    <row r="45" spans="1:10">
      <c r="A45" s="297" t="s">
        <v>1410</v>
      </c>
      <c r="B45" s="159">
        <f>(POWER(B36/B28, 1/8)-1)*100</f>
        <v>0.99040841977411365</v>
      </c>
      <c r="C45" s="159">
        <f>(POWER(C36/C28, 1/8)-1)*100</f>
        <v>1.4914047031263422</v>
      </c>
      <c r="D45" s="159">
        <f>(POWER(D36/D28, 1/8)-1)*100</f>
        <v>1.6595523366386589</v>
      </c>
      <c r="E45" s="159">
        <f>(POWER(E36/E28, 1/8)-1)*100</f>
        <v>-0.46015539319562704</v>
      </c>
      <c r="F45" s="156">
        <f>F36-F28</f>
        <v>3.1348170892153462</v>
      </c>
      <c r="G45" s="156">
        <f>G36-G28</f>
        <v>-1.2178815041357476</v>
      </c>
      <c r="H45" s="156">
        <f>H36-H28</f>
        <v>2.5491986180660859</v>
      </c>
      <c r="I45" s="156">
        <f>I36-I28</f>
        <v>-0.19999999999998863</v>
      </c>
      <c r="J45" s="156">
        <f>J36-J28</f>
        <v>5.2000000000000028</v>
      </c>
    </row>
    <row r="46" spans="1:10" ht="25.5" customHeight="1">
      <c r="A46" s="1254" t="s">
        <v>530</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3" orientation="portrait" horizontalDpi="4294967292" verticalDpi="0" r:id="rId1"/>
  <headerFooter alignWithMargins="0"/>
</worksheet>
</file>

<file path=xl/worksheets/sheet147.xml><?xml version="1.0" encoding="utf-8"?>
<worksheet xmlns="http://schemas.openxmlformats.org/spreadsheetml/2006/main" xmlns:r="http://schemas.openxmlformats.org/officeDocument/2006/relationships">
  <sheetPr codeName="Sheet118">
    <pageSetUpPr fitToPage="1"/>
  </sheetPr>
  <dimension ref="A1:J49"/>
  <sheetViews>
    <sheetView view="pageBreakPreview" zoomScale="70" zoomScaleSheetLayoutView="7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1.140625" style="149" customWidth="1"/>
    <col min="2" max="2" width="10.28515625" style="149" customWidth="1"/>
    <col min="3" max="3" width="9" style="149" customWidth="1"/>
    <col min="4" max="4" width="10.7109375" style="149" customWidth="1"/>
    <col min="5" max="5" width="13.140625" style="149" customWidth="1"/>
    <col min="6" max="6" width="10.28515625" style="149" customWidth="1"/>
    <col min="7" max="7" width="13.140625" style="149" customWidth="1"/>
    <col min="8" max="8" width="10.85546875" style="149" customWidth="1"/>
    <col min="9" max="9" width="11.140625" style="149" customWidth="1"/>
    <col min="10" max="10" width="11.42578125" style="149" customWidth="1"/>
    <col min="11" max="16384" width="9.140625" style="149"/>
  </cols>
  <sheetData>
    <row r="1" spans="1:10" ht="18.600000000000001" customHeight="1">
      <c r="A1" s="1138" t="s">
        <v>1840</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6203.8</v>
      </c>
      <c r="C4" s="442">
        <v>3985.5</v>
      </c>
      <c r="D4" s="442">
        <v>3740.7</v>
      </c>
      <c r="E4" s="442">
        <v>244.8</v>
      </c>
      <c r="F4" s="155">
        <f t="shared" ref="F4:G32" si="0">D4/B4*100</f>
        <v>60.296914794158418</v>
      </c>
      <c r="G4" s="155">
        <f t="shared" si="0"/>
        <v>6.1422657132103886</v>
      </c>
      <c r="H4" s="155">
        <f t="shared" ref="H4:H32" si="1">C4/B4*100</f>
        <v>64.242883394048818</v>
      </c>
      <c r="I4" s="443">
        <v>79.400000000000006</v>
      </c>
      <c r="J4" s="443">
        <v>49.6</v>
      </c>
    </row>
    <row r="5" spans="1:10">
      <c r="A5" s="297">
        <v>1977</v>
      </c>
      <c r="B5" s="442">
        <v>6336.6</v>
      </c>
      <c r="C5" s="442">
        <v>4086.4</v>
      </c>
      <c r="D5" s="442">
        <v>3803.9</v>
      </c>
      <c r="E5" s="442">
        <v>282.60000000000002</v>
      </c>
      <c r="F5" s="155">
        <f t="shared" si="0"/>
        <v>60.030615787646369</v>
      </c>
      <c r="G5" s="155">
        <f t="shared" si="0"/>
        <v>6.9156225528582622</v>
      </c>
      <c r="H5" s="155">
        <f t="shared" si="1"/>
        <v>64.488842596976298</v>
      </c>
      <c r="I5" s="443">
        <v>79.3</v>
      </c>
      <c r="J5" s="443">
        <v>50.2</v>
      </c>
    </row>
    <row r="6" spans="1:10">
      <c r="A6" s="297">
        <v>1978</v>
      </c>
      <c r="B6" s="442">
        <v>6463.4</v>
      </c>
      <c r="C6" s="442">
        <v>4228.2</v>
      </c>
      <c r="D6" s="442">
        <v>3923.6</v>
      </c>
      <c r="E6" s="442">
        <v>304.5</v>
      </c>
      <c r="F6" s="155">
        <f t="shared" si="0"/>
        <v>60.704892162019995</v>
      </c>
      <c r="G6" s="155">
        <f t="shared" si="0"/>
        <v>7.2016460905349797</v>
      </c>
      <c r="H6" s="155">
        <f t="shared" si="1"/>
        <v>65.417582077544324</v>
      </c>
      <c r="I6" s="443">
        <v>79.8</v>
      </c>
      <c r="J6" s="443">
        <v>51.5</v>
      </c>
    </row>
    <row r="7" spans="1:10">
      <c r="A7" s="297">
        <v>1979</v>
      </c>
      <c r="B7" s="442">
        <v>6580</v>
      </c>
      <c r="C7" s="442">
        <v>4381.1000000000004</v>
      </c>
      <c r="D7" s="442">
        <v>4092.8</v>
      </c>
      <c r="E7" s="442">
        <v>288.3</v>
      </c>
      <c r="F7" s="155">
        <f t="shared" si="0"/>
        <v>62.200607902735563</v>
      </c>
      <c r="G7" s="155">
        <f t="shared" si="0"/>
        <v>6.5805391340074406</v>
      </c>
      <c r="H7" s="155">
        <f t="shared" si="1"/>
        <v>66.582066869300917</v>
      </c>
      <c r="I7" s="443">
        <v>80.3</v>
      </c>
      <c r="J7" s="443">
        <v>53.3</v>
      </c>
    </row>
    <row r="8" spans="1:10">
      <c r="A8" s="297">
        <v>1980</v>
      </c>
      <c r="B8" s="442">
        <v>6692.5</v>
      </c>
      <c r="C8" s="442">
        <v>4472.8</v>
      </c>
      <c r="D8" s="442">
        <v>4165.1000000000004</v>
      </c>
      <c r="E8" s="442">
        <v>307.7</v>
      </c>
      <c r="F8" s="155">
        <f t="shared" si="0"/>
        <v>62.235338064998139</v>
      </c>
      <c r="G8" s="155">
        <f t="shared" si="0"/>
        <v>6.8793596852083692</v>
      </c>
      <c r="H8" s="155">
        <f t="shared" si="1"/>
        <v>66.833022039596571</v>
      </c>
      <c r="I8" s="443">
        <v>79.8</v>
      </c>
      <c r="J8" s="443">
        <v>54.4</v>
      </c>
    </row>
    <row r="9" spans="1:10">
      <c r="A9" s="297">
        <v>1981</v>
      </c>
      <c r="B9" s="442">
        <v>6786.6</v>
      </c>
      <c r="C9" s="442">
        <v>4594.8</v>
      </c>
      <c r="D9" s="442">
        <v>4292.5</v>
      </c>
      <c r="E9" s="442">
        <v>302.39999999999998</v>
      </c>
      <c r="F9" s="155">
        <f t="shared" si="0"/>
        <v>63.249638994489132</v>
      </c>
      <c r="G9" s="155">
        <f t="shared" si="0"/>
        <v>6.5813528336380251</v>
      </c>
      <c r="H9" s="155">
        <f t="shared" si="1"/>
        <v>67.704004950932713</v>
      </c>
      <c r="I9" s="443">
        <v>80.3</v>
      </c>
      <c r="J9" s="443">
        <v>55.7</v>
      </c>
    </row>
    <row r="10" spans="1:10">
      <c r="A10" s="297">
        <v>1982</v>
      </c>
      <c r="B10" s="442">
        <v>6897.6</v>
      </c>
      <c r="C10" s="442">
        <v>4655.8999999999996</v>
      </c>
      <c r="D10" s="442">
        <v>4198.6000000000004</v>
      </c>
      <c r="E10" s="442">
        <v>457.3</v>
      </c>
      <c r="F10" s="155">
        <f t="shared" si="0"/>
        <v>60.870447691950822</v>
      </c>
      <c r="G10" s="155">
        <f t="shared" si="0"/>
        <v>9.8219463476449249</v>
      </c>
      <c r="H10" s="155">
        <f t="shared" si="1"/>
        <v>67.500289955926689</v>
      </c>
      <c r="I10" s="443">
        <v>79.3</v>
      </c>
      <c r="J10" s="443">
        <v>56.2</v>
      </c>
    </row>
    <row r="11" spans="1:10">
      <c r="A11" s="297">
        <v>1983</v>
      </c>
      <c r="B11" s="442">
        <v>7016.2</v>
      </c>
      <c r="C11" s="442">
        <v>4743.5</v>
      </c>
      <c r="D11" s="442">
        <v>4249</v>
      </c>
      <c r="E11" s="442">
        <v>494.5</v>
      </c>
      <c r="F11" s="155">
        <f t="shared" si="0"/>
        <v>60.559847210740855</v>
      </c>
      <c r="G11" s="155">
        <f t="shared" si="0"/>
        <v>10.42479182038579</v>
      </c>
      <c r="H11" s="155">
        <f t="shared" si="1"/>
        <v>67.607821897893444</v>
      </c>
      <c r="I11" s="443">
        <v>78.8</v>
      </c>
      <c r="J11" s="443">
        <v>56.9</v>
      </c>
    </row>
    <row r="12" spans="1:10">
      <c r="A12" s="297">
        <v>1984</v>
      </c>
      <c r="B12" s="442">
        <v>7142.2</v>
      </c>
      <c r="C12" s="442">
        <v>4844.7</v>
      </c>
      <c r="D12" s="442">
        <v>4410.2</v>
      </c>
      <c r="E12" s="442">
        <v>434.5</v>
      </c>
      <c r="F12" s="155">
        <f t="shared" si="0"/>
        <v>61.748480860239141</v>
      </c>
      <c r="G12" s="155">
        <f t="shared" si="0"/>
        <v>8.9685635849485017</v>
      </c>
      <c r="H12" s="155">
        <f t="shared" si="1"/>
        <v>67.832040547730386</v>
      </c>
      <c r="I12" s="443">
        <v>78.7</v>
      </c>
      <c r="J12" s="443">
        <v>57.4</v>
      </c>
    </row>
    <row r="13" spans="1:10">
      <c r="A13" s="297">
        <v>1985</v>
      </c>
      <c r="B13" s="442">
        <v>7268.4</v>
      </c>
      <c r="C13" s="442">
        <v>4967.8</v>
      </c>
      <c r="D13" s="442">
        <v>4569.6000000000004</v>
      </c>
      <c r="E13" s="442">
        <v>398.2</v>
      </c>
      <c r="F13" s="155">
        <f t="shared" si="0"/>
        <v>62.86940729734193</v>
      </c>
      <c r="G13" s="155">
        <f t="shared" si="0"/>
        <v>8.0156205966423766</v>
      </c>
      <c r="H13" s="155">
        <f t="shared" si="1"/>
        <v>68.34791701062133</v>
      </c>
      <c r="I13" s="443">
        <v>78.900000000000006</v>
      </c>
      <c r="J13" s="443">
        <v>58.2</v>
      </c>
    </row>
    <row r="14" spans="1:10">
      <c r="A14" s="297">
        <v>1986</v>
      </c>
      <c r="B14" s="442">
        <v>7399.6</v>
      </c>
      <c r="C14" s="442">
        <v>5087.6000000000004</v>
      </c>
      <c r="D14" s="442">
        <v>4729.3</v>
      </c>
      <c r="E14" s="442">
        <v>358.3</v>
      </c>
      <c r="F14" s="155">
        <f t="shared" si="0"/>
        <v>63.912914211579007</v>
      </c>
      <c r="G14" s="155">
        <f t="shared" si="0"/>
        <v>7.0426134130041671</v>
      </c>
      <c r="H14" s="155">
        <f t="shared" si="1"/>
        <v>68.755067841504953</v>
      </c>
      <c r="I14" s="443">
        <v>79.2</v>
      </c>
      <c r="J14" s="443">
        <v>58.7</v>
      </c>
    </row>
    <row r="15" spans="1:10">
      <c r="A15" s="297">
        <v>1987</v>
      </c>
      <c r="B15" s="442">
        <v>7544.8</v>
      </c>
      <c r="C15" s="442">
        <v>5213.6000000000004</v>
      </c>
      <c r="D15" s="442">
        <v>4895.6000000000004</v>
      </c>
      <c r="E15" s="442">
        <v>318</v>
      </c>
      <c r="F15" s="155">
        <f t="shared" si="0"/>
        <v>64.887074541406008</v>
      </c>
      <c r="G15" s="155">
        <f t="shared" si="0"/>
        <v>6.0994322541046486</v>
      </c>
      <c r="H15" s="155">
        <f t="shared" si="1"/>
        <v>69.101897995970745</v>
      </c>
      <c r="I15" s="443">
        <v>78.900000000000006</v>
      </c>
      <c r="J15" s="443">
        <v>59.7</v>
      </c>
    </row>
    <row r="16" spans="1:10">
      <c r="A16" s="297">
        <v>1988</v>
      </c>
      <c r="B16" s="442">
        <v>7687.2</v>
      </c>
      <c r="C16" s="442">
        <v>5352.5</v>
      </c>
      <c r="D16" s="442">
        <v>5083.1000000000004</v>
      </c>
      <c r="E16" s="442">
        <v>269.3</v>
      </c>
      <c r="F16" s="155">
        <f t="shared" si="0"/>
        <v>66.124206473098141</v>
      </c>
      <c r="G16" s="155">
        <f t="shared" si="0"/>
        <v>5.0312937879495561</v>
      </c>
      <c r="H16" s="155">
        <f t="shared" si="1"/>
        <v>69.628733479030075</v>
      </c>
      <c r="I16" s="443">
        <v>78.599999999999994</v>
      </c>
      <c r="J16" s="443">
        <v>61</v>
      </c>
    </row>
    <row r="17" spans="1:10">
      <c r="A17" s="297">
        <v>1989</v>
      </c>
      <c r="B17" s="442">
        <v>7823.8</v>
      </c>
      <c r="C17" s="442">
        <v>5473</v>
      </c>
      <c r="D17" s="442">
        <v>5199</v>
      </c>
      <c r="E17" s="442">
        <v>274</v>
      </c>
      <c r="F17" s="155">
        <f t="shared" si="0"/>
        <v>66.451085150438402</v>
      </c>
      <c r="G17" s="155">
        <f t="shared" si="0"/>
        <v>5.0063950301479991</v>
      </c>
      <c r="H17" s="155">
        <f t="shared" si="1"/>
        <v>69.953219663079324</v>
      </c>
      <c r="I17" s="443">
        <v>78.8</v>
      </c>
      <c r="J17" s="443">
        <v>61.4</v>
      </c>
    </row>
    <row r="18" spans="1:10">
      <c r="A18" s="297">
        <v>1990</v>
      </c>
      <c r="B18" s="442">
        <v>7960</v>
      </c>
      <c r="C18" s="442">
        <v>5535.7</v>
      </c>
      <c r="D18" s="442">
        <v>5194.1000000000004</v>
      </c>
      <c r="E18" s="442">
        <v>341.5</v>
      </c>
      <c r="F18" s="155">
        <f t="shared" si="0"/>
        <v>65.252512562814076</v>
      </c>
      <c r="G18" s="155">
        <f t="shared" si="0"/>
        <v>6.1690481781888469</v>
      </c>
      <c r="H18" s="155">
        <f t="shared" si="1"/>
        <v>69.543969849246238</v>
      </c>
      <c r="I18" s="443">
        <v>78</v>
      </c>
      <c r="J18" s="443">
        <v>61.4</v>
      </c>
    </row>
    <row r="19" spans="1:10">
      <c r="A19" s="297">
        <v>1991</v>
      </c>
      <c r="B19" s="442">
        <v>8091.5</v>
      </c>
      <c r="C19" s="442">
        <v>5546.6</v>
      </c>
      <c r="D19" s="442">
        <v>5017.1000000000004</v>
      </c>
      <c r="E19" s="442">
        <v>529.5</v>
      </c>
      <c r="F19" s="155">
        <f t="shared" si="0"/>
        <v>62.004572699746653</v>
      </c>
      <c r="G19" s="155">
        <f t="shared" si="0"/>
        <v>9.5463887787112824</v>
      </c>
      <c r="H19" s="155">
        <f t="shared" si="1"/>
        <v>68.548476796638454</v>
      </c>
      <c r="I19" s="443">
        <v>76.400000000000006</v>
      </c>
      <c r="J19" s="443">
        <v>61</v>
      </c>
    </row>
    <row r="20" spans="1:10">
      <c r="A20" s="297">
        <v>1992</v>
      </c>
      <c r="B20" s="442">
        <v>8210.9</v>
      </c>
      <c r="C20" s="442">
        <v>5528.9</v>
      </c>
      <c r="D20" s="442">
        <v>4932.8999999999996</v>
      </c>
      <c r="E20" s="442">
        <v>596</v>
      </c>
      <c r="F20" s="155">
        <f t="shared" si="0"/>
        <v>60.07745801312889</v>
      </c>
      <c r="G20" s="155">
        <f t="shared" si="0"/>
        <v>10.779721101846661</v>
      </c>
      <c r="H20" s="155">
        <f t="shared" si="1"/>
        <v>67.336102010741811</v>
      </c>
      <c r="I20" s="443">
        <v>75.099999999999994</v>
      </c>
      <c r="J20" s="443">
        <v>59.9</v>
      </c>
    </row>
    <row r="21" spans="1:10">
      <c r="A21" s="297">
        <v>1993</v>
      </c>
      <c r="B21" s="442">
        <v>8312.1</v>
      </c>
      <c r="C21" s="442">
        <v>5543.5</v>
      </c>
      <c r="D21" s="442">
        <v>4938</v>
      </c>
      <c r="E21" s="442">
        <v>605.4</v>
      </c>
      <c r="F21" s="155">
        <f t="shared" si="0"/>
        <v>59.407369978705738</v>
      </c>
      <c r="G21" s="155">
        <f t="shared" si="0"/>
        <v>10.920898349418238</v>
      </c>
      <c r="H21" s="155">
        <f t="shared" si="1"/>
        <v>66.691931040290655</v>
      </c>
      <c r="I21" s="443">
        <v>74.3</v>
      </c>
      <c r="J21" s="443">
        <v>59.4</v>
      </c>
    </row>
    <row r="22" spans="1:10">
      <c r="A22" s="297">
        <v>1994</v>
      </c>
      <c r="B22" s="442">
        <v>8416.1</v>
      </c>
      <c r="C22" s="442">
        <v>5548.2</v>
      </c>
      <c r="D22" s="442">
        <v>5013.6000000000004</v>
      </c>
      <c r="E22" s="442">
        <v>534.6</v>
      </c>
      <c r="F22" s="155">
        <f t="shared" si="0"/>
        <v>59.571535509321414</v>
      </c>
      <c r="G22" s="155">
        <f t="shared" si="0"/>
        <v>9.6355574781010063</v>
      </c>
      <c r="H22" s="155">
        <f t="shared" si="1"/>
        <v>65.923646344506352</v>
      </c>
      <c r="I22" s="443">
        <v>73.400000000000006</v>
      </c>
      <c r="J22" s="443">
        <v>58.8</v>
      </c>
    </row>
    <row r="23" spans="1:10">
      <c r="A23" s="297">
        <v>1995</v>
      </c>
      <c r="B23" s="442">
        <v>8535.6</v>
      </c>
      <c r="C23" s="442">
        <v>5589.1</v>
      </c>
      <c r="D23" s="442">
        <v>5100</v>
      </c>
      <c r="E23" s="442">
        <v>489</v>
      </c>
      <c r="F23" s="155">
        <f t="shared" si="0"/>
        <v>59.749753971601294</v>
      </c>
      <c r="G23" s="155">
        <f t="shared" si="0"/>
        <v>8.7491724964663362</v>
      </c>
      <c r="H23" s="155">
        <f t="shared" si="1"/>
        <v>65.479872533858199</v>
      </c>
      <c r="I23" s="443">
        <v>72.7</v>
      </c>
      <c r="J23" s="443">
        <v>58.6</v>
      </c>
    </row>
    <row r="24" spans="1:10">
      <c r="A24" s="297">
        <v>1996</v>
      </c>
      <c r="B24" s="442">
        <v>8660.6</v>
      </c>
      <c r="C24" s="442">
        <v>5680.2</v>
      </c>
      <c r="D24" s="442">
        <v>5167.1000000000004</v>
      </c>
      <c r="E24" s="442">
        <v>513.1</v>
      </c>
      <c r="F24" s="155">
        <f t="shared" si="0"/>
        <v>59.662148119067957</v>
      </c>
      <c r="G24" s="155">
        <f t="shared" si="0"/>
        <v>9.0331326361747823</v>
      </c>
      <c r="H24" s="155">
        <f t="shared" si="1"/>
        <v>65.586679906703921</v>
      </c>
      <c r="I24" s="443">
        <v>72.599999999999994</v>
      </c>
      <c r="J24" s="443">
        <v>58.9</v>
      </c>
    </row>
    <row r="25" spans="1:10">
      <c r="A25" s="297">
        <v>1997</v>
      </c>
      <c r="B25" s="442">
        <v>8785.5</v>
      </c>
      <c r="C25" s="442">
        <v>5776.4</v>
      </c>
      <c r="D25" s="442">
        <v>5291.4</v>
      </c>
      <c r="E25" s="442">
        <v>485</v>
      </c>
      <c r="F25" s="155">
        <f t="shared" si="0"/>
        <v>60.228786067952875</v>
      </c>
      <c r="G25" s="155">
        <f t="shared" si="0"/>
        <v>8.396232947856797</v>
      </c>
      <c r="H25" s="155">
        <f t="shared" si="1"/>
        <v>65.749245916567062</v>
      </c>
      <c r="I25" s="443">
        <v>72.8</v>
      </c>
      <c r="J25" s="443">
        <v>59</v>
      </c>
    </row>
    <row r="26" spans="1:10">
      <c r="A26" s="297">
        <v>1998</v>
      </c>
      <c r="B26" s="442">
        <v>8913.6</v>
      </c>
      <c r="C26" s="442">
        <v>5877.2</v>
      </c>
      <c r="D26" s="442">
        <v>5453.3</v>
      </c>
      <c r="E26" s="442">
        <v>424</v>
      </c>
      <c r="F26" s="155">
        <f t="shared" si="0"/>
        <v>61.179545862502238</v>
      </c>
      <c r="G26" s="155">
        <f t="shared" si="0"/>
        <v>7.2143197440958273</v>
      </c>
      <c r="H26" s="155">
        <f t="shared" si="1"/>
        <v>65.935200143600781</v>
      </c>
      <c r="I26" s="443">
        <v>72.5</v>
      </c>
      <c r="J26" s="443">
        <v>59.6</v>
      </c>
    </row>
    <row r="27" spans="1:10">
      <c r="A27" s="297">
        <v>1999</v>
      </c>
      <c r="B27" s="442">
        <v>9043.6</v>
      </c>
      <c r="C27" s="442">
        <v>6018.2</v>
      </c>
      <c r="D27" s="442">
        <v>5636.7</v>
      </c>
      <c r="E27" s="442">
        <v>381.6</v>
      </c>
      <c r="F27" s="155">
        <f t="shared" si="0"/>
        <v>62.328055199256923</v>
      </c>
      <c r="G27" s="155">
        <f t="shared" si="0"/>
        <v>6.3407663420956437</v>
      </c>
      <c r="H27" s="155">
        <f t="shared" si="1"/>
        <v>66.54650802777654</v>
      </c>
      <c r="I27" s="443">
        <v>73.099999999999994</v>
      </c>
      <c r="J27" s="443">
        <v>60.3</v>
      </c>
    </row>
    <row r="28" spans="1:10">
      <c r="A28" s="297">
        <v>2000</v>
      </c>
      <c r="B28" s="442">
        <v>9209.6</v>
      </c>
      <c r="C28" s="442">
        <v>6172.7</v>
      </c>
      <c r="D28" s="442">
        <v>5817.1</v>
      </c>
      <c r="E28" s="442">
        <v>355.6</v>
      </c>
      <c r="F28" s="155">
        <f t="shared" si="0"/>
        <v>63.163438151494098</v>
      </c>
      <c r="G28" s="155">
        <f t="shared" si="0"/>
        <v>5.7608501952144131</v>
      </c>
      <c r="H28" s="155">
        <f t="shared" si="1"/>
        <v>67.024626476719945</v>
      </c>
      <c r="I28" s="443">
        <v>73.3</v>
      </c>
      <c r="J28" s="443">
        <v>61</v>
      </c>
    </row>
    <row r="29" spans="1:10">
      <c r="A29" s="297">
        <v>2001</v>
      </c>
      <c r="B29" s="442">
        <v>9402.5</v>
      </c>
      <c r="C29" s="442">
        <v>6327</v>
      </c>
      <c r="D29" s="442">
        <v>5926.2</v>
      </c>
      <c r="E29" s="442">
        <v>400.8</v>
      </c>
      <c r="F29" s="155">
        <f t="shared" si="0"/>
        <v>63.02791810688646</v>
      </c>
      <c r="G29" s="155">
        <f t="shared" si="0"/>
        <v>6.3347558084400193</v>
      </c>
      <c r="H29" s="155">
        <f t="shared" si="1"/>
        <v>67.290614198351506</v>
      </c>
      <c r="I29" s="443">
        <v>73.400000000000006</v>
      </c>
      <c r="J29" s="443">
        <v>61.4</v>
      </c>
    </row>
    <row r="30" spans="1:10">
      <c r="A30" s="297">
        <v>2002</v>
      </c>
      <c r="B30" s="442">
        <v>9590</v>
      </c>
      <c r="C30" s="442">
        <v>6493.7</v>
      </c>
      <c r="D30" s="442">
        <v>6031.4</v>
      </c>
      <c r="E30" s="442">
        <v>462.4</v>
      </c>
      <c r="F30" s="155">
        <f t="shared" si="0"/>
        <v>62.892596454640248</v>
      </c>
      <c r="G30" s="155">
        <f t="shared" si="0"/>
        <v>7.1207478017155088</v>
      </c>
      <c r="H30" s="155">
        <f t="shared" si="1"/>
        <v>67.713242961418146</v>
      </c>
      <c r="I30" s="443">
        <v>73.599999999999994</v>
      </c>
      <c r="J30" s="443">
        <v>62</v>
      </c>
    </row>
    <row r="31" spans="1:10">
      <c r="A31" s="297">
        <v>2003</v>
      </c>
      <c r="B31" s="442">
        <v>9742.2999999999993</v>
      </c>
      <c r="C31" s="442">
        <v>6676.2</v>
      </c>
      <c r="D31" s="442">
        <v>6213.2</v>
      </c>
      <c r="E31" s="442">
        <v>463.1</v>
      </c>
      <c r="F31" s="155">
        <f t="shared" si="0"/>
        <v>63.775494493086846</v>
      </c>
      <c r="G31" s="155">
        <f t="shared" si="0"/>
        <v>6.9365806896138524</v>
      </c>
      <c r="H31" s="155">
        <f t="shared" si="1"/>
        <v>68.527965675456514</v>
      </c>
      <c r="I31" s="443">
        <v>74.3</v>
      </c>
      <c r="J31" s="443">
        <v>63</v>
      </c>
    </row>
    <row r="32" spans="1:10">
      <c r="A32" s="297">
        <v>2004</v>
      </c>
      <c r="B32" s="442">
        <v>9901.9</v>
      </c>
      <c r="C32" s="442">
        <v>6775.4</v>
      </c>
      <c r="D32" s="442">
        <v>6316.5</v>
      </c>
      <c r="E32" s="442">
        <v>458.9</v>
      </c>
      <c r="F32" s="155">
        <f t="shared" si="0"/>
        <v>63.790787626617117</v>
      </c>
      <c r="G32" s="155">
        <f t="shared" si="0"/>
        <v>6.7730318505180502</v>
      </c>
      <c r="H32" s="155">
        <f t="shared" si="1"/>
        <v>68.425251719366983</v>
      </c>
      <c r="I32" s="443">
        <v>74.099999999999994</v>
      </c>
      <c r="J32" s="443">
        <v>63</v>
      </c>
    </row>
    <row r="33" spans="1:10">
      <c r="A33" s="297">
        <v>2005</v>
      </c>
      <c r="B33" s="442">
        <v>10070.4</v>
      </c>
      <c r="C33" s="442">
        <v>6849.1</v>
      </c>
      <c r="D33" s="442">
        <v>6397.7</v>
      </c>
      <c r="E33" s="442">
        <v>451.3</v>
      </c>
      <c r="F33" s="155">
        <f t="shared" ref="F33:G36" si="2">D33/B33*100</f>
        <v>63.529750556085162</v>
      </c>
      <c r="G33" s="155">
        <f t="shared" si="2"/>
        <v>6.5891869004686745</v>
      </c>
      <c r="H33" s="155">
        <f>C33/B33*100</f>
        <v>68.012194153161744</v>
      </c>
      <c r="I33" s="443">
        <v>73.5</v>
      </c>
      <c r="J33" s="443">
        <v>62.7</v>
      </c>
    </row>
    <row r="34" spans="1:10">
      <c r="A34" s="297">
        <v>2006</v>
      </c>
      <c r="B34" s="442">
        <v>10229</v>
      </c>
      <c r="C34" s="442">
        <v>6927.3</v>
      </c>
      <c r="D34" s="442">
        <v>6492.7</v>
      </c>
      <c r="E34" s="442">
        <v>434.6</v>
      </c>
      <c r="F34" s="155">
        <f t="shared" si="2"/>
        <v>63.473457816013287</v>
      </c>
      <c r="G34" s="155">
        <f t="shared" si="2"/>
        <v>6.2737285811210715</v>
      </c>
      <c r="H34" s="155">
        <f>C34/B34*100</f>
        <v>67.72216247922573</v>
      </c>
      <c r="I34" s="443">
        <v>72.8</v>
      </c>
      <c r="J34" s="443">
        <v>62.9</v>
      </c>
    </row>
    <row r="35" spans="1:10">
      <c r="A35" s="297">
        <v>2007</v>
      </c>
      <c r="B35" s="442">
        <v>10361.6</v>
      </c>
      <c r="C35" s="442">
        <v>7043.5</v>
      </c>
      <c r="D35" s="442">
        <v>6593.8</v>
      </c>
      <c r="E35" s="442">
        <v>449.7</v>
      </c>
      <c r="F35" s="155">
        <f t="shared" si="2"/>
        <v>63.636890055589866</v>
      </c>
      <c r="G35" s="155">
        <f t="shared" si="2"/>
        <v>6.3846099240434437</v>
      </c>
      <c r="H35" s="155">
        <f>C35/B35*100</f>
        <v>67.976953366275467</v>
      </c>
      <c r="I35" s="443">
        <v>72.599999999999994</v>
      </c>
      <c r="J35" s="443">
        <v>63.5</v>
      </c>
    </row>
    <row r="36" spans="1:10">
      <c r="A36" s="297">
        <v>2008</v>
      </c>
      <c r="B36" s="442">
        <v>10509.8</v>
      </c>
      <c r="C36" s="442">
        <v>7154.5</v>
      </c>
      <c r="D36" s="442">
        <v>6687.3</v>
      </c>
      <c r="E36" s="442">
        <v>467.2</v>
      </c>
      <c r="F36" s="155">
        <f t="shared" si="2"/>
        <v>63.629184189994106</v>
      </c>
      <c r="G36" s="155">
        <f t="shared" si="2"/>
        <v>6.5301558459710671</v>
      </c>
      <c r="H36" s="155">
        <f>C36/B36*100</f>
        <v>68.074558983044398</v>
      </c>
      <c r="I36" s="443">
        <v>72.7</v>
      </c>
      <c r="J36" s="443">
        <v>63.6</v>
      </c>
    </row>
    <row r="37" spans="1:10">
      <c r="A37" s="1109"/>
      <c r="B37" s="298" t="s">
        <v>802</v>
      </c>
      <c r="C37" s="298"/>
      <c r="D37" s="298"/>
      <c r="E37" s="298"/>
      <c r="F37" s="298" t="s">
        <v>655</v>
      </c>
      <c r="G37" s="298"/>
      <c r="H37" s="298"/>
      <c r="I37" s="298"/>
      <c r="J37" s="298"/>
    </row>
    <row r="38" spans="1:10">
      <c r="A38" s="297" t="s">
        <v>603</v>
      </c>
      <c r="B38" s="159">
        <f>(POWER(B17/B9, 1/8)-1)*100</f>
        <v>1.7936497260445883</v>
      </c>
      <c r="C38" s="159">
        <f>(POWER(C17/C9, 1/8)-1)*100</f>
        <v>2.2103450621751453</v>
      </c>
      <c r="D38" s="159">
        <f>(POWER(D17/D9, 1/8)-1)*100</f>
        <v>2.4238718723393893</v>
      </c>
      <c r="E38" s="159">
        <f>(POWER(E17/E9, 1/8)-1)*100</f>
        <v>-1.2252140994230554</v>
      </c>
      <c r="F38" s="156">
        <f>F17-F9</f>
        <v>3.2014461559492702</v>
      </c>
      <c r="G38" s="156">
        <f>G17-G9</f>
        <v>-1.574957803490026</v>
      </c>
      <c r="H38" s="156">
        <f>H17-H9</f>
        <v>2.2492147121466104</v>
      </c>
      <c r="I38" s="156">
        <f>I17-I9</f>
        <v>-1.5</v>
      </c>
      <c r="J38" s="156">
        <f>J17-J9</f>
        <v>5.6999999999999957</v>
      </c>
    </row>
    <row r="39" spans="1:10">
      <c r="A39" s="297" t="s">
        <v>604</v>
      </c>
      <c r="B39" s="159">
        <f>(POWER(B28/B17, 1/11)-1)*100</f>
        <v>1.4935532089985326</v>
      </c>
      <c r="C39" s="159">
        <f>(POWER(C28/C17, 1/11)-1)*100</f>
        <v>1.0997251086549031</v>
      </c>
      <c r="D39" s="159">
        <f>(POWER(D28/D17, 1/11)-1)*100</f>
        <v>1.026464704408836</v>
      </c>
      <c r="E39" s="159">
        <f>(POWER(E28/E17, 1/11)-1)*100</f>
        <v>2.3981065899439491</v>
      </c>
      <c r="F39" s="156">
        <f>F28-F17</f>
        <v>-3.2876469989443038</v>
      </c>
      <c r="G39" s="156">
        <f>G28-G17</f>
        <v>0.75445516506641397</v>
      </c>
      <c r="H39" s="156">
        <f>H28-H17</f>
        <v>-2.9285931863593788</v>
      </c>
      <c r="I39" s="156">
        <f>I28-I17</f>
        <v>-5.5</v>
      </c>
      <c r="J39" s="156">
        <f>J28-J17</f>
        <v>-0.39999999999999858</v>
      </c>
    </row>
    <row r="40" spans="1:10">
      <c r="A40" s="297" t="s">
        <v>808</v>
      </c>
      <c r="B40" s="159">
        <f>(POWER(B33/B9, 1/24)-1)*100</f>
        <v>1.6579707314897885</v>
      </c>
      <c r="C40" s="159">
        <f>(POWER(C33/C9, 1/24)-1)*100</f>
        <v>1.6772099647411221</v>
      </c>
      <c r="D40" s="159">
        <f>(POWER(D33/D9, 1/24)-1)*100</f>
        <v>1.676689757901717</v>
      </c>
      <c r="E40" s="159">
        <f>(POWER(E33/E9, 1/24)-1)*100</f>
        <v>1.682250038458788</v>
      </c>
      <c r="F40" s="156">
        <f>F33-F9</f>
        <v>0.2801115615960299</v>
      </c>
      <c r="G40" s="156">
        <f>G33-G9</f>
        <v>7.8340668306493555E-3</v>
      </c>
      <c r="H40" s="156">
        <f>H33-H9</f>
        <v>0.30818920222903046</v>
      </c>
      <c r="I40" s="156">
        <f>I33-I9</f>
        <v>-6.7999999999999972</v>
      </c>
      <c r="J40" s="156">
        <f>J33-J9</f>
        <v>7</v>
      </c>
    </row>
    <row r="41" spans="1:10">
      <c r="A41" s="297" t="s">
        <v>819</v>
      </c>
      <c r="B41" s="159">
        <f>(POWER(B34/B9, 1/25)-1)*100</f>
        <v>1.6546471032032439</v>
      </c>
      <c r="C41" s="159">
        <f>(POWER(C34/C9, 1/25)-1)*100</f>
        <v>1.6557374727093288</v>
      </c>
      <c r="D41" s="159">
        <f>(POWER(D34/D9, 1/25)-1)*100</f>
        <v>1.6690115592683519</v>
      </c>
      <c r="E41" s="159">
        <f>(POWER(E34/E9, 1/25)-1)*100</f>
        <v>1.4612754403929173</v>
      </c>
      <c r="F41" s="156">
        <f>F34-F9</f>
        <v>0.223818821524155</v>
      </c>
      <c r="G41" s="156">
        <f>G34-G9</f>
        <v>-0.30762425251695369</v>
      </c>
      <c r="H41" s="156">
        <f>H34-H9</f>
        <v>1.8157528293016867E-2</v>
      </c>
      <c r="I41" s="156">
        <f>I34-I9</f>
        <v>-7.5</v>
      </c>
      <c r="J41" s="156">
        <f>J34-J9</f>
        <v>7.1999999999999957</v>
      </c>
    </row>
    <row r="42" spans="1:10">
      <c r="A42" s="297" t="s">
        <v>447</v>
      </c>
      <c r="B42" s="159">
        <f>(POWER(B35/B9, 1/26)-1)*100</f>
        <v>1.640841665627768</v>
      </c>
      <c r="C42" s="159">
        <f>(POWER(C35/C9, 1/26)-1)*100</f>
        <v>1.6565713773792012</v>
      </c>
      <c r="D42" s="159">
        <f>(POWER(D35/D9, 1/26)-1)*100</f>
        <v>1.6647062748602393</v>
      </c>
      <c r="E42" s="159">
        <f>(POWER(E35/E9, 1/26)-1)*100</f>
        <v>1.5379763969383786</v>
      </c>
      <c r="F42" s="156">
        <f>F35-F9</f>
        <v>0.38725106110073426</v>
      </c>
      <c r="G42" s="156">
        <f>G35-G9</f>
        <v>-0.19674290959458141</v>
      </c>
      <c r="H42" s="156">
        <f>H35-H9</f>
        <v>0.27294841534275349</v>
      </c>
      <c r="I42" s="156">
        <f>I35-I9</f>
        <v>-7.7000000000000028</v>
      </c>
      <c r="J42" s="156">
        <f>J35-J9</f>
        <v>7.7999999999999972</v>
      </c>
    </row>
    <row r="43" spans="1:10">
      <c r="A43" s="297" t="s">
        <v>1408</v>
      </c>
      <c r="B43" s="159">
        <f>(POWER(B36/B9, 1/27)-1)*100</f>
        <v>1.6330353346833748</v>
      </c>
      <c r="C43" s="159">
        <f>(POWER(C36/C9, 1/27)-1)*100</f>
        <v>1.6535831870497342</v>
      </c>
      <c r="D43" s="159">
        <f>(POWER(D36/D9, 1/27)-1)*100</f>
        <v>1.655558265209045</v>
      </c>
      <c r="E43" s="159">
        <f>(POWER(E36/E9, 1/27)-1)*100</f>
        <v>1.6241850326904839</v>
      </c>
      <c r="F43" s="156">
        <f>F36-F9</f>
        <v>0.37954519550497423</v>
      </c>
      <c r="G43" s="156">
        <f>G36-G9</f>
        <v>-5.1196987666958016E-2</v>
      </c>
      <c r="H43" s="156">
        <f>H36-H9</f>
        <v>0.37055403211168425</v>
      </c>
      <c r="I43" s="156">
        <f>I36-I9</f>
        <v>-7.5999999999999943</v>
      </c>
      <c r="J43" s="156">
        <f>J36-J9</f>
        <v>7.8999999999999986</v>
      </c>
    </row>
    <row r="44" spans="1:10">
      <c r="A44" s="297" t="s">
        <v>449</v>
      </c>
      <c r="B44" s="159">
        <f>(POWER(B35/B28, 1/7)-1)*100</f>
        <v>1.6979722286421417</v>
      </c>
      <c r="C44" s="159">
        <f>(POWER(C35/C28, 1/7)-1)*100</f>
        <v>1.9031528717466273</v>
      </c>
      <c r="D44" s="159">
        <f>(POWER(D35/D28, 1/7)-1)*100</f>
        <v>1.8065231300045559</v>
      </c>
      <c r="E44" s="159">
        <f>(POWER(E35/E28, 1/7)-1)*100</f>
        <v>3.4107948961564771</v>
      </c>
      <c r="F44" s="156">
        <f>F35-F28</f>
        <v>0.47345190409576787</v>
      </c>
      <c r="G44" s="156">
        <f>G35-G28</f>
        <v>0.62375972882903064</v>
      </c>
      <c r="H44" s="156">
        <f>H35-H28</f>
        <v>0.95232688955552192</v>
      </c>
      <c r="I44" s="156">
        <f>I35-I28</f>
        <v>-0.70000000000000284</v>
      </c>
      <c r="J44" s="156">
        <f>J35-J28</f>
        <v>2.5</v>
      </c>
    </row>
    <row r="45" spans="1:10">
      <c r="A45" s="297" t="s">
        <v>1410</v>
      </c>
      <c r="B45" s="159">
        <f>(POWER(B36/B28, 1/8)-1)*100</f>
        <v>1.6644722322716188</v>
      </c>
      <c r="C45" s="159">
        <f>(POWER(C36/C28, 1/8)-1)*100</f>
        <v>1.862191313856032</v>
      </c>
      <c r="D45" s="159">
        <f>(POWER(D36/D28, 1/8)-1)*100</f>
        <v>1.7578762989783892</v>
      </c>
      <c r="E45" s="159">
        <f>(POWER(E36/E28, 1/8)-1)*100</f>
        <v>3.4707590954896839</v>
      </c>
      <c r="F45" s="156">
        <f>F36-F28</f>
        <v>0.46574603850000784</v>
      </c>
      <c r="G45" s="156">
        <f>G36-G28</f>
        <v>0.76930565075665402</v>
      </c>
      <c r="H45" s="156">
        <f>H36-H28</f>
        <v>1.0499325063244527</v>
      </c>
      <c r="I45" s="156">
        <f>I36-I28</f>
        <v>-0.59999999999999432</v>
      </c>
      <c r="J45" s="156">
        <f>J36-J28</f>
        <v>2.6000000000000014</v>
      </c>
    </row>
    <row r="46" spans="1:10" ht="25.5" customHeight="1">
      <c r="A46" s="1254" t="s">
        <v>1561</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0" orientation="portrait" horizontalDpi="4294967292" verticalDpi="0" r:id="rId1"/>
  <headerFooter alignWithMargins="0"/>
</worksheet>
</file>

<file path=xl/worksheets/sheet148.xml><?xml version="1.0" encoding="utf-8"?>
<worksheet xmlns="http://schemas.openxmlformats.org/spreadsheetml/2006/main" xmlns:r="http://schemas.openxmlformats.org/officeDocument/2006/relationships">
  <sheetPr codeName="Sheet119">
    <pageSetUpPr fitToPage="1"/>
  </sheetPr>
  <dimension ref="A1:J49"/>
  <sheetViews>
    <sheetView view="pageBreakPreview" zoomScale="70" zoomScaleSheetLayoutView="7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0.42578125" style="149" customWidth="1"/>
    <col min="2" max="2" width="10.28515625" style="149" customWidth="1"/>
    <col min="3" max="3" width="9" style="149" customWidth="1"/>
    <col min="4" max="4" width="10.7109375" style="149" customWidth="1"/>
    <col min="5" max="5" width="13.140625" style="149" customWidth="1"/>
    <col min="6" max="6" width="10.28515625" style="149" customWidth="1"/>
    <col min="7" max="7" width="13.140625" style="149" customWidth="1"/>
    <col min="8" max="8" width="10.85546875" style="149" customWidth="1"/>
    <col min="9" max="9" width="11.140625" style="149" customWidth="1"/>
    <col min="10" max="10" width="11.42578125" style="149" customWidth="1"/>
    <col min="11" max="16384" width="9.140625" style="149"/>
  </cols>
  <sheetData>
    <row r="1" spans="1:10" ht="18.600000000000001" customHeight="1">
      <c r="A1" s="1138" t="s">
        <v>1841</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737.5</v>
      </c>
      <c r="C4" s="442">
        <v>455.6</v>
      </c>
      <c r="D4" s="442">
        <v>434.4</v>
      </c>
      <c r="E4" s="442">
        <v>21.2</v>
      </c>
      <c r="F4" s="155">
        <f t="shared" ref="F4:G32" si="0">D4/B4*100</f>
        <v>58.901694915254232</v>
      </c>
      <c r="G4" s="155">
        <f t="shared" si="0"/>
        <v>4.6532045654082523</v>
      </c>
      <c r="H4" s="155">
        <f t="shared" ref="H4:H32" si="1">C4/B4*100</f>
        <v>61.776271186440681</v>
      </c>
      <c r="I4" s="443">
        <v>77.400000000000006</v>
      </c>
      <c r="J4" s="443">
        <v>46.7</v>
      </c>
    </row>
    <row r="5" spans="1:10">
      <c r="A5" s="297">
        <v>1977</v>
      </c>
      <c r="B5" s="442">
        <v>747.3</v>
      </c>
      <c r="C5" s="442">
        <v>464.4</v>
      </c>
      <c r="D5" s="442">
        <v>438.2</v>
      </c>
      <c r="E5" s="442">
        <v>26.3</v>
      </c>
      <c r="F5" s="155">
        <f t="shared" si="0"/>
        <v>58.637762612070119</v>
      </c>
      <c r="G5" s="155">
        <f t="shared" si="0"/>
        <v>5.66322136089578</v>
      </c>
      <c r="H5" s="155">
        <f t="shared" si="1"/>
        <v>62.143717382577279</v>
      </c>
      <c r="I5" s="443">
        <v>77.2</v>
      </c>
      <c r="J5" s="443">
        <v>47.7</v>
      </c>
    </row>
    <row r="6" spans="1:10">
      <c r="A6" s="297">
        <v>1978</v>
      </c>
      <c r="B6" s="442">
        <v>754.6</v>
      </c>
      <c r="C6" s="442">
        <v>475.4</v>
      </c>
      <c r="D6" s="442">
        <v>444.4</v>
      </c>
      <c r="E6" s="442">
        <v>31</v>
      </c>
      <c r="F6" s="155">
        <f t="shared" si="0"/>
        <v>58.89212827988338</v>
      </c>
      <c r="G6" s="155">
        <f t="shared" si="0"/>
        <v>6.5208245687841826</v>
      </c>
      <c r="H6" s="155">
        <f t="shared" si="1"/>
        <v>63.000265041081363</v>
      </c>
      <c r="I6" s="443">
        <v>77.900000000000006</v>
      </c>
      <c r="J6" s="443">
        <v>48.7</v>
      </c>
    </row>
    <row r="7" spans="1:10">
      <c r="A7" s="297">
        <v>1979</v>
      </c>
      <c r="B7" s="442">
        <v>757.4</v>
      </c>
      <c r="C7" s="442">
        <v>481.1</v>
      </c>
      <c r="D7" s="442">
        <v>454.6</v>
      </c>
      <c r="E7" s="442">
        <v>26.5</v>
      </c>
      <c r="F7" s="155">
        <f t="shared" si="0"/>
        <v>60.021124900977028</v>
      </c>
      <c r="G7" s="155">
        <f t="shared" si="0"/>
        <v>5.5082103512783203</v>
      </c>
      <c r="H7" s="155">
        <f t="shared" si="1"/>
        <v>63.519936625297071</v>
      </c>
      <c r="I7" s="443">
        <v>78</v>
      </c>
      <c r="J7" s="443">
        <v>49.6</v>
      </c>
    </row>
    <row r="8" spans="1:10">
      <c r="A8" s="297">
        <v>1980</v>
      </c>
      <c r="B8" s="442">
        <v>760.4</v>
      </c>
      <c r="C8" s="442">
        <v>488.9</v>
      </c>
      <c r="D8" s="442">
        <v>462</v>
      </c>
      <c r="E8" s="442">
        <v>26.8</v>
      </c>
      <c r="F8" s="155">
        <f t="shared" si="0"/>
        <v>60.757496054708049</v>
      </c>
      <c r="G8" s="155">
        <f t="shared" si="0"/>
        <v>5.4816935978727761</v>
      </c>
      <c r="H8" s="155">
        <f t="shared" si="1"/>
        <v>64.295107837980012</v>
      </c>
      <c r="I8" s="443">
        <v>78.3</v>
      </c>
      <c r="J8" s="443">
        <v>50.9</v>
      </c>
    </row>
    <row r="9" spans="1:10">
      <c r="A9" s="297">
        <v>1981</v>
      </c>
      <c r="B9" s="442">
        <v>765.5</v>
      </c>
      <c r="C9" s="442">
        <v>498.4</v>
      </c>
      <c r="D9" s="442">
        <v>468.8</v>
      </c>
      <c r="E9" s="442">
        <v>29.7</v>
      </c>
      <c r="F9" s="155">
        <f t="shared" si="0"/>
        <v>61.241018941868063</v>
      </c>
      <c r="G9" s="155">
        <f t="shared" si="0"/>
        <v>5.9590690208667736</v>
      </c>
      <c r="H9" s="155">
        <f t="shared" si="1"/>
        <v>65.107772697583272</v>
      </c>
      <c r="I9" s="443">
        <v>78.2</v>
      </c>
      <c r="J9" s="443">
        <v>52.6</v>
      </c>
    </row>
    <row r="10" spans="1:10">
      <c r="A10" s="297">
        <v>1982</v>
      </c>
      <c r="B10" s="442">
        <v>774.4</v>
      </c>
      <c r="C10" s="442">
        <v>503.2</v>
      </c>
      <c r="D10" s="442">
        <v>460.3</v>
      </c>
      <c r="E10" s="442">
        <v>42.9</v>
      </c>
      <c r="F10" s="155">
        <f t="shared" si="0"/>
        <v>59.439566115702483</v>
      </c>
      <c r="G10" s="155">
        <f t="shared" si="0"/>
        <v>8.5254372019077902</v>
      </c>
      <c r="H10" s="155">
        <f t="shared" si="1"/>
        <v>64.97933884297521</v>
      </c>
      <c r="I10" s="443">
        <v>77.099999999999994</v>
      </c>
      <c r="J10" s="443">
        <v>53.5</v>
      </c>
    </row>
    <row r="11" spans="1:10">
      <c r="A11" s="297">
        <v>1983</v>
      </c>
      <c r="B11" s="442">
        <v>785.8</v>
      </c>
      <c r="C11" s="442">
        <v>517.1</v>
      </c>
      <c r="D11" s="442">
        <v>467.9</v>
      </c>
      <c r="E11" s="442">
        <v>49.1</v>
      </c>
      <c r="F11" s="155">
        <f t="shared" si="0"/>
        <v>59.544413336726898</v>
      </c>
      <c r="G11" s="155">
        <f t="shared" si="0"/>
        <v>9.4952620382904662</v>
      </c>
      <c r="H11" s="155">
        <f t="shared" si="1"/>
        <v>65.805548485619752</v>
      </c>
      <c r="I11" s="443">
        <v>77.3</v>
      </c>
      <c r="J11" s="443">
        <v>54.9</v>
      </c>
    </row>
    <row r="12" spans="1:10">
      <c r="A12" s="297">
        <v>1984</v>
      </c>
      <c r="B12" s="442">
        <v>795.6</v>
      </c>
      <c r="C12" s="442">
        <v>523.9</v>
      </c>
      <c r="D12" s="442">
        <v>479.1</v>
      </c>
      <c r="E12" s="442">
        <v>44.8</v>
      </c>
      <c r="F12" s="155">
        <f t="shared" si="0"/>
        <v>60.218702865761685</v>
      </c>
      <c r="G12" s="155">
        <f t="shared" si="0"/>
        <v>8.5512502385951503</v>
      </c>
      <c r="H12" s="155">
        <f t="shared" si="1"/>
        <v>65.849673202614383</v>
      </c>
      <c r="I12" s="443">
        <v>77.2</v>
      </c>
      <c r="J12" s="443">
        <v>55</v>
      </c>
    </row>
    <row r="13" spans="1:10">
      <c r="A13" s="297">
        <v>1985</v>
      </c>
      <c r="B13" s="442">
        <v>805.1</v>
      </c>
      <c r="C13" s="442">
        <v>529.79999999999995</v>
      </c>
      <c r="D13" s="442">
        <v>485.2</v>
      </c>
      <c r="E13" s="442">
        <v>44.6</v>
      </c>
      <c r="F13" s="155">
        <f t="shared" si="0"/>
        <v>60.265805490001235</v>
      </c>
      <c r="G13" s="155">
        <f t="shared" si="0"/>
        <v>8.4182710456776153</v>
      </c>
      <c r="H13" s="155">
        <f t="shared" si="1"/>
        <v>65.805490001242077</v>
      </c>
      <c r="I13" s="443">
        <v>76.5</v>
      </c>
      <c r="J13" s="443">
        <v>55.6</v>
      </c>
    </row>
    <row r="14" spans="1:10">
      <c r="A14" s="297">
        <v>1986</v>
      </c>
      <c r="B14" s="442">
        <v>813.2</v>
      </c>
      <c r="C14" s="442">
        <v>541</v>
      </c>
      <c r="D14" s="442">
        <v>498.9</v>
      </c>
      <c r="E14" s="442">
        <v>42.1</v>
      </c>
      <c r="F14" s="155">
        <f t="shared" si="0"/>
        <v>61.350221347761924</v>
      </c>
      <c r="G14" s="155">
        <f t="shared" si="0"/>
        <v>7.7818853974122</v>
      </c>
      <c r="H14" s="155">
        <f t="shared" si="1"/>
        <v>66.527299557304474</v>
      </c>
      <c r="I14" s="443">
        <v>76.7</v>
      </c>
      <c r="J14" s="443">
        <v>56.8</v>
      </c>
    </row>
    <row r="15" spans="1:10">
      <c r="A15" s="297">
        <v>1987</v>
      </c>
      <c r="B15" s="442">
        <v>818.4</v>
      </c>
      <c r="C15" s="442">
        <v>545.9</v>
      </c>
      <c r="D15" s="442">
        <v>505.2</v>
      </c>
      <c r="E15" s="442">
        <v>40.700000000000003</v>
      </c>
      <c r="F15" s="155">
        <f t="shared" si="0"/>
        <v>61.730205278592379</v>
      </c>
      <c r="G15" s="155">
        <f t="shared" si="0"/>
        <v>7.455577944678514</v>
      </c>
      <c r="H15" s="155">
        <f t="shared" si="1"/>
        <v>66.703323558162268</v>
      </c>
      <c r="I15" s="443">
        <v>76.099999999999994</v>
      </c>
      <c r="J15" s="443">
        <v>57.7</v>
      </c>
    </row>
    <row r="16" spans="1:10">
      <c r="A16" s="297">
        <v>1988</v>
      </c>
      <c r="B16" s="442">
        <v>821.4</v>
      </c>
      <c r="C16" s="442">
        <v>548.70000000000005</v>
      </c>
      <c r="D16" s="442">
        <v>506.3</v>
      </c>
      <c r="E16" s="442">
        <v>42.4</v>
      </c>
      <c r="F16" s="155">
        <f t="shared" si="0"/>
        <v>61.638665692719755</v>
      </c>
      <c r="G16" s="155">
        <f t="shared" si="0"/>
        <v>7.7273555677054855</v>
      </c>
      <c r="H16" s="155">
        <f t="shared" si="1"/>
        <v>66.800584368151945</v>
      </c>
      <c r="I16" s="443">
        <v>76</v>
      </c>
      <c r="J16" s="443">
        <v>57.9</v>
      </c>
    </row>
    <row r="17" spans="1:10">
      <c r="A17" s="297">
        <v>1989</v>
      </c>
      <c r="B17" s="442">
        <v>822.5</v>
      </c>
      <c r="C17" s="442">
        <v>554.1</v>
      </c>
      <c r="D17" s="442">
        <v>512.70000000000005</v>
      </c>
      <c r="E17" s="442">
        <v>41.4</v>
      </c>
      <c r="F17" s="155">
        <f t="shared" si="0"/>
        <v>62.334346504559278</v>
      </c>
      <c r="G17" s="155">
        <f t="shared" si="0"/>
        <v>7.4715755278830533</v>
      </c>
      <c r="H17" s="155">
        <f t="shared" si="1"/>
        <v>67.367781155015209</v>
      </c>
      <c r="I17" s="443">
        <v>76.099999999999994</v>
      </c>
      <c r="J17" s="443">
        <v>59</v>
      </c>
    </row>
    <row r="18" spans="1:10">
      <c r="A18" s="297">
        <v>1990</v>
      </c>
      <c r="B18" s="442">
        <v>824.2</v>
      </c>
      <c r="C18" s="442">
        <v>554.6</v>
      </c>
      <c r="D18" s="442">
        <v>513.79999999999995</v>
      </c>
      <c r="E18" s="442">
        <v>40.9</v>
      </c>
      <c r="F18" s="155">
        <f t="shared" si="0"/>
        <v>62.339238049017219</v>
      </c>
      <c r="G18" s="155">
        <f t="shared" si="0"/>
        <v>7.3746844572664978</v>
      </c>
      <c r="H18" s="155">
        <f t="shared" si="1"/>
        <v>67.289492841543321</v>
      </c>
      <c r="I18" s="443">
        <v>75.900000000000006</v>
      </c>
      <c r="J18" s="443">
        <v>59</v>
      </c>
    </row>
    <row r="19" spans="1:10">
      <c r="A19" s="297">
        <v>1991</v>
      </c>
      <c r="B19" s="442">
        <v>827.3</v>
      </c>
      <c r="C19" s="442">
        <v>554.5</v>
      </c>
      <c r="D19" s="442">
        <v>506.8</v>
      </c>
      <c r="E19" s="442">
        <v>47.7</v>
      </c>
      <c r="F19" s="155">
        <f t="shared" si="0"/>
        <v>61.25951891695879</v>
      </c>
      <c r="G19" s="155">
        <f t="shared" si="0"/>
        <v>8.6023444544634806</v>
      </c>
      <c r="H19" s="155">
        <f t="shared" si="1"/>
        <v>67.025262903420767</v>
      </c>
      <c r="I19" s="443">
        <v>75.3</v>
      </c>
      <c r="J19" s="443">
        <v>59.1</v>
      </c>
    </row>
    <row r="20" spans="1:10">
      <c r="A20" s="297">
        <v>1992</v>
      </c>
      <c r="B20" s="442">
        <v>828.6</v>
      </c>
      <c r="C20" s="442">
        <v>551</v>
      </c>
      <c r="D20" s="442">
        <v>499.9</v>
      </c>
      <c r="E20" s="442">
        <v>51.1</v>
      </c>
      <c r="F20" s="155">
        <f t="shared" si="0"/>
        <v>60.330678252474044</v>
      </c>
      <c r="G20" s="155">
        <f t="shared" si="0"/>
        <v>9.2740471869328509</v>
      </c>
      <c r="H20" s="155">
        <f t="shared" si="1"/>
        <v>66.497706975621526</v>
      </c>
      <c r="I20" s="443">
        <v>74.2</v>
      </c>
      <c r="J20" s="443">
        <v>59.1</v>
      </c>
    </row>
    <row r="21" spans="1:10">
      <c r="A21" s="297">
        <v>1993</v>
      </c>
      <c r="B21" s="442">
        <v>831</v>
      </c>
      <c r="C21" s="442">
        <v>555.6</v>
      </c>
      <c r="D21" s="442">
        <v>503.8</v>
      </c>
      <c r="E21" s="442">
        <v>51.8</v>
      </c>
      <c r="F21" s="155">
        <f t="shared" si="0"/>
        <v>60.62575210589651</v>
      </c>
      <c r="G21" s="155">
        <f t="shared" si="0"/>
        <v>9.3232541396688262</v>
      </c>
      <c r="H21" s="155">
        <f t="shared" si="1"/>
        <v>66.859205776173297</v>
      </c>
      <c r="I21" s="443">
        <v>74.5</v>
      </c>
      <c r="J21" s="443">
        <v>59.5</v>
      </c>
    </row>
    <row r="22" spans="1:10">
      <c r="A22" s="297">
        <v>1994</v>
      </c>
      <c r="B22" s="442">
        <v>833.5</v>
      </c>
      <c r="C22" s="442">
        <v>556.29999999999995</v>
      </c>
      <c r="D22" s="442">
        <v>507.7</v>
      </c>
      <c r="E22" s="442">
        <v>48.7</v>
      </c>
      <c r="F22" s="155">
        <f t="shared" si="0"/>
        <v>60.911817636472712</v>
      </c>
      <c r="G22" s="155">
        <f t="shared" si="0"/>
        <v>8.7542692791659196</v>
      </c>
      <c r="H22" s="155">
        <f t="shared" si="1"/>
        <v>66.742651469706047</v>
      </c>
      <c r="I22" s="443">
        <v>75.2</v>
      </c>
      <c r="J22" s="443">
        <v>58.6</v>
      </c>
    </row>
    <row r="23" spans="1:10">
      <c r="A23" s="297">
        <v>1995</v>
      </c>
      <c r="B23" s="442">
        <v>836.4</v>
      </c>
      <c r="C23" s="442">
        <v>556.9</v>
      </c>
      <c r="D23" s="442">
        <v>516.5</v>
      </c>
      <c r="E23" s="442">
        <v>40.4</v>
      </c>
      <c r="F23" s="155">
        <f t="shared" si="0"/>
        <v>61.752749880439985</v>
      </c>
      <c r="G23" s="155">
        <f t="shared" si="0"/>
        <v>7.2544442449272761</v>
      </c>
      <c r="H23" s="155">
        <f t="shared" si="1"/>
        <v>66.58297465327594</v>
      </c>
      <c r="I23" s="443">
        <v>74.099999999999994</v>
      </c>
      <c r="J23" s="443">
        <v>59.4</v>
      </c>
    </row>
    <row r="24" spans="1:10">
      <c r="A24" s="297">
        <v>1996</v>
      </c>
      <c r="B24" s="442">
        <v>840.2</v>
      </c>
      <c r="C24" s="442">
        <v>558</v>
      </c>
      <c r="D24" s="442">
        <v>517.4</v>
      </c>
      <c r="E24" s="442">
        <v>40.6</v>
      </c>
      <c r="F24" s="155">
        <f t="shared" si="0"/>
        <v>61.580576053320634</v>
      </c>
      <c r="G24" s="155">
        <f t="shared" si="0"/>
        <v>7.2759856630824373</v>
      </c>
      <c r="H24" s="155">
        <f t="shared" si="1"/>
        <v>66.412758866936443</v>
      </c>
      <c r="I24" s="443">
        <v>74.2</v>
      </c>
      <c r="J24" s="443">
        <v>58.9</v>
      </c>
    </row>
    <row r="25" spans="1:10">
      <c r="A25" s="297">
        <v>1997</v>
      </c>
      <c r="B25" s="442">
        <v>843.1</v>
      </c>
      <c r="C25" s="442">
        <v>562.1</v>
      </c>
      <c r="D25" s="442">
        <v>525.6</v>
      </c>
      <c r="E25" s="442">
        <v>36.5</v>
      </c>
      <c r="F25" s="155">
        <f t="shared" si="0"/>
        <v>62.34135926936306</v>
      </c>
      <c r="G25" s="155">
        <f t="shared" si="0"/>
        <v>6.4935064935064926</v>
      </c>
      <c r="H25" s="155">
        <f t="shared" si="1"/>
        <v>66.670620329735499</v>
      </c>
      <c r="I25" s="443">
        <v>74.099999999999994</v>
      </c>
      <c r="J25" s="443">
        <v>59.5</v>
      </c>
    </row>
    <row r="26" spans="1:10">
      <c r="A26" s="297">
        <v>1998</v>
      </c>
      <c r="B26" s="442">
        <v>845.4</v>
      </c>
      <c r="C26" s="442">
        <v>565.79999999999995</v>
      </c>
      <c r="D26" s="442">
        <v>534.20000000000005</v>
      </c>
      <c r="E26" s="442">
        <v>31.6</v>
      </c>
      <c r="F26" s="155">
        <f t="shared" si="0"/>
        <v>63.189022947717064</v>
      </c>
      <c r="G26" s="155">
        <f t="shared" si="0"/>
        <v>5.5850123718628497</v>
      </c>
      <c r="H26" s="155">
        <f t="shared" si="1"/>
        <v>66.92689850958125</v>
      </c>
      <c r="I26" s="443">
        <v>74.3</v>
      </c>
      <c r="J26" s="443">
        <v>59.8</v>
      </c>
    </row>
    <row r="27" spans="1:10">
      <c r="A27" s="297">
        <v>1999</v>
      </c>
      <c r="B27" s="442">
        <v>850.5</v>
      </c>
      <c r="C27" s="442">
        <v>573.70000000000005</v>
      </c>
      <c r="D27" s="442">
        <v>541.4</v>
      </c>
      <c r="E27" s="442">
        <v>32.299999999999997</v>
      </c>
      <c r="F27" s="155">
        <f t="shared" si="0"/>
        <v>63.656672545561435</v>
      </c>
      <c r="G27" s="155">
        <f t="shared" si="0"/>
        <v>5.6301202719191208</v>
      </c>
      <c r="H27" s="155">
        <f t="shared" si="1"/>
        <v>67.45443856554968</v>
      </c>
      <c r="I27" s="443">
        <v>74.599999999999994</v>
      </c>
      <c r="J27" s="443">
        <v>60.6</v>
      </c>
    </row>
    <row r="28" spans="1:10">
      <c r="A28" s="297">
        <v>2000</v>
      </c>
      <c r="B28" s="442">
        <v>856</v>
      </c>
      <c r="C28" s="442">
        <v>581.1</v>
      </c>
      <c r="D28" s="442">
        <v>552.29999999999995</v>
      </c>
      <c r="E28" s="442">
        <v>28.8</v>
      </c>
      <c r="F28" s="155">
        <f t="shared" si="0"/>
        <v>64.521028037383175</v>
      </c>
      <c r="G28" s="155">
        <f t="shared" si="0"/>
        <v>4.9561177077955598</v>
      </c>
      <c r="H28" s="155">
        <f t="shared" si="1"/>
        <v>67.885514018691595</v>
      </c>
      <c r="I28" s="443">
        <v>74.8</v>
      </c>
      <c r="J28" s="443">
        <v>61.2</v>
      </c>
    </row>
    <row r="29" spans="1:10">
      <c r="A29" s="297">
        <v>2001</v>
      </c>
      <c r="B29" s="442">
        <v>861.1</v>
      </c>
      <c r="C29" s="442">
        <v>583.70000000000005</v>
      </c>
      <c r="D29" s="442">
        <v>554.29999999999995</v>
      </c>
      <c r="E29" s="442">
        <v>29.5</v>
      </c>
      <c r="F29" s="155">
        <f t="shared" si="0"/>
        <v>64.371153176169997</v>
      </c>
      <c r="G29" s="155">
        <f t="shared" si="0"/>
        <v>5.0539660784649643</v>
      </c>
      <c r="H29" s="155">
        <f t="shared" si="1"/>
        <v>67.785390779235868</v>
      </c>
      <c r="I29" s="443">
        <v>74.599999999999994</v>
      </c>
      <c r="J29" s="443">
        <v>61.2</v>
      </c>
    </row>
    <row r="30" spans="1:10">
      <c r="A30" s="297">
        <v>2002</v>
      </c>
      <c r="B30" s="442">
        <v>866.5</v>
      </c>
      <c r="C30" s="442">
        <v>597.79999999999995</v>
      </c>
      <c r="D30" s="442">
        <v>567.20000000000005</v>
      </c>
      <c r="E30" s="442">
        <v>30.6</v>
      </c>
      <c r="F30" s="155">
        <f t="shared" si="0"/>
        <v>65.458742065781877</v>
      </c>
      <c r="G30" s="155">
        <f t="shared" si="0"/>
        <v>5.1187688190030123</v>
      </c>
      <c r="H30" s="155">
        <f t="shared" si="1"/>
        <v>68.990190421234843</v>
      </c>
      <c r="I30" s="443">
        <v>75.3</v>
      </c>
      <c r="J30" s="443">
        <v>62.9</v>
      </c>
    </row>
    <row r="31" spans="1:10">
      <c r="A31" s="297">
        <v>2003</v>
      </c>
      <c r="B31" s="442">
        <v>873.6</v>
      </c>
      <c r="C31" s="442">
        <v>600.29999999999995</v>
      </c>
      <c r="D31" s="442">
        <v>570.29999999999995</v>
      </c>
      <c r="E31" s="442">
        <v>30</v>
      </c>
      <c r="F31" s="155">
        <f t="shared" si="0"/>
        <v>65.281593406593402</v>
      </c>
      <c r="G31" s="155">
        <f t="shared" si="0"/>
        <v>4.997501249375313</v>
      </c>
      <c r="H31" s="155">
        <f t="shared" si="1"/>
        <v>68.715659340659329</v>
      </c>
      <c r="I31" s="443">
        <v>75</v>
      </c>
      <c r="J31" s="443">
        <v>62.7</v>
      </c>
    </row>
    <row r="32" spans="1:10">
      <c r="A32" s="297">
        <v>2004</v>
      </c>
      <c r="B32" s="442">
        <v>881.8</v>
      </c>
      <c r="C32" s="442">
        <v>608.9</v>
      </c>
      <c r="D32" s="442">
        <v>576.6</v>
      </c>
      <c r="E32" s="442">
        <v>32.299999999999997</v>
      </c>
      <c r="F32" s="155">
        <f t="shared" si="0"/>
        <v>65.38897709231118</v>
      </c>
      <c r="G32" s="155">
        <f t="shared" si="0"/>
        <v>5.3046477254064701</v>
      </c>
      <c r="H32" s="155">
        <f t="shared" si="1"/>
        <v>69.051939215241561</v>
      </c>
      <c r="I32" s="443">
        <v>74.900000000000006</v>
      </c>
      <c r="J32" s="443">
        <v>63.4</v>
      </c>
    </row>
    <row r="33" spans="1:10">
      <c r="A33" s="297">
        <v>2005</v>
      </c>
      <c r="B33" s="442">
        <v>888.6</v>
      </c>
      <c r="C33" s="442">
        <v>609.4</v>
      </c>
      <c r="D33" s="442">
        <v>580.29999999999995</v>
      </c>
      <c r="E33" s="442">
        <v>29.1</v>
      </c>
      <c r="F33" s="155">
        <f t="shared" ref="F33:G36" si="2">D33/B33*100</f>
        <v>65.304974116587886</v>
      </c>
      <c r="G33" s="155">
        <f t="shared" si="2"/>
        <v>4.7751887102067609</v>
      </c>
      <c r="H33" s="155">
        <f>C33/B33*100</f>
        <v>68.579788431240146</v>
      </c>
      <c r="I33" s="443">
        <v>74.599999999999994</v>
      </c>
      <c r="J33" s="443">
        <v>62.8</v>
      </c>
    </row>
    <row r="34" spans="1:10">
      <c r="A34" s="297">
        <v>2006</v>
      </c>
      <c r="B34" s="442">
        <v>892</v>
      </c>
      <c r="C34" s="442">
        <v>613.5</v>
      </c>
      <c r="D34" s="442">
        <v>587</v>
      </c>
      <c r="E34" s="442">
        <v>26.5</v>
      </c>
      <c r="F34" s="155">
        <f t="shared" si="2"/>
        <v>65.807174887892373</v>
      </c>
      <c r="G34" s="155">
        <f t="shared" si="2"/>
        <v>4.3194784026079871</v>
      </c>
      <c r="H34" s="155">
        <f>C34/B34*100</f>
        <v>68.778026905829591</v>
      </c>
      <c r="I34" s="443">
        <v>74.5</v>
      </c>
      <c r="J34" s="443">
        <v>63.3</v>
      </c>
    </row>
    <row r="35" spans="1:10">
      <c r="A35" s="297">
        <v>2007</v>
      </c>
      <c r="B35" s="442">
        <v>898.7</v>
      </c>
      <c r="C35" s="442">
        <v>623.9</v>
      </c>
      <c r="D35" s="442">
        <v>596.5</v>
      </c>
      <c r="E35" s="442">
        <v>27.4</v>
      </c>
      <c r="F35" s="155">
        <f t="shared" si="2"/>
        <v>66.373650828975187</v>
      </c>
      <c r="G35" s="155">
        <f t="shared" si="2"/>
        <v>4.3917294438211254</v>
      </c>
      <c r="H35" s="155">
        <f>C35/B35*100</f>
        <v>69.422499165461218</v>
      </c>
      <c r="I35" s="443">
        <v>75.400000000000006</v>
      </c>
      <c r="J35" s="443">
        <v>63.6</v>
      </c>
    </row>
    <row r="36" spans="1:10">
      <c r="A36" s="297">
        <v>2008</v>
      </c>
      <c r="B36" s="442">
        <v>909.7</v>
      </c>
      <c r="C36" s="442">
        <v>633</v>
      </c>
      <c r="D36" s="442">
        <v>606.70000000000005</v>
      </c>
      <c r="E36" s="442">
        <v>26.3</v>
      </c>
      <c r="F36" s="155">
        <f t="shared" si="2"/>
        <v>66.692316148180723</v>
      </c>
      <c r="G36" s="155">
        <f t="shared" si="2"/>
        <v>4.1548183254344391</v>
      </c>
      <c r="H36" s="155">
        <f>C36/B36*100</f>
        <v>69.583379135978902</v>
      </c>
      <c r="I36" s="443">
        <v>75.599999999999994</v>
      </c>
      <c r="J36" s="443">
        <v>63.7</v>
      </c>
    </row>
    <row r="37" spans="1:10">
      <c r="A37" s="1109"/>
      <c r="B37" s="298" t="s">
        <v>802</v>
      </c>
      <c r="C37" s="298"/>
      <c r="D37" s="298"/>
      <c r="E37" s="298"/>
      <c r="F37" s="298" t="s">
        <v>655</v>
      </c>
      <c r="G37" s="298"/>
      <c r="H37" s="298"/>
      <c r="I37" s="298"/>
      <c r="J37" s="298"/>
    </row>
    <row r="38" spans="1:10">
      <c r="A38" s="297" t="s">
        <v>603</v>
      </c>
      <c r="B38" s="159">
        <f>(POWER(B17/B9, 1/8)-1)*100</f>
        <v>0.90178262323610259</v>
      </c>
      <c r="C38" s="159">
        <f>(POWER(C17/C9, 1/8)-1)*100</f>
        <v>1.3330849960363045</v>
      </c>
      <c r="D38" s="159">
        <f>(POWER(D17/D9, 1/8)-1)*100</f>
        <v>1.1252164760206185</v>
      </c>
      <c r="E38" s="159">
        <f>(POWER(E17/E9, 1/8)-1)*100</f>
        <v>4.239060025180108</v>
      </c>
      <c r="F38" s="156">
        <f>F17-F9</f>
        <v>1.0933275626912149</v>
      </c>
      <c r="G38" s="156">
        <f>G17-G9</f>
        <v>1.5125065070162798</v>
      </c>
      <c r="H38" s="156">
        <f>H17-H9</f>
        <v>2.2600084574319368</v>
      </c>
      <c r="I38" s="156">
        <f>I17-I9</f>
        <v>-2.1000000000000085</v>
      </c>
      <c r="J38" s="156">
        <f>J17-J9</f>
        <v>6.3999999999999986</v>
      </c>
    </row>
    <row r="39" spans="1:10">
      <c r="A39" s="297" t="s">
        <v>604</v>
      </c>
      <c r="B39" s="159">
        <f>(POWER(B28/B17, 1/11)-1)*100</f>
        <v>0.36358567951872978</v>
      </c>
      <c r="C39" s="159">
        <f>(POWER(C28/C17, 1/11)-1)*100</f>
        <v>0.43346112960107597</v>
      </c>
      <c r="D39" s="159">
        <f>(POWER(D28/D17, 1/11)-1)*100</f>
        <v>0.67866069992044142</v>
      </c>
      <c r="E39" s="159">
        <f>(POWER(E28/E17, 1/11)-1)*100</f>
        <v>-3.245312778438092</v>
      </c>
      <c r="F39" s="156">
        <f>F28-F17</f>
        <v>2.1866815328238971</v>
      </c>
      <c r="G39" s="156">
        <f>G28-G17</f>
        <v>-2.5154578200874935</v>
      </c>
      <c r="H39" s="156">
        <f>H28-H17</f>
        <v>0.51773286367638605</v>
      </c>
      <c r="I39" s="156">
        <f>I28-I17</f>
        <v>-1.2999999999999972</v>
      </c>
      <c r="J39" s="156">
        <f>J28-J17</f>
        <v>2.2000000000000028</v>
      </c>
    </row>
    <row r="40" spans="1:10">
      <c r="A40" s="297" t="s">
        <v>808</v>
      </c>
      <c r="B40" s="159">
        <f>(POWER(B33/B9, 1/24)-1)*100</f>
        <v>0.62325912452796395</v>
      </c>
      <c r="C40" s="159">
        <f>(POWER(C33/C9, 1/24)-1)*100</f>
        <v>0.84131894170509369</v>
      </c>
      <c r="D40" s="159">
        <f>(POWER(D33/D9, 1/24)-1)*100</f>
        <v>0.89300106207972352</v>
      </c>
      <c r="E40" s="159">
        <f>(POWER(E33/E9, 1/24)-1)*100</f>
        <v>-8.5000818949432233E-2</v>
      </c>
      <c r="F40" s="156">
        <f>F33-F9</f>
        <v>4.0639551747198226</v>
      </c>
      <c r="G40" s="156">
        <f>G33-G9</f>
        <v>-1.1838803106600126</v>
      </c>
      <c r="H40" s="156">
        <f>H33-H9</f>
        <v>3.4720157336568747</v>
      </c>
      <c r="I40" s="156">
        <f>I33-I9</f>
        <v>-3.6000000000000085</v>
      </c>
      <c r="J40" s="156">
        <f>J33-J9</f>
        <v>10.199999999999996</v>
      </c>
    </row>
    <row r="41" spans="1:10">
      <c r="A41" s="297" t="s">
        <v>819</v>
      </c>
      <c r="B41" s="159">
        <f>(POWER(B34/B9, 1/25)-1)*100</f>
        <v>0.61362266745537131</v>
      </c>
      <c r="C41" s="159">
        <f>(POWER(C34/C9, 1/25)-1)*100</f>
        <v>0.83457248706573228</v>
      </c>
      <c r="D41" s="159">
        <f>(POWER(D34/D9, 1/25)-1)*100</f>
        <v>0.9034510298315368</v>
      </c>
      <c r="E41" s="159">
        <f>(POWER(E34/E9, 1/25)-1)*100</f>
        <v>-0.45497110768942806</v>
      </c>
      <c r="F41" s="156">
        <f>F34-F9</f>
        <v>4.5661559460243097</v>
      </c>
      <c r="G41" s="156">
        <f>G34-G9</f>
        <v>-1.6395906182587865</v>
      </c>
      <c r="H41" s="156">
        <f>H34-H9</f>
        <v>3.6702542082463196</v>
      </c>
      <c r="I41" s="156">
        <f>I34-I9</f>
        <v>-3.7000000000000028</v>
      </c>
      <c r="J41" s="156">
        <f>J34-J9</f>
        <v>10.699999999999996</v>
      </c>
    </row>
    <row r="42" spans="1:10">
      <c r="A42" s="297" t="s">
        <v>447</v>
      </c>
      <c r="B42" s="159">
        <f>(POWER(B35/B9, 1/26)-1)*100</f>
        <v>0.61890759631804126</v>
      </c>
      <c r="C42" s="159">
        <f>(POWER(C35/C9, 1/26)-1)*100</f>
        <v>0.86753814870974555</v>
      </c>
      <c r="D42" s="159">
        <f>(POWER(D35/D9, 1/26)-1)*100</f>
        <v>0.93085577529998798</v>
      </c>
      <c r="E42" s="159">
        <f>(POWER(E35/E9, 1/26)-1)*100</f>
        <v>-0.30953545741360111</v>
      </c>
      <c r="F42" s="156">
        <f>F35-F9</f>
        <v>5.1326318871071237</v>
      </c>
      <c r="G42" s="156">
        <f>G35-G9</f>
        <v>-1.5673395770456482</v>
      </c>
      <c r="H42" s="156">
        <f>H35-H9</f>
        <v>4.3147264678779464</v>
      </c>
      <c r="I42" s="156">
        <f>I35-I9</f>
        <v>-2.7999999999999972</v>
      </c>
      <c r="J42" s="156">
        <f>J35-J9</f>
        <v>11</v>
      </c>
    </row>
    <row r="43" spans="1:10">
      <c r="A43" s="297" t="s">
        <v>1408</v>
      </c>
      <c r="B43" s="159">
        <f>(POWER(B36/B9, 1/27)-1)*100</f>
        <v>0.64125342943546215</v>
      </c>
      <c r="C43" s="159">
        <f>(POWER(C36/C9, 1/27)-1)*100</f>
        <v>0.88936658841776151</v>
      </c>
      <c r="D43" s="159">
        <f>(POWER(D36/D9, 1/27)-1)*100</f>
        <v>0.95960532552961109</v>
      </c>
      <c r="E43" s="159">
        <f>(POWER(E36/E9, 1/27)-1)*100</f>
        <v>-0.44927700156998096</v>
      </c>
      <c r="F43" s="156">
        <f>F36-F9</f>
        <v>5.4512972063126597</v>
      </c>
      <c r="G43" s="156">
        <f>G36-G9</f>
        <v>-1.8042506954323345</v>
      </c>
      <c r="H43" s="156">
        <f>H36-H9</f>
        <v>4.47560643839563</v>
      </c>
      <c r="I43" s="156">
        <f>I36-I9</f>
        <v>-2.6000000000000085</v>
      </c>
      <c r="J43" s="156">
        <f>J36-J9</f>
        <v>11.100000000000001</v>
      </c>
    </row>
    <row r="44" spans="1:10">
      <c r="A44" s="297" t="s">
        <v>449</v>
      </c>
      <c r="B44" s="159">
        <f>(POWER(B35/B28, 1/7)-1)*100</f>
        <v>0.69783644587364524</v>
      </c>
      <c r="C44" s="159">
        <f>(POWER(C35/C28, 1/7)-1)*100</f>
        <v>1.0204173963514362</v>
      </c>
      <c r="D44" s="159">
        <f>(POWER(D35/D28, 1/7)-1)*100</f>
        <v>1.1058969646935868</v>
      </c>
      <c r="E44" s="159">
        <f>(POWER(E35/E28, 1/7)-1)*100</f>
        <v>-0.70936311146868603</v>
      </c>
      <c r="F44" s="156">
        <f>F35-F28</f>
        <v>1.8526227915920117</v>
      </c>
      <c r="G44" s="156">
        <f>G35-G28</f>
        <v>-0.56438826397443442</v>
      </c>
      <c r="H44" s="156">
        <f>H35-H28</f>
        <v>1.5369851467696236</v>
      </c>
      <c r="I44" s="156">
        <f>I35-I28</f>
        <v>0.60000000000000853</v>
      </c>
      <c r="J44" s="156">
        <f>J35-J28</f>
        <v>2.3999999999999986</v>
      </c>
    </row>
    <row r="45" spans="1:10">
      <c r="A45" s="297" t="s">
        <v>1410</v>
      </c>
      <c r="B45" s="159">
        <f>(POWER(B36/B28, 1/8)-1)*100</f>
        <v>0.76345580880592401</v>
      </c>
      <c r="C45" s="159">
        <f>(POWER(C36/C28, 1/8)-1)*100</f>
        <v>1.0750824614807364</v>
      </c>
      <c r="D45" s="159">
        <f>(POWER(D36/D28, 1/8)-1)*100</f>
        <v>1.181210057247517</v>
      </c>
      <c r="E45" s="159">
        <f>(POWER(E36/E28, 1/8)-1)*100</f>
        <v>-1.1286628647457775</v>
      </c>
      <c r="F45" s="156">
        <f>F36-F28</f>
        <v>2.1712881107975477</v>
      </c>
      <c r="G45" s="156">
        <f>G36-G28</f>
        <v>-0.80129938236112075</v>
      </c>
      <c r="H45" s="156">
        <f>H36-H28</f>
        <v>1.6978651172873072</v>
      </c>
      <c r="I45" s="156">
        <f>I36-I28</f>
        <v>0.79999999999999716</v>
      </c>
      <c r="J45" s="156">
        <f>J36-J28</f>
        <v>2.5</v>
      </c>
    </row>
    <row r="46" spans="1:10" ht="25.5" customHeight="1">
      <c r="A46" s="1254" t="s">
        <v>1565</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3" orientation="portrait" horizontalDpi="4294967292" verticalDpi="0" r:id="rId1"/>
  <headerFooter alignWithMargins="0"/>
</worksheet>
</file>

<file path=xl/worksheets/sheet149.xml><?xml version="1.0" encoding="utf-8"?>
<worksheet xmlns="http://schemas.openxmlformats.org/spreadsheetml/2006/main" xmlns:r="http://schemas.openxmlformats.org/officeDocument/2006/relationships">
  <sheetPr codeName="Sheet120">
    <pageSetUpPr fitToPage="1"/>
  </sheetPr>
  <dimension ref="A1:J49"/>
  <sheetViews>
    <sheetView view="pageBreakPreview" zoomScale="70" zoomScaleSheetLayoutView="7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1.42578125" style="149" customWidth="1"/>
    <col min="2" max="2" width="10.28515625" style="149" customWidth="1"/>
    <col min="3" max="3" width="9" style="149" customWidth="1"/>
    <col min="4" max="4" width="10.7109375" style="149" customWidth="1"/>
    <col min="5" max="5" width="13.140625" style="149" customWidth="1"/>
    <col min="6" max="6" width="10.28515625" style="149" customWidth="1"/>
    <col min="7" max="7" width="13.140625" style="149" customWidth="1"/>
    <col min="8" max="8" width="10.85546875" style="149" customWidth="1"/>
    <col min="9" max="9" width="11.140625" style="149" customWidth="1"/>
    <col min="10" max="10" width="11.42578125" style="149" customWidth="1"/>
    <col min="11" max="16384" width="9.140625" style="149"/>
  </cols>
  <sheetData>
    <row r="1" spans="1:10" ht="18.600000000000001" customHeight="1">
      <c r="A1" s="1138" t="s">
        <v>1842</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656.6</v>
      </c>
      <c r="C4" s="442">
        <v>397.7</v>
      </c>
      <c r="D4" s="442">
        <v>382.3</v>
      </c>
      <c r="E4" s="442">
        <v>15.3</v>
      </c>
      <c r="F4" s="155">
        <f t="shared" ref="F4:G32" si="0">D4/B4*100</f>
        <v>58.224185196466649</v>
      </c>
      <c r="G4" s="155">
        <f t="shared" si="0"/>
        <v>3.8471209454362589</v>
      </c>
      <c r="H4" s="155">
        <f t="shared" ref="H4:H32" si="1">C4/B4*100</f>
        <v>60.569600974718242</v>
      </c>
      <c r="I4" s="443">
        <v>77.5</v>
      </c>
      <c r="J4" s="443">
        <v>43.4</v>
      </c>
    </row>
    <row r="5" spans="1:10">
      <c r="A5" s="297">
        <v>1977</v>
      </c>
      <c r="B5" s="442">
        <v>671</v>
      </c>
      <c r="C5" s="442">
        <v>413.5</v>
      </c>
      <c r="D5" s="442">
        <v>395.4</v>
      </c>
      <c r="E5" s="442">
        <v>18.100000000000001</v>
      </c>
      <c r="F5" s="155">
        <f t="shared" si="0"/>
        <v>58.926974664679577</v>
      </c>
      <c r="G5" s="155">
        <f t="shared" si="0"/>
        <v>4.37726723095526</v>
      </c>
      <c r="H5" s="155">
        <f t="shared" si="1"/>
        <v>61.624441132637855</v>
      </c>
      <c r="I5" s="443">
        <v>78.900000000000006</v>
      </c>
      <c r="J5" s="443">
        <v>44.2</v>
      </c>
    </row>
    <row r="6" spans="1:10">
      <c r="A6" s="297">
        <v>1978</v>
      </c>
      <c r="B6" s="442">
        <v>681.2</v>
      </c>
      <c r="C6" s="442">
        <v>423.8</v>
      </c>
      <c r="D6" s="442">
        <v>403.2</v>
      </c>
      <c r="E6" s="442">
        <v>20.5</v>
      </c>
      <c r="F6" s="155">
        <f t="shared" si="0"/>
        <v>59.189665296535523</v>
      </c>
      <c r="G6" s="155">
        <f t="shared" si="0"/>
        <v>4.8371873525247757</v>
      </c>
      <c r="H6" s="155">
        <f t="shared" si="1"/>
        <v>62.213740458015266</v>
      </c>
      <c r="I6" s="443">
        <v>79</v>
      </c>
      <c r="J6" s="443">
        <v>45.3</v>
      </c>
    </row>
    <row r="7" spans="1:10">
      <c r="A7" s="297">
        <v>1979</v>
      </c>
      <c r="B7" s="442">
        <v>691</v>
      </c>
      <c r="C7" s="442">
        <v>434.3</v>
      </c>
      <c r="D7" s="442">
        <v>416.1</v>
      </c>
      <c r="E7" s="442">
        <v>18.2</v>
      </c>
      <c r="F7" s="155">
        <f t="shared" si="0"/>
        <v>60.217076700434156</v>
      </c>
      <c r="G7" s="155">
        <f t="shared" si="0"/>
        <v>4.1906516233018651</v>
      </c>
      <c r="H7" s="155">
        <f t="shared" si="1"/>
        <v>62.850940665701884</v>
      </c>
      <c r="I7" s="443">
        <v>78.7</v>
      </c>
      <c r="J7" s="443">
        <v>46.9</v>
      </c>
    </row>
    <row r="8" spans="1:10">
      <c r="A8" s="297">
        <v>1980</v>
      </c>
      <c r="B8" s="442">
        <v>700.5</v>
      </c>
      <c r="C8" s="442">
        <v>442.1</v>
      </c>
      <c r="D8" s="442">
        <v>423.1</v>
      </c>
      <c r="E8" s="442">
        <v>19</v>
      </c>
      <c r="F8" s="155">
        <f t="shared" si="0"/>
        <v>60.399714489650258</v>
      </c>
      <c r="G8" s="155">
        <f t="shared" si="0"/>
        <v>4.2976702103596471</v>
      </c>
      <c r="H8" s="155">
        <f t="shared" si="1"/>
        <v>63.112062812276946</v>
      </c>
      <c r="I8" s="443">
        <v>78.900000000000006</v>
      </c>
      <c r="J8" s="443">
        <v>47.3</v>
      </c>
    </row>
    <row r="9" spans="1:10">
      <c r="A9" s="297">
        <v>1981</v>
      </c>
      <c r="B9" s="442">
        <v>709.1</v>
      </c>
      <c r="C9" s="442">
        <v>451.3</v>
      </c>
      <c r="D9" s="442">
        <v>430.9</v>
      </c>
      <c r="E9" s="442">
        <v>20.399999999999999</v>
      </c>
      <c r="F9" s="155">
        <f t="shared" si="0"/>
        <v>60.767169651671125</v>
      </c>
      <c r="G9" s="155">
        <f t="shared" si="0"/>
        <v>4.5202747617992465</v>
      </c>
      <c r="H9" s="155">
        <f t="shared" si="1"/>
        <v>63.644055845437876</v>
      </c>
      <c r="I9" s="443">
        <v>78.8</v>
      </c>
      <c r="J9" s="443">
        <v>48.5</v>
      </c>
    </row>
    <row r="10" spans="1:10">
      <c r="A10" s="297">
        <v>1982</v>
      </c>
      <c r="B10" s="442">
        <v>718.6</v>
      </c>
      <c r="C10" s="442">
        <v>458.7</v>
      </c>
      <c r="D10" s="442">
        <v>430</v>
      </c>
      <c r="E10" s="442">
        <v>28.7</v>
      </c>
      <c r="F10" s="155">
        <f t="shared" si="0"/>
        <v>59.838575006957974</v>
      </c>
      <c r="G10" s="155">
        <f t="shared" si="0"/>
        <v>6.2568127316328752</v>
      </c>
      <c r="H10" s="155">
        <f t="shared" si="1"/>
        <v>63.832451989980513</v>
      </c>
      <c r="I10" s="443">
        <v>77.599999999999994</v>
      </c>
      <c r="J10" s="443">
        <v>50.1</v>
      </c>
    </row>
    <row r="11" spans="1:10">
      <c r="A11" s="297">
        <v>1983</v>
      </c>
      <c r="B11" s="442">
        <v>729.2</v>
      </c>
      <c r="C11" s="442">
        <v>473.2</v>
      </c>
      <c r="D11" s="442">
        <v>436.9</v>
      </c>
      <c r="E11" s="442">
        <v>36.299999999999997</v>
      </c>
      <c r="F11" s="155">
        <f t="shared" si="0"/>
        <v>59.914975315414139</v>
      </c>
      <c r="G11" s="155">
        <f t="shared" si="0"/>
        <v>7.6711749788672856</v>
      </c>
      <c r="H11" s="155">
        <f t="shared" si="1"/>
        <v>64.893033461327477</v>
      </c>
      <c r="I11" s="443">
        <v>77.900000000000006</v>
      </c>
      <c r="J11" s="443">
        <v>52</v>
      </c>
    </row>
    <row r="12" spans="1:10">
      <c r="A12" s="297">
        <v>1984</v>
      </c>
      <c r="B12" s="442">
        <v>739.8</v>
      </c>
      <c r="C12" s="442">
        <v>482.1</v>
      </c>
      <c r="D12" s="442">
        <v>443.2</v>
      </c>
      <c r="E12" s="442">
        <v>38.9</v>
      </c>
      <c r="F12" s="155">
        <f t="shared" si="0"/>
        <v>59.9080832657475</v>
      </c>
      <c r="G12" s="155">
        <f t="shared" si="0"/>
        <v>8.0688653806264252</v>
      </c>
      <c r="H12" s="155">
        <f t="shared" si="1"/>
        <v>65.166261151662624</v>
      </c>
      <c r="I12" s="443">
        <v>77.7</v>
      </c>
      <c r="J12" s="443">
        <v>52.8</v>
      </c>
    </row>
    <row r="13" spans="1:10">
      <c r="A13" s="297">
        <v>1985</v>
      </c>
      <c r="B13" s="442">
        <v>747.2</v>
      </c>
      <c r="C13" s="442">
        <v>491.4</v>
      </c>
      <c r="D13" s="442">
        <v>450.1</v>
      </c>
      <c r="E13" s="442">
        <v>41.3</v>
      </c>
      <c r="F13" s="155">
        <f t="shared" si="0"/>
        <v>60.238222698072811</v>
      </c>
      <c r="G13" s="155">
        <f t="shared" si="0"/>
        <v>8.4045584045584043</v>
      </c>
      <c r="H13" s="155">
        <f t="shared" si="1"/>
        <v>65.765524625267659</v>
      </c>
      <c r="I13" s="443">
        <v>77.400000000000006</v>
      </c>
      <c r="J13" s="443">
        <v>54.2</v>
      </c>
    </row>
    <row r="14" spans="1:10">
      <c r="A14" s="297">
        <v>1986</v>
      </c>
      <c r="B14" s="442">
        <v>750.5</v>
      </c>
      <c r="C14" s="442">
        <v>499.4</v>
      </c>
      <c r="D14" s="442">
        <v>460</v>
      </c>
      <c r="E14" s="442">
        <v>39.299999999999997</v>
      </c>
      <c r="F14" s="155">
        <f t="shared" si="0"/>
        <v>61.292471685542971</v>
      </c>
      <c r="G14" s="155">
        <f t="shared" si="0"/>
        <v>7.8694433319983981</v>
      </c>
      <c r="H14" s="155">
        <f t="shared" si="1"/>
        <v>66.542305129913387</v>
      </c>
      <c r="I14" s="443">
        <v>77.2</v>
      </c>
      <c r="J14" s="443">
        <v>56</v>
      </c>
    </row>
    <row r="15" spans="1:10">
      <c r="A15" s="297">
        <v>1987</v>
      </c>
      <c r="B15" s="442">
        <v>752.3</v>
      </c>
      <c r="C15" s="442">
        <v>498.5</v>
      </c>
      <c r="D15" s="442">
        <v>461.9</v>
      </c>
      <c r="E15" s="442">
        <v>36.6</v>
      </c>
      <c r="F15" s="155">
        <f t="shared" si="0"/>
        <v>61.398378306526659</v>
      </c>
      <c r="G15" s="155">
        <f t="shared" si="0"/>
        <v>7.3420260782347047</v>
      </c>
      <c r="H15" s="155">
        <f t="shared" si="1"/>
        <v>66.263458726571855</v>
      </c>
      <c r="I15" s="443">
        <v>76.599999999999994</v>
      </c>
      <c r="J15" s="443">
        <v>56</v>
      </c>
    </row>
    <row r="16" spans="1:10">
      <c r="A16" s="297">
        <v>1988</v>
      </c>
      <c r="B16" s="442">
        <v>748.9</v>
      </c>
      <c r="C16" s="442">
        <v>499.5</v>
      </c>
      <c r="D16" s="442">
        <v>462.8</v>
      </c>
      <c r="E16" s="442">
        <v>36.700000000000003</v>
      </c>
      <c r="F16" s="155">
        <f t="shared" si="0"/>
        <v>61.797302710642278</v>
      </c>
      <c r="G16" s="155">
        <f t="shared" si="0"/>
        <v>7.3473473473473483</v>
      </c>
      <c r="H16" s="155">
        <f t="shared" si="1"/>
        <v>66.697823474429157</v>
      </c>
      <c r="I16" s="443">
        <v>76.3</v>
      </c>
      <c r="J16" s="443">
        <v>57.2</v>
      </c>
    </row>
    <row r="17" spans="1:10">
      <c r="A17" s="297">
        <v>1989</v>
      </c>
      <c r="B17" s="442">
        <v>741.9</v>
      </c>
      <c r="C17" s="442">
        <v>492.6</v>
      </c>
      <c r="D17" s="442">
        <v>456.4</v>
      </c>
      <c r="E17" s="442">
        <v>36.200000000000003</v>
      </c>
      <c r="F17" s="155">
        <f t="shared" si="0"/>
        <v>61.517724760749424</v>
      </c>
      <c r="G17" s="155">
        <f t="shared" si="0"/>
        <v>7.348761672756801</v>
      </c>
      <c r="H17" s="155">
        <f t="shared" si="1"/>
        <v>66.397088556409216</v>
      </c>
      <c r="I17" s="443">
        <v>76.099999999999994</v>
      </c>
      <c r="J17" s="443">
        <v>56.8</v>
      </c>
    </row>
    <row r="18" spans="1:10">
      <c r="A18" s="297">
        <v>1990</v>
      </c>
      <c r="B18" s="442">
        <v>733.8</v>
      </c>
      <c r="C18" s="442">
        <v>488.6</v>
      </c>
      <c r="D18" s="442">
        <v>454.2</v>
      </c>
      <c r="E18" s="442">
        <v>34.4</v>
      </c>
      <c r="F18" s="155">
        <f t="shared" si="0"/>
        <v>61.896974652493874</v>
      </c>
      <c r="G18" s="155">
        <f t="shared" si="0"/>
        <v>7.0405239459680722</v>
      </c>
      <c r="H18" s="155">
        <f t="shared" si="1"/>
        <v>66.58490051785229</v>
      </c>
      <c r="I18" s="443">
        <v>75.900000000000006</v>
      </c>
      <c r="J18" s="443">
        <v>57.5</v>
      </c>
    </row>
    <row r="19" spans="1:10">
      <c r="A19" s="297">
        <v>1991</v>
      </c>
      <c r="B19" s="442">
        <v>731.5</v>
      </c>
      <c r="C19" s="442">
        <v>489.3</v>
      </c>
      <c r="D19" s="442">
        <v>453.3</v>
      </c>
      <c r="E19" s="442">
        <v>36</v>
      </c>
      <c r="F19" s="155">
        <f t="shared" si="0"/>
        <v>61.968557758031437</v>
      </c>
      <c r="G19" s="155">
        <f t="shared" si="0"/>
        <v>7.3574494175352543</v>
      </c>
      <c r="H19" s="155">
        <f t="shared" si="1"/>
        <v>66.889952153110059</v>
      </c>
      <c r="I19" s="443">
        <v>75.400000000000006</v>
      </c>
      <c r="J19" s="443">
        <v>58.6</v>
      </c>
    </row>
    <row r="20" spans="1:10">
      <c r="A20" s="297">
        <v>1992</v>
      </c>
      <c r="B20" s="442">
        <v>732.5</v>
      </c>
      <c r="C20" s="442">
        <v>486.8</v>
      </c>
      <c r="D20" s="442">
        <v>448</v>
      </c>
      <c r="E20" s="442">
        <v>38.799999999999997</v>
      </c>
      <c r="F20" s="155">
        <f t="shared" si="0"/>
        <v>61.160409556313986</v>
      </c>
      <c r="G20" s="155">
        <f t="shared" si="0"/>
        <v>7.9704190632703353</v>
      </c>
      <c r="H20" s="155">
        <f t="shared" si="1"/>
        <v>66.457337883959042</v>
      </c>
      <c r="I20" s="443">
        <v>74.5</v>
      </c>
      <c r="J20" s="443">
        <v>58.6</v>
      </c>
    </row>
    <row r="21" spans="1:10">
      <c r="A21" s="297">
        <v>1993</v>
      </c>
      <c r="B21" s="442">
        <v>735.2</v>
      </c>
      <c r="C21" s="442">
        <v>489.1</v>
      </c>
      <c r="D21" s="442">
        <v>448.5</v>
      </c>
      <c r="E21" s="442">
        <v>40.6</v>
      </c>
      <c r="F21" s="155">
        <f t="shared" si="0"/>
        <v>61.003808487486403</v>
      </c>
      <c r="G21" s="155">
        <f t="shared" si="0"/>
        <v>8.3009609486812508</v>
      </c>
      <c r="H21" s="155">
        <f t="shared" si="1"/>
        <v>66.526115342763873</v>
      </c>
      <c r="I21" s="443">
        <v>74.400000000000006</v>
      </c>
      <c r="J21" s="443">
        <v>58.9</v>
      </c>
    </row>
    <row r="22" spans="1:10">
      <c r="A22" s="297">
        <v>1994</v>
      </c>
      <c r="B22" s="442">
        <v>738.7</v>
      </c>
      <c r="C22" s="442">
        <v>488</v>
      </c>
      <c r="D22" s="442">
        <v>454.5</v>
      </c>
      <c r="E22" s="442">
        <v>33.5</v>
      </c>
      <c r="F22" s="155">
        <f t="shared" si="0"/>
        <v>61.527006904020574</v>
      </c>
      <c r="G22" s="155">
        <f t="shared" si="0"/>
        <v>6.8647540983606561</v>
      </c>
      <c r="H22" s="155">
        <f t="shared" si="1"/>
        <v>66.062000812237713</v>
      </c>
      <c r="I22" s="443">
        <v>74.2</v>
      </c>
      <c r="J22" s="443">
        <v>58.1</v>
      </c>
    </row>
    <row r="23" spans="1:10">
      <c r="A23" s="297">
        <v>1995</v>
      </c>
      <c r="B23" s="442">
        <v>743.6</v>
      </c>
      <c r="C23" s="442">
        <v>491.1</v>
      </c>
      <c r="D23" s="442">
        <v>458</v>
      </c>
      <c r="E23" s="442">
        <v>33.1</v>
      </c>
      <c r="F23" s="155">
        <f t="shared" si="0"/>
        <v>61.592253899946201</v>
      </c>
      <c r="G23" s="155">
        <f t="shared" si="0"/>
        <v>6.7399714925677046</v>
      </c>
      <c r="H23" s="155">
        <f t="shared" si="1"/>
        <v>66.043571812802583</v>
      </c>
      <c r="I23" s="443">
        <v>74.2</v>
      </c>
      <c r="J23" s="443">
        <v>58.1</v>
      </c>
    </row>
    <row r="24" spans="1:10">
      <c r="A24" s="297">
        <v>1996</v>
      </c>
      <c r="B24" s="442">
        <v>748.6</v>
      </c>
      <c r="C24" s="442">
        <v>489.6</v>
      </c>
      <c r="D24" s="442">
        <v>456.8</v>
      </c>
      <c r="E24" s="442">
        <v>32.700000000000003</v>
      </c>
      <c r="F24" s="155">
        <f t="shared" si="0"/>
        <v>61.020571733903282</v>
      </c>
      <c r="G24" s="155">
        <f t="shared" si="0"/>
        <v>6.6789215686274508</v>
      </c>
      <c r="H24" s="155">
        <f t="shared" si="1"/>
        <v>65.402083889927866</v>
      </c>
      <c r="I24" s="443">
        <v>73.3</v>
      </c>
      <c r="J24" s="443">
        <v>57.7</v>
      </c>
    </row>
    <row r="25" spans="1:10">
      <c r="A25" s="297">
        <v>1997</v>
      </c>
      <c r="B25" s="442">
        <v>749.5</v>
      </c>
      <c r="C25" s="442">
        <v>495.7</v>
      </c>
      <c r="D25" s="442">
        <v>466.2</v>
      </c>
      <c r="E25" s="442">
        <v>29.5</v>
      </c>
      <c r="F25" s="155">
        <f t="shared" si="0"/>
        <v>62.201467645096727</v>
      </c>
      <c r="G25" s="155">
        <f t="shared" si="0"/>
        <v>5.9511801492838412</v>
      </c>
      <c r="H25" s="155">
        <f t="shared" si="1"/>
        <v>66.137424949966643</v>
      </c>
      <c r="I25" s="443">
        <v>74.099999999999994</v>
      </c>
      <c r="J25" s="443">
        <v>58.4</v>
      </c>
    </row>
    <row r="26" spans="1:10">
      <c r="A26" s="297">
        <v>1998</v>
      </c>
      <c r="B26" s="442">
        <v>750.6</v>
      </c>
      <c r="C26" s="442">
        <v>499.5</v>
      </c>
      <c r="D26" s="442">
        <v>470.5</v>
      </c>
      <c r="E26" s="442">
        <v>29</v>
      </c>
      <c r="F26" s="155">
        <f t="shared" si="0"/>
        <v>62.683186783906208</v>
      </c>
      <c r="G26" s="155">
        <f t="shared" si="0"/>
        <v>5.8058058058058064</v>
      </c>
      <c r="H26" s="155">
        <f t="shared" si="1"/>
        <v>66.546762589928051</v>
      </c>
      <c r="I26" s="443">
        <v>74.3</v>
      </c>
      <c r="J26" s="443">
        <v>59</v>
      </c>
    </row>
    <row r="27" spans="1:10">
      <c r="A27" s="297">
        <v>1999</v>
      </c>
      <c r="B27" s="442">
        <v>750.4</v>
      </c>
      <c r="C27" s="442">
        <v>501.9</v>
      </c>
      <c r="D27" s="442">
        <v>471.6</v>
      </c>
      <c r="E27" s="442">
        <v>30.4</v>
      </c>
      <c r="F27" s="155">
        <f t="shared" si="0"/>
        <v>62.846481876332625</v>
      </c>
      <c r="G27" s="155">
        <f t="shared" si="0"/>
        <v>6.0569834628412034</v>
      </c>
      <c r="H27" s="155">
        <f t="shared" si="1"/>
        <v>66.884328358208961</v>
      </c>
      <c r="I27" s="443">
        <v>74</v>
      </c>
      <c r="J27" s="443">
        <v>59.9</v>
      </c>
    </row>
    <row r="28" spans="1:10">
      <c r="A28" s="297">
        <v>2000</v>
      </c>
      <c r="B28" s="442">
        <v>747.5</v>
      </c>
      <c r="C28" s="442">
        <v>499.2</v>
      </c>
      <c r="D28" s="442">
        <v>473.5</v>
      </c>
      <c r="E28" s="442">
        <v>25.7</v>
      </c>
      <c r="F28" s="155">
        <f t="shared" si="0"/>
        <v>63.344481605351163</v>
      </c>
      <c r="G28" s="155">
        <f t="shared" si="0"/>
        <v>5.1482371794871788</v>
      </c>
      <c r="H28" s="155">
        <f t="shared" si="1"/>
        <v>66.782608695652172</v>
      </c>
      <c r="I28" s="443">
        <v>73.900000000000006</v>
      </c>
      <c r="J28" s="443">
        <v>59.8</v>
      </c>
    </row>
    <row r="29" spans="1:10">
      <c r="A29" s="297">
        <v>2001</v>
      </c>
      <c r="B29" s="442">
        <v>744.5</v>
      </c>
      <c r="C29" s="442">
        <v>488.5</v>
      </c>
      <c r="D29" s="442">
        <v>460.3</v>
      </c>
      <c r="E29" s="442">
        <v>28.2</v>
      </c>
      <c r="F29" s="155">
        <f t="shared" si="0"/>
        <v>61.826729348556078</v>
      </c>
      <c r="G29" s="155">
        <f t="shared" si="0"/>
        <v>5.7727737973387923</v>
      </c>
      <c r="H29" s="155">
        <f t="shared" si="1"/>
        <v>65.614506380120886</v>
      </c>
      <c r="I29" s="443">
        <v>72.7</v>
      </c>
      <c r="J29" s="443">
        <v>58.8</v>
      </c>
    </row>
    <row r="30" spans="1:10">
      <c r="A30" s="297">
        <v>2002</v>
      </c>
      <c r="B30" s="442">
        <v>742.7</v>
      </c>
      <c r="C30" s="442">
        <v>496.4</v>
      </c>
      <c r="D30" s="442">
        <v>468.3</v>
      </c>
      <c r="E30" s="442">
        <v>28.2</v>
      </c>
      <c r="F30" s="155">
        <f t="shared" si="0"/>
        <v>63.05372290292177</v>
      </c>
      <c r="G30" s="155">
        <f t="shared" si="0"/>
        <v>5.6809024979854952</v>
      </c>
      <c r="H30" s="155">
        <f t="shared" si="1"/>
        <v>66.837215564831013</v>
      </c>
      <c r="I30" s="443">
        <v>73.8</v>
      </c>
      <c r="J30" s="443">
        <v>60</v>
      </c>
    </row>
    <row r="31" spans="1:10">
      <c r="A31" s="297">
        <v>2003</v>
      </c>
      <c r="B31" s="442">
        <v>743.4</v>
      </c>
      <c r="C31" s="442">
        <v>504.3</v>
      </c>
      <c r="D31" s="442">
        <v>476.1</v>
      </c>
      <c r="E31" s="442">
        <v>28.2</v>
      </c>
      <c r="F31" s="155">
        <f t="shared" si="0"/>
        <v>64.043583535108965</v>
      </c>
      <c r="G31" s="155">
        <f t="shared" si="0"/>
        <v>5.5919095776323609</v>
      </c>
      <c r="H31" s="155">
        <f t="shared" si="1"/>
        <v>67.836965294592417</v>
      </c>
      <c r="I31" s="443">
        <v>74</v>
      </c>
      <c r="J31" s="443">
        <v>61.8</v>
      </c>
    </row>
    <row r="32" spans="1:10">
      <c r="A32" s="297">
        <v>2004</v>
      </c>
      <c r="B32" s="442">
        <v>745.9</v>
      </c>
      <c r="C32" s="442">
        <v>506.7</v>
      </c>
      <c r="D32" s="442">
        <v>479.7</v>
      </c>
      <c r="E32" s="442">
        <v>27</v>
      </c>
      <c r="F32" s="155">
        <f t="shared" si="0"/>
        <v>64.311569915538286</v>
      </c>
      <c r="G32" s="155">
        <f t="shared" si="0"/>
        <v>5.3285968028419184</v>
      </c>
      <c r="H32" s="155">
        <f t="shared" si="1"/>
        <v>67.931358090896893</v>
      </c>
      <c r="I32" s="443">
        <v>74.099999999999994</v>
      </c>
      <c r="J32" s="443">
        <v>61.9</v>
      </c>
    </row>
    <row r="33" spans="1:10">
      <c r="A33" s="297">
        <v>2005</v>
      </c>
      <c r="B33" s="442">
        <v>748.4</v>
      </c>
      <c r="C33" s="442">
        <v>509.4</v>
      </c>
      <c r="D33" s="442">
        <v>483.5</v>
      </c>
      <c r="E33" s="442">
        <v>25.9</v>
      </c>
      <c r="F33" s="155">
        <f t="shared" ref="F33:G36" si="2">D33/B33*100</f>
        <v>64.604489577765904</v>
      </c>
      <c r="G33" s="155">
        <f t="shared" si="2"/>
        <v>5.0844130349430703</v>
      </c>
      <c r="H33" s="155">
        <f>C33/B33*100</f>
        <v>68.065205772314272</v>
      </c>
      <c r="I33" s="443">
        <v>74.400000000000006</v>
      </c>
      <c r="J33" s="443">
        <v>61.9</v>
      </c>
    </row>
    <row r="34" spans="1:10">
      <c r="A34" s="297">
        <v>2006</v>
      </c>
      <c r="B34" s="442">
        <v>746.4</v>
      </c>
      <c r="C34" s="442">
        <v>515.6</v>
      </c>
      <c r="D34" s="442">
        <v>491.6</v>
      </c>
      <c r="E34" s="442">
        <v>24</v>
      </c>
      <c r="F34" s="155">
        <f t="shared" si="2"/>
        <v>65.862808145766351</v>
      </c>
      <c r="G34" s="155">
        <f t="shared" si="2"/>
        <v>4.6547711404189291</v>
      </c>
      <c r="H34" s="155">
        <f>C34/B34*100</f>
        <v>69.078242229367632</v>
      </c>
      <c r="I34" s="443">
        <v>75</v>
      </c>
      <c r="J34" s="443">
        <v>63.3</v>
      </c>
    </row>
    <row r="35" spans="1:10">
      <c r="A35" s="297">
        <v>2007</v>
      </c>
      <c r="B35" s="442">
        <v>751.4</v>
      </c>
      <c r="C35" s="442">
        <v>523.79999999999995</v>
      </c>
      <c r="D35" s="442">
        <v>501.8</v>
      </c>
      <c r="E35" s="442">
        <v>22</v>
      </c>
      <c r="F35" s="155">
        <f t="shared" si="2"/>
        <v>66.782006920415228</v>
      </c>
      <c r="G35" s="155">
        <f t="shared" si="2"/>
        <v>4.2000763650248194</v>
      </c>
      <c r="H35" s="155">
        <f>C35/B35*100</f>
        <v>69.709874900186321</v>
      </c>
      <c r="I35" s="443">
        <v>76</v>
      </c>
      <c r="J35" s="443">
        <v>63.5</v>
      </c>
    </row>
    <row r="36" spans="1:10">
      <c r="A36" s="297">
        <v>2008</v>
      </c>
      <c r="B36" s="442">
        <v>767.1</v>
      </c>
      <c r="C36" s="442">
        <v>534.70000000000005</v>
      </c>
      <c r="D36" s="442">
        <v>512.70000000000005</v>
      </c>
      <c r="E36" s="442">
        <v>22</v>
      </c>
      <c r="F36" s="155">
        <f t="shared" si="2"/>
        <v>66.836136096988668</v>
      </c>
      <c r="G36" s="155">
        <f t="shared" si="2"/>
        <v>4.1144567046942209</v>
      </c>
      <c r="H36" s="155">
        <f>C36/B36*100</f>
        <v>69.70408030243776</v>
      </c>
      <c r="I36" s="443">
        <v>75.8</v>
      </c>
      <c r="J36" s="443">
        <v>63.8</v>
      </c>
    </row>
    <row r="37" spans="1:10">
      <c r="A37" s="1109"/>
      <c r="B37" s="298" t="s">
        <v>802</v>
      </c>
      <c r="C37" s="298"/>
      <c r="D37" s="298"/>
      <c r="E37" s="298"/>
      <c r="F37" s="298" t="s">
        <v>655</v>
      </c>
      <c r="G37" s="298"/>
      <c r="H37" s="298"/>
      <c r="I37" s="298"/>
      <c r="J37" s="298"/>
    </row>
    <row r="38" spans="1:10">
      <c r="A38" s="297" t="s">
        <v>603</v>
      </c>
      <c r="B38" s="159">
        <f>(POWER(B17/B9, 1/8)-1)*100</f>
        <v>0.56682418957711977</v>
      </c>
      <c r="C38" s="159">
        <f>(POWER(C17/C9, 1/8)-1)*100</f>
        <v>1.100577011531878</v>
      </c>
      <c r="D38" s="159">
        <f>(POWER(D17/D9, 1/8)-1)*100</f>
        <v>0.7212582950408386</v>
      </c>
      <c r="E38" s="159">
        <f>(POWER(E17/E9, 1/8)-1)*100</f>
        <v>7.4322818973087568</v>
      </c>
      <c r="F38" s="156">
        <f>F17-F9</f>
        <v>0.7505551090782987</v>
      </c>
      <c r="G38" s="156">
        <f>G17-G9</f>
        <v>2.8284869109575546</v>
      </c>
      <c r="H38" s="156">
        <f>H17-H9</f>
        <v>2.7530327109713397</v>
      </c>
      <c r="I38" s="156">
        <f>I17-I9</f>
        <v>-2.7000000000000028</v>
      </c>
      <c r="J38" s="156">
        <f>J17-J9</f>
        <v>8.2999999999999972</v>
      </c>
    </row>
    <row r="39" spans="1:10">
      <c r="A39" s="297" t="s">
        <v>604</v>
      </c>
      <c r="B39" s="159">
        <f>(POWER(B28/B17, 1/11)-1)*100</f>
        <v>6.8385572908558068E-2</v>
      </c>
      <c r="C39" s="159">
        <f>(POWER(C28/C17, 1/11)-1)*100</f>
        <v>0.12106714871009672</v>
      </c>
      <c r="D39" s="159">
        <f>(POWER(D28/D17, 1/11)-1)*100</f>
        <v>0.33494418533268622</v>
      </c>
      <c r="E39" s="159">
        <f>(POWER(E28/E17, 1/11)-1)*100</f>
        <v>-3.0662622596510425</v>
      </c>
      <c r="F39" s="156">
        <f>F28-F17</f>
        <v>1.8267568446017393</v>
      </c>
      <c r="G39" s="156">
        <f>G28-G17</f>
        <v>-2.2005244932696222</v>
      </c>
      <c r="H39" s="156">
        <f>H28-H17</f>
        <v>0.38552013924295636</v>
      </c>
      <c r="I39" s="156">
        <f>I28-I17</f>
        <v>-2.1999999999999886</v>
      </c>
      <c r="J39" s="156">
        <f>J28-J17</f>
        <v>3</v>
      </c>
    </row>
    <row r="40" spans="1:10">
      <c r="A40" s="297" t="s">
        <v>808</v>
      </c>
      <c r="B40" s="159">
        <f>(POWER(B33/B9, 1/24)-1)*100</f>
        <v>0.22500707053356717</v>
      </c>
      <c r="C40" s="159">
        <f>(POWER(C33/C9, 1/24)-1)*100</f>
        <v>0.50586375749255286</v>
      </c>
      <c r="D40" s="159">
        <f>(POWER(D33/D9, 1/24)-1)*100</f>
        <v>0.4810503091486229</v>
      </c>
      <c r="E40" s="159">
        <f>(POWER(E33/E9, 1/24)-1)*100</f>
        <v>0.99957970359567661</v>
      </c>
      <c r="F40" s="156">
        <f>F33-F9</f>
        <v>3.8373199260947786</v>
      </c>
      <c r="G40" s="156">
        <f>G33-G9</f>
        <v>0.56413827314382381</v>
      </c>
      <c r="H40" s="156">
        <f>H33-H9</f>
        <v>4.4211499268763959</v>
      </c>
      <c r="I40" s="156">
        <f>I33-I9</f>
        <v>-4.3999999999999915</v>
      </c>
      <c r="J40" s="156">
        <f>J33-J9</f>
        <v>13.399999999999999</v>
      </c>
    </row>
    <row r="41" spans="1:10">
      <c r="A41" s="297" t="s">
        <v>819</v>
      </c>
      <c r="B41" s="159">
        <f>(POWER(B34/B9, 1/25)-1)*100</f>
        <v>0.20527074942855439</v>
      </c>
      <c r="C41" s="159">
        <f>(POWER(C34/C9, 1/25)-1)*100</f>
        <v>0.53421773817396989</v>
      </c>
      <c r="D41" s="159">
        <f>(POWER(D34/D9, 1/25)-1)*100</f>
        <v>0.52854925133818398</v>
      </c>
      <c r="E41" s="159">
        <f>(POWER(E34/E9, 1/25)-1)*100</f>
        <v>0.65219329632069112</v>
      </c>
      <c r="F41" s="156">
        <f>F34-F9</f>
        <v>5.0956384940952262</v>
      </c>
      <c r="G41" s="156">
        <f>G34-G9</f>
        <v>0.13449637861968267</v>
      </c>
      <c r="H41" s="156">
        <f>H34-H9</f>
        <v>5.4341863839297559</v>
      </c>
      <c r="I41" s="156">
        <f>I34-I9</f>
        <v>-3.7999999999999972</v>
      </c>
      <c r="J41" s="156">
        <f>J34-J9</f>
        <v>14.799999999999997</v>
      </c>
    </row>
    <row r="42" spans="1:10">
      <c r="A42" s="297" t="s">
        <v>447</v>
      </c>
      <c r="B42" s="159">
        <f>(POWER(B35/B9, 1/26)-1)*100</f>
        <v>0.2231007032760024</v>
      </c>
      <c r="C42" s="159">
        <f>(POWER(C35/C9, 1/26)-1)*100</f>
        <v>0.57463559886312687</v>
      </c>
      <c r="D42" s="159">
        <f>(POWER(D35/D9, 1/26)-1)*100</f>
        <v>0.58758721219498433</v>
      </c>
      <c r="E42" s="159">
        <f>(POWER(E35/E9, 1/26)-1)*100</f>
        <v>0.29083577249440218</v>
      </c>
      <c r="F42" s="156">
        <f>F35-F9</f>
        <v>6.0148372687441025</v>
      </c>
      <c r="G42" s="156">
        <f>G35-G9</f>
        <v>-0.32019839677442707</v>
      </c>
      <c r="H42" s="156">
        <f>H35-H9</f>
        <v>6.0658190547484452</v>
      </c>
      <c r="I42" s="156">
        <f>I35-I9</f>
        <v>-2.7999999999999972</v>
      </c>
      <c r="J42" s="156">
        <f>J35-J9</f>
        <v>15</v>
      </c>
    </row>
    <row r="43" spans="1:10">
      <c r="A43" s="297" t="s">
        <v>1408</v>
      </c>
      <c r="B43" s="159">
        <f>(POWER(B36/B9, 1/27)-1)*100</f>
        <v>0.29161180931431829</v>
      </c>
      <c r="C43" s="159">
        <f>(POWER(C36/C9, 1/27)-1)*100</f>
        <v>0.63002650027541574</v>
      </c>
      <c r="D43" s="159">
        <f>(POWER(D36/D9, 1/27)-1)*100</f>
        <v>0.6458352246937249</v>
      </c>
      <c r="E43" s="159">
        <f>(POWER(E36/E9, 1/27)-1)*100</f>
        <v>0.28004900853457748</v>
      </c>
      <c r="F43" s="156">
        <f>F36-F9</f>
        <v>6.0689664453175425</v>
      </c>
      <c r="G43" s="156">
        <f>G36-G9</f>
        <v>-0.40581805710502561</v>
      </c>
      <c r="H43" s="156">
        <f>H36-H9</f>
        <v>6.0600244569998836</v>
      </c>
      <c r="I43" s="156">
        <f>I36-I9</f>
        <v>-3</v>
      </c>
      <c r="J43" s="156">
        <f>J36-J9</f>
        <v>15.299999999999997</v>
      </c>
    </row>
    <row r="44" spans="1:10">
      <c r="A44" s="297" t="s">
        <v>449</v>
      </c>
      <c r="B44" s="159">
        <f>(POWER(B35/B28, 1/7)-1)*100</f>
        <v>7.4368037537331233E-2</v>
      </c>
      <c r="C44" s="159">
        <f>(POWER(C35/C28, 1/7)-1)*100</f>
        <v>0.68955390749847467</v>
      </c>
      <c r="D44" s="159">
        <f>(POWER(D35/D28, 1/7)-1)*100</f>
        <v>0.83272979871122921</v>
      </c>
      <c r="E44" s="159">
        <f>(POWER(E35/E28, 1/7)-1)*100</f>
        <v>-2.1962175245937354</v>
      </c>
      <c r="F44" s="156">
        <f>F35-F28</f>
        <v>3.4375253150640646</v>
      </c>
      <c r="G44" s="156">
        <f>G35-G28</f>
        <v>-0.94816081446235945</v>
      </c>
      <c r="H44" s="156">
        <f>H35-H28</f>
        <v>2.9272662045341491</v>
      </c>
      <c r="I44" s="156">
        <f>I35-I28</f>
        <v>2.0999999999999943</v>
      </c>
      <c r="J44" s="156">
        <f>J35-J28</f>
        <v>3.7000000000000028</v>
      </c>
    </row>
    <row r="45" spans="1:10">
      <c r="A45" s="297" t="s">
        <v>1410</v>
      </c>
      <c r="B45" s="159">
        <f>(POWER(B36/B28, 1/8)-1)*100</f>
        <v>0.32405976328764297</v>
      </c>
      <c r="C45" s="159">
        <f>(POWER(C36/C28, 1/8)-1)*100</f>
        <v>0.86243554140916778</v>
      </c>
      <c r="D45" s="159">
        <f>(POWER(D36/D28, 1/8)-1)*100</f>
        <v>0.99919603484430741</v>
      </c>
      <c r="E45" s="159">
        <f>(POWER(E36/E28, 1/8)-1)*100</f>
        <v>-1.9243500965410387</v>
      </c>
      <c r="F45" s="156">
        <f>F36-F28</f>
        <v>3.4916544916375045</v>
      </c>
      <c r="G45" s="156">
        <f>G36-G28</f>
        <v>-1.033780474792958</v>
      </c>
      <c r="H45" s="156">
        <f>H36-H28</f>
        <v>2.9214716067855875</v>
      </c>
      <c r="I45" s="156">
        <f>I36-I28</f>
        <v>1.8999999999999915</v>
      </c>
      <c r="J45" s="156">
        <f>J36-J28</f>
        <v>4</v>
      </c>
    </row>
    <row r="46" spans="1:10" ht="25.5" customHeight="1">
      <c r="A46" s="1254" t="s">
        <v>1564</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0" orientation="portrait" horizontalDpi="4294967292" verticalDpi="0" r:id="rId1"/>
  <headerFooter alignWithMargins="0"/>
</worksheet>
</file>

<file path=xl/worksheets/sheet15.xml><?xml version="1.0" encoding="utf-8"?>
<worksheet xmlns="http://schemas.openxmlformats.org/spreadsheetml/2006/main" xmlns:r="http://schemas.openxmlformats.org/officeDocument/2006/relationships">
  <sheetPr codeName="Sheet194">
    <pageSetUpPr fitToPage="1"/>
  </sheetPr>
  <dimension ref="A1:X4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24" ht="15.75">
      <c r="A1" s="3" t="s">
        <v>2100</v>
      </c>
    </row>
    <row r="2" spans="1:24">
      <c r="A2" s="4"/>
      <c r="B2" s="4"/>
    </row>
    <row r="3" spans="1:24" ht="12.75" customHeight="1">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24" s="4" customFormat="1" ht="12.75" customHeight="1">
      <c r="A4" s="7"/>
      <c r="B4" s="1167"/>
      <c r="C4" s="1165"/>
      <c r="D4" s="1165"/>
      <c r="E4" s="1165"/>
      <c r="F4" s="1165"/>
      <c r="G4" s="1165"/>
      <c r="H4" s="1165"/>
      <c r="I4" s="1165"/>
      <c r="J4" s="1165"/>
      <c r="K4" s="1165"/>
      <c r="L4" s="1165"/>
    </row>
    <row r="5" spans="1:24" ht="12.75" customHeight="1">
      <c r="A5" s="432">
        <v>1981</v>
      </c>
      <c r="B5" s="39">
        <f>'6a'!B5/'6b'!B5*100</f>
        <v>647165.17055655294</v>
      </c>
      <c r="C5" s="39">
        <f>'6a'!C5/'6b'!C5*100</f>
        <v>9370.9090909090901</v>
      </c>
      <c r="D5" s="39">
        <f>'6a'!D5/'6b'!D5*100</f>
        <v>2112.871287128713</v>
      </c>
      <c r="E5" s="39">
        <f>'6a'!E5/'6b'!E5*100</f>
        <v>15971.943887775553</v>
      </c>
      <c r="F5" s="39">
        <f>'6a'!F5/'6b'!F5*100</f>
        <v>12110.687022900764</v>
      </c>
      <c r="G5" s="39">
        <f>'6a'!G5/'6b'!G5*100</f>
        <v>155094.41233140655</v>
      </c>
      <c r="H5" s="39">
        <f>'6a'!H5/'6b'!H5*100</f>
        <v>251562.38003838772</v>
      </c>
      <c r="I5" s="39">
        <f>'6a'!I5/'6b'!I5*100</f>
        <v>24638.33634719711</v>
      </c>
      <c r="J5" s="39">
        <f>'6a'!J5/'6b'!J5*100</f>
        <v>23379.746835443038</v>
      </c>
      <c r="K5" s="39">
        <f>'6a'!K5/'6b'!K5*100</f>
        <v>82013.82488479263</v>
      </c>
      <c r="L5" s="39">
        <f>'6a'!L5/'6b'!L5*100</f>
        <v>84499.05838041431</v>
      </c>
      <c r="N5" s="815"/>
      <c r="O5" s="815"/>
      <c r="P5" s="815"/>
      <c r="Q5" s="815"/>
      <c r="R5" s="815"/>
      <c r="S5" s="815"/>
      <c r="T5" s="815"/>
      <c r="U5" s="815"/>
      <c r="V5" s="815"/>
      <c r="W5" s="815"/>
      <c r="X5" s="815"/>
    </row>
    <row r="6" spans="1:24" ht="12.75" customHeight="1">
      <c r="A6" s="120">
        <v>1982</v>
      </c>
      <c r="B6" s="39">
        <f>'6a'!B6/'6b'!B6*100</f>
        <v>628905.62913907284</v>
      </c>
      <c r="C6" s="39">
        <f>'6a'!C6/'6b'!C6*100</f>
        <v>9458.6846543001684</v>
      </c>
      <c r="D6" s="39">
        <f>'6a'!D6/'6b'!D6*100</f>
        <v>2131.2384473197781</v>
      </c>
      <c r="E6" s="39">
        <f>'6a'!E6/'6b'!E6*100</f>
        <v>16581.227436823105</v>
      </c>
      <c r="F6" s="39">
        <f>'6a'!F6/'6b'!F6*100</f>
        <v>12328.671328671328</v>
      </c>
      <c r="G6" s="39">
        <f>'6a'!G6/'6b'!G6*100</f>
        <v>149505.26315789472</v>
      </c>
      <c r="H6" s="39">
        <f>'6a'!H6/'6b'!H6*100</f>
        <v>244693.12169312171</v>
      </c>
      <c r="I6" s="39">
        <f>'6a'!I6/'6b'!I6*100</f>
        <v>23981.228668941978</v>
      </c>
      <c r="J6" s="39">
        <f>'6a'!J6/'6b'!J6*100</f>
        <v>22948.012232415898</v>
      </c>
      <c r="K6" s="39">
        <f>'6a'!K6/'6b'!K6*100</f>
        <v>79333.798882681571</v>
      </c>
      <c r="L6" s="39">
        <f>'6a'!L6/'6b'!L6*100</f>
        <v>79267.605633802814</v>
      </c>
      <c r="N6" s="815"/>
      <c r="O6" s="815"/>
      <c r="P6" s="815"/>
      <c r="Q6" s="815"/>
      <c r="R6" s="815"/>
      <c r="S6" s="815"/>
      <c r="T6" s="815"/>
      <c r="U6" s="815"/>
      <c r="V6" s="815"/>
      <c r="W6" s="815"/>
      <c r="X6" s="815"/>
    </row>
    <row r="7" spans="1:24" ht="12.75" customHeight="1">
      <c r="A7" s="120">
        <v>1983</v>
      </c>
      <c r="B7" s="39">
        <f>'6a'!B7/'6b'!B7*100</f>
        <v>645817.89638932492</v>
      </c>
      <c r="C7" s="39">
        <f>'6a'!C7/'6b'!C7*100</f>
        <v>9752.4429967426713</v>
      </c>
      <c r="D7" s="39">
        <f>'6a'!D7/'6b'!D7*100</f>
        <v>2333.9070567986232</v>
      </c>
      <c r="E7" s="39">
        <f>'6a'!E7/'6b'!E7*100</f>
        <v>16990.163934426229</v>
      </c>
      <c r="F7" s="39">
        <f>'6a'!F7/'6b'!F7*100</f>
        <v>13190.163934426229</v>
      </c>
      <c r="G7" s="39">
        <f>'6a'!G7/'6b'!G7*100</f>
        <v>152291.87396351577</v>
      </c>
      <c r="H7" s="39">
        <f>'6a'!H7/'6b'!H7*100</f>
        <v>255672.72727272726</v>
      </c>
      <c r="I7" s="39">
        <f>'6a'!I7/'6b'!I7*100</f>
        <v>24169.599999999999</v>
      </c>
      <c r="J7" s="39">
        <f>'6a'!J7/'6b'!J7*100</f>
        <v>23622.781065088759</v>
      </c>
      <c r="K7" s="39">
        <f>'6a'!K7/'6b'!K7*100</f>
        <v>78490.591397849465</v>
      </c>
      <c r="L7" s="39">
        <f>'6a'!L7/'6b'!L7*100</f>
        <v>79793.277310924372</v>
      </c>
      <c r="N7" s="815"/>
      <c r="O7" s="815"/>
      <c r="P7" s="815"/>
      <c r="Q7" s="815"/>
      <c r="R7" s="815"/>
      <c r="S7" s="815"/>
      <c r="T7" s="815"/>
      <c r="U7" s="815"/>
      <c r="V7" s="815"/>
      <c r="W7" s="815"/>
      <c r="X7" s="815"/>
    </row>
    <row r="8" spans="1:24" ht="12.75" customHeight="1">
      <c r="A8" s="120">
        <v>1984</v>
      </c>
      <c r="B8" s="39">
        <f>'6a'!B8/'6b'!B8*100</f>
        <v>683255.31914893619</v>
      </c>
      <c r="C8" s="39">
        <f>'6a'!C8/'6b'!C8*100</f>
        <v>10020.440251572327</v>
      </c>
      <c r="D8" s="39">
        <f>'6a'!D8/'6b'!D8*100</f>
        <v>2386.5979381443299</v>
      </c>
      <c r="E8" s="39">
        <f>'6a'!E8/'6b'!E8*100</f>
        <v>18039.432176656152</v>
      </c>
      <c r="F8" s="39">
        <f>'6a'!F8/'6b'!F8*100</f>
        <v>13462.59541984733</v>
      </c>
      <c r="G8" s="39">
        <f>'6a'!G8/'6b'!G8*100</f>
        <v>158941.36291600636</v>
      </c>
      <c r="H8" s="39">
        <f>'6a'!H8/'6b'!H8*100</f>
        <v>276105.43130990415</v>
      </c>
      <c r="I8" s="39">
        <f>'6a'!I8/'6b'!I8*100</f>
        <v>26150.76923076923</v>
      </c>
      <c r="J8" s="39">
        <f>'6a'!J8/'6b'!J8*100</f>
        <v>24089.108910891089</v>
      </c>
      <c r="K8" s="39">
        <f>'6a'!K8/'6b'!K8*100</f>
        <v>81734.908136482933</v>
      </c>
      <c r="L8" s="39">
        <f>'6a'!L8/'6b'!L8*100</f>
        <v>80387.096774193546</v>
      </c>
      <c r="N8" s="815"/>
      <c r="O8" s="815"/>
      <c r="P8" s="815"/>
      <c r="Q8" s="815"/>
      <c r="R8" s="815"/>
      <c r="S8" s="815"/>
      <c r="T8" s="815"/>
      <c r="U8" s="815"/>
      <c r="V8" s="815"/>
      <c r="W8" s="815"/>
      <c r="X8" s="815"/>
    </row>
    <row r="9" spans="1:24" ht="12.75" customHeight="1">
      <c r="A9" s="120">
        <v>1985</v>
      </c>
      <c r="B9" s="39">
        <f>'6a'!B9/'6b'!B9*100</f>
        <v>716392.33038348088</v>
      </c>
      <c r="C9" s="39">
        <f>'6a'!C9/'6b'!C9*100</f>
        <v>10163.608562691132</v>
      </c>
      <c r="D9" s="39">
        <f>'6a'!D9/'6b'!D9*100</f>
        <v>2376.6447368421054</v>
      </c>
      <c r="E9" s="39">
        <f>'6a'!E9/'6b'!E9*100</f>
        <v>18920.610687022901</v>
      </c>
      <c r="F9" s="39">
        <f>'6a'!F9/'6b'!F9*100</f>
        <v>13885.925925925927</v>
      </c>
      <c r="G9" s="39">
        <f>'6a'!G9/'6b'!G9*100</f>
        <v>164206.42201834859</v>
      </c>
      <c r="H9" s="39">
        <f>'6a'!H9/'6b'!H9*100</f>
        <v>287424.01215805468</v>
      </c>
      <c r="I9" s="39">
        <f>'6a'!I9/'6b'!I9*100</f>
        <v>27831.831831831834</v>
      </c>
      <c r="J9" s="39">
        <f>'6a'!J9/'6b'!J9*100</f>
        <v>24725.517241379312</v>
      </c>
      <c r="K9" s="39">
        <f>'6a'!K9/'6b'!K9*100</f>
        <v>88339.947089947105</v>
      </c>
      <c r="L9" s="39">
        <f>'6a'!L9/'6b'!L9*100</f>
        <v>86077.170418006426</v>
      </c>
      <c r="N9" s="815"/>
      <c r="O9" s="815"/>
      <c r="P9" s="815"/>
      <c r="Q9" s="815"/>
      <c r="R9" s="815"/>
      <c r="S9" s="815"/>
      <c r="T9" s="815"/>
      <c r="U9" s="815"/>
      <c r="V9" s="815"/>
      <c r="W9" s="815"/>
      <c r="X9" s="815"/>
    </row>
    <row r="10" spans="1:24" ht="12.75" customHeight="1">
      <c r="A10" s="120">
        <v>1986</v>
      </c>
      <c r="B10" s="39">
        <f>'6a'!B10/'6b'!B10*100</f>
        <v>733248.92703862651</v>
      </c>
      <c r="C10" s="39">
        <f>'6a'!C10/'6b'!C10*100</f>
        <v>10174.157303370786</v>
      </c>
      <c r="D10" s="39">
        <f>'6a'!D10/'6b'!D10*100</f>
        <v>2480.9741248097412</v>
      </c>
      <c r="E10" s="39">
        <f>'6a'!E10/'6b'!E10*100</f>
        <v>19312.680115273772</v>
      </c>
      <c r="F10" s="39">
        <f>'6a'!F10/'6b'!F10*100</f>
        <v>14839.716312056737</v>
      </c>
      <c r="G10" s="39">
        <f>'6a'!G10/'6b'!G10*100</f>
        <v>167365.71428571429</v>
      </c>
      <c r="H10" s="39">
        <f>'6a'!H10/'6b'!H10*100</f>
        <v>299081.77905308461</v>
      </c>
      <c r="I10" s="39">
        <f>'6a'!I10/'6b'!I10*100</f>
        <v>27913.043478260868</v>
      </c>
      <c r="J10" s="39">
        <f>'6a'!J10/'6b'!J10*100</f>
        <v>26135.294117647059</v>
      </c>
      <c r="K10" s="39">
        <f>'6a'!K10/'6b'!K10*100</f>
        <v>86380.029806259321</v>
      </c>
      <c r="L10" s="39">
        <f>'6a'!L10/'6b'!L10*100</f>
        <v>86199.695121951227</v>
      </c>
      <c r="N10" s="815"/>
      <c r="O10" s="815"/>
      <c r="P10" s="815"/>
      <c r="Q10" s="815"/>
      <c r="R10" s="815"/>
      <c r="S10" s="815"/>
      <c r="T10" s="815"/>
      <c r="U10" s="815"/>
      <c r="V10" s="815"/>
      <c r="W10" s="815"/>
      <c r="X10" s="815"/>
    </row>
    <row r="11" spans="1:24" ht="12.75" customHeight="1">
      <c r="A11" s="120">
        <v>1987</v>
      </c>
      <c r="B11" s="39">
        <f>'6a'!B11/'6b'!B11*100</f>
        <v>764636.1149110808</v>
      </c>
      <c r="C11" s="39">
        <f>'6a'!C11/'6b'!C11*100</f>
        <v>10518.970189701899</v>
      </c>
      <c r="D11" s="39">
        <f>'6a'!D11/'6b'!D11*100</f>
        <v>2517.391304347826</v>
      </c>
      <c r="E11" s="39">
        <f>'6a'!E11/'6b'!E11*100</f>
        <v>19933.701657458561</v>
      </c>
      <c r="F11" s="39">
        <f>'6a'!F11/'6b'!F11*100</f>
        <v>15616.734143049933</v>
      </c>
      <c r="G11" s="39">
        <f>'6a'!G11/'6b'!G11*100</f>
        <v>174508.15217391305</v>
      </c>
      <c r="H11" s="39">
        <f>'6a'!H11/'6b'!H11*100</f>
        <v>313983.67346938775</v>
      </c>
      <c r="I11" s="39">
        <f>'6a'!I11/'6b'!I11*100</f>
        <v>28312.5</v>
      </c>
      <c r="J11" s="39">
        <f>'6a'!J11/'6b'!J11*100</f>
        <v>26255.411255411258</v>
      </c>
      <c r="K11" s="39">
        <f>'6a'!K11/'6b'!K11*100</f>
        <v>88079.178885630492</v>
      </c>
      <c r="L11" s="39">
        <f>'6a'!L11/'6b'!L11*100</f>
        <v>91530.014641288435</v>
      </c>
      <c r="N11" s="815"/>
      <c r="O11" s="815"/>
      <c r="P11" s="815"/>
      <c r="Q11" s="815"/>
      <c r="R11" s="815"/>
      <c r="S11" s="815"/>
      <c r="T11" s="815"/>
      <c r="U11" s="815"/>
      <c r="V11" s="815"/>
      <c r="W11" s="815"/>
      <c r="X11" s="815"/>
    </row>
    <row r="12" spans="1:24" ht="12.75" customHeight="1">
      <c r="A12" s="120">
        <v>1988</v>
      </c>
      <c r="B12" s="39">
        <f>'6a'!B12/'6b'!B12*100</f>
        <v>802479.05759162293</v>
      </c>
      <c r="C12" s="39">
        <f>'6a'!C12/'6b'!C12*100</f>
        <v>11170.184696569922</v>
      </c>
      <c r="D12" s="39">
        <f>'6a'!D12/'6b'!D12*100</f>
        <v>2600</v>
      </c>
      <c r="E12" s="39">
        <f>'6a'!E12/'6b'!E12*100</f>
        <v>20176.781002638523</v>
      </c>
      <c r="F12" s="39">
        <f>'6a'!F12/'6b'!F12*100</f>
        <v>15724.399494311001</v>
      </c>
      <c r="G12" s="39">
        <f>'6a'!G12/'6b'!G12*100</f>
        <v>182441.70984455958</v>
      </c>
      <c r="H12" s="39">
        <f>'6a'!H12/'6b'!H12*100</f>
        <v>330891.61290322582</v>
      </c>
      <c r="I12" s="39">
        <f>'6a'!I12/'6b'!I12*100</f>
        <v>28153.452685421995</v>
      </c>
      <c r="J12" s="39">
        <f>'6a'!J12/'6b'!J12*100</f>
        <v>25370.121130551815</v>
      </c>
      <c r="K12" s="39">
        <f>'6a'!K12/'6b'!K12*100</f>
        <v>95142.857142857145</v>
      </c>
      <c r="L12" s="39">
        <f>'6a'!L12/'6b'!L12*100</f>
        <v>96803.347280334725</v>
      </c>
      <c r="N12" s="815"/>
      <c r="O12" s="815"/>
      <c r="P12" s="815"/>
      <c r="Q12" s="815"/>
      <c r="R12" s="815"/>
      <c r="S12" s="815"/>
      <c r="T12" s="815"/>
      <c r="U12" s="815"/>
      <c r="V12" s="815"/>
      <c r="W12" s="815"/>
      <c r="X12" s="815"/>
    </row>
    <row r="13" spans="1:24" ht="12.75" customHeight="1">
      <c r="A13" s="120">
        <v>1989</v>
      </c>
      <c r="B13" s="39">
        <f>'6a'!B13/'6b'!B13*100</f>
        <v>824220.55137844617</v>
      </c>
      <c r="C13" s="39">
        <f>'6a'!C13/'6b'!C13*100</f>
        <v>11651.554404145078</v>
      </c>
      <c r="D13" s="39">
        <f>'6a'!D13/'6b'!D13*100</f>
        <v>2670.5577172503245</v>
      </c>
      <c r="E13" s="39">
        <f>'6a'!E13/'6b'!E13*100</f>
        <v>20640.506329113923</v>
      </c>
      <c r="F13" s="39">
        <f>'6a'!F13/'6b'!F13*100</f>
        <v>15855.072463768116</v>
      </c>
      <c r="G13" s="39">
        <f>'6a'!G13/'6b'!G13*100</f>
        <v>183701.73267326734</v>
      </c>
      <c r="H13" s="39">
        <f>'6a'!H13/'6b'!H13*100</f>
        <v>342074.84662576683</v>
      </c>
      <c r="I13" s="39">
        <f>'6a'!I13/'6b'!I13*100</f>
        <v>28923.267326732672</v>
      </c>
      <c r="J13" s="39">
        <f>'6a'!J13/'6b'!J13*100</f>
        <v>25977.893368010398</v>
      </c>
      <c r="K13" s="39">
        <f>'6a'!K13/'6b'!K13*100</f>
        <v>96528.653295128941</v>
      </c>
      <c r="L13" s="39">
        <f>'6a'!L13/'6b'!L13*100</f>
        <v>99976.190476190488</v>
      </c>
      <c r="N13" s="815"/>
      <c r="O13" s="815"/>
      <c r="P13" s="815"/>
      <c r="Q13" s="815"/>
      <c r="R13" s="815"/>
      <c r="S13" s="815"/>
      <c r="T13" s="815"/>
      <c r="U13" s="815"/>
      <c r="V13" s="815"/>
      <c r="W13" s="815"/>
      <c r="X13" s="815"/>
    </row>
    <row r="14" spans="1:24" ht="12.75" customHeight="1">
      <c r="A14" s="120">
        <v>1990</v>
      </c>
      <c r="B14" s="39">
        <f>'6a'!B14/'6b'!B14*100</f>
        <v>825146.84466019413</v>
      </c>
      <c r="C14" s="39">
        <f>'6a'!C14/'6b'!C14*100</f>
        <v>11654.86725663717</v>
      </c>
      <c r="D14" s="39">
        <f>'6a'!D14/'6b'!D14*100</f>
        <v>2687.7323420074349</v>
      </c>
      <c r="E14" s="39">
        <f>'6a'!E14/'6b'!E14*100</f>
        <v>20572.6392251816</v>
      </c>
      <c r="F14" s="39">
        <f>'6a'!F14/'6b'!F14*100</f>
        <v>15777.256740914421</v>
      </c>
      <c r="G14" s="39">
        <f>'6a'!G14/'6b'!G14*100</f>
        <v>184290.86538461538</v>
      </c>
      <c r="H14" s="39">
        <f>'6a'!H14/'6b'!H14*100</f>
        <v>336306.77764565992</v>
      </c>
      <c r="I14" s="39">
        <f>'6a'!I14/'6b'!I14*100</f>
        <v>29611.995104039164</v>
      </c>
      <c r="J14" s="39">
        <f>'6a'!J14/'6b'!J14*100</f>
        <v>27784.031413612563</v>
      </c>
      <c r="K14" s="39">
        <f>'6a'!K14/'6b'!K14*100</f>
        <v>98729.11051212938</v>
      </c>
      <c r="L14" s="39">
        <f>'6a'!L14/'6b'!L14*100</f>
        <v>101470.58823529411</v>
      </c>
      <c r="N14" s="815"/>
      <c r="O14" s="815"/>
      <c r="P14" s="815"/>
      <c r="Q14" s="815"/>
      <c r="R14" s="815"/>
      <c r="S14" s="815"/>
      <c r="T14" s="815"/>
      <c r="U14" s="815"/>
      <c r="V14" s="815"/>
      <c r="W14" s="815"/>
      <c r="X14" s="815"/>
    </row>
    <row r="15" spans="1:24" ht="12.75" customHeight="1">
      <c r="A15" s="120">
        <v>1991</v>
      </c>
      <c r="B15" s="39">
        <f>'6a'!B15/'6b'!B15*100</f>
        <v>808215.80188679241</v>
      </c>
      <c r="C15" s="39">
        <f>'6a'!C15/'6b'!C15*100</f>
        <v>11720.048899755502</v>
      </c>
      <c r="D15" s="39">
        <f>'6a'!D15/'6b'!D15*100</f>
        <v>2681.3317479191442</v>
      </c>
      <c r="E15" s="39">
        <f>'6a'!E15/'6b'!E15*100</f>
        <v>20404.624277456649</v>
      </c>
      <c r="F15" s="39">
        <f>'6a'!F15/'6b'!F15*100</f>
        <v>15776.878612716762</v>
      </c>
      <c r="G15" s="39">
        <f>'6a'!G15/'6b'!G15*100</f>
        <v>179371.09826589594</v>
      </c>
      <c r="H15" s="39">
        <f>'6a'!H15/'6b'!H15*100</f>
        <v>323166.66666666669</v>
      </c>
      <c r="I15" s="39">
        <f>'6a'!I15/'6b'!I15*100</f>
        <v>28640.047675804526</v>
      </c>
      <c r="J15" s="39">
        <f>'6a'!J15/'6b'!J15*100</f>
        <v>28111.695137976345</v>
      </c>
      <c r="K15" s="39">
        <f>'6a'!K15/'6b'!K15*100</f>
        <v>99172.789115646257</v>
      </c>
      <c r="L15" s="39">
        <f>'6a'!L15/'6b'!L15*100</f>
        <v>101549.62779156328</v>
      </c>
      <c r="N15" s="815"/>
      <c r="O15" s="815"/>
      <c r="P15" s="815"/>
      <c r="Q15" s="815"/>
      <c r="R15" s="815"/>
      <c r="S15" s="815"/>
      <c r="T15" s="815"/>
      <c r="U15" s="815"/>
      <c r="V15" s="815"/>
      <c r="W15" s="815"/>
      <c r="X15" s="815"/>
    </row>
    <row r="16" spans="1:24" ht="12.75" customHeight="1">
      <c r="A16" s="120">
        <v>1992</v>
      </c>
      <c r="B16" s="39">
        <f>'6a'!B16/'6b'!B16*100</f>
        <v>815459.83701979043</v>
      </c>
      <c r="C16" s="39">
        <f>'6a'!C16/'6b'!C16*100</f>
        <v>11546.553808948005</v>
      </c>
      <c r="D16" s="39">
        <f>'6a'!D16/'6b'!D16*100</f>
        <v>2752.3474178403758</v>
      </c>
      <c r="E16" s="39">
        <f>'6a'!E16/'6b'!E16*100</f>
        <v>20678.857142857141</v>
      </c>
      <c r="F16" s="39">
        <f>'6a'!F16/'6b'!F16*100</f>
        <v>16025.114155251144</v>
      </c>
      <c r="G16" s="39">
        <f>'6a'!G16/'6b'!G16*100</f>
        <v>180161.54721274175</v>
      </c>
      <c r="H16" s="39">
        <f>'6a'!H16/'6b'!H16*100</f>
        <v>325930.60295790667</v>
      </c>
      <c r="I16" s="39">
        <f>'6a'!I16/'6b'!I16*100</f>
        <v>28915.976331360947</v>
      </c>
      <c r="J16" s="39">
        <f>'6a'!J16/'6b'!J16*100</f>
        <v>27031.847133757965</v>
      </c>
      <c r="K16" s="39">
        <f>'6a'!K16/'6b'!K16*100</f>
        <v>100048.06408544726</v>
      </c>
      <c r="L16" s="39">
        <f>'6a'!L16/'6b'!L16*100</f>
        <v>104231.78016726403</v>
      </c>
      <c r="N16" s="815"/>
      <c r="O16" s="815"/>
      <c r="P16" s="815"/>
      <c r="Q16" s="815"/>
      <c r="R16" s="815"/>
      <c r="S16" s="815"/>
      <c r="T16" s="815"/>
      <c r="U16" s="815"/>
      <c r="V16" s="815"/>
      <c r="W16" s="815"/>
      <c r="X16" s="815"/>
    </row>
    <row r="17" spans="1:24" ht="12.75" customHeight="1">
      <c r="A17" s="120">
        <v>1993</v>
      </c>
      <c r="B17" s="39">
        <f>'6a'!B17/'6b'!B17*100</f>
        <v>833926.60550458718</v>
      </c>
      <c r="C17" s="39">
        <f>'6a'!C17/'6b'!C17*100</f>
        <v>11632.142857142857</v>
      </c>
      <c r="D17" s="39">
        <f>'6a'!D17/'6b'!D17*100</f>
        <v>2785.7948139797068</v>
      </c>
      <c r="E17" s="39">
        <f>'6a'!E17/'6b'!E17*100</f>
        <v>20891.799544419137</v>
      </c>
      <c r="F17" s="39">
        <f>'6a'!F17/'6b'!F17*100</f>
        <v>16490.460157126825</v>
      </c>
      <c r="G17" s="39">
        <f>'6a'!G17/'6b'!G17*100</f>
        <v>183724.80181200453</v>
      </c>
      <c r="H17" s="39">
        <f>'6a'!H17/'6b'!H17*100</f>
        <v>328929.37219730939</v>
      </c>
      <c r="I17" s="39">
        <f>'6a'!I17/'6b'!I17*100</f>
        <v>29031.877213695396</v>
      </c>
      <c r="J17" s="39">
        <f>'6a'!J17/'6b'!J17*100</f>
        <v>28804.020100502516</v>
      </c>
      <c r="K17" s="39">
        <f>'6a'!K17/'6b'!K17*100</f>
        <v>107237.78071334213</v>
      </c>
      <c r="L17" s="39">
        <f>'6a'!L17/'6b'!L17*100</f>
        <v>108885.41666666666</v>
      </c>
      <c r="N17" s="815"/>
      <c r="O17" s="815"/>
      <c r="P17" s="815"/>
      <c r="Q17" s="815"/>
      <c r="R17" s="815"/>
      <c r="S17" s="815"/>
      <c r="T17" s="815"/>
      <c r="U17" s="815"/>
      <c r="V17" s="815"/>
      <c r="W17" s="815"/>
      <c r="X17" s="815"/>
    </row>
    <row r="18" spans="1:24" ht="12.75" customHeight="1">
      <c r="A18" s="120">
        <v>1994</v>
      </c>
      <c r="B18" s="39">
        <f>'6a'!B18/'6b'!B18*100</f>
        <v>874005.66893424036</v>
      </c>
      <c r="C18" s="39">
        <f>'6a'!C18/'6b'!C18*100</f>
        <v>12132.387706855794</v>
      </c>
      <c r="D18" s="39">
        <f>'6a'!D18/'6b'!D18*100</f>
        <v>2921.2050984936268</v>
      </c>
      <c r="E18" s="39">
        <f>'6a'!E18/'6b'!E18*100</f>
        <v>20974.157303370786</v>
      </c>
      <c r="F18" s="39">
        <f>'6a'!F18/'6b'!F18*100</f>
        <v>16834.801762114537</v>
      </c>
      <c r="G18" s="39">
        <f>'6a'!G18/'6b'!G18*100</f>
        <v>191763.77952755903</v>
      </c>
      <c r="H18" s="39">
        <f>'6a'!H18/'6b'!H18*100</f>
        <v>348371.78051511757</v>
      </c>
      <c r="I18" s="39">
        <f>'6a'!I18/'6b'!I18*100</f>
        <v>30183.720930232557</v>
      </c>
      <c r="J18" s="39">
        <f>'6a'!J18/'6b'!J18*100</f>
        <v>30036.809815950921</v>
      </c>
      <c r="K18" s="39">
        <f>'6a'!K18/'6b'!K18*100</f>
        <v>113895.21345407504</v>
      </c>
      <c r="L18" s="39">
        <f>'6a'!L18/'6b'!L18*100</f>
        <v>111928.73051224944</v>
      </c>
      <c r="N18" s="815"/>
      <c r="O18" s="815"/>
      <c r="P18" s="815"/>
      <c r="Q18" s="815"/>
      <c r="R18" s="815"/>
      <c r="S18" s="815"/>
      <c r="T18" s="815"/>
      <c r="U18" s="815"/>
      <c r="V18" s="815"/>
      <c r="W18" s="815"/>
      <c r="X18" s="815"/>
    </row>
    <row r="19" spans="1:24" ht="12.75" customHeight="1">
      <c r="A19" s="120">
        <v>1995</v>
      </c>
      <c r="B19" s="39">
        <f>'6a'!B19/'6b'!B19*100</f>
        <v>898476.71840354765</v>
      </c>
      <c r="C19" s="39">
        <f>'6a'!C19/'6b'!C19*100</f>
        <v>12414.918414918415</v>
      </c>
      <c r="D19" s="39">
        <f>'6a'!D19/'6b'!D19*100</f>
        <v>3109.8130841121497</v>
      </c>
      <c r="E19" s="39">
        <f>'6a'!E19/'6b'!E19*100</f>
        <v>21321.546961325967</v>
      </c>
      <c r="F19" s="39">
        <f>'6a'!F19/'6b'!F19*100</f>
        <v>17388.535031847132</v>
      </c>
      <c r="G19" s="39">
        <f>'6a'!G19/'6b'!G19*100</f>
        <v>195083.60836083608</v>
      </c>
      <c r="H19" s="39">
        <f>'6a'!H19/'6b'!H19*100</f>
        <v>360697.69989047101</v>
      </c>
      <c r="I19" s="39">
        <f>'6a'!I19/'6b'!I19*100</f>
        <v>30264.870931537596</v>
      </c>
      <c r="J19" s="39">
        <f>'6a'!J19/'6b'!J19*100</f>
        <v>30373.563218390802</v>
      </c>
      <c r="K19" s="39">
        <f>'6a'!K19/'6b'!K19*100</f>
        <v>117542.78416347383</v>
      </c>
      <c r="L19" s="39">
        <f>'6a'!L19/'6b'!L19*100</f>
        <v>114609.54446854664</v>
      </c>
      <c r="N19" s="815"/>
      <c r="O19" s="815"/>
      <c r="P19" s="815"/>
      <c r="Q19" s="815"/>
      <c r="R19" s="815"/>
      <c r="S19" s="815"/>
      <c r="T19" s="815"/>
      <c r="U19" s="815"/>
      <c r="V19" s="815"/>
      <c r="W19" s="815"/>
      <c r="X19" s="815"/>
    </row>
    <row r="20" spans="1:24" ht="12.75" customHeight="1">
      <c r="A20" s="120">
        <v>1996</v>
      </c>
      <c r="B20" s="39">
        <f>'6a'!B20/'6b'!B20*100</f>
        <v>913606.98689956334</v>
      </c>
      <c r="C20" s="39">
        <f>'6a'!C20/'6b'!C20*100</f>
        <v>11837.5</v>
      </c>
      <c r="D20" s="39">
        <f>'6a'!D20/'6b'!D20*100</f>
        <v>3200.6802721088434</v>
      </c>
      <c r="E20" s="39">
        <f>'6a'!E20/'6b'!E20*100</f>
        <v>21465.346534653465</v>
      </c>
      <c r="F20" s="39">
        <f>'6a'!F20/'6b'!F20*100</f>
        <v>17501.052631578947</v>
      </c>
      <c r="G20" s="39">
        <f>'6a'!G20/'6b'!G20*100</f>
        <v>196865.86695747002</v>
      </c>
      <c r="H20" s="39">
        <f>'6a'!H20/'6b'!H20*100</f>
        <v>364803.6677454153</v>
      </c>
      <c r="I20" s="39">
        <f>'6a'!I20/'6b'!I20*100</f>
        <v>31177.63157894737</v>
      </c>
      <c r="J20" s="39">
        <f>'6a'!J20/'6b'!J20*100</f>
        <v>31257.019438444928</v>
      </c>
      <c r="K20" s="39">
        <f>'6a'!K20/'6b'!K20*100</f>
        <v>119846.90157958689</v>
      </c>
      <c r="L20" s="39">
        <f>'6a'!L20/'6b'!L20*100</f>
        <v>117437.97195253505</v>
      </c>
      <c r="N20" s="815"/>
      <c r="O20" s="815"/>
      <c r="P20" s="815"/>
      <c r="Q20" s="815"/>
      <c r="R20" s="815"/>
      <c r="S20" s="815"/>
      <c r="T20" s="815"/>
      <c r="U20" s="815"/>
      <c r="V20" s="815"/>
      <c r="W20" s="815"/>
      <c r="X20" s="815"/>
    </row>
    <row r="21" spans="1:24" ht="12.75" customHeight="1">
      <c r="A21" s="120">
        <v>1997</v>
      </c>
      <c r="B21" s="39">
        <f>'6a'!B21/'6b'!B21*100</f>
        <v>952247.0334412083</v>
      </c>
      <c r="C21" s="39">
        <f>'6a'!C21/'6b'!C21*100</f>
        <v>11982.935153583618</v>
      </c>
      <c r="D21" s="39">
        <f>'6a'!D21/'6b'!D21*100</f>
        <v>3214.6957520091851</v>
      </c>
      <c r="E21" s="39">
        <f>'6a'!E21/'6b'!E21*100</f>
        <v>22382.417582417584</v>
      </c>
      <c r="F21" s="39">
        <f>'6a'!F21/'6b'!F21*100</f>
        <v>17712.93375394322</v>
      </c>
      <c r="G21" s="39">
        <f>'6a'!G21/'6b'!G21*100</f>
        <v>203262.13592233008</v>
      </c>
      <c r="H21" s="39">
        <f>'6a'!H21/'6b'!H21*100</f>
        <v>381074.23117709439</v>
      </c>
      <c r="I21" s="39">
        <f>'6a'!I21/'6b'!I21*100</f>
        <v>32338.043478260868</v>
      </c>
      <c r="J21" s="39">
        <f>'6a'!J21/'6b'!J21*100</f>
        <v>32468.819599109134</v>
      </c>
      <c r="K21" s="39">
        <f>'6a'!K21/'6b'!K21*100</f>
        <v>128047.84688995217</v>
      </c>
      <c r="L21" s="39">
        <f>'6a'!L21/'6b'!L21*100</f>
        <v>121168.43220338984</v>
      </c>
      <c r="N21" s="815"/>
      <c r="O21" s="815"/>
      <c r="P21" s="815"/>
      <c r="Q21" s="815"/>
      <c r="R21" s="815"/>
      <c r="S21" s="815"/>
      <c r="T21" s="815"/>
      <c r="U21" s="815"/>
      <c r="V21" s="815"/>
      <c r="W21" s="815"/>
      <c r="X21" s="815"/>
    </row>
    <row r="22" spans="1:24" ht="12.75" customHeight="1">
      <c r="A22" s="120">
        <v>1998</v>
      </c>
      <c r="B22" s="39">
        <f>'6a'!B22/'6b'!B22*100</f>
        <v>991303.35861321783</v>
      </c>
      <c r="C22" s="39">
        <f>'6a'!C22/'6b'!C22*100</f>
        <v>12628.248587570621</v>
      </c>
      <c r="D22" s="39">
        <f>'6a'!D22/'6b'!D22*100</f>
        <v>3360.7666290868096</v>
      </c>
      <c r="E22" s="39">
        <f>'6a'!E22/'6b'!E22*100</f>
        <v>23211.496746203902</v>
      </c>
      <c r="F22" s="39">
        <f>'6a'!F22/'6b'!F22*100</f>
        <v>18367.708333333336</v>
      </c>
      <c r="G22" s="39">
        <f>'6a'!G22/'6b'!G22*100</f>
        <v>209677.35042735044</v>
      </c>
      <c r="H22" s="39">
        <f>'6a'!H22/'6b'!H22*100</f>
        <v>399468.28752642707</v>
      </c>
      <c r="I22" s="39">
        <f>'6a'!I22/'6b'!I22*100</f>
        <v>33701.849836779103</v>
      </c>
      <c r="J22" s="39">
        <f>'6a'!J22/'6b'!J22*100</f>
        <v>33848.797250859112</v>
      </c>
      <c r="K22" s="39">
        <f>'6a'!K22/'6b'!K22*100</f>
        <v>134804.26599749058</v>
      </c>
      <c r="L22" s="39">
        <f>'6a'!L22/'6b'!L22*100</f>
        <v>122761.14649681529</v>
      </c>
      <c r="N22" s="815"/>
      <c r="O22" s="815"/>
      <c r="P22" s="815"/>
      <c r="Q22" s="815"/>
      <c r="R22" s="815"/>
      <c r="S22" s="815"/>
      <c r="T22" s="815"/>
      <c r="U22" s="815"/>
      <c r="V22" s="815"/>
      <c r="W22" s="815"/>
      <c r="X22" s="815"/>
    </row>
    <row r="23" spans="1:24" ht="12.75" customHeight="1">
      <c r="A23" s="120">
        <v>1999</v>
      </c>
      <c r="B23" s="39">
        <f>'6a'!B23/'6b'!B23*100</f>
        <v>1046263.0457933972</v>
      </c>
      <c r="C23" s="39">
        <f>'6a'!C23/'6b'!C23*100</f>
        <v>13315.846994535519</v>
      </c>
      <c r="D23" s="39">
        <f>'6a'!D23/'6b'!D23*100</f>
        <v>3502.217294900222</v>
      </c>
      <c r="E23" s="39">
        <f>'6a'!E23/'6b'!E23*100</f>
        <v>24478.768577494691</v>
      </c>
      <c r="F23" s="39">
        <f>'6a'!F23/'6b'!F23*100</f>
        <v>19509.221311475412</v>
      </c>
      <c r="G23" s="39">
        <f>'6a'!G23/'6b'!G23*100</f>
        <v>222607.18057022174</v>
      </c>
      <c r="H23" s="39">
        <f>'6a'!H23/'6b'!H23*100</f>
        <v>429642.85714285716</v>
      </c>
      <c r="I23" s="39">
        <f>'6a'!I23/'6b'!I23*100</f>
        <v>34261.521972132905</v>
      </c>
      <c r="J23" s="39">
        <f>'6a'!J23/'6b'!J23*100</f>
        <v>33933.847850055128</v>
      </c>
      <c r="K23" s="39">
        <f>'6a'!K23/'6b'!K23*100</f>
        <v>136616.10268378063</v>
      </c>
      <c r="L23" s="39">
        <f>'6a'!L23/'6b'!L23*100</f>
        <v>126751.57232704402</v>
      </c>
      <c r="N23" s="815"/>
      <c r="O23" s="815"/>
      <c r="P23" s="815"/>
      <c r="Q23" s="815"/>
      <c r="R23" s="815"/>
      <c r="S23" s="815"/>
      <c r="T23" s="815"/>
      <c r="U23" s="815"/>
      <c r="V23" s="815"/>
      <c r="W23" s="815"/>
      <c r="X23" s="815"/>
    </row>
    <row r="24" spans="1:24" ht="12.75" customHeight="1">
      <c r="A24" s="120">
        <v>2000</v>
      </c>
      <c r="B24" s="39">
        <f>'6a'!B24/'6b'!B24*100</f>
        <v>1100794.4785276074</v>
      </c>
      <c r="C24" s="39">
        <f>'6a'!C24/'6b'!C24*100</f>
        <v>14006.036217303821</v>
      </c>
      <c r="D24" s="39">
        <f>'6a'!D24/'6b'!D24*100</f>
        <v>3569.4591728525984</v>
      </c>
      <c r="E24" s="39">
        <f>'6a'!E24/'6b'!E24*100</f>
        <v>25238.485158648924</v>
      </c>
      <c r="F24" s="39">
        <f>'6a'!F24/'6b'!F24*100</f>
        <v>19925.595238095237</v>
      </c>
      <c r="G24" s="39">
        <f>'6a'!G24/'6b'!G24*100</f>
        <v>232363.63636363635</v>
      </c>
      <c r="H24" s="39">
        <f>'6a'!H24/'6b'!H24*100</f>
        <v>455329.54545454547</v>
      </c>
      <c r="I24" s="39">
        <f>'6a'!I24/'6b'!I24*100</f>
        <v>35699.161425576516</v>
      </c>
      <c r="J24" s="39">
        <f>'6a'!J24/'6b'!J24*100</f>
        <v>34802.469135802465</v>
      </c>
      <c r="K24" s="39">
        <f>'6a'!K24/'6b'!K24*100</f>
        <v>144933.93393393391</v>
      </c>
      <c r="L24" s="39">
        <f>'6a'!L24/'6b'!L24*100</f>
        <v>132525.73158425832</v>
      </c>
      <c r="N24" s="815"/>
      <c r="O24" s="815"/>
      <c r="P24" s="815"/>
      <c r="Q24" s="815"/>
      <c r="R24" s="815"/>
      <c r="S24" s="815"/>
      <c r="T24" s="815"/>
      <c r="U24" s="815"/>
      <c r="V24" s="815"/>
      <c r="W24" s="815"/>
      <c r="X24" s="815"/>
    </row>
    <row r="25" spans="1:24" ht="12.75" customHeight="1">
      <c r="A25" s="120">
        <v>2001</v>
      </c>
      <c r="B25" s="39">
        <f>'6a'!B25/'6b'!B25*100</f>
        <v>1120372.0930232557</v>
      </c>
      <c r="C25" s="39">
        <f>'6a'!C25/'6b'!C25*100</f>
        <v>14235.943775100404</v>
      </c>
      <c r="D25" s="39">
        <f>'6a'!D25/'6b'!D25*100</f>
        <v>3533.4706488156544</v>
      </c>
      <c r="E25" s="39">
        <f>'6a'!E25/'6b'!E25*100</f>
        <v>26039.195979899494</v>
      </c>
      <c r="F25" s="39">
        <f>'6a'!F25/'6b'!F25*100</f>
        <v>20238.747553816047</v>
      </c>
      <c r="G25" s="39">
        <f>'6a'!G25/'6b'!G25*100</f>
        <v>235869.65376782077</v>
      </c>
      <c r="H25" s="39">
        <f>'6a'!H25/'6b'!H25*100</f>
        <v>463433.09499489272</v>
      </c>
      <c r="I25" s="39">
        <f>'6a'!I25/'6b'!I25*100</f>
        <v>35984.646878198568</v>
      </c>
      <c r="J25" s="39">
        <f>'6a'!J25/'6b'!J25*100</f>
        <v>34471.383975026016</v>
      </c>
      <c r="K25" s="39">
        <f>'6a'!K25/'6b'!K25*100</f>
        <v>147440.54580896685</v>
      </c>
      <c r="L25" s="39">
        <f>'6a'!L25/'6b'!L25*100</f>
        <v>133380.61938061941</v>
      </c>
      <c r="N25" s="815"/>
      <c r="O25" s="815"/>
      <c r="P25" s="815"/>
      <c r="Q25" s="815"/>
      <c r="R25" s="815"/>
      <c r="S25" s="815"/>
      <c r="T25" s="815"/>
      <c r="U25" s="815"/>
      <c r="V25" s="815"/>
      <c r="W25" s="815"/>
      <c r="X25" s="815"/>
    </row>
    <row r="26" spans="1:24" ht="12.75" customHeight="1">
      <c r="A26" s="120">
        <v>2002</v>
      </c>
      <c r="B26" s="39">
        <f>'6a'!B26/'6b'!B26*100</f>
        <v>1152905</v>
      </c>
      <c r="C26" s="39">
        <f>'6a'!C26/'6b'!C26*100</f>
        <v>16457</v>
      </c>
      <c r="D26" s="39">
        <f>'6a'!D26/'6b'!D26*100</f>
        <v>3701</v>
      </c>
      <c r="E26" s="39">
        <f>'6a'!E26/'6b'!E26*100</f>
        <v>27082</v>
      </c>
      <c r="F26" s="39">
        <f>'6a'!F26/'6b'!F26*100</f>
        <v>21169</v>
      </c>
      <c r="G26" s="39">
        <f>'6a'!G26/'6b'!G26*100</f>
        <v>241448</v>
      </c>
      <c r="H26" s="39">
        <f>'6a'!H26/'6b'!H26*100</f>
        <v>477763</v>
      </c>
      <c r="I26" s="39">
        <f>'6a'!I26/'6b'!I26*100</f>
        <v>36559</v>
      </c>
      <c r="J26" s="39">
        <f>'6a'!J26/'6b'!J26*100</f>
        <v>34343</v>
      </c>
      <c r="K26" s="39">
        <f>'6a'!K26/'6b'!K26*100</f>
        <v>150594</v>
      </c>
      <c r="L26" s="39">
        <f>'6a'!L26/'6b'!L26*100</f>
        <v>138193</v>
      </c>
      <c r="N26" s="815"/>
      <c r="O26" s="815"/>
      <c r="P26" s="815"/>
      <c r="Q26" s="815"/>
      <c r="R26" s="815"/>
      <c r="S26" s="815"/>
      <c r="T26" s="815"/>
      <c r="U26" s="815"/>
      <c r="V26" s="815"/>
      <c r="W26" s="815"/>
      <c r="X26" s="815"/>
    </row>
    <row r="27" spans="1:24" ht="12.75" customHeight="1">
      <c r="A27" s="120">
        <v>2003</v>
      </c>
      <c r="B27" s="39">
        <f>'6a'!B27/'6b'!B27*100</f>
        <v>1174419.1674733786</v>
      </c>
      <c r="C27" s="39">
        <f>'6a'!C27/'6b'!C27*100</f>
        <v>17422.115384615383</v>
      </c>
      <c r="D27" s="39">
        <f>'6a'!D27/'6b'!D27*100</f>
        <v>3779.1044776119406</v>
      </c>
      <c r="E27" s="39">
        <f>'6a'!E27/'6b'!E27*100</f>
        <v>27450.999048525216</v>
      </c>
      <c r="F27" s="39">
        <f>'6a'!F27/'6b'!F27*100</f>
        <v>21756.809338521402</v>
      </c>
      <c r="G27" s="39">
        <f>'6a'!G27/'6b'!G27*100</f>
        <v>244397.66081871348</v>
      </c>
      <c r="H27" s="39">
        <f>'6a'!H27/'6b'!H27*100</f>
        <v>484362.47544204327</v>
      </c>
      <c r="I27" s="39">
        <f>'6a'!I27/'6b'!I27*100</f>
        <v>37043.5212660732</v>
      </c>
      <c r="J27" s="39">
        <f>'6a'!J27/'6b'!J27*100</f>
        <v>35934.313725490196</v>
      </c>
      <c r="K27" s="39">
        <f>'6a'!K27/'6b'!K27*100</f>
        <v>155354.33789954337</v>
      </c>
      <c r="L27" s="39">
        <f>'6a'!L27/'6b'!L27*100</f>
        <v>141400</v>
      </c>
      <c r="N27" s="815"/>
      <c r="O27" s="815"/>
      <c r="P27" s="815"/>
      <c r="Q27" s="815"/>
      <c r="R27" s="815"/>
      <c r="S27" s="815"/>
      <c r="T27" s="815"/>
      <c r="U27" s="815"/>
      <c r="V27" s="815"/>
      <c r="W27" s="815"/>
      <c r="X27" s="815"/>
    </row>
    <row r="28" spans="1:24" ht="12.75" customHeight="1">
      <c r="A28" s="119">
        <v>2004</v>
      </c>
      <c r="B28" s="39">
        <f>'6a'!B28/'6b'!B28*100</f>
        <v>1210981.2382739212</v>
      </c>
      <c r="C28" s="39">
        <f>'6a'!C28/'6b'!C28*100</f>
        <v>17204.787234042553</v>
      </c>
      <c r="D28" s="39">
        <f>'6a'!D28/'6b'!D28*100</f>
        <v>3878.2862706913343</v>
      </c>
      <c r="E28" s="39">
        <f>'6a'!E28/'6b'!E28*100</f>
        <v>27718.662952646242</v>
      </c>
      <c r="F28" s="39">
        <f>'6a'!F28/'6b'!F28*100</f>
        <v>22374.291115311909</v>
      </c>
      <c r="G28" s="39">
        <f>'6a'!G28/'6b'!G28*100</f>
        <v>250965.61604584527</v>
      </c>
      <c r="H28" s="39">
        <f>'6a'!H28/'6b'!H28*100</f>
        <v>496733.39749759377</v>
      </c>
      <c r="I28" s="39">
        <f>'6a'!I28/'6b'!I28*100</f>
        <v>37855.238095238092</v>
      </c>
      <c r="J28" s="39">
        <f>'6a'!J28/'6b'!J28*100</f>
        <v>37739.130434782615</v>
      </c>
      <c r="K28" s="39">
        <f>'6a'!K28/'6b'!K28*100</f>
        <v>163571.55172413794</v>
      </c>
      <c r="L28" s="39">
        <f>'6a'!L28/'6b'!L28*100</f>
        <v>146538.10408921933</v>
      </c>
      <c r="N28" s="815"/>
      <c r="O28" s="815"/>
      <c r="P28" s="815"/>
      <c r="Q28" s="815"/>
      <c r="R28" s="815"/>
      <c r="S28" s="815"/>
      <c r="T28" s="815"/>
      <c r="U28" s="815"/>
      <c r="V28" s="815"/>
      <c r="W28" s="815"/>
      <c r="X28" s="815"/>
    </row>
    <row r="29" spans="1:24" ht="12.75" customHeight="1">
      <c r="A29" s="119">
        <v>2005</v>
      </c>
      <c r="B29" s="39">
        <f>'6a'!B29/'6b'!B29*100</f>
        <v>1245577.1324863883</v>
      </c>
      <c r="C29" s="39">
        <f>'6a'!C29/'6b'!C29*100</f>
        <v>17537.170263788968</v>
      </c>
      <c r="D29" s="39">
        <f>'6a'!D29/'6b'!D29*100</f>
        <v>3953.333333333333</v>
      </c>
      <c r="E29" s="39">
        <f>'6a'!E29/'6b'!E29*100</f>
        <v>28074.506283662475</v>
      </c>
      <c r="F29" s="39">
        <f>'6a'!F29/'6b'!F29*100</f>
        <v>22725.436179981632</v>
      </c>
      <c r="G29" s="39">
        <f>'6a'!G29/'6b'!G29*100</f>
        <v>254754.69924812028</v>
      </c>
      <c r="H29" s="39">
        <f>'6a'!H29/'6b'!H29*100</f>
        <v>510793.52997145581</v>
      </c>
      <c r="I29" s="39">
        <f>'6a'!I29/'6b'!I29*100</f>
        <v>38800.93457943925</v>
      </c>
      <c r="J29" s="39">
        <f>'6a'!J29/'6b'!J29*100</f>
        <v>38961.98054818745</v>
      </c>
      <c r="K29" s="39">
        <f>'6a'!K29/'6b'!K29*100</f>
        <v>171398.91135303266</v>
      </c>
      <c r="L29" s="39">
        <f>'6a'!L29/'6b'!L29*100</f>
        <v>152943.08943089432</v>
      </c>
      <c r="N29" s="815"/>
      <c r="O29" s="815"/>
      <c r="P29" s="815"/>
      <c r="Q29" s="815"/>
      <c r="R29" s="815"/>
      <c r="S29" s="815"/>
      <c r="T29" s="815"/>
      <c r="U29" s="815"/>
      <c r="V29" s="815"/>
      <c r="W29" s="815"/>
      <c r="X29" s="815"/>
    </row>
    <row r="30" spans="1:24" ht="12.75" customHeight="1">
      <c r="A30" s="119">
        <v>2006</v>
      </c>
      <c r="B30" s="39">
        <f>'6a'!B30/'6b'!B30*100</f>
        <v>1284756.421612046</v>
      </c>
      <c r="C30" s="39">
        <f>'6a'!C30/'6b'!C30*100</f>
        <v>18063.933287004864</v>
      </c>
      <c r="D30" s="39">
        <f>'6a'!D30/'6b'!D30*100</f>
        <v>4049.6719775070287</v>
      </c>
      <c r="E30" s="39">
        <f>'6a'!E30/'6b'!E30*100</f>
        <v>28336.607142857145</v>
      </c>
      <c r="F30" s="39">
        <f>'6a'!F30/'6b'!F30*100</f>
        <v>23286.744815148781</v>
      </c>
      <c r="G30" s="39">
        <f>'6a'!G30/'6b'!G30*100</f>
        <v>258988.96044158231</v>
      </c>
      <c r="H30" s="39">
        <f>'6a'!H30/'6b'!H30*100</f>
        <v>524136.70411985024</v>
      </c>
      <c r="I30" s="39">
        <f>'6a'!I30/'6b'!I30*100</f>
        <v>40351.302785265048</v>
      </c>
      <c r="J30" s="39">
        <f>'6a'!J30/'6b'!J30*100</f>
        <v>38874.581939799333</v>
      </c>
      <c r="K30" s="39">
        <f>'6a'!K30/'6b'!K30*100</f>
        <v>181778.45220030347</v>
      </c>
      <c r="L30" s="39">
        <f>'6a'!L30/'6b'!L30*100</f>
        <v>159740.3846153846</v>
      </c>
      <c r="N30" s="815"/>
      <c r="O30" s="815"/>
      <c r="P30" s="815"/>
      <c r="Q30" s="815"/>
      <c r="R30" s="815"/>
      <c r="S30" s="815"/>
      <c r="T30" s="815"/>
      <c r="U30" s="815"/>
      <c r="V30" s="815"/>
      <c r="W30" s="815"/>
      <c r="X30" s="815"/>
    </row>
    <row r="31" spans="1:24" ht="12.75" customHeight="1">
      <c r="A31" s="119">
        <v>2007</v>
      </c>
      <c r="B31" s="39">
        <f>'6a'!B31/'6b'!B31*100</f>
        <v>1319283.5051546392</v>
      </c>
      <c r="C31" s="39">
        <f>'6a'!C31/'6b'!C31*100</f>
        <v>19695.797198132088</v>
      </c>
      <c r="D31" s="39">
        <f>'6a'!D31/'6b'!D31*100</f>
        <v>4150.5474452554745</v>
      </c>
      <c r="E31" s="39">
        <f>'6a'!E31/'6b'!E31*100</f>
        <v>28804.537521815011</v>
      </c>
      <c r="F31" s="39">
        <f>'6a'!F31/'6b'!F31*100</f>
        <v>23679.261862917399</v>
      </c>
      <c r="G31" s="39">
        <f>'6a'!G31/'6b'!G31*100</f>
        <v>265853.04659498209</v>
      </c>
      <c r="H31" s="39">
        <f>'6a'!H31/'6b'!H31*100</f>
        <v>536165.90284142992</v>
      </c>
      <c r="I31" s="39">
        <f>'6a'!I31/'6b'!I31*100</f>
        <v>41672.961373390557</v>
      </c>
      <c r="J31" s="39">
        <f>'6a'!J31/'6b'!J31*100</f>
        <v>39836.419753086418</v>
      </c>
      <c r="K31" s="39">
        <f>'6a'!K31/'6b'!K31*100</f>
        <v>187498.91383055758</v>
      </c>
      <c r="L31" s="39">
        <f>'6a'!L31/'6b'!L31*100</f>
        <v>164553.84615384616</v>
      </c>
      <c r="N31" s="815"/>
      <c r="O31" s="815"/>
      <c r="P31" s="815"/>
      <c r="Q31" s="815"/>
      <c r="R31" s="815"/>
      <c r="S31" s="815"/>
      <c r="T31" s="815"/>
      <c r="U31" s="815"/>
      <c r="V31" s="815"/>
      <c r="W31" s="815"/>
      <c r="X31" s="815"/>
    </row>
    <row r="32" spans="1:24" ht="12.75" customHeight="1">
      <c r="A32" s="119">
        <v>2008</v>
      </c>
      <c r="B32" s="39">
        <f>'6a'!B32/'6b'!B32*100</f>
        <v>1325454.0942928039</v>
      </c>
      <c r="C32" s="39">
        <f>'6a'!C32/'6b'!C32*100</f>
        <v>19685.857321652064</v>
      </c>
      <c r="D32" s="39">
        <f>'6a'!D32/'6b'!D32*100</f>
        <v>4188.2770870337481</v>
      </c>
      <c r="E32" s="39">
        <f>'6a'!E32/'6b'!E32*100</f>
        <v>29389.175257731957</v>
      </c>
      <c r="F32" s="39">
        <f>'6a'!F32/'6b'!F32*100</f>
        <v>23666.955767562878</v>
      </c>
      <c r="G32" s="39">
        <f>'6a'!G32/'6b'!G32*100</f>
        <v>268697.86096256686</v>
      </c>
      <c r="H32" s="39">
        <f>'6a'!H32/'6b'!H32*100</f>
        <v>533973.66030881018</v>
      </c>
      <c r="I32" s="39">
        <f>'6a'!I32/'6b'!I32*100</f>
        <v>42653.813914501254</v>
      </c>
      <c r="J32" s="39">
        <f>'6a'!J32/'6b'!J32*100</f>
        <v>41579.185520361993</v>
      </c>
      <c r="K32" s="39">
        <f>'6a'!K32/'6b'!K32*100</f>
        <v>187082.74534958307</v>
      </c>
      <c r="L32" s="39">
        <f>'6a'!L32/'6b'!L32*100</f>
        <v>164097.19934102142</v>
      </c>
      <c r="N32" s="815"/>
      <c r="O32" s="815"/>
      <c r="P32" s="815"/>
      <c r="Q32" s="815"/>
      <c r="R32" s="815"/>
      <c r="S32" s="815"/>
      <c r="T32" s="815"/>
      <c r="U32" s="815"/>
      <c r="V32" s="815"/>
      <c r="W32" s="815"/>
      <c r="X32" s="815"/>
    </row>
    <row r="33" spans="1:12">
      <c r="A33" s="120"/>
      <c r="B33" s="23"/>
      <c r="C33" s="644"/>
      <c r="D33" s="666" t="s">
        <v>802</v>
      </c>
      <c r="E33" s="644"/>
      <c r="F33" s="644"/>
      <c r="G33" s="644"/>
      <c r="H33" s="644"/>
      <c r="I33" s="644"/>
      <c r="J33" s="644"/>
      <c r="K33" s="644"/>
      <c r="L33" s="644"/>
    </row>
    <row r="34" spans="1:12">
      <c r="A34" s="448" t="s">
        <v>603</v>
      </c>
      <c r="B34" s="23">
        <f t="shared" ref="B34:L34" si="0">((((B13/B5))^(1/8))-1)*100</f>
        <v>3.0691128330962325</v>
      </c>
      <c r="C34" s="23">
        <f t="shared" si="0"/>
        <v>2.7602773668951253</v>
      </c>
      <c r="D34" s="23">
        <f t="shared" si="0"/>
        <v>2.9712810833982362</v>
      </c>
      <c r="E34" s="23">
        <f t="shared" si="0"/>
        <v>3.2571945674513492</v>
      </c>
      <c r="F34" s="23">
        <f t="shared" si="0"/>
        <v>3.4248575281205618</v>
      </c>
      <c r="G34" s="23">
        <f t="shared" si="0"/>
        <v>2.1385381202823739</v>
      </c>
      <c r="H34" s="23">
        <f t="shared" si="0"/>
        <v>3.9164808238656867</v>
      </c>
      <c r="I34" s="23">
        <f t="shared" si="0"/>
        <v>2.0245050342139859</v>
      </c>
      <c r="J34" s="23">
        <f t="shared" si="0"/>
        <v>1.3259106793831021</v>
      </c>
      <c r="K34" s="23">
        <f t="shared" si="0"/>
        <v>2.0577871490941257</v>
      </c>
      <c r="L34" s="23">
        <f t="shared" si="0"/>
        <v>2.1246519329371827</v>
      </c>
    </row>
    <row r="35" spans="1:12">
      <c r="A35" s="448" t="s">
        <v>604</v>
      </c>
      <c r="B35" s="23">
        <f t="shared" ref="B35:L35" si="1">((((B24/B13))^(1/11))-1)*100</f>
        <v>2.6653498002802811</v>
      </c>
      <c r="C35" s="23">
        <f t="shared" si="1"/>
        <v>1.6872467966779325</v>
      </c>
      <c r="D35" s="23">
        <f t="shared" si="1"/>
        <v>2.6726062653153138</v>
      </c>
      <c r="E35" s="23">
        <f t="shared" si="1"/>
        <v>1.8451300484243927</v>
      </c>
      <c r="F35" s="23">
        <f t="shared" si="1"/>
        <v>2.0991431875383437</v>
      </c>
      <c r="G35" s="23">
        <f t="shared" si="1"/>
        <v>2.159255491684009</v>
      </c>
      <c r="H35" s="23">
        <f t="shared" si="1"/>
        <v>2.6340189878322429</v>
      </c>
      <c r="I35" s="23">
        <f t="shared" si="1"/>
        <v>1.9318861014786526</v>
      </c>
      <c r="J35" s="23">
        <f t="shared" si="1"/>
        <v>2.6942225850239643</v>
      </c>
      <c r="K35" s="23">
        <f t="shared" si="1"/>
        <v>3.7640016920989838</v>
      </c>
      <c r="L35" s="23">
        <f t="shared" si="1"/>
        <v>2.5953322778843102</v>
      </c>
    </row>
    <row r="36" spans="1:12">
      <c r="A36" s="448" t="s">
        <v>1408</v>
      </c>
      <c r="B36" s="23">
        <f>((((B32/B5))^(1/27))-1)*100</f>
        <v>2.6907829293003394</v>
      </c>
      <c r="C36" s="23">
        <f t="shared" ref="C36:L36" si="2">((((C32/C5))^(1/27))-1)*100</f>
        <v>2.7873634303278827</v>
      </c>
      <c r="D36" s="23">
        <f t="shared" si="2"/>
        <v>2.5666128145948042</v>
      </c>
      <c r="E36" s="23">
        <f t="shared" si="2"/>
        <v>2.2841886497316333</v>
      </c>
      <c r="F36" s="23">
        <f t="shared" si="2"/>
        <v>2.512494281691513</v>
      </c>
      <c r="G36" s="23">
        <f t="shared" si="2"/>
        <v>2.0562385577094444</v>
      </c>
      <c r="H36" s="23">
        <f t="shared" si="2"/>
        <v>2.8268305384228753</v>
      </c>
      <c r="I36" s="23">
        <f t="shared" si="2"/>
        <v>2.0534398507206175</v>
      </c>
      <c r="J36" s="23">
        <f t="shared" si="2"/>
        <v>2.1552283743844214</v>
      </c>
      <c r="K36" s="23">
        <f t="shared" si="2"/>
        <v>3.1014305886234439</v>
      </c>
      <c r="L36" s="23">
        <f t="shared" si="2"/>
        <v>2.488680070911653</v>
      </c>
    </row>
    <row r="37" spans="1:12">
      <c r="A37" s="448" t="s">
        <v>449</v>
      </c>
      <c r="B37" s="644">
        <f>((((B31/B24))^(1/7)-1)*100)</f>
        <v>2.6202638966445591</v>
      </c>
      <c r="C37" s="644">
        <f t="shared" ref="C37:L37" si="3">((((C31/C24))^(1/7)-1)*100)</f>
        <v>4.9907863322089741</v>
      </c>
      <c r="D37" s="644">
        <f t="shared" si="3"/>
        <v>2.178039659637232</v>
      </c>
      <c r="E37" s="644">
        <f t="shared" si="3"/>
        <v>1.905977767662792</v>
      </c>
      <c r="F37" s="644">
        <f t="shared" si="3"/>
        <v>2.4962844702502096</v>
      </c>
      <c r="G37" s="644">
        <f t="shared" si="3"/>
        <v>1.9420479157431947</v>
      </c>
      <c r="H37" s="644">
        <f t="shared" si="3"/>
        <v>2.3620680404354388</v>
      </c>
      <c r="I37" s="644">
        <f t="shared" si="3"/>
        <v>2.2349710646752063</v>
      </c>
      <c r="J37" s="644">
        <f t="shared" si="3"/>
        <v>1.9486462495220014</v>
      </c>
      <c r="K37" s="644">
        <f t="shared" si="3"/>
        <v>3.746994703675055</v>
      </c>
      <c r="L37" s="644">
        <f t="shared" si="3"/>
        <v>3.14060857546683</v>
      </c>
    </row>
    <row r="38" spans="1:12">
      <c r="A38" s="448" t="s">
        <v>1410</v>
      </c>
      <c r="B38" s="644">
        <f>((((B32/B24))^(1/8)-1)*100)</f>
        <v>2.3486941775676895</v>
      </c>
      <c r="C38" s="644">
        <f t="shared" ref="C38:L38" si="4">((((C32/C24))^(1/8)-1)*100)</f>
        <v>4.3469804171480719</v>
      </c>
      <c r="D38" s="644">
        <f t="shared" si="4"/>
        <v>2.0185445520859435</v>
      </c>
      <c r="E38" s="644">
        <f t="shared" si="4"/>
        <v>1.9214313867906396</v>
      </c>
      <c r="F38" s="644">
        <f t="shared" si="4"/>
        <v>2.174233153567573</v>
      </c>
      <c r="G38" s="644">
        <f t="shared" si="4"/>
        <v>1.8326406215295465</v>
      </c>
      <c r="H38" s="644">
        <f t="shared" si="4"/>
        <v>2.011527436677274</v>
      </c>
      <c r="I38" s="644">
        <f t="shared" si="4"/>
        <v>2.2498034626931451</v>
      </c>
      <c r="J38" s="644">
        <f t="shared" si="4"/>
        <v>2.2488047819770651</v>
      </c>
      <c r="K38" s="644">
        <f t="shared" si="4"/>
        <v>3.2423679144822914</v>
      </c>
      <c r="L38" s="644">
        <f t="shared" si="4"/>
        <v>2.7070179411666118</v>
      </c>
    </row>
    <row r="39" spans="1:12">
      <c r="A39" s="2"/>
      <c r="D39" s="27" t="s">
        <v>276</v>
      </c>
    </row>
    <row r="40" spans="1:12">
      <c r="A40" s="448" t="s">
        <v>1408</v>
      </c>
      <c r="B40" s="10">
        <f>(B32/B5-1)*100</f>
        <v>104.80924416141431</v>
      </c>
      <c r="C40" s="10">
        <f t="shared" ref="C40:L40" si="5">(C32/C5-1)*100</f>
        <v>110.07414681623273</v>
      </c>
      <c r="D40" s="10">
        <f t="shared" si="5"/>
        <v>98.226797465046161</v>
      </c>
      <c r="E40" s="10">
        <f t="shared" si="5"/>
        <v>84.00499941792026</v>
      </c>
      <c r="F40" s="10">
        <f t="shared" si="5"/>
        <v>95.42207409711547</v>
      </c>
      <c r="G40" s="10">
        <f t="shared" si="5"/>
        <v>73.247931323542375</v>
      </c>
      <c r="H40" s="10">
        <f t="shared" si="5"/>
        <v>112.26292271019508</v>
      </c>
      <c r="I40" s="10">
        <f t="shared" si="5"/>
        <v>73.119699777755514</v>
      </c>
      <c r="J40" s="10">
        <f t="shared" si="5"/>
        <v>77.842753443887247</v>
      </c>
      <c r="K40" s="10">
        <f t="shared" si="5"/>
        <v>128.1112307740604</v>
      </c>
      <c r="L40" s="10">
        <f t="shared" si="5"/>
        <v>94.200033096530731</v>
      </c>
    </row>
    <row r="42" spans="1:12">
      <c r="A42" s="9" t="s">
        <v>1589</v>
      </c>
      <c r="B42" s="9"/>
      <c r="C42" s="9"/>
      <c r="D42" s="9"/>
      <c r="E42" s="9"/>
      <c r="F42" s="9"/>
      <c r="G42" s="9"/>
      <c r="H42" s="9"/>
      <c r="I42" s="9"/>
      <c r="J42" s="9"/>
      <c r="K42" s="9"/>
      <c r="L42" s="9"/>
    </row>
    <row r="43" spans="1:12">
      <c r="A43" s="4" t="s">
        <v>1718</v>
      </c>
    </row>
    <row r="44" spans="1:12">
      <c r="A44" s="1" t="s">
        <v>388</v>
      </c>
    </row>
    <row r="46" spans="1:12">
      <c r="E46" s="114"/>
    </row>
    <row r="47" spans="1:12">
      <c r="E47" s="114"/>
    </row>
  </sheetData>
  <mergeCells count="11">
    <mergeCell ref="G3:G4"/>
    <mergeCell ref="B3:B4"/>
    <mergeCell ref="C3:C4"/>
    <mergeCell ref="D3:D4"/>
    <mergeCell ref="E3:E4"/>
    <mergeCell ref="F3:F4"/>
    <mergeCell ref="H3:H4"/>
    <mergeCell ref="I3:I4"/>
    <mergeCell ref="J3:J4"/>
    <mergeCell ref="K3:K4"/>
    <mergeCell ref="L3:L4"/>
  </mergeCells>
  <pageMargins left="0.75" right="0.75" top="1" bottom="1" header="0.5" footer="0.5"/>
  <pageSetup scale="84" orientation="landscape" horizontalDpi="300" verticalDpi="300" r:id="rId1"/>
  <headerFooter alignWithMargins="0"/>
</worksheet>
</file>

<file path=xl/worksheets/sheet150.xml><?xml version="1.0" encoding="utf-8"?>
<worksheet xmlns="http://schemas.openxmlformats.org/spreadsheetml/2006/main" xmlns:r="http://schemas.openxmlformats.org/officeDocument/2006/relationships">
  <sheetPr codeName="Sheet121">
    <pageSetUpPr fitToPage="1"/>
  </sheetPr>
  <dimension ref="A1:J49"/>
  <sheetViews>
    <sheetView view="pageBreakPreview" zoomScale="98" zoomScaleSheetLayoutView="98"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0.140625" style="149" customWidth="1"/>
    <col min="2" max="2" width="10.28515625" style="149" customWidth="1"/>
    <col min="3" max="3" width="9" style="149" customWidth="1"/>
    <col min="4" max="4" width="10.7109375" style="149" customWidth="1"/>
    <col min="5" max="5" width="13.140625" style="149" customWidth="1"/>
    <col min="6" max="6" width="10.28515625" style="149" customWidth="1"/>
    <col min="7" max="7" width="13.140625" style="149" customWidth="1"/>
    <col min="8" max="8" width="10.85546875" style="149" customWidth="1"/>
    <col min="9" max="9" width="11.140625" style="149" customWidth="1"/>
    <col min="10" max="10" width="11.42578125" style="149" customWidth="1"/>
    <col min="11" max="16384" width="9.140625" style="149"/>
  </cols>
  <sheetData>
    <row r="1" spans="1:10" ht="18.600000000000001" customHeight="1">
      <c r="A1" s="1138" t="s">
        <v>1843</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1320.7</v>
      </c>
      <c r="C4" s="442">
        <v>890</v>
      </c>
      <c r="D4" s="442">
        <v>854.9</v>
      </c>
      <c r="E4" s="442">
        <v>35.1</v>
      </c>
      <c r="F4" s="155">
        <f t="shared" ref="F4:G32" si="0">D4/B4*100</f>
        <v>64.730824562731883</v>
      </c>
      <c r="G4" s="155">
        <f t="shared" si="0"/>
        <v>3.9438202247191017</v>
      </c>
      <c r="H4" s="155">
        <f t="shared" ref="H4:H32" si="1">C4/B4*100</f>
        <v>67.388506095252524</v>
      </c>
      <c r="I4" s="443">
        <v>82.9</v>
      </c>
      <c r="J4" s="443">
        <v>51.6</v>
      </c>
    </row>
    <row r="5" spans="1:10">
      <c r="A5" s="297">
        <v>1977</v>
      </c>
      <c r="B5" s="442">
        <v>1399.3</v>
      </c>
      <c r="C5" s="442">
        <v>946.2</v>
      </c>
      <c r="D5" s="442">
        <v>903.7</v>
      </c>
      <c r="E5" s="442">
        <v>42.5</v>
      </c>
      <c r="F5" s="155">
        <f t="shared" si="0"/>
        <v>64.582291145572796</v>
      </c>
      <c r="G5" s="155">
        <f t="shared" si="0"/>
        <v>4.4916508137814413</v>
      </c>
      <c r="H5" s="155">
        <f t="shared" si="1"/>
        <v>67.619524047738153</v>
      </c>
      <c r="I5" s="443">
        <v>82.8</v>
      </c>
      <c r="J5" s="443">
        <v>52</v>
      </c>
    </row>
    <row r="6" spans="1:10">
      <c r="A6" s="297">
        <v>1978</v>
      </c>
      <c r="B6" s="442">
        <v>1469.4</v>
      </c>
      <c r="C6" s="442">
        <v>1007.1</v>
      </c>
      <c r="D6" s="442">
        <v>959.2</v>
      </c>
      <c r="E6" s="442">
        <v>47.9</v>
      </c>
      <c r="F6" s="155">
        <f t="shared" si="0"/>
        <v>65.278344902681368</v>
      </c>
      <c r="G6" s="155">
        <f t="shared" si="0"/>
        <v>4.7562307615926915</v>
      </c>
      <c r="H6" s="155">
        <f t="shared" si="1"/>
        <v>68.538178848509588</v>
      </c>
      <c r="I6" s="443">
        <v>83.2</v>
      </c>
      <c r="J6" s="443">
        <v>53.4</v>
      </c>
    </row>
    <row r="7" spans="1:10">
      <c r="A7" s="297">
        <v>1979</v>
      </c>
      <c r="B7" s="442">
        <v>1538.9</v>
      </c>
      <c r="C7" s="442">
        <v>1076.2</v>
      </c>
      <c r="D7" s="442">
        <v>1033.9000000000001</v>
      </c>
      <c r="E7" s="442">
        <v>42.3</v>
      </c>
      <c r="F7" s="155">
        <f t="shared" si="0"/>
        <v>67.184352459549032</v>
      </c>
      <c r="G7" s="155">
        <f t="shared" si="0"/>
        <v>3.9304961902992006</v>
      </c>
      <c r="H7" s="155">
        <f t="shared" si="1"/>
        <v>69.93306907531354</v>
      </c>
      <c r="I7" s="443">
        <v>84.1</v>
      </c>
      <c r="J7" s="443">
        <v>55.2</v>
      </c>
    </row>
    <row r="8" spans="1:10">
      <c r="A8" s="297">
        <v>1980</v>
      </c>
      <c r="B8" s="442">
        <v>1619.4</v>
      </c>
      <c r="C8" s="442">
        <v>1146.8</v>
      </c>
      <c r="D8" s="442">
        <v>1102.5</v>
      </c>
      <c r="E8" s="442">
        <v>44.4</v>
      </c>
      <c r="F8" s="155">
        <f t="shared" si="0"/>
        <v>68.080770655798446</v>
      </c>
      <c r="G8" s="155">
        <f t="shared" si="0"/>
        <v>3.8716428322288103</v>
      </c>
      <c r="H8" s="155">
        <f t="shared" si="1"/>
        <v>70.816351735210574</v>
      </c>
      <c r="I8" s="443">
        <v>83.9</v>
      </c>
      <c r="J8" s="443">
        <v>57.1</v>
      </c>
    </row>
    <row r="9" spans="1:10">
      <c r="A9" s="297">
        <v>1981</v>
      </c>
      <c r="B9" s="442">
        <v>1702.3</v>
      </c>
      <c r="C9" s="442">
        <v>1230.9000000000001</v>
      </c>
      <c r="D9" s="442">
        <v>1182.8</v>
      </c>
      <c r="E9" s="442">
        <v>48.1</v>
      </c>
      <c r="F9" s="155">
        <f t="shared" si="0"/>
        <v>69.482464900428837</v>
      </c>
      <c r="G9" s="155">
        <f t="shared" si="0"/>
        <v>3.9077098058331301</v>
      </c>
      <c r="H9" s="155">
        <f t="shared" si="1"/>
        <v>72.30805380955178</v>
      </c>
      <c r="I9" s="443">
        <v>85.1</v>
      </c>
      <c r="J9" s="443">
        <v>59</v>
      </c>
    </row>
    <row r="10" spans="1:10">
      <c r="A10" s="297">
        <v>1982</v>
      </c>
      <c r="B10" s="442">
        <v>1759.2</v>
      </c>
      <c r="C10" s="442">
        <v>1261.5</v>
      </c>
      <c r="D10" s="442">
        <v>1164.3</v>
      </c>
      <c r="E10" s="442">
        <v>97.2</v>
      </c>
      <c r="F10" s="155">
        <f t="shared" si="0"/>
        <v>66.183492496589352</v>
      </c>
      <c r="G10" s="155">
        <f t="shared" si="0"/>
        <v>7.7051129607609985</v>
      </c>
      <c r="H10" s="155">
        <f t="shared" si="1"/>
        <v>71.708731241473401</v>
      </c>
      <c r="I10" s="443">
        <v>83.9</v>
      </c>
      <c r="J10" s="443">
        <v>59</v>
      </c>
    </row>
    <row r="11" spans="1:10">
      <c r="A11" s="297">
        <v>1983</v>
      </c>
      <c r="B11" s="442">
        <v>1777.4</v>
      </c>
      <c r="C11" s="442">
        <v>1274</v>
      </c>
      <c r="D11" s="442">
        <v>1133.8</v>
      </c>
      <c r="E11" s="442">
        <v>140.30000000000001</v>
      </c>
      <c r="F11" s="155">
        <f t="shared" si="0"/>
        <v>63.789805333633389</v>
      </c>
      <c r="G11" s="155">
        <f t="shared" si="0"/>
        <v>11.012558869701728</v>
      </c>
      <c r="H11" s="155">
        <f t="shared" si="1"/>
        <v>71.677731517947564</v>
      </c>
      <c r="I11" s="443">
        <v>83.1</v>
      </c>
      <c r="J11" s="443">
        <v>59.9</v>
      </c>
    </row>
    <row r="12" spans="1:10">
      <c r="A12" s="297">
        <v>1984</v>
      </c>
      <c r="B12" s="442">
        <v>1778.8</v>
      </c>
      <c r="C12" s="442">
        <v>1283.5</v>
      </c>
      <c r="D12" s="442">
        <v>1138.0999999999999</v>
      </c>
      <c r="E12" s="442">
        <v>145.4</v>
      </c>
      <c r="F12" s="155">
        <f t="shared" si="0"/>
        <v>63.981335731954125</v>
      </c>
      <c r="G12" s="155">
        <f t="shared" si="0"/>
        <v>11.328398909232568</v>
      </c>
      <c r="H12" s="155">
        <f t="shared" si="1"/>
        <v>72.155385653249382</v>
      </c>
      <c r="I12" s="443">
        <v>82.6</v>
      </c>
      <c r="J12" s="443">
        <v>61.5</v>
      </c>
    </row>
    <row r="13" spans="1:10">
      <c r="A13" s="297">
        <v>1985</v>
      </c>
      <c r="B13" s="442">
        <v>1791.1</v>
      </c>
      <c r="C13" s="442">
        <v>1303.2</v>
      </c>
      <c r="D13" s="442">
        <v>1173.5999999999999</v>
      </c>
      <c r="E13" s="442">
        <v>129.6</v>
      </c>
      <c r="F13" s="155">
        <f t="shared" si="0"/>
        <v>65.523979677293283</v>
      </c>
      <c r="G13" s="155">
        <f t="shared" si="0"/>
        <v>9.94475138121547</v>
      </c>
      <c r="H13" s="155">
        <f t="shared" si="1"/>
        <v>72.759756574172314</v>
      </c>
      <c r="I13" s="443">
        <v>82.8</v>
      </c>
      <c r="J13" s="443">
        <v>62.5</v>
      </c>
    </row>
    <row r="14" spans="1:10">
      <c r="A14" s="297">
        <v>1986</v>
      </c>
      <c r="B14" s="442">
        <v>1811.9</v>
      </c>
      <c r="C14" s="442">
        <v>1315.3</v>
      </c>
      <c r="D14" s="442">
        <v>1182.7</v>
      </c>
      <c r="E14" s="442">
        <v>132.6</v>
      </c>
      <c r="F14" s="155">
        <f t="shared" si="0"/>
        <v>65.274021745129417</v>
      </c>
      <c r="G14" s="155">
        <f t="shared" si="0"/>
        <v>10.081350262297574</v>
      </c>
      <c r="H14" s="155">
        <f t="shared" si="1"/>
        <v>72.592306418676529</v>
      </c>
      <c r="I14" s="443">
        <v>82.3</v>
      </c>
      <c r="J14" s="443">
        <v>62.8</v>
      </c>
    </row>
    <row r="15" spans="1:10">
      <c r="A15" s="297">
        <v>1987</v>
      </c>
      <c r="B15" s="442">
        <v>1815</v>
      </c>
      <c r="C15" s="442">
        <v>1313.8</v>
      </c>
      <c r="D15" s="442">
        <v>1187.7</v>
      </c>
      <c r="E15" s="442">
        <v>126.2</v>
      </c>
      <c r="F15" s="155">
        <f t="shared" si="0"/>
        <v>65.43801652892563</v>
      </c>
      <c r="G15" s="155">
        <f t="shared" si="0"/>
        <v>9.6057238544679553</v>
      </c>
      <c r="H15" s="155">
        <f t="shared" si="1"/>
        <v>72.385674931129472</v>
      </c>
      <c r="I15" s="443">
        <v>81.5</v>
      </c>
      <c r="J15" s="443">
        <v>63.3</v>
      </c>
    </row>
    <row r="16" spans="1:10">
      <c r="A16" s="297">
        <v>1988</v>
      </c>
      <c r="B16" s="442">
        <v>1827.1</v>
      </c>
      <c r="C16" s="442">
        <v>1328.9</v>
      </c>
      <c r="D16" s="442">
        <v>1222.3</v>
      </c>
      <c r="E16" s="442">
        <v>106.6</v>
      </c>
      <c r="F16" s="155">
        <f t="shared" si="0"/>
        <v>66.898363526900553</v>
      </c>
      <c r="G16" s="155">
        <f t="shared" si="0"/>
        <v>8.0216720595981634</v>
      </c>
      <c r="H16" s="155">
        <f t="shared" si="1"/>
        <v>72.732745881451493</v>
      </c>
      <c r="I16" s="443">
        <v>81.3</v>
      </c>
      <c r="J16" s="443">
        <v>64.099999999999994</v>
      </c>
    </row>
    <row r="17" spans="1:10">
      <c r="A17" s="297">
        <v>1989</v>
      </c>
      <c r="B17" s="442">
        <v>1853.1</v>
      </c>
      <c r="C17" s="442">
        <v>1348</v>
      </c>
      <c r="D17" s="442">
        <v>1251.3</v>
      </c>
      <c r="E17" s="442">
        <v>96.7</v>
      </c>
      <c r="F17" s="155">
        <f t="shared" si="0"/>
        <v>67.524688360045332</v>
      </c>
      <c r="G17" s="155">
        <f t="shared" si="0"/>
        <v>7.1735905044510382</v>
      </c>
      <c r="H17" s="155">
        <f t="shared" si="1"/>
        <v>72.742971237386001</v>
      </c>
      <c r="I17" s="443">
        <v>81.099999999999994</v>
      </c>
      <c r="J17" s="443">
        <v>64.3</v>
      </c>
    </row>
    <row r="18" spans="1:10">
      <c r="A18" s="297">
        <v>1990</v>
      </c>
      <c r="B18" s="442">
        <v>1889.8</v>
      </c>
      <c r="C18" s="442">
        <v>1370.9</v>
      </c>
      <c r="D18" s="442">
        <v>1276.8</v>
      </c>
      <c r="E18" s="442">
        <v>94.1</v>
      </c>
      <c r="F18" s="155">
        <f t="shared" si="0"/>
        <v>67.562705048153234</v>
      </c>
      <c r="G18" s="155">
        <f t="shared" si="0"/>
        <v>6.864103873367859</v>
      </c>
      <c r="H18" s="155">
        <f t="shared" si="1"/>
        <v>72.542067943697759</v>
      </c>
      <c r="I18" s="443">
        <v>80.900000000000006</v>
      </c>
      <c r="J18" s="443">
        <v>64.2</v>
      </c>
    </row>
    <row r="19" spans="1:10">
      <c r="A19" s="297">
        <v>1991</v>
      </c>
      <c r="B19" s="442">
        <v>1927.8</v>
      </c>
      <c r="C19" s="442">
        <v>1399.3</v>
      </c>
      <c r="D19" s="442">
        <v>1284.4000000000001</v>
      </c>
      <c r="E19" s="442">
        <v>114.9</v>
      </c>
      <c r="F19" s="155">
        <f t="shared" si="0"/>
        <v>66.625168585952906</v>
      </c>
      <c r="G19" s="155">
        <f t="shared" si="0"/>
        <v>8.2112484813835493</v>
      </c>
      <c r="H19" s="155">
        <f t="shared" si="1"/>
        <v>72.585330428467685</v>
      </c>
      <c r="I19" s="443">
        <v>80.7</v>
      </c>
      <c r="J19" s="443">
        <v>64.5</v>
      </c>
    </row>
    <row r="20" spans="1:10">
      <c r="A20" s="297">
        <v>1992</v>
      </c>
      <c r="B20" s="442">
        <v>1958.1</v>
      </c>
      <c r="C20" s="442">
        <v>1413.9</v>
      </c>
      <c r="D20" s="442">
        <v>1280</v>
      </c>
      <c r="E20" s="442">
        <v>133.9</v>
      </c>
      <c r="F20" s="155">
        <f t="shared" si="0"/>
        <v>65.369490832950319</v>
      </c>
      <c r="G20" s="155">
        <f t="shared" si="0"/>
        <v>9.4702595657401503</v>
      </c>
      <c r="H20" s="155">
        <f t="shared" si="1"/>
        <v>72.207752413053484</v>
      </c>
      <c r="I20" s="443">
        <v>80</v>
      </c>
      <c r="J20" s="443">
        <v>64.400000000000006</v>
      </c>
    </row>
    <row r="21" spans="1:10">
      <c r="A21" s="297">
        <v>1993</v>
      </c>
      <c r="B21" s="442">
        <v>1987.2</v>
      </c>
      <c r="C21" s="442">
        <v>1425.9</v>
      </c>
      <c r="D21" s="442">
        <v>1288.7</v>
      </c>
      <c r="E21" s="442">
        <v>137.19999999999999</v>
      </c>
      <c r="F21" s="155">
        <f t="shared" si="0"/>
        <v>64.850040257648956</v>
      </c>
      <c r="G21" s="155">
        <f t="shared" si="0"/>
        <v>9.6219931271477659</v>
      </c>
      <c r="H21" s="155">
        <f t="shared" si="1"/>
        <v>71.754227053140099</v>
      </c>
      <c r="I21" s="443">
        <v>79.099999999999994</v>
      </c>
      <c r="J21" s="443">
        <v>64.400000000000006</v>
      </c>
    </row>
    <row r="22" spans="1:10">
      <c r="A22" s="297">
        <v>1994</v>
      </c>
      <c r="B22" s="442">
        <v>2016.3</v>
      </c>
      <c r="C22" s="442">
        <v>1452.2</v>
      </c>
      <c r="D22" s="442">
        <v>1324.5</v>
      </c>
      <c r="E22" s="442">
        <v>127.7</v>
      </c>
      <c r="F22" s="155">
        <f t="shared" si="0"/>
        <v>65.689629519416755</v>
      </c>
      <c r="G22" s="155">
        <f t="shared" si="0"/>
        <v>8.79355460680347</v>
      </c>
      <c r="H22" s="155">
        <f t="shared" si="1"/>
        <v>72.023012448544364</v>
      </c>
      <c r="I22" s="443">
        <v>78.900000000000006</v>
      </c>
      <c r="J22" s="443">
        <v>65.2</v>
      </c>
    </row>
    <row r="23" spans="1:10">
      <c r="A23" s="297">
        <v>1995</v>
      </c>
      <c r="B23" s="442">
        <v>2048.9</v>
      </c>
      <c r="C23" s="442">
        <v>1480.8</v>
      </c>
      <c r="D23" s="442">
        <v>1364.9</v>
      </c>
      <c r="E23" s="442">
        <v>116</v>
      </c>
      <c r="F23" s="155">
        <f t="shared" si="0"/>
        <v>66.616233100688177</v>
      </c>
      <c r="G23" s="155">
        <f t="shared" si="0"/>
        <v>7.8336034575904918</v>
      </c>
      <c r="H23" s="155">
        <f t="shared" si="1"/>
        <v>72.272926936404886</v>
      </c>
      <c r="I23" s="443">
        <v>79.400000000000006</v>
      </c>
      <c r="J23" s="443">
        <v>65.099999999999994</v>
      </c>
    </row>
    <row r="24" spans="1:10">
      <c r="A24" s="297">
        <v>1996</v>
      </c>
      <c r="B24" s="442">
        <v>2088.1999999999998</v>
      </c>
      <c r="C24" s="442">
        <v>1509.4</v>
      </c>
      <c r="D24" s="442">
        <v>1405.1</v>
      </c>
      <c r="E24" s="442">
        <v>104.4</v>
      </c>
      <c r="F24" s="155">
        <f t="shared" si="0"/>
        <v>67.2876161287233</v>
      </c>
      <c r="G24" s="155">
        <f t="shared" si="0"/>
        <v>6.9166556247515567</v>
      </c>
      <c r="H24" s="155">
        <f t="shared" si="1"/>
        <v>72.282348434058051</v>
      </c>
      <c r="I24" s="443">
        <v>79.5</v>
      </c>
      <c r="J24" s="443">
        <v>65.099999999999994</v>
      </c>
    </row>
    <row r="25" spans="1:10">
      <c r="A25" s="297">
        <v>1997</v>
      </c>
      <c r="B25" s="442">
        <v>2140.6999999999998</v>
      </c>
      <c r="C25" s="442">
        <v>1542.6</v>
      </c>
      <c r="D25" s="442">
        <v>1451.4</v>
      </c>
      <c r="E25" s="442">
        <v>91.2</v>
      </c>
      <c r="F25" s="155">
        <f t="shared" si="0"/>
        <v>67.800252253935639</v>
      </c>
      <c r="G25" s="155">
        <f t="shared" si="0"/>
        <v>5.9120964605211981</v>
      </c>
      <c r="H25" s="155">
        <f t="shared" si="1"/>
        <v>72.060540944550851</v>
      </c>
      <c r="I25" s="443">
        <v>79.3</v>
      </c>
      <c r="J25" s="443">
        <v>64.8</v>
      </c>
    </row>
    <row r="26" spans="1:10">
      <c r="A26" s="297">
        <v>1998</v>
      </c>
      <c r="B26" s="442">
        <v>2204.1</v>
      </c>
      <c r="C26" s="442">
        <v>1599.6</v>
      </c>
      <c r="D26" s="442">
        <v>1509.9</v>
      </c>
      <c r="E26" s="442">
        <v>89.7</v>
      </c>
      <c r="F26" s="155">
        <f t="shared" si="0"/>
        <v>68.504151354294279</v>
      </c>
      <c r="G26" s="155">
        <f t="shared" si="0"/>
        <v>5.6076519129782456</v>
      </c>
      <c r="H26" s="155">
        <f t="shared" si="1"/>
        <v>72.573839662447256</v>
      </c>
      <c r="I26" s="443">
        <v>79.400000000000006</v>
      </c>
      <c r="J26" s="443">
        <v>65.7</v>
      </c>
    </row>
    <row r="27" spans="1:10">
      <c r="A27" s="297">
        <v>1999</v>
      </c>
      <c r="B27" s="442">
        <v>2255.5</v>
      </c>
      <c r="C27" s="442">
        <v>1637.7</v>
      </c>
      <c r="D27" s="442">
        <v>1544</v>
      </c>
      <c r="E27" s="442">
        <v>93.7</v>
      </c>
      <c r="F27" s="155">
        <f t="shared" si="0"/>
        <v>68.454888051429847</v>
      </c>
      <c r="G27" s="155">
        <f t="shared" si="0"/>
        <v>5.7214386029187274</v>
      </c>
      <c r="H27" s="155">
        <f t="shared" si="1"/>
        <v>72.609177565949906</v>
      </c>
      <c r="I27" s="443">
        <v>79.3</v>
      </c>
      <c r="J27" s="443">
        <v>65.900000000000006</v>
      </c>
    </row>
    <row r="28" spans="1:10">
      <c r="A28" s="297">
        <v>2000</v>
      </c>
      <c r="B28" s="442">
        <v>2307.6999999999998</v>
      </c>
      <c r="C28" s="442">
        <v>1666.8</v>
      </c>
      <c r="D28" s="442">
        <v>1584</v>
      </c>
      <c r="E28" s="442">
        <v>82.8</v>
      </c>
      <c r="F28" s="155">
        <f t="shared" si="0"/>
        <v>68.639771200762667</v>
      </c>
      <c r="G28" s="155">
        <f t="shared" si="0"/>
        <v>4.967602591792657</v>
      </c>
      <c r="H28" s="155">
        <f t="shared" si="1"/>
        <v>72.227759240802541</v>
      </c>
      <c r="I28" s="443">
        <v>79.099999999999994</v>
      </c>
      <c r="J28" s="443">
        <v>65.3</v>
      </c>
    </row>
    <row r="29" spans="1:10">
      <c r="A29" s="297">
        <v>2001</v>
      </c>
      <c r="B29" s="442">
        <v>2363.1999999999998</v>
      </c>
      <c r="C29" s="442">
        <v>1710.3</v>
      </c>
      <c r="D29" s="442">
        <v>1630.9</v>
      </c>
      <c r="E29" s="442">
        <v>79.400000000000006</v>
      </c>
      <c r="F29" s="155">
        <f t="shared" si="0"/>
        <v>69.012356127285045</v>
      </c>
      <c r="G29" s="155">
        <f t="shared" si="0"/>
        <v>4.6424603870665972</v>
      </c>
      <c r="H29" s="155">
        <f t="shared" si="1"/>
        <v>72.372207176709551</v>
      </c>
      <c r="I29" s="443">
        <v>78.900000000000006</v>
      </c>
      <c r="J29" s="443">
        <v>65.8</v>
      </c>
    </row>
    <row r="30" spans="1:10">
      <c r="A30" s="297">
        <v>2002</v>
      </c>
      <c r="B30" s="442">
        <v>2417.9</v>
      </c>
      <c r="C30" s="442">
        <v>1764.2</v>
      </c>
      <c r="D30" s="442">
        <v>1670.8</v>
      </c>
      <c r="E30" s="442">
        <v>93.4</v>
      </c>
      <c r="F30" s="155">
        <f t="shared" si="0"/>
        <v>69.101286240125731</v>
      </c>
      <c r="G30" s="155">
        <f t="shared" si="0"/>
        <v>5.2941843328420815</v>
      </c>
      <c r="H30" s="155">
        <f t="shared" si="1"/>
        <v>72.964142437652512</v>
      </c>
      <c r="I30" s="443">
        <v>79.400000000000006</v>
      </c>
      <c r="J30" s="443">
        <v>66.5</v>
      </c>
    </row>
    <row r="31" spans="1:10">
      <c r="A31" s="297">
        <v>2003</v>
      </c>
      <c r="B31" s="442">
        <v>2461</v>
      </c>
      <c r="C31" s="442">
        <v>1808.8</v>
      </c>
      <c r="D31" s="442">
        <v>1716.7</v>
      </c>
      <c r="E31" s="442">
        <v>92.2</v>
      </c>
      <c r="F31" s="155">
        <f t="shared" si="0"/>
        <v>69.756196668021133</v>
      </c>
      <c r="G31" s="155">
        <f t="shared" si="0"/>
        <v>5.0973020787262273</v>
      </c>
      <c r="H31" s="155">
        <f t="shared" si="1"/>
        <v>73.498577813896787</v>
      </c>
      <c r="I31" s="443">
        <v>79.900000000000006</v>
      </c>
      <c r="J31" s="443">
        <v>67</v>
      </c>
    </row>
    <row r="32" spans="1:10">
      <c r="A32" s="297">
        <v>2004</v>
      </c>
      <c r="B32" s="442">
        <v>2505.8000000000002</v>
      </c>
      <c r="C32" s="442">
        <v>1842.4</v>
      </c>
      <c r="D32" s="442">
        <v>1757.5</v>
      </c>
      <c r="E32" s="442">
        <v>85</v>
      </c>
      <c r="F32" s="155">
        <f t="shared" si="0"/>
        <v>70.137281506903975</v>
      </c>
      <c r="G32" s="155">
        <f t="shared" si="0"/>
        <v>4.6135475466782454</v>
      </c>
      <c r="H32" s="155">
        <f t="shared" si="1"/>
        <v>73.525421023226116</v>
      </c>
      <c r="I32" s="443">
        <v>79.7</v>
      </c>
      <c r="J32" s="443">
        <v>67.3</v>
      </c>
    </row>
    <row r="33" spans="1:10">
      <c r="A33" s="297">
        <v>2005</v>
      </c>
      <c r="B33" s="442">
        <v>2555.6</v>
      </c>
      <c r="C33" s="442">
        <v>1857.5</v>
      </c>
      <c r="D33" s="442">
        <v>1784.4</v>
      </c>
      <c r="E33" s="442">
        <v>73.099999999999994</v>
      </c>
      <c r="F33" s="155">
        <f t="shared" ref="F33:G36" si="2">D33/B33*100</f>
        <v>69.823133510721561</v>
      </c>
      <c r="G33" s="155">
        <f t="shared" si="2"/>
        <v>3.9353970390309549</v>
      </c>
      <c r="H33" s="155">
        <f>C33/B33*100</f>
        <v>72.683518547503525</v>
      </c>
      <c r="I33" s="443">
        <v>79.2</v>
      </c>
      <c r="J33" s="443">
        <v>66.099999999999994</v>
      </c>
    </row>
    <row r="34" spans="1:10">
      <c r="A34" s="297">
        <v>2006</v>
      </c>
      <c r="B34" s="442">
        <v>2641.3</v>
      </c>
      <c r="C34" s="442">
        <v>1937.5</v>
      </c>
      <c r="D34" s="442">
        <v>1870.7</v>
      </c>
      <c r="E34" s="442">
        <v>66.8</v>
      </c>
      <c r="F34" s="155">
        <f t="shared" si="2"/>
        <v>70.824972551395135</v>
      </c>
      <c r="G34" s="155">
        <f t="shared" si="2"/>
        <v>3.447741935483871</v>
      </c>
      <c r="H34" s="155">
        <f>C34/B34*100</f>
        <v>73.354030212395401</v>
      </c>
      <c r="I34" s="443">
        <v>79.599999999999994</v>
      </c>
      <c r="J34" s="443">
        <v>67</v>
      </c>
    </row>
    <row r="35" spans="1:10">
      <c r="A35" s="297">
        <v>2007</v>
      </c>
      <c r="B35" s="442">
        <v>2740.7</v>
      </c>
      <c r="C35" s="442">
        <v>2030.6</v>
      </c>
      <c r="D35" s="442">
        <v>1959.4</v>
      </c>
      <c r="E35" s="442">
        <v>71.099999999999994</v>
      </c>
      <c r="F35" s="155">
        <f t="shared" si="2"/>
        <v>71.492684350713333</v>
      </c>
      <c r="G35" s="155">
        <f t="shared" si="2"/>
        <v>3.5014281493154735</v>
      </c>
      <c r="H35" s="155">
        <f>C35/B35*100</f>
        <v>74.090560805633601</v>
      </c>
      <c r="I35" s="443">
        <v>80.5</v>
      </c>
      <c r="J35" s="443">
        <v>67.599999999999994</v>
      </c>
    </row>
    <row r="36" spans="1:10">
      <c r="A36" s="297">
        <v>2008</v>
      </c>
      <c r="B36" s="442">
        <v>2796.8</v>
      </c>
      <c r="C36" s="442">
        <v>2088.1</v>
      </c>
      <c r="D36" s="442">
        <v>2013.3</v>
      </c>
      <c r="E36" s="442">
        <v>74.8</v>
      </c>
      <c r="F36" s="155">
        <f t="shared" si="2"/>
        <v>71.98584096109839</v>
      </c>
      <c r="G36" s="155">
        <f t="shared" si="2"/>
        <v>3.5822039174369049</v>
      </c>
      <c r="H36" s="155">
        <f>C36/B36*100</f>
        <v>74.660326086956516</v>
      </c>
      <c r="I36" s="443">
        <v>81.5</v>
      </c>
      <c r="J36" s="443">
        <v>67.599999999999994</v>
      </c>
    </row>
    <row r="37" spans="1:10">
      <c r="A37" s="1109"/>
      <c r="B37" s="298" t="s">
        <v>802</v>
      </c>
      <c r="C37" s="298"/>
      <c r="D37" s="298"/>
      <c r="E37" s="298"/>
      <c r="F37" s="298" t="s">
        <v>655</v>
      </c>
      <c r="G37" s="298"/>
      <c r="H37" s="298"/>
      <c r="I37" s="298"/>
      <c r="J37" s="298"/>
    </row>
    <row r="38" spans="1:10">
      <c r="A38" s="297" t="s">
        <v>603</v>
      </c>
      <c r="B38" s="159">
        <f>(POWER(B17/B9, 1/8)-1)*100</f>
        <v>1.0666439475560896</v>
      </c>
      <c r="C38" s="159">
        <f>(POWER(C17/C9, 1/8)-1)*100</f>
        <v>1.1424315112645855</v>
      </c>
      <c r="D38" s="159">
        <f>(POWER(D17/D9, 1/8)-1)*100</f>
        <v>0.70621328099080838</v>
      </c>
      <c r="E38" s="159">
        <f>(POWER(E17/E9, 1/8)-1)*100</f>
        <v>9.1214616788875205</v>
      </c>
      <c r="F38" s="156">
        <f>F17-F9</f>
        <v>-1.9577765403835059</v>
      </c>
      <c r="G38" s="156">
        <f>G17-G9</f>
        <v>3.2658806986179081</v>
      </c>
      <c r="H38" s="156">
        <f>H17-H9</f>
        <v>0.43491742783422183</v>
      </c>
      <c r="I38" s="156">
        <f>I17-I9</f>
        <v>-4</v>
      </c>
      <c r="J38" s="156">
        <f>J17-J9</f>
        <v>5.2999999999999972</v>
      </c>
    </row>
    <row r="39" spans="1:10">
      <c r="A39" s="297" t="s">
        <v>604</v>
      </c>
      <c r="B39" s="159">
        <f>(POWER(B28/B17, 1/11)-1)*100</f>
        <v>2.0144900816779998</v>
      </c>
      <c r="C39" s="159">
        <f>(POWER(C28/C17, 1/11)-1)*100</f>
        <v>1.9485929766273724</v>
      </c>
      <c r="D39" s="159">
        <f>(POWER(D28/D17, 1/11)-1)*100</f>
        <v>2.1665012922423621</v>
      </c>
      <c r="E39" s="159">
        <f>(POWER(E28/E17, 1/11)-1)*100</f>
        <v>-1.4008710186346307</v>
      </c>
      <c r="F39" s="156">
        <f>F28-F17</f>
        <v>1.115082840717335</v>
      </c>
      <c r="G39" s="156">
        <f>G28-G17</f>
        <v>-2.2059879126583812</v>
      </c>
      <c r="H39" s="156">
        <f>H28-H17</f>
        <v>-0.51521199658346006</v>
      </c>
      <c r="I39" s="156">
        <f>I28-I17</f>
        <v>-2</v>
      </c>
      <c r="J39" s="156">
        <f>J28-J17</f>
        <v>1</v>
      </c>
    </row>
    <row r="40" spans="1:10">
      <c r="A40" s="297" t="s">
        <v>808</v>
      </c>
      <c r="B40" s="159">
        <f>(POWER(B33/B9, 1/24)-1)*100</f>
        <v>1.7073563215950882</v>
      </c>
      <c r="C40" s="159">
        <f>(POWER(C33/C9, 1/24)-1)*100</f>
        <v>1.7293068686266011</v>
      </c>
      <c r="D40" s="159">
        <f>(POWER(D33/D9, 1/24)-1)*100</f>
        <v>1.7280853901314952</v>
      </c>
      <c r="E40" s="159">
        <f>(POWER(E33/E9, 1/24)-1)*100</f>
        <v>1.7592379186296414</v>
      </c>
      <c r="F40" s="156">
        <f>F33-F9</f>
        <v>0.34066861029272388</v>
      </c>
      <c r="G40" s="156">
        <f>G33-G9</f>
        <v>2.7687233197824845E-2</v>
      </c>
      <c r="H40" s="156">
        <f>H33-H9</f>
        <v>0.37546473795174506</v>
      </c>
      <c r="I40" s="156">
        <f>I33-I9</f>
        <v>-5.8999999999999915</v>
      </c>
      <c r="J40" s="156">
        <f>J33-J9</f>
        <v>7.0999999999999943</v>
      </c>
    </row>
    <row r="41" spans="1:10">
      <c r="A41" s="297" t="s">
        <v>819</v>
      </c>
      <c r="B41" s="159">
        <f>(POWER(B34/B9, 1/25)-1)*100</f>
        <v>1.7726927149997573</v>
      </c>
      <c r="C41" s="159">
        <f>(POWER(C34/C9, 1/25)-1)*100</f>
        <v>1.8311756065367613</v>
      </c>
      <c r="D41" s="159">
        <f>(POWER(D34/D9, 1/25)-1)*100</f>
        <v>1.8506284826760089</v>
      </c>
      <c r="E41" s="159">
        <f>(POWER(E34/E9, 1/25)-1)*100</f>
        <v>1.3223503464748543</v>
      </c>
      <c r="F41" s="156">
        <f>F34-F9</f>
        <v>1.3425076509662972</v>
      </c>
      <c r="G41" s="156">
        <f>G34-G9</f>
        <v>-0.45996787034925912</v>
      </c>
      <c r="H41" s="156">
        <f>H34-H9</f>
        <v>1.0459764028436211</v>
      </c>
      <c r="I41" s="156">
        <f>I34-I9</f>
        <v>-5.5</v>
      </c>
      <c r="J41" s="156">
        <f>J34-J9</f>
        <v>8</v>
      </c>
    </row>
    <row r="42" spans="1:10">
      <c r="A42" s="297" t="s">
        <v>447</v>
      </c>
      <c r="B42" s="159">
        <f>(POWER(B35/B9, 1/26)-1)*100</f>
        <v>1.8485435968710329</v>
      </c>
      <c r="C42" s="159">
        <f>(POWER(C35/C9, 1/26)-1)*100</f>
        <v>1.9439836371338393</v>
      </c>
      <c r="D42" s="159">
        <f>(POWER(D35/D9, 1/26)-1)*100</f>
        <v>1.9603276976796202</v>
      </c>
      <c r="E42" s="159">
        <f>(POWER(E35/E9, 1/26)-1)*100</f>
        <v>1.5144500799700644</v>
      </c>
      <c r="F42" s="156">
        <f>F35-F9</f>
        <v>2.0102194502844952</v>
      </c>
      <c r="G42" s="156">
        <f>G35-G9</f>
        <v>-0.40628165651765658</v>
      </c>
      <c r="H42" s="156">
        <f>H35-H9</f>
        <v>1.7825069960818212</v>
      </c>
      <c r="I42" s="156">
        <f>I35-I9</f>
        <v>-4.5999999999999943</v>
      </c>
      <c r="J42" s="156">
        <f>J35-J9</f>
        <v>8.5999999999999943</v>
      </c>
    </row>
    <row r="43" spans="1:10">
      <c r="A43" s="297" t="s">
        <v>1408</v>
      </c>
      <c r="B43" s="159">
        <f>(POWER(B36/B9, 1/27)-1)*100</f>
        <v>1.8558840752162853</v>
      </c>
      <c r="C43" s="159">
        <f>(POWER(C36/C9, 1/27)-1)*100</f>
        <v>1.9767240478879122</v>
      </c>
      <c r="D43" s="159">
        <f>(POWER(D36/D9, 1/27)-1)*100</f>
        <v>1.9894972639980191</v>
      </c>
      <c r="E43" s="159">
        <f>(POWER(E36/E9, 1/27)-1)*100</f>
        <v>1.6487619389247588</v>
      </c>
      <c r="F43" s="156">
        <f>F36-F9</f>
        <v>2.5033760606695523</v>
      </c>
      <c r="G43" s="156">
        <f>G36-G9</f>
        <v>-0.32550588839622518</v>
      </c>
      <c r="H43" s="156">
        <f>H36-H9</f>
        <v>2.3522722774047367</v>
      </c>
      <c r="I43" s="156">
        <f>I36-I9</f>
        <v>-3.5999999999999943</v>
      </c>
      <c r="J43" s="156">
        <f>J36-J9</f>
        <v>8.5999999999999943</v>
      </c>
    </row>
    <row r="44" spans="1:10">
      <c r="A44" s="297" t="s">
        <v>449</v>
      </c>
      <c r="B44" s="159">
        <f>(POWER(B35/B28, 1/7)-1)*100</f>
        <v>2.4870230997836362</v>
      </c>
      <c r="C44" s="159">
        <f>(POWER(C35/C28, 1/7)-1)*100</f>
        <v>2.8605159883168252</v>
      </c>
      <c r="D44" s="159">
        <f>(POWER(D35/D28, 1/7)-1)*100</f>
        <v>3.084986423634084</v>
      </c>
      <c r="E44" s="159">
        <f>(POWER(E35/E28, 1/7)-1)*100</f>
        <v>-2.1527856039121995</v>
      </c>
      <c r="F44" s="156">
        <f>F35-F28</f>
        <v>2.8529131499506661</v>
      </c>
      <c r="G44" s="156">
        <f>G35-G28</f>
        <v>-1.4661744424771834</v>
      </c>
      <c r="H44" s="156">
        <f>H35-H28</f>
        <v>1.8628015648310594</v>
      </c>
      <c r="I44" s="156">
        <f>I35-I28</f>
        <v>1.4000000000000057</v>
      </c>
      <c r="J44" s="156">
        <f>J35-J28</f>
        <v>2.2999999999999972</v>
      </c>
    </row>
    <row r="45" spans="1:10">
      <c r="A45" s="297" t="s">
        <v>1410</v>
      </c>
      <c r="B45" s="159">
        <f>(POWER(B36/B28, 1/8)-1)*100</f>
        <v>2.4319068708627212</v>
      </c>
      <c r="C45" s="159">
        <f>(POWER(C36/C28, 1/8)-1)*100</f>
        <v>2.8569104683301205</v>
      </c>
      <c r="D45" s="159">
        <f>(POWER(D36/D28, 1/8)-1)*100</f>
        <v>3.0431590296086108</v>
      </c>
      <c r="E45" s="159">
        <f>(POWER(E36/E28, 1/8)-1)*100</f>
        <v>-1.2620951313626616</v>
      </c>
      <c r="F45" s="156">
        <f>F36-F28</f>
        <v>3.3460697603357232</v>
      </c>
      <c r="G45" s="156">
        <f>G36-G28</f>
        <v>-1.385398674355752</v>
      </c>
      <c r="H45" s="156">
        <f>H36-H28</f>
        <v>2.4325668461539749</v>
      </c>
      <c r="I45" s="156">
        <f>I36-I28</f>
        <v>2.4000000000000057</v>
      </c>
      <c r="J45" s="156">
        <f>J36-J28</f>
        <v>2.2999999999999972</v>
      </c>
    </row>
    <row r="46" spans="1:10" ht="25.5" customHeight="1">
      <c r="A46" s="1254" t="s">
        <v>1563</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3" orientation="portrait" horizontalDpi="4294967292" verticalDpi="0" r:id="rId1"/>
  <headerFooter alignWithMargins="0"/>
</worksheet>
</file>

<file path=xl/worksheets/sheet151.xml><?xml version="1.0" encoding="utf-8"?>
<worksheet xmlns="http://schemas.openxmlformats.org/spreadsheetml/2006/main" xmlns:r="http://schemas.openxmlformats.org/officeDocument/2006/relationships">
  <sheetPr codeName="Sheet122">
    <pageSetUpPr fitToPage="1"/>
  </sheetPr>
  <dimension ref="A1:J49"/>
  <sheetViews>
    <sheetView view="pageBreakPreview" zoomScale="70" zoomScaleSheetLayoutView="7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1.42578125" style="149" customWidth="1"/>
    <col min="2" max="2" width="10.28515625" style="149" customWidth="1"/>
    <col min="3" max="3" width="9" style="149" customWidth="1"/>
    <col min="4" max="4" width="10.7109375" style="149" customWidth="1"/>
    <col min="5" max="5" width="13.140625" style="149" customWidth="1"/>
    <col min="6" max="6" width="10.28515625" style="149" customWidth="1"/>
    <col min="7" max="7" width="13.140625" style="149" customWidth="1"/>
    <col min="8" max="8" width="10.85546875" style="149" customWidth="1"/>
    <col min="9" max="9" width="11.140625" style="149" customWidth="1"/>
    <col min="10" max="10" width="11.42578125" style="149" customWidth="1"/>
    <col min="11" max="16384" width="9.140625" style="149"/>
  </cols>
  <sheetData>
    <row r="1" spans="1:10" ht="18.600000000000001" customHeight="1">
      <c r="A1" s="1138" t="s">
        <v>1844</v>
      </c>
    </row>
    <row r="2" spans="1:10" s="152" customFormat="1" ht="63" customHeight="1">
      <c r="A2" s="150"/>
      <c r="B2" s="151" t="s">
        <v>709</v>
      </c>
      <c r="C2" s="150" t="s">
        <v>710</v>
      </c>
      <c r="D2" s="150" t="s">
        <v>711</v>
      </c>
      <c r="E2" s="150" t="s">
        <v>712</v>
      </c>
      <c r="F2" s="150" t="s">
        <v>713</v>
      </c>
      <c r="G2" s="150" t="s">
        <v>714</v>
      </c>
      <c r="H2" s="150" t="s">
        <v>715</v>
      </c>
      <c r="I2" s="150" t="s">
        <v>716</v>
      </c>
      <c r="J2" s="150" t="s">
        <v>717</v>
      </c>
    </row>
    <row r="3" spans="1:10" s="152" customFormat="1">
      <c r="A3" s="153"/>
      <c r="B3" s="154" t="s">
        <v>584</v>
      </c>
      <c r="C3" s="153" t="s">
        <v>585</v>
      </c>
      <c r="D3" s="153" t="s">
        <v>587</v>
      </c>
      <c r="E3" s="153" t="s">
        <v>588</v>
      </c>
      <c r="F3" s="153" t="s">
        <v>718</v>
      </c>
      <c r="G3" s="153" t="s">
        <v>719</v>
      </c>
      <c r="H3" s="153" t="s">
        <v>720</v>
      </c>
      <c r="I3" s="153" t="s">
        <v>596</v>
      </c>
      <c r="J3" s="153" t="s">
        <v>721</v>
      </c>
    </row>
    <row r="4" spans="1:10" s="152" customFormat="1">
      <c r="A4" s="337">
        <v>1976</v>
      </c>
      <c r="B4" s="442">
        <v>1875.5</v>
      </c>
      <c r="C4" s="442">
        <v>1158.7</v>
      </c>
      <c r="D4" s="442">
        <v>1060.9000000000001</v>
      </c>
      <c r="E4" s="442">
        <v>97.7</v>
      </c>
      <c r="F4" s="155">
        <f t="shared" ref="F4:G32" si="0">D4/B4*100</f>
        <v>56.566249000266602</v>
      </c>
      <c r="G4" s="155">
        <f t="shared" si="0"/>
        <v>8.4318632950720627</v>
      </c>
      <c r="H4" s="155">
        <f t="shared" ref="H4:H32" si="1">C4/B4*100</f>
        <v>61.780858437749927</v>
      </c>
      <c r="I4" s="443">
        <v>77.099999999999994</v>
      </c>
      <c r="J4" s="443">
        <v>46.6</v>
      </c>
    </row>
    <row r="5" spans="1:10">
      <c r="A5" s="297">
        <v>1977</v>
      </c>
      <c r="B5" s="442">
        <v>1921.6</v>
      </c>
      <c r="C5" s="442">
        <v>1188.3</v>
      </c>
      <c r="D5" s="442">
        <v>1089.0999999999999</v>
      </c>
      <c r="E5" s="442">
        <v>99.2</v>
      </c>
      <c r="F5" s="155">
        <f t="shared" si="0"/>
        <v>56.676727726894249</v>
      </c>
      <c r="G5" s="155">
        <f t="shared" si="0"/>
        <v>8.3480602541445759</v>
      </c>
      <c r="H5" s="155">
        <f t="shared" si="1"/>
        <v>61.839092422980848</v>
      </c>
      <c r="I5" s="443">
        <v>77.3</v>
      </c>
      <c r="J5" s="443">
        <v>46.5</v>
      </c>
    </row>
    <row r="6" spans="1:10">
      <c r="A6" s="297">
        <v>1978</v>
      </c>
      <c r="B6" s="442">
        <v>1972.2</v>
      </c>
      <c r="C6" s="442">
        <v>1240</v>
      </c>
      <c r="D6" s="442">
        <v>1137.5</v>
      </c>
      <c r="E6" s="442">
        <v>102.5</v>
      </c>
      <c r="F6" s="155">
        <f t="shared" si="0"/>
        <v>57.676706216408071</v>
      </c>
      <c r="G6" s="155">
        <f t="shared" si="0"/>
        <v>8.2661290322580641</v>
      </c>
      <c r="H6" s="155">
        <f t="shared" si="1"/>
        <v>62.873947875469014</v>
      </c>
      <c r="I6" s="443">
        <v>77.900000000000006</v>
      </c>
      <c r="J6" s="443">
        <v>48.1</v>
      </c>
    </row>
    <row r="7" spans="1:10">
      <c r="A7" s="297">
        <v>1979</v>
      </c>
      <c r="B7" s="442">
        <v>2027</v>
      </c>
      <c r="C7" s="442">
        <v>1288.2</v>
      </c>
      <c r="D7" s="442">
        <v>1188.5</v>
      </c>
      <c r="E7" s="442">
        <v>99.6</v>
      </c>
      <c r="F7" s="155">
        <f t="shared" si="0"/>
        <v>58.633448445979276</v>
      </c>
      <c r="G7" s="155">
        <f t="shared" si="0"/>
        <v>7.7317186772240323</v>
      </c>
      <c r="H7" s="155">
        <f t="shared" si="1"/>
        <v>63.552047360631484</v>
      </c>
      <c r="I7" s="443">
        <v>77.8</v>
      </c>
      <c r="J7" s="443">
        <v>49.5</v>
      </c>
    </row>
    <row r="8" spans="1:10">
      <c r="A8" s="297">
        <v>1980</v>
      </c>
      <c r="B8" s="442">
        <v>2098.1</v>
      </c>
      <c r="C8" s="442">
        <v>1357.2</v>
      </c>
      <c r="D8" s="442">
        <v>1266.4000000000001</v>
      </c>
      <c r="E8" s="442">
        <v>90.7</v>
      </c>
      <c r="F8" s="155">
        <f t="shared" si="0"/>
        <v>60.359372765835758</v>
      </c>
      <c r="G8" s="155">
        <f t="shared" si="0"/>
        <v>6.6828765104627177</v>
      </c>
      <c r="H8" s="155">
        <f t="shared" si="1"/>
        <v>64.687097850436118</v>
      </c>
      <c r="I8" s="443">
        <v>78.5</v>
      </c>
      <c r="J8" s="443">
        <v>51</v>
      </c>
    </row>
    <row r="9" spans="1:10">
      <c r="A9" s="297">
        <v>1981</v>
      </c>
      <c r="B9" s="442">
        <v>2166.5</v>
      </c>
      <c r="C9" s="442">
        <v>1416</v>
      </c>
      <c r="D9" s="442">
        <v>1319.6</v>
      </c>
      <c r="E9" s="442">
        <v>96.4</v>
      </c>
      <c r="F9" s="155">
        <f t="shared" si="0"/>
        <v>60.909300715439642</v>
      </c>
      <c r="G9" s="155">
        <f t="shared" si="0"/>
        <v>6.8079096045197742</v>
      </c>
      <c r="H9" s="155">
        <f t="shared" si="1"/>
        <v>65.358873759519966</v>
      </c>
      <c r="I9" s="443">
        <v>78.599999999999994</v>
      </c>
      <c r="J9" s="443">
        <v>52.3</v>
      </c>
    </row>
    <row r="10" spans="1:10">
      <c r="A10" s="297">
        <v>1982</v>
      </c>
      <c r="B10" s="442">
        <v>2208.9</v>
      </c>
      <c r="C10" s="442">
        <v>1426.8</v>
      </c>
      <c r="D10" s="442">
        <v>1253.4000000000001</v>
      </c>
      <c r="E10" s="442">
        <v>173.3</v>
      </c>
      <c r="F10" s="155">
        <f t="shared" si="0"/>
        <v>56.743175336140162</v>
      </c>
      <c r="G10" s="155">
        <f t="shared" si="0"/>
        <v>12.146061115783573</v>
      </c>
      <c r="H10" s="155">
        <f t="shared" si="1"/>
        <v>64.593236452532935</v>
      </c>
      <c r="I10" s="443">
        <v>76.8</v>
      </c>
      <c r="J10" s="443">
        <v>52.6</v>
      </c>
    </row>
    <row r="11" spans="1:10">
      <c r="A11" s="297">
        <v>1983</v>
      </c>
      <c r="B11" s="442">
        <v>2240.4</v>
      </c>
      <c r="C11" s="442">
        <v>1445.7</v>
      </c>
      <c r="D11" s="442">
        <v>1244.9000000000001</v>
      </c>
      <c r="E11" s="442">
        <v>200.9</v>
      </c>
      <c r="F11" s="155">
        <f t="shared" si="0"/>
        <v>55.56597036243528</v>
      </c>
      <c r="G11" s="155">
        <f t="shared" si="0"/>
        <v>13.896382375319913</v>
      </c>
      <c r="H11" s="155">
        <f t="shared" si="1"/>
        <v>64.52865559721478</v>
      </c>
      <c r="I11" s="443">
        <v>76.599999999999994</v>
      </c>
      <c r="J11" s="443">
        <v>52.7</v>
      </c>
    </row>
    <row r="12" spans="1:10">
      <c r="A12" s="297">
        <v>1984</v>
      </c>
      <c r="B12" s="442">
        <v>2276.5</v>
      </c>
      <c r="C12" s="442">
        <v>1464.8</v>
      </c>
      <c r="D12" s="442">
        <v>1245.0999999999999</v>
      </c>
      <c r="E12" s="442">
        <v>219.8</v>
      </c>
      <c r="F12" s="155">
        <f t="shared" si="0"/>
        <v>54.69360860970788</v>
      </c>
      <c r="G12" s="155">
        <f t="shared" si="0"/>
        <v>15.005461496450028</v>
      </c>
      <c r="H12" s="155">
        <f t="shared" si="1"/>
        <v>64.344388315396444</v>
      </c>
      <c r="I12" s="443">
        <v>75.8</v>
      </c>
      <c r="J12" s="443">
        <v>53.1</v>
      </c>
    </row>
    <row r="13" spans="1:10">
      <c r="A13" s="297">
        <v>1985</v>
      </c>
      <c r="B13" s="442">
        <v>2306.6</v>
      </c>
      <c r="C13" s="442">
        <v>1491.2</v>
      </c>
      <c r="D13" s="442">
        <v>1273.5</v>
      </c>
      <c r="E13" s="442">
        <v>217.8</v>
      </c>
      <c r="F13" s="155">
        <f t="shared" si="0"/>
        <v>55.211133269747684</v>
      </c>
      <c r="G13" s="155">
        <f t="shared" si="0"/>
        <v>14.605686695278971</v>
      </c>
      <c r="H13" s="155">
        <f t="shared" si="1"/>
        <v>64.649267319864748</v>
      </c>
      <c r="I13" s="443">
        <v>75.2</v>
      </c>
      <c r="J13" s="443">
        <v>54.3</v>
      </c>
    </row>
    <row r="14" spans="1:10">
      <c r="A14" s="297">
        <v>1986</v>
      </c>
      <c r="B14" s="442">
        <v>2335.1</v>
      </c>
      <c r="C14" s="442">
        <v>1524</v>
      </c>
      <c r="D14" s="442">
        <v>1326.8</v>
      </c>
      <c r="E14" s="442">
        <v>197.2</v>
      </c>
      <c r="F14" s="155">
        <f t="shared" si="0"/>
        <v>56.819836409575608</v>
      </c>
      <c r="G14" s="155">
        <f t="shared" si="0"/>
        <v>12.93963254593176</v>
      </c>
      <c r="H14" s="155">
        <f t="shared" si="1"/>
        <v>65.264870883473947</v>
      </c>
      <c r="I14" s="443">
        <v>75.7</v>
      </c>
      <c r="J14" s="443">
        <v>55.1</v>
      </c>
    </row>
    <row r="15" spans="1:10">
      <c r="A15" s="297">
        <v>1987</v>
      </c>
      <c r="B15" s="442">
        <v>2371.1999999999998</v>
      </c>
      <c r="C15" s="442">
        <v>1566.8</v>
      </c>
      <c r="D15" s="442">
        <v>1377.7</v>
      </c>
      <c r="E15" s="442">
        <v>189.2</v>
      </c>
      <c r="F15" s="155">
        <f t="shared" si="0"/>
        <v>58.101383265856953</v>
      </c>
      <c r="G15" s="155">
        <f t="shared" si="0"/>
        <v>12.075568036762828</v>
      </c>
      <c r="H15" s="155">
        <f t="shared" si="1"/>
        <v>66.076248313090417</v>
      </c>
      <c r="I15" s="443">
        <v>76.400000000000006</v>
      </c>
      <c r="J15" s="443">
        <v>56</v>
      </c>
    </row>
    <row r="16" spans="1:10">
      <c r="A16" s="297">
        <v>1988</v>
      </c>
      <c r="B16" s="442">
        <v>2419</v>
      </c>
      <c r="C16" s="442">
        <v>1598.8</v>
      </c>
      <c r="D16" s="442">
        <v>1434.6</v>
      </c>
      <c r="E16" s="442">
        <v>164.2</v>
      </c>
      <c r="F16" s="155">
        <f t="shared" si="0"/>
        <v>59.305498139727156</v>
      </c>
      <c r="G16" s="155">
        <f t="shared" si="0"/>
        <v>10.270202651988992</v>
      </c>
      <c r="H16" s="155">
        <f t="shared" si="1"/>
        <v>66.093427035965263</v>
      </c>
      <c r="I16" s="443">
        <v>75.8</v>
      </c>
      <c r="J16" s="443">
        <v>56.7</v>
      </c>
    </row>
    <row r="17" spans="1:10">
      <c r="A17" s="297">
        <v>1989</v>
      </c>
      <c r="B17" s="442">
        <v>2477.1999999999998</v>
      </c>
      <c r="C17" s="442">
        <v>1659.3</v>
      </c>
      <c r="D17" s="442">
        <v>1508.3</v>
      </c>
      <c r="E17" s="442">
        <v>151</v>
      </c>
      <c r="F17" s="155">
        <f t="shared" si="0"/>
        <v>60.887292103988379</v>
      </c>
      <c r="G17" s="155">
        <f t="shared" si="0"/>
        <v>9.1002229855963357</v>
      </c>
      <c r="H17" s="155">
        <f t="shared" si="1"/>
        <v>66.982883901178752</v>
      </c>
      <c r="I17" s="443">
        <v>76.599999999999994</v>
      </c>
      <c r="J17" s="443">
        <v>57.6</v>
      </c>
    </row>
    <row r="18" spans="1:10">
      <c r="A18" s="297">
        <v>1990</v>
      </c>
      <c r="B18" s="442">
        <v>2545.9</v>
      </c>
      <c r="C18" s="442">
        <v>1703</v>
      </c>
      <c r="D18" s="442">
        <v>1559.6</v>
      </c>
      <c r="E18" s="442">
        <v>143.4</v>
      </c>
      <c r="F18" s="155">
        <f t="shared" si="0"/>
        <v>61.259279626065435</v>
      </c>
      <c r="G18" s="155">
        <f t="shared" si="0"/>
        <v>8.4204345273047565</v>
      </c>
      <c r="H18" s="155">
        <f t="shared" si="1"/>
        <v>66.891865352134801</v>
      </c>
      <c r="I18" s="443">
        <v>75.2</v>
      </c>
      <c r="J18" s="443">
        <v>58.7</v>
      </c>
    </row>
    <row r="19" spans="1:10">
      <c r="A19" s="297">
        <v>1991</v>
      </c>
      <c r="B19" s="442">
        <v>2616.1999999999998</v>
      </c>
      <c r="C19" s="442">
        <v>1750.8</v>
      </c>
      <c r="D19" s="442">
        <v>1577.5</v>
      </c>
      <c r="E19" s="442">
        <v>173.3</v>
      </c>
      <c r="F19" s="155">
        <f t="shared" si="0"/>
        <v>60.297377876309156</v>
      </c>
      <c r="G19" s="155">
        <f t="shared" si="0"/>
        <v>9.898332190998401</v>
      </c>
      <c r="H19" s="155">
        <f t="shared" si="1"/>
        <v>66.921489182784185</v>
      </c>
      <c r="I19" s="443">
        <v>75.2</v>
      </c>
      <c r="J19" s="443">
        <v>58.8</v>
      </c>
    </row>
    <row r="20" spans="1:10">
      <c r="A20" s="297">
        <v>1992</v>
      </c>
      <c r="B20" s="442">
        <v>2690.4</v>
      </c>
      <c r="C20" s="442">
        <v>1799.8</v>
      </c>
      <c r="D20" s="442">
        <v>1617.2</v>
      </c>
      <c r="E20" s="442">
        <v>182.6</v>
      </c>
      <c r="F20" s="155">
        <f t="shared" si="0"/>
        <v>60.110020814748729</v>
      </c>
      <c r="G20" s="155">
        <f t="shared" si="0"/>
        <v>10.145571730192243</v>
      </c>
      <c r="H20" s="155">
        <f t="shared" si="1"/>
        <v>66.897115670532258</v>
      </c>
      <c r="I20" s="443">
        <v>74.599999999999994</v>
      </c>
      <c r="J20" s="443">
        <v>59.4</v>
      </c>
    </row>
    <row r="21" spans="1:10">
      <c r="A21" s="297">
        <v>1993</v>
      </c>
      <c r="B21" s="442">
        <v>2770.5</v>
      </c>
      <c r="C21" s="442">
        <v>1847.8</v>
      </c>
      <c r="D21" s="442">
        <v>1668</v>
      </c>
      <c r="E21" s="442">
        <v>179.8</v>
      </c>
      <c r="F21" s="155">
        <f t="shared" si="0"/>
        <v>60.205739036275041</v>
      </c>
      <c r="G21" s="155">
        <f t="shared" si="0"/>
        <v>9.7304903128044167</v>
      </c>
      <c r="H21" s="155">
        <f t="shared" si="1"/>
        <v>66.695542320880705</v>
      </c>
      <c r="I21" s="443">
        <v>74.400000000000006</v>
      </c>
      <c r="J21" s="443">
        <v>59.1</v>
      </c>
    </row>
    <row r="22" spans="1:10">
      <c r="A22" s="297">
        <v>1994</v>
      </c>
      <c r="B22" s="442">
        <v>2858.9</v>
      </c>
      <c r="C22" s="442">
        <v>1918.4</v>
      </c>
      <c r="D22" s="442">
        <v>1743.2</v>
      </c>
      <c r="E22" s="442">
        <v>175.2</v>
      </c>
      <c r="F22" s="155">
        <f t="shared" si="0"/>
        <v>60.974500682080524</v>
      </c>
      <c r="G22" s="155">
        <f t="shared" si="0"/>
        <v>9.1326105087572973</v>
      </c>
      <c r="H22" s="155">
        <f t="shared" si="1"/>
        <v>67.102731819930739</v>
      </c>
      <c r="I22" s="443">
        <v>74.7</v>
      </c>
      <c r="J22" s="443">
        <v>59.7</v>
      </c>
    </row>
    <row r="23" spans="1:10">
      <c r="A23" s="297">
        <v>1995</v>
      </c>
      <c r="B23" s="442">
        <v>2944.5</v>
      </c>
      <c r="C23" s="442">
        <v>1950.9</v>
      </c>
      <c r="D23" s="442">
        <v>1785.6</v>
      </c>
      <c r="E23" s="442">
        <v>165.4</v>
      </c>
      <c r="F23" s="155">
        <f t="shared" si="0"/>
        <v>60.641874681609778</v>
      </c>
      <c r="G23" s="155">
        <f t="shared" si="0"/>
        <v>8.4781382951458308</v>
      </c>
      <c r="H23" s="155">
        <f t="shared" si="1"/>
        <v>66.255731023942943</v>
      </c>
      <c r="I23" s="443">
        <v>73.599999999999994</v>
      </c>
      <c r="J23" s="443">
        <v>59.1</v>
      </c>
    </row>
    <row r="24" spans="1:10">
      <c r="A24" s="297">
        <v>1996</v>
      </c>
      <c r="B24" s="442">
        <v>3029</v>
      </c>
      <c r="C24" s="442">
        <v>1988.4</v>
      </c>
      <c r="D24" s="442">
        <v>1816.4</v>
      </c>
      <c r="E24" s="442">
        <v>172</v>
      </c>
      <c r="F24" s="155">
        <f t="shared" si="0"/>
        <v>59.966985803895682</v>
      </c>
      <c r="G24" s="155">
        <f t="shared" si="0"/>
        <v>8.6501709917521623</v>
      </c>
      <c r="H24" s="155">
        <f t="shared" si="1"/>
        <v>65.645427533839552</v>
      </c>
      <c r="I24" s="443">
        <v>72.900000000000006</v>
      </c>
      <c r="J24" s="443">
        <v>58.5</v>
      </c>
    </row>
    <row r="25" spans="1:10">
      <c r="A25" s="297">
        <v>1997</v>
      </c>
      <c r="B25" s="442">
        <v>3098.7</v>
      </c>
      <c r="C25" s="442">
        <v>2030.6</v>
      </c>
      <c r="D25" s="442">
        <v>1860.5</v>
      </c>
      <c r="E25" s="442">
        <v>170.1</v>
      </c>
      <c r="F25" s="155">
        <f t="shared" si="0"/>
        <v>60.041307645141515</v>
      </c>
      <c r="G25" s="155">
        <f t="shared" si="0"/>
        <v>8.376834433172462</v>
      </c>
      <c r="H25" s="155">
        <f t="shared" si="1"/>
        <v>65.530706425275127</v>
      </c>
      <c r="I25" s="443">
        <v>72.099999999999994</v>
      </c>
      <c r="J25" s="443">
        <v>59.1</v>
      </c>
    </row>
    <row r="26" spans="1:10">
      <c r="A26" s="297">
        <v>1998</v>
      </c>
      <c r="B26" s="442">
        <v>3139.1</v>
      </c>
      <c r="C26" s="442">
        <v>2038.3</v>
      </c>
      <c r="D26" s="442">
        <v>1858.4</v>
      </c>
      <c r="E26" s="442">
        <v>179.9</v>
      </c>
      <c r="F26" s="155">
        <f t="shared" si="0"/>
        <v>59.201682010767421</v>
      </c>
      <c r="G26" s="155">
        <f t="shared" si="0"/>
        <v>8.8259824363440131</v>
      </c>
      <c r="H26" s="155">
        <f t="shared" si="1"/>
        <v>64.932624000509691</v>
      </c>
      <c r="I26" s="443">
        <v>71.099999999999994</v>
      </c>
      <c r="J26" s="443">
        <v>58.9</v>
      </c>
    </row>
    <row r="27" spans="1:10">
      <c r="A27" s="297">
        <v>1999</v>
      </c>
      <c r="B27" s="442">
        <v>3173.5</v>
      </c>
      <c r="C27" s="442">
        <v>2064.8000000000002</v>
      </c>
      <c r="D27" s="442">
        <v>1894.4</v>
      </c>
      <c r="E27" s="442">
        <v>170.4</v>
      </c>
      <c r="F27" s="155">
        <f t="shared" si="0"/>
        <v>59.694343784465111</v>
      </c>
      <c r="G27" s="155">
        <f t="shared" si="0"/>
        <v>8.2526152654010065</v>
      </c>
      <c r="H27" s="155">
        <f t="shared" si="1"/>
        <v>65.06380967386167</v>
      </c>
      <c r="I27" s="443">
        <v>71</v>
      </c>
      <c r="J27" s="443">
        <v>59.3</v>
      </c>
    </row>
    <row r="28" spans="1:10">
      <c r="A28" s="297">
        <v>2000</v>
      </c>
      <c r="B28" s="442">
        <v>3210.6</v>
      </c>
      <c r="C28" s="442">
        <v>2079.9</v>
      </c>
      <c r="D28" s="442">
        <v>1931.3</v>
      </c>
      <c r="E28" s="442">
        <v>148.6</v>
      </c>
      <c r="F28" s="155">
        <f t="shared" si="0"/>
        <v>60.153865321123781</v>
      </c>
      <c r="G28" s="155">
        <f t="shared" si="0"/>
        <v>7.1445742583778058</v>
      </c>
      <c r="H28" s="155">
        <f t="shared" si="1"/>
        <v>64.782283685292469</v>
      </c>
      <c r="I28" s="443">
        <v>70.5</v>
      </c>
      <c r="J28" s="443">
        <v>59.3</v>
      </c>
    </row>
    <row r="29" spans="1:10">
      <c r="A29" s="297">
        <v>2001</v>
      </c>
      <c r="B29" s="442">
        <v>3255.4</v>
      </c>
      <c r="C29" s="442">
        <v>2082.6</v>
      </c>
      <c r="D29" s="442">
        <v>1921.6</v>
      </c>
      <c r="E29" s="442">
        <v>161.1</v>
      </c>
      <c r="F29" s="155">
        <f t="shared" si="0"/>
        <v>59.028076426859975</v>
      </c>
      <c r="G29" s="155">
        <f t="shared" si="0"/>
        <v>7.7355229040622291</v>
      </c>
      <c r="H29" s="155">
        <f t="shared" si="1"/>
        <v>63.973705228236156</v>
      </c>
      <c r="I29" s="443">
        <v>69.5</v>
      </c>
      <c r="J29" s="443">
        <v>58.6</v>
      </c>
    </row>
    <row r="30" spans="1:10">
      <c r="A30" s="297">
        <v>2002</v>
      </c>
      <c r="B30" s="442">
        <v>3299.7</v>
      </c>
      <c r="C30" s="442">
        <v>2147.6</v>
      </c>
      <c r="D30" s="442">
        <v>1965</v>
      </c>
      <c r="E30" s="442">
        <v>182.6</v>
      </c>
      <c r="F30" s="155">
        <f t="shared" si="0"/>
        <v>59.550868260750974</v>
      </c>
      <c r="G30" s="155">
        <f t="shared" si="0"/>
        <v>8.5025144347178241</v>
      </c>
      <c r="H30" s="155">
        <f t="shared" si="1"/>
        <v>65.084704670121525</v>
      </c>
      <c r="I30" s="443">
        <v>70.3</v>
      </c>
      <c r="J30" s="443">
        <v>60.1</v>
      </c>
    </row>
    <row r="31" spans="1:10">
      <c r="A31" s="297">
        <v>2003</v>
      </c>
      <c r="B31" s="442">
        <v>3340.5</v>
      </c>
      <c r="C31" s="442">
        <v>2190.6999999999998</v>
      </c>
      <c r="D31" s="442">
        <v>2014.7</v>
      </c>
      <c r="E31" s="442">
        <v>176</v>
      </c>
      <c r="F31" s="155">
        <f t="shared" si="0"/>
        <v>60.311330639125885</v>
      </c>
      <c r="G31" s="155">
        <f t="shared" si="0"/>
        <v>8.0339617473866802</v>
      </c>
      <c r="H31" s="155">
        <f t="shared" si="1"/>
        <v>65.580002993563838</v>
      </c>
      <c r="I31" s="443">
        <v>70.7</v>
      </c>
      <c r="J31" s="443">
        <v>60.7</v>
      </c>
    </row>
    <row r="32" spans="1:10">
      <c r="A32" s="297">
        <v>2004</v>
      </c>
      <c r="B32" s="442">
        <v>3389.8</v>
      </c>
      <c r="C32" s="442">
        <v>2221.9</v>
      </c>
      <c r="D32" s="442">
        <v>2062.6999999999998</v>
      </c>
      <c r="E32" s="442">
        <v>159.19999999999999</v>
      </c>
      <c r="F32" s="155">
        <f t="shared" si="0"/>
        <v>60.850197651778856</v>
      </c>
      <c r="G32" s="155">
        <f t="shared" si="0"/>
        <v>7.1650389306449433</v>
      </c>
      <c r="H32" s="155">
        <f t="shared" si="1"/>
        <v>65.546639919759272</v>
      </c>
      <c r="I32" s="443">
        <v>70.599999999999994</v>
      </c>
      <c r="J32" s="443">
        <v>60.7</v>
      </c>
    </row>
    <row r="33" spans="1:10">
      <c r="A33" s="297">
        <v>2005</v>
      </c>
      <c r="B33" s="442">
        <v>3447.9</v>
      </c>
      <c r="C33" s="442">
        <v>2263.4</v>
      </c>
      <c r="D33" s="442">
        <v>2130.5</v>
      </c>
      <c r="E33" s="442">
        <v>132.9</v>
      </c>
      <c r="F33" s="155">
        <f t="shared" ref="F33:G36" si="2">D33/B33*100</f>
        <v>61.791235244641662</v>
      </c>
      <c r="G33" s="155">
        <f t="shared" si="2"/>
        <v>5.871697446319696</v>
      </c>
      <c r="H33" s="155">
        <f>C33/B33*100</f>
        <v>65.645755387337218</v>
      </c>
      <c r="I33" s="443">
        <v>70.8</v>
      </c>
      <c r="J33" s="443">
        <v>60.7</v>
      </c>
    </row>
    <row r="34" spans="1:10">
      <c r="A34" s="297">
        <v>2006</v>
      </c>
      <c r="B34" s="442">
        <v>3511</v>
      </c>
      <c r="C34" s="442">
        <v>2305.1</v>
      </c>
      <c r="D34" s="442">
        <v>2195.5</v>
      </c>
      <c r="E34" s="442">
        <v>109.6</v>
      </c>
      <c r="F34" s="155">
        <f t="shared" si="2"/>
        <v>62.532042153232695</v>
      </c>
      <c r="G34" s="155">
        <f t="shared" si="2"/>
        <v>4.7546744175957656</v>
      </c>
      <c r="H34" s="155">
        <f>C34/B34*100</f>
        <v>65.653659925947011</v>
      </c>
      <c r="I34" s="443">
        <v>70.400000000000006</v>
      </c>
      <c r="J34" s="443">
        <v>61</v>
      </c>
    </row>
    <row r="35" spans="1:10">
      <c r="A35" s="297">
        <v>2007</v>
      </c>
      <c r="B35" s="442">
        <v>3571.4</v>
      </c>
      <c r="C35" s="442">
        <v>2366.4</v>
      </c>
      <c r="D35" s="442">
        <v>2266.3000000000002</v>
      </c>
      <c r="E35" s="442">
        <v>100</v>
      </c>
      <c r="F35" s="155">
        <f t="shared" si="2"/>
        <v>63.45690765526124</v>
      </c>
      <c r="G35" s="155">
        <f t="shared" si="2"/>
        <v>4.2258282623394186</v>
      </c>
      <c r="H35" s="155">
        <f>C35/B35*100</f>
        <v>66.259730077840629</v>
      </c>
      <c r="I35" s="443">
        <v>71.7</v>
      </c>
      <c r="J35" s="443">
        <v>61</v>
      </c>
    </row>
    <row r="36" spans="1:10">
      <c r="A36" s="297">
        <v>2008</v>
      </c>
      <c r="B36" s="442">
        <v>3641.8</v>
      </c>
      <c r="C36" s="442">
        <v>2425.9</v>
      </c>
      <c r="D36" s="442">
        <v>2314.3000000000002</v>
      </c>
      <c r="E36" s="442">
        <v>111.6</v>
      </c>
      <c r="F36" s="155">
        <f t="shared" si="2"/>
        <v>63.548245373167113</v>
      </c>
      <c r="G36" s="155">
        <f t="shared" si="2"/>
        <v>4.6003545076054246</v>
      </c>
      <c r="H36" s="155">
        <f>C36/B36*100</f>
        <v>66.612664067219512</v>
      </c>
      <c r="I36" s="443">
        <v>71.900000000000006</v>
      </c>
      <c r="J36" s="443">
        <v>61.5</v>
      </c>
    </row>
    <row r="37" spans="1:10">
      <c r="A37" s="1109"/>
      <c r="B37" s="298" t="s">
        <v>802</v>
      </c>
      <c r="C37" s="298"/>
      <c r="D37" s="298"/>
      <c r="E37" s="298"/>
      <c r="F37" s="298" t="s">
        <v>655</v>
      </c>
      <c r="G37" s="298"/>
      <c r="H37" s="298"/>
      <c r="I37" s="298"/>
      <c r="J37" s="298"/>
    </row>
    <row r="38" spans="1:10">
      <c r="A38" s="297" t="s">
        <v>603</v>
      </c>
      <c r="B38" s="159">
        <f>(POWER(B17/B9, 1/8)-1)*100</f>
        <v>1.6893092395181331</v>
      </c>
      <c r="C38" s="159">
        <f>(POWER(C17/C9, 1/8)-1)*100</f>
        <v>2.0017698816870322</v>
      </c>
      <c r="D38" s="159">
        <f>(POWER(D17/D9, 1/8)-1)*100</f>
        <v>1.6847155355452781</v>
      </c>
      <c r="E38" s="159">
        <f>(POWER(E17/E9, 1/8)-1)*100</f>
        <v>5.7699963031199175</v>
      </c>
      <c r="F38" s="156">
        <f>F17-F9</f>
        <v>-2.2008611451262539E-2</v>
      </c>
      <c r="G38" s="156">
        <f>G17-G9</f>
        <v>2.2923133810765615</v>
      </c>
      <c r="H38" s="156">
        <f>H17-H9</f>
        <v>1.6240101416587862</v>
      </c>
      <c r="I38" s="156">
        <f>I17-I9</f>
        <v>-2</v>
      </c>
      <c r="J38" s="156">
        <f>J17-J9</f>
        <v>5.3000000000000043</v>
      </c>
    </row>
    <row r="39" spans="1:10">
      <c r="A39" s="297" t="s">
        <v>604</v>
      </c>
      <c r="B39" s="159">
        <f>(POWER(B28/B17, 1/11)-1)*100</f>
        <v>2.3855454235173212</v>
      </c>
      <c r="C39" s="159">
        <f>(POWER(C28/C17, 1/11)-1)*100</f>
        <v>2.0750911767229541</v>
      </c>
      <c r="D39" s="159">
        <f>(POWER(D28/D17, 1/11)-1)*100</f>
        <v>2.2728086086948762</v>
      </c>
      <c r="E39" s="159">
        <f>(POWER(E28/E17, 1/11)-1)*100</f>
        <v>-0.14554583853446657</v>
      </c>
      <c r="F39" s="156">
        <f>F28-F17</f>
        <v>-0.73342678286459773</v>
      </c>
      <c r="G39" s="156">
        <f>G28-G17</f>
        <v>-1.9556487272185299</v>
      </c>
      <c r="H39" s="156">
        <f>H28-H17</f>
        <v>-2.2006002158862827</v>
      </c>
      <c r="I39" s="156">
        <f>I28-I17</f>
        <v>-6.0999999999999943</v>
      </c>
      <c r="J39" s="156">
        <f>J28-J17</f>
        <v>1.6999999999999957</v>
      </c>
    </row>
    <row r="40" spans="1:10">
      <c r="A40" s="297" t="s">
        <v>808</v>
      </c>
      <c r="B40" s="159">
        <f>(POWER(B33/B9, 1/24)-1)*100</f>
        <v>1.9549146313129651</v>
      </c>
      <c r="C40" s="159">
        <f>(POWER(C33/C9, 1/24)-1)*100</f>
        <v>1.9735219302735363</v>
      </c>
      <c r="D40" s="159">
        <f>(POWER(D33/D9, 1/24)-1)*100</f>
        <v>2.0160024136775423</v>
      </c>
      <c r="E40" s="159">
        <f>(POWER(E33/E9, 1/24)-1)*100</f>
        <v>1.3468678193222505</v>
      </c>
      <c r="F40" s="156">
        <f>F33-F9</f>
        <v>0.8819345292020202</v>
      </c>
      <c r="G40" s="156">
        <f>G33-G9</f>
        <v>-0.93621215820007819</v>
      </c>
      <c r="H40" s="156">
        <f>H33-H9</f>
        <v>0.28688162781725168</v>
      </c>
      <c r="I40" s="156">
        <f>I33-I9</f>
        <v>-7.7999999999999972</v>
      </c>
      <c r="J40" s="156">
        <f>J33-J9</f>
        <v>8.4000000000000057</v>
      </c>
    </row>
    <row r="41" spans="1:10">
      <c r="A41" s="297" t="s">
        <v>819</v>
      </c>
      <c r="B41" s="159">
        <f>(POWER(B34/B9, 1/25)-1)*100</f>
        <v>1.9499190891646645</v>
      </c>
      <c r="C41" s="159">
        <f>(POWER(C34/C9, 1/25)-1)*100</f>
        <v>1.968272253242187</v>
      </c>
      <c r="D41" s="159">
        <f>(POWER(D34/D9, 1/25)-1)*100</f>
        <v>2.0571991423879998</v>
      </c>
      <c r="E41" s="159">
        <f>(POWER(E34/E9, 1/25)-1)*100</f>
        <v>0.51464446005076159</v>
      </c>
      <c r="F41" s="156">
        <f>F34-F9</f>
        <v>1.6227414377930529</v>
      </c>
      <c r="G41" s="156">
        <f>G34-G9</f>
        <v>-2.0532351869240086</v>
      </c>
      <c r="H41" s="156">
        <f>H34-H9</f>
        <v>0.2947861664270448</v>
      </c>
      <c r="I41" s="156">
        <f>I34-I9</f>
        <v>-8.1999999999999886</v>
      </c>
      <c r="J41" s="156">
        <f>J34-J9</f>
        <v>8.7000000000000028</v>
      </c>
    </row>
    <row r="42" spans="1:10">
      <c r="A42" s="297" t="s">
        <v>447</v>
      </c>
      <c r="B42" s="159">
        <f>(POWER(B35/B9, 1/26)-1)*100</f>
        <v>1.9410783017895117</v>
      </c>
      <c r="C42" s="159">
        <f>(POWER(C35/C9, 1/26)-1)*100</f>
        <v>1.994764819592576</v>
      </c>
      <c r="D42" s="159">
        <f>(POWER(D35/D9, 1/26)-1)*100</f>
        <v>2.1018608546630402</v>
      </c>
      <c r="E42" s="159">
        <f>(POWER(E35/E9, 1/26)-1)*100</f>
        <v>0.14111479786691472</v>
      </c>
      <c r="F42" s="156">
        <f>F35-F9</f>
        <v>2.5476069398215984</v>
      </c>
      <c r="G42" s="156">
        <f>G35-G9</f>
        <v>-2.5820813421803557</v>
      </c>
      <c r="H42" s="156">
        <f>H35-H9</f>
        <v>0.90085631832066326</v>
      </c>
      <c r="I42" s="156">
        <f>I35-I9</f>
        <v>-6.8999999999999915</v>
      </c>
      <c r="J42" s="156">
        <f>J35-J9</f>
        <v>8.7000000000000028</v>
      </c>
    </row>
    <row r="43" spans="1:10">
      <c r="A43" s="297" t="s">
        <v>1408</v>
      </c>
      <c r="B43" s="159">
        <f>(POWER(B36/B9, 1/27)-1)*100</f>
        <v>1.9421943454524193</v>
      </c>
      <c r="C43" s="159">
        <f>(POWER(C36/C9, 1/27)-1)*100</f>
        <v>2.0139623275120755</v>
      </c>
      <c r="D43" s="159">
        <f>(POWER(D36/D9, 1/27)-1)*100</f>
        <v>2.1024581729418346</v>
      </c>
      <c r="E43" s="159">
        <f>(POWER(E36/E9, 1/27)-1)*100</f>
        <v>0.54375020028385457</v>
      </c>
      <c r="F43" s="156">
        <f>F36-F9</f>
        <v>2.6389446577274711</v>
      </c>
      <c r="G43" s="156">
        <f>G36-G9</f>
        <v>-2.2075550969143496</v>
      </c>
      <c r="H43" s="156">
        <f>H36-H9</f>
        <v>1.2537903076995462</v>
      </c>
      <c r="I43" s="156">
        <f>I36-I9</f>
        <v>-6.6999999999999886</v>
      </c>
      <c r="J43" s="156">
        <f>J36-J9</f>
        <v>9.2000000000000028</v>
      </c>
    </row>
    <row r="44" spans="1:10">
      <c r="A44" s="297" t="s">
        <v>449</v>
      </c>
      <c r="B44" s="159">
        <f>(POWER(B35/B28, 1/7)-1)*100</f>
        <v>1.5330588975704718</v>
      </c>
      <c r="C44" s="159">
        <f>(POWER(C35/C28, 1/7)-1)*100</f>
        <v>1.8606700818319499</v>
      </c>
      <c r="D44" s="159">
        <f>(POWER(D35/D28, 1/7)-1)*100</f>
        <v>2.3113820289943465</v>
      </c>
      <c r="E44" s="159">
        <f>(POWER(E35/E28, 1/7)-1)*100</f>
        <v>-5.5012890505450107</v>
      </c>
      <c r="F44" s="156">
        <f>F35-F28</f>
        <v>3.3030423341374586</v>
      </c>
      <c r="G44" s="156">
        <f>G35-G28</f>
        <v>-2.9187459960383872</v>
      </c>
      <c r="H44" s="156">
        <f>H35-H28</f>
        <v>1.4774463925481598</v>
      </c>
      <c r="I44" s="156">
        <f>I35-I28</f>
        <v>1.2000000000000028</v>
      </c>
      <c r="J44" s="156">
        <f>J35-J28</f>
        <v>1.7000000000000028</v>
      </c>
    </row>
    <row r="45" spans="1:10">
      <c r="A45" s="297" t="s">
        <v>1410</v>
      </c>
      <c r="B45" s="159">
        <f>(POWER(B36/B28, 1/8)-1)*100</f>
        <v>1.5877253800244961</v>
      </c>
      <c r="C45" s="159">
        <f>(POWER(C36/C28, 1/8)-1)*100</f>
        <v>1.9421537923666188</v>
      </c>
      <c r="D45" s="159">
        <f>(POWER(D36/D28, 1/8)-1)*100</f>
        <v>2.2871879696927611</v>
      </c>
      <c r="E45" s="159">
        <f>(POWER(E36/E28, 1/8)-1)*100</f>
        <v>-3.5159171002595135</v>
      </c>
      <c r="F45" s="156">
        <f>F36-F28</f>
        <v>3.3943800520433314</v>
      </c>
      <c r="G45" s="156">
        <f>G36-G28</f>
        <v>-2.5442197507723812</v>
      </c>
      <c r="H45" s="156">
        <f>H36-H28</f>
        <v>1.8303803819270428</v>
      </c>
      <c r="I45" s="156">
        <f>I36-I28</f>
        <v>1.4000000000000057</v>
      </c>
      <c r="J45" s="156">
        <f>J36-J28</f>
        <v>2.2000000000000028</v>
      </c>
    </row>
    <row r="46" spans="1:10" ht="25.5" customHeight="1">
      <c r="A46" s="1254" t="s">
        <v>1562</v>
      </c>
      <c r="B46" s="1254"/>
      <c r="C46" s="1254"/>
      <c r="D46" s="1254"/>
      <c r="E46" s="1254"/>
      <c r="F46" s="1254"/>
      <c r="G46" s="1254"/>
      <c r="H46" s="1254"/>
      <c r="I46" s="1254"/>
      <c r="J46" s="1254"/>
    </row>
    <row r="47" spans="1:10">
      <c r="A47" s="149" t="s">
        <v>826</v>
      </c>
    </row>
    <row r="48" spans="1:10">
      <c r="A48" s="149" t="s">
        <v>723</v>
      </c>
    </row>
    <row r="49" spans="1:1">
      <c r="A49" s="149" t="s">
        <v>1830</v>
      </c>
    </row>
  </sheetData>
  <mergeCells count="1">
    <mergeCell ref="A46:J46"/>
  </mergeCells>
  <phoneticPr fontId="35" type="noConversion"/>
  <pageMargins left="0.75" right="0.75" top="1" bottom="1" header="0.5" footer="0.5"/>
  <pageSetup scale="80" orientation="portrait" horizontalDpi="4294967292" verticalDpi="0" r:id="rId1"/>
  <headerFooter alignWithMargins="0"/>
</worksheet>
</file>

<file path=xl/worksheets/sheet152.xml><?xml version="1.0" encoding="utf-8"?>
<worksheet xmlns="http://schemas.openxmlformats.org/spreadsheetml/2006/main" xmlns:r="http://schemas.openxmlformats.org/officeDocument/2006/relationships">
  <sheetPr codeName="Sheet123">
    <pageSetUpPr fitToPage="1"/>
  </sheetPr>
  <dimension ref="A1:E52"/>
  <sheetViews>
    <sheetView view="pageBreakPreview"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42.7109375" style="141" customWidth="1"/>
    <col min="2" max="5" width="12.7109375" style="141" customWidth="1"/>
    <col min="6" max="16384" width="8.85546875" style="141"/>
  </cols>
  <sheetData>
    <row r="1" spans="1:5" ht="15.75">
      <c r="A1" s="105" t="s">
        <v>728</v>
      </c>
    </row>
    <row r="3" spans="1:5" s="142" customFormat="1" ht="27" customHeight="1">
      <c r="A3" s="106" t="s">
        <v>544</v>
      </c>
      <c r="B3" s="107" t="s">
        <v>311</v>
      </c>
      <c r="C3" s="106" t="s">
        <v>312</v>
      </c>
      <c r="D3" s="106" t="s">
        <v>313</v>
      </c>
      <c r="E3" s="106" t="s">
        <v>314</v>
      </c>
    </row>
    <row r="4" spans="1:5">
      <c r="A4" s="108" t="s">
        <v>916</v>
      </c>
      <c r="B4" s="143">
        <v>13.1</v>
      </c>
      <c r="C4" s="144">
        <v>10.9</v>
      </c>
      <c r="D4" s="144">
        <v>14.7</v>
      </c>
      <c r="E4" s="144">
        <v>11.1</v>
      </c>
    </row>
    <row r="5" spans="1:5">
      <c r="A5" s="141" t="s">
        <v>1162</v>
      </c>
      <c r="B5" s="143">
        <v>16.899999999999999</v>
      </c>
      <c r="C5" s="144">
        <v>12.6</v>
      </c>
      <c r="D5" s="144">
        <v>16.600000000000001</v>
      </c>
      <c r="E5" s="144">
        <v>13.5</v>
      </c>
    </row>
    <row r="6" spans="1:5">
      <c r="A6" s="141" t="s">
        <v>1163</v>
      </c>
      <c r="B6" s="143">
        <v>13.2</v>
      </c>
      <c r="C6" s="144">
        <v>11</v>
      </c>
      <c r="D6" s="144">
        <v>13.7</v>
      </c>
      <c r="E6" s="144">
        <v>11.3</v>
      </c>
    </row>
    <row r="7" spans="1:5">
      <c r="A7" s="141" t="s">
        <v>1164</v>
      </c>
      <c r="B7" s="143">
        <v>5.8</v>
      </c>
      <c r="C7" s="144">
        <v>7.3</v>
      </c>
      <c r="D7" s="144">
        <v>16.399999999999999</v>
      </c>
      <c r="E7" s="144">
        <v>5.4</v>
      </c>
    </row>
    <row r="8" spans="1:5" ht="7.9" customHeight="1">
      <c r="B8" s="143"/>
      <c r="C8" s="144"/>
      <c r="D8" s="144"/>
      <c r="E8" s="144"/>
    </row>
    <row r="9" spans="1:5">
      <c r="A9" s="108" t="s">
        <v>917</v>
      </c>
      <c r="B9" s="143">
        <v>12.4</v>
      </c>
      <c r="C9" s="144">
        <v>9.9</v>
      </c>
      <c r="D9" s="144">
        <v>13</v>
      </c>
      <c r="E9" s="144">
        <v>10.3</v>
      </c>
    </row>
    <row r="10" spans="1:5">
      <c r="A10" s="141" t="s">
        <v>1165</v>
      </c>
      <c r="B10" s="143">
        <v>16.7</v>
      </c>
      <c r="C10" s="144">
        <v>12.3</v>
      </c>
      <c r="D10" s="144">
        <v>16.3</v>
      </c>
      <c r="E10" s="144">
        <v>13.3</v>
      </c>
    </row>
    <row r="11" spans="1:5">
      <c r="A11" s="141" t="s">
        <v>1166</v>
      </c>
      <c r="B11" s="143">
        <v>12.1</v>
      </c>
      <c r="C11" s="144">
        <v>9.9</v>
      </c>
      <c r="D11" s="144">
        <v>12.3</v>
      </c>
      <c r="E11" s="144">
        <v>10.199999999999999</v>
      </c>
    </row>
    <row r="12" spans="1:5">
      <c r="A12" s="141" t="s">
        <v>1167</v>
      </c>
      <c r="B12" s="143">
        <v>4.8</v>
      </c>
      <c r="C12" s="144">
        <v>4.4000000000000004</v>
      </c>
      <c r="D12" s="144">
        <v>9.8000000000000007</v>
      </c>
      <c r="E12" s="144">
        <v>4.2</v>
      </c>
    </row>
    <row r="13" spans="1:5">
      <c r="B13" s="143"/>
      <c r="C13" s="144"/>
      <c r="D13" s="144"/>
      <c r="E13" s="144"/>
    </row>
    <row r="14" spans="1:5">
      <c r="A14" s="108" t="s">
        <v>918</v>
      </c>
      <c r="B14" s="143">
        <v>13.9</v>
      </c>
      <c r="C14" s="144">
        <v>11.9</v>
      </c>
      <c r="D14" s="144">
        <v>16.3</v>
      </c>
      <c r="E14" s="144">
        <v>11.9</v>
      </c>
    </row>
    <row r="15" spans="1:5">
      <c r="A15" s="141" t="s">
        <v>1168</v>
      </c>
      <c r="B15" s="143">
        <v>17.100000000000001</v>
      </c>
      <c r="C15" s="144">
        <v>12.9</v>
      </c>
      <c r="D15" s="144">
        <v>16.899999999999999</v>
      </c>
      <c r="E15" s="144">
        <v>13.6</v>
      </c>
    </row>
    <row r="16" spans="1:5">
      <c r="A16" s="141" t="s">
        <v>1169</v>
      </c>
      <c r="B16" s="143">
        <v>14.3</v>
      </c>
      <c r="C16" s="144">
        <v>12.1</v>
      </c>
      <c r="D16" s="144">
        <v>15</v>
      </c>
      <c r="E16" s="144">
        <v>12.4</v>
      </c>
    </row>
    <row r="17" spans="1:5">
      <c r="A17" s="141" t="s">
        <v>694</v>
      </c>
      <c r="B17" s="143">
        <v>6.2</v>
      </c>
      <c r="C17" s="144">
        <v>9.6</v>
      </c>
      <c r="D17" s="144">
        <v>21.5</v>
      </c>
      <c r="E17" s="144">
        <v>6.3</v>
      </c>
    </row>
    <row r="18" spans="1:5">
      <c r="B18" s="143"/>
      <c r="C18" s="144"/>
      <c r="D18" s="144"/>
      <c r="E18" s="144"/>
    </row>
    <row r="19" spans="1:5">
      <c r="A19" s="108" t="s">
        <v>919</v>
      </c>
      <c r="B19" s="143">
        <v>15.5</v>
      </c>
      <c r="C19" s="144">
        <v>14.6</v>
      </c>
      <c r="D19" s="144">
        <v>19.5</v>
      </c>
      <c r="E19" s="144">
        <v>14</v>
      </c>
    </row>
    <row r="20" spans="1:5">
      <c r="B20" s="143"/>
      <c r="C20" s="144"/>
      <c r="D20" s="144"/>
      <c r="E20" s="144"/>
    </row>
    <row r="21" spans="1:5">
      <c r="A21" s="108" t="s">
        <v>920</v>
      </c>
      <c r="B21" s="143">
        <v>10.7</v>
      </c>
      <c r="C21" s="144">
        <v>7.9</v>
      </c>
      <c r="D21" s="144">
        <v>11</v>
      </c>
      <c r="E21" s="144">
        <v>8.6999999999999993</v>
      </c>
    </row>
    <row r="22" spans="1:5">
      <c r="A22" s="141" t="s">
        <v>974</v>
      </c>
      <c r="B22" s="143">
        <v>4.5</v>
      </c>
      <c r="C22" s="144">
        <v>2.9</v>
      </c>
      <c r="D22" s="144">
        <v>7</v>
      </c>
      <c r="E22" s="144">
        <v>4.0999999999999996</v>
      </c>
    </row>
    <row r="23" spans="1:5">
      <c r="A23" s="141" t="s">
        <v>1170</v>
      </c>
      <c r="B23" s="143">
        <v>2.4</v>
      </c>
      <c r="C23" s="144">
        <v>1.2</v>
      </c>
      <c r="D23" s="144">
        <v>4.5</v>
      </c>
      <c r="E23" s="144">
        <v>1.8</v>
      </c>
    </row>
    <row r="24" spans="1:5">
      <c r="A24" s="141" t="s">
        <v>1171</v>
      </c>
      <c r="B24" s="143">
        <v>11.7</v>
      </c>
      <c r="C24" s="144">
        <v>9.1</v>
      </c>
      <c r="D24" s="144">
        <v>16.100000000000001</v>
      </c>
      <c r="E24" s="144">
        <v>12</v>
      </c>
    </row>
    <row r="25" spans="1:5">
      <c r="A25" s="141" t="s">
        <v>975</v>
      </c>
      <c r="B25" s="143">
        <v>11.6</v>
      </c>
      <c r="C25" s="144">
        <v>8.6999999999999993</v>
      </c>
      <c r="D25" s="144">
        <v>11.6</v>
      </c>
      <c r="E25" s="144">
        <v>9.5</v>
      </c>
    </row>
    <row r="26" spans="1:5">
      <c r="A26" s="141" t="s">
        <v>1172</v>
      </c>
      <c r="B26" s="143">
        <v>8.1999999999999993</v>
      </c>
      <c r="C26" s="144">
        <v>5.8</v>
      </c>
      <c r="D26" s="144">
        <v>8</v>
      </c>
      <c r="E26" s="144">
        <v>6.9</v>
      </c>
    </row>
    <row r="27" spans="1:5">
      <c r="A27" s="141" t="s">
        <v>1173</v>
      </c>
      <c r="B27" s="143">
        <v>10.8</v>
      </c>
      <c r="C27" s="144">
        <v>7.5</v>
      </c>
      <c r="D27" s="144">
        <v>9.9</v>
      </c>
      <c r="E27" s="144">
        <v>7.8</v>
      </c>
    </row>
    <row r="28" spans="1:5">
      <c r="A28" s="141" t="s">
        <v>1174</v>
      </c>
      <c r="B28" s="143">
        <v>4.8</v>
      </c>
      <c r="C28" s="144">
        <v>3.3</v>
      </c>
      <c r="D28" s="144">
        <v>4.5</v>
      </c>
      <c r="E28" s="144">
        <v>3.9</v>
      </c>
    </row>
    <row r="29" spans="1:5">
      <c r="A29" s="141" t="s">
        <v>1175</v>
      </c>
      <c r="B29" s="143">
        <v>35.6</v>
      </c>
      <c r="C29" s="144">
        <v>30.2</v>
      </c>
      <c r="D29" s="144">
        <v>39.200000000000003</v>
      </c>
      <c r="E29" s="144">
        <v>31.9</v>
      </c>
    </row>
    <row r="30" spans="1:5">
      <c r="A30" s="141" t="s">
        <v>1176</v>
      </c>
      <c r="B30" s="143">
        <v>16.899999999999999</v>
      </c>
      <c r="C30" s="144">
        <v>11.8</v>
      </c>
      <c r="D30" s="144">
        <v>14.9</v>
      </c>
      <c r="E30" s="144">
        <v>13.8</v>
      </c>
    </row>
    <row r="31" spans="1:5">
      <c r="A31" s="141" t="s">
        <v>1177</v>
      </c>
      <c r="B31" s="143">
        <v>39.5</v>
      </c>
      <c r="C31" s="144">
        <v>33.9</v>
      </c>
      <c r="D31" s="144">
        <v>44.2</v>
      </c>
      <c r="E31" s="144">
        <v>35.6</v>
      </c>
    </row>
    <row r="32" spans="1:5">
      <c r="A32" s="141" t="s">
        <v>1178</v>
      </c>
      <c r="B32" s="143">
        <v>11.8</v>
      </c>
      <c r="C32" s="144">
        <v>9.4</v>
      </c>
      <c r="D32" s="144">
        <v>12.7</v>
      </c>
      <c r="E32" s="144">
        <v>10.8</v>
      </c>
    </row>
    <row r="33" spans="1:5">
      <c r="B33" s="143"/>
      <c r="C33" s="144"/>
      <c r="D33" s="144"/>
      <c r="E33" s="144"/>
    </row>
    <row r="34" spans="1:5">
      <c r="A34" s="108" t="s">
        <v>924</v>
      </c>
      <c r="B34" s="143">
        <v>25.6</v>
      </c>
      <c r="C34" s="144">
        <v>28.6</v>
      </c>
      <c r="D34" s="144">
        <v>37.299999999999997</v>
      </c>
      <c r="E34" s="144">
        <v>24.9</v>
      </c>
    </row>
    <row r="35" spans="1:5">
      <c r="A35" s="141" t="s">
        <v>1179</v>
      </c>
      <c r="B35" s="143">
        <v>24.7</v>
      </c>
      <c r="C35" s="144">
        <v>25.5</v>
      </c>
      <c r="D35" s="144">
        <v>30.8</v>
      </c>
      <c r="E35" s="144">
        <v>23.4</v>
      </c>
    </row>
    <row r="36" spans="1:5">
      <c r="A36" s="141" t="s">
        <v>1180</v>
      </c>
      <c r="B36" s="143">
        <v>26.5</v>
      </c>
      <c r="C36" s="144">
        <v>31.6</v>
      </c>
      <c r="D36" s="144">
        <v>43.5</v>
      </c>
      <c r="E36" s="144">
        <v>26.3</v>
      </c>
    </row>
    <row r="37" spans="1:5">
      <c r="A37" s="141" t="s">
        <v>1181</v>
      </c>
      <c r="B37" s="143">
        <v>11.7</v>
      </c>
      <c r="C37" s="144">
        <v>19.899999999999999</v>
      </c>
      <c r="D37" s="144">
        <v>43</v>
      </c>
      <c r="E37" s="144">
        <v>12.2</v>
      </c>
    </row>
    <row r="38" spans="1:5">
      <c r="A38" s="141" t="s">
        <v>1182</v>
      </c>
      <c r="B38" s="143">
        <v>13.8</v>
      </c>
      <c r="C38" s="144">
        <v>16.8</v>
      </c>
      <c r="D38" s="144">
        <v>33.299999999999997</v>
      </c>
      <c r="E38" s="144">
        <v>12.3</v>
      </c>
    </row>
    <row r="39" spans="1:5">
      <c r="A39" s="141" t="s">
        <v>1183</v>
      </c>
      <c r="B39" s="143">
        <v>11</v>
      </c>
      <c r="C39" s="144">
        <v>21</v>
      </c>
      <c r="D39" s="144">
        <v>46.4</v>
      </c>
      <c r="E39" s="144">
        <v>12.2</v>
      </c>
    </row>
    <row r="40" spans="1:5">
      <c r="A40" s="141" t="s">
        <v>1184</v>
      </c>
      <c r="B40" s="143">
        <v>30.7</v>
      </c>
      <c r="C40" s="144">
        <v>31.8</v>
      </c>
      <c r="D40" s="144">
        <v>35.200000000000003</v>
      </c>
      <c r="E40" s="144">
        <v>29.6</v>
      </c>
    </row>
    <row r="41" spans="1:5">
      <c r="A41" s="141" t="s">
        <v>1185</v>
      </c>
      <c r="B41" s="143">
        <v>26.5</v>
      </c>
      <c r="C41" s="144">
        <v>27</v>
      </c>
      <c r="D41" s="144">
        <v>30.3</v>
      </c>
      <c r="E41" s="144">
        <v>25.3</v>
      </c>
    </row>
    <row r="42" spans="1:5">
      <c r="A42" s="145" t="s">
        <v>1186</v>
      </c>
      <c r="B42" s="146">
        <v>36.299999999999997</v>
      </c>
      <c r="C42" s="147">
        <v>38.200000000000003</v>
      </c>
      <c r="D42" s="147">
        <v>41.7</v>
      </c>
      <c r="E42" s="147">
        <v>35.299999999999997</v>
      </c>
    </row>
    <row r="44" spans="1:5">
      <c r="A44" s="141" t="s">
        <v>925</v>
      </c>
    </row>
    <row r="45" spans="1:5">
      <c r="A45" s="141" t="s">
        <v>926</v>
      </c>
    </row>
    <row r="46" spans="1:5" s="148" customFormat="1">
      <c r="A46" s="148" t="s">
        <v>272</v>
      </c>
    </row>
    <row r="47" spans="1:5">
      <c r="A47" s="148" t="s">
        <v>273</v>
      </c>
    </row>
    <row r="48" spans="1:5" s="148" customFormat="1">
      <c r="A48" s="148" t="s">
        <v>274</v>
      </c>
    </row>
    <row r="49" spans="1:1">
      <c r="A49" s="148" t="s">
        <v>271</v>
      </c>
    </row>
    <row r="50" spans="1:1">
      <c r="A50" s="141" t="s">
        <v>121</v>
      </c>
    </row>
    <row r="51" spans="1:1">
      <c r="A51" s="141" t="s">
        <v>122</v>
      </c>
    </row>
    <row r="52" spans="1:1">
      <c r="A52" s="141" t="s">
        <v>123</v>
      </c>
    </row>
  </sheetData>
  <phoneticPr fontId="35" type="noConversion"/>
  <pageMargins left="0.75" right="0.75" top="1" bottom="1" header="0.5" footer="0.5"/>
  <pageSetup scale="86" orientation="portrait" horizontalDpi="4294967292" verticalDpi="0" r:id="rId1"/>
  <headerFooter alignWithMargins="0"/>
</worksheet>
</file>

<file path=xl/worksheets/sheet153.xml><?xml version="1.0" encoding="utf-8"?>
<worksheet xmlns="http://schemas.openxmlformats.org/spreadsheetml/2006/main" xmlns:r="http://schemas.openxmlformats.org/officeDocument/2006/relationships">
  <dimension ref="A1:T51"/>
  <sheetViews>
    <sheetView view="pageBreakPreview" zoomScaleNormal="100"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34.42578125" style="1056" customWidth="1"/>
    <col min="2" max="7" width="8.85546875" style="1056" customWidth="1"/>
    <col min="8" max="8" width="8.85546875" style="1056"/>
    <col min="9" max="9" width="10.28515625" style="1056" customWidth="1"/>
    <col min="10" max="10" width="9.7109375" style="1056" bestFit="1" customWidth="1"/>
    <col min="11" max="11" width="8.85546875" style="1056"/>
    <col min="12" max="12" width="24" style="1056" customWidth="1"/>
    <col min="13" max="16384" width="8.85546875" style="1056"/>
  </cols>
  <sheetData>
    <row r="1" spans="1:20" ht="15" customHeight="1">
      <c r="A1" s="1139" t="s">
        <v>2083</v>
      </c>
      <c r="I1" s="1255" t="s">
        <v>2053</v>
      </c>
      <c r="L1" s="1256" t="s">
        <v>2084</v>
      </c>
      <c r="M1" s="1257"/>
      <c r="N1" s="1257"/>
      <c r="O1" s="1257"/>
      <c r="P1" s="1257"/>
      <c r="Q1" s="1257"/>
      <c r="R1" s="1257"/>
      <c r="S1" s="1257"/>
      <c r="T1" s="1257"/>
    </row>
    <row r="2" spans="1:20" ht="15" customHeight="1">
      <c r="B2" s="1258" t="s">
        <v>2052</v>
      </c>
      <c r="C2" s="1258"/>
      <c r="D2" s="1258"/>
      <c r="E2" s="1258"/>
      <c r="F2" s="1258"/>
      <c r="G2" s="1258"/>
      <c r="H2" s="1258"/>
      <c r="I2" s="1255"/>
      <c r="J2" s="1066" t="s">
        <v>2085</v>
      </c>
      <c r="L2" s="1067"/>
      <c r="M2" s="1067" t="s">
        <v>2056</v>
      </c>
      <c r="N2" s="1067" t="s">
        <v>2057</v>
      </c>
      <c r="O2" s="1067" t="s">
        <v>2058</v>
      </c>
      <c r="P2" s="1067" t="s">
        <v>2059</v>
      </c>
      <c r="Q2" s="1067" t="s">
        <v>2060</v>
      </c>
      <c r="R2" s="1067" t="s">
        <v>2061</v>
      </c>
      <c r="S2" s="1067" t="s">
        <v>2062</v>
      </c>
      <c r="T2" s="1067" t="s">
        <v>2063</v>
      </c>
    </row>
    <row r="3" spans="1:20" s="1058" customFormat="1" ht="15" customHeight="1">
      <c r="A3" s="1113" t="s">
        <v>2055</v>
      </c>
      <c r="B3" s="1111">
        <v>2000</v>
      </c>
      <c r="C3" s="1111">
        <v>2001</v>
      </c>
      <c r="D3" s="1111">
        <v>2002</v>
      </c>
      <c r="E3" s="1111">
        <v>2003</v>
      </c>
      <c r="F3" s="1111">
        <v>2004</v>
      </c>
      <c r="G3" s="1111">
        <v>2005</v>
      </c>
      <c r="H3" s="1111">
        <v>2006</v>
      </c>
      <c r="I3" s="1111">
        <v>2006</v>
      </c>
      <c r="J3" s="1112">
        <v>2006</v>
      </c>
      <c r="L3" s="1068" t="s">
        <v>916</v>
      </c>
      <c r="M3" s="1069">
        <v>14.6</v>
      </c>
      <c r="N3" s="1069">
        <v>13.5</v>
      </c>
      <c r="O3" s="1069">
        <v>13.6</v>
      </c>
      <c r="P3" s="1069">
        <v>13.2</v>
      </c>
      <c r="Q3" s="1069">
        <v>13.1</v>
      </c>
      <c r="R3" s="1069">
        <v>12.4</v>
      </c>
      <c r="S3" s="1069">
        <v>11.9</v>
      </c>
      <c r="T3" s="1069">
        <v>10.5</v>
      </c>
    </row>
    <row r="4" spans="1:20" ht="15" customHeight="1">
      <c r="A4" s="1114" t="s">
        <v>916</v>
      </c>
      <c r="B4" s="1069">
        <v>14.6</v>
      </c>
      <c r="C4" s="1069">
        <v>13.5</v>
      </c>
      <c r="D4" s="1069">
        <v>13.6</v>
      </c>
      <c r="E4" s="1069">
        <v>13.2</v>
      </c>
      <c r="F4" s="1069">
        <v>13.1</v>
      </c>
      <c r="G4" s="1069">
        <v>12.4</v>
      </c>
      <c r="H4" s="1069">
        <v>11.9</v>
      </c>
      <c r="I4" s="1069">
        <v>10.5</v>
      </c>
      <c r="J4" s="1070">
        <v>14.879764816685364</v>
      </c>
      <c r="L4" s="1071" t="s">
        <v>2064</v>
      </c>
      <c r="M4" s="1069">
        <v>18.100000000000001</v>
      </c>
      <c r="N4" s="1069">
        <v>16.399999999999999</v>
      </c>
      <c r="O4" s="1069">
        <v>16.5</v>
      </c>
      <c r="P4" s="1069">
        <v>16.3</v>
      </c>
      <c r="Q4" s="1069">
        <v>16.399999999999999</v>
      </c>
      <c r="R4" s="1069">
        <v>15.1</v>
      </c>
      <c r="S4" s="1069">
        <v>14.4</v>
      </c>
      <c r="T4" s="1069">
        <v>11.4</v>
      </c>
    </row>
    <row r="5" spans="1:20" ht="15" customHeight="1">
      <c r="A5" s="1115" t="s">
        <v>1162</v>
      </c>
      <c r="B5" s="1069">
        <v>18.100000000000001</v>
      </c>
      <c r="C5" s="1069">
        <v>16.399999999999999</v>
      </c>
      <c r="D5" s="1069">
        <v>16.5</v>
      </c>
      <c r="E5" s="1069">
        <v>16.3</v>
      </c>
      <c r="F5" s="1069">
        <v>16.399999999999999</v>
      </c>
      <c r="G5" s="1069">
        <v>15.1</v>
      </c>
      <c r="H5" s="1069">
        <v>14.4</v>
      </c>
      <c r="I5" s="1069">
        <v>11.4</v>
      </c>
      <c r="J5" s="1070">
        <v>19.619088550598207</v>
      </c>
      <c r="L5" s="1071" t="s">
        <v>2065</v>
      </c>
      <c r="M5" s="1069">
        <v>15</v>
      </c>
      <c r="N5" s="1069">
        <v>13.9</v>
      </c>
      <c r="O5" s="1069">
        <v>14</v>
      </c>
      <c r="P5" s="1069">
        <v>13.7</v>
      </c>
      <c r="Q5" s="1069">
        <v>13.8</v>
      </c>
      <c r="R5" s="1069">
        <v>13.2</v>
      </c>
      <c r="S5" s="1069">
        <v>12.8</v>
      </c>
      <c r="T5" s="1069">
        <v>11.2</v>
      </c>
    </row>
    <row r="6" spans="1:20" ht="15" customHeight="1">
      <c r="A6" s="1115" t="s">
        <v>1163</v>
      </c>
      <c r="B6" s="1069">
        <v>15</v>
      </c>
      <c r="C6" s="1069">
        <v>13.9</v>
      </c>
      <c r="D6" s="1069">
        <v>14</v>
      </c>
      <c r="E6" s="1069">
        <v>13.7</v>
      </c>
      <c r="F6" s="1069">
        <v>13.8</v>
      </c>
      <c r="G6" s="1069">
        <v>13.2</v>
      </c>
      <c r="H6" s="1069">
        <v>12.8</v>
      </c>
      <c r="I6" s="1069">
        <v>11.2</v>
      </c>
      <c r="J6" s="1072"/>
      <c r="L6" s="1071" t="s">
        <v>2066</v>
      </c>
      <c r="M6" s="1069">
        <v>5.5</v>
      </c>
      <c r="N6" s="1069">
        <v>5.3</v>
      </c>
      <c r="O6" s="1069">
        <v>5.7</v>
      </c>
      <c r="P6" s="1069">
        <v>4.8</v>
      </c>
      <c r="Q6" s="1069">
        <v>3.9</v>
      </c>
      <c r="R6" s="1069">
        <v>3.7</v>
      </c>
      <c r="S6" s="1069">
        <v>3.3</v>
      </c>
      <c r="T6" s="1069">
        <v>5.4</v>
      </c>
    </row>
    <row r="7" spans="1:20" ht="15" customHeight="1">
      <c r="A7" s="1115" t="s">
        <v>1164</v>
      </c>
      <c r="B7" s="1069">
        <v>5.5</v>
      </c>
      <c r="C7" s="1069">
        <v>5.3</v>
      </c>
      <c r="D7" s="1069">
        <v>5.7</v>
      </c>
      <c r="E7" s="1069">
        <v>4.8</v>
      </c>
      <c r="F7" s="1069">
        <v>3.9</v>
      </c>
      <c r="G7" s="1069">
        <v>3.7</v>
      </c>
      <c r="H7" s="1069">
        <v>3.3</v>
      </c>
      <c r="I7" s="1069">
        <v>5.4</v>
      </c>
      <c r="J7" s="1072">
        <v>6.3633894368109987</v>
      </c>
      <c r="L7" s="1071" t="s">
        <v>1200</v>
      </c>
      <c r="M7" s="1069">
        <v>13.7</v>
      </c>
      <c r="N7" s="1069">
        <v>12.8</v>
      </c>
      <c r="O7" s="1069">
        <v>13.1</v>
      </c>
      <c r="P7" s="1069">
        <v>12.9</v>
      </c>
      <c r="Q7" s="1069">
        <v>12.8</v>
      </c>
      <c r="R7" s="1069">
        <v>12.2</v>
      </c>
      <c r="S7" s="1069">
        <v>11.6</v>
      </c>
      <c r="T7" s="1069">
        <v>10.1</v>
      </c>
    </row>
    <row r="8" spans="1:20" ht="15" customHeight="1">
      <c r="A8" s="1115"/>
      <c r="B8" s="1063"/>
      <c r="C8" s="1063"/>
      <c r="D8" s="1063"/>
      <c r="J8" s="1070"/>
      <c r="L8" s="1071" t="s">
        <v>2064</v>
      </c>
      <c r="M8" s="1069">
        <v>17.8</v>
      </c>
      <c r="N8" s="1069">
        <v>16.399999999999999</v>
      </c>
      <c r="O8" s="1069">
        <v>17.3</v>
      </c>
      <c r="P8" s="1069">
        <v>17.100000000000001</v>
      </c>
      <c r="Q8" s="1069">
        <v>16.7</v>
      </c>
      <c r="R8" s="1069">
        <v>15.6</v>
      </c>
      <c r="S8" s="1069">
        <v>14.2</v>
      </c>
      <c r="T8" s="1069">
        <v>11.4</v>
      </c>
    </row>
    <row r="9" spans="1:20" ht="15" customHeight="1">
      <c r="A9" s="1114" t="s">
        <v>917</v>
      </c>
      <c r="B9" s="1069">
        <v>13.7</v>
      </c>
      <c r="C9" s="1069">
        <v>12.8</v>
      </c>
      <c r="D9" s="1069">
        <v>13.1</v>
      </c>
      <c r="E9" s="1069">
        <v>12.9</v>
      </c>
      <c r="F9" s="1069">
        <v>12.8</v>
      </c>
      <c r="G9" s="1069">
        <v>12.2</v>
      </c>
      <c r="H9" s="1069">
        <v>11.6</v>
      </c>
      <c r="I9" s="1069">
        <v>10.1</v>
      </c>
      <c r="J9" s="1070"/>
      <c r="L9" s="1071" t="s">
        <v>2067</v>
      </c>
      <c r="M9" s="1069">
        <v>13.7</v>
      </c>
      <c r="N9" s="1069">
        <v>12.8</v>
      </c>
      <c r="O9" s="1069">
        <v>12.9</v>
      </c>
      <c r="P9" s="1069">
        <v>12.8</v>
      </c>
      <c r="Q9" s="1069">
        <v>12.9</v>
      </c>
      <c r="R9" s="1069">
        <v>12.7</v>
      </c>
      <c r="S9" s="1069">
        <v>12.2</v>
      </c>
      <c r="T9" s="1069">
        <v>10.9</v>
      </c>
    </row>
    <row r="10" spans="1:20" ht="15" customHeight="1">
      <c r="A10" s="1115" t="s">
        <v>1165</v>
      </c>
      <c r="B10" s="1069">
        <v>17.8</v>
      </c>
      <c r="C10" s="1069">
        <v>16.399999999999999</v>
      </c>
      <c r="D10" s="1069">
        <v>17.3</v>
      </c>
      <c r="E10" s="1069">
        <v>17.100000000000001</v>
      </c>
      <c r="F10" s="1069">
        <v>16.7</v>
      </c>
      <c r="G10" s="1069">
        <v>15.6</v>
      </c>
      <c r="H10" s="1069">
        <v>14.2</v>
      </c>
      <c r="I10" s="1069">
        <v>11.4</v>
      </c>
      <c r="J10" s="1070"/>
      <c r="L10" s="1071" t="s">
        <v>2066</v>
      </c>
      <c r="M10" s="1069">
        <v>4.5999999999999996</v>
      </c>
      <c r="N10" s="1069">
        <v>4.9000000000000004</v>
      </c>
      <c r="O10" s="1069">
        <v>5.0999999999999996</v>
      </c>
      <c r="P10" s="1069">
        <v>4.3</v>
      </c>
      <c r="Q10" s="1069">
        <v>3.8</v>
      </c>
      <c r="R10" s="1069">
        <v>3.1</v>
      </c>
      <c r="S10" s="1069">
        <v>2.7</v>
      </c>
      <c r="T10" s="1069">
        <v>3.4</v>
      </c>
    </row>
    <row r="11" spans="1:20" ht="15" customHeight="1">
      <c r="A11" s="1115" t="s">
        <v>1166</v>
      </c>
      <c r="B11" s="1069">
        <v>13.7</v>
      </c>
      <c r="C11" s="1069">
        <v>12.8</v>
      </c>
      <c r="D11" s="1069">
        <v>12.9</v>
      </c>
      <c r="E11" s="1069">
        <v>12.8</v>
      </c>
      <c r="F11" s="1069">
        <v>12.9</v>
      </c>
      <c r="G11" s="1069">
        <v>12.7</v>
      </c>
      <c r="H11" s="1069">
        <v>12.2</v>
      </c>
      <c r="I11" s="1069">
        <v>10.9</v>
      </c>
      <c r="J11" s="1070"/>
      <c r="L11" s="1071" t="s">
        <v>1201</v>
      </c>
      <c r="M11" s="1069">
        <v>15.4</v>
      </c>
      <c r="N11" s="1069">
        <v>14.1</v>
      </c>
      <c r="O11" s="1069">
        <v>14</v>
      </c>
      <c r="P11" s="1069">
        <v>13.5</v>
      </c>
      <c r="Q11" s="1069">
        <v>13.5</v>
      </c>
      <c r="R11" s="1069">
        <v>12.6</v>
      </c>
      <c r="S11" s="1069">
        <v>12.2</v>
      </c>
      <c r="T11" s="1069">
        <v>10.9</v>
      </c>
    </row>
    <row r="12" spans="1:20" ht="15" customHeight="1">
      <c r="A12" s="1115" t="s">
        <v>1167</v>
      </c>
      <c r="B12" s="1069">
        <v>4.5999999999999996</v>
      </c>
      <c r="C12" s="1069">
        <v>4.9000000000000004</v>
      </c>
      <c r="D12" s="1069">
        <v>5.0999999999999996</v>
      </c>
      <c r="E12" s="1069">
        <v>4.3</v>
      </c>
      <c r="F12" s="1069">
        <v>3.8</v>
      </c>
      <c r="G12" s="1069">
        <v>3.1</v>
      </c>
      <c r="H12" s="1069">
        <v>2.7</v>
      </c>
      <c r="I12" s="1069">
        <v>3.4</v>
      </c>
      <c r="J12" s="1072"/>
      <c r="L12" s="1071" t="s">
        <v>2064</v>
      </c>
      <c r="M12" s="1069">
        <v>18.3</v>
      </c>
      <c r="N12" s="1069">
        <v>16.399999999999999</v>
      </c>
      <c r="O12" s="1069">
        <v>15.6</v>
      </c>
      <c r="P12" s="1069">
        <v>15.4</v>
      </c>
      <c r="Q12" s="1069">
        <v>16.100000000000001</v>
      </c>
      <c r="R12" s="1069">
        <v>14.7</v>
      </c>
      <c r="S12" s="1069">
        <v>14.6</v>
      </c>
      <c r="T12" s="1069">
        <v>11.4</v>
      </c>
    </row>
    <row r="13" spans="1:20" ht="15" customHeight="1">
      <c r="A13" s="1115"/>
      <c r="B13" s="1063"/>
      <c r="C13" s="1063"/>
      <c r="D13" s="1063"/>
      <c r="J13" s="1070"/>
      <c r="L13" s="1071" t="s">
        <v>2067</v>
      </c>
      <c r="M13" s="1069">
        <v>16.3</v>
      </c>
      <c r="N13" s="1069">
        <v>15.1</v>
      </c>
      <c r="O13" s="1069">
        <v>15.1</v>
      </c>
      <c r="P13" s="1069">
        <v>14.7</v>
      </c>
      <c r="Q13" s="1069">
        <v>14.7</v>
      </c>
      <c r="R13" s="1069">
        <v>13.7</v>
      </c>
      <c r="S13" s="1069">
        <v>13.3</v>
      </c>
      <c r="T13" s="1069">
        <v>11.6</v>
      </c>
    </row>
    <row r="14" spans="1:20" ht="15" customHeight="1">
      <c r="A14" s="1114" t="s">
        <v>918</v>
      </c>
      <c r="B14" s="1069">
        <v>15.4</v>
      </c>
      <c r="C14" s="1069">
        <v>14.1</v>
      </c>
      <c r="D14" s="1069">
        <v>14</v>
      </c>
      <c r="E14" s="1069">
        <v>13.5</v>
      </c>
      <c r="F14" s="1069">
        <v>13.5</v>
      </c>
      <c r="G14" s="1069">
        <v>12.6</v>
      </c>
      <c r="H14" s="1069">
        <v>12.2</v>
      </c>
      <c r="I14" s="1069">
        <v>10.9</v>
      </c>
      <c r="J14" s="1070"/>
      <c r="L14" s="1071" t="s">
        <v>2066</v>
      </c>
      <c r="M14" s="1069">
        <v>6.3</v>
      </c>
      <c r="N14" s="1069">
        <v>5.7</v>
      </c>
      <c r="O14" s="1069">
        <v>6.1</v>
      </c>
      <c r="P14" s="1069">
        <v>5.0999999999999996</v>
      </c>
      <c r="Q14" s="1069">
        <v>4.0999999999999996</v>
      </c>
      <c r="R14" s="1069">
        <v>4.2</v>
      </c>
      <c r="S14" s="1069">
        <v>3.8</v>
      </c>
      <c r="T14" s="1069">
        <v>7</v>
      </c>
    </row>
    <row r="15" spans="1:20" ht="15" customHeight="1">
      <c r="A15" s="1115" t="s">
        <v>1168</v>
      </c>
      <c r="B15" s="1069">
        <v>18.3</v>
      </c>
      <c r="C15" s="1069">
        <v>16.399999999999999</v>
      </c>
      <c r="D15" s="1069">
        <v>15.6</v>
      </c>
      <c r="E15" s="1069">
        <v>15.4</v>
      </c>
      <c r="F15" s="1069">
        <v>16.100000000000001</v>
      </c>
      <c r="G15" s="1069">
        <v>14.7</v>
      </c>
      <c r="H15" s="1069">
        <v>14.6</v>
      </c>
      <c r="I15" s="1069">
        <v>11.4</v>
      </c>
      <c r="J15" s="1070"/>
      <c r="L15" s="1068" t="s">
        <v>919</v>
      </c>
      <c r="M15" s="1069">
        <v>17.600000000000001</v>
      </c>
      <c r="N15" s="1069">
        <v>16.7</v>
      </c>
      <c r="O15" s="1069">
        <v>16.3</v>
      </c>
      <c r="P15" s="1069">
        <v>15.9</v>
      </c>
      <c r="Q15" s="1069">
        <v>16</v>
      </c>
      <c r="R15" s="1069">
        <v>15.6</v>
      </c>
      <c r="S15" s="1069">
        <v>14.9</v>
      </c>
      <c r="T15" s="1069">
        <v>14.6</v>
      </c>
    </row>
    <row r="16" spans="1:20" ht="15" customHeight="1">
      <c r="A16" s="1115" t="s">
        <v>1169</v>
      </c>
      <c r="B16" s="1069">
        <v>16.3</v>
      </c>
      <c r="C16" s="1069">
        <v>15.1</v>
      </c>
      <c r="D16" s="1069">
        <v>15.1</v>
      </c>
      <c r="E16" s="1069">
        <v>14.7</v>
      </c>
      <c r="F16" s="1069">
        <v>14.7</v>
      </c>
      <c r="G16" s="1069">
        <v>13.7</v>
      </c>
      <c r="H16" s="1069">
        <v>13.3</v>
      </c>
      <c r="I16" s="1069">
        <v>11.6</v>
      </c>
      <c r="J16" s="1070"/>
      <c r="L16" s="1068" t="s">
        <v>2068</v>
      </c>
      <c r="M16" s="1069">
        <v>11.8</v>
      </c>
      <c r="N16" s="1069">
        <v>10.7</v>
      </c>
      <c r="O16" s="1069">
        <v>11.1</v>
      </c>
      <c r="P16" s="1069">
        <v>10.6</v>
      </c>
      <c r="Q16" s="1069">
        <v>10.3</v>
      </c>
      <c r="R16" s="1069">
        <v>9.6999999999999993</v>
      </c>
      <c r="S16" s="1069">
        <v>9.1999999999999993</v>
      </c>
      <c r="T16" s="1069">
        <v>7</v>
      </c>
    </row>
    <row r="17" spans="1:20" ht="15" customHeight="1">
      <c r="A17" s="1115" t="s">
        <v>694</v>
      </c>
      <c r="B17" s="1069">
        <v>6.3</v>
      </c>
      <c r="C17" s="1069">
        <v>5.7</v>
      </c>
      <c r="D17" s="1069">
        <v>6.1</v>
      </c>
      <c r="E17" s="1069">
        <v>5.0999999999999996</v>
      </c>
      <c r="F17" s="1069">
        <v>4.0999999999999996</v>
      </c>
      <c r="G17" s="1069">
        <v>4.2</v>
      </c>
      <c r="H17" s="1069">
        <v>3.8</v>
      </c>
      <c r="I17" s="1069">
        <v>7</v>
      </c>
      <c r="J17" s="1072"/>
      <c r="L17" s="1071" t="s">
        <v>921</v>
      </c>
      <c r="M17" s="1069">
        <v>4.4000000000000004</v>
      </c>
      <c r="N17" s="1069">
        <v>3.8</v>
      </c>
      <c r="O17" s="1069">
        <v>4.5</v>
      </c>
      <c r="P17" s="1069">
        <v>4</v>
      </c>
      <c r="Q17" s="1069">
        <v>3.2</v>
      </c>
      <c r="R17" s="1069">
        <v>3</v>
      </c>
      <c r="S17" s="1069">
        <v>3.4</v>
      </c>
      <c r="T17" s="1069">
        <v>2.2999999999999998</v>
      </c>
    </row>
    <row r="18" spans="1:20" ht="15" customHeight="1">
      <c r="A18" s="1115"/>
      <c r="B18" s="1063"/>
      <c r="C18" s="1063"/>
      <c r="D18" s="1063"/>
      <c r="J18" s="1070"/>
      <c r="L18" s="1071" t="s">
        <v>2069</v>
      </c>
      <c r="M18" s="1069">
        <v>2.2999999999999998</v>
      </c>
      <c r="N18" s="1069">
        <v>2.7</v>
      </c>
      <c r="O18" s="1069">
        <v>2.9</v>
      </c>
      <c r="P18" s="1069">
        <v>2.8</v>
      </c>
      <c r="Q18" s="1069">
        <v>2.1</v>
      </c>
      <c r="R18" s="1069">
        <v>2.2000000000000002</v>
      </c>
      <c r="S18" s="1069">
        <v>2.1</v>
      </c>
      <c r="T18" s="1069" t="s">
        <v>593</v>
      </c>
    </row>
    <row r="19" spans="1:20" ht="15" customHeight="1">
      <c r="A19" s="1114" t="s">
        <v>919</v>
      </c>
      <c r="B19" s="1069">
        <v>17.600000000000001</v>
      </c>
      <c r="C19" s="1069">
        <v>16.7</v>
      </c>
      <c r="D19" s="1069">
        <v>16.3</v>
      </c>
      <c r="E19" s="1069">
        <v>15.9</v>
      </c>
      <c r="F19" s="1069">
        <v>16</v>
      </c>
      <c r="G19" s="1069">
        <v>15.6</v>
      </c>
      <c r="H19" s="1069">
        <v>14.9</v>
      </c>
      <c r="I19" s="1069">
        <v>14.6</v>
      </c>
      <c r="J19" s="1072"/>
      <c r="L19" s="1071" t="s">
        <v>2070</v>
      </c>
      <c r="M19" s="1069">
        <v>12</v>
      </c>
      <c r="N19" s="1069">
        <v>8.4</v>
      </c>
      <c r="O19" s="1069">
        <v>10.5</v>
      </c>
      <c r="P19" s="1069">
        <v>8.3000000000000007</v>
      </c>
      <c r="Q19" s="1069">
        <v>7.7</v>
      </c>
      <c r="R19" s="1069">
        <v>6</v>
      </c>
      <c r="S19" s="1069">
        <v>8</v>
      </c>
      <c r="T19" s="1069">
        <v>6.1</v>
      </c>
    </row>
    <row r="20" spans="1:20" ht="15" customHeight="1">
      <c r="A20" s="1115"/>
      <c r="J20" s="1070"/>
      <c r="L20" s="1071" t="s">
        <v>922</v>
      </c>
      <c r="M20" s="1069">
        <v>13</v>
      </c>
      <c r="N20" s="1069">
        <v>11.8</v>
      </c>
      <c r="O20" s="1069">
        <v>12.2</v>
      </c>
      <c r="P20" s="1069">
        <v>11.7</v>
      </c>
      <c r="Q20" s="1069">
        <v>11.5</v>
      </c>
      <c r="R20" s="1069">
        <v>10.8</v>
      </c>
      <c r="S20" s="1069">
        <v>10.199999999999999</v>
      </c>
      <c r="T20" s="1069">
        <v>7.9</v>
      </c>
    </row>
    <row r="21" spans="1:20" ht="15" customHeight="1">
      <c r="A21" s="1114" t="s">
        <v>920</v>
      </c>
      <c r="B21" s="1069">
        <v>11.8</v>
      </c>
      <c r="C21" s="1069">
        <v>10.7</v>
      </c>
      <c r="D21" s="1069">
        <v>11.1</v>
      </c>
      <c r="E21" s="1069">
        <v>10.6</v>
      </c>
      <c r="F21" s="1069">
        <v>10.3</v>
      </c>
      <c r="G21" s="1069">
        <v>9.6999999999999993</v>
      </c>
      <c r="H21" s="1069">
        <v>9.1999999999999993</v>
      </c>
      <c r="I21" s="1069">
        <v>7</v>
      </c>
      <c r="J21" s="1070">
        <v>12.3</v>
      </c>
      <c r="L21" s="1071" t="s">
        <v>923</v>
      </c>
      <c r="M21" s="1069">
        <v>9.6</v>
      </c>
      <c r="N21" s="1069">
        <v>8.8000000000000007</v>
      </c>
      <c r="O21" s="1069">
        <v>9</v>
      </c>
      <c r="P21" s="1069">
        <v>8.3000000000000007</v>
      </c>
      <c r="Q21" s="1069">
        <v>8.3000000000000007</v>
      </c>
      <c r="R21" s="1069">
        <v>8.5</v>
      </c>
      <c r="S21" s="1069">
        <v>7.4</v>
      </c>
      <c r="T21" s="1069">
        <v>5.7</v>
      </c>
    </row>
    <row r="22" spans="1:20" ht="15" customHeight="1">
      <c r="A22" s="1115" t="s">
        <v>974</v>
      </c>
      <c r="B22" s="1069">
        <v>4.4000000000000004</v>
      </c>
      <c r="C22" s="1069">
        <v>3.8</v>
      </c>
      <c r="D22" s="1069">
        <v>4.5</v>
      </c>
      <c r="E22" s="1069">
        <v>4</v>
      </c>
      <c r="F22" s="1069">
        <v>3.2</v>
      </c>
      <c r="G22" s="1069">
        <v>3</v>
      </c>
      <c r="H22" s="1069">
        <v>3.4</v>
      </c>
      <c r="I22" s="1069">
        <v>2.2999999999999998</v>
      </c>
      <c r="J22" s="1070"/>
      <c r="L22" s="1071" t="s">
        <v>244</v>
      </c>
      <c r="M22" s="1069">
        <v>11.5</v>
      </c>
      <c r="N22" s="1069">
        <v>10.199999999999999</v>
      </c>
      <c r="O22" s="1069">
        <v>9.4</v>
      </c>
      <c r="P22" s="1069">
        <v>9.3000000000000007</v>
      </c>
      <c r="Q22" s="1069">
        <v>9.5</v>
      </c>
      <c r="R22" s="1069">
        <v>9</v>
      </c>
      <c r="S22" s="1069">
        <v>9.1</v>
      </c>
      <c r="T22" s="1069">
        <v>6.6</v>
      </c>
    </row>
    <row r="23" spans="1:20" ht="15" customHeight="1">
      <c r="A23" s="1115" t="s">
        <v>1170</v>
      </c>
      <c r="B23" s="1069">
        <v>2.2999999999999998</v>
      </c>
      <c r="C23" s="1069">
        <v>2.7</v>
      </c>
      <c r="D23" s="1069">
        <v>2.9</v>
      </c>
      <c r="E23" s="1069">
        <v>2.8</v>
      </c>
      <c r="F23" s="1069">
        <v>2.1</v>
      </c>
      <c r="G23" s="1069">
        <v>2.2000000000000002</v>
      </c>
      <c r="H23" s="1069">
        <v>2.1</v>
      </c>
      <c r="I23" s="1069"/>
      <c r="J23" s="1070"/>
      <c r="L23" s="1071" t="s">
        <v>245</v>
      </c>
      <c r="M23" s="1069">
        <v>5.7</v>
      </c>
      <c r="N23" s="1069">
        <v>6.5</v>
      </c>
      <c r="O23" s="1069">
        <v>7.1</v>
      </c>
      <c r="P23" s="1069">
        <v>6.1</v>
      </c>
      <c r="Q23" s="1069">
        <v>5.0999999999999996</v>
      </c>
      <c r="R23" s="1069">
        <v>4.3</v>
      </c>
      <c r="S23" s="1069">
        <v>3.4</v>
      </c>
      <c r="T23" s="1069">
        <v>2.4</v>
      </c>
    </row>
    <row r="24" spans="1:20" ht="15" customHeight="1">
      <c r="A24" s="1115" t="s">
        <v>1171</v>
      </c>
      <c r="B24" s="1069">
        <v>12</v>
      </c>
      <c r="C24" s="1069">
        <v>8.4</v>
      </c>
      <c r="D24" s="1069">
        <v>10.5</v>
      </c>
      <c r="E24" s="1069">
        <v>8.3000000000000007</v>
      </c>
      <c r="F24" s="1069">
        <v>7.7</v>
      </c>
      <c r="G24" s="1069">
        <v>6</v>
      </c>
      <c r="H24" s="1069">
        <v>8</v>
      </c>
      <c r="I24" s="1069">
        <v>6.1</v>
      </c>
      <c r="J24" s="1070"/>
      <c r="L24" s="1071" t="s">
        <v>246</v>
      </c>
      <c r="M24" s="1069">
        <v>38.700000000000003</v>
      </c>
      <c r="N24" s="1069">
        <v>37.4</v>
      </c>
      <c r="O24" s="1069">
        <v>41</v>
      </c>
      <c r="P24" s="1069">
        <v>38.9</v>
      </c>
      <c r="Q24" s="1069">
        <v>38.6</v>
      </c>
      <c r="R24" s="1069">
        <v>32.200000000000003</v>
      </c>
      <c r="S24" s="1069">
        <v>30.7</v>
      </c>
      <c r="T24" s="1069">
        <v>24.3</v>
      </c>
    </row>
    <row r="25" spans="1:20" ht="15" customHeight="1">
      <c r="A25" s="1115" t="s">
        <v>975</v>
      </c>
      <c r="B25" s="1069">
        <v>13</v>
      </c>
      <c r="C25" s="1069">
        <v>11.8</v>
      </c>
      <c r="D25" s="1069">
        <v>12.2</v>
      </c>
      <c r="E25" s="1069">
        <v>11.7</v>
      </c>
      <c r="F25" s="1069">
        <v>11.5</v>
      </c>
      <c r="G25" s="1069">
        <v>10.8</v>
      </c>
      <c r="H25" s="1069">
        <v>10.199999999999999</v>
      </c>
      <c r="I25" s="1069">
        <v>7.9</v>
      </c>
      <c r="J25" s="1070"/>
      <c r="L25" s="1071" t="s">
        <v>2071</v>
      </c>
      <c r="M25" s="1069">
        <v>19.899999999999999</v>
      </c>
      <c r="N25" s="1069">
        <v>18.5</v>
      </c>
      <c r="O25" s="1069">
        <v>22.5</v>
      </c>
      <c r="P25" s="1069">
        <v>20.399999999999999</v>
      </c>
      <c r="Q25" s="1069">
        <v>21</v>
      </c>
      <c r="R25" s="1069">
        <v>17.600000000000001</v>
      </c>
      <c r="S25" s="1069">
        <v>12.2</v>
      </c>
      <c r="T25" s="1069" t="s">
        <v>593</v>
      </c>
    </row>
    <row r="26" spans="1:20" ht="15" customHeight="1">
      <c r="A26" s="1115" t="s">
        <v>1172</v>
      </c>
      <c r="B26" s="1069">
        <v>9.6</v>
      </c>
      <c r="C26" s="1069">
        <v>8.8000000000000007</v>
      </c>
      <c r="D26" s="1069">
        <v>9</v>
      </c>
      <c r="E26" s="1069">
        <v>8.3000000000000007</v>
      </c>
      <c r="F26" s="1069">
        <v>8.3000000000000007</v>
      </c>
      <c r="G26" s="1069">
        <v>8.5</v>
      </c>
      <c r="H26" s="1069">
        <v>7.4</v>
      </c>
      <c r="I26" s="1069">
        <v>5.7</v>
      </c>
      <c r="J26" s="1070"/>
      <c r="L26" s="1071" t="s">
        <v>2072</v>
      </c>
      <c r="M26" s="1069">
        <v>42.5</v>
      </c>
      <c r="N26" s="1069">
        <v>41.4</v>
      </c>
      <c r="O26" s="1069">
        <v>45.3</v>
      </c>
      <c r="P26" s="1069">
        <v>43.1</v>
      </c>
      <c r="Q26" s="1069">
        <v>42.6</v>
      </c>
      <c r="R26" s="1069">
        <v>35.4</v>
      </c>
      <c r="S26" s="1069">
        <v>34.9</v>
      </c>
      <c r="T26" s="1069">
        <v>28.2</v>
      </c>
    </row>
    <row r="27" spans="1:20" ht="15" customHeight="1">
      <c r="A27" s="1115" t="s">
        <v>1173</v>
      </c>
      <c r="B27" s="1069">
        <v>11.5</v>
      </c>
      <c r="C27" s="1069">
        <v>10.199999999999999</v>
      </c>
      <c r="D27" s="1069">
        <v>9.4</v>
      </c>
      <c r="E27" s="1069">
        <v>9.3000000000000007</v>
      </c>
      <c r="F27" s="1069">
        <v>9.5</v>
      </c>
      <c r="G27" s="1069">
        <v>9</v>
      </c>
      <c r="H27" s="1069">
        <v>9.1</v>
      </c>
      <c r="I27" s="1069">
        <v>6.6</v>
      </c>
      <c r="J27" s="1070"/>
      <c r="L27" s="1071" t="s">
        <v>247</v>
      </c>
      <c r="M27" s="1069">
        <v>13</v>
      </c>
      <c r="N27" s="1069">
        <v>9.8000000000000007</v>
      </c>
      <c r="O27" s="1069">
        <v>12.1</v>
      </c>
      <c r="P27" s="1069">
        <v>13.3</v>
      </c>
      <c r="Q27" s="1069">
        <v>12.3</v>
      </c>
      <c r="R27" s="1069">
        <v>12.5</v>
      </c>
      <c r="S27" s="1069">
        <v>12.1</v>
      </c>
      <c r="T27" s="1069">
        <v>10.6</v>
      </c>
    </row>
    <row r="28" spans="1:20" ht="15" customHeight="1">
      <c r="A28" s="1115" t="s">
        <v>1174</v>
      </c>
      <c r="B28" s="1069">
        <v>5.7</v>
      </c>
      <c r="C28" s="1069">
        <v>6.5</v>
      </c>
      <c r="D28" s="1069">
        <v>7.1</v>
      </c>
      <c r="E28" s="1069">
        <v>6.1</v>
      </c>
      <c r="F28" s="1069">
        <v>5.0999999999999996</v>
      </c>
      <c r="G28" s="1069">
        <v>4.3</v>
      </c>
      <c r="H28" s="1069">
        <v>3.4</v>
      </c>
      <c r="I28" s="1069">
        <v>2.4</v>
      </c>
      <c r="J28" s="1070"/>
      <c r="L28" s="1068" t="s">
        <v>817</v>
      </c>
      <c r="M28" s="1069">
        <v>29.4</v>
      </c>
      <c r="N28" s="1069">
        <v>28.7</v>
      </c>
      <c r="O28" s="1069">
        <v>26.8</v>
      </c>
      <c r="P28" s="1069">
        <v>26.6</v>
      </c>
      <c r="Q28" s="1069">
        <v>27.3</v>
      </c>
      <c r="R28" s="1069">
        <v>27.1</v>
      </c>
      <c r="S28" s="1069">
        <v>25.9</v>
      </c>
      <c r="T28" s="1069">
        <v>29.2</v>
      </c>
    </row>
    <row r="29" spans="1:20" ht="15" customHeight="1">
      <c r="A29" s="1115" t="s">
        <v>1175</v>
      </c>
      <c r="B29" s="1069">
        <v>38.700000000000003</v>
      </c>
      <c r="C29" s="1069">
        <v>37.4</v>
      </c>
      <c r="D29" s="1069">
        <v>41</v>
      </c>
      <c r="E29" s="1069">
        <v>38.9</v>
      </c>
      <c r="F29" s="1069">
        <v>38.6</v>
      </c>
      <c r="G29" s="1069">
        <v>32.200000000000003</v>
      </c>
      <c r="H29" s="1069">
        <v>30.7</v>
      </c>
      <c r="I29" s="1069">
        <v>24.3</v>
      </c>
      <c r="J29" s="992">
        <v>33.098545995558212</v>
      </c>
      <c r="L29" s="1071" t="s">
        <v>237</v>
      </c>
      <c r="M29" s="1069">
        <v>28.3</v>
      </c>
      <c r="N29" s="1069">
        <v>28.2</v>
      </c>
      <c r="O29" s="1069">
        <v>26.5</v>
      </c>
      <c r="P29" s="1069">
        <v>26.7</v>
      </c>
      <c r="Q29" s="1069">
        <v>28.1</v>
      </c>
      <c r="R29" s="1069">
        <v>28.5</v>
      </c>
      <c r="S29" s="1069">
        <v>27</v>
      </c>
      <c r="T29" s="1069">
        <v>28.8</v>
      </c>
    </row>
    <row r="30" spans="1:20" ht="15" customHeight="1">
      <c r="A30" s="1115" t="s">
        <v>1176</v>
      </c>
      <c r="B30" s="1069">
        <v>19.899999999999999</v>
      </c>
      <c r="C30" s="1069">
        <v>18.5</v>
      </c>
      <c r="D30" s="1069">
        <v>22.5</v>
      </c>
      <c r="E30" s="1069">
        <v>20.399999999999999</v>
      </c>
      <c r="F30" s="1069">
        <v>21</v>
      </c>
      <c r="G30" s="1069">
        <v>17.600000000000001</v>
      </c>
      <c r="H30" s="1069">
        <v>12.2</v>
      </c>
      <c r="I30" s="1069"/>
      <c r="J30" s="1070"/>
      <c r="L30" s="1071" t="s">
        <v>238</v>
      </c>
      <c r="M30" s="1069">
        <v>30.4</v>
      </c>
      <c r="N30" s="1069">
        <v>29.2</v>
      </c>
      <c r="O30" s="1069">
        <v>27</v>
      </c>
      <c r="P30" s="1069">
        <v>26.4</v>
      </c>
      <c r="Q30" s="1069">
        <v>26.6</v>
      </c>
      <c r="R30" s="1069">
        <v>25.7</v>
      </c>
      <c r="S30" s="1069">
        <v>24.7</v>
      </c>
      <c r="T30" s="1069">
        <v>29.6</v>
      </c>
    </row>
    <row r="31" spans="1:20" ht="15" customHeight="1">
      <c r="A31" s="1115" t="s">
        <v>1177</v>
      </c>
      <c r="B31" s="1069">
        <v>42.5</v>
      </c>
      <c r="C31" s="1069">
        <v>41.4</v>
      </c>
      <c r="D31" s="1069">
        <v>45.3</v>
      </c>
      <c r="E31" s="1069">
        <v>43.1</v>
      </c>
      <c r="F31" s="1069">
        <v>42.6</v>
      </c>
      <c r="G31" s="1069">
        <v>35.4</v>
      </c>
      <c r="H31" s="1069">
        <v>34.9</v>
      </c>
      <c r="I31" s="1069">
        <v>28.2</v>
      </c>
      <c r="J31" s="1070"/>
      <c r="L31" s="1071" t="s">
        <v>2073</v>
      </c>
      <c r="M31" s="1069">
        <v>11.5</v>
      </c>
      <c r="N31" s="1069">
        <v>11.4</v>
      </c>
      <c r="O31" s="1069">
        <v>10.5</v>
      </c>
      <c r="P31" s="1069">
        <v>8.8000000000000007</v>
      </c>
      <c r="Q31" s="1069">
        <v>7</v>
      </c>
      <c r="R31" s="1069">
        <v>7.7</v>
      </c>
      <c r="S31" s="1069">
        <v>6</v>
      </c>
      <c r="T31" s="1069">
        <v>15.5</v>
      </c>
    </row>
    <row r="32" spans="1:20" ht="15" customHeight="1">
      <c r="A32" s="1115" t="s">
        <v>1178</v>
      </c>
      <c r="B32" s="1069">
        <v>13</v>
      </c>
      <c r="C32" s="1069">
        <v>9.8000000000000007</v>
      </c>
      <c r="D32" s="1069">
        <v>12.1</v>
      </c>
      <c r="E32" s="1069">
        <v>13.3</v>
      </c>
      <c r="F32" s="1069">
        <v>12.3</v>
      </c>
      <c r="G32" s="1069">
        <v>12.5</v>
      </c>
      <c r="H32" s="1069">
        <v>12.1</v>
      </c>
      <c r="I32" s="1069">
        <v>10.6</v>
      </c>
      <c r="J32" s="1072"/>
      <c r="L32" s="1071" t="s">
        <v>2074</v>
      </c>
      <c r="M32" s="1069">
        <v>13.2</v>
      </c>
      <c r="N32" s="1069">
        <v>13.3</v>
      </c>
      <c r="O32" s="1069">
        <v>11.9</v>
      </c>
      <c r="P32" s="1069">
        <v>9.9</v>
      </c>
      <c r="Q32" s="1069">
        <v>9</v>
      </c>
      <c r="R32" s="1069">
        <v>7.6</v>
      </c>
      <c r="S32" s="1069">
        <v>7</v>
      </c>
      <c r="T32" s="1069">
        <v>14</v>
      </c>
    </row>
    <row r="33" spans="1:20" ht="15" customHeight="1">
      <c r="A33" s="1115"/>
      <c r="B33" s="1063"/>
      <c r="C33" s="1063"/>
      <c r="D33" s="1063"/>
      <c r="J33" s="1070"/>
      <c r="L33" s="1071" t="s">
        <v>2075</v>
      </c>
      <c r="M33" s="1069">
        <v>10.9</v>
      </c>
      <c r="N33" s="1069">
        <v>10.6</v>
      </c>
      <c r="O33" s="1069">
        <v>9.9</v>
      </c>
      <c r="P33" s="1069">
        <v>8.4</v>
      </c>
      <c r="Q33" s="1069">
        <v>6.3</v>
      </c>
      <c r="R33" s="1069">
        <v>7.8</v>
      </c>
      <c r="S33" s="1069">
        <v>5.7</v>
      </c>
      <c r="T33" s="1069">
        <v>16.100000000000001</v>
      </c>
    </row>
    <row r="34" spans="1:20" ht="15" customHeight="1">
      <c r="A34" s="1114" t="s">
        <v>924</v>
      </c>
      <c r="B34" s="1069">
        <v>29.4</v>
      </c>
      <c r="C34" s="1069">
        <v>28.7</v>
      </c>
      <c r="D34" s="1069">
        <v>26.8</v>
      </c>
      <c r="E34" s="1069">
        <v>26.6</v>
      </c>
      <c r="F34" s="1069">
        <v>27.3</v>
      </c>
      <c r="G34" s="1069">
        <v>27.1</v>
      </c>
      <c r="H34" s="1069">
        <v>25.9</v>
      </c>
      <c r="I34" s="1069">
        <v>29.2</v>
      </c>
      <c r="J34" s="992">
        <v>24.723293706786325</v>
      </c>
      <c r="L34" s="1071" t="s">
        <v>2076</v>
      </c>
      <c r="M34" s="1069">
        <v>35.799999999999997</v>
      </c>
      <c r="N34" s="1069">
        <v>34.799999999999997</v>
      </c>
      <c r="O34" s="1069">
        <v>32.700000000000003</v>
      </c>
      <c r="P34" s="1069">
        <v>32.799999999999997</v>
      </c>
      <c r="Q34" s="1069">
        <v>34.200000000000003</v>
      </c>
      <c r="R34" s="1069">
        <v>33.4</v>
      </c>
      <c r="S34" s="1069">
        <v>32.4</v>
      </c>
      <c r="T34" s="1069">
        <v>33.700000000000003</v>
      </c>
    </row>
    <row r="35" spans="1:20" ht="15" customHeight="1">
      <c r="A35" s="1115" t="s">
        <v>1179</v>
      </c>
      <c r="B35" s="1069">
        <v>28.3</v>
      </c>
      <c r="C35" s="1069">
        <v>28.2</v>
      </c>
      <c r="D35" s="1069">
        <v>26.5</v>
      </c>
      <c r="E35" s="1069">
        <v>26.7</v>
      </c>
      <c r="F35" s="1069">
        <v>28.1</v>
      </c>
      <c r="G35" s="1069">
        <v>28.5</v>
      </c>
      <c r="H35" s="1069">
        <v>27</v>
      </c>
      <c r="I35" s="1069">
        <v>28.8</v>
      </c>
      <c r="J35" s="1070"/>
      <c r="L35" s="1071" t="s">
        <v>2077</v>
      </c>
      <c r="M35" s="1069">
        <v>30.9</v>
      </c>
      <c r="N35" s="1069">
        <v>30.7</v>
      </c>
      <c r="O35" s="1069">
        <v>29</v>
      </c>
      <c r="P35" s="1069">
        <v>29.5</v>
      </c>
      <c r="Q35" s="1069">
        <v>31.1</v>
      </c>
      <c r="R35" s="1069">
        <v>31.7</v>
      </c>
      <c r="S35" s="1069">
        <v>30.2</v>
      </c>
      <c r="T35" s="1069">
        <v>31.2</v>
      </c>
    </row>
    <row r="36" spans="1:20" ht="15" customHeight="1">
      <c r="A36" s="1115" t="s">
        <v>1180</v>
      </c>
      <c r="B36" s="1069">
        <v>30.4</v>
      </c>
      <c r="C36" s="1069">
        <v>29.2</v>
      </c>
      <c r="D36" s="1069">
        <v>27</v>
      </c>
      <c r="E36" s="1069">
        <v>26.4</v>
      </c>
      <c r="F36" s="1069">
        <v>26.6</v>
      </c>
      <c r="G36" s="1069">
        <v>25.7</v>
      </c>
      <c r="H36" s="1069">
        <v>24.7</v>
      </c>
      <c r="I36" s="1069">
        <v>29.6</v>
      </c>
      <c r="J36" s="1070"/>
      <c r="L36" s="1071" t="s">
        <v>2078</v>
      </c>
      <c r="M36" s="1069">
        <v>42.4</v>
      </c>
      <c r="N36" s="1069">
        <v>40.4</v>
      </c>
      <c r="O36" s="1069">
        <v>37.799999999999997</v>
      </c>
      <c r="P36" s="1069">
        <v>37.200000000000003</v>
      </c>
      <c r="Q36" s="1069">
        <v>38.6</v>
      </c>
      <c r="R36" s="1069">
        <v>35.9</v>
      </c>
      <c r="S36" s="1069">
        <v>35.4</v>
      </c>
      <c r="T36" s="1069">
        <v>37.1</v>
      </c>
    </row>
    <row r="37" spans="1:20" ht="15" customHeight="1">
      <c r="A37" s="1115" t="s">
        <v>1181</v>
      </c>
      <c r="B37" s="1069">
        <v>11.5</v>
      </c>
      <c r="C37" s="1069">
        <v>11.4</v>
      </c>
      <c r="D37" s="1069">
        <v>10.5</v>
      </c>
      <c r="E37" s="1069">
        <v>8.8000000000000007</v>
      </c>
      <c r="F37" s="1069">
        <v>7</v>
      </c>
      <c r="G37" s="1069">
        <v>7.7</v>
      </c>
      <c r="H37" s="1069">
        <v>6</v>
      </c>
      <c r="I37" s="1069">
        <v>15.5</v>
      </c>
      <c r="J37" s="1070">
        <v>3.9294208671232482</v>
      </c>
      <c r="L37" s="1259" t="s">
        <v>2079</v>
      </c>
      <c r="M37" s="1259"/>
      <c r="N37" s="1259"/>
      <c r="O37" s="1259"/>
      <c r="P37" s="1259"/>
      <c r="Q37" s="1259"/>
      <c r="R37" s="1259"/>
      <c r="S37" s="1259"/>
      <c r="T37" s="1259"/>
    </row>
    <row r="38" spans="1:20" ht="15" customHeight="1">
      <c r="A38" s="1115" t="s">
        <v>1182</v>
      </c>
      <c r="B38" s="1069">
        <v>13.2</v>
      </c>
      <c r="C38" s="1069">
        <v>13.3</v>
      </c>
      <c r="D38" s="1069">
        <v>11.9</v>
      </c>
      <c r="E38" s="1069">
        <v>9.9</v>
      </c>
      <c r="F38" s="1069">
        <v>9</v>
      </c>
      <c r="G38" s="1069">
        <v>7.6</v>
      </c>
      <c r="H38" s="1069">
        <v>7</v>
      </c>
      <c r="I38" s="1069">
        <v>14</v>
      </c>
      <c r="J38" s="1070"/>
    </row>
    <row r="39" spans="1:20" ht="15" customHeight="1">
      <c r="A39" s="1115" t="s">
        <v>1183</v>
      </c>
      <c r="B39" s="1069">
        <v>10.9</v>
      </c>
      <c r="C39" s="1069">
        <v>10.6</v>
      </c>
      <c r="D39" s="1069">
        <v>9.9</v>
      </c>
      <c r="E39" s="1069">
        <v>8.4</v>
      </c>
      <c r="F39" s="1069">
        <v>6.3</v>
      </c>
      <c r="G39" s="1069">
        <v>7.8</v>
      </c>
      <c r="H39" s="1069">
        <v>5.7</v>
      </c>
      <c r="I39" s="1069">
        <v>16.100000000000001</v>
      </c>
      <c r="J39" s="1070"/>
    </row>
    <row r="40" spans="1:20" ht="15" customHeight="1">
      <c r="A40" s="1115" t="s">
        <v>1184</v>
      </c>
      <c r="B40" s="1069">
        <v>35.799999999999997</v>
      </c>
      <c r="C40" s="1069">
        <v>34.799999999999997</v>
      </c>
      <c r="D40" s="1069">
        <v>32.700000000000003</v>
      </c>
      <c r="E40" s="1069">
        <v>32.799999999999997</v>
      </c>
      <c r="F40" s="1069">
        <v>34.200000000000003</v>
      </c>
      <c r="G40" s="1069">
        <v>33.4</v>
      </c>
      <c r="H40" s="1069">
        <v>32.4</v>
      </c>
      <c r="I40" s="1069">
        <v>33.700000000000003</v>
      </c>
      <c r="J40" s="1070"/>
    </row>
    <row r="41" spans="1:20" ht="15" customHeight="1">
      <c r="A41" s="1115" t="s">
        <v>1185</v>
      </c>
      <c r="B41" s="1069">
        <v>30.9</v>
      </c>
      <c r="C41" s="1069">
        <v>30.7</v>
      </c>
      <c r="D41" s="1069">
        <v>29</v>
      </c>
      <c r="E41" s="1069">
        <v>29.5</v>
      </c>
      <c r="F41" s="1069">
        <v>31.1</v>
      </c>
      <c r="G41" s="1069">
        <v>31.7</v>
      </c>
      <c r="H41" s="1069">
        <v>30.2</v>
      </c>
      <c r="I41" s="1069">
        <v>31.2</v>
      </c>
      <c r="J41" s="1070"/>
    </row>
    <row r="42" spans="1:20" ht="15" customHeight="1">
      <c r="A42" s="1115" t="s">
        <v>1186</v>
      </c>
      <c r="B42" s="1069">
        <v>42.4</v>
      </c>
      <c r="C42" s="1069">
        <v>40.4</v>
      </c>
      <c r="D42" s="1069">
        <v>37.799999999999997</v>
      </c>
      <c r="E42" s="1069">
        <v>37.200000000000003</v>
      </c>
      <c r="F42" s="1069">
        <v>38.6</v>
      </c>
      <c r="G42" s="1069">
        <v>35.9</v>
      </c>
      <c r="H42" s="1069">
        <v>35.4</v>
      </c>
      <c r="I42" s="1069">
        <v>37.1</v>
      </c>
      <c r="J42" s="1072"/>
    </row>
    <row r="43" spans="1:20" ht="15" customHeight="1"/>
    <row r="44" spans="1:20" ht="15" customHeight="1">
      <c r="A44" s="1065" t="s">
        <v>2080</v>
      </c>
    </row>
    <row r="45" spans="1:20" ht="15" customHeight="1">
      <c r="A45" s="1056" t="s">
        <v>2081</v>
      </c>
      <c r="J45" s="1065"/>
    </row>
    <row r="46" spans="1:20" s="1065" customFormat="1" ht="15" customHeight="1">
      <c r="A46" s="1065" t="s">
        <v>272</v>
      </c>
      <c r="J46" s="1056"/>
    </row>
    <row r="47" spans="1:20" ht="15" customHeight="1">
      <c r="A47" s="1065" t="s">
        <v>273</v>
      </c>
      <c r="J47" s="1065"/>
    </row>
    <row r="48" spans="1:20" s="1065" customFormat="1" ht="15" customHeight="1">
      <c r="A48" s="1065" t="s">
        <v>274</v>
      </c>
      <c r="J48" s="1056"/>
    </row>
    <row r="49" spans="1:1">
      <c r="A49" s="1065" t="s">
        <v>2082</v>
      </c>
    </row>
    <row r="50" spans="1:1">
      <c r="A50" s="1056" t="s">
        <v>121</v>
      </c>
    </row>
    <row r="51" spans="1:1">
      <c r="A51" s="1056" t="s">
        <v>123</v>
      </c>
    </row>
  </sheetData>
  <mergeCells count="4">
    <mergeCell ref="I1:I2"/>
    <mergeCell ref="L1:T1"/>
    <mergeCell ref="B2:H2"/>
    <mergeCell ref="L37:T37"/>
  </mergeCells>
  <pageMargins left="0.7" right="0.7" top="0.75" bottom="0.75" header="0.3" footer="0.3"/>
  <pageSetup orientation="landscape" verticalDpi="0" r:id="rId1"/>
</worksheet>
</file>

<file path=xl/worksheets/sheet154.xml><?xml version="1.0" encoding="utf-8"?>
<worksheet xmlns="http://schemas.openxmlformats.org/spreadsheetml/2006/main" xmlns:r="http://schemas.openxmlformats.org/officeDocument/2006/relationships">
  <dimension ref="A1:S51"/>
  <sheetViews>
    <sheetView view="pageBreakPreview" zoomScaleNormal="100"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33.7109375" style="1056" customWidth="1"/>
    <col min="2" max="4" width="8.85546875" style="1056" customWidth="1"/>
    <col min="5" max="10" width="8.85546875" style="1056"/>
    <col min="11" max="11" width="24" style="1056" customWidth="1"/>
    <col min="12" max="16384" width="8.85546875" style="1056"/>
  </cols>
  <sheetData>
    <row r="1" spans="1:19" ht="15" customHeight="1">
      <c r="A1" s="1139" t="s">
        <v>2211</v>
      </c>
      <c r="K1" s="1260" t="s">
        <v>2051</v>
      </c>
      <c r="L1" s="1261"/>
      <c r="M1" s="1261"/>
      <c r="N1" s="1261"/>
      <c r="O1" s="1261"/>
      <c r="P1" s="1261"/>
      <c r="Q1" s="1261"/>
      <c r="R1" s="1261"/>
      <c r="S1" s="1261"/>
    </row>
    <row r="2" spans="1:19" ht="15" customHeight="1">
      <c r="B2" s="1258" t="s">
        <v>2052</v>
      </c>
      <c r="C2" s="1258"/>
      <c r="D2" s="1258"/>
      <c r="E2" s="1258"/>
      <c r="F2" s="1258"/>
      <c r="G2" s="1258"/>
      <c r="H2" s="1258"/>
      <c r="I2" s="1056" t="s">
        <v>2053</v>
      </c>
      <c r="K2" s="1260" t="s">
        <v>2054</v>
      </c>
      <c r="L2" s="1261"/>
      <c r="M2" s="1261"/>
      <c r="N2" s="1261"/>
      <c r="O2" s="1261"/>
      <c r="P2" s="1261"/>
      <c r="Q2" s="1261"/>
      <c r="R2" s="1261"/>
      <c r="S2" s="1261"/>
    </row>
    <row r="3" spans="1:19" s="1058" customFormat="1" ht="15" customHeight="1">
      <c r="A3" s="1110" t="s">
        <v>2055</v>
      </c>
      <c r="B3" s="1134">
        <v>2000</v>
      </c>
      <c r="C3" s="1134">
        <v>2001</v>
      </c>
      <c r="D3" s="1134">
        <v>2002</v>
      </c>
      <c r="E3" s="1134">
        <v>2003</v>
      </c>
      <c r="F3" s="1134">
        <v>2004</v>
      </c>
      <c r="G3" s="1134">
        <v>2005</v>
      </c>
      <c r="H3" s="1134">
        <v>2006</v>
      </c>
      <c r="I3" s="1135">
        <v>2006</v>
      </c>
      <c r="K3" s="1057"/>
      <c r="L3" s="1057" t="s">
        <v>2056</v>
      </c>
      <c r="M3" s="1057" t="s">
        <v>2057</v>
      </c>
      <c r="N3" s="1057" t="s">
        <v>2058</v>
      </c>
      <c r="O3" s="1057" t="s">
        <v>2059</v>
      </c>
      <c r="P3" s="1057" t="s">
        <v>2060</v>
      </c>
      <c r="Q3" s="1057" t="s">
        <v>2061</v>
      </c>
      <c r="R3" s="1057" t="s">
        <v>2062</v>
      </c>
      <c r="S3" s="1057" t="s">
        <v>2063</v>
      </c>
    </row>
    <row r="4" spans="1:19" ht="15" customHeight="1">
      <c r="A4" s="1059" t="s">
        <v>916</v>
      </c>
      <c r="B4" s="1060">
        <v>14.6</v>
      </c>
      <c r="C4" s="1060">
        <v>13.5</v>
      </c>
      <c r="D4" s="1060">
        <v>13.6</v>
      </c>
      <c r="E4" s="1060">
        <v>13.2</v>
      </c>
      <c r="F4" s="1060">
        <v>13.1</v>
      </c>
      <c r="G4" s="1060">
        <v>12.4</v>
      </c>
      <c r="H4" s="1060">
        <v>11.9</v>
      </c>
      <c r="I4" s="1060">
        <v>10.5</v>
      </c>
      <c r="K4" s="1061" t="s">
        <v>916</v>
      </c>
      <c r="L4" s="1060">
        <v>0.32200000000000001</v>
      </c>
      <c r="M4" s="1060">
        <v>0.32300000000000001</v>
      </c>
      <c r="N4" s="1060">
        <v>0.317</v>
      </c>
      <c r="O4" s="1060">
        <v>0.31900000000000001</v>
      </c>
      <c r="P4" s="1060">
        <v>0.32500000000000001</v>
      </c>
      <c r="Q4" s="1060">
        <v>0.33200000000000002</v>
      </c>
      <c r="R4" s="1060">
        <v>0.314</v>
      </c>
      <c r="S4" s="1060">
        <v>0.32300000000000001</v>
      </c>
    </row>
    <row r="5" spans="1:19" ht="15" customHeight="1">
      <c r="A5" s="1056" t="s">
        <v>1162</v>
      </c>
      <c r="B5" s="1060">
        <v>18.100000000000001</v>
      </c>
      <c r="C5" s="1060">
        <v>16.399999999999999</v>
      </c>
      <c r="D5" s="1060">
        <v>16.5</v>
      </c>
      <c r="E5" s="1060">
        <v>16.3</v>
      </c>
      <c r="F5" s="1060">
        <v>16.399999999999999</v>
      </c>
      <c r="G5" s="1060">
        <v>15.1</v>
      </c>
      <c r="H5" s="1060">
        <v>14.4</v>
      </c>
      <c r="I5" s="1060">
        <v>11.4</v>
      </c>
      <c r="K5" s="1062" t="s">
        <v>2064</v>
      </c>
      <c r="L5" s="1060">
        <v>0.26200000000000001</v>
      </c>
      <c r="M5" s="1060">
        <v>0.27400000000000002</v>
      </c>
      <c r="N5" s="1060">
        <v>0.26</v>
      </c>
      <c r="O5" s="1060">
        <v>0.27</v>
      </c>
      <c r="P5" s="1060">
        <v>0.27600000000000002</v>
      </c>
      <c r="Q5" s="1060">
        <v>0.28000000000000003</v>
      </c>
      <c r="R5" s="1060">
        <v>0.25</v>
      </c>
      <c r="S5" s="1060">
        <v>0.252</v>
      </c>
    </row>
    <row r="6" spans="1:19" ht="15" customHeight="1">
      <c r="A6" s="1056" t="s">
        <v>1163</v>
      </c>
      <c r="B6" s="1060">
        <v>15</v>
      </c>
      <c r="C6" s="1060">
        <v>13.9</v>
      </c>
      <c r="D6" s="1060">
        <v>14</v>
      </c>
      <c r="E6" s="1060">
        <v>13.7</v>
      </c>
      <c r="F6" s="1060">
        <v>13.8</v>
      </c>
      <c r="G6" s="1060">
        <v>13.2</v>
      </c>
      <c r="H6" s="1060">
        <v>12.8</v>
      </c>
      <c r="I6" s="1060">
        <v>11.2</v>
      </c>
      <c r="K6" s="1062" t="s">
        <v>2065</v>
      </c>
      <c r="L6" s="1060">
        <v>0.35699999999999998</v>
      </c>
      <c r="M6" s="1060">
        <v>0.35</v>
      </c>
      <c r="N6" s="1060">
        <v>0.34899999999999998</v>
      </c>
      <c r="O6" s="1060">
        <v>0.34399999999999997</v>
      </c>
      <c r="P6" s="1060">
        <v>0.35</v>
      </c>
      <c r="Q6" s="1060">
        <v>0.36099999999999999</v>
      </c>
      <c r="R6" s="1060">
        <v>0.34300000000000003</v>
      </c>
      <c r="S6" s="1060">
        <v>0.36099999999999999</v>
      </c>
    </row>
    <row r="7" spans="1:19" ht="15" customHeight="1">
      <c r="A7" s="1056" t="s">
        <v>1164</v>
      </c>
      <c r="B7" s="1060">
        <v>5.5</v>
      </c>
      <c r="C7" s="1060">
        <v>5.3</v>
      </c>
      <c r="D7" s="1060">
        <v>5.7</v>
      </c>
      <c r="E7" s="1060">
        <v>4.8</v>
      </c>
      <c r="F7" s="1060">
        <v>3.9</v>
      </c>
      <c r="G7" s="1060">
        <v>3.7</v>
      </c>
      <c r="H7" s="1060">
        <v>3.3</v>
      </c>
      <c r="I7" s="1060">
        <v>5.4</v>
      </c>
      <c r="K7" s="1062" t="s">
        <v>2066</v>
      </c>
      <c r="L7" s="1060">
        <v>0.193</v>
      </c>
      <c r="M7" s="1060">
        <v>0.22500000000000001</v>
      </c>
      <c r="N7" s="1060">
        <v>0.2</v>
      </c>
      <c r="O7" s="1060">
        <v>0.23799999999999999</v>
      </c>
      <c r="P7" s="1060">
        <v>0.214</v>
      </c>
      <c r="Q7" s="1060">
        <v>0.17199999999999999</v>
      </c>
      <c r="R7" s="1060">
        <v>0.19800000000000001</v>
      </c>
      <c r="S7" s="1060">
        <v>0.16300000000000001</v>
      </c>
    </row>
    <row r="8" spans="1:19" ht="15" customHeight="1">
      <c r="B8" s="1063"/>
      <c r="C8" s="1063"/>
      <c r="D8" s="1063"/>
      <c r="K8" s="1062" t="s">
        <v>1200</v>
      </c>
      <c r="L8" s="1060">
        <v>0.32700000000000001</v>
      </c>
      <c r="M8" s="1060">
        <v>0.32900000000000001</v>
      </c>
      <c r="N8" s="1060">
        <v>0.32</v>
      </c>
      <c r="O8" s="1060">
        <v>0.32700000000000001</v>
      </c>
      <c r="P8" s="1060">
        <v>0.33300000000000002</v>
      </c>
      <c r="Q8" s="1060">
        <v>0.34899999999999998</v>
      </c>
      <c r="R8" s="1060">
        <v>0.33500000000000002</v>
      </c>
      <c r="S8" s="1060">
        <v>0.34699999999999998</v>
      </c>
    </row>
    <row r="9" spans="1:19" ht="15" customHeight="1">
      <c r="A9" s="1059" t="s">
        <v>917</v>
      </c>
      <c r="B9" s="1060">
        <v>13.7</v>
      </c>
      <c r="C9" s="1060">
        <v>12.8</v>
      </c>
      <c r="D9" s="1060">
        <v>13.1</v>
      </c>
      <c r="E9" s="1060">
        <v>12.9</v>
      </c>
      <c r="F9" s="1060">
        <v>12.8</v>
      </c>
      <c r="G9" s="1060">
        <v>12.2</v>
      </c>
      <c r="H9" s="1060">
        <v>11.6</v>
      </c>
      <c r="I9" s="1060">
        <v>10.1</v>
      </c>
      <c r="K9" s="1062" t="s">
        <v>2064</v>
      </c>
      <c r="L9" s="1060">
        <v>0.26100000000000001</v>
      </c>
      <c r="M9" s="1060">
        <v>0.27100000000000002</v>
      </c>
      <c r="N9" s="1060">
        <v>0.26300000000000001</v>
      </c>
      <c r="O9" s="1060">
        <v>0.27600000000000002</v>
      </c>
      <c r="P9" s="1060">
        <v>0.27600000000000002</v>
      </c>
      <c r="Q9" s="1060">
        <v>0.29499999999999998</v>
      </c>
      <c r="R9" s="1060">
        <v>0.26300000000000001</v>
      </c>
      <c r="S9" s="1060">
        <v>0.26500000000000001</v>
      </c>
    </row>
    <row r="10" spans="1:19" ht="15" customHeight="1">
      <c r="A10" s="1056" t="s">
        <v>1165</v>
      </c>
      <c r="B10" s="1060">
        <v>17.8</v>
      </c>
      <c r="C10" s="1060">
        <v>16.399999999999999</v>
      </c>
      <c r="D10" s="1060">
        <v>17.3</v>
      </c>
      <c r="E10" s="1060">
        <v>17.100000000000001</v>
      </c>
      <c r="F10" s="1060">
        <v>16.7</v>
      </c>
      <c r="G10" s="1060">
        <v>15.6</v>
      </c>
      <c r="H10" s="1060">
        <v>14.2</v>
      </c>
      <c r="I10" s="1060">
        <v>11.4</v>
      </c>
      <c r="K10" s="1062" t="s">
        <v>2067</v>
      </c>
      <c r="L10" s="1060">
        <v>0.36399999999999999</v>
      </c>
      <c r="M10" s="1060">
        <v>0.35899999999999999</v>
      </c>
      <c r="N10" s="1060">
        <v>0.35399999999999998</v>
      </c>
      <c r="O10" s="1060">
        <v>0.35399999999999998</v>
      </c>
      <c r="P10" s="1060">
        <v>0.35899999999999999</v>
      </c>
      <c r="Q10" s="1060">
        <v>0.377</v>
      </c>
      <c r="R10" s="1060">
        <v>0.36799999999999999</v>
      </c>
      <c r="S10" s="1060">
        <v>0.38300000000000001</v>
      </c>
    </row>
    <row r="11" spans="1:19" ht="15" customHeight="1">
      <c r="A11" s="1056" t="s">
        <v>1166</v>
      </c>
      <c r="B11" s="1060">
        <v>13.7</v>
      </c>
      <c r="C11" s="1060">
        <v>12.8</v>
      </c>
      <c r="D11" s="1060">
        <v>12.9</v>
      </c>
      <c r="E11" s="1060">
        <v>12.8</v>
      </c>
      <c r="F11" s="1060">
        <v>12.9</v>
      </c>
      <c r="G11" s="1060">
        <v>12.7</v>
      </c>
      <c r="H11" s="1060">
        <v>12.2</v>
      </c>
      <c r="I11" s="1060">
        <v>10.9</v>
      </c>
      <c r="K11" s="1062" t="s">
        <v>2066</v>
      </c>
      <c r="L11" s="1060">
        <v>0.215</v>
      </c>
      <c r="M11" s="1060">
        <v>0.27100000000000002</v>
      </c>
      <c r="N11" s="1060">
        <v>0.219</v>
      </c>
      <c r="O11" s="1060">
        <v>0.26500000000000001</v>
      </c>
      <c r="P11" s="1060">
        <v>0.26200000000000001</v>
      </c>
      <c r="Q11" s="1060">
        <v>0.2</v>
      </c>
      <c r="R11" s="1060">
        <v>0.19900000000000001</v>
      </c>
      <c r="S11" s="1060">
        <v>0.19600000000000001</v>
      </c>
    </row>
    <row r="12" spans="1:19" ht="15" customHeight="1">
      <c r="A12" s="1056" t="s">
        <v>1167</v>
      </c>
      <c r="B12" s="1060">
        <v>4.5999999999999996</v>
      </c>
      <c r="C12" s="1060">
        <v>4.9000000000000004</v>
      </c>
      <c r="D12" s="1060">
        <v>5.0999999999999996</v>
      </c>
      <c r="E12" s="1060">
        <v>4.3</v>
      </c>
      <c r="F12" s="1060">
        <v>3.8</v>
      </c>
      <c r="G12" s="1060">
        <v>3.1</v>
      </c>
      <c r="H12" s="1060">
        <v>2.7</v>
      </c>
      <c r="I12" s="1060">
        <v>3.4</v>
      </c>
      <c r="K12" s="1062" t="s">
        <v>1201</v>
      </c>
      <c r="L12" s="1060">
        <v>0.318</v>
      </c>
      <c r="M12" s="1060">
        <v>0.317</v>
      </c>
      <c r="N12" s="1060">
        <v>0.313</v>
      </c>
      <c r="O12" s="1060">
        <v>0.312</v>
      </c>
      <c r="P12" s="1060">
        <v>0.317</v>
      </c>
      <c r="Q12" s="1060">
        <v>0.317</v>
      </c>
      <c r="R12" s="1060">
        <v>0.29499999999999998</v>
      </c>
      <c r="S12" s="1060">
        <v>0.30099999999999999</v>
      </c>
    </row>
    <row r="13" spans="1:19" ht="15" customHeight="1">
      <c r="B13" s="1063"/>
      <c r="C13" s="1063"/>
      <c r="D13" s="1063"/>
      <c r="K13" s="1062" t="s">
        <v>2064</v>
      </c>
      <c r="L13" s="1060">
        <v>0.26200000000000001</v>
      </c>
      <c r="M13" s="1060">
        <v>0.27800000000000002</v>
      </c>
      <c r="N13" s="1060">
        <v>0.25600000000000001</v>
      </c>
      <c r="O13" s="1060">
        <v>0.26400000000000001</v>
      </c>
      <c r="P13" s="1060">
        <v>0.26800000000000002</v>
      </c>
      <c r="Q13" s="1060">
        <v>0.26100000000000001</v>
      </c>
      <c r="R13" s="1060">
        <v>0.23699999999999999</v>
      </c>
      <c r="S13" s="1060">
        <v>0.23899999999999999</v>
      </c>
    </row>
    <row r="14" spans="1:19" ht="15" customHeight="1">
      <c r="A14" s="1059" t="s">
        <v>918</v>
      </c>
      <c r="B14" s="1060">
        <v>15.4</v>
      </c>
      <c r="C14" s="1060">
        <v>14.1</v>
      </c>
      <c r="D14" s="1060">
        <v>14</v>
      </c>
      <c r="E14" s="1060">
        <v>13.5</v>
      </c>
      <c r="F14" s="1060">
        <v>13.5</v>
      </c>
      <c r="G14" s="1060">
        <v>12.6</v>
      </c>
      <c r="H14" s="1060">
        <v>12.2</v>
      </c>
      <c r="I14" s="1060">
        <v>10.9</v>
      </c>
      <c r="K14" s="1062" t="s">
        <v>2067</v>
      </c>
      <c r="L14" s="1060">
        <v>0.35099999999999998</v>
      </c>
      <c r="M14" s="1060">
        <v>0.34200000000000003</v>
      </c>
      <c r="N14" s="1060">
        <v>0.34399999999999997</v>
      </c>
      <c r="O14" s="1060">
        <v>0.33500000000000002</v>
      </c>
      <c r="P14" s="1060">
        <v>0.34300000000000003</v>
      </c>
      <c r="Q14" s="1060">
        <v>0.34599999999999997</v>
      </c>
      <c r="R14" s="1060">
        <v>0.32100000000000001</v>
      </c>
      <c r="S14" s="1060">
        <v>0.34</v>
      </c>
    </row>
    <row r="15" spans="1:19" ht="15" customHeight="1">
      <c r="A15" s="1056" t="s">
        <v>1168</v>
      </c>
      <c r="B15" s="1060">
        <v>18.3</v>
      </c>
      <c r="C15" s="1060">
        <v>16.399999999999999</v>
      </c>
      <c r="D15" s="1060">
        <v>15.6</v>
      </c>
      <c r="E15" s="1060">
        <v>15.4</v>
      </c>
      <c r="F15" s="1060">
        <v>16.100000000000001</v>
      </c>
      <c r="G15" s="1060">
        <v>14.7</v>
      </c>
      <c r="H15" s="1060">
        <v>14.6</v>
      </c>
      <c r="I15" s="1060">
        <v>11.4</v>
      </c>
      <c r="K15" s="1062" t="s">
        <v>2066</v>
      </c>
      <c r="L15" s="1060">
        <v>0.18099999999999999</v>
      </c>
      <c r="M15" s="1060">
        <v>0.19400000000000001</v>
      </c>
      <c r="N15" s="1060">
        <v>0.187</v>
      </c>
      <c r="O15" s="1060">
        <v>0.219</v>
      </c>
      <c r="P15" s="1060">
        <v>0.17799999999999999</v>
      </c>
      <c r="Q15" s="1060">
        <v>0.155</v>
      </c>
      <c r="R15" s="1060">
        <v>0.19800000000000001</v>
      </c>
      <c r="S15" s="1060">
        <v>0.15</v>
      </c>
    </row>
    <row r="16" spans="1:19" ht="15" customHeight="1">
      <c r="A16" s="1056" t="s">
        <v>1169</v>
      </c>
      <c r="B16" s="1060">
        <v>16.3</v>
      </c>
      <c r="C16" s="1060">
        <v>15.1</v>
      </c>
      <c r="D16" s="1060">
        <v>15.1</v>
      </c>
      <c r="E16" s="1060">
        <v>14.7</v>
      </c>
      <c r="F16" s="1060">
        <v>14.7</v>
      </c>
      <c r="G16" s="1060">
        <v>13.7</v>
      </c>
      <c r="H16" s="1060">
        <v>13.3</v>
      </c>
      <c r="I16" s="1060">
        <v>11.6</v>
      </c>
      <c r="K16" s="1061" t="s">
        <v>919</v>
      </c>
      <c r="L16" s="1060">
        <v>0.372</v>
      </c>
      <c r="M16" s="1060">
        <v>0.35799999999999998</v>
      </c>
      <c r="N16" s="1060">
        <v>0.35199999999999998</v>
      </c>
      <c r="O16" s="1060">
        <v>0.35899999999999999</v>
      </c>
      <c r="P16" s="1060">
        <v>0.36199999999999999</v>
      </c>
      <c r="Q16" s="1060">
        <v>0.36499999999999999</v>
      </c>
      <c r="R16" s="1060">
        <v>0.36199999999999999</v>
      </c>
      <c r="S16" s="1060">
        <v>0.36499999999999999</v>
      </c>
    </row>
    <row r="17" spans="1:19" ht="15" customHeight="1">
      <c r="A17" s="1056" t="s">
        <v>694</v>
      </c>
      <c r="B17" s="1060">
        <v>6.3</v>
      </c>
      <c r="C17" s="1060">
        <v>5.7</v>
      </c>
      <c r="D17" s="1060">
        <v>6.1</v>
      </c>
      <c r="E17" s="1060">
        <v>5.0999999999999996</v>
      </c>
      <c r="F17" s="1060">
        <v>4.0999999999999996</v>
      </c>
      <c r="G17" s="1060">
        <v>4.2</v>
      </c>
      <c r="H17" s="1060">
        <v>3.8</v>
      </c>
      <c r="I17" s="1060">
        <v>7</v>
      </c>
      <c r="K17" s="1061" t="s">
        <v>2068</v>
      </c>
      <c r="L17" s="1060">
        <v>0.30099999999999999</v>
      </c>
      <c r="M17" s="1060">
        <v>0.29799999999999999</v>
      </c>
      <c r="N17" s="1060">
        <v>0.29899999999999999</v>
      </c>
      <c r="O17" s="1060">
        <v>0.30099999999999999</v>
      </c>
      <c r="P17" s="1060">
        <v>0.29599999999999999</v>
      </c>
      <c r="Q17" s="1060">
        <v>0.311</v>
      </c>
      <c r="R17" s="1060">
        <v>0.27600000000000002</v>
      </c>
      <c r="S17" s="1060">
        <v>0.28199999999999997</v>
      </c>
    </row>
    <row r="18" spans="1:19" ht="15" customHeight="1">
      <c r="B18" s="1063"/>
      <c r="C18" s="1063"/>
      <c r="D18" s="1063"/>
      <c r="K18" s="1062" t="s">
        <v>921</v>
      </c>
      <c r="L18" s="1060">
        <v>0.24</v>
      </c>
      <c r="M18" s="1060">
        <v>0.245</v>
      </c>
      <c r="N18" s="1060">
        <v>0.20699999999999999</v>
      </c>
      <c r="O18" s="1060">
        <v>0.26600000000000001</v>
      </c>
      <c r="P18" s="1060">
        <v>0.19</v>
      </c>
      <c r="Q18" s="1060">
        <v>0.20200000000000001</v>
      </c>
      <c r="R18" s="1060">
        <v>0.23499999999999999</v>
      </c>
      <c r="S18" s="1060">
        <v>0.27500000000000002</v>
      </c>
    </row>
    <row r="19" spans="1:19" ht="15" customHeight="1">
      <c r="A19" s="1059" t="s">
        <v>919</v>
      </c>
      <c r="B19" s="1060">
        <v>17.600000000000001</v>
      </c>
      <c r="C19" s="1060">
        <v>16.7</v>
      </c>
      <c r="D19" s="1060">
        <v>16.3</v>
      </c>
      <c r="E19" s="1060">
        <v>15.9</v>
      </c>
      <c r="F19" s="1060">
        <v>16</v>
      </c>
      <c r="G19" s="1060">
        <v>15.6</v>
      </c>
      <c r="H19" s="1060">
        <v>14.9</v>
      </c>
      <c r="I19" s="1060">
        <v>14.6</v>
      </c>
      <c r="K19" s="1062" t="s">
        <v>2069</v>
      </c>
      <c r="L19" s="1060">
        <v>0.247</v>
      </c>
      <c r="M19" s="1060">
        <v>0.26800000000000002</v>
      </c>
      <c r="N19" s="1060">
        <v>0.248</v>
      </c>
      <c r="O19" s="1060">
        <v>0.311</v>
      </c>
      <c r="P19" s="1060">
        <v>0.22800000000000001</v>
      </c>
      <c r="Q19" s="1060">
        <v>0.19800000000000001</v>
      </c>
      <c r="R19" s="1060">
        <v>0.17699999999999999</v>
      </c>
      <c r="S19" s="1060" t="s">
        <v>593</v>
      </c>
    </row>
    <row r="20" spans="1:19" ht="15" customHeight="1">
      <c r="K20" s="1062" t="s">
        <v>2070</v>
      </c>
      <c r="L20" s="1060">
        <v>0.23499999999999999</v>
      </c>
      <c r="M20" s="1060">
        <v>0.216</v>
      </c>
      <c r="N20" s="1060">
        <v>0.16500000000000001</v>
      </c>
      <c r="O20" s="1060">
        <v>0.20899999999999999</v>
      </c>
      <c r="P20" s="1060">
        <v>0.15</v>
      </c>
      <c r="Q20" s="1060">
        <v>0.20699999999999999</v>
      </c>
      <c r="R20" s="1060">
        <v>0.29099999999999998</v>
      </c>
      <c r="S20" s="1060">
        <v>0.311</v>
      </c>
    </row>
    <row r="21" spans="1:19" ht="15" customHeight="1">
      <c r="A21" s="1059" t="s">
        <v>920</v>
      </c>
      <c r="B21" s="1060">
        <v>11.8</v>
      </c>
      <c r="C21" s="1060">
        <v>10.7</v>
      </c>
      <c r="D21" s="1060">
        <v>11.1</v>
      </c>
      <c r="E21" s="1060">
        <v>10.6</v>
      </c>
      <c r="F21" s="1060">
        <v>10.3</v>
      </c>
      <c r="G21" s="1060">
        <v>9.6999999999999993</v>
      </c>
      <c r="H21" s="1060">
        <v>9.1999999999999993</v>
      </c>
      <c r="I21" s="1060">
        <v>7</v>
      </c>
      <c r="K21" s="1062" t="s">
        <v>922</v>
      </c>
      <c r="L21" s="1060">
        <v>0.30399999999999999</v>
      </c>
      <c r="M21" s="1060">
        <v>0.30099999999999999</v>
      </c>
      <c r="N21" s="1060">
        <v>0.30399999999999999</v>
      </c>
      <c r="O21" s="1060">
        <v>0.30299999999999999</v>
      </c>
      <c r="P21" s="1060">
        <v>0.30199999999999999</v>
      </c>
      <c r="Q21" s="1060">
        <v>0.316</v>
      </c>
      <c r="R21" s="1060">
        <v>0.27900000000000003</v>
      </c>
      <c r="S21" s="1060">
        <v>0.28299999999999997</v>
      </c>
    </row>
    <row r="22" spans="1:19" ht="15" customHeight="1">
      <c r="A22" s="1056" t="s">
        <v>974</v>
      </c>
      <c r="B22" s="1060">
        <v>4.4000000000000004</v>
      </c>
      <c r="C22" s="1060">
        <v>3.8</v>
      </c>
      <c r="D22" s="1060">
        <v>4.5</v>
      </c>
      <c r="E22" s="1060">
        <v>4</v>
      </c>
      <c r="F22" s="1060">
        <v>3.2</v>
      </c>
      <c r="G22" s="1060">
        <v>3</v>
      </c>
      <c r="H22" s="1060">
        <v>3.4</v>
      </c>
      <c r="I22" s="1060">
        <v>2.2999999999999998</v>
      </c>
      <c r="K22" s="1062" t="s">
        <v>923</v>
      </c>
      <c r="L22" s="1060">
        <v>0.373</v>
      </c>
      <c r="M22" s="1060">
        <v>0.33600000000000002</v>
      </c>
      <c r="N22" s="1060">
        <v>0.371</v>
      </c>
      <c r="O22" s="1060">
        <v>0.38</v>
      </c>
      <c r="P22" s="1060">
        <v>0.34899999999999998</v>
      </c>
      <c r="Q22" s="1060">
        <v>0.372</v>
      </c>
      <c r="R22" s="1060">
        <v>0.33200000000000002</v>
      </c>
      <c r="S22" s="1060">
        <v>0.317</v>
      </c>
    </row>
    <row r="23" spans="1:19" ht="15" customHeight="1">
      <c r="A23" s="1056" t="s">
        <v>1170</v>
      </c>
      <c r="B23" s="1060">
        <v>2.2999999999999998</v>
      </c>
      <c r="C23" s="1060">
        <v>2.7</v>
      </c>
      <c r="D23" s="1060">
        <v>2.9</v>
      </c>
      <c r="E23" s="1060">
        <v>2.8</v>
      </c>
      <c r="F23" s="1060">
        <v>2.1</v>
      </c>
      <c r="G23" s="1060">
        <v>2.2000000000000002</v>
      </c>
      <c r="H23" s="1060">
        <v>2.1</v>
      </c>
      <c r="I23" s="1060"/>
      <c r="K23" s="1062" t="s">
        <v>244</v>
      </c>
      <c r="L23" s="1060">
        <v>0.26800000000000002</v>
      </c>
      <c r="M23" s="1060">
        <v>0.27400000000000002</v>
      </c>
      <c r="N23" s="1060">
        <v>0.25800000000000001</v>
      </c>
      <c r="O23" s="1060">
        <v>0.253</v>
      </c>
      <c r="P23" s="1060">
        <v>0.26600000000000001</v>
      </c>
      <c r="Q23" s="1060">
        <v>0.28499999999999998</v>
      </c>
      <c r="R23" s="1060">
        <v>0.222</v>
      </c>
      <c r="S23" s="1060">
        <v>0.23400000000000001</v>
      </c>
    </row>
    <row r="24" spans="1:19" ht="15" customHeight="1">
      <c r="A24" s="1056" t="s">
        <v>1171</v>
      </c>
      <c r="B24" s="1060">
        <v>12</v>
      </c>
      <c r="C24" s="1060">
        <v>8.4</v>
      </c>
      <c r="D24" s="1060">
        <v>10.5</v>
      </c>
      <c r="E24" s="1060">
        <v>8.3000000000000007</v>
      </c>
      <c r="F24" s="1060">
        <v>7.7</v>
      </c>
      <c r="G24" s="1060">
        <v>6</v>
      </c>
      <c r="H24" s="1060">
        <v>8</v>
      </c>
      <c r="I24" s="1060">
        <v>6.1</v>
      </c>
      <c r="K24" s="1062" t="s">
        <v>245</v>
      </c>
      <c r="L24" s="1060">
        <v>0.34599999999999997</v>
      </c>
      <c r="M24" s="1060">
        <v>0.36699999999999999</v>
      </c>
      <c r="N24" s="1060">
        <v>0.34499999999999997</v>
      </c>
      <c r="O24" s="1060">
        <v>0.312</v>
      </c>
      <c r="P24" s="1060">
        <v>0.36699999999999999</v>
      </c>
      <c r="Q24" s="1060">
        <v>0.30599999999999999</v>
      </c>
      <c r="R24" s="1060">
        <v>0.38300000000000001</v>
      </c>
      <c r="S24" s="1060">
        <v>0.435</v>
      </c>
    </row>
    <row r="25" spans="1:19" ht="15" customHeight="1">
      <c r="A25" s="1056" t="s">
        <v>975</v>
      </c>
      <c r="B25" s="1060">
        <v>13</v>
      </c>
      <c r="C25" s="1060">
        <v>11.8</v>
      </c>
      <c r="D25" s="1060">
        <v>12.2</v>
      </c>
      <c r="E25" s="1060">
        <v>11.7</v>
      </c>
      <c r="F25" s="1060">
        <v>11.5</v>
      </c>
      <c r="G25" s="1060">
        <v>10.8</v>
      </c>
      <c r="H25" s="1060">
        <v>10.199999999999999</v>
      </c>
      <c r="I25" s="1060">
        <v>7.9</v>
      </c>
      <c r="K25" s="1062" t="s">
        <v>246</v>
      </c>
      <c r="L25" s="1060">
        <v>0.27400000000000002</v>
      </c>
      <c r="M25" s="1060">
        <v>0.27900000000000003</v>
      </c>
      <c r="N25" s="1060">
        <v>0.27600000000000002</v>
      </c>
      <c r="O25" s="1060">
        <v>0.29499999999999998</v>
      </c>
      <c r="P25" s="1060">
        <v>0.27900000000000003</v>
      </c>
      <c r="Q25" s="1060">
        <v>0.28499999999999998</v>
      </c>
      <c r="R25" s="1060">
        <v>0.26800000000000002</v>
      </c>
      <c r="S25" s="1060">
        <v>0.26700000000000002</v>
      </c>
    </row>
    <row r="26" spans="1:19" ht="15" customHeight="1">
      <c r="A26" s="1056" t="s">
        <v>1172</v>
      </c>
      <c r="B26" s="1060">
        <v>9.6</v>
      </c>
      <c r="C26" s="1060">
        <v>8.8000000000000007</v>
      </c>
      <c r="D26" s="1060">
        <v>9</v>
      </c>
      <c r="E26" s="1060">
        <v>8.3000000000000007</v>
      </c>
      <c r="F26" s="1060">
        <v>8.3000000000000007</v>
      </c>
      <c r="G26" s="1060">
        <v>8.5</v>
      </c>
      <c r="H26" s="1060">
        <v>7.4</v>
      </c>
      <c r="I26" s="1060">
        <v>5.7</v>
      </c>
      <c r="K26" s="1062" t="s">
        <v>2071</v>
      </c>
      <c r="L26" s="1060">
        <v>0.27</v>
      </c>
      <c r="M26" s="1060">
        <v>0.34200000000000003</v>
      </c>
      <c r="N26" s="1060">
        <v>0.29899999999999999</v>
      </c>
      <c r="O26" s="1060">
        <v>0.34599999999999997</v>
      </c>
      <c r="P26" s="1060">
        <v>0.33100000000000002</v>
      </c>
      <c r="Q26" s="1060">
        <v>0.34699999999999998</v>
      </c>
      <c r="R26" s="1060">
        <v>0.30599999999999999</v>
      </c>
      <c r="S26" s="1060" t="s">
        <v>593</v>
      </c>
    </row>
    <row r="27" spans="1:19" ht="15" customHeight="1">
      <c r="A27" s="1056" t="s">
        <v>1173</v>
      </c>
      <c r="B27" s="1060">
        <v>11.5</v>
      </c>
      <c r="C27" s="1060">
        <v>10.199999999999999</v>
      </c>
      <c r="D27" s="1060">
        <v>9.4</v>
      </c>
      <c r="E27" s="1060">
        <v>9.3000000000000007</v>
      </c>
      <c r="F27" s="1060">
        <v>9.5</v>
      </c>
      <c r="G27" s="1060">
        <v>9</v>
      </c>
      <c r="H27" s="1060">
        <v>9.1</v>
      </c>
      <c r="I27" s="1060">
        <v>6.6</v>
      </c>
      <c r="K27" s="1062" t="s">
        <v>2072</v>
      </c>
      <c r="L27" s="1060">
        <v>0.27500000000000002</v>
      </c>
      <c r="M27" s="1060">
        <v>0.27300000000000002</v>
      </c>
      <c r="N27" s="1060">
        <v>0.27300000000000002</v>
      </c>
      <c r="O27" s="1060">
        <v>0.28999999999999998</v>
      </c>
      <c r="P27" s="1060">
        <v>0.27300000000000002</v>
      </c>
      <c r="Q27" s="1060">
        <v>0.27800000000000002</v>
      </c>
      <c r="R27" s="1060">
        <v>0.26500000000000001</v>
      </c>
      <c r="S27" s="1060">
        <v>0.26500000000000001</v>
      </c>
    </row>
    <row r="28" spans="1:19" ht="15" customHeight="1">
      <c r="A28" s="1056" t="s">
        <v>1174</v>
      </c>
      <c r="B28" s="1060">
        <v>5.7</v>
      </c>
      <c r="C28" s="1060">
        <v>6.5</v>
      </c>
      <c r="D28" s="1060">
        <v>7.1</v>
      </c>
      <c r="E28" s="1060">
        <v>6.1</v>
      </c>
      <c r="F28" s="1060">
        <v>5.0999999999999996</v>
      </c>
      <c r="G28" s="1060">
        <v>4.3</v>
      </c>
      <c r="H28" s="1060">
        <v>3.4</v>
      </c>
      <c r="I28" s="1060">
        <v>2.4</v>
      </c>
      <c r="K28" s="1062" t="s">
        <v>247</v>
      </c>
      <c r="L28" s="1060">
        <v>0.374</v>
      </c>
      <c r="M28" s="1060">
        <v>0.35699999999999998</v>
      </c>
      <c r="N28" s="1060">
        <v>0.372</v>
      </c>
      <c r="O28" s="1060">
        <v>0.32700000000000001</v>
      </c>
      <c r="P28" s="1060">
        <v>0.34599999999999997</v>
      </c>
      <c r="Q28" s="1060">
        <v>0.372</v>
      </c>
      <c r="R28" s="1060">
        <v>0.33200000000000002</v>
      </c>
      <c r="S28" s="1060">
        <v>0.33300000000000002</v>
      </c>
    </row>
    <row r="29" spans="1:19" ht="15" customHeight="1">
      <c r="A29" s="1056" t="s">
        <v>1175</v>
      </c>
      <c r="B29" s="1060">
        <v>38.700000000000003</v>
      </c>
      <c r="C29" s="1060">
        <v>37.4</v>
      </c>
      <c r="D29" s="1060">
        <v>41</v>
      </c>
      <c r="E29" s="1060">
        <v>38.9</v>
      </c>
      <c r="F29" s="1060">
        <v>38.6</v>
      </c>
      <c r="G29" s="1060">
        <v>32.200000000000003</v>
      </c>
      <c r="H29" s="1060">
        <v>30.7</v>
      </c>
      <c r="I29" s="1060">
        <v>24.3</v>
      </c>
      <c r="K29" s="1061" t="s">
        <v>817</v>
      </c>
      <c r="L29" s="1060">
        <v>0.41499999999999998</v>
      </c>
      <c r="M29" s="1060">
        <v>0.40300000000000002</v>
      </c>
      <c r="N29" s="1060">
        <v>0.39600000000000002</v>
      </c>
      <c r="O29" s="1060">
        <v>0.40400000000000003</v>
      </c>
      <c r="P29" s="1060">
        <v>0.41</v>
      </c>
      <c r="Q29" s="1060">
        <v>0.40300000000000002</v>
      </c>
      <c r="R29" s="1060">
        <v>0.42099999999999999</v>
      </c>
      <c r="S29" s="1060">
        <v>0.40300000000000002</v>
      </c>
    </row>
    <row r="30" spans="1:19" ht="15" customHeight="1">
      <c r="A30" s="1056" t="s">
        <v>1176</v>
      </c>
      <c r="B30" s="1060">
        <v>19.899999999999999</v>
      </c>
      <c r="C30" s="1060">
        <v>18.5</v>
      </c>
      <c r="D30" s="1060">
        <v>22.5</v>
      </c>
      <c r="E30" s="1060">
        <v>20.399999999999999</v>
      </c>
      <c r="F30" s="1060">
        <v>21</v>
      </c>
      <c r="G30" s="1060">
        <v>17.600000000000001</v>
      </c>
      <c r="H30" s="1060">
        <v>12.2</v>
      </c>
      <c r="I30" s="1060"/>
      <c r="K30" s="1062" t="s">
        <v>237</v>
      </c>
      <c r="L30" s="1060">
        <v>0.42399999999999999</v>
      </c>
      <c r="M30" s="1060">
        <v>0.41599999999999998</v>
      </c>
      <c r="N30" s="1060">
        <v>0.40200000000000002</v>
      </c>
      <c r="O30" s="1060">
        <v>0.41799999999999998</v>
      </c>
      <c r="P30" s="1060">
        <v>0.41499999999999998</v>
      </c>
      <c r="Q30" s="1060">
        <v>0.42799999999999999</v>
      </c>
      <c r="R30" s="1060">
        <v>0.45200000000000001</v>
      </c>
      <c r="S30" s="1060">
        <v>0.44400000000000001</v>
      </c>
    </row>
    <row r="31" spans="1:19" ht="15" customHeight="1">
      <c r="A31" s="1056" t="s">
        <v>1177</v>
      </c>
      <c r="B31" s="1060">
        <v>42.5</v>
      </c>
      <c r="C31" s="1060">
        <v>41.4</v>
      </c>
      <c r="D31" s="1060">
        <v>45.3</v>
      </c>
      <c r="E31" s="1060">
        <v>43.1</v>
      </c>
      <c r="F31" s="1060">
        <v>42.6</v>
      </c>
      <c r="G31" s="1060">
        <v>35.4</v>
      </c>
      <c r="H31" s="1060">
        <v>34.9</v>
      </c>
      <c r="I31" s="1060">
        <v>28.2</v>
      </c>
      <c r="K31" s="1062" t="s">
        <v>238</v>
      </c>
      <c r="L31" s="1060">
        <v>0.40799999999999997</v>
      </c>
      <c r="M31" s="1060">
        <v>0.39</v>
      </c>
      <c r="N31" s="1060">
        <v>0.39</v>
      </c>
      <c r="O31" s="1060">
        <v>0.39</v>
      </c>
      <c r="P31" s="1060">
        <v>0.40400000000000003</v>
      </c>
      <c r="Q31" s="1060">
        <v>0.375</v>
      </c>
      <c r="R31" s="1060">
        <v>0.38800000000000001</v>
      </c>
      <c r="S31" s="1060">
        <v>0.36399999999999999</v>
      </c>
    </row>
    <row r="32" spans="1:19" ht="15" customHeight="1">
      <c r="A32" s="1056" t="s">
        <v>1178</v>
      </c>
      <c r="B32" s="1060">
        <v>13</v>
      </c>
      <c r="C32" s="1060">
        <v>9.8000000000000007</v>
      </c>
      <c r="D32" s="1060">
        <v>12.1</v>
      </c>
      <c r="E32" s="1060">
        <v>13.3</v>
      </c>
      <c r="F32" s="1060">
        <v>12.3</v>
      </c>
      <c r="G32" s="1060">
        <v>12.5</v>
      </c>
      <c r="H32" s="1060">
        <v>12.1</v>
      </c>
      <c r="I32" s="1060">
        <v>10.6</v>
      </c>
      <c r="K32" s="1062" t="s">
        <v>2073</v>
      </c>
      <c r="L32" s="1060">
        <v>0.16300000000000001</v>
      </c>
      <c r="M32" s="1060">
        <v>0.20300000000000001</v>
      </c>
      <c r="N32" s="1060">
        <v>0.16</v>
      </c>
      <c r="O32" s="1060">
        <v>0.185</v>
      </c>
      <c r="P32" s="1060">
        <v>0.20599999999999999</v>
      </c>
      <c r="Q32" s="1060">
        <v>0.14399999999999999</v>
      </c>
      <c r="R32" s="1060">
        <v>0.159</v>
      </c>
      <c r="S32" s="1060">
        <v>0.129</v>
      </c>
    </row>
    <row r="33" spans="1:19" ht="15" customHeight="1">
      <c r="B33" s="1063"/>
      <c r="C33" s="1063"/>
      <c r="D33" s="1063"/>
      <c r="K33" s="1062" t="s">
        <v>2074</v>
      </c>
      <c r="L33" s="1060">
        <v>0.186</v>
      </c>
      <c r="M33" s="1060">
        <v>0.26700000000000002</v>
      </c>
      <c r="N33" s="1060">
        <v>0.184</v>
      </c>
      <c r="O33" s="1060">
        <v>0.189</v>
      </c>
      <c r="P33" s="1060">
        <v>0.27</v>
      </c>
      <c r="Q33" s="1060">
        <v>0.186</v>
      </c>
      <c r="R33" s="1060">
        <v>0.151</v>
      </c>
      <c r="S33" s="1060">
        <v>0.155</v>
      </c>
    </row>
    <row r="34" spans="1:19" ht="15" customHeight="1">
      <c r="A34" s="1059" t="s">
        <v>924</v>
      </c>
      <c r="B34" s="1060">
        <v>29.4</v>
      </c>
      <c r="C34" s="1060">
        <v>28.7</v>
      </c>
      <c r="D34" s="1060">
        <v>26.8</v>
      </c>
      <c r="E34" s="1060">
        <v>26.6</v>
      </c>
      <c r="F34" s="1060">
        <v>27.3</v>
      </c>
      <c r="G34" s="1060">
        <v>27.1</v>
      </c>
      <c r="H34" s="1060">
        <v>25.9</v>
      </c>
      <c r="I34" s="1060">
        <v>29.2</v>
      </c>
      <c r="K34" s="1062" t="s">
        <v>2075</v>
      </c>
      <c r="L34" s="1060">
        <v>0.152</v>
      </c>
      <c r="M34" s="1060">
        <v>0.17299999999999999</v>
      </c>
      <c r="N34" s="1060">
        <v>0.14899999999999999</v>
      </c>
      <c r="O34" s="1060">
        <v>0.184</v>
      </c>
      <c r="P34" s="1060">
        <v>0.17100000000000001</v>
      </c>
      <c r="Q34" s="1060">
        <v>0.128</v>
      </c>
      <c r="R34" s="1060">
        <v>0.16300000000000001</v>
      </c>
      <c r="S34" s="1060">
        <v>0.121</v>
      </c>
    </row>
    <row r="35" spans="1:19" ht="15" customHeight="1">
      <c r="A35" s="1056" t="s">
        <v>1179</v>
      </c>
      <c r="B35" s="1060">
        <v>28.3</v>
      </c>
      <c r="C35" s="1060">
        <v>28.2</v>
      </c>
      <c r="D35" s="1060">
        <v>26.5</v>
      </c>
      <c r="E35" s="1060">
        <v>26.7</v>
      </c>
      <c r="F35" s="1060">
        <v>28.1</v>
      </c>
      <c r="G35" s="1060">
        <v>28.5</v>
      </c>
      <c r="H35" s="1060">
        <v>27</v>
      </c>
      <c r="I35" s="1060">
        <v>28.8</v>
      </c>
      <c r="K35" s="1062" t="s">
        <v>2076</v>
      </c>
      <c r="L35" s="1060">
        <v>0.44500000000000001</v>
      </c>
      <c r="M35" s="1060">
        <v>0.42599999999999999</v>
      </c>
      <c r="N35" s="1060">
        <v>0.42399999999999999</v>
      </c>
      <c r="O35" s="1060">
        <v>0.42499999999999999</v>
      </c>
      <c r="P35" s="1060">
        <v>0.42399999999999999</v>
      </c>
      <c r="Q35" s="1060">
        <v>0.42299999999999999</v>
      </c>
      <c r="R35" s="1060">
        <v>0.437</v>
      </c>
      <c r="S35" s="1060">
        <v>0.44500000000000001</v>
      </c>
    </row>
    <row r="36" spans="1:19" ht="15" customHeight="1">
      <c r="A36" s="1056" t="s">
        <v>1180</v>
      </c>
      <c r="B36" s="1060">
        <v>30.4</v>
      </c>
      <c r="C36" s="1060">
        <v>29.2</v>
      </c>
      <c r="D36" s="1060">
        <v>27</v>
      </c>
      <c r="E36" s="1060">
        <v>26.4</v>
      </c>
      <c r="F36" s="1060">
        <v>26.6</v>
      </c>
      <c r="G36" s="1060">
        <v>25.7</v>
      </c>
      <c r="H36" s="1060">
        <v>24.7</v>
      </c>
      <c r="I36" s="1060">
        <v>29.6</v>
      </c>
      <c r="K36" s="1062" t="s">
        <v>2077</v>
      </c>
      <c r="L36" s="1060">
        <v>0.441</v>
      </c>
      <c r="M36" s="1060">
        <v>0.42699999999999999</v>
      </c>
      <c r="N36" s="1060">
        <v>0.41799999999999998</v>
      </c>
      <c r="O36" s="1060">
        <v>0.43099999999999999</v>
      </c>
      <c r="P36" s="1060">
        <v>0.42199999999999999</v>
      </c>
      <c r="Q36" s="1060">
        <v>0.437</v>
      </c>
      <c r="R36" s="1060">
        <v>0.46300000000000002</v>
      </c>
      <c r="S36" s="1060">
        <v>0.46400000000000002</v>
      </c>
    </row>
    <row r="37" spans="1:19" ht="15" customHeight="1">
      <c r="A37" s="1056" t="s">
        <v>1181</v>
      </c>
      <c r="B37" s="1060">
        <v>11.5</v>
      </c>
      <c r="C37" s="1060">
        <v>11.4</v>
      </c>
      <c r="D37" s="1060">
        <v>10.5</v>
      </c>
      <c r="E37" s="1060">
        <v>8.8000000000000007</v>
      </c>
      <c r="F37" s="1060">
        <v>7</v>
      </c>
      <c r="G37" s="1060">
        <v>7.7</v>
      </c>
      <c r="H37" s="1060">
        <v>6</v>
      </c>
      <c r="I37" s="1060">
        <v>15.5</v>
      </c>
      <c r="K37" s="1062" t="s">
        <v>2078</v>
      </c>
      <c r="L37" s="1060">
        <v>0.44800000000000001</v>
      </c>
      <c r="M37" s="1060">
        <v>0.42399999999999999</v>
      </c>
      <c r="N37" s="1060">
        <v>0.42899999999999999</v>
      </c>
      <c r="O37" s="1060">
        <v>0.41799999999999998</v>
      </c>
      <c r="P37" s="1060">
        <v>0.46100000000000002</v>
      </c>
      <c r="Q37" s="1060">
        <v>0.40600000000000003</v>
      </c>
      <c r="R37" s="1060">
        <v>0.40799999999999997</v>
      </c>
      <c r="S37" s="1060">
        <v>0.42299999999999999</v>
      </c>
    </row>
    <row r="38" spans="1:19" ht="15" customHeight="1">
      <c r="A38" s="1056" t="s">
        <v>1182</v>
      </c>
      <c r="B38" s="1060">
        <v>13.2</v>
      </c>
      <c r="C38" s="1060">
        <v>13.3</v>
      </c>
      <c r="D38" s="1060">
        <v>11.9</v>
      </c>
      <c r="E38" s="1060">
        <v>9.9</v>
      </c>
      <c r="F38" s="1060">
        <v>9</v>
      </c>
      <c r="G38" s="1060">
        <v>7.6</v>
      </c>
      <c r="H38" s="1060">
        <v>7</v>
      </c>
      <c r="I38" s="1060">
        <v>14</v>
      </c>
      <c r="K38" s="1262" t="s">
        <v>2079</v>
      </c>
      <c r="L38" s="1262"/>
      <c r="M38" s="1262"/>
      <c r="N38" s="1262"/>
      <c r="O38" s="1262"/>
      <c r="P38" s="1262"/>
      <c r="Q38" s="1262"/>
      <c r="R38" s="1262"/>
      <c r="S38" s="1262"/>
    </row>
    <row r="39" spans="1:19" ht="15" customHeight="1">
      <c r="A39" s="1056" t="s">
        <v>1183</v>
      </c>
      <c r="B39" s="1060">
        <v>10.9</v>
      </c>
      <c r="C39" s="1060">
        <v>10.6</v>
      </c>
      <c r="D39" s="1060">
        <v>9.9</v>
      </c>
      <c r="E39" s="1060">
        <v>8.4</v>
      </c>
      <c r="F39" s="1060">
        <v>6.3</v>
      </c>
      <c r="G39" s="1060">
        <v>7.8</v>
      </c>
      <c r="H39" s="1060">
        <v>5.7</v>
      </c>
      <c r="I39" s="1060">
        <v>16.100000000000001</v>
      </c>
    </row>
    <row r="40" spans="1:19" ht="15" customHeight="1">
      <c r="A40" s="1056" t="s">
        <v>1184</v>
      </c>
      <c r="B40" s="1060">
        <v>35.799999999999997</v>
      </c>
      <c r="C40" s="1060">
        <v>34.799999999999997</v>
      </c>
      <c r="D40" s="1060">
        <v>32.700000000000003</v>
      </c>
      <c r="E40" s="1060">
        <v>32.799999999999997</v>
      </c>
      <c r="F40" s="1060">
        <v>34.200000000000003</v>
      </c>
      <c r="G40" s="1060">
        <v>33.4</v>
      </c>
      <c r="H40" s="1060">
        <v>32.4</v>
      </c>
      <c r="I40" s="1060">
        <v>33.700000000000003</v>
      </c>
    </row>
    <row r="41" spans="1:19" ht="15" customHeight="1">
      <c r="A41" s="1056" t="s">
        <v>1185</v>
      </c>
      <c r="B41" s="1060">
        <v>30.9</v>
      </c>
      <c r="C41" s="1060">
        <v>30.7</v>
      </c>
      <c r="D41" s="1060">
        <v>29</v>
      </c>
      <c r="E41" s="1060">
        <v>29.5</v>
      </c>
      <c r="F41" s="1060">
        <v>31.1</v>
      </c>
      <c r="G41" s="1060">
        <v>31.7</v>
      </c>
      <c r="H41" s="1060">
        <v>30.2</v>
      </c>
      <c r="I41" s="1060">
        <v>31.2</v>
      </c>
    </row>
    <row r="42" spans="1:19" ht="15" customHeight="1">
      <c r="A42" s="1064" t="s">
        <v>1186</v>
      </c>
      <c r="B42" s="1060">
        <v>42.4</v>
      </c>
      <c r="C42" s="1060">
        <v>40.4</v>
      </c>
      <c r="D42" s="1060">
        <v>37.799999999999997</v>
      </c>
      <c r="E42" s="1060">
        <v>37.200000000000003</v>
      </c>
      <c r="F42" s="1060">
        <v>38.6</v>
      </c>
      <c r="G42" s="1060">
        <v>35.9</v>
      </c>
      <c r="H42" s="1060">
        <v>35.4</v>
      </c>
      <c r="I42" s="1060">
        <v>37.1</v>
      </c>
    </row>
    <row r="43" spans="1:19" ht="15" customHeight="1"/>
    <row r="44" spans="1:19" ht="15" customHeight="1">
      <c r="A44" s="1065" t="s">
        <v>2080</v>
      </c>
    </row>
    <row r="45" spans="1:19" ht="15" customHeight="1">
      <c r="A45" s="1056" t="s">
        <v>2081</v>
      </c>
    </row>
    <row r="46" spans="1:19" s="1065" customFormat="1" ht="15" customHeight="1">
      <c r="A46" s="1065" t="s">
        <v>272</v>
      </c>
    </row>
    <row r="47" spans="1:19" ht="15" customHeight="1">
      <c r="A47" s="1065" t="s">
        <v>273</v>
      </c>
    </row>
    <row r="48" spans="1:19" s="1065" customFormat="1" ht="15" customHeight="1">
      <c r="A48" s="1065" t="s">
        <v>274</v>
      </c>
    </row>
    <row r="49" spans="1:1">
      <c r="A49" s="1065" t="s">
        <v>2082</v>
      </c>
    </row>
    <row r="50" spans="1:1">
      <c r="A50" s="1056" t="s">
        <v>121</v>
      </c>
    </row>
    <row r="51" spans="1:1">
      <c r="A51" s="1056" t="s">
        <v>123</v>
      </c>
    </row>
  </sheetData>
  <mergeCells count="4">
    <mergeCell ref="K1:S1"/>
    <mergeCell ref="B2:H2"/>
    <mergeCell ref="K2:S2"/>
    <mergeCell ref="K38:S38"/>
  </mergeCells>
  <pageMargins left="0.7" right="0.7" top="0.75" bottom="0.75" header="0.3" footer="0.3"/>
  <pageSetup orientation="landscape" verticalDpi="0" r:id="rId1"/>
</worksheet>
</file>

<file path=xl/worksheets/sheet155.xml><?xml version="1.0" encoding="utf-8"?>
<worksheet xmlns="http://schemas.openxmlformats.org/spreadsheetml/2006/main" xmlns:r="http://schemas.openxmlformats.org/officeDocument/2006/relationships">
  <sheetPr codeName="Sheet124"/>
  <dimension ref="A1:G45"/>
  <sheetViews>
    <sheetView view="pageBreakPreview" zoomScale="85" zoomScaleSheetLayoutView="85"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3.28515625" style="1" customWidth="1"/>
    <col min="3" max="3" width="12.7109375" style="1" customWidth="1"/>
    <col min="4" max="4" width="13.42578125" style="1" customWidth="1"/>
    <col min="5" max="5" width="13.140625" style="1" customWidth="1"/>
    <col min="6" max="6" width="27.7109375" style="1" customWidth="1"/>
    <col min="7" max="16384" width="8.85546875" style="1"/>
  </cols>
  <sheetData>
    <row r="1" spans="1:6" ht="15.75">
      <c r="A1" s="40" t="s">
        <v>1412</v>
      </c>
    </row>
    <row r="2" spans="1:6" s="124" customFormat="1" ht="51">
      <c r="A2" s="645"/>
      <c r="B2" s="648" t="s">
        <v>657</v>
      </c>
      <c r="C2" s="645" t="s">
        <v>658</v>
      </c>
      <c r="D2" s="645" t="s">
        <v>659</v>
      </c>
      <c r="E2" s="645" t="s">
        <v>711</v>
      </c>
      <c r="F2" s="645" t="s">
        <v>991</v>
      </c>
    </row>
    <row r="3" spans="1:6" s="127" customFormat="1">
      <c r="A3" s="125"/>
      <c r="B3" s="126" t="s">
        <v>656</v>
      </c>
      <c r="C3" s="125" t="s">
        <v>585</v>
      </c>
      <c r="D3" s="125" t="s">
        <v>587</v>
      </c>
      <c r="E3" s="125" t="s">
        <v>588</v>
      </c>
      <c r="F3" s="125" t="s">
        <v>990</v>
      </c>
    </row>
    <row r="4" spans="1:6">
      <c r="A4" s="1">
        <v>1976</v>
      </c>
      <c r="B4" s="18">
        <v>703.2</v>
      </c>
      <c r="C4" s="19">
        <v>635.79999999999995</v>
      </c>
      <c r="D4" s="19">
        <v>67.400000000000006</v>
      </c>
      <c r="E4" s="19">
        <v>9747.5</v>
      </c>
      <c r="F4" s="10">
        <f>B4/E4*100</f>
        <v>7.214157476275969</v>
      </c>
    </row>
    <row r="5" spans="1:6">
      <c r="A5" s="1">
        <v>1977</v>
      </c>
      <c r="B5" s="20">
        <v>816.1</v>
      </c>
      <c r="C5" s="19">
        <v>748.6</v>
      </c>
      <c r="D5" s="19">
        <v>67.5</v>
      </c>
      <c r="E5" s="19">
        <v>9917.1</v>
      </c>
      <c r="F5" s="10">
        <f t="shared" ref="F5:F36" si="0">B5/E5*100</f>
        <v>8.2292202357544042</v>
      </c>
    </row>
    <row r="6" spans="1:6">
      <c r="A6" s="1">
        <v>1978</v>
      </c>
      <c r="B6" s="20">
        <v>851.7</v>
      </c>
      <c r="C6" s="19">
        <v>788.2</v>
      </c>
      <c r="D6" s="19">
        <v>63.4</v>
      </c>
      <c r="E6" s="19">
        <v>10220.299999999999</v>
      </c>
      <c r="F6" s="10">
        <f t="shared" si="0"/>
        <v>8.3334148704049795</v>
      </c>
    </row>
    <row r="7" spans="1:6">
      <c r="A7" s="1">
        <v>1979</v>
      </c>
      <c r="B7" s="20">
        <v>812.9</v>
      </c>
      <c r="C7" s="19">
        <v>755.4</v>
      </c>
      <c r="D7" s="19">
        <v>57.5</v>
      </c>
      <c r="E7" s="19">
        <v>10668.6</v>
      </c>
      <c r="F7" s="10">
        <f t="shared" si="0"/>
        <v>7.6195564553924591</v>
      </c>
    </row>
    <row r="8" spans="1:6">
      <c r="A8" s="1">
        <v>1980</v>
      </c>
      <c r="B8" s="20">
        <v>870.3</v>
      </c>
      <c r="C8" s="19">
        <v>796.6</v>
      </c>
      <c r="D8" s="19">
        <v>73.7</v>
      </c>
      <c r="E8" s="19">
        <v>10984</v>
      </c>
      <c r="F8" s="10">
        <f t="shared" si="0"/>
        <v>7.9233430444282593</v>
      </c>
    </row>
    <row r="9" spans="1:6">
      <c r="A9" s="1">
        <v>1981</v>
      </c>
      <c r="B9" s="20">
        <v>905.4</v>
      </c>
      <c r="C9" s="19">
        <v>829.6</v>
      </c>
      <c r="D9" s="19">
        <v>75.8</v>
      </c>
      <c r="E9" s="19">
        <v>11305</v>
      </c>
      <c r="F9" s="10">
        <f t="shared" si="0"/>
        <v>8.0088456435205657</v>
      </c>
    </row>
    <row r="10" spans="1:6">
      <c r="A10" s="1">
        <v>1982</v>
      </c>
      <c r="B10" s="20">
        <v>1375</v>
      </c>
      <c r="C10" s="19">
        <v>1255.9000000000001</v>
      </c>
      <c r="D10" s="19">
        <v>119.1</v>
      </c>
      <c r="E10" s="19">
        <v>10943.7</v>
      </c>
      <c r="F10" s="10">
        <f t="shared" si="0"/>
        <v>12.564306404598078</v>
      </c>
    </row>
    <row r="11" spans="1:6">
      <c r="A11" s="1">
        <v>1983</v>
      </c>
      <c r="B11" s="20">
        <v>1398.3</v>
      </c>
      <c r="C11" s="19">
        <v>1312.7</v>
      </c>
      <c r="D11" s="19">
        <v>85.6</v>
      </c>
      <c r="E11" s="19">
        <v>11022</v>
      </c>
      <c r="F11" s="10">
        <f t="shared" si="0"/>
        <v>12.68644529123571</v>
      </c>
    </row>
    <row r="12" spans="1:6">
      <c r="A12" s="1">
        <v>1984</v>
      </c>
      <c r="B12" s="20">
        <v>1314.3</v>
      </c>
      <c r="C12" s="19">
        <v>1248.4000000000001</v>
      </c>
      <c r="D12" s="19">
        <v>65.900000000000006</v>
      </c>
      <c r="E12" s="19">
        <v>11301.7</v>
      </c>
      <c r="F12" s="10">
        <f t="shared" si="0"/>
        <v>11.629223922064821</v>
      </c>
    </row>
    <row r="13" spans="1:6">
      <c r="A13" s="1">
        <v>1985</v>
      </c>
      <c r="B13" s="20">
        <v>1239</v>
      </c>
      <c r="C13" s="19">
        <v>1181.9000000000001</v>
      </c>
      <c r="D13" s="19">
        <v>57.2</v>
      </c>
      <c r="E13" s="19">
        <v>11627.3</v>
      </c>
      <c r="F13" s="10">
        <f t="shared" si="0"/>
        <v>10.655956240915776</v>
      </c>
    </row>
    <row r="14" spans="1:6">
      <c r="A14" s="1">
        <v>1986</v>
      </c>
      <c r="B14" s="20">
        <v>1178.3</v>
      </c>
      <c r="C14" s="19">
        <v>1116.2</v>
      </c>
      <c r="D14" s="19">
        <v>62.1</v>
      </c>
      <c r="E14" s="19">
        <v>11986.6</v>
      </c>
      <c r="F14" s="10">
        <f t="shared" si="0"/>
        <v>9.8301436604208021</v>
      </c>
    </row>
    <row r="15" spans="1:6">
      <c r="A15" s="1">
        <v>1987</v>
      </c>
      <c r="B15" s="20">
        <v>1105.3</v>
      </c>
      <c r="C15" s="19">
        <v>1047.3</v>
      </c>
      <c r="D15" s="19">
        <v>58</v>
      </c>
      <c r="E15" s="19">
        <v>12333</v>
      </c>
      <c r="F15" s="10">
        <f t="shared" si="0"/>
        <v>8.9621341117327482</v>
      </c>
    </row>
    <row r="16" spans="1:6">
      <c r="A16" s="1">
        <v>1988</v>
      </c>
      <c r="B16" s="20">
        <v>1022.4</v>
      </c>
      <c r="C16" s="19">
        <v>961.8</v>
      </c>
      <c r="D16" s="19">
        <v>60.6</v>
      </c>
      <c r="E16" s="19">
        <v>12709.6</v>
      </c>
      <c r="F16" s="10">
        <f t="shared" si="0"/>
        <v>8.0443129602819905</v>
      </c>
    </row>
    <row r="17" spans="1:6">
      <c r="A17" s="1">
        <v>1989</v>
      </c>
      <c r="B17" s="20">
        <v>1011.3</v>
      </c>
      <c r="C17" s="19">
        <v>950.7</v>
      </c>
      <c r="D17" s="19">
        <v>60.6</v>
      </c>
      <c r="E17" s="19">
        <v>12996.2</v>
      </c>
      <c r="F17" s="10">
        <f t="shared" si="0"/>
        <v>7.7815053631061382</v>
      </c>
    </row>
    <row r="18" spans="1:6">
      <c r="A18" s="1">
        <v>1990</v>
      </c>
      <c r="B18" s="20">
        <v>1122.2</v>
      </c>
      <c r="C18" s="19">
        <v>1036.9000000000001</v>
      </c>
      <c r="D18" s="19">
        <v>85.2</v>
      </c>
      <c r="E18" s="19">
        <v>13086.4</v>
      </c>
      <c r="F18" s="10">
        <f t="shared" si="0"/>
        <v>8.5753148306638973</v>
      </c>
    </row>
    <row r="19" spans="1:6">
      <c r="A19" s="1">
        <v>1991</v>
      </c>
      <c r="B19" s="20">
        <v>1394.6</v>
      </c>
      <c r="C19" s="19">
        <v>1294.7</v>
      </c>
      <c r="D19" s="19">
        <v>99.8</v>
      </c>
      <c r="E19" s="19">
        <v>12857.4</v>
      </c>
      <c r="F19" s="10">
        <f t="shared" si="0"/>
        <v>10.84667195544978</v>
      </c>
    </row>
    <row r="20" spans="1:6">
      <c r="A20" s="1">
        <v>1992</v>
      </c>
      <c r="B20" s="20">
        <v>1483.2</v>
      </c>
      <c r="C20" s="19">
        <v>1398.8</v>
      </c>
      <c r="D20" s="19">
        <v>84.4</v>
      </c>
      <c r="E20" s="19">
        <v>12730.9</v>
      </c>
      <c r="F20" s="10">
        <f t="shared" si="0"/>
        <v>11.650393923446105</v>
      </c>
    </row>
    <row r="21" spans="1:6">
      <c r="A21" s="1">
        <v>1993</v>
      </c>
      <c r="B21" s="20">
        <v>1425.5</v>
      </c>
      <c r="C21" s="19">
        <v>1346</v>
      </c>
      <c r="D21" s="19">
        <v>79.599999999999994</v>
      </c>
      <c r="E21" s="19">
        <v>12792.7</v>
      </c>
      <c r="F21" s="10">
        <f t="shared" si="0"/>
        <v>11.143073784267589</v>
      </c>
    </row>
    <row r="22" spans="1:6">
      <c r="A22" s="1">
        <v>1994</v>
      </c>
      <c r="B22" s="20">
        <v>1246.8</v>
      </c>
      <c r="C22" s="19">
        <v>1157.5999999999999</v>
      </c>
      <c r="D22" s="19">
        <v>89.2</v>
      </c>
      <c r="E22" s="19">
        <v>13058.7</v>
      </c>
      <c r="F22" s="10">
        <f t="shared" si="0"/>
        <v>9.5476578832502454</v>
      </c>
    </row>
    <row r="23" spans="1:6">
      <c r="A23" s="1">
        <v>1995</v>
      </c>
      <c r="B23" s="20">
        <v>1196.9000000000001</v>
      </c>
      <c r="C23" s="19">
        <v>1102</v>
      </c>
      <c r="D23" s="19">
        <v>94.9</v>
      </c>
      <c r="E23" s="19">
        <v>13295.4</v>
      </c>
      <c r="F23" s="10">
        <f t="shared" si="0"/>
        <v>9.0023617190908141</v>
      </c>
    </row>
    <row r="24" spans="1:6">
      <c r="A24" s="1">
        <v>1996</v>
      </c>
      <c r="B24" s="20">
        <v>1195.7</v>
      </c>
      <c r="C24" s="19">
        <v>1091.5</v>
      </c>
      <c r="D24" s="19">
        <v>104.2</v>
      </c>
      <c r="E24" s="19">
        <v>13421.4</v>
      </c>
      <c r="F24" s="10">
        <f t="shared" si="0"/>
        <v>8.9089066714351706</v>
      </c>
    </row>
    <row r="25" spans="1:6">
      <c r="A25" s="1">
        <v>1997</v>
      </c>
      <c r="B25" s="20">
        <v>1029.5</v>
      </c>
      <c r="C25" s="19">
        <v>943.3</v>
      </c>
      <c r="D25" s="19">
        <v>86.1</v>
      </c>
      <c r="E25" s="19">
        <v>13706</v>
      </c>
      <c r="F25" s="10">
        <f t="shared" si="0"/>
        <v>7.5113089158032986</v>
      </c>
    </row>
    <row r="26" spans="1:6">
      <c r="A26" s="1">
        <v>1998</v>
      </c>
      <c r="B26" s="20">
        <v>995.6</v>
      </c>
      <c r="C26" s="19">
        <v>898.2</v>
      </c>
      <c r="D26" s="19">
        <v>97.4</v>
      </c>
      <c r="E26" s="19">
        <v>14046.2</v>
      </c>
      <c r="F26" s="10">
        <f t="shared" si="0"/>
        <v>7.0880380458771768</v>
      </c>
    </row>
    <row r="27" spans="1:6">
      <c r="A27" s="1">
        <v>1999</v>
      </c>
      <c r="B27" s="20">
        <v>945.5</v>
      </c>
      <c r="C27" s="19">
        <v>859.3</v>
      </c>
      <c r="D27" s="19">
        <v>86.2</v>
      </c>
      <c r="E27" s="19">
        <v>14406.7</v>
      </c>
      <c r="F27" s="10">
        <f t="shared" si="0"/>
        <v>6.5629186420207262</v>
      </c>
    </row>
    <row r="28" spans="1:6">
      <c r="A28" s="1">
        <v>2000</v>
      </c>
      <c r="B28" s="20">
        <v>849.7</v>
      </c>
      <c r="C28" s="19">
        <v>774.2</v>
      </c>
      <c r="D28" s="19">
        <v>75.5</v>
      </c>
      <c r="E28" s="19">
        <v>14764.2</v>
      </c>
      <c r="F28" s="10">
        <f t="shared" si="0"/>
        <v>5.7551374270194122</v>
      </c>
    </row>
    <row r="29" spans="1:6">
      <c r="A29" s="1">
        <v>2001</v>
      </c>
      <c r="B29" s="20">
        <v>894.9</v>
      </c>
      <c r="C29" s="19">
        <v>806.2</v>
      </c>
      <c r="D29" s="19">
        <v>88.7</v>
      </c>
      <c r="E29" s="19">
        <v>14946.2</v>
      </c>
      <c r="F29" s="10">
        <f t="shared" si="0"/>
        <v>5.9874750772771668</v>
      </c>
    </row>
    <row r="30" spans="1:6">
      <c r="A30" s="1">
        <v>2002</v>
      </c>
      <c r="B30" s="20">
        <v>999.2</v>
      </c>
      <c r="C30" s="19">
        <v>908.7</v>
      </c>
      <c r="D30" s="19">
        <v>90.4</v>
      </c>
      <c r="E30" s="19">
        <v>15310.4</v>
      </c>
      <c r="F30" s="10">
        <f t="shared" si="0"/>
        <v>6.5262827881701329</v>
      </c>
    </row>
    <row r="31" spans="1:6">
      <c r="A31" s="1">
        <v>2003</v>
      </c>
      <c r="B31" s="20">
        <v>999.2</v>
      </c>
      <c r="C31" s="19">
        <v>908.3</v>
      </c>
      <c r="D31" s="19">
        <v>90.9</v>
      </c>
      <c r="E31" s="19">
        <v>15672.3</v>
      </c>
      <c r="F31" s="10">
        <f t="shared" si="0"/>
        <v>6.3755798446941432</v>
      </c>
    </row>
    <row r="32" spans="1:6">
      <c r="A32" s="1">
        <v>2004</v>
      </c>
      <c r="B32" s="20">
        <v>958.5</v>
      </c>
      <c r="C32" s="19">
        <v>876.2</v>
      </c>
      <c r="D32" s="19">
        <v>82.3</v>
      </c>
      <c r="E32" s="19">
        <v>15947</v>
      </c>
      <c r="F32" s="10">
        <f t="shared" si="0"/>
        <v>6.0105348968458019</v>
      </c>
    </row>
    <row r="33" spans="1:7">
      <c r="A33" s="4">
        <v>2005</v>
      </c>
      <c r="B33" s="20">
        <v>927.4</v>
      </c>
      <c r="C33" s="19">
        <v>847.8</v>
      </c>
      <c r="D33" s="19">
        <v>79.599999999999994</v>
      </c>
      <c r="E33" s="19">
        <v>16169.7</v>
      </c>
      <c r="F33" s="10">
        <f t="shared" si="0"/>
        <v>5.7354187152513649</v>
      </c>
      <c r="G33" s="350">
        <f>F33-F9</f>
        <v>-2.2734269282692008</v>
      </c>
    </row>
    <row r="34" spans="1:7">
      <c r="A34" s="4">
        <v>2006</v>
      </c>
      <c r="B34" s="20">
        <v>896</v>
      </c>
      <c r="C34" s="19">
        <v>813</v>
      </c>
      <c r="D34" s="19">
        <v>83</v>
      </c>
      <c r="E34" s="360">
        <v>16484.3</v>
      </c>
      <c r="F34" s="10">
        <f t="shared" si="0"/>
        <v>5.4354749670898972</v>
      </c>
      <c r="G34" s="6"/>
    </row>
    <row r="35" spans="1:7" s="1046" customFormat="1">
      <c r="A35" s="2">
        <v>2007</v>
      </c>
      <c r="B35" s="39">
        <v>901.4</v>
      </c>
      <c r="C35" s="19">
        <v>822.9</v>
      </c>
      <c r="D35" s="19">
        <v>78.5</v>
      </c>
      <c r="E35" s="360">
        <v>16866.400000000001</v>
      </c>
      <c r="F35" s="10">
        <f t="shared" si="0"/>
        <v>5.3443532704074368</v>
      </c>
      <c r="G35" s="6"/>
    </row>
    <row r="36" spans="1:7" s="1046" customFormat="1">
      <c r="A36" s="2">
        <v>2008</v>
      </c>
      <c r="B36" s="39">
        <v>925.4</v>
      </c>
      <c r="C36" s="19">
        <v>847.8</v>
      </c>
      <c r="D36" s="19">
        <v>77.599999999999994</v>
      </c>
      <c r="E36" s="360">
        <v>17125.8</v>
      </c>
      <c r="F36" s="10">
        <f t="shared" si="0"/>
        <v>5.4035431921428492</v>
      </c>
      <c r="G36" s="6"/>
    </row>
    <row r="37" spans="1:7">
      <c r="B37" s="1195" t="s">
        <v>802</v>
      </c>
      <c r="C37" s="1195"/>
      <c r="D37" s="1195"/>
      <c r="E37" s="1195"/>
      <c r="F37" s="128" t="s">
        <v>655</v>
      </c>
    </row>
    <row r="38" spans="1:7">
      <c r="A38" s="129" t="s">
        <v>603</v>
      </c>
      <c r="B38" s="159">
        <f>(POWER(B17/B9, 1/8)-1)*100</f>
        <v>1.3922917959713788</v>
      </c>
      <c r="C38" s="159">
        <f>(POWER(C17/C9, 1/8)-1)*100</f>
        <v>1.7177731437270971</v>
      </c>
      <c r="D38" s="159">
        <f>(POWER(D17/D9, 1/8)-1)*100</f>
        <v>-2.7587736409113495</v>
      </c>
      <c r="E38" s="159">
        <f>(POWER(E17/E9, 1/8)-1)*100</f>
        <v>1.7579214775647944</v>
      </c>
      <c r="F38" s="10">
        <f>F17-F9</f>
        <v>-0.22734028041442755</v>
      </c>
    </row>
    <row r="39" spans="1:7">
      <c r="A39" s="129" t="s">
        <v>604</v>
      </c>
      <c r="B39" s="159">
        <f>(POWER(B28/B17, 1/11)-1)*100</f>
        <v>-1.5703446035600144</v>
      </c>
      <c r="C39" s="159">
        <f>(POWER(C28/C17, 1/11)-1)*100</f>
        <v>-1.8496644986316757</v>
      </c>
      <c r="D39" s="159">
        <f>(POWER(D28/D17, 1/11)-1)*100</f>
        <v>2.0186293390310528</v>
      </c>
      <c r="E39" s="159">
        <f>(POWER(E28/E17, 1/11)-1)*100</f>
        <v>1.1662788332626128</v>
      </c>
      <c r="F39" s="10">
        <f>F28-F17</f>
        <v>-2.0263679360867259</v>
      </c>
    </row>
    <row r="40" spans="1:7">
      <c r="A40" s="129" t="s">
        <v>1408</v>
      </c>
      <c r="B40" s="159">
        <f>(POWER(B36/B9, 1/27)-1)*100</f>
        <v>8.0955868147314369E-2</v>
      </c>
      <c r="C40" s="159">
        <f t="shared" ref="C40:E40" si="1">(POWER(C36/C9, 1/27)-1)*100</f>
        <v>8.0406760781803754E-2</v>
      </c>
      <c r="D40" s="159">
        <f t="shared" si="1"/>
        <v>8.6960509266575947E-2</v>
      </c>
      <c r="E40" s="159">
        <f t="shared" si="1"/>
        <v>1.5501927105705082</v>
      </c>
      <c r="F40" s="159">
        <f>F36-F9</f>
        <v>-2.6053024513777165</v>
      </c>
    </row>
    <row r="41" spans="1:7">
      <c r="A41" s="129" t="s">
        <v>1410</v>
      </c>
      <c r="B41" s="159">
        <f>(POWER(B36/B28, 1/8)-1)*100</f>
        <v>1.0724945606229275</v>
      </c>
      <c r="C41" s="159">
        <f t="shared" ref="C41:E41" si="2">(POWER(C36/C28, 1/8)-1)*100</f>
        <v>1.1416491449515398</v>
      </c>
      <c r="D41" s="159">
        <f t="shared" si="2"/>
        <v>0.34352333025495785</v>
      </c>
      <c r="E41" s="159">
        <f t="shared" si="2"/>
        <v>1.872067089771301</v>
      </c>
      <c r="F41" s="159">
        <f>F36-F28</f>
        <v>-0.35159423487656305</v>
      </c>
    </row>
    <row r="42" spans="1:7">
      <c r="A42" s="1168" t="s">
        <v>2050</v>
      </c>
      <c r="B42" s="1168"/>
      <c r="C42" s="1168"/>
      <c r="D42" s="1168"/>
      <c r="E42" s="1168"/>
      <c r="F42" s="1168"/>
    </row>
    <row r="43" spans="1:7">
      <c r="A43" s="1168"/>
      <c r="B43" s="1168"/>
      <c r="C43" s="1168"/>
      <c r="D43" s="1168"/>
      <c r="E43" s="1168"/>
      <c r="F43" s="1168"/>
    </row>
    <row r="44" spans="1:7">
      <c r="A44" s="1046" t="s">
        <v>2049</v>
      </c>
    </row>
    <row r="45" spans="1:7">
      <c r="A45" s="1" t="s">
        <v>827</v>
      </c>
    </row>
  </sheetData>
  <mergeCells count="2">
    <mergeCell ref="B37:E37"/>
    <mergeCell ref="A42:F43"/>
  </mergeCells>
  <phoneticPr fontId="35" type="noConversion"/>
  <pageMargins left="0.75" right="0.75" top="1" bottom="1" header="0.5" footer="0.5"/>
  <pageSetup scale="98" orientation="portrait" horizontalDpi="4294967292" verticalDpi="0" r:id="rId1"/>
  <headerFooter alignWithMargins="0"/>
</worksheet>
</file>

<file path=xl/worksheets/sheet156.xml><?xml version="1.0" encoding="utf-8"?>
<worksheet xmlns="http://schemas.openxmlformats.org/spreadsheetml/2006/main" xmlns:r="http://schemas.openxmlformats.org/officeDocument/2006/relationships">
  <sheetPr codeName="Sheet125"/>
  <dimension ref="A1:D39"/>
  <sheetViews>
    <sheetView view="pageBreakPreview" zoomScaleSheetLayoutView="100" workbookViewId="0">
      <selection activeCell="H62" sqref="H62"/>
    </sheetView>
  </sheetViews>
  <sheetFormatPr defaultColWidth="8.85546875" defaultRowHeight="12.75"/>
  <cols>
    <col min="1" max="1" width="17.140625" style="1022" customWidth="1"/>
    <col min="2" max="2" width="53.85546875" style="1022" customWidth="1"/>
    <col min="3" max="16384" width="8.85546875" style="1022"/>
  </cols>
  <sheetData>
    <row r="1" spans="1:4" ht="15.75" customHeight="1">
      <c r="A1" s="1209" t="s">
        <v>471</v>
      </c>
      <c r="B1" s="1209"/>
    </row>
    <row r="2" spans="1:4" ht="14.25" customHeight="1">
      <c r="A2" s="1209"/>
      <c r="B2" s="1209"/>
    </row>
    <row r="3" spans="1:4">
      <c r="A3" s="2"/>
    </row>
    <row r="4" spans="1:4">
      <c r="A4" s="131" t="s">
        <v>752</v>
      </c>
      <c r="B4" s="132" t="s">
        <v>518</v>
      </c>
    </row>
    <row r="5" spans="1:4">
      <c r="A5" s="130">
        <v>1988</v>
      </c>
      <c r="B5" s="10">
        <v>112.61370430866999</v>
      </c>
    </row>
    <row r="6" spans="1:4">
      <c r="A6" s="130">
        <v>1989</v>
      </c>
      <c r="B6" s="10">
        <v>113.49221272165408</v>
      </c>
    </row>
    <row r="7" spans="1:4">
      <c r="A7" s="130">
        <v>1990</v>
      </c>
      <c r="B7" s="10">
        <v>111.71692037439587</v>
      </c>
    </row>
    <row r="8" spans="1:4">
      <c r="A8" s="130">
        <v>1991</v>
      </c>
      <c r="B8" s="25">
        <v>108.58242052014124</v>
      </c>
    </row>
    <row r="9" spans="1:4">
      <c r="A9" s="130">
        <v>1992</v>
      </c>
      <c r="B9" s="25">
        <v>103.96671475048701</v>
      </c>
    </row>
    <row r="10" spans="1:4">
      <c r="A10" s="130">
        <v>1993</v>
      </c>
      <c r="B10" s="25">
        <v>101.79868063333066</v>
      </c>
    </row>
    <row r="11" spans="1:4">
      <c r="A11" s="130">
        <v>1994</v>
      </c>
      <c r="B11" s="25">
        <v>100.61727119063409</v>
      </c>
      <c r="D11" s="467"/>
    </row>
    <row r="12" spans="1:4">
      <c r="A12" s="130">
        <v>1995</v>
      </c>
      <c r="B12" s="25">
        <v>101.57529062887818</v>
      </c>
      <c r="D12" s="467"/>
    </row>
    <row r="13" spans="1:4">
      <c r="A13" s="130">
        <v>1996</v>
      </c>
      <c r="B13" s="25">
        <v>100.08545826124794</v>
      </c>
      <c r="D13" s="467"/>
    </row>
    <row r="14" spans="1:4">
      <c r="A14" s="130">
        <v>1997</v>
      </c>
      <c r="B14" s="25">
        <v>100.09515650885612</v>
      </c>
      <c r="D14" s="467"/>
    </row>
    <row r="15" spans="1:4">
      <c r="A15" s="130">
        <v>1998</v>
      </c>
      <c r="B15" s="25">
        <v>100.43665666060205</v>
      </c>
      <c r="D15" s="467"/>
    </row>
    <row r="16" spans="1:4">
      <c r="A16" s="130">
        <v>1999</v>
      </c>
      <c r="B16" s="25">
        <v>104.36218118341554</v>
      </c>
      <c r="D16" s="467"/>
    </row>
    <row r="17" spans="1:4">
      <c r="A17" s="130">
        <v>2000</v>
      </c>
      <c r="B17" s="25">
        <v>105.31827940141724</v>
      </c>
      <c r="D17" s="467"/>
    </row>
    <row r="18" spans="1:4">
      <c r="A18" s="130">
        <v>2001</v>
      </c>
      <c r="B18" s="25">
        <v>105.67977367104527</v>
      </c>
      <c r="D18" s="467"/>
    </row>
    <row r="19" spans="1:4">
      <c r="A19" s="130">
        <v>2002</v>
      </c>
      <c r="B19" s="25">
        <v>102.86319827932647</v>
      </c>
      <c r="D19" s="467"/>
    </row>
    <row r="20" spans="1:4">
      <c r="A20" s="130">
        <v>2003</v>
      </c>
      <c r="B20" s="25">
        <v>100.22605047505017</v>
      </c>
      <c r="D20" s="467"/>
    </row>
    <row r="21" spans="1:4">
      <c r="A21" s="130">
        <v>2004</v>
      </c>
      <c r="B21" s="25">
        <v>99.169195779713519</v>
      </c>
      <c r="D21" s="467"/>
    </row>
    <row r="22" spans="1:4">
      <c r="A22" s="130">
        <v>2005</v>
      </c>
      <c r="B22" s="25">
        <v>99.278558546249911</v>
      </c>
      <c r="D22" s="467"/>
    </row>
    <row r="23" spans="1:4">
      <c r="A23" s="130">
        <v>2006</v>
      </c>
      <c r="B23" s="25">
        <v>98.485518010796298</v>
      </c>
      <c r="D23" s="467"/>
    </row>
    <row r="24" spans="1:4">
      <c r="A24" s="130">
        <v>2007</v>
      </c>
      <c r="B24" s="25">
        <v>97.723681250454362</v>
      </c>
      <c r="D24" s="467"/>
    </row>
    <row r="25" spans="1:4">
      <c r="A25" s="130">
        <v>2008</v>
      </c>
      <c r="B25" s="10">
        <v>99.926149350426712</v>
      </c>
    </row>
    <row r="26" spans="1:4">
      <c r="A26" s="130"/>
      <c r="B26" s="10"/>
    </row>
    <row r="27" spans="1:4">
      <c r="A27" s="130"/>
      <c r="B27" s="10" t="s">
        <v>254</v>
      </c>
      <c r="D27" s="6"/>
    </row>
    <row r="28" spans="1:4">
      <c r="A28" s="130" t="s">
        <v>1966</v>
      </c>
      <c r="B28" s="10">
        <f>B25-B12</f>
        <v>-1.6491412784514665</v>
      </c>
      <c r="D28" s="6"/>
    </row>
    <row r="29" spans="1:4">
      <c r="A29" s="130" t="s">
        <v>543</v>
      </c>
      <c r="B29" s="10">
        <f>B18-B12</f>
        <v>4.1044830421670895</v>
      </c>
    </row>
    <row r="30" spans="1:4">
      <c r="A30" s="130" t="s">
        <v>1410</v>
      </c>
      <c r="B30" s="10">
        <f>B25-B18</f>
        <v>-5.753624320618556</v>
      </c>
    </row>
    <row r="32" spans="1:4">
      <c r="A32" s="1022" t="s">
        <v>470</v>
      </c>
    </row>
    <row r="33" spans="1:2" ht="12.75" customHeight="1">
      <c r="A33" s="1188" t="s">
        <v>469</v>
      </c>
      <c r="B33" s="1188"/>
    </row>
    <row r="34" spans="1:2" ht="27" customHeight="1">
      <c r="A34" s="1020" t="s">
        <v>828</v>
      </c>
      <c r="B34" s="1021"/>
    </row>
    <row r="35" spans="1:2">
      <c r="A35" s="1020" t="s">
        <v>1967</v>
      </c>
      <c r="B35" s="1021"/>
    </row>
    <row r="36" spans="1:2">
      <c r="A36" s="1263" t="s">
        <v>468</v>
      </c>
      <c r="B36" s="1263"/>
    </row>
    <row r="37" spans="1:2">
      <c r="A37" s="113"/>
    </row>
    <row r="38" spans="1:2">
      <c r="A38" s="113"/>
    </row>
    <row r="39" spans="1:2">
      <c r="A39" s="113"/>
    </row>
  </sheetData>
  <mergeCells count="3">
    <mergeCell ref="A1:B2"/>
    <mergeCell ref="A33:B33"/>
    <mergeCell ref="A36:B36"/>
  </mergeCells>
  <phoneticPr fontId="35" type="noConversion"/>
  <pageMargins left="0.75" right="0.75" top="1" bottom="1" header="0.5" footer="0.5"/>
  <pageSetup scale="120" orientation="portrait" horizontalDpi="4294967292" verticalDpi="0" r:id="rId1"/>
  <headerFooter alignWithMargins="0"/>
</worksheet>
</file>

<file path=xl/worksheets/sheet157.xml><?xml version="1.0" encoding="utf-8"?>
<worksheet xmlns="http://schemas.openxmlformats.org/spreadsheetml/2006/main" xmlns:r="http://schemas.openxmlformats.org/officeDocument/2006/relationships">
  <sheetPr codeName="Sheet139"/>
  <dimension ref="A1:F22"/>
  <sheetViews>
    <sheetView view="pageBreakPreview" zoomScale="115" zoomScaleSheetLayoutView="115" workbookViewId="0">
      <selection activeCell="H62" sqref="H62"/>
    </sheetView>
  </sheetViews>
  <sheetFormatPr defaultColWidth="8.85546875" defaultRowHeight="12.75"/>
  <cols>
    <col min="1" max="1" width="25.7109375" style="1" customWidth="1"/>
    <col min="2" max="3" width="16.85546875" style="1" customWidth="1"/>
    <col min="4" max="4" width="17.42578125" style="1" customWidth="1"/>
    <col min="5" max="5" width="19.140625" style="1" customWidth="1"/>
    <col min="6" max="6" width="18.7109375" style="1" customWidth="1"/>
    <col min="7" max="16384" width="8.85546875" style="1"/>
  </cols>
  <sheetData>
    <row r="1" spans="1:6" ht="15.75">
      <c r="A1" s="40" t="s">
        <v>1196</v>
      </c>
    </row>
    <row r="2" spans="1:6" ht="23.45" customHeight="1">
      <c r="A2" s="112"/>
    </row>
    <row r="3" spans="1:6" ht="30" customHeight="1">
      <c r="A3" s="1264" t="s">
        <v>567</v>
      </c>
      <c r="B3" s="1265"/>
      <c r="C3" s="1265"/>
      <c r="D3" s="1265"/>
      <c r="E3" s="1265"/>
      <c r="F3" s="1265"/>
    </row>
    <row r="4" spans="1:6" ht="15" customHeight="1">
      <c r="A4" s="133" t="s">
        <v>568</v>
      </c>
      <c r="B4" s="134">
        <v>1998</v>
      </c>
      <c r="C4" s="134">
        <v>1999</v>
      </c>
      <c r="D4" s="134">
        <v>2000</v>
      </c>
      <c r="E4" s="134">
        <v>2001</v>
      </c>
      <c r="F4" s="134">
        <v>2002</v>
      </c>
    </row>
    <row r="5" spans="1:6" ht="15" customHeight="1">
      <c r="A5" s="4" t="s">
        <v>103</v>
      </c>
      <c r="B5" s="666">
        <v>14</v>
      </c>
      <c r="C5" s="666">
        <v>16</v>
      </c>
      <c r="D5" s="666">
        <v>14</v>
      </c>
      <c r="E5" s="666">
        <v>18</v>
      </c>
      <c r="F5" s="666">
        <v>17</v>
      </c>
    </row>
    <row r="6" spans="1:6" ht="15" customHeight="1">
      <c r="A6" s="4" t="s">
        <v>104</v>
      </c>
      <c r="B6" s="666">
        <v>29</v>
      </c>
      <c r="C6" s="666">
        <v>32</v>
      </c>
      <c r="D6" s="666">
        <v>32</v>
      </c>
      <c r="E6" s="666">
        <v>34</v>
      </c>
      <c r="F6" s="666">
        <v>36</v>
      </c>
    </row>
    <row r="7" spans="1:6" ht="15" customHeight="1">
      <c r="A7" s="667" t="s">
        <v>105</v>
      </c>
      <c r="B7" s="132">
        <v>57</v>
      </c>
      <c r="C7" s="132">
        <v>52</v>
      </c>
      <c r="D7" s="132">
        <v>54</v>
      </c>
      <c r="E7" s="132">
        <v>49</v>
      </c>
      <c r="F7" s="132">
        <v>47</v>
      </c>
    </row>
    <row r="8" spans="1:6" ht="34.9" customHeight="1"/>
    <row r="9" spans="1:6" ht="28.15" customHeight="1">
      <c r="A9" s="1264" t="s">
        <v>106</v>
      </c>
      <c r="B9" s="1168"/>
      <c r="C9" s="1168"/>
      <c r="D9" s="1168"/>
      <c r="E9" s="1168"/>
      <c r="F9" s="1168"/>
    </row>
    <row r="10" spans="1:6" ht="15" customHeight="1">
      <c r="A10" s="133" t="s">
        <v>569</v>
      </c>
      <c r="B10" s="134">
        <v>1998</v>
      </c>
      <c r="C10" s="134">
        <v>1999</v>
      </c>
      <c r="D10" s="134">
        <v>2000</v>
      </c>
      <c r="E10" s="134">
        <v>2001</v>
      </c>
      <c r="F10" s="134">
        <v>2002</v>
      </c>
    </row>
    <row r="11" spans="1:6" ht="15" customHeight="1">
      <c r="A11" s="4" t="s">
        <v>107</v>
      </c>
      <c r="B11" s="666">
        <v>60</v>
      </c>
      <c r="C11" s="666">
        <v>55</v>
      </c>
      <c r="D11" s="666">
        <v>51</v>
      </c>
      <c r="E11" s="666">
        <v>56</v>
      </c>
      <c r="F11" s="666">
        <v>59</v>
      </c>
    </row>
    <row r="12" spans="1:6" ht="15" customHeight="1">
      <c r="A12" s="4" t="s">
        <v>108</v>
      </c>
      <c r="B12" s="666">
        <v>17</v>
      </c>
      <c r="C12" s="666">
        <v>23</v>
      </c>
      <c r="D12" s="666">
        <v>22</v>
      </c>
      <c r="E12" s="666">
        <v>20</v>
      </c>
      <c r="F12" s="666">
        <v>18</v>
      </c>
    </row>
    <row r="13" spans="1:6" ht="15" customHeight="1">
      <c r="A13" s="667" t="s">
        <v>109</v>
      </c>
      <c r="B13" s="132">
        <v>23</v>
      </c>
      <c r="C13" s="132">
        <v>22</v>
      </c>
      <c r="D13" s="132">
        <v>27</v>
      </c>
      <c r="E13" s="132">
        <v>24</v>
      </c>
      <c r="F13" s="132">
        <v>23</v>
      </c>
    </row>
    <row r="14" spans="1:6" ht="39.6" customHeight="1"/>
    <row r="15" spans="1:6">
      <c r="A15" s="1264" t="s">
        <v>110</v>
      </c>
      <c r="B15" s="1168"/>
      <c r="C15" s="1168"/>
      <c r="D15" s="1168"/>
      <c r="E15" s="1168"/>
      <c r="F15" s="1168"/>
    </row>
    <row r="16" spans="1:6" ht="15" customHeight="1">
      <c r="A16" s="133" t="s">
        <v>570</v>
      </c>
      <c r="B16" s="134">
        <v>1998</v>
      </c>
      <c r="C16" s="134">
        <v>1999</v>
      </c>
      <c r="D16" s="134">
        <v>2000</v>
      </c>
      <c r="E16" s="134">
        <v>2001</v>
      </c>
      <c r="F16" s="134">
        <v>2002</v>
      </c>
    </row>
    <row r="17" spans="1:6" ht="15" customHeight="1">
      <c r="A17" s="4" t="s">
        <v>111</v>
      </c>
      <c r="B17" s="666">
        <v>47</v>
      </c>
      <c r="C17" s="666">
        <v>55</v>
      </c>
      <c r="D17" s="666">
        <v>56</v>
      </c>
      <c r="E17" s="666">
        <v>57</v>
      </c>
      <c r="F17" s="666">
        <v>62</v>
      </c>
    </row>
    <row r="18" spans="1:6" ht="15" customHeight="1">
      <c r="A18" s="4" t="s">
        <v>108</v>
      </c>
      <c r="B18" s="666">
        <v>16</v>
      </c>
      <c r="C18" s="666">
        <v>20</v>
      </c>
      <c r="D18" s="666">
        <v>17</v>
      </c>
      <c r="E18" s="666">
        <v>16</v>
      </c>
      <c r="F18" s="666">
        <v>15</v>
      </c>
    </row>
    <row r="19" spans="1:6" ht="15" customHeight="1">
      <c r="A19" s="667" t="s">
        <v>112</v>
      </c>
      <c r="B19" s="132">
        <v>37</v>
      </c>
      <c r="C19" s="132">
        <v>26</v>
      </c>
      <c r="D19" s="132">
        <v>26</v>
      </c>
      <c r="E19" s="132">
        <v>28</v>
      </c>
      <c r="F19" s="132">
        <v>23</v>
      </c>
    </row>
    <row r="21" spans="1:6" ht="27.6" customHeight="1">
      <c r="A21" s="1188" t="s">
        <v>1413</v>
      </c>
      <c r="B21" s="1188"/>
      <c r="C21" s="1188"/>
      <c r="D21" s="1188"/>
      <c r="E21" s="1188"/>
      <c r="F21" s="1188"/>
    </row>
    <row r="22" spans="1:6" ht="22.15" customHeight="1">
      <c r="A22" s="1189" t="s">
        <v>394</v>
      </c>
      <c r="B22" s="1188"/>
      <c r="C22" s="1188"/>
      <c r="D22" s="1188"/>
      <c r="E22" s="1188"/>
      <c r="F22" s="1188"/>
    </row>
  </sheetData>
  <mergeCells count="5">
    <mergeCell ref="A22:F22"/>
    <mergeCell ref="A3:F3"/>
    <mergeCell ref="A9:F9"/>
    <mergeCell ref="A15:F15"/>
    <mergeCell ref="A21:F21"/>
  </mergeCells>
  <phoneticPr fontId="35" type="noConversion"/>
  <pageMargins left="0.75" right="0.75" top="1" bottom="1" header="0.5" footer="0.5"/>
  <pageSetup scale="83" orientation="landscape" verticalDpi="0" r:id="rId1"/>
  <headerFooter alignWithMargins="0"/>
</worksheet>
</file>

<file path=xl/worksheets/sheet158.xml><?xml version="1.0" encoding="utf-8"?>
<worksheet xmlns="http://schemas.openxmlformats.org/spreadsheetml/2006/main" xmlns:r="http://schemas.openxmlformats.org/officeDocument/2006/relationships">
  <sheetPr codeName="Sheet127">
    <pageSetUpPr fitToPage="1"/>
  </sheetPr>
  <dimension ref="A1:AM70"/>
  <sheetViews>
    <sheetView view="pageBreakPreview" zoomScale="80" zoomScaleSheetLayoutView="80"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20.140625" style="1" customWidth="1"/>
    <col min="9" max="19" width="9" style="652" customWidth="1"/>
    <col min="20" max="20" width="4.5703125" style="1" customWidth="1"/>
    <col min="21" max="22" width="8.140625" style="1" customWidth="1"/>
    <col min="23" max="23" width="3" style="1" customWidth="1"/>
    <col min="24" max="24" width="13.28515625" style="1" customWidth="1"/>
    <col min="25" max="25" width="13.5703125" style="1" customWidth="1"/>
    <col min="26" max="16384" width="9.140625" style="1"/>
  </cols>
  <sheetData>
    <row r="1" spans="1:39" ht="15.75" customHeight="1">
      <c r="A1" s="1178" t="s">
        <v>2212</v>
      </c>
      <c r="B1" s="1178"/>
      <c r="C1" s="1178"/>
      <c r="D1" s="1178"/>
      <c r="E1" s="1178"/>
      <c r="F1" s="1178"/>
      <c r="G1" s="1178"/>
      <c r="H1" s="1178"/>
      <c r="I1" s="1178"/>
      <c r="J1" s="1178"/>
      <c r="K1" s="1178"/>
      <c r="L1" s="1178"/>
      <c r="M1" s="1178"/>
      <c r="N1" s="1178"/>
      <c r="O1" s="1178"/>
      <c r="P1" s="1178"/>
      <c r="Q1" s="1178"/>
      <c r="R1" s="1178"/>
      <c r="S1" s="1178"/>
      <c r="T1" s="1178"/>
      <c r="U1" s="1178"/>
    </row>
    <row r="2" spans="1:39">
      <c r="A2" s="4"/>
      <c r="B2" s="4"/>
    </row>
    <row r="3" spans="1:39" s="9" customFormat="1" ht="26.25" customHeight="1">
      <c r="H3" s="235"/>
      <c r="I3" s="666"/>
      <c r="J3" s="666"/>
      <c r="K3" s="666"/>
      <c r="L3" s="666"/>
      <c r="M3" s="666"/>
      <c r="N3" s="666"/>
      <c r="O3" s="666"/>
      <c r="P3" s="666"/>
      <c r="Q3" s="666"/>
      <c r="R3" s="666"/>
      <c r="S3" s="666"/>
      <c r="U3" s="1266" t="s">
        <v>802</v>
      </c>
      <c r="V3" s="1266"/>
      <c r="X3" s="510" t="s">
        <v>276</v>
      </c>
    </row>
    <row r="4" spans="1:39" s="235" customFormat="1">
      <c r="A4" s="667"/>
      <c r="B4" s="667"/>
      <c r="C4" s="667"/>
      <c r="D4" s="667"/>
      <c r="E4" s="667"/>
      <c r="F4" s="667"/>
      <c r="G4" s="667"/>
      <c r="H4" s="7"/>
      <c r="I4" s="132">
        <v>1997</v>
      </c>
      <c r="J4" s="132">
        <v>1998</v>
      </c>
      <c r="K4" s="132">
        <v>1999</v>
      </c>
      <c r="L4" s="132">
        <v>2000</v>
      </c>
      <c r="M4" s="132">
        <v>2001</v>
      </c>
      <c r="N4" s="132">
        <v>2002</v>
      </c>
      <c r="O4" s="132">
        <v>2003</v>
      </c>
      <c r="P4" s="132">
        <v>2004</v>
      </c>
      <c r="Q4" s="132">
        <v>2005</v>
      </c>
      <c r="R4" s="132">
        <v>2006</v>
      </c>
      <c r="S4" s="132">
        <v>2007</v>
      </c>
      <c r="T4" s="1116"/>
      <c r="U4" s="241" t="s">
        <v>531</v>
      </c>
      <c r="V4" s="241" t="s">
        <v>449</v>
      </c>
      <c r="W4" s="1007"/>
      <c r="X4" s="241" t="s">
        <v>1393</v>
      </c>
      <c r="Y4" s="9"/>
      <c r="Z4" s="9"/>
      <c r="AA4" s="9"/>
      <c r="AB4" s="9"/>
      <c r="AC4" s="9"/>
      <c r="AD4" s="9"/>
      <c r="AE4" s="9"/>
      <c r="AF4" s="9"/>
      <c r="AG4" s="9"/>
      <c r="AH4" s="9"/>
      <c r="AI4" s="9"/>
      <c r="AJ4" s="9"/>
      <c r="AK4" s="9"/>
      <c r="AL4" s="9"/>
      <c r="AM4" s="9"/>
    </row>
    <row r="5" spans="1:39">
      <c r="A5" s="128"/>
      <c r="B5" s="1" t="s">
        <v>73</v>
      </c>
      <c r="H5" s="2"/>
      <c r="I5" s="19">
        <v>49005</v>
      </c>
      <c r="J5" s="19">
        <v>50588</v>
      </c>
      <c r="K5" s="19">
        <v>52616</v>
      </c>
      <c r="L5" s="19">
        <v>54953</v>
      </c>
      <c r="M5" s="19">
        <v>56229</v>
      </c>
      <c r="N5" s="19">
        <v>59439</v>
      </c>
      <c r="O5" s="19">
        <v>60088</v>
      </c>
      <c r="P5" s="19">
        <v>62464</v>
      </c>
      <c r="Q5" s="19">
        <v>65575</v>
      </c>
      <c r="R5" s="19">
        <v>67736</v>
      </c>
      <c r="S5" s="19">
        <v>69946</v>
      </c>
      <c r="U5" s="10">
        <f>((((L5/I5))^(1/3))-1)*100</f>
        <v>3.8923741713312143</v>
      </c>
      <c r="V5" s="10">
        <f>((((S5/L5))^(1/7))-1)*100</f>
        <v>3.5064357459024587</v>
      </c>
      <c r="W5" s="25"/>
      <c r="X5" s="10">
        <f>((S5/I5)-1)*100</f>
        <v>42.732374247525762</v>
      </c>
    </row>
    <row r="6" spans="1:39">
      <c r="A6" s="128"/>
      <c r="B6" s="1" t="s">
        <v>1630</v>
      </c>
      <c r="H6" s="2"/>
      <c r="I6" s="19">
        <f>I5/'4'!B21*100</f>
        <v>54209.070796460175</v>
      </c>
      <c r="J6" s="19">
        <f>J5/'4'!B22*100</f>
        <v>55408.543263964952</v>
      </c>
      <c r="K6" s="19">
        <f>K5/'4'!B23*100</f>
        <v>56637.244348762099</v>
      </c>
      <c r="L6" s="19">
        <f>L5/'4'!B24*100</f>
        <v>57602.725366876301</v>
      </c>
      <c r="M6" s="19">
        <f>M5/'4'!B25*100</f>
        <v>57493.865030674853</v>
      </c>
      <c r="N6" s="19">
        <f>N5/'4'!B26*100</f>
        <v>59439</v>
      </c>
      <c r="O6" s="19">
        <f>O5/'4'!B27*100</f>
        <v>58451.361867704283</v>
      </c>
      <c r="P6" s="19">
        <f>P5/'4'!B28*100</f>
        <v>59659.980897803245</v>
      </c>
      <c r="Q6" s="19">
        <f>Q5/'4'!B29*100</f>
        <v>61285.04672897196</v>
      </c>
      <c r="R6" s="19">
        <f>R5/'4'!B30*100</f>
        <v>62086.159486709446</v>
      </c>
      <c r="S6" s="19">
        <f>S5/'4'!B31*100</f>
        <v>62731.838565022415</v>
      </c>
      <c r="U6" s="10">
        <f>((((L6/I6))^(1/3))-1)*100</f>
        <v>2.0446772062368668</v>
      </c>
      <c r="V6" s="10">
        <f>((((S6/L6))^(1/7))-1)*100</f>
        <v>1.2260151092171379</v>
      </c>
      <c r="W6" s="45"/>
      <c r="X6" s="10">
        <f>((S6/I6)-1)*100</f>
        <v>15.722032573778733</v>
      </c>
    </row>
    <row r="7" spans="1:39">
      <c r="A7" s="128"/>
      <c r="B7" s="1" t="s">
        <v>1631</v>
      </c>
      <c r="H7" s="2"/>
      <c r="I7" s="19">
        <f>I5/'5'!B21*100</f>
        <v>53498.908296943242</v>
      </c>
      <c r="J7" s="19">
        <f>J5/'5'!B22*100</f>
        <v>54571.73678532902</v>
      </c>
      <c r="K7" s="19">
        <f>K5/'5'!B23*100</f>
        <v>55796.394485683995</v>
      </c>
      <c r="L7" s="19">
        <f>L5/'5'!B24*100</f>
        <v>57064.382139148496</v>
      </c>
      <c r="M7" s="19">
        <f>M5/'5'!B25*100</f>
        <v>57318.042813455657</v>
      </c>
      <c r="N7" s="19">
        <f>N5/'5'!B26*100</f>
        <v>59439</v>
      </c>
      <c r="O7" s="19">
        <f>O5/'5'!B27*100</f>
        <v>59141.732283464567</v>
      </c>
      <c r="P7" s="19">
        <f>P5/'5'!B28*100</f>
        <v>60527.131782945733</v>
      </c>
      <c r="Q7" s="19">
        <f>Q5/'5'!B29*100</f>
        <v>62452.380952380954</v>
      </c>
      <c r="R7" s="19">
        <f>R5/'5'!B30*100</f>
        <v>63601.877934272292</v>
      </c>
      <c r="S7" s="19">
        <f>S5/'5'!B31*100</f>
        <v>64645.101663585941</v>
      </c>
      <c r="U7" s="10">
        <f>((((L7/I7))^(1/3))-1)*100</f>
        <v>2.1739225094757453</v>
      </c>
      <c r="V7" s="10">
        <f>((((S7/L7))^(1/7))-1)*100</f>
        <v>1.7978588314343735</v>
      </c>
      <c r="W7" s="45"/>
      <c r="X7" s="10">
        <f>((S7/I7)-1)*100</f>
        <v>20.834431433210309</v>
      </c>
    </row>
    <row r="8" spans="1:39">
      <c r="A8" s="128"/>
      <c r="H8" s="2"/>
      <c r="I8" s="19"/>
      <c r="J8" s="19"/>
      <c r="K8" s="19"/>
      <c r="L8" s="19"/>
      <c r="M8" s="19"/>
      <c r="N8" s="19"/>
      <c r="O8" s="19"/>
      <c r="P8" s="19"/>
      <c r="Q8" s="19"/>
      <c r="R8" s="19"/>
      <c r="S8" s="19"/>
      <c r="U8" s="6"/>
      <c r="V8" s="6"/>
      <c r="W8" s="45"/>
      <c r="X8" s="10"/>
      <c r="Z8" s="19"/>
      <c r="AA8" s="19"/>
      <c r="AB8" s="19"/>
      <c r="AC8" s="19"/>
      <c r="AD8" s="19"/>
      <c r="AE8" s="19"/>
      <c r="AF8" s="19"/>
      <c r="AG8" s="19"/>
      <c r="AH8" s="19"/>
      <c r="AI8" s="19"/>
    </row>
    <row r="9" spans="1:39">
      <c r="C9" s="1" t="s">
        <v>74</v>
      </c>
      <c r="H9" s="2"/>
      <c r="I9" s="19">
        <v>34604</v>
      </c>
      <c r="J9" s="19">
        <v>35874</v>
      </c>
      <c r="K9" s="19">
        <v>36984</v>
      </c>
      <c r="L9" s="19">
        <v>38667</v>
      </c>
      <c r="M9" s="19">
        <v>40122</v>
      </c>
      <c r="N9" s="19">
        <v>42665</v>
      </c>
      <c r="O9" s="19">
        <v>42997</v>
      </c>
      <c r="P9" s="19">
        <v>44678</v>
      </c>
      <c r="Q9" s="19">
        <v>46610</v>
      </c>
      <c r="R9" s="19">
        <v>48765</v>
      </c>
      <c r="S9" s="19">
        <v>49766</v>
      </c>
      <c r="U9" s="10">
        <f>((((L9/I9))^(1/3))-1)*100</f>
        <v>3.769898439843522</v>
      </c>
      <c r="V9" s="10">
        <f>((((S9/L9))^(1/7))-1)*100</f>
        <v>3.6707013657740095</v>
      </c>
      <c r="W9" s="25"/>
      <c r="X9" s="10">
        <f>((S9/I9)-1)*100</f>
        <v>43.815743844642242</v>
      </c>
    </row>
    <row r="10" spans="1:39">
      <c r="H10" s="2"/>
      <c r="I10" s="19"/>
      <c r="J10" s="19"/>
      <c r="K10" s="19"/>
      <c r="L10" s="19"/>
      <c r="M10" s="19"/>
      <c r="N10" s="19"/>
      <c r="O10" s="19"/>
      <c r="P10" s="19"/>
      <c r="Q10" s="19"/>
      <c r="R10" s="19"/>
      <c r="S10" s="19"/>
      <c r="U10" s="10"/>
      <c r="V10" s="10"/>
      <c r="W10" s="25"/>
      <c r="X10" s="10"/>
    </row>
    <row r="11" spans="1:39">
      <c r="D11" s="1" t="s">
        <v>75</v>
      </c>
      <c r="H11" s="2"/>
      <c r="I11" s="19">
        <v>5608</v>
      </c>
      <c r="J11" s="19">
        <v>5795</v>
      </c>
      <c r="K11" s="19">
        <v>5981</v>
      </c>
      <c r="L11" s="19">
        <v>6080</v>
      </c>
      <c r="M11" s="19">
        <v>6285</v>
      </c>
      <c r="N11" s="19">
        <v>6553</v>
      </c>
      <c r="O11" s="19">
        <v>6618</v>
      </c>
      <c r="P11" s="19">
        <v>6772</v>
      </c>
      <c r="Q11" s="19">
        <v>6978</v>
      </c>
      <c r="R11" s="19">
        <v>7046</v>
      </c>
      <c r="S11" s="19">
        <v>7305</v>
      </c>
      <c r="U11" s="10">
        <f t="shared" ref="U11:U24" si="0">((((L11/I11))^(1/3))-1)*100</f>
        <v>2.7302925249661936</v>
      </c>
      <c r="V11" s="10">
        <f t="shared" ref="V11:V24" si="1">((((S11/L11))^(1/7))-1)*100</f>
        <v>2.6568872671694388</v>
      </c>
      <c r="W11" s="25"/>
      <c r="X11" s="10">
        <f>((S11/I11)-1)*100</f>
        <v>30.260342368045645</v>
      </c>
    </row>
    <row r="12" spans="1:39">
      <c r="D12" s="1" t="s">
        <v>76</v>
      </c>
      <c r="H12" s="2"/>
      <c r="I12" s="19">
        <v>9463</v>
      </c>
      <c r="J12" s="19">
        <v>9724</v>
      </c>
      <c r="K12" s="19">
        <v>9865</v>
      </c>
      <c r="L12" s="19">
        <v>10159</v>
      </c>
      <c r="M12" s="19">
        <v>10551</v>
      </c>
      <c r="N12" s="19">
        <v>11079</v>
      </c>
      <c r="O12" s="19">
        <v>11419</v>
      </c>
      <c r="P12" s="19">
        <v>11987</v>
      </c>
      <c r="Q12" s="19">
        <v>12376</v>
      </c>
      <c r="R12" s="19">
        <v>12986</v>
      </c>
      <c r="S12" s="19">
        <v>13643</v>
      </c>
      <c r="U12" s="10">
        <f t="shared" si="0"/>
        <v>2.3938894531560839</v>
      </c>
      <c r="V12" s="10">
        <f t="shared" si="1"/>
        <v>4.3023590742576889</v>
      </c>
      <c r="W12" s="25"/>
      <c r="X12" s="10">
        <f>((S12/I12)-1)*100</f>
        <v>44.172038465602867</v>
      </c>
    </row>
    <row r="13" spans="1:39">
      <c r="D13" s="1" t="s">
        <v>77</v>
      </c>
      <c r="H13" s="2"/>
      <c r="I13" s="19">
        <v>2246</v>
      </c>
      <c r="J13" s="19">
        <v>2323</v>
      </c>
      <c r="K13" s="19">
        <v>2373</v>
      </c>
      <c r="L13" s="19">
        <v>2473</v>
      </c>
      <c r="M13" s="19">
        <v>2563</v>
      </c>
      <c r="N13" s="19">
        <v>2741</v>
      </c>
      <c r="O13" s="19">
        <v>2812</v>
      </c>
      <c r="P13" s="19">
        <v>2864</v>
      </c>
      <c r="Q13" s="19">
        <v>3027</v>
      </c>
      <c r="R13" s="19">
        <v>3251</v>
      </c>
      <c r="S13" s="19">
        <v>3287</v>
      </c>
      <c r="U13" s="10">
        <f t="shared" si="0"/>
        <v>3.2614267819418119</v>
      </c>
      <c r="V13" s="10">
        <f t="shared" si="1"/>
        <v>4.148652517662077</v>
      </c>
      <c r="W13" s="25"/>
      <c r="X13" s="10">
        <f t="shared" ref="X13:X24" si="2">((S13/I13)-1)*100</f>
        <v>46.349065004452349</v>
      </c>
    </row>
    <row r="14" spans="1:39">
      <c r="D14" s="1" t="s">
        <v>505</v>
      </c>
      <c r="H14" s="2"/>
      <c r="I14" s="19">
        <v>1348</v>
      </c>
      <c r="J14" s="19">
        <v>1518</v>
      </c>
      <c r="K14" s="19">
        <v>1498</v>
      </c>
      <c r="L14" s="19">
        <v>1575</v>
      </c>
      <c r="M14" s="19">
        <v>1661</v>
      </c>
      <c r="N14" s="19">
        <v>1810</v>
      </c>
      <c r="O14" s="19">
        <v>1779</v>
      </c>
      <c r="P14" s="19">
        <v>1871</v>
      </c>
      <c r="Q14" s="19">
        <v>1954</v>
      </c>
      <c r="R14" s="19">
        <v>2131</v>
      </c>
      <c r="S14" s="19">
        <v>1964</v>
      </c>
      <c r="U14" s="10">
        <f t="shared" si="0"/>
        <v>5.3246978636116493</v>
      </c>
      <c r="V14" s="10">
        <f t="shared" si="1"/>
        <v>3.2034980710373473</v>
      </c>
      <c r="W14" s="25"/>
      <c r="X14" s="10">
        <f t="shared" si="2"/>
        <v>45.697329376854597</v>
      </c>
    </row>
    <row r="15" spans="1:39">
      <c r="D15" s="1" t="s">
        <v>506</v>
      </c>
      <c r="H15" s="2"/>
      <c r="I15" s="19">
        <v>2153</v>
      </c>
      <c r="J15" s="19">
        <v>2188</v>
      </c>
      <c r="K15" s="19">
        <v>2290</v>
      </c>
      <c r="L15" s="19">
        <v>2311</v>
      </c>
      <c r="M15" s="19">
        <v>2347</v>
      </c>
      <c r="N15" s="19">
        <v>2421</v>
      </c>
      <c r="O15" s="19">
        <v>2401</v>
      </c>
      <c r="P15" s="19">
        <v>2470</v>
      </c>
      <c r="Q15" s="19">
        <v>2538</v>
      </c>
      <c r="R15" s="19">
        <v>2870</v>
      </c>
      <c r="S15" s="19">
        <v>2948</v>
      </c>
      <c r="U15" s="10">
        <f t="shared" si="0"/>
        <v>2.3886865533992108</v>
      </c>
      <c r="V15" s="10">
        <f t="shared" si="1"/>
        <v>3.5389921855232043</v>
      </c>
      <c r="W15" s="25"/>
      <c r="X15" s="10">
        <f t="shared" si="2"/>
        <v>36.925220622387364</v>
      </c>
    </row>
    <row r="16" spans="1:39">
      <c r="D16" s="1" t="s">
        <v>507</v>
      </c>
      <c r="H16" s="2"/>
      <c r="I16" s="19">
        <v>6166</v>
      </c>
      <c r="J16" s="19">
        <v>6325</v>
      </c>
      <c r="K16" s="19">
        <v>6819</v>
      </c>
      <c r="L16" s="19">
        <v>7495</v>
      </c>
      <c r="M16" s="19">
        <v>7463</v>
      </c>
      <c r="N16" s="19">
        <v>8337</v>
      </c>
      <c r="O16" s="19">
        <v>8179</v>
      </c>
      <c r="P16" s="19">
        <v>8476</v>
      </c>
      <c r="Q16" s="19">
        <v>8914</v>
      </c>
      <c r="R16" s="19">
        <v>9240</v>
      </c>
      <c r="S16" s="19">
        <v>9395</v>
      </c>
      <c r="U16" s="10">
        <f t="shared" si="0"/>
        <v>6.7225119890197194</v>
      </c>
      <c r="V16" s="10">
        <f t="shared" si="1"/>
        <v>3.2803921321650886</v>
      </c>
      <c r="W16" s="25"/>
      <c r="X16" s="10">
        <f t="shared" si="2"/>
        <v>52.367823548491721</v>
      </c>
    </row>
    <row r="17" spans="1:24">
      <c r="D17" s="1" t="s">
        <v>508</v>
      </c>
      <c r="H17" s="2"/>
      <c r="I17" s="19">
        <v>1133</v>
      </c>
      <c r="J17" s="19">
        <v>1168</v>
      </c>
      <c r="K17" s="19">
        <v>1245</v>
      </c>
      <c r="L17" s="19">
        <v>1331</v>
      </c>
      <c r="M17" s="19">
        <v>1386</v>
      </c>
      <c r="N17" s="19">
        <v>1561</v>
      </c>
      <c r="O17" s="19">
        <v>1553</v>
      </c>
      <c r="P17" s="19">
        <v>1653</v>
      </c>
      <c r="Q17" s="19">
        <v>1755</v>
      </c>
      <c r="R17" s="19">
        <v>1867</v>
      </c>
      <c r="S17" s="19">
        <v>1932</v>
      </c>
      <c r="U17" s="10">
        <f t="shared" si="0"/>
        <v>5.5154483207712213</v>
      </c>
      <c r="V17" s="10">
        <f t="shared" si="1"/>
        <v>5.4674481431536748</v>
      </c>
      <c r="W17" s="25"/>
      <c r="X17" s="10">
        <f t="shared" si="2"/>
        <v>70.520741394527803</v>
      </c>
    </row>
    <row r="18" spans="1:24">
      <c r="D18" s="1" t="s">
        <v>509</v>
      </c>
      <c r="H18" s="2"/>
      <c r="I18" s="19">
        <v>653</v>
      </c>
      <c r="J18" s="19">
        <v>682</v>
      </c>
      <c r="K18" s="19">
        <v>699</v>
      </c>
      <c r="L18" s="19">
        <v>732</v>
      </c>
      <c r="M18" s="19">
        <v>944</v>
      </c>
      <c r="N18" s="19">
        <v>820</v>
      </c>
      <c r="O18" s="19">
        <v>825</v>
      </c>
      <c r="P18" s="19">
        <v>882</v>
      </c>
      <c r="Q18" s="19">
        <v>1071</v>
      </c>
      <c r="R18" s="19">
        <v>1158</v>
      </c>
      <c r="S18" s="19">
        <v>1167</v>
      </c>
      <c r="U18" s="10">
        <f t="shared" si="0"/>
        <v>3.8801655940457591</v>
      </c>
      <c r="V18" s="10">
        <f t="shared" si="1"/>
        <v>6.8900082800189111</v>
      </c>
      <c r="W18" s="25"/>
      <c r="X18" s="10">
        <f t="shared" si="2"/>
        <v>78.713629402756496</v>
      </c>
    </row>
    <row r="19" spans="1:24">
      <c r="D19" s="1" t="s">
        <v>510</v>
      </c>
      <c r="H19" s="2"/>
      <c r="I19" s="19">
        <v>2749</v>
      </c>
      <c r="J19" s="19">
        <v>2924</v>
      </c>
      <c r="K19" s="19">
        <v>2933</v>
      </c>
      <c r="L19" s="19">
        <v>3153</v>
      </c>
      <c r="M19" s="19">
        <v>3400</v>
      </c>
      <c r="N19" s="19">
        <v>3520</v>
      </c>
      <c r="O19" s="19">
        <v>3533</v>
      </c>
      <c r="P19" s="19">
        <v>3619</v>
      </c>
      <c r="Q19" s="19">
        <v>3850</v>
      </c>
      <c r="R19" s="19">
        <v>3975</v>
      </c>
      <c r="S19" s="19">
        <v>3976</v>
      </c>
      <c r="U19" s="10">
        <f t="shared" si="0"/>
        <v>4.676632720420093</v>
      </c>
      <c r="V19" s="10">
        <f t="shared" si="1"/>
        <v>3.3686668026654765</v>
      </c>
      <c r="W19" s="25"/>
      <c r="X19" s="10">
        <f>((S19/I19)-1)*100</f>
        <v>44.63441251364133</v>
      </c>
    </row>
    <row r="20" spans="1:24">
      <c r="D20" s="1" t="s">
        <v>511</v>
      </c>
      <c r="H20" s="2"/>
      <c r="I20" s="19">
        <v>269</v>
      </c>
      <c r="J20" s="19">
        <v>273</v>
      </c>
      <c r="K20" s="19">
        <v>272</v>
      </c>
      <c r="L20" s="19">
        <v>270</v>
      </c>
      <c r="M20" s="19">
        <v>269</v>
      </c>
      <c r="N20" s="19">
        <v>280</v>
      </c>
      <c r="O20" s="19">
        <v>278</v>
      </c>
      <c r="P20" s="19">
        <v>278</v>
      </c>
      <c r="Q20" s="19">
        <v>278</v>
      </c>
      <c r="R20" s="19">
        <v>264</v>
      </c>
      <c r="S20" s="19">
        <v>260</v>
      </c>
      <c r="U20" s="10">
        <f t="shared" si="0"/>
        <v>0.12376250253862686</v>
      </c>
      <c r="V20" s="10">
        <f t="shared" si="1"/>
        <v>-0.53769675072252721</v>
      </c>
      <c r="W20" s="25"/>
      <c r="X20" s="10">
        <f t="shared" si="2"/>
        <v>-3.3457249070631967</v>
      </c>
    </row>
    <row r="21" spans="1:24">
      <c r="D21" s="1" t="s">
        <v>512</v>
      </c>
      <c r="H21" s="2"/>
      <c r="I21" s="19">
        <v>674</v>
      </c>
      <c r="J21" s="19">
        <v>704</v>
      </c>
      <c r="K21" s="19">
        <v>746</v>
      </c>
      <c r="L21" s="19">
        <v>827</v>
      </c>
      <c r="M21" s="19">
        <v>882</v>
      </c>
      <c r="N21" s="19">
        <v>907</v>
      </c>
      <c r="O21" s="19">
        <v>1013</v>
      </c>
      <c r="P21" s="19">
        <v>1067</v>
      </c>
      <c r="Q21" s="19">
        <v>1214</v>
      </c>
      <c r="R21" s="19">
        <v>1157</v>
      </c>
      <c r="S21" s="19">
        <v>1017</v>
      </c>
      <c r="U21" s="10">
        <f t="shared" si="0"/>
        <v>7.0570333078670222</v>
      </c>
      <c r="V21" s="10">
        <f t="shared" si="1"/>
        <v>2.998470981264556</v>
      </c>
      <c r="W21" s="25"/>
      <c r="X21" s="10">
        <f t="shared" si="2"/>
        <v>50.890207715133528</v>
      </c>
    </row>
    <row r="22" spans="1:24">
      <c r="D22" s="1" t="s">
        <v>513</v>
      </c>
      <c r="H22" s="2"/>
      <c r="I22" s="19">
        <v>1123</v>
      </c>
      <c r="J22" s="19">
        <v>1203</v>
      </c>
      <c r="K22" s="19">
        <v>1172</v>
      </c>
      <c r="L22" s="19">
        <v>1199</v>
      </c>
      <c r="M22" s="19">
        <v>1283</v>
      </c>
      <c r="N22" s="19">
        <v>1460</v>
      </c>
      <c r="O22" s="19">
        <v>1455</v>
      </c>
      <c r="P22" s="19">
        <v>1480</v>
      </c>
      <c r="Q22" s="19">
        <v>1398</v>
      </c>
      <c r="R22" s="19">
        <v>1475</v>
      </c>
      <c r="S22" s="19">
        <v>1536</v>
      </c>
      <c r="U22" s="10">
        <f t="shared" si="0"/>
        <v>2.2068041896023072</v>
      </c>
      <c r="V22" s="10">
        <f t="shared" si="1"/>
        <v>3.6018315431118664</v>
      </c>
      <c r="W22" s="25"/>
      <c r="X22" s="10">
        <f t="shared" si="2"/>
        <v>36.776491540516474</v>
      </c>
    </row>
    <row r="23" spans="1:24">
      <c r="A23" s="128"/>
      <c r="D23" s="1" t="s">
        <v>1130</v>
      </c>
      <c r="H23" s="2"/>
      <c r="I23" s="19">
        <v>241</v>
      </c>
      <c r="J23" s="19">
        <v>243</v>
      </c>
      <c r="K23" s="19">
        <v>258</v>
      </c>
      <c r="L23" s="19">
        <v>249</v>
      </c>
      <c r="M23" s="19">
        <v>254</v>
      </c>
      <c r="N23" s="19">
        <v>302</v>
      </c>
      <c r="O23" s="19">
        <v>262</v>
      </c>
      <c r="P23" s="19">
        <v>258</v>
      </c>
      <c r="Q23" s="19">
        <v>271</v>
      </c>
      <c r="R23" s="19">
        <v>258</v>
      </c>
      <c r="S23" s="19">
        <v>251</v>
      </c>
      <c r="U23" s="10">
        <f t="shared" si="0"/>
        <v>1.0944781651500257</v>
      </c>
      <c r="V23" s="10">
        <f t="shared" si="1"/>
        <v>0.11435165552047266</v>
      </c>
      <c r="W23" s="25"/>
      <c r="X23" s="10">
        <f t="shared" si="2"/>
        <v>4.1493775933610033</v>
      </c>
    </row>
    <row r="24" spans="1:24">
      <c r="D24" s="1" t="s">
        <v>1131</v>
      </c>
      <c r="H24" s="2"/>
      <c r="I24" s="19">
        <v>778</v>
      </c>
      <c r="J24" s="19">
        <v>805</v>
      </c>
      <c r="K24" s="19">
        <v>832</v>
      </c>
      <c r="L24" s="19">
        <v>811</v>
      </c>
      <c r="M24" s="19">
        <v>835</v>
      </c>
      <c r="N24" s="19">
        <v>875</v>
      </c>
      <c r="O24" s="19">
        <v>870</v>
      </c>
      <c r="P24" s="19">
        <v>1000</v>
      </c>
      <c r="Q24" s="19">
        <v>987</v>
      </c>
      <c r="R24" s="19">
        <v>1087</v>
      </c>
      <c r="S24" s="19">
        <v>1081</v>
      </c>
      <c r="U24" s="10">
        <f t="shared" si="0"/>
        <v>1.3943492851900441</v>
      </c>
      <c r="V24" s="10">
        <f t="shared" si="1"/>
        <v>4.1907736504131154</v>
      </c>
      <c r="W24" s="25"/>
      <c r="X24" s="10">
        <f t="shared" si="2"/>
        <v>38.946015424164514</v>
      </c>
    </row>
    <row r="25" spans="1:24">
      <c r="H25" s="2"/>
      <c r="I25" s="19"/>
      <c r="J25" s="19"/>
      <c r="K25" s="19"/>
      <c r="L25" s="19"/>
      <c r="M25" s="19"/>
      <c r="N25" s="19"/>
      <c r="O25" s="19"/>
      <c r="P25" s="19"/>
      <c r="Q25" s="19"/>
      <c r="R25" s="19"/>
      <c r="S25" s="19"/>
      <c r="U25" s="10"/>
      <c r="V25" s="10"/>
      <c r="W25" s="25"/>
      <c r="X25" s="10"/>
    </row>
    <row r="26" spans="1:24">
      <c r="C26" s="1" t="s">
        <v>1132</v>
      </c>
      <c r="H26" s="2"/>
      <c r="I26" s="19">
        <v>10492</v>
      </c>
      <c r="J26" s="19">
        <v>10847</v>
      </c>
      <c r="K26" s="19">
        <v>11451</v>
      </c>
      <c r="L26" s="19">
        <v>11955</v>
      </c>
      <c r="M26" s="19">
        <v>11845</v>
      </c>
      <c r="N26" s="19">
        <v>11970</v>
      </c>
      <c r="O26" s="19">
        <v>12181</v>
      </c>
      <c r="P26" s="19">
        <v>12601</v>
      </c>
      <c r="Q26" s="19">
        <v>13350</v>
      </c>
      <c r="R26" s="19">
        <v>13634</v>
      </c>
      <c r="S26" s="19">
        <v>14447</v>
      </c>
      <c r="U26" s="10">
        <f>((((L26/I26))^(1/3))-1)*100</f>
        <v>4.4472715531228779</v>
      </c>
      <c r="V26" s="10">
        <f>((((S26/L26))^(1/7))-1)*100</f>
        <v>2.7417290741469147</v>
      </c>
      <c r="W26" s="25"/>
      <c r="X26" s="10">
        <f>((S26/I26)-1)*100</f>
        <v>37.695386961494478</v>
      </c>
    </row>
    <row r="27" spans="1:24">
      <c r="H27" s="2"/>
      <c r="I27" s="19"/>
      <c r="J27" s="19"/>
      <c r="K27" s="19"/>
      <c r="L27" s="19"/>
      <c r="M27" s="19"/>
      <c r="N27" s="19"/>
      <c r="O27" s="19"/>
      <c r="P27" s="19"/>
      <c r="Q27" s="19"/>
      <c r="R27" s="19"/>
      <c r="S27" s="19"/>
      <c r="U27" s="6"/>
      <c r="V27" s="6"/>
      <c r="W27" s="45"/>
      <c r="X27" s="10"/>
    </row>
    <row r="28" spans="1:24" ht="26.25" customHeight="1">
      <c r="C28" s="1267" t="s">
        <v>1133</v>
      </c>
      <c r="D28" s="1267"/>
      <c r="E28" s="1267"/>
      <c r="F28" s="1267"/>
      <c r="G28" s="1267"/>
      <c r="H28" s="1268"/>
      <c r="I28" s="676">
        <v>2695</v>
      </c>
      <c r="J28" s="676">
        <v>2729</v>
      </c>
      <c r="K28" s="676">
        <v>2815</v>
      </c>
      <c r="L28" s="676">
        <v>3079</v>
      </c>
      <c r="M28" s="676">
        <v>3040</v>
      </c>
      <c r="N28" s="676">
        <v>3388</v>
      </c>
      <c r="O28" s="676">
        <v>3425</v>
      </c>
      <c r="P28" s="676">
        <v>3567</v>
      </c>
      <c r="Q28" s="676">
        <v>3831</v>
      </c>
      <c r="R28" s="676">
        <v>3832</v>
      </c>
      <c r="S28" s="676">
        <v>3946</v>
      </c>
      <c r="T28" s="603"/>
      <c r="U28" s="12">
        <f>((((L28/I28))^(1/3))-1)*100</f>
        <v>4.5402753828139408</v>
      </c>
      <c r="V28" s="10">
        <f>((((S28/L28))^(1/7))-1)*100</f>
        <v>3.6078077647953677</v>
      </c>
      <c r="W28" s="33"/>
      <c r="X28" s="10">
        <f>((S28/I28)-1)*100</f>
        <v>46.419294990723571</v>
      </c>
    </row>
    <row r="29" spans="1:24" s="114" customFormat="1">
      <c r="A29" s="1"/>
      <c r="B29" s="1"/>
      <c r="C29" s="1"/>
      <c r="D29" s="1"/>
      <c r="E29" s="1"/>
      <c r="F29" s="1"/>
      <c r="G29" s="1"/>
      <c r="H29" s="2"/>
      <c r="I29" s="19"/>
      <c r="J29" s="19"/>
      <c r="K29" s="19"/>
      <c r="L29" s="19"/>
      <c r="M29" s="19"/>
      <c r="N29" s="19"/>
      <c r="O29" s="19"/>
      <c r="P29" s="19"/>
      <c r="Q29" s="19"/>
      <c r="R29" s="19"/>
      <c r="S29" s="19"/>
      <c r="U29" s="10"/>
      <c r="V29" s="10"/>
      <c r="W29" s="25"/>
      <c r="X29" s="10"/>
    </row>
    <row r="30" spans="1:24" s="114" customFormat="1">
      <c r="A30" s="1"/>
      <c r="B30" s="1"/>
      <c r="C30" s="1" t="s">
        <v>1134</v>
      </c>
      <c r="D30" s="1"/>
      <c r="E30" s="1"/>
      <c r="F30" s="1"/>
      <c r="G30" s="1"/>
      <c r="H30" s="2"/>
      <c r="I30" s="652">
        <v>1213</v>
      </c>
      <c r="J30" s="652">
        <v>1138</v>
      </c>
      <c r="K30" s="652">
        <v>1367</v>
      </c>
      <c r="L30" s="652">
        <v>1252</v>
      </c>
      <c r="M30" s="652">
        <v>1223</v>
      </c>
      <c r="N30" s="652">
        <v>1416</v>
      </c>
      <c r="O30" s="652">
        <v>1485</v>
      </c>
      <c r="P30" s="652">
        <v>1619</v>
      </c>
      <c r="Q30" s="652">
        <v>1784</v>
      </c>
      <c r="R30" s="652">
        <v>1505</v>
      </c>
      <c r="S30" s="652">
        <v>1788</v>
      </c>
      <c r="U30" s="10">
        <f>((((L30/I30))^(1/3))-1)*100</f>
        <v>1.0604379642997763</v>
      </c>
      <c r="V30" s="10">
        <f>((((S30/L30))^(1/7))-1)*100</f>
        <v>5.222599445182019</v>
      </c>
      <c r="W30" s="25"/>
      <c r="X30" s="10">
        <f>((S30/I30)-1)*100</f>
        <v>47.403132728771638</v>
      </c>
    </row>
    <row r="31" spans="1:24">
      <c r="I31" s="39"/>
      <c r="J31" s="39"/>
      <c r="K31" s="19"/>
      <c r="L31" s="19"/>
      <c r="M31" s="19"/>
      <c r="N31" s="19"/>
      <c r="O31" s="19"/>
      <c r="P31" s="19"/>
      <c r="Q31" s="19"/>
      <c r="R31" s="19"/>
      <c r="S31" s="19"/>
      <c r="U31" s="10"/>
      <c r="V31" s="10"/>
      <c r="W31" s="25"/>
      <c r="X31" s="10"/>
    </row>
    <row r="33" spans="1:24" ht="24" customHeight="1">
      <c r="A33" s="1170" t="s">
        <v>72</v>
      </c>
      <c r="B33" s="1170"/>
      <c r="C33" s="1170"/>
      <c r="D33" s="1170"/>
      <c r="E33" s="1170"/>
      <c r="F33" s="1170"/>
      <c r="G33" s="1170"/>
      <c r="H33" s="1170"/>
      <c r="I33" s="1170"/>
      <c r="J33" s="1170"/>
      <c r="K33" s="1170"/>
      <c r="L33" s="1170"/>
      <c r="M33" s="1170"/>
      <c r="N33" s="1170"/>
      <c r="O33" s="1170"/>
      <c r="P33" s="1170"/>
      <c r="Q33" s="1170"/>
      <c r="R33" s="1170"/>
      <c r="S33" s="1170"/>
      <c r="T33" s="1170"/>
      <c r="U33" s="1170"/>
      <c r="V33" s="1170"/>
      <c r="W33" s="1170"/>
      <c r="X33" s="1170"/>
    </row>
    <row r="34" spans="1:24" ht="12.75" customHeight="1">
      <c r="A34" s="13" t="s">
        <v>388</v>
      </c>
      <c r="B34" s="643"/>
      <c r="C34" s="643"/>
      <c r="D34" s="643"/>
      <c r="E34" s="643"/>
      <c r="F34" s="643"/>
      <c r="G34" s="643"/>
      <c r="H34" s="643"/>
      <c r="I34" s="643"/>
      <c r="J34" s="643"/>
      <c r="K34" s="643"/>
      <c r="L34" s="643"/>
      <c r="M34" s="643"/>
      <c r="N34" s="643"/>
      <c r="O34" s="643"/>
      <c r="P34" s="643"/>
      <c r="Q34" s="643"/>
      <c r="R34" s="643"/>
      <c r="S34" s="643"/>
      <c r="T34" s="643"/>
      <c r="U34" s="643"/>
      <c r="V34" s="643"/>
      <c r="W34" s="643"/>
      <c r="X34" s="643"/>
    </row>
    <row r="35" spans="1:24">
      <c r="A35" s="149" t="s">
        <v>1664</v>
      </c>
      <c r="B35" s="16"/>
      <c r="C35" s="16"/>
      <c r="D35" s="16"/>
      <c r="E35" s="16"/>
      <c r="F35" s="16"/>
      <c r="G35" s="16"/>
      <c r="H35" s="16"/>
      <c r="I35" s="16"/>
      <c r="J35" s="16"/>
      <c r="K35" s="16"/>
      <c r="L35" s="16"/>
      <c r="M35" s="16"/>
      <c r="N35" s="16"/>
      <c r="O35" s="16"/>
      <c r="P35" s="16"/>
      <c r="Q35" s="16"/>
      <c r="R35" s="16"/>
      <c r="S35" s="16"/>
      <c r="T35" s="16"/>
      <c r="U35" s="16"/>
      <c r="V35" s="16"/>
      <c r="W35" s="16"/>
      <c r="X35" s="16"/>
    </row>
    <row r="36" spans="1:24">
      <c r="A36" s="1" t="s">
        <v>1135</v>
      </c>
    </row>
    <row r="38" spans="1:24" hidden="1">
      <c r="H38" s="846" t="s">
        <v>1665</v>
      </c>
    </row>
    <row r="39" spans="1:24" hidden="1">
      <c r="H39" s="846" t="s">
        <v>1666</v>
      </c>
    </row>
    <row r="40" spans="1:24" hidden="1">
      <c r="H40" s="846" t="s">
        <v>1667</v>
      </c>
    </row>
    <row r="41" spans="1:24" hidden="1">
      <c r="H41" s="846" t="s">
        <v>1668</v>
      </c>
    </row>
    <row r="42" spans="1:24" hidden="1">
      <c r="H42" s="846" t="s">
        <v>1669</v>
      </c>
    </row>
    <row r="43" spans="1:24" hidden="1">
      <c r="H43" s="846" t="s">
        <v>1670</v>
      </c>
    </row>
    <row r="44" spans="1:24" hidden="1">
      <c r="H44" s="846" t="s">
        <v>1671</v>
      </c>
    </row>
    <row r="45" spans="1:24" hidden="1">
      <c r="H45" s="846" t="s">
        <v>1672</v>
      </c>
    </row>
    <row r="46" spans="1:24" hidden="1">
      <c r="H46" s="846" t="s">
        <v>1673</v>
      </c>
    </row>
    <row r="47" spans="1:24" hidden="1">
      <c r="H47" s="846" t="s">
        <v>1674</v>
      </c>
    </row>
    <row r="48" spans="1:24" hidden="1">
      <c r="H48" s="846" t="s">
        <v>1675</v>
      </c>
    </row>
    <row r="49" spans="8:27" hidden="1">
      <c r="H49" s="846" t="s">
        <v>1676</v>
      </c>
    </row>
    <row r="50" spans="8:27" hidden="1">
      <c r="H50" s="846" t="s">
        <v>1677</v>
      </c>
    </row>
    <row r="51" spans="8:27" hidden="1">
      <c r="H51" s="846" t="s">
        <v>1678</v>
      </c>
    </row>
    <row r="52" spans="8:27" hidden="1">
      <c r="H52" s="846" t="s">
        <v>1679</v>
      </c>
    </row>
    <row r="53" spans="8:27" hidden="1">
      <c r="H53" s="846" t="s">
        <v>1680</v>
      </c>
    </row>
    <row r="54" spans="8:27" ht="15" hidden="1">
      <c r="H54" s="846" t="s">
        <v>1681</v>
      </c>
      <c r="I54" s="847"/>
      <c r="J54" s="847"/>
      <c r="K54" s="847"/>
      <c r="L54" s="847"/>
      <c r="M54" s="847"/>
      <c r="N54" s="847"/>
      <c r="O54" s="847"/>
      <c r="P54" s="847"/>
      <c r="Q54" s="847"/>
      <c r="R54" s="847"/>
      <c r="S54" s="847"/>
      <c r="T54" s="847"/>
      <c r="U54" s="847"/>
      <c r="V54" s="847"/>
      <c r="W54" s="847"/>
      <c r="X54" s="847"/>
      <c r="Y54" s="847"/>
      <c r="Z54" s="847"/>
      <c r="AA54" s="847"/>
    </row>
    <row r="55" spans="8:27" ht="15" hidden="1">
      <c r="H55" s="846" t="s">
        <v>1682</v>
      </c>
      <c r="I55" s="847"/>
      <c r="J55" s="847"/>
      <c r="K55" s="847"/>
      <c r="L55" s="847"/>
      <c r="M55" s="847"/>
      <c r="N55" s="847"/>
      <c r="O55" s="847"/>
      <c r="P55" s="847"/>
      <c r="Q55" s="847"/>
      <c r="R55" s="847"/>
      <c r="S55" s="847"/>
      <c r="T55" s="847"/>
      <c r="U55" s="847"/>
      <c r="V55" s="847"/>
      <c r="W55" s="847"/>
      <c r="X55" s="847"/>
      <c r="Y55" s="847"/>
      <c r="Z55" s="847"/>
      <c r="AA55" s="847"/>
    </row>
    <row r="56" spans="8:27" ht="15" hidden="1">
      <c r="H56" s="846" t="s">
        <v>1683</v>
      </c>
      <c r="I56" s="847"/>
      <c r="J56" s="847"/>
      <c r="K56" s="847"/>
      <c r="L56" s="847"/>
      <c r="M56" s="847"/>
      <c r="N56" s="847"/>
      <c r="O56" s="847"/>
      <c r="P56" s="847"/>
      <c r="Q56" s="847"/>
      <c r="R56" s="847"/>
      <c r="S56" s="847"/>
      <c r="T56" s="847"/>
      <c r="U56" s="847"/>
      <c r="V56" s="847"/>
      <c r="W56" s="847"/>
      <c r="X56" s="847"/>
      <c r="Y56" s="847"/>
      <c r="Z56" s="847"/>
      <c r="AA56" s="847"/>
    </row>
    <row r="57" spans="8:27" ht="15" hidden="1">
      <c r="H57" s="846" t="s">
        <v>1684</v>
      </c>
      <c r="I57" s="847"/>
      <c r="J57" s="847"/>
      <c r="K57" s="847"/>
      <c r="L57" s="847"/>
      <c r="M57" s="847"/>
      <c r="N57" s="847"/>
      <c r="O57" s="847"/>
      <c r="P57" s="847"/>
      <c r="Q57" s="847"/>
      <c r="R57" s="847"/>
      <c r="S57" s="847"/>
      <c r="T57" s="847"/>
      <c r="U57" s="847"/>
      <c r="V57" s="847"/>
      <c r="W57" s="847"/>
      <c r="X57" s="847"/>
      <c r="Y57" s="847"/>
      <c r="Z57" s="847"/>
      <c r="AA57" s="847"/>
    </row>
    <row r="58" spans="8:27" hidden="1"/>
    <row r="59" spans="8:27" ht="15">
      <c r="H59" s="846" t="s">
        <v>1685</v>
      </c>
      <c r="I59" s="847" t="s">
        <v>1686</v>
      </c>
      <c r="J59" s="847" t="s">
        <v>1687</v>
      </c>
      <c r="K59" s="847" t="s">
        <v>1688</v>
      </c>
      <c r="L59" s="847" t="s">
        <v>1689</v>
      </c>
      <c r="M59" s="847" t="s">
        <v>1690</v>
      </c>
      <c r="N59" s="847" t="s">
        <v>1691</v>
      </c>
      <c r="O59" s="847" t="s">
        <v>1692</v>
      </c>
      <c r="P59" s="847" t="s">
        <v>1693</v>
      </c>
      <c r="Q59" s="847" t="s">
        <v>1694</v>
      </c>
      <c r="R59" s="847" t="s">
        <v>1695</v>
      </c>
      <c r="S59" s="847" t="s">
        <v>1696</v>
      </c>
      <c r="T59" s="847" t="s">
        <v>1697</v>
      </c>
      <c r="U59" s="847" t="s">
        <v>1698</v>
      </c>
      <c r="V59" s="847" t="s">
        <v>1699</v>
      </c>
      <c r="W59" s="847" t="s">
        <v>1700</v>
      </c>
      <c r="X59" s="847" t="s">
        <v>1701</v>
      </c>
      <c r="Y59" s="847" t="s">
        <v>1702</v>
      </c>
      <c r="Z59" s="847" t="s">
        <v>1703</v>
      </c>
      <c r="AA59" s="847" t="s">
        <v>1704</v>
      </c>
    </row>
    <row r="60" spans="8:27" ht="15">
      <c r="H60" s="846">
        <v>1997</v>
      </c>
      <c r="I60" s="847">
        <v>49005</v>
      </c>
      <c r="J60" s="847">
        <v>34604</v>
      </c>
      <c r="K60" s="847">
        <v>5608</v>
      </c>
      <c r="L60" s="847">
        <v>9463</v>
      </c>
      <c r="M60" s="847">
        <v>2246</v>
      </c>
      <c r="N60" s="847">
        <v>1348</v>
      </c>
      <c r="O60" s="847">
        <v>2153</v>
      </c>
      <c r="P60" s="847">
        <v>6166</v>
      </c>
      <c r="Q60" s="847">
        <v>1133</v>
      </c>
      <c r="R60" s="847">
        <v>653</v>
      </c>
      <c r="S60" s="847">
        <v>2749</v>
      </c>
      <c r="T60" s="847">
        <v>269</v>
      </c>
      <c r="U60" s="847">
        <v>674</v>
      </c>
      <c r="V60" s="847">
        <v>1123</v>
      </c>
      <c r="W60" s="847">
        <v>241</v>
      </c>
      <c r="X60" s="847">
        <v>778</v>
      </c>
      <c r="Y60" s="847">
        <v>10492</v>
      </c>
      <c r="Z60" s="847">
        <v>2695</v>
      </c>
      <c r="AA60" s="847">
        <v>1213</v>
      </c>
    </row>
    <row r="61" spans="8:27" ht="15">
      <c r="H61" s="846">
        <v>1998</v>
      </c>
      <c r="I61" s="847">
        <v>50588</v>
      </c>
      <c r="J61" s="847">
        <v>35874</v>
      </c>
      <c r="K61" s="847">
        <v>5795</v>
      </c>
      <c r="L61" s="847">
        <v>9724</v>
      </c>
      <c r="M61" s="847">
        <v>2323</v>
      </c>
      <c r="N61" s="847">
        <v>1518</v>
      </c>
      <c r="O61" s="847">
        <v>2188</v>
      </c>
      <c r="P61" s="847">
        <v>6325</v>
      </c>
      <c r="Q61" s="847">
        <v>1168</v>
      </c>
      <c r="R61" s="847">
        <v>682</v>
      </c>
      <c r="S61" s="847">
        <v>2924</v>
      </c>
      <c r="T61" s="847">
        <v>273</v>
      </c>
      <c r="U61" s="847">
        <v>704</v>
      </c>
      <c r="V61" s="847">
        <v>1203</v>
      </c>
      <c r="W61" s="847">
        <v>243</v>
      </c>
      <c r="X61" s="847">
        <v>805</v>
      </c>
      <c r="Y61" s="847">
        <v>10847</v>
      </c>
      <c r="Z61" s="847">
        <v>2729</v>
      </c>
      <c r="AA61" s="847">
        <v>1138</v>
      </c>
    </row>
    <row r="62" spans="8:27" ht="15">
      <c r="H62" s="846">
        <v>1999</v>
      </c>
      <c r="I62" s="847">
        <v>52616</v>
      </c>
      <c r="J62" s="847">
        <v>36984</v>
      </c>
      <c r="K62" s="847">
        <v>5981</v>
      </c>
      <c r="L62" s="847">
        <v>9865</v>
      </c>
      <c r="M62" s="847">
        <v>2373</v>
      </c>
      <c r="N62" s="847">
        <v>1498</v>
      </c>
      <c r="O62" s="847">
        <v>2290</v>
      </c>
      <c r="P62" s="847">
        <v>6819</v>
      </c>
      <c r="Q62" s="847">
        <v>1245</v>
      </c>
      <c r="R62" s="847">
        <v>699</v>
      </c>
      <c r="S62" s="847">
        <v>2933</v>
      </c>
      <c r="T62" s="847">
        <v>272</v>
      </c>
      <c r="U62" s="847">
        <v>746</v>
      </c>
      <c r="V62" s="847">
        <v>1172</v>
      </c>
      <c r="W62" s="847">
        <v>258</v>
      </c>
      <c r="X62" s="847">
        <v>832</v>
      </c>
      <c r="Y62" s="847">
        <v>11451</v>
      </c>
      <c r="Z62" s="847">
        <v>2815</v>
      </c>
      <c r="AA62" s="847">
        <v>1367</v>
      </c>
    </row>
    <row r="63" spans="8:27" ht="15">
      <c r="H63" s="846">
        <v>2000</v>
      </c>
      <c r="I63" s="847">
        <v>54953</v>
      </c>
      <c r="J63" s="847">
        <v>38667</v>
      </c>
      <c r="K63" s="847">
        <v>6080</v>
      </c>
      <c r="L63" s="847">
        <v>10159</v>
      </c>
      <c r="M63" s="847">
        <v>2473</v>
      </c>
      <c r="N63" s="847">
        <v>1575</v>
      </c>
      <c r="O63" s="847">
        <v>2311</v>
      </c>
      <c r="P63" s="847">
        <v>7495</v>
      </c>
      <c r="Q63" s="847">
        <v>1331</v>
      </c>
      <c r="R63" s="847">
        <v>732</v>
      </c>
      <c r="S63" s="847">
        <v>3153</v>
      </c>
      <c r="T63" s="847">
        <v>270</v>
      </c>
      <c r="U63" s="847">
        <v>827</v>
      </c>
      <c r="V63" s="847">
        <v>1199</v>
      </c>
      <c r="W63" s="847">
        <v>249</v>
      </c>
      <c r="X63" s="847">
        <v>811</v>
      </c>
      <c r="Y63" s="847">
        <v>11955</v>
      </c>
      <c r="Z63" s="847">
        <v>3079</v>
      </c>
      <c r="AA63" s="847">
        <v>1252</v>
      </c>
    </row>
    <row r="64" spans="8:27" ht="15">
      <c r="H64" s="846">
        <v>2001</v>
      </c>
      <c r="I64" s="847">
        <v>56229</v>
      </c>
      <c r="J64" s="847">
        <v>40122</v>
      </c>
      <c r="K64" s="847">
        <v>6285</v>
      </c>
      <c r="L64" s="847">
        <v>10551</v>
      </c>
      <c r="M64" s="847">
        <v>2563</v>
      </c>
      <c r="N64" s="847">
        <v>1661</v>
      </c>
      <c r="O64" s="847">
        <v>2347</v>
      </c>
      <c r="P64" s="847">
        <v>7463</v>
      </c>
      <c r="Q64" s="847">
        <v>1386</v>
      </c>
      <c r="R64" s="847">
        <v>944</v>
      </c>
      <c r="S64" s="847">
        <v>3400</v>
      </c>
      <c r="T64" s="847">
        <v>269</v>
      </c>
      <c r="U64" s="847">
        <v>882</v>
      </c>
      <c r="V64" s="847">
        <v>1283</v>
      </c>
      <c r="W64" s="847">
        <v>254</v>
      </c>
      <c r="X64" s="847">
        <v>835</v>
      </c>
      <c r="Y64" s="847">
        <v>11845</v>
      </c>
      <c r="Z64" s="847">
        <v>3040</v>
      </c>
      <c r="AA64" s="847">
        <v>1223</v>
      </c>
    </row>
    <row r="65" spans="8:27" ht="15">
      <c r="H65" s="846">
        <v>2002</v>
      </c>
      <c r="I65" s="847">
        <v>59439</v>
      </c>
      <c r="J65" s="847">
        <v>42665</v>
      </c>
      <c r="K65" s="847">
        <v>6553</v>
      </c>
      <c r="L65" s="847">
        <v>11079</v>
      </c>
      <c r="M65" s="847">
        <v>2741</v>
      </c>
      <c r="N65" s="847">
        <v>1810</v>
      </c>
      <c r="O65" s="847">
        <v>2421</v>
      </c>
      <c r="P65" s="847">
        <v>8337</v>
      </c>
      <c r="Q65" s="847">
        <v>1561</v>
      </c>
      <c r="R65" s="847">
        <v>820</v>
      </c>
      <c r="S65" s="847">
        <v>3520</v>
      </c>
      <c r="T65" s="847">
        <v>280</v>
      </c>
      <c r="U65" s="847">
        <v>907</v>
      </c>
      <c r="V65" s="847">
        <v>1460</v>
      </c>
      <c r="W65" s="847">
        <v>302</v>
      </c>
      <c r="X65" s="847">
        <v>875</v>
      </c>
      <c r="Y65" s="847">
        <v>11970</v>
      </c>
      <c r="Z65" s="847">
        <v>3388</v>
      </c>
      <c r="AA65" s="847">
        <v>1416</v>
      </c>
    </row>
    <row r="66" spans="8:27" ht="15">
      <c r="H66" s="846">
        <v>2003</v>
      </c>
      <c r="I66" s="847">
        <v>60088</v>
      </c>
      <c r="J66" s="847">
        <v>42997</v>
      </c>
      <c r="K66" s="847">
        <v>6618</v>
      </c>
      <c r="L66" s="847">
        <v>11419</v>
      </c>
      <c r="M66" s="847">
        <v>2812</v>
      </c>
      <c r="N66" s="847">
        <v>1779</v>
      </c>
      <c r="O66" s="847">
        <v>2401</v>
      </c>
      <c r="P66" s="847">
        <v>8179</v>
      </c>
      <c r="Q66" s="847">
        <v>1553</v>
      </c>
      <c r="R66" s="847">
        <v>825</v>
      </c>
      <c r="S66" s="847">
        <v>3533</v>
      </c>
      <c r="T66" s="847">
        <v>278</v>
      </c>
      <c r="U66" s="847">
        <v>1013</v>
      </c>
      <c r="V66" s="847">
        <v>1455</v>
      </c>
      <c r="W66" s="847">
        <v>262</v>
      </c>
      <c r="X66" s="847">
        <v>870</v>
      </c>
      <c r="Y66" s="847">
        <v>12181</v>
      </c>
      <c r="Z66" s="847">
        <v>3425</v>
      </c>
      <c r="AA66" s="847">
        <v>1485</v>
      </c>
    </row>
    <row r="67" spans="8:27" ht="15">
      <c r="H67" s="846">
        <v>2004</v>
      </c>
      <c r="I67" s="847">
        <v>62464</v>
      </c>
      <c r="J67" s="847">
        <v>44678</v>
      </c>
      <c r="K67" s="847">
        <v>6772</v>
      </c>
      <c r="L67" s="847">
        <v>11987</v>
      </c>
      <c r="M67" s="847">
        <v>2864</v>
      </c>
      <c r="N67" s="847">
        <v>1871</v>
      </c>
      <c r="O67" s="847">
        <v>2470</v>
      </c>
      <c r="P67" s="847">
        <v>8476</v>
      </c>
      <c r="Q67" s="847">
        <v>1653</v>
      </c>
      <c r="R67" s="847">
        <v>882</v>
      </c>
      <c r="S67" s="847">
        <v>3619</v>
      </c>
      <c r="T67" s="847">
        <v>278</v>
      </c>
      <c r="U67" s="847">
        <v>1067</v>
      </c>
      <c r="V67" s="847">
        <v>1480</v>
      </c>
      <c r="W67" s="847">
        <v>258</v>
      </c>
      <c r="X67" s="847">
        <v>1000</v>
      </c>
      <c r="Y67" s="847">
        <v>12601</v>
      </c>
      <c r="Z67" s="847">
        <v>3567</v>
      </c>
      <c r="AA67" s="847">
        <v>1619</v>
      </c>
    </row>
    <row r="68" spans="8:27" ht="15">
      <c r="H68" s="846">
        <v>2005</v>
      </c>
      <c r="I68" s="847">
        <v>65575</v>
      </c>
      <c r="J68" s="847">
        <v>46610</v>
      </c>
      <c r="K68" s="847">
        <v>6978</v>
      </c>
      <c r="L68" s="847">
        <v>12376</v>
      </c>
      <c r="M68" s="847">
        <v>3027</v>
      </c>
      <c r="N68" s="847">
        <v>1954</v>
      </c>
      <c r="O68" s="847">
        <v>2538</v>
      </c>
      <c r="P68" s="847">
        <v>8914</v>
      </c>
      <c r="Q68" s="847">
        <v>1755</v>
      </c>
      <c r="R68" s="847">
        <v>1071</v>
      </c>
      <c r="S68" s="847">
        <v>3850</v>
      </c>
      <c r="T68" s="847">
        <v>278</v>
      </c>
      <c r="U68" s="847">
        <v>1214</v>
      </c>
      <c r="V68" s="847">
        <v>1398</v>
      </c>
      <c r="W68" s="847">
        <v>271</v>
      </c>
      <c r="X68" s="847">
        <v>987</v>
      </c>
      <c r="Y68" s="847">
        <v>13350</v>
      </c>
      <c r="Z68" s="847">
        <v>3831</v>
      </c>
      <c r="AA68" s="847">
        <v>1784</v>
      </c>
    </row>
    <row r="69" spans="8:27" ht="15">
      <c r="H69" s="846">
        <v>2006</v>
      </c>
      <c r="I69" s="847">
        <v>67736</v>
      </c>
      <c r="J69" s="847">
        <v>48765</v>
      </c>
      <c r="K69" s="847">
        <v>7046</v>
      </c>
      <c r="L69" s="847">
        <v>12986</v>
      </c>
      <c r="M69" s="847">
        <v>3251</v>
      </c>
      <c r="N69" s="847">
        <v>2131</v>
      </c>
      <c r="O69" s="847">
        <v>2870</v>
      </c>
      <c r="P69" s="847">
        <v>9240</v>
      </c>
      <c r="Q69" s="847">
        <v>1867</v>
      </c>
      <c r="R69" s="847">
        <v>1158</v>
      </c>
      <c r="S69" s="847">
        <v>3975</v>
      </c>
      <c r="T69" s="847">
        <v>264</v>
      </c>
      <c r="U69" s="847">
        <v>1157</v>
      </c>
      <c r="V69" s="847">
        <v>1475</v>
      </c>
      <c r="W69" s="847">
        <v>258</v>
      </c>
      <c r="X69" s="847">
        <v>1087</v>
      </c>
      <c r="Y69" s="847">
        <v>13634</v>
      </c>
      <c r="Z69" s="847">
        <v>3832</v>
      </c>
      <c r="AA69" s="847">
        <v>1505</v>
      </c>
    </row>
    <row r="70" spans="8:27" ht="15">
      <c r="H70" s="846">
        <v>2007</v>
      </c>
      <c r="I70" s="847">
        <v>69946</v>
      </c>
      <c r="J70" s="847">
        <v>49766</v>
      </c>
      <c r="K70" s="847">
        <v>7305</v>
      </c>
      <c r="L70" s="847">
        <v>13643</v>
      </c>
      <c r="M70" s="847">
        <v>3287</v>
      </c>
      <c r="N70" s="847">
        <v>1964</v>
      </c>
      <c r="O70" s="847">
        <v>2948</v>
      </c>
      <c r="P70" s="847">
        <v>9395</v>
      </c>
      <c r="Q70" s="847">
        <v>1932</v>
      </c>
      <c r="R70" s="847">
        <v>1167</v>
      </c>
      <c r="S70" s="847">
        <v>3976</v>
      </c>
      <c r="T70" s="847">
        <v>260</v>
      </c>
      <c r="U70" s="847">
        <v>1017</v>
      </c>
      <c r="V70" s="847">
        <v>1536</v>
      </c>
      <c r="W70" s="847">
        <v>251</v>
      </c>
      <c r="X70" s="847">
        <v>1081</v>
      </c>
      <c r="Y70" s="847">
        <v>14447</v>
      </c>
      <c r="Z70" s="847">
        <v>3946</v>
      </c>
      <c r="AA70" s="847">
        <v>1788</v>
      </c>
    </row>
  </sheetData>
  <mergeCells count="4">
    <mergeCell ref="A1:U1"/>
    <mergeCell ref="U3:V3"/>
    <mergeCell ref="A33:X33"/>
    <mergeCell ref="C28:H28"/>
  </mergeCells>
  <phoneticPr fontId="35" type="noConversion"/>
  <pageMargins left="0.74803149606299213" right="0.74803149606299213" top="0.98425196850393704" bottom="0.98425196850393704" header="0.51181102362204722" footer="0.51181102362204722"/>
  <pageSetup scale="67" orientation="landscape" horizontalDpi="300" verticalDpi="300" r:id="rId1"/>
  <headerFooter alignWithMargins="0"/>
</worksheet>
</file>

<file path=xl/worksheets/sheet159.xml><?xml version="1.0" encoding="utf-8"?>
<worksheet xmlns="http://schemas.openxmlformats.org/spreadsheetml/2006/main" xmlns:r="http://schemas.openxmlformats.org/officeDocument/2006/relationships">
  <sheetPr codeName="Sheet140">
    <pageSetUpPr fitToPage="1"/>
  </sheetPr>
  <dimension ref="A1:I57"/>
  <sheetViews>
    <sheetView view="pageBreakPreview" zoomScale="70" zoomScaleSheetLayoutView="70" workbookViewId="0">
      <pane xSplit="2" ySplit="4" topLeftCell="C5"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8" style="256" customWidth="1"/>
    <col min="2" max="2" width="14.7109375" style="256" customWidth="1"/>
    <col min="3" max="7" width="8" style="256" customWidth="1"/>
    <col min="8" max="8" width="14.85546875" style="256" customWidth="1"/>
    <col min="9" max="16384" width="8" style="256"/>
  </cols>
  <sheetData>
    <row r="1" spans="1:9" ht="29.25" customHeight="1">
      <c r="A1" s="1210" t="s">
        <v>2213</v>
      </c>
      <c r="B1" s="1188"/>
      <c r="C1" s="1188"/>
      <c r="D1" s="1188"/>
      <c r="E1" s="1188"/>
      <c r="F1" s="1188"/>
      <c r="G1" s="1188"/>
      <c r="H1" s="1188"/>
      <c r="I1" s="1188"/>
    </row>
    <row r="2" spans="1:9" ht="15.75">
      <c r="A2" s="112"/>
      <c r="H2" s="1271" t="s">
        <v>1088</v>
      </c>
    </row>
    <row r="3" spans="1:9">
      <c r="C3" s="755"/>
      <c r="D3" s="755"/>
      <c r="E3" s="755"/>
      <c r="F3" s="755"/>
      <c r="H3" s="1271"/>
    </row>
    <row r="4" spans="1:9">
      <c r="A4" s="748"/>
      <c r="B4" s="1117"/>
      <c r="C4" s="778">
        <v>1989</v>
      </c>
      <c r="D4" s="778">
        <v>1994</v>
      </c>
      <c r="E4" s="778">
        <v>1998</v>
      </c>
      <c r="F4" s="778">
        <v>2004</v>
      </c>
      <c r="G4" s="748"/>
      <c r="H4" s="1272"/>
    </row>
    <row r="5" spans="1:9" ht="39.75" customHeight="1">
      <c r="A5" s="1269" t="s">
        <v>1087</v>
      </c>
      <c r="B5" s="1270"/>
      <c r="H5" s="844"/>
    </row>
    <row r="6" spans="1:9">
      <c r="A6" s="444"/>
      <c r="B6" s="843"/>
      <c r="H6" s="755"/>
    </row>
    <row r="7" spans="1:9">
      <c r="A7" s="444" t="s">
        <v>1089</v>
      </c>
      <c r="B7" s="843"/>
      <c r="C7" s="755">
        <v>5</v>
      </c>
      <c r="D7" s="755">
        <v>7</v>
      </c>
      <c r="E7" s="755">
        <v>8</v>
      </c>
      <c r="F7" s="755">
        <v>9</v>
      </c>
      <c r="G7" s="755"/>
      <c r="H7" s="755">
        <f>F7-C7</f>
        <v>4</v>
      </c>
    </row>
    <row r="8" spans="1:9">
      <c r="A8" s="257" t="s">
        <v>1090</v>
      </c>
      <c r="B8" s="843"/>
      <c r="C8" s="755">
        <v>11</v>
      </c>
      <c r="D8" s="755">
        <v>16</v>
      </c>
      <c r="E8" s="755">
        <v>21</v>
      </c>
      <c r="F8" s="755">
        <v>21</v>
      </c>
      <c r="G8" s="755"/>
      <c r="H8" s="755">
        <f>F8-C8</f>
        <v>10</v>
      </c>
    </row>
    <row r="9" spans="1:9">
      <c r="A9" s="257" t="s">
        <v>1091</v>
      </c>
      <c r="B9" s="843"/>
      <c r="C9" s="755">
        <v>3</v>
      </c>
      <c r="D9" s="755">
        <v>5</v>
      </c>
      <c r="E9" s="755">
        <v>3</v>
      </c>
      <c r="F9" s="755">
        <v>5</v>
      </c>
      <c r="G9" s="755"/>
      <c r="H9" s="755">
        <f>F9-C9</f>
        <v>2</v>
      </c>
    </row>
    <row r="10" spans="1:9">
      <c r="A10" s="257"/>
      <c r="B10" s="843"/>
      <c r="C10" s="755"/>
      <c r="D10" s="755"/>
      <c r="E10" s="755"/>
      <c r="F10" s="755"/>
      <c r="G10" s="755"/>
      <c r="H10" s="755"/>
    </row>
    <row r="11" spans="1:9">
      <c r="A11" s="257"/>
      <c r="B11" s="843"/>
      <c r="C11" s="755"/>
      <c r="D11" s="755"/>
      <c r="E11" s="755"/>
      <c r="F11" s="755"/>
      <c r="G11" s="755"/>
      <c r="H11" s="755"/>
    </row>
    <row r="12" spans="1:9">
      <c r="A12" s="444" t="s">
        <v>1092</v>
      </c>
      <c r="B12" s="843"/>
      <c r="C12" s="755"/>
      <c r="D12" s="755"/>
      <c r="E12" s="755"/>
      <c r="F12" s="755"/>
      <c r="G12" s="755"/>
      <c r="H12" s="755"/>
    </row>
    <row r="13" spans="1:9">
      <c r="A13" s="444"/>
      <c r="B13" s="843"/>
      <c r="C13" s="755"/>
      <c r="D13" s="755"/>
      <c r="E13" s="755"/>
      <c r="F13" s="755"/>
      <c r="G13" s="755"/>
      <c r="H13" s="755"/>
    </row>
    <row r="14" spans="1:9">
      <c r="A14" s="444" t="s">
        <v>1089</v>
      </c>
      <c r="B14" s="843"/>
      <c r="C14" s="755">
        <v>5</v>
      </c>
      <c r="D14" s="755">
        <v>7</v>
      </c>
      <c r="E14" s="755">
        <v>9</v>
      </c>
      <c r="F14" s="755">
        <v>9</v>
      </c>
      <c r="G14" s="755"/>
      <c r="H14" s="755">
        <f>F14-C14</f>
        <v>4</v>
      </c>
    </row>
    <row r="15" spans="1:9">
      <c r="A15" s="257" t="s">
        <v>1090</v>
      </c>
      <c r="B15" s="843"/>
      <c r="C15" s="755">
        <v>12</v>
      </c>
      <c r="D15" s="755">
        <v>16</v>
      </c>
      <c r="E15" s="755">
        <v>22</v>
      </c>
      <c r="F15" s="755">
        <v>22</v>
      </c>
      <c r="G15" s="755"/>
      <c r="H15" s="755">
        <f>F15-C15</f>
        <v>10</v>
      </c>
    </row>
    <row r="16" spans="1:9">
      <c r="A16" s="257" t="s">
        <v>1091</v>
      </c>
      <c r="B16" s="843"/>
      <c r="C16" s="755">
        <v>3</v>
      </c>
      <c r="D16" s="755">
        <v>5</v>
      </c>
      <c r="E16" s="755">
        <v>4</v>
      </c>
      <c r="F16" s="755">
        <v>5</v>
      </c>
      <c r="G16" s="755"/>
      <c r="H16" s="755">
        <f>F16-C16</f>
        <v>2</v>
      </c>
    </row>
    <row r="17" spans="1:8">
      <c r="A17" s="257"/>
      <c r="B17" s="843"/>
      <c r="C17" s="755"/>
      <c r="D17" s="755"/>
      <c r="E17" s="755"/>
      <c r="F17" s="755"/>
      <c r="G17" s="755"/>
      <c r="H17" s="755"/>
    </row>
    <row r="18" spans="1:8">
      <c r="A18" s="444" t="s">
        <v>1093</v>
      </c>
      <c r="B18" s="843"/>
      <c r="C18" s="755">
        <v>4</v>
      </c>
      <c r="D18" s="755">
        <v>6</v>
      </c>
      <c r="E18" s="755">
        <v>7</v>
      </c>
      <c r="F18" s="755">
        <v>8</v>
      </c>
      <c r="G18" s="755"/>
      <c r="H18" s="755">
        <f>F18-C18</f>
        <v>4</v>
      </c>
    </row>
    <row r="19" spans="1:8">
      <c r="A19" s="257" t="s">
        <v>1090</v>
      </c>
      <c r="B19" s="843"/>
      <c r="C19" s="755">
        <v>9</v>
      </c>
      <c r="D19" s="755">
        <v>14</v>
      </c>
      <c r="E19" s="755">
        <v>19</v>
      </c>
      <c r="F19" s="755">
        <v>19</v>
      </c>
      <c r="G19" s="755"/>
      <c r="H19" s="755">
        <f>F19-C19</f>
        <v>10</v>
      </c>
    </row>
    <row r="20" spans="1:8">
      <c r="A20" s="257" t="s">
        <v>1091</v>
      </c>
      <c r="B20" s="843"/>
      <c r="C20" s="755">
        <v>2</v>
      </c>
      <c r="D20" s="755">
        <v>4</v>
      </c>
      <c r="E20" s="755">
        <v>3</v>
      </c>
      <c r="F20" s="755">
        <v>4</v>
      </c>
      <c r="G20" s="755"/>
      <c r="H20" s="755">
        <f>F20-C20</f>
        <v>2</v>
      </c>
    </row>
    <row r="21" spans="1:8">
      <c r="A21" s="257"/>
      <c r="B21" s="843"/>
      <c r="C21" s="755"/>
      <c r="D21" s="755"/>
      <c r="E21" s="755"/>
      <c r="F21" s="755"/>
      <c r="G21" s="755"/>
      <c r="H21" s="755"/>
    </row>
    <row r="22" spans="1:8">
      <c r="A22" s="444" t="s">
        <v>1094</v>
      </c>
      <c r="B22" s="843"/>
      <c r="C22" s="755">
        <v>5</v>
      </c>
      <c r="D22" s="755">
        <v>7</v>
      </c>
      <c r="E22" s="755">
        <v>9</v>
      </c>
      <c r="F22" s="755">
        <v>9</v>
      </c>
      <c r="G22" s="755"/>
      <c r="H22" s="755">
        <f>F22-C22</f>
        <v>4</v>
      </c>
    </row>
    <row r="23" spans="1:8">
      <c r="A23" s="257" t="s">
        <v>1090</v>
      </c>
      <c r="B23" s="843"/>
      <c r="C23" s="755">
        <v>10</v>
      </c>
      <c r="D23" s="755">
        <v>15</v>
      </c>
      <c r="E23" s="755">
        <v>20</v>
      </c>
      <c r="F23" s="755">
        <v>20</v>
      </c>
      <c r="G23" s="755"/>
      <c r="H23" s="755">
        <f>F23-C23</f>
        <v>10</v>
      </c>
    </row>
    <row r="24" spans="1:8">
      <c r="A24" s="257" t="s">
        <v>1091</v>
      </c>
      <c r="B24" s="843"/>
      <c r="C24" s="755">
        <v>2</v>
      </c>
      <c r="D24" s="755">
        <v>5</v>
      </c>
      <c r="E24" s="755">
        <v>3</v>
      </c>
      <c r="F24" s="755">
        <v>4</v>
      </c>
      <c r="G24" s="755"/>
      <c r="H24" s="755">
        <f>F24-C24</f>
        <v>2</v>
      </c>
    </row>
    <row r="25" spans="1:8">
      <c r="A25" s="257"/>
      <c r="B25" s="843"/>
      <c r="C25" s="755"/>
      <c r="D25" s="755"/>
      <c r="E25" s="755"/>
      <c r="F25" s="755"/>
      <c r="G25" s="755"/>
      <c r="H25" s="755"/>
    </row>
    <row r="26" spans="1:8">
      <c r="A26" s="444" t="s">
        <v>1095</v>
      </c>
      <c r="B26" s="843"/>
      <c r="C26" s="755">
        <v>5</v>
      </c>
      <c r="D26" s="755">
        <v>7</v>
      </c>
      <c r="E26" s="755">
        <v>8</v>
      </c>
      <c r="F26" s="755">
        <v>9</v>
      </c>
      <c r="G26" s="755"/>
      <c r="H26" s="755">
        <f>F26-C26</f>
        <v>4</v>
      </c>
    </row>
    <row r="27" spans="1:8">
      <c r="A27" s="257" t="s">
        <v>1090</v>
      </c>
      <c r="B27" s="843"/>
      <c r="C27" s="755">
        <v>19</v>
      </c>
      <c r="D27" s="755">
        <v>26</v>
      </c>
      <c r="E27" s="755">
        <v>31</v>
      </c>
      <c r="F27" s="755">
        <v>28</v>
      </c>
      <c r="G27" s="755"/>
      <c r="H27" s="755">
        <f>F27-C27</f>
        <v>9</v>
      </c>
    </row>
    <row r="28" spans="1:8">
      <c r="A28" s="257" t="s">
        <v>1091</v>
      </c>
      <c r="B28" s="843"/>
      <c r="C28" s="755">
        <v>3</v>
      </c>
      <c r="D28" s="755">
        <v>5</v>
      </c>
      <c r="E28" s="755">
        <v>4</v>
      </c>
      <c r="F28" s="755">
        <v>6</v>
      </c>
      <c r="G28" s="755"/>
      <c r="H28" s="755">
        <f>F28-C28</f>
        <v>3</v>
      </c>
    </row>
    <row r="29" spans="1:8">
      <c r="A29" s="257"/>
      <c r="B29" s="843"/>
      <c r="C29" s="755"/>
      <c r="D29" s="755"/>
      <c r="E29" s="755"/>
      <c r="F29" s="755"/>
      <c r="G29" s="755"/>
      <c r="H29" s="755"/>
    </row>
    <row r="30" spans="1:8">
      <c r="A30" s="444" t="s">
        <v>1096</v>
      </c>
      <c r="B30" s="843"/>
      <c r="C30" s="755">
        <v>6</v>
      </c>
      <c r="D30" s="755">
        <v>9</v>
      </c>
      <c r="E30" s="755">
        <v>10</v>
      </c>
      <c r="F30" s="755">
        <v>11</v>
      </c>
      <c r="G30" s="755"/>
      <c r="H30" s="755">
        <f>F30-C30</f>
        <v>5</v>
      </c>
    </row>
    <row r="31" spans="1:8">
      <c r="A31" s="257" t="s">
        <v>1090</v>
      </c>
      <c r="B31" s="843"/>
      <c r="C31" s="755">
        <v>10</v>
      </c>
      <c r="D31" s="755">
        <v>16</v>
      </c>
      <c r="E31" s="755">
        <v>19</v>
      </c>
      <c r="F31" s="755">
        <v>19</v>
      </c>
      <c r="G31" s="755"/>
      <c r="H31" s="755">
        <f>F31-C31</f>
        <v>9</v>
      </c>
    </row>
    <row r="32" spans="1:8">
      <c r="A32" s="257" t="s">
        <v>1091</v>
      </c>
      <c r="B32" s="843"/>
      <c r="C32" s="755">
        <v>2</v>
      </c>
      <c r="D32" s="755">
        <v>7</v>
      </c>
      <c r="E32" s="755">
        <v>4</v>
      </c>
      <c r="F32" s="755">
        <v>5</v>
      </c>
      <c r="G32" s="755"/>
      <c r="H32" s="755">
        <f>F32-C32</f>
        <v>3</v>
      </c>
    </row>
    <row r="33" spans="1:8">
      <c r="A33" s="257"/>
      <c r="B33" s="843"/>
      <c r="C33" s="755"/>
      <c r="D33" s="755"/>
      <c r="E33" s="755"/>
      <c r="F33" s="755"/>
      <c r="G33" s="755"/>
      <c r="H33" s="755"/>
    </row>
    <row r="34" spans="1:8">
      <c r="A34" s="444" t="s">
        <v>1097</v>
      </c>
      <c r="B34" s="843"/>
      <c r="C34" s="755">
        <v>5</v>
      </c>
      <c r="D34" s="755">
        <v>6</v>
      </c>
      <c r="E34" s="755">
        <v>8</v>
      </c>
      <c r="F34" s="755">
        <v>9</v>
      </c>
      <c r="G34" s="755"/>
      <c r="H34" s="755">
        <f>F34-C34</f>
        <v>4</v>
      </c>
    </row>
    <row r="35" spans="1:8">
      <c r="A35" s="257" t="s">
        <v>1090</v>
      </c>
      <c r="B35" s="843"/>
      <c r="C35" s="755">
        <v>13</v>
      </c>
      <c r="D35" s="755">
        <v>17</v>
      </c>
      <c r="E35" s="755">
        <v>24</v>
      </c>
      <c r="F35" s="755">
        <v>23</v>
      </c>
      <c r="G35" s="755"/>
      <c r="H35" s="755">
        <f>F35-C35</f>
        <v>10</v>
      </c>
    </row>
    <row r="36" spans="1:8">
      <c r="A36" s="257" t="s">
        <v>1091</v>
      </c>
      <c r="B36" s="843"/>
      <c r="C36" s="755">
        <v>3</v>
      </c>
      <c r="D36" s="755">
        <v>5</v>
      </c>
      <c r="E36" s="755">
        <v>3</v>
      </c>
      <c r="F36" s="755">
        <v>5</v>
      </c>
      <c r="G36" s="755"/>
      <c r="H36" s="755">
        <f>F36-C36</f>
        <v>2</v>
      </c>
    </row>
    <row r="37" spans="1:8">
      <c r="A37" s="257"/>
      <c r="B37" s="843"/>
      <c r="C37" s="755"/>
      <c r="D37" s="755"/>
      <c r="E37" s="755"/>
      <c r="F37" s="755"/>
      <c r="G37" s="755"/>
      <c r="H37" s="755"/>
    </row>
    <row r="38" spans="1:8">
      <c r="A38" s="444" t="s">
        <v>1074</v>
      </c>
      <c r="B38" s="843"/>
      <c r="C38" s="755">
        <v>4</v>
      </c>
      <c r="D38" s="755">
        <v>7</v>
      </c>
      <c r="E38" s="755">
        <v>8</v>
      </c>
      <c r="F38" s="755">
        <v>8</v>
      </c>
      <c r="G38" s="755"/>
      <c r="H38" s="755">
        <f>F38-C38</f>
        <v>4</v>
      </c>
    </row>
    <row r="39" spans="1:8">
      <c r="A39" s="257" t="s">
        <v>1090</v>
      </c>
      <c r="B39" s="843"/>
      <c r="C39" s="755">
        <v>12</v>
      </c>
      <c r="D39" s="755">
        <v>19</v>
      </c>
      <c r="E39" s="755">
        <v>21</v>
      </c>
      <c r="F39" s="755">
        <v>20</v>
      </c>
      <c r="G39" s="755"/>
      <c r="H39" s="755">
        <f>F39-C39</f>
        <v>8</v>
      </c>
    </row>
    <row r="40" spans="1:8">
      <c r="A40" s="257" t="s">
        <v>1091</v>
      </c>
      <c r="B40" s="843"/>
      <c r="C40" s="755">
        <v>2</v>
      </c>
      <c r="D40" s="755">
        <v>5</v>
      </c>
      <c r="E40" s="755">
        <v>3</v>
      </c>
      <c r="F40" s="755">
        <v>4</v>
      </c>
      <c r="G40" s="755"/>
      <c r="H40" s="755">
        <f>F40-C40</f>
        <v>2</v>
      </c>
    </row>
    <row r="41" spans="1:8">
      <c r="A41" s="257"/>
      <c r="B41" s="843"/>
      <c r="C41" s="755"/>
      <c r="D41" s="755"/>
      <c r="E41" s="755"/>
      <c r="F41" s="755"/>
      <c r="G41" s="755"/>
      <c r="H41" s="755"/>
    </row>
    <row r="42" spans="1:8">
      <c r="A42" s="444" t="s">
        <v>1075</v>
      </c>
      <c r="B42" s="843"/>
      <c r="C42" s="755">
        <v>6</v>
      </c>
      <c r="D42" s="755">
        <v>7</v>
      </c>
      <c r="E42" s="755">
        <v>10</v>
      </c>
      <c r="F42" s="755">
        <v>10</v>
      </c>
      <c r="G42" s="755"/>
      <c r="H42" s="755">
        <f>F42-C42</f>
        <v>4</v>
      </c>
    </row>
    <row r="43" spans="1:8">
      <c r="A43" s="257" t="s">
        <v>1090</v>
      </c>
      <c r="B43" s="843"/>
      <c r="C43" s="755">
        <v>11</v>
      </c>
      <c r="D43" s="755">
        <v>14</v>
      </c>
      <c r="E43" s="755">
        <v>23</v>
      </c>
      <c r="F43" s="755">
        <v>23</v>
      </c>
      <c r="G43" s="755"/>
      <c r="H43" s="755">
        <f>F43-C43</f>
        <v>12</v>
      </c>
    </row>
    <row r="44" spans="1:8">
      <c r="A44" s="257" t="s">
        <v>1091</v>
      </c>
      <c r="B44" s="843"/>
      <c r="C44" s="755">
        <v>4</v>
      </c>
      <c r="D44" s="755">
        <v>5</v>
      </c>
      <c r="E44" s="755">
        <v>4</v>
      </c>
      <c r="F44" s="755">
        <v>6</v>
      </c>
      <c r="G44" s="755"/>
      <c r="H44" s="755">
        <f>F44-C44</f>
        <v>2</v>
      </c>
    </row>
    <row r="45" spans="1:8">
      <c r="A45" s="257"/>
      <c r="B45" s="843"/>
      <c r="C45" s="755"/>
      <c r="D45" s="755"/>
      <c r="E45" s="755"/>
      <c r="F45" s="755"/>
      <c r="G45" s="755"/>
      <c r="H45" s="755"/>
    </row>
    <row r="46" spans="1:8">
      <c r="A46" s="444" t="s">
        <v>1098</v>
      </c>
      <c r="B46" s="843"/>
      <c r="C46" s="755">
        <v>5</v>
      </c>
      <c r="D46" s="755">
        <v>7</v>
      </c>
      <c r="E46" s="755">
        <v>8</v>
      </c>
      <c r="F46" s="755">
        <v>9</v>
      </c>
      <c r="G46" s="755"/>
      <c r="H46" s="755">
        <f>F46-C46</f>
        <v>4</v>
      </c>
    </row>
    <row r="47" spans="1:8">
      <c r="A47" s="257" t="s">
        <v>1090</v>
      </c>
      <c r="B47" s="843"/>
      <c r="C47" s="755">
        <v>11</v>
      </c>
      <c r="D47" s="755">
        <v>17</v>
      </c>
      <c r="E47" s="755">
        <v>22</v>
      </c>
      <c r="F47" s="755">
        <v>21</v>
      </c>
      <c r="G47" s="755"/>
      <c r="H47" s="755">
        <f>F47-C47</f>
        <v>10</v>
      </c>
    </row>
    <row r="48" spans="1:8">
      <c r="A48" s="257" t="s">
        <v>1091</v>
      </c>
      <c r="B48" s="843"/>
      <c r="C48" s="755">
        <v>3</v>
      </c>
      <c r="D48" s="755">
        <v>5</v>
      </c>
      <c r="E48" s="755">
        <v>3</v>
      </c>
      <c r="F48" s="755">
        <v>5</v>
      </c>
      <c r="G48" s="755"/>
      <c r="H48" s="755">
        <f>F48-C48</f>
        <v>2</v>
      </c>
    </row>
    <row r="49" spans="1:9">
      <c r="A49" s="257"/>
      <c r="B49" s="843"/>
      <c r="C49" s="755"/>
      <c r="D49" s="755"/>
      <c r="E49" s="755"/>
      <c r="F49" s="755"/>
      <c r="G49" s="755"/>
      <c r="H49" s="755"/>
    </row>
    <row r="50" spans="1:9">
      <c r="A50" s="444" t="s">
        <v>1099</v>
      </c>
      <c r="B50" s="843"/>
      <c r="C50" s="755">
        <v>7</v>
      </c>
      <c r="D50" s="755">
        <v>9</v>
      </c>
      <c r="E50" s="755">
        <v>9</v>
      </c>
      <c r="F50" s="755">
        <v>10</v>
      </c>
      <c r="G50" s="755"/>
      <c r="H50" s="755">
        <f>F50-C50</f>
        <v>3</v>
      </c>
    </row>
    <row r="51" spans="1:9">
      <c r="A51" s="257" t="s">
        <v>1090</v>
      </c>
      <c r="B51" s="843"/>
      <c r="C51" s="755">
        <v>15</v>
      </c>
      <c r="D51" s="755">
        <v>16</v>
      </c>
      <c r="E51" s="755">
        <v>22</v>
      </c>
      <c r="F51" s="755">
        <v>24</v>
      </c>
      <c r="G51" s="755"/>
      <c r="H51" s="755">
        <f>F51-C51</f>
        <v>9</v>
      </c>
    </row>
    <row r="52" spans="1:9">
      <c r="A52" s="257" t="s">
        <v>1091</v>
      </c>
      <c r="B52" s="843"/>
      <c r="C52" s="755">
        <v>3</v>
      </c>
      <c r="D52" s="755">
        <v>7</v>
      </c>
      <c r="E52" s="755">
        <v>4</v>
      </c>
      <c r="F52" s="755">
        <v>5</v>
      </c>
      <c r="G52" s="755"/>
      <c r="H52" s="755">
        <f>F52-C52</f>
        <v>2</v>
      </c>
    </row>
    <row r="53" spans="1:9">
      <c r="C53" s="755"/>
      <c r="D53" s="755"/>
      <c r="E53" s="755"/>
      <c r="F53" s="755"/>
      <c r="G53" s="755"/>
      <c r="H53" s="755"/>
    </row>
    <row r="54" spans="1:9" ht="40.5" customHeight="1">
      <c r="A54" s="1200" t="s">
        <v>1100</v>
      </c>
      <c r="B54" s="1200"/>
      <c r="C54" s="1200"/>
      <c r="D54" s="1200"/>
      <c r="E54" s="1200"/>
      <c r="F54" s="1200"/>
      <c r="G54" s="1200"/>
      <c r="H54" s="1200"/>
      <c r="I54" s="1200"/>
    </row>
    <row r="55" spans="1:9" ht="13.5" customHeight="1">
      <c r="A55" s="845" t="s">
        <v>829</v>
      </c>
      <c r="B55" s="777"/>
      <c r="C55" s="777"/>
      <c r="D55" s="777"/>
      <c r="E55" s="777"/>
      <c r="F55" s="777"/>
      <c r="G55" s="777"/>
      <c r="H55" s="777"/>
      <c r="I55" s="777"/>
    </row>
    <row r="56" spans="1:9">
      <c r="A56" s="256" t="s">
        <v>1101</v>
      </c>
    </row>
    <row r="57" spans="1:9">
      <c r="A57" s="256" t="s">
        <v>1102</v>
      </c>
    </row>
  </sheetData>
  <mergeCells count="4">
    <mergeCell ref="A5:B5"/>
    <mergeCell ref="A54:I54"/>
    <mergeCell ref="A1:I1"/>
    <mergeCell ref="H2:H4"/>
  </mergeCells>
  <phoneticPr fontId="36" type="noConversion"/>
  <pageMargins left="0.75" right="0.75" top="1" bottom="1" header="0.5" footer="0.5"/>
  <pageSetup scale="83" orientation="portrait" verticalDpi="0" r:id="rId1"/>
  <headerFooter alignWithMargins="0"/>
</worksheet>
</file>

<file path=xl/worksheets/sheet16.xml><?xml version="1.0" encoding="utf-8"?>
<worksheet xmlns="http://schemas.openxmlformats.org/spreadsheetml/2006/main" xmlns:r="http://schemas.openxmlformats.org/officeDocument/2006/relationships">
  <sheetPr codeName="Sheet195">
    <pageSetUpPr fitToPage="1"/>
  </sheetPr>
  <dimension ref="A1:X4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24" ht="15.75">
      <c r="A1" s="3" t="s">
        <v>2101</v>
      </c>
    </row>
    <row r="2" spans="1:24">
      <c r="A2" s="4"/>
      <c r="B2" s="4"/>
    </row>
    <row r="3" spans="1:24" ht="12.75" customHeight="1">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24" s="4" customFormat="1" ht="12.75" customHeight="1">
      <c r="A4" s="7"/>
      <c r="B4" s="1167"/>
      <c r="C4" s="1165"/>
      <c r="D4" s="1165"/>
      <c r="E4" s="1165"/>
      <c r="F4" s="1165"/>
      <c r="G4" s="1165"/>
      <c r="H4" s="1165"/>
      <c r="I4" s="1165"/>
      <c r="J4" s="1165"/>
      <c r="K4" s="1165"/>
      <c r="L4" s="1165"/>
    </row>
    <row r="5" spans="1:24" ht="12.75" customHeight="1">
      <c r="A5" s="432">
        <v>1981</v>
      </c>
      <c r="B5" s="39">
        <f>'6a'!B5/'6c'!B5*100</f>
        <v>672520.52238805976</v>
      </c>
      <c r="C5" s="39">
        <f>'6a'!C5/'6c'!C5*100</f>
        <v>9073.9436619718326</v>
      </c>
      <c r="D5" s="39">
        <f>'6a'!D5/'6c'!D5*100</f>
        <v>1983.2713754646843</v>
      </c>
      <c r="E5" s="39">
        <f>'6a'!E5/'6c'!E5*100</f>
        <v>14814.126394052044</v>
      </c>
      <c r="F5" s="39">
        <f>'6a'!F5/'6c'!F5*100</f>
        <v>11559.198542805101</v>
      </c>
      <c r="G5" s="39">
        <f>'6a'!G5/'6c'!G5*100</f>
        <v>145822.46376811594</v>
      </c>
      <c r="H5" s="39">
        <f>'6a'!H5/'6c'!H5*100</f>
        <v>250600.38240917784</v>
      </c>
      <c r="I5" s="39">
        <f>'6a'!I5/'6c'!I5*100</f>
        <v>25756.14366729679</v>
      </c>
      <c r="J5" s="39">
        <f>'6a'!J5/'6c'!J5*100</f>
        <v>27261.992619926197</v>
      </c>
      <c r="K5" s="39">
        <f>'6a'!K5/'6c'!K5*100</f>
        <v>96026.978417266189</v>
      </c>
      <c r="L5" s="39">
        <f>'6a'!L5/'6c'!L5*100</f>
        <v>83244.897959183669</v>
      </c>
      <c r="N5" s="815"/>
      <c r="O5" s="815"/>
      <c r="P5" s="815"/>
      <c r="Q5" s="815"/>
      <c r="R5" s="815"/>
      <c r="S5" s="815"/>
      <c r="T5" s="815"/>
      <c r="U5" s="815"/>
      <c r="V5" s="815"/>
      <c r="W5" s="815"/>
      <c r="X5" s="815"/>
    </row>
    <row r="6" spans="1:24" ht="12.75" customHeight="1">
      <c r="A6" s="120">
        <v>1982</v>
      </c>
      <c r="B6" s="39">
        <f>'6a'!B6/'6c'!B6*100</f>
        <v>647119.2504258944</v>
      </c>
      <c r="C6" s="39">
        <f>'6a'!C6/'6c'!C6*100</f>
        <v>9032.2061191626399</v>
      </c>
      <c r="D6" s="39">
        <f>'6a'!D6/'6c'!D6*100</f>
        <v>1960.8843537414966</v>
      </c>
      <c r="E6" s="39">
        <f>'6a'!E6/'6c'!E6*100</f>
        <v>15569.491525423729</v>
      </c>
      <c r="F6" s="39">
        <f>'6a'!F6/'6c'!F6*100</f>
        <v>11753.333333333334</v>
      </c>
      <c r="G6" s="39">
        <f>'6a'!G6/'6c'!G6*100</f>
        <v>140623.76237623763</v>
      </c>
      <c r="H6" s="39">
        <f>'6a'!H6/'6c'!H6*100</f>
        <v>242978.98423817864</v>
      </c>
      <c r="I6" s="39">
        <f>'6a'!I6/'6c'!I6*100</f>
        <v>24440</v>
      </c>
      <c r="J6" s="39">
        <f>'6a'!J6/'6c'!J6*100</f>
        <v>25394.247038917089</v>
      </c>
      <c r="K6" s="39">
        <f>'6a'!K6/'6c'!K6*100</f>
        <v>93579.901153212515</v>
      </c>
      <c r="L6" s="39">
        <f>'6a'!L6/'6c'!L6*100</f>
        <v>76571.42857142858</v>
      </c>
      <c r="N6" s="815"/>
      <c r="O6" s="815"/>
      <c r="P6" s="815"/>
      <c r="Q6" s="815"/>
      <c r="R6" s="815"/>
      <c r="S6" s="815"/>
      <c r="T6" s="815"/>
      <c r="U6" s="815"/>
      <c r="V6" s="815"/>
      <c r="W6" s="815"/>
      <c r="X6" s="815"/>
    </row>
    <row r="7" spans="1:24" ht="12.75" customHeight="1">
      <c r="A7" s="120">
        <v>1983</v>
      </c>
      <c r="B7" s="39">
        <f>'6a'!B7/'6c'!B7*100</f>
        <v>664597.73828756064</v>
      </c>
      <c r="C7" s="39">
        <f>'6a'!C7/'6c'!C7*100</f>
        <v>9169.9846860643192</v>
      </c>
      <c r="D7" s="39">
        <f>'6a'!D7/'6c'!D7*100</f>
        <v>2187.0967741935483</v>
      </c>
      <c r="E7" s="39">
        <f>'6a'!E7/'6c'!E7*100</f>
        <v>16529.505582137161</v>
      </c>
      <c r="F7" s="39">
        <f>'6a'!F7/'6c'!F7*100</f>
        <v>12650.943396226416</v>
      </c>
      <c r="G7" s="39">
        <f>'6a'!G7/'6c'!G7*100</f>
        <v>144163.26530612243</v>
      </c>
      <c r="H7" s="39">
        <f>'6a'!H7/'6c'!H7*100</f>
        <v>255250.82508250827</v>
      </c>
      <c r="I7" s="39">
        <f>'6a'!I7/'6c'!I7*100</f>
        <v>24522.727272727272</v>
      </c>
      <c r="J7" s="39">
        <f>'6a'!J7/'6c'!J7*100</f>
        <v>25468.899521531101</v>
      </c>
      <c r="K7" s="39">
        <f>'6a'!K7/'6c'!K7*100</f>
        <v>92254.344391785155</v>
      </c>
      <c r="L7" s="39">
        <f>'6a'!L7/'6c'!L7*100</f>
        <v>77073.051948051943</v>
      </c>
      <c r="N7" s="815"/>
      <c r="O7" s="815"/>
      <c r="P7" s="815"/>
      <c r="Q7" s="815"/>
      <c r="R7" s="815"/>
      <c r="S7" s="815"/>
      <c r="T7" s="815"/>
      <c r="U7" s="815"/>
      <c r="V7" s="815"/>
      <c r="W7" s="815"/>
      <c r="X7" s="815"/>
    </row>
    <row r="8" spans="1:24" ht="12.75" customHeight="1">
      <c r="A8" s="120">
        <v>1984</v>
      </c>
      <c r="B8" s="39">
        <f>'6a'!B8/'6c'!B8*100</f>
        <v>698108.69565217383</v>
      </c>
      <c r="C8" s="39">
        <f>'6a'!C8/'6c'!C8*100</f>
        <v>9385.8615611192909</v>
      </c>
      <c r="D8" s="39">
        <f>'6a'!D8/'6c'!D8*100</f>
        <v>2146.8315301391035</v>
      </c>
      <c r="E8" s="39">
        <f>'6a'!E8/'6c'!E8*100</f>
        <v>17407.914764079145</v>
      </c>
      <c r="F8" s="39">
        <f>'6a'!F8/'6c'!F8*100</f>
        <v>13240.24024024024</v>
      </c>
      <c r="G8" s="39">
        <f>'6a'!G8/'6c'!G8*100</f>
        <v>151042.1686746988</v>
      </c>
      <c r="H8" s="39">
        <f>'6a'!H8/'6c'!H8*100</f>
        <v>273052.1327014218</v>
      </c>
      <c r="I8" s="39">
        <f>'6a'!I8/'6c'!I8*100</f>
        <v>26600.938967136153</v>
      </c>
      <c r="J8" s="39">
        <f>'6a'!J8/'6c'!J8*100</f>
        <v>26161.290322580648</v>
      </c>
      <c r="K8" s="39">
        <f>'6a'!K8/'6c'!K8*100</f>
        <v>96114.1975308642</v>
      </c>
      <c r="L8" s="39">
        <f>'6a'!L8/'6c'!L8*100</f>
        <v>78119.122257053299</v>
      </c>
      <c r="N8" s="815"/>
      <c r="O8" s="815"/>
      <c r="P8" s="815"/>
      <c r="Q8" s="815"/>
      <c r="R8" s="815"/>
      <c r="S8" s="815"/>
      <c r="T8" s="815"/>
      <c r="U8" s="815"/>
      <c r="V8" s="815"/>
      <c r="W8" s="815"/>
      <c r="X8" s="815"/>
    </row>
    <row r="9" spans="1:24" ht="12.75" customHeight="1">
      <c r="A9" s="120">
        <v>1985</v>
      </c>
      <c r="B9" s="39">
        <f>'6a'!B9/'6c'!B9*100</f>
        <v>728206.89655172406</v>
      </c>
      <c r="C9" s="39">
        <f>'6a'!C9/'6c'!C9*100</f>
        <v>9495.7142857142862</v>
      </c>
      <c r="D9" s="39">
        <f>'6a'!D9/'6c'!D9*100</f>
        <v>2143.9169139465876</v>
      </c>
      <c r="E9" s="39">
        <f>'6a'!E9/'6c'!E9*100</f>
        <v>18225</v>
      </c>
      <c r="F9" s="39">
        <f>'6a'!F9/'6c'!F9*100</f>
        <v>13544.79768786127</v>
      </c>
      <c r="G9" s="39">
        <f>'6a'!G9/'6c'!G9*100</f>
        <v>155639.13043478259</v>
      </c>
      <c r="H9" s="39">
        <f>'6a'!H9/'6c'!H9*100</f>
        <v>286553.03030303027</v>
      </c>
      <c r="I9" s="39">
        <f>'6a'!I9/'6c'!I9*100</f>
        <v>28000</v>
      </c>
      <c r="J9" s="39">
        <f>'6a'!J9/'6c'!J9*100</f>
        <v>26675.595238095237</v>
      </c>
      <c r="K9" s="39">
        <f>'6a'!K9/'6c'!K9*100</f>
        <v>100428.57142857143</v>
      </c>
      <c r="L9" s="39">
        <f>'6a'!L9/'6c'!L9*100</f>
        <v>82116.564417177913</v>
      </c>
      <c r="N9" s="815"/>
      <c r="O9" s="815"/>
      <c r="P9" s="815"/>
      <c r="Q9" s="815"/>
      <c r="R9" s="815"/>
      <c r="S9" s="815"/>
      <c r="T9" s="815"/>
      <c r="U9" s="815"/>
      <c r="V9" s="815"/>
      <c r="W9" s="815"/>
      <c r="X9" s="815"/>
    </row>
    <row r="10" spans="1:24" ht="12.75" customHeight="1">
      <c r="A10" s="120">
        <v>1986</v>
      </c>
      <c r="B10" s="39">
        <f>'6a'!B10/'6c'!B10*100</f>
        <v>740666.18497109821</v>
      </c>
      <c r="C10" s="39">
        <f>'6a'!C10/'6c'!C10*100</f>
        <v>10005.524861878452</v>
      </c>
      <c r="D10" s="39">
        <f>'6a'!D10/'6c'!D10*100</f>
        <v>2345.3237410071943</v>
      </c>
      <c r="E10" s="39">
        <f>'6a'!E10/'6c'!E10*100</f>
        <v>19119.828815977176</v>
      </c>
      <c r="F10" s="39">
        <f>'6a'!F10/'6c'!F10*100</f>
        <v>14673.211781206172</v>
      </c>
      <c r="G10" s="39">
        <f>'6a'!G10/'6c'!G10*100</f>
        <v>164084.03361344538</v>
      </c>
      <c r="H10" s="39">
        <f>'6a'!H10/'6c'!H10*100</f>
        <v>302994.18604651163</v>
      </c>
      <c r="I10" s="39">
        <f>'6a'!I10/'6c'!I10*100</f>
        <v>28075.801749271141</v>
      </c>
      <c r="J10" s="39">
        <f>'6a'!J10/'6c'!J10*100</f>
        <v>25756.521739130436</v>
      </c>
      <c r="K10" s="39">
        <f>'6a'!K10/'6c'!K10*100</f>
        <v>84738.304093567247</v>
      </c>
      <c r="L10" s="39">
        <f>'6a'!L10/'6c'!L10*100</f>
        <v>83897.626112759637</v>
      </c>
      <c r="N10" s="815"/>
      <c r="O10" s="815"/>
      <c r="P10" s="815"/>
      <c r="Q10" s="815"/>
      <c r="R10" s="815"/>
      <c r="S10" s="815"/>
      <c r="T10" s="815"/>
      <c r="U10" s="815"/>
      <c r="V10" s="815"/>
      <c r="W10" s="815"/>
      <c r="X10" s="815"/>
    </row>
    <row r="11" spans="1:24" ht="12.75" customHeight="1">
      <c r="A11" s="120">
        <v>1987</v>
      </c>
      <c r="B11" s="39">
        <f>'6a'!B11/'6c'!B11*100</f>
        <v>776318.05555555562</v>
      </c>
      <c r="C11" s="39">
        <f>'6a'!C11/'6c'!C11*100</f>
        <v>10392.23560910308</v>
      </c>
      <c r="D11" s="39">
        <f>'6a'!D11/'6c'!D11*100</f>
        <v>2405.8171745152354</v>
      </c>
      <c r="E11" s="39">
        <f>'6a'!E11/'6c'!E11*100</f>
        <v>19933.701657458561</v>
      </c>
      <c r="F11" s="39">
        <f>'6a'!F11/'6c'!F11*100</f>
        <v>15722.826086956522</v>
      </c>
      <c r="G11" s="39">
        <f>'6a'!G11/'6c'!G11*100</f>
        <v>172864.06460296098</v>
      </c>
      <c r="H11" s="39">
        <f>'6a'!H11/'6c'!H11*100</f>
        <v>319637.1191135734</v>
      </c>
      <c r="I11" s="39">
        <f>'6a'!I11/'6c'!I11*100</f>
        <v>28590.462833099584</v>
      </c>
      <c r="J11" s="39">
        <f>'6a'!J11/'6c'!J11*100</f>
        <v>25590.71729957806</v>
      </c>
      <c r="K11" s="39">
        <f>'6a'!K11/'6c'!K11*100</f>
        <v>85569.800569800573</v>
      </c>
      <c r="L11" s="39">
        <f>'6a'!L11/'6c'!L11*100</f>
        <v>90079.250720461088</v>
      </c>
      <c r="N11" s="815"/>
      <c r="O11" s="815"/>
      <c r="P11" s="815"/>
      <c r="Q11" s="815"/>
      <c r="R11" s="815"/>
      <c r="S11" s="815"/>
      <c r="T11" s="815"/>
      <c r="U11" s="815"/>
      <c r="V11" s="815"/>
      <c r="W11" s="815"/>
      <c r="X11" s="815"/>
    </row>
    <row r="12" spans="1:24" ht="12.75" customHeight="1">
      <c r="A12" s="120">
        <v>1988</v>
      </c>
      <c r="B12" s="39">
        <f>'6a'!B12/'6c'!B12*100</f>
        <v>820741.63319946453</v>
      </c>
      <c r="C12" s="39">
        <f>'6a'!C12/'6c'!C12*100</f>
        <v>11024.739583333334</v>
      </c>
      <c r="D12" s="39">
        <f>'6a'!D12/'6c'!D12*100</f>
        <v>2551.4018691588785</v>
      </c>
      <c r="E12" s="39">
        <f>'6a'!E12/'6c'!E12*100</f>
        <v>20473.895582329318</v>
      </c>
      <c r="F12" s="39">
        <f>'6a'!F12/'6c'!F12*100</f>
        <v>16387.351778656124</v>
      </c>
      <c r="G12" s="39">
        <f>'6a'!G12/'6c'!G12*100</f>
        <v>183153.44603381012</v>
      </c>
      <c r="H12" s="39">
        <f>'6a'!H12/'6c'!H12*100</f>
        <v>340107.42705570289</v>
      </c>
      <c r="I12" s="39">
        <f>'6a'!I12/'6c'!I12*100</f>
        <v>29711.201079622133</v>
      </c>
      <c r="J12" s="39">
        <f>'6a'!J12/'6c'!J12*100</f>
        <v>25646.258503401361</v>
      </c>
      <c r="K12" s="39">
        <f>'6a'!K12/'6c'!K12*100</f>
        <v>88554.016620498616</v>
      </c>
      <c r="L12" s="39">
        <f>'6a'!L12/'6c'!L12*100</f>
        <v>96668.523676880228</v>
      </c>
      <c r="N12" s="815"/>
      <c r="O12" s="815"/>
      <c r="P12" s="815"/>
      <c r="Q12" s="815"/>
      <c r="R12" s="815"/>
      <c r="S12" s="815"/>
      <c r="T12" s="815"/>
      <c r="U12" s="815"/>
      <c r="V12" s="815"/>
      <c r="W12" s="815"/>
      <c r="X12" s="815"/>
    </row>
    <row r="13" spans="1:24" ht="12.75" customHeight="1">
      <c r="A13" s="120">
        <v>1989</v>
      </c>
      <c r="B13" s="39">
        <f>'6a'!B13/'6c'!B13*100</f>
        <v>844323.49165596918</v>
      </c>
      <c r="C13" s="39">
        <f>'6a'!C13/'6c'!C13*100</f>
        <v>11271.929824561405</v>
      </c>
      <c r="D13" s="39">
        <f>'6a'!D13/'6c'!D13*100</f>
        <v>2649.93564993565</v>
      </c>
      <c r="E13" s="39">
        <f>'6a'!E13/'6c'!E13*100</f>
        <v>20931.96405648267</v>
      </c>
      <c r="F13" s="39">
        <f>'6a'!F13/'6c'!F13*100</f>
        <v>16554.854981084489</v>
      </c>
      <c r="G13" s="39">
        <f>'6a'!G13/'6c'!G13*100</f>
        <v>185770.96370463079</v>
      </c>
      <c r="H13" s="39">
        <f>'6a'!H13/'6c'!H13*100</f>
        <v>352900</v>
      </c>
      <c r="I13" s="39">
        <f>'6a'!I13/'6c'!I13*100</f>
        <v>30311.28404669261</v>
      </c>
      <c r="J13" s="39">
        <f>'6a'!J13/'6c'!J13*100</f>
        <v>26182.1756225426</v>
      </c>
      <c r="K13" s="39">
        <f>'6a'!K13/'6c'!K13*100</f>
        <v>89836</v>
      </c>
      <c r="L13" s="39">
        <f>'6a'!L13/'6c'!L13*100</f>
        <v>100507.97872340426</v>
      </c>
      <c r="N13" s="815"/>
      <c r="O13" s="815"/>
      <c r="P13" s="815"/>
      <c r="Q13" s="815"/>
      <c r="R13" s="815"/>
      <c r="S13" s="815"/>
      <c r="T13" s="815"/>
      <c r="U13" s="815"/>
      <c r="V13" s="815"/>
      <c r="W13" s="815"/>
      <c r="X13" s="815"/>
    </row>
    <row r="14" spans="1:24" ht="12.75" customHeight="1">
      <c r="A14" s="120">
        <v>1990</v>
      </c>
      <c r="B14" s="39">
        <f>'6a'!B14/'6c'!B14*100</f>
        <v>840446.22991347336</v>
      </c>
      <c r="C14" s="39">
        <f>'6a'!C14/'6c'!C14*100</f>
        <v>11174.545454545456</v>
      </c>
      <c r="D14" s="39">
        <f>'6a'!D14/'6c'!D14*100</f>
        <v>2661.3496932515336</v>
      </c>
      <c r="E14" s="39">
        <f>'6a'!E14/'6c'!E14*100</f>
        <v>20901.599015990159</v>
      </c>
      <c r="F14" s="39">
        <f>'6a'!F14/'6c'!F14*100</f>
        <v>16372.262773722628</v>
      </c>
      <c r="G14" s="39">
        <f>'6a'!G14/'6c'!G14*100</f>
        <v>184734.93975903615</v>
      </c>
      <c r="H14" s="39">
        <f>'6a'!H14/'6c'!H14*100</f>
        <v>346186.04651162791</v>
      </c>
      <c r="I14" s="39">
        <f>'6a'!I14/'6c'!I14*100</f>
        <v>30279.098873591989</v>
      </c>
      <c r="J14" s="39">
        <f>'6a'!J14/'6c'!J14*100</f>
        <v>26869.620253164554</v>
      </c>
      <c r="K14" s="39">
        <f>'6a'!K14/'6c'!K14*100</f>
        <v>93440.051020408151</v>
      </c>
      <c r="L14" s="39">
        <f>'6a'!L14/'6c'!L14*100</f>
        <v>100954.19847328245</v>
      </c>
      <c r="N14" s="815"/>
      <c r="O14" s="815"/>
      <c r="P14" s="815"/>
      <c r="Q14" s="815"/>
      <c r="R14" s="815"/>
      <c r="S14" s="815"/>
      <c r="T14" s="815"/>
      <c r="U14" s="815"/>
      <c r="V14" s="815"/>
      <c r="W14" s="815"/>
      <c r="X14" s="815"/>
    </row>
    <row r="15" spans="1:24" ht="12.75" customHeight="1">
      <c r="A15" s="120">
        <v>1991</v>
      </c>
      <c r="B15" s="39">
        <f>'6a'!B15/'6c'!B15*100</f>
        <v>818837.51493428904</v>
      </c>
      <c r="C15" s="39">
        <f>'6a'!C15/'6c'!C15*100</f>
        <v>11305.424528301886</v>
      </c>
      <c r="D15" s="39">
        <f>'6a'!D15/'6c'!D15*100</f>
        <v>2671.8009478672984</v>
      </c>
      <c r="E15" s="39">
        <f>'6a'!E15/'6c'!E15*100</f>
        <v>21036.948748510131</v>
      </c>
      <c r="F15" s="39">
        <f>'6a'!F15/'6c'!F15*100</f>
        <v>16131.205673758868</v>
      </c>
      <c r="G15" s="39">
        <f>'6a'!G15/'6c'!G15*100</f>
        <v>180834.49883449884</v>
      </c>
      <c r="H15" s="39">
        <f>'6a'!H15/'6c'!H15*100</f>
        <v>334626.47754137119</v>
      </c>
      <c r="I15" s="39">
        <f>'6a'!I15/'6c'!I15*100</f>
        <v>29232.360097323603</v>
      </c>
      <c r="J15" s="39">
        <f>'6a'!J15/'6c'!J15*100</f>
        <v>26411.111111111109</v>
      </c>
      <c r="K15" s="39">
        <f>'6a'!K15/'6c'!K15*100</f>
        <v>90101.359703337454</v>
      </c>
      <c r="L15" s="39">
        <f>'6a'!L15/'6c'!L15*100</f>
        <v>100428.2208588957</v>
      </c>
      <c r="N15" s="815"/>
      <c r="O15" s="815"/>
      <c r="P15" s="815"/>
      <c r="Q15" s="815"/>
      <c r="R15" s="815"/>
      <c r="S15" s="815"/>
      <c r="T15" s="815"/>
      <c r="U15" s="815"/>
      <c r="V15" s="815"/>
      <c r="W15" s="815"/>
      <c r="X15" s="815"/>
    </row>
    <row r="16" spans="1:24" ht="12.75" customHeight="1">
      <c r="A16" s="120">
        <v>1992</v>
      </c>
      <c r="B16" s="39">
        <f>'6a'!B16/'6c'!B16*100</f>
        <v>823125.73443008226</v>
      </c>
      <c r="C16" s="39">
        <f>'6a'!C16/'6c'!C16*100</f>
        <v>11129.370629370629</v>
      </c>
      <c r="D16" s="39">
        <f>'6a'!D16/'6c'!D16*100</f>
        <v>2739.4859813084113</v>
      </c>
      <c r="E16" s="39">
        <f>'6a'!E16/'6c'!E16*100</f>
        <v>21312.131919905769</v>
      </c>
      <c r="F16" s="39">
        <f>'6a'!F16/'6c'!F16*100</f>
        <v>16380.396732788799</v>
      </c>
      <c r="G16" s="39">
        <f>'6a'!G16/'6c'!G16*100</f>
        <v>181399.77090492554</v>
      </c>
      <c r="H16" s="39">
        <f>'6a'!H16/'6c'!H16*100</f>
        <v>335079.5321637427</v>
      </c>
      <c r="I16" s="39">
        <f>'6a'!I16/'6c'!I16*100</f>
        <v>29157.517899761337</v>
      </c>
      <c r="J16" s="39">
        <f>'6a'!J16/'6c'!J16*100</f>
        <v>25815.08515815085</v>
      </c>
      <c r="K16" s="39">
        <f>'6a'!K16/'6c'!K16*100</f>
        <v>90721.549636803873</v>
      </c>
      <c r="L16" s="39">
        <f>'6a'!L16/'6c'!L16*100</f>
        <v>103736.02853745542</v>
      </c>
      <c r="N16" s="815"/>
      <c r="O16" s="815"/>
      <c r="P16" s="815"/>
      <c r="Q16" s="815"/>
      <c r="R16" s="815"/>
      <c r="S16" s="815"/>
      <c r="T16" s="815"/>
      <c r="U16" s="815"/>
      <c r="V16" s="815"/>
      <c r="W16" s="815"/>
      <c r="X16" s="815"/>
    </row>
    <row r="17" spans="1:24" ht="12.75" customHeight="1">
      <c r="A17" s="120">
        <v>1993</v>
      </c>
      <c r="B17" s="39">
        <f>'6a'!B17/'6c'!B17*100</f>
        <v>837769.58525345614</v>
      </c>
      <c r="C17" s="39">
        <f>'6a'!C17/'6c'!C17*100</f>
        <v>11218.140068886338</v>
      </c>
      <c r="D17" s="39">
        <f>'6a'!D17/'6c'!D17*100</f>
        <v>2830.4696449026346</v>
      </c>
      <c r="E17" s="39">
        <f>'6a'!E17/'6c'!E17*100</f>
        <v>21279.582366589326</v>
      </c>
      <c r="F17" s="39">
        <f>'6a'!F17/'6c'!F17*100</f>
        <v>16888.505747126437</v>
      </c>
      <c r="G17" s="39">
        <f>'6a'!G17/'6c'!G17*100</f>
        <v>183102.70880361175</v>
      </c>
      <c r="H17" s="39">
        <f>'6a'!H17/'6c'!H17*100</f>
        <v>336088.20160366554</v>
      </c>
      <c r="I17" s="39">
        <f>'6a'!I17/'6c'!I17*100</f>
        <v>28827.667057444312</v>
      </c>
      <c r="J17" s="39">
        <f>'6a'!J17/'6c'!J17*100</f>
        <v>27262.782401902503</v>
      </c>
      <c r="K17" s="39">
        <f>'6a'!K17/'6c'!K17*100</f>
        <v>96526.753864447091</v>
      </c>
      <c r="L17" s="39">
        <f>'6a'!L17/'6c'!L17*100</f>
        <v>108508.65051903113</v>
      </c>
      <c r="N17" s="815"/>
      <c r="O17" s="815"/>
      <c r="P17" s="815"/>
      <c r="Q17" s="815"/>
      <c r="R17" s="815"/>
      <c r="S17" s="815"/>
      <c r="T17" s="815"/>
      <c r="U17" s="815"/>
      <c r="V17" s="815"/>
      <c r="W17" s="815"/>
      <c r="X17" s="815"/>
    </row>
    <row r="18" spans="1:24" ht="12.75" customHeight="1">
      <c r="A18" s="120">
        <v>1994</v>
      </c>
      <c r="B18" s="39">
        <f>'6a'!B18/'6c'!B18*100</f>
        <v>874997.72985244053</v>
      </c>
      <c r="C18" s="39">
        <f>'6a'!C18/'6c'!C18*100</f>
        <v>11571.589627959413</v>
      </c>
      <c r="D18" s="39">
        <f>'6a'!D18/'6c'!D18*100</f>
        <v>2871.2984054669705</v>
      </c>
      <c r="E18" s="39">
        <f>'6a'!E18/'6c'!E18*100</f>
        <v>21309.360730593609</v>
      </c>
      <c r="F18" s="39">
        <f>'6a'!F18/'6c'!F18*100</f>
        <v>17252.821670428893</v>
      </c>
      <c r="G18" s="39">
        <f>'6a'!G18/'6c'!G18*100</f>
        <v>191333.33333333334</v>
      </c>
      <c r="H18" s="39">
        <f>'6a'!H18/'6c'!H18*100</f>
        <v>352317.100792752</v>
      </c>
      <c r="I18" s="39">
        <f>'6a'!I18/'6c'!I18*100</f>
        <v>29836.781609195401</v>
      </c>
      <c r="J18" s="39">
        <f>'6a'!J18/'6c'!J18*100</f>
        <v>28432.055749128922</v>
      </c>
      <c r="K18" s="39">
        <f>'6a'!K18/'6c'!K18*100</f>
        <v>102492.43306169964</v>
      </c>
      <c r="L18" s="39">
        <f>'6a'!L18/'6c'!L18*100</f>
        <v>113061.86726659167</v>
      </c>
      <c r="N18" s="815"/>
      <c r="O18" s="815"/>
      <c r="P18" s="815"/>
      <c r="Q18" s="815"/>
      <c r="R18" s="815"/>
      <c r="S18" s="815"/>
      <c r="T18" s="815"/>
      <c r="U18" s="815"/>
      <c r="V18" s="815"/>
      <c r="W18" s="815"/>
      <c r="X18" s="815"/>
    </row>
    <row r="19" spans="1:24" ht="12.75" customHeight="1">
      <c r="A19" s="120">
        <v>1995</v>
      </c>
      <c r="B19" s="39">
        <f>'6a'!B19/'6c'!B19*100</f>
        <v>908549.32735426014</v>
      </c>
      <c r="C19" s="39">
        <f>'6a'!C19/'6c'!C19*100</f>
        <v>11901.675977653631</v>
      </c>
      <c r="D19" s="39">
        <f>'6a'!D19/'6c'!D19*100</f>
        <v>3014.7225368063419</v>
      </c>
      <c r="E19" s="39">
        <f>'6a'!E19/'6c'!E19*100</f>
        <v>21852.77463193658</v>
      </c>
      <c r="F19" s="39">
        <f>'6a'!F19/'6c'!F19*100</f>
        <v>18301.675977653631</v>
      </c>
      <c r="G19" s="39">
        <f>'6a'!G19/'6c'!G19*100</f>
        <v>197253.61512791991</v>
      </c>
      <c r="H19" s="39">
        <f>'6a'!H19/'6c'!H19*100</f>
        <v>368776.03583426651</v>
      </c>
      <c r="I19" s="39">
        <f>'6a'!I19/'6c'!I19*100</f>
        <v>30470.056497175141</v>
      </c>
      <c r="J19" s="39">
        <f>'6a'!J19/'6c'!J19*100</f>
        <v>30165.525114155251</v>
      </c>
      <c r="K19" s="39">
        <f>'6a'!K19/'6c'!K19*100</f>
        <v>106154.55594002306</v>
      </c>
      <c r="L19" s="39">
        <f>'6a'!L19/'6c'!L19*100</f>
        <v>116633.55408388522</v>
      </c>
      <c r="N19" s="815"/>
      <c r="O19" s="815"/>
      <c r="P19" s="815"/>
      <c r="Q19" s="815"/>
      <c r="R19" s="815"/>
      <c r="S19" s="815"/>
      <c r="T19" s="815"/>
      <c r="U19" s="815"/>
      <c r="V19" s="815"/>
      <c r="W19" s="815"/>
      <c r="X19" s="815"/>
    </row>
    <row r="20" spans="1:24" ht="12.75" customHeight="1">
      <c r="A20" s="120">
        <v>1996</v>
      </c>
      <c r="B20" s="39">
        <f>'6a'!B20/'6c'!B20*100</f>
        <v>927787.13968957867</v>
      </c>
      <c r="C20" s="39">
        <f>'6a'!C20/'6c'!C20*100</f>
        <v>11523.230088495575</v>
      </c>
      <c r="D20" s="39">
        <f>'6a'!D20/'6c'!D20*100</f>
        <v>3157.7181208053689</v>
      </c>
      <c r="E20" s="39">
        <f>'6a'!E20/'6c'!E20*100</f>
        <v>21874.439461883405</v>
      </c>
      <c r="F20" s="39">
        <f>'6a'!F20/'6c'!F20*100</f>
        <v>18270.329670329669</v>
      </c>
      <c r="G20" s="39">
        <f>'6a'!G20/'6c'!G20*100</f>
        <v>199256.07064017662</v>
      </c>
      <c r="H20" s="39">
        <f>'6a'!H20/'6c'!H20*100</f>
        <v>374499.446290144</v>
      </c>
      <c r="I20" s="39">
        <f>'6a'!I20/'6c'!I20*100</f>
        <v>31628.476084538375</v>
      </c>
      <c r="J20" s="39">
        <f>'6a'!J20/'6c'!J20*100</f>
        <v>32521.348314606741</v>
      </c>
      <c r="K20" s="39">
        <f>'6a'!K20/'6c'!K20*100</f>
        <v>111703.28425821065</v>
      </c>
      <c r="L20" s="39">
        <f>'6a'!L20/'6c'!L20*100</f>
        <v>118978.14207650274</v>
      </c>
      <c r="N20" s="815"/>
      <c r="O20" s="815"/>
      <c r="P20" s="815"/>
      <c r="Q20" s="815"/>
      <c r="R20" s="815"/>
      <c r="S20" s="815"/>
      <c r="T20" s="815"/>
      <c r="U20" s="815"/>
      <c r="V20" s="815"/>
      <c r="W20" s="815"/>
      <c r="X20" s="815"/>
    </row>
    <row r="21" spans="1:24" ht="12.75" customHeight="1">
      <c r="A21" s="120">
        <v>1997</v>
      </c>
      <c r="B21" s="39">
        <f>'6a'!B21/'6c'!B21*100</f>
        <v>964735.51912568312</v>
      </c>
      <c r="C21" s="39">
        <f>'6a'!C21/'6c'!C21*100</f>
        <v>11498.908296943231</v>
      </c>
      <c r="D21" s="39">
        <f>'6a'!D21/'6c'!D21*100</f>
        <v>3100.7751937984499</v>
      </c>
      <c r="E21" s="39">
        <f>'6a'!E21/'6c'!E21*100</f>
        <v>22481.23620309051</v>
      </c>
      <c r="F21" s="39">
        <f>'6a'!F21/'6c'!F21*100</f>
        <v>18369.68375136314</v>
      </c>
      <c r="G21" s="39">
        <f>'6a'!G21/'6c'!G21*100</f>
        <v>205254.90196078431</v>
      </c>
      <c r="H21" s="39">
        <f>'6a'!H21/'6c'!H21*100</f>
        <v>392306.76855895197</v>
      </c>
      <c r="I21" s="39">
        <f>'6a'!I21/'6c'!I21*100</f>
        <v>32693.406593406591</v>
      </c>
      <c r="J21" s="39">
        <f>'6a'!J21/'6c'!J21*100</f>
        <v>32182.119205298015</v>
      </c>
      <c r="K21" s="39">
        <f>'6a'!K21/'6c'!K21*100</f>
        <v>118285.08287292818</v>
      </c>
      <c r="L21" s="39">
        <f>'6a'!L21/'6c'!L21*100</f>
        <v>123523.75809935207</v>
      </c>
      <c r="N21" s="815"/>
      <c r="O21" s="815"/>
      <c r="P21" s="815"/>
      <c r="Q21" s="815"/>
      <c r="R21" s="815"/>
      <c r="S21" s="815"/>
      <c r="T21" s="815"/>
      <c r="U21" s="815"/>
      <c r="V21" s="815"/>
      <c r="W21" s="815"/>
      <c r="X21" s="815"/>
    </row>
    <row r="22" spans="1:24" ht="12.75" customHeight="1">
      <c r="A22" s="120">
        <v>1998</v>
      </c>
      <c r="B22" s="39">
        <f>'6a'!B22/'6c'!B22*100</f>
        <v>987025.88996763749</v>
      </c>
      <c r="C22" s="39">
        <f>'6a'!C22/'6c'!C22*100</f>
        <v>12095.238095238095</v>
      </c>
      <c r="D22" s="39">
        <f>'6a'!D22/'6c'!D22*100</f>
        <v>3265.0602409638559</v>
      </c>
      <c r="E22" s="39">
        <f>'6a'!E22/'6c'!E22*100</f>
        <v>23363.537117903932</v>
      </c>
      <c r="F22" s="39">
        <f>'6a'!F22/'6c'!F22*100</f>
        <v>19062.702702702703</v>
      </c>
      <c r="G22" s="39">
        <f>'6a'!G22/'6c'!G22*100</f>
        <v>211713.05285868392</v>
      </c>
      <c r="H22" s="39">
        <f>'6a'!H22/'6c'!H22*100</f>
        <v>406778.25618945097</v>
      </c>
      <c r="I22" s="39">
        <f>'6a'!I22/'6c'!I22*100</f>
        <v>33555.796316359701</v>
      </c>
      <c r="J22" s="39">
        <f>'6a'!J22/'6c'!J22*100</f>
        <v>32049.891540130153</v>
      </c>
      <c r="K22" s="39">
        <f>'6a'!K22/'6c'!K22*100</f>
        <v>116908.59630032643</v>
      </c>
      <c r="L22" s="39">
        <f>'6a'!L22/'6c'!L22*100</f>
        <v>123680.21390374331</v>
      </c>
      <c r="N22" s="815"/>
      <c r="O22" s="815"/>
      <c r="P22" s="815"/>
      <c r="Q22" s="815"/>
      <c r="R22" s="815"/>
      <c r="S22" s="815"/>
      <c r="T22" s="815"/>
      <c r="U22" s="815"/>
      <c r="V22" s="815"/>
      <c r="W22" s="815"/>
      <c r="X22" s="815"/>
    </row>
    <row r="23" spans="1:24" ht="12.75" customHeight="1">
      <c r="A23" s="120">
        <v>1999</v>
      </c>
      <c r="B23" s="39">
        <f>'6a'!B23/'6c'!B23*100</f>
        <v>1046263.0457933972</v>
      </c>
      <c r="C23" s="39">
        <f>'6a'!C23/'6c'!C23*100</f>
        <v>12989.339019189765</v>
      </c>
      <c r="D23" s="39">
        <f>'6a'!D23/'6c'!D23*100</f>
        <v>3418.8311688311687</v>
      </c>
      <c r="E23" s="39">
        <f>'6a'!E23/'6c'!E23*100</f>
        <v>24741.416309012875</v>
      </c>
      <c r="F23" s="39">
        <f>'6a'!F23/'6c'!F23*100</f>
        <v>20299.573560767592</v>
      </c>
      <c r="G23" s="39">
        <f>'6a'!G23/'6c'!G23*100</f>
        <v>224264.8936170213</v>
      </c>
      <c r="H23" s="39">
        <f>'6a'!H23/'6c'!H23*100</f>
        <v>435127.6595744681</v>
      </c>
      <c r="I23" s="39">
        <f>'6a'!I23/'6c'!I23*100</f>
        <v>34151.709401709406</v>
      </c>
      <c r="J23" s="39">
        <f>'6a'!J23/'6c'!J23*100</f>
        <v>32917.647058823532</v>
      </c>
      <c r="K23" s="39">
        <f>'6a'!K23/'6c'!K23*100</f>
        <v>125487.6741693462</v>
      </c>
      <c r="L23" s="39">
        <f>'6a'!L23/'6c'!L23*100</f>
        <v>128230.11664899258</v>
      </c>
      <c r="N23" s="815"/>
      <c r="O23" s="815"/>
      <c r="P23" s="815"/>
      <c r="Q23" s="815"/>
      <c r="R23" s="815"/>
      <c r="S23" s="815"/>
      <c r="T23" s="815"/>
      <c r="U23" s="815"/>
      <c r="V23" s="815"/>
      <c r="W23" s="815"/>
      <c r="X23" s="815"/>
    </row>
    <row r="24" spans="1:24" ht="12.75" customHeight="1">
      <c r="A24" s="120">
        <v>2000</v>
      </c>
      <c r="B24" s="39">
        <f>'6a'!B24/'6c'!B24*100</f>
        <v>1120267.4297606661</v>
      </c>
      <c r="C24" s="39">
        <f>'6a'!C24/'6c'!C24*100</f>
        <v>14352.57731958763</v>
      </c>
      <c r="D24" s="39">
        <f>'6a'!D24/'6c'!D24*100</f>
        <v>3502.6014568158166</v>
      </c>
      <c r="E24" s="39">
        <f>'6a'!E24/'6c'!E24*100</f>
        <v>25658.688865764827</v>
      </c>
      <c r="F24" s="39">
        <f>'6a'!F24/'6c'!F24*100</f>
        <v>20791.925465838511</v>
      </c>
      <c r="G24" s="39">
        <f>'6a'!G24/'6c'!G24*100</f>
        <v>233327.80082987552</v>
      </c>
      <c r="H24" s="39">
        <f>'6a'!H24/'6c'!H24*100</f>
        <v>458169.43866943865</v>
      </c>
      <c r="I24" s="39">
        <f>'6a'!I24/'6c'!I24*100</f>
        <v>35476.041666666672</v>
      </c>
      <c r="J24" s="39">
        <f>'6a'!J24/'6c'!J24*100</f>
        <v>35347.962382445141</v>
      </c>
      <c r="K24" s="39">
        <f>'6a'!K24/'6c'!K24*100</f>
        <v>151452.92887029288</v>
      </c>
      <c r="L24" s="39">
        <f>'6a'!L24/'6c'!L24*100</f>
        <v>136662.85119667015</v>
      </c>
      <c r="N24" s="815"/>
      <c r="O24" s="815"/>
      <c r="P24" s="815"/>
      <c r="Q24" s="815"/>
      <c r="R24" s="815"/>
      <c r="S24" s="815"/>
      <c r="T24" s="815"/>
      <c r="U24" s="815"/>
      <c r="V24" s="815"/>
      <c r="W24" s="815"/>
      <c r="X24" s="815"/>
    </row>
    <row r="25" spans="1:24" ht="12.75" customHeight="1">
      <c r="A25" s="120">
        <v>2001</v>
      </c>
      <c r="B25" s="39">
        <f>'6a'!B25/'6c'!B25*100</f>
        <v>1132973.4151329242</v>
      </c>
      <c r="C25" s="39">
        <f>'6a'!C25/'6c'!C25*100</f>
        <v>14438.900203665986</v>
      </c>
      <c r="D25" s="39">
        <f>'6a'!D25/'6c'!D25*100</f>
        <v>3526.2076053442961</v>
      </c>
      <c r="E25" s="39">
        <f>'6a'!E25/'6c'!E25*100</f>
        <v>26518.935516888432</v>
      </c>
      <c r="F25" s="39">
        <f>'6a'!F25/'6c'!F25*100</f>
        <v>21149.284253578735</v>
      </c>
      <c r="G25" s="39">
        <f>'6a'!G25/'6c'!G25*100</f>
        <v>236834.35582822084</v>
      </c>
      <c r="H25" s="39">
        <f>'6a'!H25/'6c'!H25*100</f>
        <v>463433.09499489272</v>
      </c>
      <c r="I25" s="39">
        <f>'6a'!I25/'6c'!I25*100</f>
        <v>35911.133810010208</v>
      </c>
      <c r="J25" s="39">
        <f>'6a'!J25/'6c'!J25*100</f>
        <v>33941.598360655742</v>
      </c>
      <c r="K25" s="39">
        <f>'6a'!K25/'6c'!K25*100</f>
        <v>155312.11498973306</v>
      </c>
      <c r="L25" s="39">
        <f>'6a'!L25/'6c'!L25*100</f>
        <v>136797.13114754099</v>
      </c>
      <c r="N25" s="815"/>
      <c r="O25" s="815"/>
      <c r="P25" s="815"/>
      <c r="Q25" s="815"/>
      <c r="R25" s="815"/>
      <c r="S25" s="815"/>
      <c r="T25" s="815"/>
      <c r="U25" s="815"/>
      <c r="V25" s="815"/>
      <c r="W25" s="815"/>
      <c r="X25" s="815"/>
    </row>
    <row r="26" spans="1:24" ht="12.75" customHeight="1">
      <c r="A26" s="120">
        <v>2002</v>
      </c>
      <c r="B26" s="39">
        <f>'6a'!B26/'6c'!B26*100</f>
        <v>1152905</v>
      </c>
      <c r="C26" s="39">
        <f>'6a'!C26/'6c'!C26*100</f>
        <v>16457</v>
      </c>
      <c r="D26" s="39">
        <f>'6a'!D26/'6c'!D26*100</f>
        <v>3701</v>
      </c>
      <c r="E26" s="39">
        <f>'6a'!E26/'6c'!E26*100</f>
        <v>27082</v>
      </c>
      <c r="F26" s="39">
        <f>'6a'!F26/'6c'!F26*100</f>
        <v>21169</v>
      </c>
      <c r="G26" s="39">
        <f>'6a'!G26/'6c'!G26*100</f>
        <v>241448</v>
      </c>
      <c r="H26" s="39">
        <f>'6a'!H26/'6c'!H26*100</f>
        <v>477763</v>
      </c>
      <c r="I26" s="39">
        <f>'6a'!I26/'6c'!I26*100</f>
        <v>36559</v>
      </c>
      <c r="J26" s="39">
        <f>'6a'!J26/'6c'!J26*100</f>
        <v>34343</v>
      </c>
      <c r="K26" s="39">
        <f>'6a'!K26/'6c'!K26*100</f>
        <v>150594</v>
      </c>
      <c r="L26" s="39">
        <f>'6a'!L26/'6c'!L26*100</f>
        <v>138193</v>
      </c>
      <c r="N26" s="815"/>
      <c r="O26" s="815"/>
      <c r="P26" s="815"/>
      <c r="Q26" s="815"/>
      <c r="R26" s="815"/>
      <c r="S26" s="815"/>
      <c r="T26" s="815"/>
      <c r="U26" s="815"/>
      <c r="V26" s="815"/>
      <c r="W26" s="815"/>
      <c r="X26" s="815"/>
    </row>
    <row r="27" spans="1:24" ht="12.75" customHeight="1">
      <c r="A27" s="120">
        <v>2003</v>
      </c>
      <c r="B27" s="39">
        <f>'6a'!B27/'6c'!B27*100</f>
        <v>1195246.3054187193</v>
      </c>
      <c r="C27" s="39">
        <f>'6a'!C27/'6c'!C27*100</f>
        <v>17763.725490196077</v>
      </c>
      <c r="D27" s="39">
        <f>'6a'!D27/'6c'!D27*100</f>
        <v>3741.8719211822663</v>
      </c>
      <c r="E27" s="39">
        <f>'6a'!E27/'6c'!E27*100</f>
        <v>28368.731563421828</v>
      </c>
      <c r="F27" s="39">
        <f>'6a'!F27/'6c'!F27*100</f>
        <v>21948.969578017663</v>
      </c>
      <c r="G27" s="39">
        <f>'6a'!G27/'6c'!G27*100</f>
        <v>246318.27111984286</v>
      </c>
      <c r="H27" s="39">
        <f>'6a'!H27/'6c'!H27*100</f>
        <v>486273.17554240627</v>
      </c>
      <c r="I27" s="39">
        <f>'6a'!I27/'6c'!I27*100</f>
        <v>36933.925049309662</v>
      </c>
      <c r="J27" s="39">
        <f>'6a'!J27/'6c'!J27*100</f>
        <v>36146.942800788951</v>
      </c>
      <c r="K27" s="39">
        <f>'6a'!K27/'6c'!K27*100</f>
        <v>168595.63924677897</v>
      </c>
      <c r="L27" s="39">
        <f>'6a'!L27/'6c'!L27*100</f>
        <v>143489.6551724138</v>
      </c>
      <c r="N27" s="815"/>
      <c r="O27" s="815"/>
      <c r="P27" s="815"/>
      <c r="Q27" s="815"/>
      <c r="R27" s="815"/>
      <c r="S27" s="815"/>
      <c r="T27" s="815"/>
      <c r="U27" s="815"/>
      <c r="V27" s="815"/>
      <c r="W27" s="815"/>
      <c r="X27" s="815"/>
    </row>
    <row r="28" spans="1:24" ht="12.75" customHeight="1">
      <c r="A28" s="119">
        <v>2004</v>
      </c>
      <c r="B28" s="39">
        <f>'6a'!B28/'6c'!B28*100</f>
        <v>1250877.9069767441</v>
      </c>
      <c r="C28" s="39">
        <f>'6a'!C28/'6c'!C28*100</f>
        <v>18660.576923076922</v>
      </c>
      <c r="D28" s="39">
        <f>'6a'!D28/'6c'!D28*100</f>
        <v>3848.3091787439612</v>
      </c>
      <c r="E28" s="39">
        <f>'6a'!E28/'6c'!E28*100</f>
        <v>28815.637065637064</v>
      </c>
      <c r="F28" s="39">
        <f>'6a'!F28/'6c'!F28*100</f>
        <v>22696.069031639501</v>
      </c>
      <c r="G28" s="39">
        <f>'6a'!G28/'6c'!G28*100</f>
        <v>254860.32977691561</v>
      </c>
      <c r="H28" s="39">
        <f>'6a'!H28/'6c'!H28*100</f>
        <v>500587.77885548014</v>
      </c>
      <c r="I28" s="39">
        <f>'6a'!I28/'6c'!I28*100</f>
        <v>38515.503875968992</v>
      </c>
      <c r="J28" s="39">
        <f>'6a'!J28/'6c'!J28*100</f>
        <v>39454.545454545449</v>
      </c>
      <c r="K28" s="39">
        <f>'6a'!K28/'6c'!K28*100</f>
        <v>184216.50485436895</v>
      </c>
      <c r="L28" s="39">
        <f>'6a'!L28/'6c'!L28*100</f>
        <v>152490.32882011603</v>
      </c>
      <c r="N28" s="815"/>
      <c r="O28" s="815"/>
      <c r="P28" s="815"/>
      <c r="Q28" s="815"/>
      <c r="R28" s="815"/>
      <c r="S28" s="815"/>
      <c r="T28" s="815"/>
      <c r="U28" s="815"/>
      <c r="V28" s="815"/>
      <c r="W28" s="815"/>
      <c r="X28" s="815"/>
    </row>
    <row r="29" spans="1:24" ht="12.75" customHeight="1">
      <c r="A29" s="119">
        <v>2005</v>
      </c>
      <c r="B29" s="39">
        <f>'6a'!B29/'6c'!B29*100</f>
        <v>1301067.298578199</v>
      </c>
      <c r="C29" s="39">
        <f>'6a'!C29/'6c'!C29*100</f>
        <v>20638.758231420506</v>
      </c>
      <c r="D29" s="39">
        <f>'6a'!D29/'6c'!D29*100</f>
        <v>3901.3157894736842</v>
      </c>
      <c r="E29" s="39">
        <f>'6a'!E29/'6c'!E29*100</f>
        <v>29393.796992481202</v>
      </c>
      <c r="F29" s="39">
        <f>'6a'!F29/'6c'!F29*100</f>
        <v>23128.971962616823</v>
      </c>
      <c r="G29" s="39">
        <f>'6a'!G29/'6c'!G29*100</f>
        <v>257415.95441595442</v>
      </c>
      <c r="H29" s="39">
        <f>'6a'!H29/'6c'!H29*100</f>
        <v>510793.52997145581</v>
      </c>
      <c r="I29" s="39">
        <f>'6a'!I29/'6c'!I29*100</f>
        <v>39315.340909090912</v>
      </c>
      <c r="J29" s="39">
        <f>'6a'!J29/'6c'!J29*100</f>
        <v>41768.720379146922</v>
      </c>
      <c r="K29" s="39">
        <f>'6a'!K29/'6c'!K29*100</f>
        <v>207942.45283018867</v>
      </c>
      <c r="L29" s="39">
        <f>'6a'!L29/'6c'!L29*100</f>
        <v>160939.16349809885</v>
      </c>
      <c r="N29" s="815"/>
      <c r="O29" s="815"/>
      <c r="P29" s="815"/>
      <c r="Q29" s="815"/>
      <c r="R29" s="815"/>
      <c r="S29" s="815"/>
      <c r="T29" s="815"/>
      <c r="U29" s="815"/>
      <c r="V29" s="815"/>
      <c r="W29" s="815"/>
      <c r="X29" s="815"/>
    </row>
    <row r="30" spans="1:24" ht="12.75" customHeight="1">
      <c r="A30" s="119">
        <v>2006</v>
      </c>
      <c r="B30" s="39">
        <f>'6a'!B30/'6c'!B30*100</f>
        <v>1344291.0101946245</v>
      </c>
      <c r="C30" s="39">
        <f>'6a'!C30/'6c'!C30*100</f>
        <v>21954.39189189189</v>
      </c>
      <c r="D30" s="39">
        <f>'6a'!D30/'6c'!D30*100</f>
        <v>3982.4884792626726</v>
      </c>
      <c r="E30" s="39">
        <f>'6a'!E30/'6c'!E30*100</f>
        <v>29277.675276752769</v>
      </c>
      <c r="F30" s="39">
        <f>'6a'!F30/'6c'!F30*100</f>
        <v>23670.94408799267</v>
      </c>
      <c r="G30" s="39">
        <f>'6a'!G30/'6c'!G30*100</f>
        <v>263843.48641049676</v>
      </c>
      <c r="H30" s="39">
        <f>'6a'!H30/'6c'!H30*100</f>
        <v>525120.07504690439</v>
      </c>
      <c r="I30" s="39">
        <f>'6a'!I30/'6c'!I30*100</f>
        <v>41622.798887859128</v>
      </c>
      <c r="J30" s="39">
        <f>'6a'!J30/'6c'!J30*100</f>
        <v>43089.898053753474</v>
      </c>
      <c r="K30" s="39">
        <f>'6a'!K30/'6c'!K30*100</f>
        <v>216036.06853020738</v>
      </c>
      <c r="L30" s="39">
        <f>'6a'!L30/'6c'!L30*100</f>
        <v>168737.76546629734</v>
      </c>
      <c r="N30" s="815"/>
      <c r="O30" s="815"/>
      <c r="P30" s="815"/>
      <c r="Q30" s="815"/>
      <c r="R30" s="815"/>
      <c r="S30" s="815"/>
      <c r="T30" s="815"/>
      <c r="U30" s="815"/>
      <c r="V30" s="815"/>
      <c r="W30" s="815"/>
      <c r="X30" s="815"/>
    </row>
    <row r="31" spans="1:24" ht="12.75" customHeight="1">
      <c r="A31" s="119">
        <v>2007</v>
      </c>
      <c r="B31" s="39">
        <f>'6a'!B31/'6c'!B31*100</f>
        <v>1393508.166969147</v>
      </c>
      <c r="C31" s="39">
        <f>'6a'!C31/'6c'!C31*100</f>
        <v>25561.904761904763</v>
      </c>
      <c r="D31" s="39">
        <f>'6a'!D31/'6c'!D31*100</f>
        <v>4105.5956678700359</v>
      </c>
      <c r="E31" s="39">
        <f>'6a'!E31/'6c'!E31*100</f>
        <v>29873.30316742081</v>
      </c>
      <c r="F31" s="39">
        <f>'6a'!F31/'6c'!F31*100</f>
        <v>24189.407540394972</v>
      </c>
      <c r="G31" s="39">
        <f>'6a'!G31/'6c'!G31*100</f>
        <v>272444.44444444444</v>
      </c>
      <c r="H31" s="39">
        <f>'6a'!H31/'6c'!H31*100</f>
        <v>541125.80943570775</v>
      </c>
      <c r="I31" s="39">
        <f>'6a'!I31/'6c'!I31*100</f>
        <v>43975.543478260872</v>
      </c>
      <c r="J31" s="39">
        <f>'6a'!J31/'6c'!J31*100</f>
        <v>46428.057553956838</v>
      </c>
      <c r="K31" s="39">
        <f>'6a'!K31/'6c'!K31*100</f>
        <v>223413.28731665225</v>
      </c>
      <c r="L31" s="39">
        <f>'6a'!L31/'6c'!L31*100</f>
        <v>174233.48416289594</v>
      </c>
      <c r="N31" s="815"/>
      <c r="O31" s="815"/>
      <c r="P31" s="815"/>
      <c r="Q31" s="815"/>
      <c r="R31" s="815"/>
      <c r="S31" s="815"/>
      <c r="T31" s="815"/>
      <c r="U31" s="815"/>
      <c r="V31" s="815"/>
      <c r="W31" s="815"/>
      <c r="X31" s="815"/>
    </row>
    <row r="32" spans="1:24" ht="12.75" customHeight="1">
      <c r="A32" s="119">
        <v>2008</v>
      </c>
      <c r="B32" s="39">
        <f>'6a'!B32/'6c'!B32*100</f>
        <v>1421893.5226264419</v>
      </c>
      <c r="C32" s="39">
        <f>'6a'!C32/'6c'!C32*100</f>
        <v>27643.233743409492</v>
      </c>
      <c r="D32" s="39">
        <f>'6a'!D32/'6c'!D32*100</f>
        <v>4133.216476774759</v>
      </c>
      <c r="E32" s="39">
        <f>'6a'!E32/'6c'!E32*100</f>
        <v>30166.666666666664</v>
      </c>
      <c r="F32" s="39">
        <f>'6a'!F32/'6c'!F32*100</f>
        <v>23957.85776997366</v>
      </c>
      <c r="G32" s="39">
        <f>'6a'!G32/'6c'!G32*100</f>
        <v>272338.75338753388</v>
      </c>
      <c r="H32" s="39">
        <f>'6a'!H32/'6c'!H32*100</f>
        <v>532522.64492753625</v>
      </c>
      <c r="I32" s="39">
        <f>'6a'!I32/'6c'!I32*100</f>
        <v>44952.296819787982</v>
      </c>
      <c r="J32" s="39">
        <f>'6a'!J32/'6c'!J32*100</f>
        <v>55642.733564013841</v>
      </c>
      <c r="K32" s="39">
        <f>'6a'!K32/'6c'!K32*100</f>
        <v>243660.81871345028</v>
      </c>
      <c r="L32" s="39">
        <f>'6a'!L32/'6c'!L32*100</f>
        <v>175984.09893992933</v>
      </c>
      <c r="N32" s="815"/>
      <c r="O32" s="815"/>
      <c r="P32" s="815"/>
      <c r="Q32" s="815"/>
      <c r="R32" s="815"/>
      <c r="S32" s="815"/>
      <c r="T32" s="815"/>
      <c r="U32" s="815"/>
      <c r="V32" s="815"/>
      <c r="W32" s="815"/>
      <c r="X32" s="815"/>
    </row>
    <row r="33" spans="1:12" ht="12.75" customHeight="1">
      <c r="A33" s="120"/>
      <c r="B33" s="23"/>
      <c r="C33" s="644"/>
      <c r="D33" s="666" t="s">
        <v>802</v>
      </c>
      <c r="E33" s="644"/>
      <c r="F33" s="644"/>
      <c r="G33" s="644"/>
      <c r="H33" s="644"/>
      <c r="I33" s="644"/>
      <c r="J33" s="644"/>
      <c r="K33" s="644"/>
      <c r="L33" s="644"/>
    </row>
    <row r="34" spans="1:12">
      <c r="A34" s="448" t="s">
        <v>603</v>
      </c>
      <c r="B34" s="23">
        <f t="shared" ref="B34:L34" si="0">((((B13/B5))^(1/8))-1)*100</f>
        <v>2.884610175788449</v>
      </c>
      <c r="C34" s="23">
        <f t="shared" si="0"/>
        <v>2.7484489662620959</v>
      </c>
      <c r="D34" s="23">
        <f t="shared" si="0"/>
        <v>3.6887521613943708</v>
      </c>
      <c r="E34" s="23">
        <f t="shared" si="0"/>
        <v>4.4159253993247605</v>
      </c>
      <c r="F34" s="23">
        <f t="shared" si="0"/>
        <v>4.592298524862537</v>
      </c>
      <c r="G34" s="23">
        <f t="shared" si="0"/>
        <v>3.0728240579626087</v>
      </c>
      <c r="H34" s="23">
        <f t="shared" si="0"/>
        <v>4.3719364401716421</v>
      </c>
      <c r="I34" s="23">
        <f t="shared" si="0"/>
        <v>2.056445173239041</v>
      </c>
      <c r="J34" s="23">
        <f t="shared" si="0"/>
        <v>-0.50390935726132291</v>
      </c>
      <c r="K34" s="23">
        <f t="shared" si="0"/>
        <v>-0.82958220837531238</v>
      </c>
      <c r="L34" s="23">
        <f t="shared" si="0"/>
        <v>2.3835924888336635</v>
      </c>
    </row>
    <row r="35" spans="1:12">
      <c r="A35" s="448" t="s">
        <v>604</v>
      </c>
      <c r="B35" s="23">
        <f t="shared" ref="B35:L35" si="1">((((B24/B13))^(1/11))-1)*100</f>
        <v>2.6041208066467814</v>
      </c>
      <c r="C35" s="23">
        <f t="shared" si="1"/>
        <v>2.2207911898010524</v>
      </c>
      <c r="D35" s="23">
        <f t="shared" si="1"/>
        <v>2.5685289653792687</v>
      </c>
      <c r="E35" s="23">
        <f t="shared" si="1"/>
        <v>1.8681898728030388</v>
      </c>
      <c r="F35" s="23">
        <f t="shared" si="1"/>
        <v>2.0932929041014958</v>
      </c>
      <c r="G35" s="23">
        <f t="shared" si="1"/>
        <v>2.0937058900053707</v>
      </c>
      <c r="H35" s="23">
        <f t="shared" si="1"/>
        <v>2.4016062557704387</v>
      </c>
      <c r="I35" s="23">
        <f t="shared" si="1"/>
        <v>1.4406195267526289</v>
      </c>
      <c r="J35" s="23">
        <f t="shared" si="1"/>
        <v>2.7663156477228279</v>
      </c>
      <c r="K35" s="23">
        <f t="shared" si="1"/>
        <v>4.8626094982125778</v>
      </c>
      <c r="L35" s="23">
        <f t="shared" si="1"/>
        <v>2.832835830190783</v>
      </c>
    </row>
    <row r="36" spans="1:12">
      <c r="A36" s="448" t="s">
        <v>1408</v>
      </c>
      <c r="B36" s="23">
        <f>((((B32/B5))^(1/27))-1)*100</f>
        <v>2.8118135085723139</v>
      </c>
      <c r="C36" s="23">
        <f t="shared" ref="C36:L36" si="2">((((C32/C5))^(1/27))-1)*100</f>
        <v>4.2121247407645335</v>
      </c>
      <c r="D36" s="23">
        <f t="shared" si="2"/>
        <v>2.7569803915597157</v>
      </c>
      <c r="E36" s="23">
        <f t="shared" si="2"/>
        <v>2.6689064436982157</v>
      </c>
      <c r="F36" s="23">
        <f t="shared" si="2"/>
        <v>2.7360756947729215</v>
      </c>
      <c r="G36" s="23">
        <f t="shared" si="2"/>
        <v>2.3405138185313312</v>
      </c>
      <c r="H36" s="23">
        <f t="shared" si="2"/>
        <v>2.8310592157667624</v>
      </c>
      <c r="I36" s="23">
        <f t="shared" si="2"/>
        <v>2.0841194335283308</v>
      </c>
      <c r="J36" s="23">
        <f t="shared" si="2"/>
        <v>2.6776588636812093</v>
      </c>
      <c r="K36" s="23">
        <f t="shared" si="2"/>
        <v>3.5088533563607083</v>
      </c>
      <c r="L36" s="23">
        <f t="shared" si="2"/>
        <v>2.8114125487398001</v>
      </c>
    </row>
    <row r="37" spans="1:12">
      <c r="A37" s="448" t="s">
        <v>449</v>
      </c>
      <c r="B37" s="644">
        <f>((((B31/B24))^(1/7)-1)*100)</f>
        <v>3.1670745151827662</v>
      </c>
      <c r="C37" s="644">
        <f t="shared" ref="C37:L37" si="3">((((C31/C24))^(1/7)-1)*100)</f>
        <v>8.5948038799266158</v>
      </c>
      <c r="D37" s="644">
        <f t="shared" si="3"/>
        <v>2.295154977691638</v>
      </c>
      <c r="E37" s="644">
        <f t="shared" si="3"/>
        <v>2.1963866655893893</v>
      </c>
      <c r="F37" s="644">
        <f t="shared" si="3"/>
        <v>2.1856882914545128</v>
      </c>
      <c r="G37" s="644">
        <f t="shared" si="3"/>
        <v>2.2388425309616933</v>
      </c>
      <c r="H37" s="644">
        <f t="shared" si="3"/>
        <v>2.4058083827434462</v>
      </c>
      <c r="I37" s="644">
        <f t="shared" si="3"/>
        <v>3.1157847590463694</v>
      </c>
      <c r="J37" s="644">
        <f t="shared" si="3"/>
        <v>3.9720459370797156</v>
      </c>
      <c r="K37" s="644">
        <f t="shared" si="3"/>
        <v>5.7106541636875008</v>
      </c>
      <c r="L37" s="644">
        <f t="shared" si="3"/>
        <v>3.5306009435398966</v>
      </c>
    </row>
    <row r="38" spans="1:12">
      <c r="A38" s="448" t="s">
        <v>1410</v>
      </c>
      <c r="B38" s="644">
        <f>((((B32/B24))^(1/8)-1)*100)</f>
        <v>3.0251298979127927</v>
      </c>
      <c r="C38" s="644">
        <f t="shared" ref="C38:L38" si="4">((((C32/C24))^(1/8)-1)*100)</f>
        <v>8.5381384967012188</v>
      </c>
      <c r="D38" s="644">
        <f t="shared" si="4"/>
        <v>2.0909343379797107</v>
      </c>
      <c r="E38" s="644">
        <f t="shared" si="4"/>
        <v>2.0437964981024237</v>
      </c>
      <c r="F38" s="644">
        <f t="shared" si="4"/>
        <v>1.787432332063621</v>
      </c>
      <c r="G38" s="644">
        <f t="shared" si="4"/>
        <v>1.9513238885988438</v>
      </c>
      <c r="H38" s="644">
        <f t="shared" si="4"/>
        <v>1.8976094453186487</v>
      </c>
      <c r="I38" s="644">
        <f t="shared" si="4"/>
        <v>3.0035259161502958</v>
      </c>
      <c r="J38" s="644">
        <f t="shared" si="4"/>
        <v>5.8352912213098795</v>
      </c>
      <c r="K38" s="644">
        <f t="shared" si="4"/>
        <v>6.1239735864145217</v>
      </c>
      <c r="L38" s="644">
        <f t="shared" si="4"/>
        <v>3.2114475141322929</v>
      </c>
    </row>
    <row r="39" spans="1:12">
      <c r="A39" s="2"/>
      <c r="D39" s="27" t="s">
        <v>276</v>
      </c>
    </row>
    <row r="40" spans="1:12">
      <c r="A40" s="448" t="s">
        <v>1408</v>
      </c>
      <c r="B40" s="10">
        <f>(B32/B5-1)*100</f>
        <v>111.42752901836008</v>
      </c>
      <c r="C40" s="10">
        <f t="shared" ref="C40:L40" si="5">(C32/C5-1)*100</f>
        <v>204.64409713342238</v>
      </c>
      <c r="D40" s="10">
        <f t="shared" si="5"/>
        <v>108.40397980363825</v>
      </c>
      <c r="E40" s="10">
        <f t="shared" si="5"/>
        <v>103.63446256796318</v>
      </c>
      <c r="F40" s="10">
        <f t="shared" si="5"/>
        <v>107.26227412095079</v>
      </c>
      <c r="G40" s="10">
        <f t="shared" si="5"/>
        <v>86.7604937882559</v>
      </c>
      <c r="H40" s="10">
        <f t="shared" si="5"/>
        <v>112.49873595884563</v>
      </c>
      <c r="I40" s="10">
        <f t="shared" si="5"/>
        <v>74.530385450773124</v>
      </c>
      <c r="J40" s="10">
        <f t="shared" si="5"/>
        <v>104.10369241808004</v>
      </c>
      <c r="K40" s="10">
        <f t="shared" si="5"/>
        <v>153.74204492269925</v>
      </c>
      <c r="L40" s="10">
        <f t="shared" si="5"/>
        <v>111.40526717471286</v>
      </c>
    </row>
    <row r="42" spans="1:12">
      <c r="A42" s="9" t="s">
        <v>1590</v>
      </c>
      <c r="B42" s="9"/>
      <c r="C42" s="9"/>
      <c r="D42" s="9"/>
      <c r="E42" s="9"/>
      <c r="F42" s="9"/>
      <c r="G42" s="9"/>
      <c r="H42" s="9"/>
      <c r="I42" s="9"/>
      <c r="J42" s="9"/>
      <c r="K42" s="9"/>
      <c r="L42" s="9"/>
    </row>
    <row r="43" spans="1:12">
      <c r="A43" s="4" t="s">
        <v>1718</v>
      </c>
    </row>
    <row r="44" spans="1:12">
      <c r="A44" s="1" t="s">
        <v>388</v>
      </c>
    </row>
    <row r="46" spans="1:12">
      <c r="E46" s="114"/>
    </row>
    <row r="47" spans="1:12">
      <c r="E47" s="114"/>
    </row>
  </sheetData>
  <mergeCells count="11">
    <mergeCell ref="G3:G4"/>
    <mergeCell ref="B3:B4"/>
    <mergeCell ref="C3:C4"/>
    <mergeCell ref="D3:D4"/>
    <mergeCell ref="E3:E4"/>
    <mergeCell ref="F3:F4"/>
    <mergeCell ref="H3:H4"/>
    <mergeCell ref="I3:I4"/>
    <mergeCell ref="J3:J4"/>
    <mergeCell ref="K3:K4"/>
    <mergeCell ref="L3:L4"/>
  </mergeCells>
  <pageMargins left="0.75" right="0.75" top="1" bottom="1" header="0.5" footer="0.5"/>
  <pageSetup scale="84" orientation="landscape" horizontalDpi="300" verticalDpi="300" r:id="rId1"/>
  <headerFooter alignWithMargins="0"/>
</worksheet>
</file>

<file path=xl/worksheets/sheet160.xml><?xml version="1.0" encoding="utf-8"?>
<worksheet xmlns="http://schemas.openxmlformats.org/spreadsheetml/2006/main" xmlns:r="http://schemas.openxmlformats.org/officeDocument/2006/relationships">
  <sheetPr>
    <pageSetUpPr fitToPage="1"/>
  </sheetPr>
  <dimension ref="A1:H26"/>
  <sheetViews>
    <sheetView view="pageBreakPreview" zoomScale="80" zoomScaleNormal="100" zoomScaleSheetLayoutView="80" workbookViewId="0">
      <selection activeCell="H62" sqref="H62"/>
    </sheetView>
  </sheetViews>
  <sheetFormatPr defaultRowHeight="15"/>
  <cols>
    <col min="1" max="1" width="9.140625" style="1151"/>
    <col min="2" max="8" width="13.42578125" style="1151" customWidth="1"/>
    <col min="9" max="16384" width="9.140625" style="1151"/>
  </cols>
  <sheetData>
    <row r="1" spans="1:8">
      <c r="A1" s="1151" t="s">
        <v>2287</v>
      </c>
    </row>
    <row r="3" spans="1:8" ht="39" customHeight="1">
      <c r="B3" s="1160" t="s">
        <v>2278</v>
      </c>
      <c r="C3" s="1160" t="s">
        <v>2279</v>
      </c>
      <c r="D3" s="1160" t="s">
        <v>2280</v>
      </c>
      <c r="E3" s="1160" t="s">
        <v>2281</v>
      </c>
      <c r="F3" s="1160" t="s">
        <v>2282</v>
      </c>
      <c r="G3" s="1160" t="s">
        <v>2283</v>
      </c>
      <c r="H3" s="1160" t="s">
        <v>2284</v>
      </c>
    </row>
    <row r="4" spans="1:8">
      <c r="A4" s="1151">
        <v>1997</v>
      </c>
      <c r="B4" s="1156">
        <v>11356600</v>
      </c>
      <c r="C4" s="1156">
        <v>10072500</v>
      </c>
      <c r="D4" s="1156">
        <v>1284100</v>
      </c>
      <c r="E4" s="1156">
        <v>323300</v>
      </c>
      <c r="F4" s="1156">
        <v>588000</v>
      </c>
      <c r="G4" s="1156">
        <v>334900</v>
      </c>
      <c r="H4" s="1156">
        <v>37900</v>
      </c>
    </row>
    <row r="5" spans="1:8">
      <c r="A5" s="1151">
        <v>1998</v>
      </c>
      <c r="B5" s="1156">
        <v>11640500</v>
      </c>
      <c r="C5" s="1156">
        <v>10266000</v>
      </c>
      <c r="D5" s="1156">
        <v>1374500</v>
      </c>
      <c r="E5" s="1156">
        <v>327500</v>
      </c>
      <c r="F5" s="1156">
        <v>628800</v>
      </c>
      <c r="G5" s="1156">
        <v>375200</v>
      </c>
      <c r="H5" s="1156">
        <v>43000</v>
      </c>
    </row>
    <row r="6" spans="1:8">
      <c r="A6" s="1151">
        <v>1999</v>
      </c>
      <c r="B6" s="1156">
        <v>11973800</v>
      </c>
      <c r="C6" s="1156">
        <v>10535200</v>
      </c>
      <c r="D6" s="1156">
        <v>1438500</v>
      </c>
      <c r="E6" s="1156">
        <v>337800</v>
      </c>
      <c r="F6" s="1156">
        <v>676200</v>
      </c>
      <c r="G6" s="1156">
        <v>387400</v>
      </c>
      <c r="H6" s="1156">
        <v>37100</v>
      </c>
    </row>
    <row r="7" spans="1:8">
      <c r="A7" s="1151">
        <v>2000</v>
      </c>
      <c r="B7" s="1156">
        <v>12390500</v>
      </c>
      <c r="C7" s="1156">
        <v>10842700</v>
      </c>
      <c r="D7" s="1156">
        <v>1547700</v>
      </c>
      <c r="E7" s="1156">
        <v>357200</v>
      </c>
      <c r="F7" s="1156">
        <v>723500</v>
      </c>
      <c r="G7" s="1156">
        <v>424200</v>
      </c>
      <c r="H7" s="1156">
        <v>42700</v>
      </c>
    </row>
    <row r="8" spans="1:8">
      <c r="A8" s="1151">
        <v>2001</v>
      </c>
      <c r="B8" s="1156">
        <v>12669500</v>
      </c>
      <c r="C8" s="1156">
        <v>11049600</v>
      </c>
      <c r="D8" s="1156">
        <v>1619800</v>
      </c>
      <c r="E8" s="1156">
        <v>370500</v>
      </c>
      <c r="F8" s="1156">
        <v>771500</v>
      </c>
      <c r="G8" s="1156">
        <v>444300</v>
      </c>
      <c r="H8" s="1156">
        <v>33500</v>
      </c>
    </row>
    <row r="9" spans="1:8">
      <c r="A9" s="1151">
        <v>2002</v>
      </c>
      <c r="B9" s="1156">
        <v>12995900</v>
      </c>
      <c r="C9" s="1156">
        <v>11314800</v>
      </c>
      <c r="D9" s="1156">
        <v>1681200</v>
      </c>
      <c r="E9" s="1156">
        <v>393100</v>
      </c>
      <c r="F9" s="1156">
        <v>797200</v>
      </c>
      <c r="G9" s="1156">
        <v>454600</v>
      </c>
      <c r="H9" s="1156">
        <v>36200</v>
      </c>
    </row>
    <row r="10" spans="1:8">
      <c r="A10" s="1151">
        <v>2003</v>
      </c>
      <c r="B10" s="1156">
        <v>13270500</v>
      </c>
      <c r="C10" s="1156">
        <v>11619100</v>
      </c>
      <c r="D10" s="1156">
        <v>1651300</v>
      </c>
      <c r="E10" s="1156">
        <v>385500</v>
      </c>
      <c r="F10" s="1156">
        <v>798000</v>
      </c>
      <c r="G10" s="1156">
        <v>432800</v>
      </c>
      <c r="H10" s="1156">
        <v>35100</v>
      </c>
    </row>
    <row r="11" spans="1:8">
      <c r="A11" s="1151">
        <v>2004</v>
      </c>
      <c r="B11" s="1156">
        <v>13493600</v>
      </c>
      <c r="C11" s="1156">
        <v>11772400</v>
      </c>
      <c r="D11" s="1156">
        <v>1721200</v>
      </c>
      <c r="E11" s="1156">
        <v>394600</v>
      </c>
      <c r="F11" s="1156">
        <v>830700</v>
      </c>
      <c r="G11" s="1156">
        <v>458300</v>
      </c>
      <c r="H11" s="1156">
        <v>37700</v>
      </c>
    </row>
    <row r="12" spans="1:8">
      <c r="A12" s="1151">
        <v>2005</v>
      </c>
      <c r="B12" s="1156">
        <v>13658200</v>
      </c>
      <c r="C12" s="1156">
        <v>11860600</v>
      </c>
      <c r="D12" s="1156">
        <v>1797600</v>
      </c>
      <c r="E12" s="1156">
        <v>426800</v>
      </c>
      <c r="F12" s="1156">
        <v>874000</v>
      </c>
      <c r="G12" s="1156">
        <v>458000</v>
      </c>
      <c r="H12" s="1156">
        <v>38700</v>
      </c>
    </row>
    <row r="13" spans="1:8">
      <c r="A13" s="1151">
        <v>2006</v>
      </c>
      <c r="B13" s="1156">
        <v>13986300</v>
      </c>
      <c r="C13" s="1156">
        <v>12163100</v>
      </c>
      <c r="D13" s="1156">
        <v>1823200</v>
      </c>
      <c r="E13" s="1156">
        <v>431000</v>
      </c>
      <c r="F13" s="1156">
        <v>896200</v>
      </c>
      <c r="G13" s="1156">
        <v>456200</v>
      </c>
      <c r="H13" s="1156">
        <v>39700</v>
      </c>
    </row>
    <row r="14" spans="1:8">
      <c r="A14" s="1151">
        <v>2007</v>
      </c>
      <c r="B14" s="1156">
        <v>14251400</v>
      </c>
      <c r="C14" s="1156">
        <v>12408800</v>
      </c>
      <c r="D14" s="1156">
        <v>1842600</v>
      </c>
      <c r="E14" s="1156">
        <v>416800</v>
      </c>
      <c r="F14" s="1156">
        <v>934700</v>
      </c>
      <c r="G14" s="1156">
        <v>474800</v>
      </c>
      <c r="H14" s="1156">
        <v>16200</v>
      </c>
    </row>
    <row r="15" spans="1:8">
      <c r="A15" s="1151">
        <v>2008</v>
      </c>
      <c r="B15" s="1156">
        <v>14496200</v>
      </c>
      <c r="C15" s="1156">
        <v>12721200</v>
      </c>
      <c r="D15" s="1156">
        <v>1775000</v>
      </c>
      <c r="E15" s="1156">
        <v>416300</v>
      </c>
      <c r="F15" s="1156">
        <v>899300</v>
      </c>
      <c r="G15" s="1156">
        <v>447400</v>
      </c>
      <c r="H15" s="1156">
        <v>12000</v>
      </c>
    </row>
    <row r="18" spans="1:8" ht="15" customHeight="1"/>
    <row r="26" spans="1:8" ht="28.5" customHeight="1">
      <c r="A26" s="1273" t="s">
        <v>2285</v>
      </c>
      <c r="B26" s="1273"/>
      <c r="C26" s="1273"/>
      <c r="D26" s="1273"/>
      <c r="E26" s="1273"/>
      <c r="F26" s="1273"/>
      <c r="G26" s="1273"/>
      <c r="H26" s="1273"/>
    </row>
  </sheetData>
  <mergeCells count="1">
    <mergeCell ref="A26:H26"/>
  </mergeCells>
  <pageMargins left="0.7" right="0.7" top="0.75" bottom="0.75" header="0.3" footer="0.3"/>
  <pageSetup scale="88" orientation="portrait" verticalDpi="0" r:id="rId1"/>
</worksheet>
</file>

<file path=xl/worksheets/sheet161.xml><?xml version="1.0" encoding="utf-8"?>
<worksheet xmlns="http://schemas.openxmlformats.org/spreadsheetml/2006/main" xmlns:r="http://schemas.openxmlformats.org/officeDocument/2006/relationships">
  <sheetPr>
    <pageSetUpPr fitToPage="1"/>
  </sheetPr>
  <dimension ref="A1:H19"/>
  <sheetViews>
    <sheetView view="pageBreakPreview" zoomScale="80" zoomScaleNormal="100" zoomScaleSheetLayoutView="80" workbookViewId="0">
      <selection activeCell="H62" sqref="H62"/>
    </sheetView>
  </sheetViews>
  <sheetFormatPr defaultRowHeight="15"/>
  <cols>
    <col min="1" max="1" width="9.140625" style="1151"/>
    <col min="2" max="8" width="13.42578125" style="1151" customWidth="1"/>
    <col min="9" max="16384" width="9.140625" style="1151"/>
  </cols>
  <sheetData>
    <row r="1" spans="1:8">
      <c r="A1" s="1151" t="s">
        <v>2288</v>
      </c>
    </row>
    <row r="3" spans="1:8" ht="30">
      <c r="B3" s="1160" t="s">
        <v>2278</v>
      </c>
      <c r="C3" s="1160" t="s">
        <v>2279</v>
      </c>
      <c r="D3" s="1160" t="s">
        <v>2280</v>
      </c>
      <c r="E3" s="1160" t="s">
        <v>2281</v>
      </c>
      <c r="F3" s="1160" t="s">
        <v>2282</v>
      </c>
      <c r="G3" s="1160" t="s">
        <v>2283</v>
      </c>
      <c r="H3" s="1160" t="s">
        <v>2284</v>
      </c>
    </row>
    <row r="4" spans="1:8">
      <c r="A4" s="1151">
        <v>1997</v>
      </c>
      <c r="B4" s="1156">
        <f>100*([6]Sheet2!B4/[6]Sheet2!$B4)</f>
        <v>100</v>
      </c>
      <c r="C4" s="1161">
        <f>100*([6]Sheet2!C4/[6]Sheet2!$B4)</f>
        <v>88.692918655231324</v>
      </c>
      <c r="D4" s="1161">
        <f>100*([6]Sheet2!D4/[6]Sheet2!$B4)</f>
        <v>11.307081344768681</v>
      </c>
      <c r="E4" s="1161">
        <f>100*([6]Sheet2!E4/[6]Sheet2!$B4)</f>
        <v>2.8468027402567668</v>
      </c>
      <c r="F4" s="1161">
        <f>100*([6]Sheet2!F4/[6]Sheet2!$B4)</f>
        <v>5.1776059736188653</v>
      </c>
      <c r="G4" s="1161">
        <f>100*([6]Sheet2!G4/[6]Sheet2!$B4)</f>
        <v>2.9489459873553705</v>
      </c>
      <c r="H4" s="1161">
        <f>100*([6]Sheet2!H4/[6]Sheet2!$B4)</f>
        <v>0.3337266435376785</v>
      </c>
    </row>
    <row r="5" spans="1:8">
      <c r="A5" s="1151">
        <v>1998</v>
      </c>
      <c r="B5" s="1156">
        <f>100*([6]Sheet2!B5/[6]Sheet2!$B5)</f>
        <v>100</v>
      </c>
      <c r="C5" s="1161">
        <f>100*([6]Sheet2!C5/[6]Sheet2!$B5)</f>
        <v>88.192087968729865</v>
      </c>
      <c r="D5" s="1161">
        <f>100*([6]Sheet2!D5/[6]Sheet2!$B5)</f>
        <v>11.807912031270135</v>
      </c>
      <c r="E5" s="1161">
        <f>100*([6]Sheet2!E5/[6]Sheet2!$B5)</f>
        <v>2.8134530303681111</v>
      </c>
      <c r="F5" s="1161">
        <f>100*([6]Sheet2!F5/[6]Sheet2!$B5)</f>
        <v>5.4018298183067737</v>
      </c>
      <c r="G5" s="1161">
        <f>100*([6]Sheet2!G5/[6]Sheet2!$B5)</f>
        <v>3.223229242730123</v>
      </c>
      <c r="H5" s="1161">
        <f>100*([6]Sheet2!H5/[6]Sheet2!$B5)</f>
        <v>0.36939993986512609</v>
      </c>
    </row>
    <row r="6" spans="1:8">
      <c r="A6" s="1151">
        <v>1999</v>
      </c>
      <c r="B6" s="1156">
        <f>100*([6]Sheet2!B6/[6]Sheet2!$B6)</f>
        <v>100</v>
      </c>
      <c r="C6" s="1161">
        <f>100*([6]Sheet2!C6/[6]Sheet2!$B6)</f>
        <v>87.985434866124365</v>
      </c>
      <c r="D6" s="1161">
        <f>100*([6]Sheet2!D6/[6]Sheet2!$B6)</f>
        <v>12.013729977116705</v>
      </c>
      <c r="E6" s="1161">
        <f>100*([6]Sheet2!E6/[6]Sheet2!$B6)</f>
        <v>2.8211595316440898</v>
      </c>
      <c r="F6" s="1161">
        <f>100*([6]Sheet2!F6/[6]Sheet2!$B6)</f>
        <v>5.6473300038417209</v>
      </c>
      <c r="G6" s="1161">
        <f>100*([6]Sheet2!G6/[6]Sheet2!$B6)</f>
        <v>3.2353972840702196</v>
      </c>
      <c r="H6" s="1161">
        <f>100*([6]Sheet2!H6/[6]Sheet2!$B6)</f>
        <v>0.30984315756067415</v>
      </c>
    </row>
    <row r="7" spans="1:8">
      <c r="A7" s="1151">
        <v>2000</v>
      </c>
      <c r="B7" s="1156">
        <f>100*([6]Sheet2!B7/[6]Sheet2!$B7)</f>
        <v>100</v>
      </c>
      <c r="C7" s="1161">
        <f>100*([6]Sheet2!C7/[6]Sheet2!$B7)</f>
        <v>87.508171583067679</v>
      </c>
      <c r="D7" s="1161">
        <f>100*([6]Sheet2!D7/[6]Sheet2!$B7)</f>
        <v>12.491021346999718</v>
      </c>
      <c r="E7" s="1161">
        <f>100*([6]Sheet2!E7/[6]Sheet2!$B7)</f>
        <v>2.8828537992817078</v>
      </c>
      <c r="F7" s="1161">
        <f>100*([6]Sheet2!F7/[6]Sheet2!$B7)</f>
        <v>5.8391509624308942</v>
      </c>
      <c r="G7" s="1161">
        <f>100*([6]Sheet2!G7/[6]Sheet2!$B7)</f>
        <v>3.4235906541301806</v>
      </c>
      <c r="H7" s="1161">
        <f>100*([6]Sheet2!H7/[6]Sheet2!$B7)</f>
        <v>0.34461886122432511</v>
      </c>
    </row>
    <row r="8" spans="1:8">
      <c r="A8" s="1151">
        <v>2001</v>
      </c>
      <c r="B8" s="1156">
        <f>100*([6]Sheet2!B8/[6]Sheet2!$B8)</f>
        <v>100</v>
      </c>
      <c r="C8" s="1161">
        <f>100*([6]Sheet2!C8/[6]Sheet2!$B8)</f>
        <v>87.214175776471052</v>
      </c>
      <c r="D8" s="1161">
        <f>100*([6]Sheet2!D8/[6]Sheet2!$B8)</f>
        <v>12.785034926398042</v>
      </c>
      <c r="E8" s="1161">
        <f>100*([6]Sheet2!E8/[6]Sheet2!$B8)</f>
        <v>2.9243458700027625</v>
      </c>
      <c r="F8" s="1161">
        <f>100*([6]Sheet2!F8/[6]Sheet2!$B8)</f>
        <v>6.0894273649315291</v>
      </c>
      <c r="G8" s="1161">
        <f>100*([6]Sheet2!G8/[6]Sheet2!$B8)</f>
        <v>3.5068471526106002</v>
      </c>
      <c r="H8" s="1161">
        <f>100*([6]Sheet2!H8/[6]Sheet2!$B8)</f>
        <v>0.26441453885315125</v>
      </c>
    </row>
    <row r="9" spans="1:8">
      <c r="A9" s="1151">
        <v>2002</v>
      </c>
      <c r="B9" s="1156">
        <f>100*([6]Sheet2!B9/[6]Sheet2!$B9)</f>
        <v>100</v>
      </c>
      <c r="C9" s="1161">
        <f>100*([6]Sheet2!C9/[6]Sheet2!$B9)</f>
        <v>87.064381843504492</v>
      </c>
      <c r="D9" s="1161">
        <f>100*([6]Sheet2!D9/[6]Sheet2!$B9)</f>
        <v>12.936387629944829</v>
      </c>
      <c r="E9" s="1161">
        <f>100*([6]Sheet2!E9/[6]Sheet2!$B9)</f>
        <v>3.0248001292715392</v>
      </c>
      <c r="F9" s="1161">
        <f>100*([6]Sheet2!F9/[6]Sheet2!$B9)</f>
        <v>6.1342423379681286</v>
      </c>
      <c r="G9" s="1161">
        <f>100*([6]Sheet2!G9/[6]Sheet2!$B9)</f>
        <v>3.4980263006024979</v>
      </c>
      <c r="H9" s="1161">
        <f>100*([6]Sheet2!H9/[6]Sheet2!$B9)</f>
        <v>0.2785493886533445</v>
      </c>
    </row>
    <row r="10" spans="1:8">
      <c r="A10" s="1151">
        <v>2003</v>
      </c>
      <c r="B10" s="1156">
        <f>100*([6]Sheet2!B10/[6]Sheet2!$B10)</f>
        <v>100</v>
      </c>
      <c r="C10" s="1161">
        <f>100*([6]Sheet2!C10/[6]Sheet2!$B10)</f>
        <v>87.555856975999404</v>
      </c>
      <c r="D10" s="1161">
        <f>100*([6]Sheet2!D10/[6]Sheet2!$B10)</f>
        <v>12.443389472890999</v>
      </c>
      <c r="E10" s="1161">
        <f>100*([6]Sheet2!E10/[6]Sheet2!$B10)</f>
        <v>2.9049395275234544</v>
      </c>
      <c r="F10" s="1161">
        <f>100*([6]Sheet2!F10/[6]Sheet2!$B10)</f>
        <v>6.0133378546399916</v>
      </c>
      <c r="G10" s="1161">
        <f>100*([6]Sheet2!G10/[6]Sheet2!$B10)</f>
        <v>3.2613692023661502</v>
      </c>
      <c r="H10" s="1161">
        <f>100*([6]Sheet2!H10/[6]Sheet2!$B10)</f>
        <v>0.26449643947100709</v>
      </c>
    </row>
    <row r="11" spans="1:8">
      <c r="A11" s="1151">
        <v>2004</v>
      </c>
      <c r="B11" s="1156">
        <f>100*([6]Sheet2!B11/[6]Sheet2!$B11)</f>
        <v>100</v>
      </c>
      <c r="C11" s="1161">
        <f>100*([6]Sheet2!C11/[6]Sheet2!$B11)</f>
        <v>87.244323234718678</v>
      </c>
      <c r="D11" s="1161">
        <f>100*([6]Sheet2!D11/[6]Sheet2!$B11)</f>
        <v>12.755676765281319</v>
      </c>
      <c r="E11" s="1161">
        <f>100*([6]Sheet2!E11/[6]Sheet2!$B11)</f>
        <v>2.9243493211596605</v>
      </c>
      <c r="F11" s="1161">
        <f>100*([6]Sheet2!F11/[6]Sheet2!$B11)</f>
        <v>6.1562518527301835</v>
      </c>
      <c r="G11" s="1161">
        <f>100*([6]Sheet2!G11/[6]Sheet2!$B11)</f>
        <v>3.3964249718385013</v>
      </c>
      <c r="H11" s="1161">
        <f>100*([6]Sheet2!H11/[6]Sheet2!$B11)</f>
        <v>0.27939171162625243</v>
      </c>
    </row>
    <row r="12" spans="1:8">
      <c r="A12" s="1151">
        <v>2005</v>
      </c>
      <c r="B12" s="1156">
        <f>100*([6]Sheet2!B12/[6]Sheet2!$B12)</f>
        <v>100</v>
      </c>
      <c r="C12" s="1161">
        <f>100*([6]Sheet2!C12/[6]Sheet2!$B12)</f>
        <v>86.838675667364669</v>
      </c>
      <c r="D12" s="1161">
        <f>100*([6]Sheet2!D12/[6]Sheet2!$B12)</f>
        <v>13.16132433263534</v>
      </c>
      <c r="E12" s="1161">
        <f>100*([6]Sheet2!E12/[6]Sheet2!$B12)</f>
        <v>3.1248627198313099</v>
      </c>
      <c r="F12" s="1161">
        <f>100*([6]Sheet2!F12/[6]Sheet2!$B12)</f>
        <v>6.3990862631971996</v>
      </c>
      <c r="G12" s="1161">
        <f>100*([6]Sheet2!G12/[6]Sheet2!$B12)</f>
        <v>3.3532969205312559</v>
      </c>
      <c r="H12" s="1161">
        <f>100*([6]Sheet2!H12/[6]Sheet2!$B12)</f>
        <v>0.28334626817589431</v>
      </c>
    </row>
    <row r="13" spans="1:8">
      <c r="A13" s="1151">
        <v>2006</v>
      </c>
      <c r="B13" s="1156">
        <f>100*([6]Sheet2!B13/[6]Sheet2!$B13)</f>
        <v>100</v>
      </c>
      <c r="C13" s="1161">
        <f>100*([6]Sheet2!C13/[6]Sheet2!$B13)</f>
        <v>86.964386578294466</v>
      </c>
      <c r="D13" s="1161">
        <f>100*([6]Sheet2!D13/[6]Sheet2!$B13)</f>
        <v>13.035613421705527</v>
      </c>
      <c r="E13" s="1161">
        <f>100*([6]Sheet2!E13/[6]Sheet2!$B13)</f>
        <v>3.0815869815462271</v>
      </c>
      <c r="F13" s="1161">
        <f>100*([6]Sheet2!F13/[6]Sheet2!$B13)</f>
        <v>6.407698962556216</v>
      </c>
      <c r="G13" s="1161">
        <f>100*([6]Sheet2!G13/[6]Sheet2!$B13)</f>
        <v>3.2617632969405776</v>
      </c>
      <c r="H13" s="1161">
        <f>100*([6]Sheet2!H13/[6]Sheet2!$B13)</f>
        <v>0.28384919528395647</v>
      </c>
    </row>
    <row r="14" spans="1:8">
      <c r="A14" s="1151">
        <v>2007</v>
      </c>
      <c r="B14" s="1156">
        <f>100*([6]Sheet2!B14/[6]Sheet2!$B14)</f>
        <v>100</v>
      </c>
      <c r="C14" s="1161">
        <f>100*([6]Sheet2!C14/[6]Sheet2!$B14)</f>
        <v>87.070743926912442</v>
      </c>
      <c r="D14" s="1161">
        <f>100*([6]Sheet2!D14/[6]Sheet2!$B14)</f>
        <v>12.929256073087556</v>
      </c>
      <c r="E14" s="1161">
        <f>100*([6]Sheet2!E14/[6]Sheet2!$B14)</f>
        <v>2.9246249491278054</v>
      </c>
      <c r="F14" s="1161">
        <f>100*([6]Sheet2!F14/[6]Sheet2!$B14)</f>
        <v>6.5586538866356987</v>
      </c>
      <c r="G14" s="1161">
        <f>100*([6]Sheet2!G14/[6]Sheet2!$B14)</f>
        <v>3.3316025092271633</v>
      </c>
      <c r="H14" s="1161">
        <f>100*([6]Sheet2!H14/[6]Sheet2!$B14)</f>
        <v>0.11367304264844155</v>
      </c>
    </row>
    <row r="15" spans="1:8">
      <c r="A15" s="1151">
        <v>2008</v>
      </c>
      <c r="B15" s="1156">
        <f>100*([6]Sheet2!B15/[6]Sheet2!$B15)</f>
        <v>100</v>
      </c>
      <c r="C15" s="1161">
        <f>100*([6]Sheet2!C15/[6]Sheet2!$B15)</f>
        <v>87.755411763082734</v>
      </c>
      <c r="D15" s="1161">
        <f>100*([6]Sheet2!D15/[6]Sheet2!$B15)</f>
        <v>12.244588236917261</v>
      </c>
      <c r="E15" s="1161">
        <f>100*([6]Sheet2!E15/[6]Sheet2!$B15)</f>
        <v>2.8717870890302288</v>
      </c>
      <c r="F15" s="1161">
        <f>100*([6]Sheet2!F15/[6]Sheet2!$B15)</f>
        <v>6.2036947613857425</v>
      </c>
      <c r="G15" s="1161">
        <f>100*([6]Sheet2!G15/[6]Sheet2!$B15)</f>
        <v>3.0863260716601593</v>
      </c>
      <c r="H15" s="1161">
        <f>100*([6]Sheet2!H15/[6]Sheet2!$B15)</f>
        <v>8.278031484113077E-2</v>
      </c>
    </row>
    <row r="17" spans="1:5">
      <c r="A17" s="1151" t="s">
        <v>2286</v>
      </c>
    </row>
    <row r="19" spans="1:5">
      <c r="E19" s="1162"/>
    </row>
  </sheetData>
  <pageMargins left="0.7" right="0.7" top="0.75" bottom="0.75" header="0.3" footer="0.3"/>
  <pageSetup scale="88" orientation="portrait" verticalDpi="0" r:id="rId1"/>
</worksheet>
</file>

<file path=xl/worksheets/sheet162.xml><?xml version="1.0" encoding="utf-8"?>
<worksheet xmlns="http://schemas.openxmlformats.org/spreadsheetml/2006/main" xmlns:r="http://schemas.openxmlformats.org/officeDocument/2006/relationships">
  <sheetPr codeName="Sheet141">
    <pageSetUpPr fitToPage="1"/>
  </sheetPr>
  <dimension ref="A1:R51"/>
  <sheetViews>
    <sheetView view="pageBreakPreview" zoomScale="90" zoomScaleSheetLayoutView="9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1"/>
    <col min="2" max="6" width="9" style="652" customWidth="1"/>
    <col min="7" max="7" width="1.85546875" style="652" customWidth="1"/>
    <col min="8" max="8" width="9" style="652" customWidth="1"/>
    <col min="9" max="12" width="9" style="1" customWidth="1"/>
    <col min="13" max="16384" width="9.140625" style="1"/>
  </cols>
  <sheetData>
    <row r="1" spans="1:18" ht="15.75">
      <c r="A1" s="40" t="s">
        <v>2214</v>
      </c>
    </row>
    <row r="3" spans="1:18">
      <c r="B3" s="1213" t="s">
        <v>1108</v>
      </c>
      <c r="C3" s="1213"/>
      <c r="D3" s="1213"/>
      <c r="E3" s="1213"/>
      <c r="F3" s="1213"/>
      <c r="H3" s="1213" t="s">
        <v>1109</v>
      </c>
      <c r="I3" s="1213"/>
      <c r="J3" s="1213"/>
      <c r="K3" s="1213"/>
      <c r="L3" s="1213"/>
    </row>
    <row r="4" spans="1:18">
      <c r="A4" s="4"/>
      <c r="B4" s="1179" t="s">
        <v>1103</v>
      </c>
      <c r="C4" s="1172" t="s">
        <v>1104</v>
      </c>
      <c r="D4" s="1172" t="s">
        <v>1105</v>
      </c>
      <c r="E4" s="1172" t="s">
        <v>1106</v>
      </c>
      <c r="F4" s="1172" t="s">
        <v>1107</v>
      </c>
      <c r="G4" s="645"/>
      <c r="H4" s="1172" t="s">
        <v>1103</v>
      </c>
      <c r="I4" s="1172" t="s">
        <v>1104</v>
      </c>
      <c r="J4" s="1172" t="s">
        <v>1105</v>
      </c>
      <c r="K4" s="1172" t="s">
        <v>1106</v>
      </c>
      <c r="L4" s="1172" t="s">
        <v>1107</v>
      </c>
    </row>
    <row r="5" spans="1:18">
      <c r="A5" s="667"/>
      <c r="B5" s="1180"/>
      <c r="C5" s="1173"/>
      <c r="D5" s="1173"/>
      <c r="E5" s="1173"/>
      <c r="F5" s="1173"/>
      <c r="G5" s="646"/>
      <c r="H5" s="1173"/>
      <c r="I5" s="1173"/>
      <c r="J5" s="1173"/>
      <c r="K5" s="1173"/>
      <c r="L5" s="1173"/>
    </row>
    <row r="6" spans="1:18" ht="15">
      <c r="A6" s="338">
        <v>1976</v>
      </c>
      <c r="B6" s="10">
        <v>1182</v>
      </c>
      <c r="C6" s="10">
        <v>173.1</v>
      </c>
      <c r="D6" s="10">
        <v>855.8</v>
      </c>
      <c r="E6" s="10">
        <v>127.8</v>
      </c>
      <c r="F6" s="10">
        <v>25.3</v>
      </c>
      <c r="G6" s="10"/>
      <c r="H6" s="10">
        <f>B6/N6*100</f>
        <v>12.126186201590151</v>
      </c>
      <c r="I6" s="10">
        <f t="shared" ref="I6:L21" si="0">C6/O6*100</f>
        <v>6.83217556046732</v>
      </c>
      <c r="J6" s="10">
        <f t="shared" si="0"/>
        <v>14.094667149774365</v>
      </c>
      <c r="K6" s="10">
        <f t="shared" si="0"/>
        <v>11.189913317572893</v>
      </c>
      <c r="L6" s="10">
        <f t="shared" si="0"/>
        <v>15.023752969121141</v>
      </c>
      <c r="N6" s="842">
        <v>9747.5</v>
      </c>
      <c r="O6" s="842">
        <v>2533.6</v>
      </c>
      <c r="P6" s="842">
        <v>6071.8</v>
      </c>
      <c r="Q6" s="842">
        <v>1142.0999999999999</v>
      </c>
      <c r="R6" s="842">
        <v>168.4</v>
      </c>
    </row>
    <row r="7" spans="1:18" ht="15">
      <c r="A7" s="130">
        <v>1977</v>
      </c>
      <c r="B7" s="10">
        <v>1192.4000000000001</v>
      </c>
      <c r="C7" s="10">
        <v>178.9</v>
      </c>
      <c r="D7" s="10">
        <v>859.1</v>
      </c>
      <c r="E7" s="10">
        <v>129.5</v>
      </c>
      <c r="F7" s="10">
        <v>24.9</v>
      </c>
      <c r="G7" s="10"/>
      <c r="H7" s="10">
        <f t="shared" ref="H7:H34" si="1">B7/N7*100</f>
        <v>12.023676276330782</v>
      </c>
      <c r="I7" s="10">
        <f t="shared" si="0"/>
        <v>6.957570100727259</v>
      </c>
      <c r="J7" s="10">
        <f t="shared" si="0"/>
        <v>13.840601891382448</v>
      </c>
      <c r="K7" s="10">
        <f t="shared" si="0"/>
        <v>11.372617897602529</v>
      </c>
      <c r="L7" s="10">
        <f t="shared" si="0"/>
        <v>15.437073775573465</v>
      </c>
      <c r="N7" s="842">
        <v>9917.1</v>
      </c>
      <c r="O7" s="842">
        <v>2571.3000000000002</v>
      </c>
      <c r="P7" s="842">
        <v>6207.1</v>
      </c>
      <c r="Q7" s="842">
        <v>1138.7</v>
      </c>
      <c r="R7" s="842">
        <v>161.30000000000001</v>
      </c>
    </row>
    <row r="8" spans="1:18" ht="15">
      <c r="A8" s="130">
        <v>1978</v>
      </c>
      <c r="B8" s="10">
        <v>1265.8</v>
      </c>
      <c r="C8" s="10">
        <v>188.9</v>
      </c>
      <c r="D8" s="10">
        <v>923.5</v>
      </c>
      <c r="E8" s="10">
        <v>129.80000000000001</v>
      </c>
      <c r="F8" s="10">
        <v>23.6</v>
      </c>
      <c r="G8" s="10"/>
      <c r="H8" s="10">
        <f t="shared" si="1"/>
        <v>12.385155034588026</v>
      </c>
      <c r="I8" s="10">
        <f t="shared" si="0"/>
        <v>7.166704605812277</v>
      </c>
      <c r="J8" s="10">
        <f t="shared" si="0"/>
        <v>14.364821353575262</v>
      </c>
      <c r="K8" s="10">
        <f t="shared" si="0"/>
        <v>11.23226029768086</v>
      </c>
      <c r="L8" s="10">
        <f t="shared" si="0"/>
        <v>14.478527607361963</v>
      </c>
      <c r="N8" s="842">
        <v>10220.299999999999</v>
      </c>
      <c r="O8" s="842">
        <v>2635.8</v>
      </c>
      <c r="P8" s="842">
        <v>6428.9</v>
      </c>
      <c r="Q8" s="842">
        <v>1155.5999999999999</v>
      </c>
      <c r="R8" s="842">
        <v>163</v>
      </c>
    </row>
    <row r="9" spans="1:18" ht="15">
      <c r="A9" s="130">
        <v>1979</v>
      </c>
      <c r="B9" s="10">
        <v>1391.2</v>
      </c>
      <c r="C9" s="10">
        <v>215.4</v>
      </c>
      <c r="D9" s="10">
        <v>1014</v>
      </c>
      <c r="E9" s="10">
        <v>136.6</v>
      </c>
      <c r="F9" s="10">
        <v>25.2</v>
      </c>
      <c r="G9" s="10"/>
      <c r="H9" s="10">
        <f t="shared" si="1"/>
        <v>13.040136475263859</v>
      </c>
      <c r="I9" s="10">
        <f t="shared" si="0"/>
        <v>7.76244188979783</v>
      </c>
      <c r="J9" s="10">
        <f t="shared" si="0"/>
        <v>15.161483253588518</v>
      </c>
      <c r="K9" s="10">
        <f t="shared" si="0"/>
        <v>11.330457863304579</v>
      </c>
      <c r="L9" s="10">
        <f t="shared" si="0"/>
        <v>15.053763440860212</v>
      </c>
      <c r="N9" s="842">
        <v>10668.6</v>
      </c>
      <c r="O9" s="842">
        <v>2774.9</v>
      </c>
      <c r="P9" s="842">
        <v>6688</v>
      </c>
      <c r="Q9" s="842">
        <v>1205.5999999999999</v>
      </c>
      <c r="R9" s="842">
        <v>167.4</v>
      </c>
    </row>
    <row r="10" spans="1:18" ht="15">
      <c r="A10" s="130">
        <v>1980</v>
      </c>
      <c r="B10" s="10">
        <v>1374.8</v>
      </c>
      <c r="C10" s="10">
        <v>214.7</v>
      </c>
      <c r="D10" s="10">
        <v>1003.8</v>
      </c>
      <c r="E10" s="10">
        <v>133.30000000000001</v>
      </c>
      <c r="F10" s="10">
        <v>23</v>
      </c>
      <c r="G10" s="10"/>
      <c r="H10" s="10">
        <f t="shared" si="1"/>
        <v>12.516387472687546</v>
      </c>
      <c r="I10" s="10">
        <f t="shared" si="0"/>
        <v>7.5699880121289045</v>
      </c>
      <c r="J10" s="10">
        <f t="shared" si="0"/>
        <v>14.485893643119994</v>
      </c>
      <c r="K10" s="10">
        <f t="shared" si="0"/>
        <v>10.941475826972011</v>
      </c>
      <c r="L10" s="10">
        <f t="shared" si="0"/>
        <v>13.797240551889622</v>
      </c>
      <c r="N10" s="842">
        <v>10984</v>
      </c>
      <c r="O10" s="842">
        <v>2836.2</v>
      </c>
      <c r="P10" s="842">
        <v>6929.5</v>
      </c>
      <c r="Q10" s="842">
        <v>1218.3</v>
      </c>
      <c r="R10" s="842">
        <v>166.7</v>
      </c>
    </row>
    <row r="11" spans="1:18" ht="15">
      <c r="A11" s="130">
        <v>1981</v>
      </c>
      <c r="B11" s="10">
        <v>1369.2</v>
      </c>
      <c r="C11" s="10">
        <v>200.1</v>
      </c>
      <c r="D11" s="10">
        <v>1015.5</v>
      </c>
      <c r="E11" s="10">
        <v>129.6</v>
      </c>
      <c r="F11" s="10">
        <v>24</v>
      </c>
      <c r="G11" s="10"/>
      <c r="H11" s="10">
        <f t="shared" si="1"/>
        <v>12.111455108359133</v>
      </c>
      <c r="I11" s="10">
        <f t="shared" si="0"/>
        <v>6.984293193717277</v>
      </c>
      <c r="J11" s="10">
        <f t="shared" si="0"/>
        <v>14.098292378175762</v>
      </c>
      <c r="K11" s="10">
        <f t="shared" si="0"/>
        <v>10.47696038803557</v>
      </c>
      <c r="L11" s="10">
        <f t="shared" si="0"/>
        <v>14.29422275163788</v>
      </c>
      <c r="N11" s="842">
        <v>11305</v>
      </c>
      <c r="O11" s="842">
        <v>2865</v>
      </c>
      <c r="P11" s="842">
        <v>7203</v>
      </c>
      <c r="Q11" s="842">
        <v>1237</v>
      </c>
      <c r="R11" s="842">
        <v>167.9</v>
      </c>
    </row>
    <row r="12" spans="1:18" ht="15">
      <c r="A12" s="130">
        <v>1982</v>
      </c>
      <c r="B12" s="10">
        <v>1288.0999999999999</v>
      </c>
      <c r="C12" s="10">
        <v>173.2</v>
      </c>
      <c r="D12" s="10">
        <v>964.2</v>
      </c>
      <c r="E12" s="10">
        <v>128.1</v>
      </c>
      <c r="F12" s="10">
        <v>22.6</v>
      </c>
      <c r="G12" s="10"/>
      <c r="H12" s="10">
        <f t="shared" si="1"/>
        <v>11.770242239827478</v>
      </c>
      <c r="I12" s="10">
        <f t="shared" si="0"/>
        <v>6.7173440893577405</v>
      </c>
      <c r="J12" s="10">
        <f t="shared" si="0"/>
        <v>13.499663978494624</v>
      </c>
      <c r="K12" s="10">
        <f t="shared" si="0"/>
        <v>10.475100171722952</v>
      </c>
      <c r="L12" s="10">
        <f t="shared" si="0"/>
        <v>13.294117647058826</v>
      </c>
      <c r="N12" s="842">
        <v>10943.7</v>
      </c>
      <c r="O12" s="842">
        <v>2578.4</v>
      </c>
      <c r="P12" s="842">
        <v>7142.4</v>
      </c>
      <c r="Q12" s="842">
        <v>1222.9000000000001</v>
      </c>
      <c r="R12" s="842">
        <v>170</v>
      </c>
    </row>
    <row r="13" spans="1:18" ht="15">
      <c r="A13" s="130">
        <v>1983</v>
      </c>
      <c r="B13" s="10">
        <v>1368.2</v>
      </c>
      <c r="C13" s="10">
        <v>178.8</v>
      </c>
      <c r="D13" s="10">
        <v>1031</v>
      </c>
      <c r="E13" s="10">
        <v>133.30000000000001</v>
      </c>
      <c r="F13" s="10">
        <v>25.1</v>
      </c>
      <c r="G13" s="10"/>
      <c r="H13" s="10">
        <f t="shared" si="1"/>
        <v>12.413355107965888</v>
      </c>
      <c r="I13" s="10">
        <f t="shared" si="0"/>
        <v>7.1138696586297439</v>
      </c>
      <c r="J13" s="10">
        <f t="shared" si="0"/>
        <v>14.137037392532465</v>
      </c>
      <c r="K13" s="10">
        <f t="shared" si="0"/>
        <v>10.963974337884522</v>
      </c>
      <c r="L13" s="10">
        <f t="shared" si="0"/>
        <v>15.184513006654567</v>
      </c>
      <c r="N13" s="842">
        <v>11022</v>
      </c>
      <c r="O13" s="842">
        <v>2513.4</v>
      </c>
      <c r="P13" s="842">
        <v>7292.9</v>
      </c>
      <c r="Q13" s="842">
        <v>1215.8</v>
      </c>
      <c r="R13" s="842">
        <v>165.3</v>
      </c>
    </row>
    <row r="14" spans="1:18" ht="15">
      <c r="A14" s="130">
        <v>1984</v>
      </c>
      <c r="B14" s="10">
        <v>1450.7</v>
      </c>
      <c r="C14" s="10">
        <v>181.2</v>
      </c>
      <c r="D14" s="10">
        <v>1109</v>
      </c>
      <c r="E14" s="10">
        <v>136</v>
      </c>
      <c r="F14" s="10">
        <v>24.4</v>
      </c>
      <c r="G14" s="10"/>
      <c r="H14" s="10">
        <f t="shared" si="1"/>
        <v>12.836121999345233</v>
      </c>
      <c r="I14" s="10">
        <f t="shared" si="0"/>
        <v>7.1422940480882939</v>
      </c>
      <c r="J14" s="10">
        <f t="shared" si="0"/>
        <v>14.719154809938416</v>
      </c>
      <c r="K14" s="10">
        <f t="shared" si="0"/>
        <v>11.054214419247337</v>
      </c>
      <c r="L14" s="10">
        <f t="shared" si="0"/>
        <v>14.429331756357186</v>
      </c>
      <c r="N14" s="842">
        <v>11301.7</v>
      </c>
      <c r="O14" s="842">
        <v>2537</v>
      </c>
      <c r="P14" s="842">
        <v>7534.4</v>
      </c>
      <c r="Q14" s="842">
        <v>1230.3</v>
      </c>
      <c r="R14" s="842">
        <v>169.1</v>
      </c>
    </row>
    <row r="15" spans="1:18" ht="15">
      <c r="A15" s="130">
        <v>1985</v>
      </c>
      <c r="B15" s="10">
        <v>1580.9</v>
      </c>
      <c r="C15" s="10">
        <v>189.7</v>
      </c>
      <c r="D15" s="10">
        <v>1204.8</v>
      </c>
      <c r="E15" s="10">
        <v>158.5</v>
      </c>
      <c r="F15" s="10">
        <v>27.9</v>
      </c>
      <c r="G15" s="10"/>
      <c r="H15" s="10">
        <f t="shared" si="1"/>
        <v>13.596449734676153</v>
      </c>
      <c r="I15" s="10">
        <f t="shared" si="0"/>
        <v>7.4599866294388288</v>
      </c>
      <c r="J15" s="10">
        <f t="shared" si="0"/>
        <v>15.365779002142638</v>
      </c>
      <c r="K15" s="10">
        <f t="shared" si="0"/>
        <v>12.745255709231266</v>
      </c>
      <c r="L15" s="10">
        <f t="shared" si="0"/>
        <v>15.825297787861597</v>
      </c>
      <c r="N15" s="842">
        <v>11627.3</v>
      </c>
      <c r="O15" s="842">
        <v>2542.9</v>
      </c>
      <c r="P15" s="842">
        <v>7840.8</v>
      </c>
      <c r="Q15" s="842">
        <v>1243.5999999999999</v>
      </c>
      <c r="R15" s="842">
        <v>176.3</v>
      </c>
    </row>
    <row r="16" spans="1:18" ht="15">
      <c r="A16" s="130">
        <v>1986</v>
      </c>
      <c r="B16" s="10">
        <v>1621.1</v>
      </c>
      <c r="C16" s="10">
        <v>189.3</v>
      </c>
      <c r="D16" s="10">
        <v>1249.5999999999999</v>
      </c>
      <c r="E16" s="10">
        <v>156.4</v>
      </c>
      <c r="F16" s="10">
        <v>25.8</v>
      </c>
      <c r="G16" s="10"/>
      <c r="H16" s="10">
        <f t="shared" si="1"/>
        <v>13.524268766789579</v>
      </c>
      <c r="I16" s="10">
        <f t="shared" si="0"/>
        <v>7.3477467686216675</v>
      </c>
      <c r="J16" s="10">
        <f t="shared" si="0"/>
        <v>15.276657130981198</v>
      </c>
      <c r="K16" s="10">
        <f t="shared" si="0"/>
        <v>12.710280373831775</v>
      </c>
      <c r="L16" s="10">
        <f t="shared" si="0"/>
        <v>15.722120658135285</v>
      </c>
      <c r="N16" s="842">
        <v>11986.6</v>
      </c>
      <c r="O16" s="842">
        <v>2576.3000000000002</v>
      </c>
      <c r="P16" s="842">
        <v>8179.8</v>
      </c>
      <c r="Q16" s="842">
        <v>1230.5</v>
      </c>
      <c r="R16" s="842">
        <v>164.1</v>
      </c>
    </row>
    <row r="17" spans="1:18" ht="15">
      <c r="A17" s="130">
        <v>1987</v>
      </c>
      <c r="B17" s="10">
        <v>1702.8</v>
      </c>
      <c r="C17" s="10">
        <v>208.8</v>
      </c>
      <c r="D17" s="10">
        <v>1311.8</v>
      </c>
      <c r="E17" s="10">
        <v>156.19999999999999</v>
      </c>
      <c r="F17" s="10">
        <v>26</v>
      </c>
      <c r="G17" s="10"/>
      <c r="H17" s="10">
        <f t="shared" si="1"/>
        <v>13.806859644855265</v>
      </c>
      <c r="I17" s="10">
        <f t="shared" si="0"/>
        <v>8.1084229738650944</v>
      </c>
      <c r="J17" s="10">
        <f t="shared" si="0"/>
        <v>15.414262716943</v>
      </c>
      <c r="K17" s="10">
        <f t="shared" si="0"/>
        <v>12.52003847386983</v>
      </c>
      <c r="L17" s="10">
        <f t="shared" si="0"/>
        <v>15.231400117164618</v>
      </c>
      <c r="N17" s="842">
        <v>12333</v>
      </c>
      <c r="O17" s="842">
        <v>2575.1</v>
      </c>
      <c r="P17" s="842">
        <v>8510.2999999999993</v>
      </c>
      <c r="Q17" s="842">
        <v>1247.5999999999999</v>
      </c>
      <c r="R17" s="842">
        <v>170.7</v>
      </c>
    </row>
    <row r="18" spans="1:18" ht="15">
      <c r="A18" s="130">
        <v>1988</v>
      </c>
      <c r="B18" s="10">
        <v>1883</v>
      </c>
      <c r="C18" s="10">
        <v>206.8</v>
      </c>
      <c r="D18" s="10">
        <v>1479.6</v>
      </c>
      <c r="E18" s="10">
        <v>171.5</v>
      </c>
      <c r="F18" s="10">
        <v>25.1</v>
      </c>
      <c r="G18" s="10"/>
      <c r="H18" s="10">
        <f t="shared" si="1"/>
        <v>14.815572480644551</v>
      </c>
      <c r="I18" s="10">
        <f t="shared" si="0"/>
        <v>8.0809659645969294</v>
      </c>
      <c r="J18" s="10">
        <f t="shared" si="0"/>
        <v>16.662349801236502</v>
      </c>
      <c r="K18" s="10">
        <f t="shared" si="0"/>
        <v>13.498622589531681</v>
      </c>
      <c r="L18" s="10">
        <f t="shared" si="0"/>
        <v>14.383954154727792</v>
      </c>
      <c r="N18" s="842">
        <v>12709.6</v>
      </c>
      <c r="O18" s="842">
        <v>2559.1</v>
      </c>
      <c r="P18" s="842">
        <v>8879.9</v>
      </c>
      <c r="Q18" s="842">
        <v>1270.5</v>
      </c>
      <c r="R18" s="842">
        <v>174.5</v>
      </c>
    </row>
    <row r="19" spans="1:18" ht="15">
      <c r="A19" s="130">
        <v>1989</v>
      </c>
      <c r="B19" s="10">
        <v>1981.2</v>
      </c>
      <c r="C19" s="10">
        <v>206.6</v>
      </c>
      <c r="D19" s="10">
        <v>1577</v>
      </c>
      <c r="E19" s="10">
        <v>172.1</v>
      </c>
      <c r="F19" s="10">
        <v>25.6</v>
      </c>
      <c r="G19" s="10"/>
      <c r="H19" s="10">
        <f t="shared" si="1"/>
        <v>15.244456071774826</v>
      </c>
      <c r="I19" s="10">
        <f t="shared" si="0"/>
        <v>8.1721450891974197</v>
      </c>
      <c r="J19" s="10">
        <f t="shared" si="0"/>
        <v>17.154543180062877</v>
      </c>
      <c r="K19" s="10">
        <f t="shared" si="0"/>
        <v>13.495922208281053</v>
      </c>
      <c r="L19" s="10">
        <f t="shared" si="0"/>
        <v>13.958560523446021</v>
      </c>
      <c r="N19" s="842">
        <v>12996.2</v>
      </c>
      <c r="O19" s="842">
        <v>2528.1</v>
      </c>
      <c r="P19" s="842">
        <v>9192.9</v>
      </c>
      <c r="Q19" s="842">
        <v>1275.2</v>
      </c>
      <c r="R19" s="842">
        <v>183.4</v>
      </c>
    </row>
    <row r="20" spans="1:18" ht="15">
      <c r="A20" s="130">
        <v>1990</v>
      </c>
      <c r="B20" s="10">
        <v>1960</v>
      </c>
      <c r="C20" s="10">
        <v>191.7</v>
      </c>
      <c r="D20" s="10">
        <v>1567.9</v>
      </c>
      <c r="E20" s="10">
        <v>171.2</v>
      </c>
      <c r="F20" s="10">
        <v>29.3</v>
      </c>
      <c r="G20" s="10"/>
      <c r="H20" s="10">
        <f t="shared" si="1"/>
        <v>14.977381097933733</v>
      </c>
      <c r="I20" s="10">
        <f t="shared" si="0"/>
        <v>7.9698998045981782</v>
      </c>
      <c r="J20" s="10">
        <f t="shared" si="0"/>
        <v>16.692039901629922</v>
      </c>
      <c r="K20" s="10">
        <f t="shared" si="0"/>
        <v>13.291925465838508</v>
      </c>
      <c r="L20" s="10">
        <f t="shared" si="0"/>
        <v>15.469904963041184</v>
      </c>
      <c r="N20" s="842">
        <v>13086.4</v>
      </c>
      <c r="O20" s="842">
        <v>2405.3000000000002</v>
      </c>
      <c r="P20" s="842">
        <v>9393.1</v>
      </c>
      <c r="Q20" s="842">
        <v>1288</v>
      </c>
      <c r="R20" s="842">
        <v>189.4</v>
      </c>
    </row>
    <row r="21" spans="1:18" ht="15">
      <c r="A21" s="130">
        <v>1991</v>
      </c>
      <c r="B21" s="10">
        <v>1818.2</v>
      </c>
      <c r="C21" s="10">
        <v>158</v>
      </c>
      <c r="D21" s="10">
        <v>1456.3</v>
      </c>
      <c r="E21" s="10">
        <v>172.4</v>
      </c>
      <c r="F21" s="10">
        <v>31.5</v>
      </c>
      <c r="G21" s="10"/>
      <c r="H21" s="10">
        <f t="shared" si="1"/>
        <v>14.141272730100955</v>
      </c>
      <c r="I21" s="10">
        <f t="shared" si="0"/>
        <v>7.0680862485461207</v>
      </c>
      <c r="J21" s="10">
        <f t="shared" si="0"/>
        <v>15.546469671413627</v>
      </c>
      <c r="K21" s="10">
        <f t="shared" si="0"/>
        <v>13.74143153196238</v>
      </c>
      <c r="L21" s="10">
        <f t="shared" si="0"/>
        <v>16.47489539748954</v>
      </c>
      <c r="N21" s="842">
        <v>12857.4</v>
      </c>
      <c r="O21" s="842">
        <v>2235.4</v>
      </c>
      <c r="P21" s="842">
        <v>9367.4</v>
      </c>
      <c r="Q21" s="842">
        <v>1254.5999999999999</v>
      </c>
      <c r="R21" s="842">
        <v>191.2</v>
      </c>
    </row>
    <row r="22" spans="1:18" ht="15">
      <c r="A22" s="130">
        <v>1992</v>
      </c>
      <c r="B22" s="10">
        <v>1762.9</v>
      </c>
      <c r="C22" s="10">
        <v>132.1</v>
      </c>
      <c r="D22" s="10">
        <v>1442.8</v>
      </c>
      <c r="E22" s="10">
        <v>156.9</v>
      </c>
      <c r="F22" s="10">
        <v>31.1</v>
      </c>
      <c r="G22" s="10"/>
      <c r="H22" s="10">
        <f t="shared" si="1"/>
        <v>13.847410630827358</v>
      </c>
      <c r="I22" s="10">
        <f t="shared" ref="I22:I34" si="2">C22/O22*100</f>
        <v>6.2103333176625455</v>
      </c>
      <c r="J22" s="10">
        <f t="shared" ref="J22:J34" si="3">D22/P22*100</f>
        <v>15.403339454242646</v>
      </c>
      <c r="K22" s="10">
        <f t="shared" ref="K22:K34" si="4">E22/Q22*100</f>
        <v>12.683912691996769</v>
      </c>
      <c r="L22" s="10">
        <f t="shared" ref="L22:L34" si="5">F22/R22*100</f>
        <v>16.498673740053054</v>
      </c>
      <c r="N22" s="842">
        <v>12730.9</v>
      </c>
      <c r="O22" s="842">
        <v>2127.1</v>
      </c>
      <c r="P22" s="842">
        <v>9366.7999999999993</v>
      </c>
      <c r="Q22" s="842">
        <v>1237</v>
      </c>
      <c r="R22" s="842">
        <v>188.5</v>
      </c>
    </row>
    <row r="23" spans="1:18" ht="15">
      <c r="A23" s="130">
        <v>1993</v>
      </c>
      <c r="B23" s="10">
        <v>1895.2</v>
      </c>
      <c r="C23" s="10">
        <v>144.6</v>
      </c>
      <c r="D23" s="10">
        <v>1551.7</v>
      </c>
      <c r="E23" s="10">
        <v>171.1</v>
      </c>
      <c r="F23" s="10">
        <v>27.7</v>
      </c>
      <c r="G23" s="10"/>
      <c r="H23" s="10">
        <f t="shared" si="1"/>
        <v>14.814699008028015</v>
      </c>
      <c r="I23" s="10">
        <f t="shared" si="2"/>
        <v>6.9777541861699559</v>
      </c>
      <c r="J23" s="10">
        <f t="shared" si="3"/>
        <v>16.335059794509011</v>
      </c>
      <c r="K23" s="10">
        <f t="shared" si="4"/>
        <v>14.009661835748794</v>
      </c>
      <c r="L23" s="10">
        <f t="shared" si="5"/>
        <v>15.120087336244541</v>
      </c>
      <c r="N23" s="842">
        <v>12792.7</v>
      </c>
      <c r="O23" s="842">
        <v>2072.3000000000002</v>
      </c>
      <c r="P23" s="842">
        <v>9499.2000000000007</v>
      </c>
      <c r="Q23" s="842">
        <v>1221.3</v>
      </c>
      <c r="R23" s="842">
        <v>183.2</v>
      </c>
    </row>
    <row r="24" spans="1:18" ht="15">
      <c r="A24" s="130">
        <v>1994</v>
      </c>
      <c r="B24" s="10">
        <v>2017.3</v>
      </c>
      <c r="C24" s="10">
        <v>152.9</v>
      </c>
      <c r="D24" s="10">
        <v>1654.5</v>
      </c>
      <c r="E24" s="10">
        <v>175.5</v>
      </c>
      <c r="F24" s="10">
        <v>34.299999999999997</v>
      </c>
      <c r="G24" s="10"/>
      <c r="H24" s="10">
        <f t="shared" si="1"/>
        <v>15.447938921944756</v>
      </c>
      <c r="I24" s="10">
        <f t="shared" si="2"/>
        <v>7.3157894736842106</v>
      </c>
      <c r="J24" s="10">
        <f t="shared" si="3"/>
        <v>17.046859545004946</v>
      </c>
      <c r="K24" s="10">
        <f t="shared" si="4"/>
        <v>13.893286890436984</v>
      </c>
      <c r="L24" s="10">
        <f t="shared" si="5"/>
        <v>17.262204328132864</v>
      </c>
      <c r="N24" s="842">
        <v>13058.7</v>
      </c>
      <c r="O24" s="842">
        <v>2090</v>
      </c>
      <c r="P24" s="842">
        <v>9705.6</v>
      </c>
      <c r="Q24" s="842">
        <v>1263.2</v>
      </c>
      <c r="R24" s="842">
        <v>198.7</v>
      </c>
    </row>
    <row r="25" spans="1:18" ht="15">
      <c r="A25" s="130">
        <v>1995</v>
      </c>
      <c r="B25" s="10">
        <v>1999.1</v>
      </c>
      <c r="C25" s="10">
        <v>146.19999999999999</v>
      </c>
      <c r="D25" s="10">
        <v>1641.9</v>
      </c>
      <c r="E25" s="10">
        <v>178.2</v>
      </c>
      <c r="F25" s="10">
        <v>32.799999999999997</v>
      </c>
      <c r="G25" s="10"/>
      <c r="H25" s="10">
        <f t="shared" si="1"/>
        <v>15.036027498232471</v>
      </c>
      <c r="I25" s="10">
        <f t="shared" si="2"/>
        <v>6.9721970527922155</v>
      </c>
      <c r="J25" s="10">
        <f t="shared" si="3"/>
        <v>16.515948618389949</v>
      </c>
      <c r="K25" s="10">
        <f t="shared" si="4"/>
        <v>14.17548325511097</v>
      </c>
      <c r="L25" s="10">
        <f t="shared" si="5"/>
        <v>16.986017607457274</v>
      </c>
      <c r="N25" s="842">
        <v>13295.4</v>
      </c>
      <c r="O25" s="842">
        <v>2096.9</v>
      </c>
      <c r="P25" s="842">
        <v>9941.2999999999993</v>
      </c>
      <c r="Q25" s="842">
        <v>1257.0999999999999</v>
      </c>
      <c r="R25" s="842">
        <v>193.1</v>
      </c>
    </row>
    <row r="26" spans="1:18" ht="15">
      <c r="A26" s="130">
        <v>1996</v>
      </c>
      <c r="B26" s="10">
        <v>2113.4</v>
      </c>
      <c r="C26" s="10">
        <v>153.1</v>
      </c>
      <c r="D26" s="10">
        <v>1739.3</v>
      </c>
      <c r="E26" s="10">
        <v>187.2</v>
      </c>
      <c r="F26" s="10">
        <v>33.799999999999997</v>
      </c>
      <c r="G26" s="10"/>
      <c r="H26" s="10">
        <f t="shared" si="1"/>
        <v>15.746494404458552</v>
      </c>
      <c r="I26" s="10">
        <f t="shared" si="2"/>
        <v>7.4176356589147288</v>
      </c>
      <c r="J26" s="10">
        <f t="shared" si="3"/>
        <v>17.261981559959906</v>
      </c>
      <c r="K26" s="10">
        <f t="shared" si="4"/>
        <v>14.607881388997267</v>
      </c>
      <c r="L26" s="10">
        <f t="shared" si="5"/>
        <v>17.236104028556859</v>
      </c>
      <c r="N26" s="842">
        <v>13421.4</v>
      </c>
      <c r="O26" s="842">
        <v>2064</v>
      </c>
      <c r="P26" s="842">
        <v>10075.9</v>
      </c>
      <c r="Q26" s="842">
        <v>1281.5</v>
      </c>
      <c r="R26" s="842">
        <v>196.1</v>
      </c>
    </row>
    <row r="27" spans="1:18" ht="15">
      <c r="A27" s="130">
        <v>1997</v>
      </c>
      <c r="B27" s="10">
        <v>2130.9</v>
      </c>
      <c r="C27" s="10">
        <v>152.5</v>
      </c>
      <c r="D27" s="10">
        <v>1744.9</v>
      </c>
      <c r="E27" s="10">
        <v>199.5</v>
      </c>
      <c r="F27" s="10">
        <v>34</v>
      </c>
      <c r="G27" s="10"/>
      <c r="H27" s="10">
        <f t="shared" si="1"/>
        <v>15.547205603385381</v>
      </c>
      <c r="I27" s="10">
        <f t="shared" si="2"/>
        <v>7.5067683977356641</v>
      </c>
      <c r="J27" s="10">
        <f t="shared" si="3"/>
        <v>16.878016695201339</v>
      </c>
      <c r="K27" s="10">
        <f t="shared" si="4"/>
        <v>14.92928234677842</v>
      </c>
      <c r="L27" s="10">
        <f t="shared" si="5"/>
        <v>16.409266409266408</v>
      </c>
      <c r="N27" s="842">
        <v>13706</v>
      </c>
      <c r="O27" s="842">
        <v>2031.5</v>
      </c>
      <c r="P27" s="842">
        <v>10338.299999999999</v>
      </c>
      <c r="Q27" s="842">
        <v>1336.3</v>
      </c>
      <c r="R27" s="842">
        <v>207.2</v>
      </c>
    </row>
    <row r="28" spans="1:18" ht="15">
      <c r="A28" s="130">
        <v>1998</v>
      </c>
      <c r="B28" s="10">
        <v>2117.1</v>
      </c>
      <c r="C28" s="10">
        <v>146</v>
      </c>
      <c r="D28" s="10">
        <v>1739.1</v>
      </c>
      <c r="E28" s="10">
        <v>196.2</v>
      </c>
      <c r="F28" s="10">
        <v>35.9</v>
      </c>
      <c r="G28" s="10"/>
      <c r="H28" s="10">
        <f t="shared" si="1"/>
        <v>15.072403924193017</v>
      </c>
      <c r="I28" s="10">
        <f t="shared" si="2"/>
        <v>6.9923371647509569</v>
      </c>
      <c r="J28" s="10">
        <f t="shared" si="3"/>
        <v>16.465319725057277</v>
      </c>
      <c r="K28" s="10">
        <f t="shared" si="4"/>
        <v>14.054441260744985</v>
      </c>
      <c r="L28" s="10">
        <f t="shared" si="5"/>
        <v>16.551406177962193</v>
      </c>
      <c r="N28" s="842">
        <v>14046.2</v>
      </c>
      <c r="O28" s="842">
        <v>2088</v>
      </c>
      <c r="P28" s="842">
        <v>10562.2</v>
      </c>
      <c r="Q28" s="842">
        <v>1396</v>
      </c>
      <c r="R28" s="842">
        <v>216.9</v>
      </c>
    </row>
    <row r="29" spans="1:18" ht="15">
      <c r="A29" s="130">
        <v>1999</v>
      </c>
      <c r="B29" s="10">
        <v>2169.9</v>
      </c>
      <c r="C29" s="10">
        <v>152</v>
      </c>
      <c r="D29" s="10">
        <v>1766.1</v>
      </c>
      <c r="E29" s="10">
        <v>214.4</v>
      </c>
      <c r="F29" s="10">
        <v>37.299999999999997</v>
      </c>
      <c r="G29" s="10"/>
      <c r="H29" s="10">
        <f t="shared" si="1"/>
        <v>15.061742106103409</v>
      </c>
      <c r="I29" s="10">
        <f t="shared" si="2"/>
        <v>6.9314606229194222</v>
      </c>
      <c r="J29" s="10">
        <f t="shared" si="3"/>
        <v>16.434034950589023</v>
      </c>
      <c r="K29" s="10">
        <f t="shared" si="4"/>
        <v>14.612868047982552</v>
      </c>
      <c r="L29" s="10">
        <f t="shared" si="5"/>
        <v>17.586044318717587</v>
      </c>
      <c r="N29" s="842">
        <v>14406.7</v>
      </c>
      <c r="O29" s="842">
        <v>2192.9</v>
      </c>
      <c r="P29" s="842">
        <v>10746.6</v>
      </c>
      <c r="Q29" s="842">
        <v>1467.2</v>
      </c>
      <c r="R29" s="842">
        <v>212.1</v>
      </c>
    </row>
    <row r="30" spans="1:18" ht="15">
      <c r="A30" s="130">
        <v>2000</v>
      </c>
      <c r="B30" s="10">
        <v>2219.1</v>
      </c>
      <c r="C30" s="10">
        <v>162.80000000000001</v>
      </c>
      <c r="D30" s="10">
        <v>1804.3</v>
      </c>
      <c r="E30" s="10">
        <v>220.1</v>
      </c>
      <c r="F30" s="10">
        <v>31.8</v>
      </c>
      <c r="G30" s="10"/>
      <c r="H30" s="10">
        <f t="shared" si="1"/>
        <v>15.030275937741292</v>
      </c>
      <c r="I30" s="10">
        <f t="shared" si="2"/>
        <v>7.111033458548091</v>
      </c>
      <c r="J30" s="10">
        <f t="shared" si="3"/>
        <v>16.502039547092505</v>
      </c>
      <c r="K30" s="10">
        <f t="shared" si="4"/>
        <v>14.283860081770392</v>
      </c>
      <c r="L30" s="10">
        <f t="shared" si="5"/>
        <v>15.18624641833811</v>
      </c>
      <c r="N30" s="842">
        <v>14764.2</v>
      </c>
      <c r="O30" s="842">
        <v>2289.4</v>
      </c>
      <c r="P30" s="842">
        <v>10933.8</v>
      </c>
      <c r="Q30" s="842">
        <v>1540.9</v>
      </c>
      <c r="R30" s="842">
        <v>209.4</v>
      </c>
    </row>
    <row r="31" spans="1:18" ht="15">
      <c r="A31" s="130">
        <v>2001</v>
      </c>
      <c r="B31" s="10">
        <v>2080.9</v>
      </c>
      <c r="C31" s="10">
        <v>148.6</v>
      </c>
      <c r="D31" s="10">
        <v>1681.7</v>
      </c>
      <c r="E31" s="10">
        <v>216.7</v>
      </c>
      <c r="F31" s="10">
        <v>33.799999999999997</v>
      </c>
      <c r="G31" s="10"/>
      <c r="H31" s="10">
        <f t="shared" si="1"/>
        <v>13.922602400610188</v>
      </c>
      <c r="I31" s="10">
        <f t="shared" si="2"/>
        <v>6.3924976340015487</v>
      </c>
      <c r="J31" s="10">
        <f t="shared" si="3"/>
        <v>15.257112788503413</v>
      </c>
      <c r="K31" s="10">
        <f t="shared" si="4"/>
        <v>13.550525262631313</v>
      </c>
      <c r="L31" s="10">
        <f t="shared" si="5"/>
        <v>15.875998121183651</v>
      </c>
      <c r="N31" s="842">
        <v>14946.2</v>
      </c>
      <c r="O31" s="842">
        <v>2324.6</v>
      </c>
      <c r="P31" s="842">
        <v>11022.4</v>
      </c>
      <c r="Q31" s="842">
        <v>1599.2</v>
      </c>
      <c r="R31" s="842">
        <v>212.9</v>
      </c>
    </row>
    <row r="32" spans="1:18" ht="15">
      <c r="A32" s="130">
        <v>2002</v>
      </c>
      <c r="B32" s="10">
        <v>2095.5</v>
      </c>
      <c r="C32" s="10">
        <v>147</v>
      </c>
      <c r="D32" s="10">
        <v>1685.1</v>
      </c>
      <c r="E32" s="10">
        <v>227.9</v>
      </c>
      <c r="F32" s="10">
        <v>35.5</v>
      </c>
      <c r="G32" s="10"/>
      <c r="H32" s="10">
        <f t="shared" si="1"/>
        <v>13.686775002612602</v>
      </c>
      <c r="I32" s="10">
        <f t="shared" si="2"/>
        <v>6.1272977366512444</v>
      </c>
      <c r="J32" s="10">
        <f t="shared" si="3"/>
        <v>15.107991070227813</v>
      </c>
      <c r="K32" s="10">
        <f t="shared" si="4"/>
        <v>12.967283072546232</v>
      </c>
      <c r="L32" s="10">
        <f t="shared" si="5"/>
        <v>14.872224549643906</v>
      </c>
      <c r="N32" s="842">
        <v>15310.4</v>
      </c>
      <c r="O32" s="842">
        <v>2399.1</v>
      </c>
      <c r="P32" s="842">
        <v>11153.7</v>
      </c>
      <c r="Q32" s="842">
        <v>1757.5</v>
      </c>
      <c r="R32" s="842">
        <v>238.7</v>
      </c>
    </row>
    <row r="33" spans="1:18" ht="15">
      <c r="A33" s="130">
        <v>2003</v>
      </c>
      <c r="B33" s="10">
        <v>2013.3</v>
      </c>
      <c r="C33" s="10">
        <v>146.6</v>
      </c>
      <c r="D33" s="10">
        <v>1591.9</v>
      </c>
      <c r="E33" s="10">
        <v>237.8</v>
      </c>
      <c r="F33" s="10">
        <v>37</v>
      </c>
      <c r="G33" s="10"/>
      <c r="H33" s="10">
        <f t="shared" si="1"/>
        <v>12.846231886832182</v>
      </c>
      <c r="I33" s="10">
        <f t="shared" si="2"/>
        <v>5.9851392177676166</v>
      </c>
      <c r="J33" s="10">
        <f t="shared" si="3"/>
        <v>14.135772321626783</v>
      </c>
      <c r="K33" s="10">
        <f t="shared" si="4"/>
        <v>12.123993066177221</v>
      </c>
      <c r="L33" s="10">
        <f t="shared" si="5"/>
        <v>13.612950699043413</v>
      </c>
      <c r="N33" s="842">
        <v>15672.3</v>
      </c>
      <c r="O33" s="842">
        <v>2449.4</v>
      </c>
      <c r="P33" s="842">
        <v>11261.5</v>
      </c>
      <c r="Q33" s="842">
        <v>1961.4</v>
      </c>
      <c r="R33" s="842">
        <v>271.8</v>
      </c>
    </row>
    <row r="34" spans="1:18" ht="15">
      <c r="A34" s="130">
        <v>2004</v>
      </c>
      <c r="B34" s="10">
        <v>2129.5</v>
      </c>
      <c r="C34" s="10">
        <v>154.30000000000001</v>
      </c>
      <c r="D34" s="10">
        <v>1677.4</v>
      </c>
      <c r="E34" s="10">
        <v>259.10000000000002</v>
      </c>
      <c r="F34" s="10">
        <v>38.700000000000003</v>
      </c>
      <c r="G34" s="10"/>
      <c r="H34" s="10">
        <f t="shared" si="1"/>
        <v>13.35360882924688</v>
      </c>
      <c r="I34" s="10">
        <f t="shared" si="2"/>
        <v>6.2698090207232839</v>
      </c>
      <c r="J34" s="10">
        <f t="shared" si="3"/>
        <v>14.713131649810975</v>
      </c>
      <c r="K34" s="10">
        <f t="shared" si="4"/>
        <v>12.425070733227834</v>
      </c>
      <c r="L34" s="10">
        <f t="shared" si="5"/>
        <v>13.52673890248165</v>
      </c>
      <c r="N34" s="842">
        <v>15947</v>
      </c>
      <c r="O34" s="842">
        <v>2461</v>
      </c>
      <c r="P34" s="842">
        <v>11400.7</v>
      </c>
      <c r="Q34" s="842">
        <v>2085.3000000000002</v>
      </c>
      <c r="R34" s="842">
        <v>286.10000000000002</v>
      </c>
    </row>
    <row r="35" spans="1:18" ht="15">
      <c r="A35" s="130">
        <v>2005</v>
      </c>
      <c r="B35" s="10">
        <v>2220.1</v>
      </c>
      <c r="C35" s="10">
        <v>165.1</v>
      </c>
      <c r="D35" s="10">
        <v>1729.5</v>
      </c>
      <c r="E35" s="10">
        <v>280.2</v>
      </c>
      <c r="F35" s="10">
        <v>45.3</v>
      </c>
      <c r="G35" s="10"/>
      <c r="H35" s="10">
        <f t="shared" ref="H35:L36" si="6">B35/N35*100</f>
        <v>13.730001175037259</v>
      </c>
      <c r="I35" s="10">
        <f t="shared" si="6"/>
        <v>6.6774519716885736</v>
      </c>
      <c r="J35" s="10">
        <f t="shared" si="6"/>
        <v>15.062838032033026</v>
      </c>
      <c r="K35" s="10">
        <f t="shared" si="6"/>
        <v>12.648399765268811</v>
      </c>
      <c r="L35" s="10">
        <f t="shared" si="6"/>
        <v>14.726918075422624</v>
      </c>
      <c r="N35" s="842">
        <v>16169.7</v>
      </c>
      <c r="O35" s="842">
        <v>2472.5</v>
      </c>
      <c r="P35" s="842">
        <v>11481.9</v>
      </c>
      <c r="Q35" s="842">
        <v>2215.3000000000002</v>
      </c>
      <c r="R35" s="842">
        <v>307.60000000000002</v>
      </c>
    </row>
    <row r="36" spans="1:18" ht="15">
      <c r="A36" s="130">
        <v>2006</v>
      </c>
      <c r="B36" s="10">
        <v>2188.1999999999998</v>
      </c>
      <c r="C36" s="10">
        <v>161.4</v>
      </c>
      <c r="D36" s="10">
        <v>1695.3</v>
      </c>
      <c r="E36" s="10">
        <v>287.39999999999998</v>
      </c>
      <c r="F36" s="10">
        <v>44.1</v>
      </c>
      <c r="G36" s="10"/>
      <c r="H36" s="10">
        <f t="shared" si="6"/>
        <v>13.274449021189859</v>
      </c>
      <c r="I36" s="10">
        <f t="shared" si="6"/>
        <v>6.3648552724978309</v>
      </c>
      <c r="J36" s="10">
        <f t="shared" si="6"/>
        <v>14.590003098213364</v>
      </c>
      <c r="K36" s="10">
        <f t="shared" si="6"/>
        <v>12.340589978101248</v>
      </c>
      <c r="L36" s="10">
        <f t="shared" si="6"/>
        <v>13.90728476821192</v>
      </c>
      <c r="M36" s="6"/>
      <c r="N36" s="842">
        <v>16484.3</v>
      </c>
      <c r="O36" s="842">
        <v>2535.8000000000002</v>
      </c>
      <c r="P36" s="842">
        <v>11619.6</v>
      </c>
      <c r="Q36" s="842">
        <v>2328.9</v>
      </c>
      <c r="R36" s="842">
        <v>317.10000000000002</v>
      </c>
    </row>
    <row r="37" spans="1:18" ht="15">
      <c r="A37" s="130">
        <v>2007</v>
      </c>
      <c r="B37" s="10">
        <v>2290.3000000000002</v>
      </c>
      <c r="C37" s="10">
        <v>162.6</v>
      </c>
      <c r="D37" s="10">
        <v>1767.3</v>
      </c>
      <c r="E37" s="10">
        <v>316.3</v>
      </c>
      <c r="F37" s="10">
        <v>44.1</v>
      </c>
      <c r="G37" s="10"/>
      <c r="H37" s="10">
        <f t="shared" ref="H37:L38" si="7">B37/N37*100</f>
        <v>13.579068443769863</v>
      </c>
      <c r="I37" s="10">
        <f t="shared" si="7"/>
        <v>6.2794469761334666</v>
      </c>
      <c r="J37" s="10">
        <f t="shared" si="7"/>
        <v>14.999108862994049</v>
      </c>
      <c r="K37" s="10">
        <f t="shared" si="7"/>
        <v>12.680912480455438</v>
      </c>
      <c r="L37" s="10">
        <f t="shared" si="7"/>
        <v>12.478777589134127</v>
      </c>
      <c r="M37" s="6"/>
      <c r="N37" s="842">
        <v>16866.400000000001</v>
      </c>
      <c r="O37" s="842">
        <v>2589.4</v>
      </c>
      <c r="P37" s="842">
        <v>11782.7</v>
      </c>
      <c r="Q37" s="842">
        <v>2494.3000000000002</v>
      </c>
      <c r="R37" s="842">
        <v>353.4</v>
      </c>
    </row>
    <row r="38" spans="1:18" ht="15">
      <c r="A38" s="130">
        <v>2008</v>
      </c>
      <c r="B38" s="10">
        <v>2207</v>
      </c>
      <c r="C38" s="10">
        <v>151.5</v>
      </c>
      <c r="D38" s="10">
        <v>1688.3</v>
      </c>
      <c r="E38" s="10">
        <v>313.39999999999998</v>
      </c>
      <c r="F38" s="10">
        <v>53.8</v>
      </c>
      <c r="G38" s="10"/>
      <c r="H38" s="10">
        <f t="shared" si="7"/>
        <v>12.886989220941503</v>
      </c>
      <c r="I38" s="10">
        <f t="shared" si="7"/>
        <v>5.8108315434182263</v>
      </c>
      <c r="J38" s="10">
        <f t="shared" si="7"/>
        <v>14.22409072144103</v>
      </c>
      <c r="K38" s="10">
        <f t="shared" si="7"/>
        <v>11.829093379633123</v>
      </c>
      <c r="L38" s="10">
        <f t="shared" si="7"/>
        <v>12.917166866746699</v>
      </c>
      <c r="M38" s="6"/>
      <c r="N38" s="842">
        <v>17125.8</v>
      </c>
      <c r="O38" s="842">
        <v>2607.1999999999998</v>
      </c>
      <c r="P38" s="842">
        <v>11869.3</v>
      </c>
      <c r="Q38" s="842">
        <v>2649.4</v>
      </c>
      <c r="R38" s="842">
        <v>416.5</v>
      </c>
    </row>
    <row r="39" spans="1:18">
      <c r="A39" s="1109"/>
      <c r="B39" s="1275" t="s">
        <v>802</v>
      </c>
      <c r="C39" s="1275"/>
      <c r="D39" s="1275"/>
      <c r="E39" s="1275"/>
      <c r="F39" s="1275"/>
      <c r="G39" s="669"/>
      <c r="H39" s="1275" t="s">
        <v>655</v>
      </c>
      <c r="I39" s="1275"/>
      <c r="J39" s="1275"/>
      <c r="K39" s="1275"/>
      <c r="L39" s="1275"/>
      <c r="M39" s="467"/>
      <c r="N39" s="467"/>
    </row>
    <row r="40" spans="1:18">
      <c r="A40" s="297" t="s">
        <v>603</v>
      </c>
      <c r="B40" s="159">
        <f>(POWER(B19/B11, 1/8)-1)*100</f>
        <v>4.7267626321186196</v>
      </c>
      <c r="C40" s="159">
        <f>(POWER(C19/C11, 1/8)-1)*100</f>
        <v>0.40039086975220961</v>
      </c>
      <c r="D40" s="159">
        <f>(POWER(D19/D11, 1/8)-1)*100</f>
        <v>5.6559527706599777</v>
      </c>
      <c r="E40" s="159">
        <f>(POWER(E19/E11, 1/8)-1)*100</f>
        <v>3.6088810840253949</v>
      </c>
      <c r="F40" s="159">
        <f>(POWER(F19/F11, 1/8)-1)*100</f>
        <v>0.80999436113611267</v>
      </c>
      <c r="G40" s="159"/>
      <c r="H40" s="10">
        <f>H19-H11</f>
        <v>3.133000963415693</v>
      </c>
      <c r="I40" s="10">
        <f>I19-I11</f>
        <v>1.1878518954801427</v>
      </c>
      <c r="J40" s="10">
        <f>J19-J11</f>
        <v>3.0562508018871153</v>
      </c>
      <c r="K40" s="10">
        <f>K19-K11</f>
        <v>3.0189618202454831</v>
      </c>
      <c r="L40" s="10">
        <f>L19-L11</f>
        <v>-0.33566222819185931</v>
      </c>
    </row>
    <row r="41" spans="1:18">
      <c r="A41" s="297" t="s">
        <v>604</v>
      </c>
      <c r="B41" s="159">
        <f>(POWER(B30/B19, 1/11)-1)*100</f>
        <v>1.0362319575468959</v>
      </c>
      <c r="C41" s="159">
        <f>(POWER(C30/C19, 1/11)-1)*100</f>
        <v>-2.1427293815922566</v>
      </c>
      <c r="D41" s="159">
        <f>(POWER(D30/D19, 1/11)-1)*100</f>
        <v>1.2315988125848776</v>
      </c>
      <c r="E41" s="159">
        <f>(POWER(E30/E19, 1/11)-1)*100</f>
        <v>2.2616161392330358</v>
      </c>
      <c r="F41" s="159">
        <f>(POWER(F30/F19, 1/11)-1)*100</f>
        <v>1.991145282579021</v>
      </c>
      <c r="G41" s="159"/>
      <c r="H41" s="10">
        <f>H30-H19</f>
        <v>-0.21418013403353342</v>
      </c>
      <c r="I41" s="10">
        <f>I30-I19</f>
        <v>-1.0611116306493287</v>
      </c>
      <c r="J41" s="10">
        <f>J30-J19</f>
        <v>-0.65250363297037239</v>
      </c>
      <c r="K41" s="10">
        <f>K30-K19</f>
        <v>0.78793787348933897</v>
      </c>
      <c r="L41" s="10">
        <f>L30-L19</f>
        <v>1.2276858948920886</v>
      </c>
    </row>
    <row r="42" spans="1:18">
      <c r="A42" s="297" t="s">
        <v>819</v>
      </c>
      <c r="B42" s="159">
        <f>(POWER(B36/B11, 1/25)-1)*100</f>
        <v>1.8931069197737127</v>
      </c>
      <c r="C42" s="159">
        <f>(POWER(C36/C11, 1/25)-1)*100</f>
        <v>-0.8560408676079434</v>
      </c>
      <c r="D42" s="159">
        <f>(POWER(D36/D11, 1/25)-1)*100</f>
        <v>2.0710695097636567</v>
      </c>
      <c r="E42" s="159">
        <f>(POWER(E36/E11, 1/25)-1)*100</f>
        <v>3.236974980868168</v>
      </c>
      <c r="F42" s="159">
        <f>(POWER(F36/F11, 1/25)-1)*100</f>
        <v>2.4634781212366175</v>
      </c>
      <c r="H42" s="10">
        <f>H36-H11</f>
        <v>1.1629939128307267</v>
      </c>
      <c r="I42" s="10">
        <f>I36-I11</f>
        <v>-0.61943792121944607</v>
      </c>
      <c r="J42" s="10">
        <f>J36-J11</f>
        <v>0.4917107200376023</v>
      </c>
      <c r="K42" s="10">
        <f>K36-K11</f>
        <v>1.8636295900656776</v>
      </c>
      <c r="L42" s="10">
        <f>L36-L11</f>
        <v>-0.38693798342596075</v>
      </c>
    </row>
    <row r="43" spans="1:18">
      <c r="A43" s="297" t="s">
        <v>447</v>
      </c>
      <c r="B43" s="159">
        <f>(POWER(B37/B11, 1/26)-1)*100</f>
        <v>1.998383218573907</v>
      </c>
      <c r="C43" s="159">
        <f>(POWER(C37/C11, 1/26)-1)*100</f>
        <v>-0.79499248786468746</v>
      </c>
      <c r="D43" s="159">
        <f>(POWER(D37/D11, 1/26)-1)*100</f>
        <v>2.153914537695889</v>
      </c>
      <c r="E43" s="159">
        <f>(POWER(E37/E11, 1/26)-1)*100</f>
        <v>3.4912476606772769</v>
      </c>
      <c r="F43" s="159">
        <f>(POWER(F37/F11, 1/26)-1)*100</f>
        <v>2.3676162382473942</v>
      </c>
      <c r="H43" s="10">
        <f>H37-H11</f>
        <v>1.4676133354107304</v>
      </c>
      <c r="I43" s="10">
        <f>I37-I11</f>
        <v>-0.70484621758381039</v>
      </c>
      <c r="J43" s="10">
        <f>J37-J11</f>
        <v>0.90081648481828758</v>
      </c>
      <c r="K43" s="10">
        <f>K37-K11</f>
        <v>2.2039520924198683</v>
      </c>
      <c r="L43" s="10">
        <f>L37-L11</f>
        <v>-1.8154451625037531</v>
      </c>
    </row>
    <row r="44" spans="1:18">
      <c r="A44" s="446" t="s">
        <v>1408</v>
      </c>
      <c r="B44" s="159">
        <f>(POWER(B38/B11, 1/27)-1)*100</f>
        <v>1.7839006987803163</v>
      </c>
      <c r="C44" s="159">
        <f>(POWER(C38/C11, 1/27)-1)*100</f>
        <v>-1.0251961380171259</v>
      </c>
      <c r="D44" s="159">
        <f>(POWER(D38/D11, 1/27)-1)*100</f>
        <v>1.9005798464912793</v>
      </c>
      <c r="E44" s="159">
        <f>(POWER(E38/E11, 1/27)-1)*100</f>
        <v>3.3245401548011699</v>
      </c>
      <c r="F44" s="159">
        <f>(POWER(F38/F11, 1/27)-1)*100</f>
        <v>3.0348426904091452</v>
      </c>
      <c r="H44" s="10">
        <f>H38-H11</f>
        <v>0.77553411258237048</v>
      </c>
      <c r="I44" s="10">
        <f>I38-I11</f>
        <v>-1.1734616502990507</v>
      </c>
      <c r="J44" s="10">
        <f>J38-J11</f>
        <v>0.12579834326526829</v>
      </c>
      <c r="K44" s="10">
        <f>K38-K11</f>
        <v>1.3521329915975535</v>
      </c>
      <c r="L44" s="10">
        <f>L38-L11</f>
        <v>-1.3770558848911811</v>
      </c>
    </row>
    <row r="45" spans="1:18">
      <c r="A45" s="297" t="s">
        <v>449</v>
      </c>
      <c r="B45" s="159">
        <f>(POWER(B37/B30, 1/7)-1)*100</f>
        <v>0.45217789674689701</v>
      </c>
      <c r="C45" s="159">
        <f>(POWER(C37/C30, 1/7)-1)*100</f>
        <v>-1.7559264676769715E-2</v>
      </c>
      <c r="D45" s="159">
        <f>(POWER(D37/D30, 1/7)-1)*100</f>
        <v>-0.29555874430643447</v>
      </c>
      <c r="E45" s="159">
        <f>(POWER(E37/E30, 1/7)-1)*100</f>
        <v>5.3166463832254429</v>
      </c>
      <c r="F45" s="159">
        <f>(POWER(F37/F30, 1/7)-1)*100</f>
        <v>4.7821614349522479</v>
      </c>
      <c r="H45" s="10">
        <f>H37-H30</f>
        <v>-1.4512074939714292</v>
      </c>
      <c r="I45" s="10">
        <f>I37-I30</f>
        <v>-0.83158648241462441</v>
      </c>
      <c r="J45" s="10">
        <f>J37-J30</f>
        <v>-1.5029306840984553</v>
      </c>
      <c r="K45" s="10">
        <f>K37-K30</f>
        <v>-1.6029476013149537</v>
      </c>
      <c r="L45" s="10">
        <f>L37-L30</f>
        <v>-2.7074688292039824</v>
      </c>
    </row>
    <row r="46" spans="1:18">
      <c r="A46" s="446" t="s">
        <v>1410</v>
      </c>
      <c r="B46" s="159">
        <f>(POWER(B38/B30, 1/8)-1)*100</f>
        <v>-6.8321412851823915E-2</v>
      </c>
      <c r="C46" s="159">
        <f>(POWER(C38/C30, 1/8)-1)*100</f>
        <v>-0.89517955225516532</v>
      </c>
      <c r="D46" s="159">
        <f>(POWER(D38/D30, 1/8)-1)*100</f>
        <v>-0.82719227298201359</v>
      </c>
      <c r="E46" s="159">
        <f>(POWER(E38/E30, 1/8)-1)*100</f>
        <v>4.516502611254225</v>
      </c>
      <c r="F46" s="159">
        <f>(POWER(F38/F30, 1/8)-1)*100</f>
        <v>6.7933953328152663</v>
      </c>
      <c r="H46" s="10">
        <f>H38-H30</f>
        <v>-2.1432867167997891</v>
      </c>
      <c r="I46" s="10">
        <f>I38-I30</f>
        <v>-1.3002019151298647</v>
      </c>
      <c r="J46" s="10">
        <f>J38-J30</f>
        <v>-2.2779488256514746</v>
      </c>
      <c r="K46" s="10">
        <f>K38-K30</f>
        <v>-2.4547667021372686</v>
      </c>
      <c r="L46" s="10">
        <f>L38-L30</f>
        <v>-2.2690795515914104</v>
      </c>
    </row>
    <row r="47" spans="1:18" ht="38.25" customHeight="1">
      <c r="A47" s="1274" t="s">
        <v>814</v>
      </c>
      <c r="B47" s="1274"/>
      <c r="C47" s="1274"/>
      <c r="D47" s="1274"/>
      <c r="E47" s="1274"/>
      <c r="F47" s="1274"/>
      <c r="G47" s="1274"/>
      <c r="H47" s="1274"/>
      <c r="I47" s="1274"/>
      <c r="J47" s="1274"/>
      <c r="K47" s="1274"/>
      <c r="L47" s="1274"/>
    </row>
    <row r="48" spans="1:18">
      <c r="A48" s="149" t="s">
        <v>723</v>
      </c>
      <c r="B48" s="149"/>
      <c r="C48" s="149"/>
      <c r="D48" s="149"/>
      <c r="E48" s="149"/>
      <c r="F48" s="149"/>
      <c r="G48" s="149"/>
      <c r="H48" s="149"/>
      <c r="I48" s="149"/>
      <c r="J48" s="149"/>
      <c r="K48" s="149"/>
    </row>
    <row r="49" spans="1:11">
      <c r="A49" s="149" t="s">
        <v>1664</v>
      </c>
      <c r="B49" s="149"/>
      <c r="C49" s="149"/>
      <c r="D49" s="149"/>
      <c r="E49" s="149"/>
      <c r="F49" s="149"/>
      <c r="G49" s="149"/>
      <c r="H49" s="149"/>
      <c r="I49" s="149"/>
      <c r="J49" s="149"/>
      <c r="K49" s="149"/>
    </row>
    <row r="50" spans="1:11">
      <c r="A50" s="149"/>
    </row>
    <row r="51" spans="1:11">
      <c r="A51" s="149"/>
    </row>
  </sheetData>
  <mergeCells count="15">
    <mergeCell ref="B3:F3"/>
    <mergeCell ref="H3:L3"/>
    <mergeCell ref="H4:H5"/>
    <mergeCell ref="F4:F5"/>
    <mergeCell ref="I4:I5"/>
    <mergeCell ref="A47:L47"/>
    <mergeCell ref="L4:L5"/>
    <mergeCell ref="B39:F39"/>
    <mergeCell ref="H39:L39"/>
    <mergeCell ref="E4:E5"/>
    <mergeCell ref="J4:J5"/>
    <mergeCell ref="K4:K5"/>
    <mergeCell ref="B4:B5"/>
    <mergeCell ref="C4:C5"/>
    <mergeCell ref="D4:D5"/>
  </mergeCells>
  <phoneticPr fontId="35" type="noConversion"/>
  <pageMargins left="0.75" right="0.75" top="1" bottom="1" header="0.5" footer="0.5"/>
  <pageSetup scale="89" orientation="portrait" verticalDpi="0" r:id="rId1"/>
  <headerFooter alignWithMargins="0"/>
</worksheet>
</file>

<file path=xl/worksheets/sheet163.xml><?xml version="1.0" encoding="utf-8"?>
<worksheet xmlns="http://schemas.openxmlformats.org/spreadsheetml/2006/main" xmlns:r="http://schemas.openxmlformats.org/officeDocument/2006/relationships">
  <sheetPr codeName="Sheet142">
    <pageSetUpPr fitToPage="1"/>
  </sheetPr>
  <dimension ref="A1:L89"/>
  <sheetViews>
    <sheetView view="pageBreakPreview" zoomScale="85" zoomScaleSheetLayoutView="85"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1"/>
    <col min="2" max="7" width="12.140625" style="652" customWidth="1"/>
    <col min="8" max="12" width="12.140625" style="1" customWidth="1"/>
    <col min="13" max="16384" width="9.140625" style="1"/>
  </cols>
  <sheetData>
    <row r="1" spans="1:12" ht="15.75">
      <c r="A1" s="40" t="s">
        <v>2215</v>
      </c>
    </row>
    <row r="2" spans="1:12">
      <c r="A2" s="1" t="s">
        <v>1415</v>
      </c>
    </row>
    <row r="3" spans="1:12">
      <c r="B3" s="1213"/>
      <c r="C3" s="1213"/>
      <c r="D3" s="1213"/>
      <c r="E3" s="1213"/>
      <c r="F3" s="1213"/>
      <c r="G3" s="1213"/>
      <c r="H3" s="1213"/>
      <c r="I3" s="1213"/>
      <c r="J3" s="1213"/>
      <c r="K3" s="1213"/>
    </row>
    <row r="4" spans="1:12" ht="12.75" customHeight="1">
      <c r="A4" s="4"/>
      <c r="B4" s="1276" t="s">
        <v>1110</v>
      </c>
      <c r="C4" s="1211" t="s">
        <v>1111</v>
      </c>
      <c r="D4" s="1211" t="s">
        <v>1112</v>
      </c>
      <c r="E4" s="1211" t="s">
        <v>1113</v>
      </c>
      <c r="F4" s="1211" t="s">
        <v>1114</v>
      </c>
      <c r="G4" s="1211" t="s">
        <v>1115</v>
      </c>
      <c r="H4" s="1211" t="s">
        <v>1116</v>
      </c>
      <c r="I4" s="1211" t="s">
        <v>1117</v>
      </c>
      <c r="J4" s="1211" t="s">
        <v>1118</v>
      </c>
      <c r="K4" s="1211" t="s">
        <v>1119</v>
      </c>
      <c r="L4" s="1211" t="s">
        <v>1120</v>
      </c>
    </row>
    <row r="5" spans="1:12" ht="78" customHeight="1">
      <c r="A5" s="667"/>
      <c r="B5" s="1277"/>
      <c r="C5" s="1212"/>
      <c r="D5" s="1212"/>
      <c r="E5" s="1212"/>
      <c r="F5" s="1212"/>
      <c r="G5" s="1212"/>
      <c r="H5" s="1212"/>
      <c r="I5" s="1212"/>
      <c r="J5" s="1212"/>
      <c r="K5" s="1212"/>
      <c r="L5" s="1212"/>
    </row>
    <row r="6" spans="1:12">
      <c r="A6" s="338">
        <v>1987</v>
      </c>
      <c r="B6" s="10">
        <v>1543</v>
      </c>
      <c r="C6" s="10">
        <v>311.5</v>
      </c>
      <c r="D6" s="10">
        <v>132.5</v>
      </c>
      <c r="E6" s="10">
        <v>66.3</v>
      </c>
      <c r="F6" s="10">
        <v>45.6</v>
      </c>
      <c r="G6" s="10">
        <v>113.4</v>
      </c>
      <c r="H6" s="10">
        <v>35.5</v>
      </c>
      <c r="I6" s="10">
        <v>231.6</v>
      </c>
      <c r="J6" s="10">
        <v>319.2</v>
      </c>
      <c r="K6" s="10">
        <v>230.6</v>
      </c>
      <c r="L6" s="10">
        <v>56.8</v>
      </c>
    </row>
    <row r="7" spans="1:12">
      <c r="A7" s="130">
        <v>1988</v>
      </c>
      <c r="B7" s="10">
        <v>1701.9</v>
      </c>
      <c r="C7" s="10">
        <v>343.8</v>
      </c>
      <c r="D7" s="10">
        <v>154.1</v>
      </c>
      <c r="E7" s="10">
        <v>82.8</v>
      </c>
      <c r="F7" s="10">
        <v>49.4</v>
      </c>
      <c r="G7" s="10">
        <v>134.80000000000001</v>
      </c>
      <c r="H7" s="10">
        <v>39.4</v>
      </c>
      <c r="I7" s="10">
        <v>247.6</v>
      </c>
      <c r="J7" s="10">
        <v>351.3</v>
      </c>
      <c r="K7" s="10">
        <v>227.6</v>
      </c>
      <c r="L7" s="10">
        <v>71</v>
      </c>
    </row>
    <row r="8" spans="1:12">
      <c r="A8" s="130">
        <v>1989</v>
      </c>
      <c r="B8" s="10">
        <v>1782</v>
      </c>
      <c r="C8" s="10">
        <v>354.5</v>
      </c>
      <c r="D8" s="10">
        <v>169.6</v>
      </c>
      <c r="E8" s="10">
        <v>87.7</v>
      </c>
      <c r="F8" s="10">
        <v>53.9</v>
      </c>
      <c r="G8" s="10">
        <v>142.6</v>
      </c>
      <c r="H8" s="10">
        <v>38.799999999999997</v>
      </c>
      <c r="I8" s="10">
        <v>252.6</v>
      </c>
      <c r="J8" s="10">
        <v>377.5</v>
      </c>
      <c r="K8" s="10">
        <v>227.2</v>
      </c>
      <c r="L8" s="10">
        <v>77.5</v>
      </c>
    </row>
    <row r="9" spans="1:12">
      <c r="A9" s="130">
        <v>1990</v>
      </c>
      <c r="B9" s="10">
        <v>1756</v>
      </c>
      <c r="C9" s="10">
        <v>363.2</v>
      </c>
      <c r="D9" s="10">
        <v>169.7</v>
      </c>
      <c r="E9" s="10">
        <v>85.8</v>
      </c>
      <c r="F9" s="10">
        <v>52.5</v>
      </c>
      <c r="G9" s="10">
        <v>152.69999999999999</v>
      </c>
      <c r="H9" s="10">
        <v>40.799999999999997</v>
      </c>
      <c r="I9" s="10">
        <v>243.1</v>
      </c>
      <c r="J9" s="10">
        <v>358.1</v>
      </c>
      <c r="K9" s="10">
        <v>227.1</v>
      </c>
      <c r="L9" s="10">
        <v>62.9</v>
      </c>
    </row>
    <row r="10" spans="1:12">
      <c r="A10" s="130">
        <v>1991</v>
      </c>
      <c r="B10" s="10">
        <v>1627.8</v>
      </c>
      <c r="C10" s="10">
        <v>353.9</v>
      </c>
      <c r="D10" s="10">
        <v>143.5</v>
      </c>
      <c r="E10" s="10">
        <v>87</v>
      </c>
      <c r="F10" s="10">
        <v>54.3</v>
      </c>
      <c r="G10" s="10">
        <v>144.30000000000001</v>
      </c>
      <c r="H10" s="10">
        <v>35.5</v>
      </c>
      <c r="I10" s="10">
        <v>225.3</v>
      </c>
      <c r="J10" s="10">
        <v>303.5</v>
      </c>
      <c r="K10" s="10">
        <v>227.1</v>
      </c>
      <c r="L10" s="10">
        <v>53.3</v>
      </c>
    </row>
    <row r="11" spans="1:12">
      <c r="A11" s="130">
        <v>1992</v>
      </c>
      <c r="B11" s="10">
        <v>1587.7</v>
      </c>
      <c r="C11" s="10">
        <v>343.8</v>
      </c>
      <c r="D11" s="10">
        <v>143.9</v>
      </c>
      <c r="E11" s="10">
        <v>76.400000000000006</v>
      </c>
      <c r="F11" s="10">
        <v>52.2</v>
      </c>
      <c r="G11" s="10">
        <v>152.30000000000001</v>
      </c>
      <c r="H11" s="10">
        <v>37.200000000000003</v>
      </c>
      <c r="I11" s="10">
        <v>228.5</v>
      </c>
      <c r="J11" s="10">
        <v>284</v>
      </c>
      <c r="K11" s="10">
        <v>215.5</v>
      </c>
      <c r="L11" s="10">
        <v>53.9</v>
      </c>
    </row>
    <row r="12" spans="1:12">
      <c r="A12" s="130">
        <v>1993</v>
      </c>
      <c r="B12" s="10">
        <v>1715.3</v>
      </c>
      <c r="C12" s="10">
        <v>374.2</v>
      </c>
      <c r="D12" s="10">
        <v>152.30000000000001</v>
      </c>
      <c r="E12" s="10">
        <v>83.5</v>
      </c>
      <c r="F12" s="10">
        <v>62.1</v>
      </c>
      <c r="G12" s="10">
        <v>157.1</v>
      </c>
      <c r="H12" s="10">
        <v>48.3</v>
      </c>
      <c r="I12" s="10">
        <v>231.2</v>
      </c>
      <c r="J12" s="10">
        <v>324.89999999999998</v>
      </c>
      <c r="K12" s="10">
        <v>220.2</v>
      </c>
      <c r="L12" s="10">
        <v>61.6</v>
      </c>
    </row>
    <row r="13" spans="1:12">
      <c r="A13" s="130">
        <v>1994</v>
      </c>
      <c r="B13" s="10">
        <v>1828.8</v>
      </c>
      <c r="C13" s="10">
        <v>381.7</v>
      </c>
      <c r="D13" s="10">
        <v>165.3</v>
      </c>
      <c r="E13" s="10">
        <v>99</v>
      </c>
      <c r="F13" s="10">
        <v>60.6</v>
      </c>
      <c r="G13" s="10">
        <v>179.3</v>
      </c>
      <c r="H13" s="10">
        <v>46.9</v>
      </c>
      <c r="I13" s="10">
        <v>243.4</v>
      </c>
      <c r="J13" s="10">
        <v>362.1</v>
      </c>
      <c r="K13" s="10">
        <v>218.2</v>
      </c>
      <c r="L13" s="10">
        <v>72.3</v>
      </c>
    </row>
    <row r="14" spans="1:12">
      <c r="A14" s="130">
        <v>1995</v>
      </c>
      <c r="B14" s="10">
        <v>1812.5</v>
      </c>
      <c r="C14" s="10">
        <v>413.3</v>
      </c>
      <c r="D14" s="10">
        <v>146.4</v>
      </c>
      <c r="E14" s="10">
        <v>93.2</v>
      </c>
      <c r="F14" s="10">
        <v>53.5</v>
      </c>
      <c r="G14" s="10">
        <v>173.7</v>
      </c>
      <c r="H14" s="10">
        <v>47.3</v>
      </c>
      <c r="I14" s="10">
        <v>235.4</v>
      </c>
      <c r="J14" s="10">
        <v>363</v>
      </c>
      <c r="K14" s="10">
        <v>215.3</v>
      </c>
      <c r="L14" s="10">
        <v>71.400000000000006</v>
      </c>
    </row>
    <row r="15" spans="1:12">
      <c r="A15" s="130">
        <v>1996</v>
      </c>
      <c r="B15" s="10">
        <v>1917.7</v>
      </c>
      <c r="C15" s="10">
        <v>422.4</v>
      </c>
      <c r="D15" s="10">
        <v>170</v>
      </c>
      <c r="E15" s="10">
        <v>106.3</v>
      </c>
      <c r="F15" s="10">
        <v>56.7</v>
      </c>
      <c r="G15" s="10">
        <v>179</v>
      </c>
      <c r="H15" s="10">
        <v>53.4</v>
      </c>
      <c r="I15" s="10">
        <v>255.1</v>
      </c>
      <c r="J15" s="10">
        <v>376.6</v>
      </c>
      <c r="K15" s="10">
        <v>218.5</v>
      </c>
      <c r="L15" s="10">
        <v>79.8</v>
      </c>
    </row>
    <row r="16" spans="1:12">
      <c r="A16" s="130">
        <v>1997</v>
      </c>
      <c r="B16" s="10">
        <v>1939.3</v>
      </c>
      <c r="C16" s="10">
        <v>413.3</v>
      </c>
      <c r="D16" s="10">
        <v>171.2</v>
      </c>
      <c r="E16" s="10">
        <v>116.9</v>
      </c>
      <c r="F16" s="10">
        <v>58.9</v>
      </c>
      <c r="G16" s="10">
        <v>180.4</v>
      </c>
      <c r="H16" s="10">
        <v>51.8</v>
      </c>
      <c r="I16" s="10">
        <v>245.6</v>
      </c>
      <c r="J16" s="10">
        <v>407.1</v>
      </c>
      <c r="K16" s="10">
        <v>214.7</v>
      </c>
      <c r="L16" s="10">
        <v>79.400000000000006</v>
      </c>
    </row>
    <row r="17" spans="1:12">
      <c r="A17" s="130">
        <v>1998</v>
      </c>
      <c r="B17" s="10">
        <v>1931.3</v>
      </c>
      <c r="C17" s="10">
        <v>389.6</v>
      </c>
      <c r="D17" s="10">
        <v>180.7</v>
      </c>
      <c r="E17" s="10">
        <v>119.3</v>
      </c>
      <c r="F17" s="10">
        <v>55.6</v>
      </c>
      <c r="G17" s="10">
        <v>171.1</v>
      </c>
      <c r="H17" s="10">
        <v>53.2</v>
      </c>
      <c r="I17" s="10">
        <v>249.3</v>
      </c>
      <c r="J17" s="10">
        <v>411.9</v>
      </c>
      <c r="K17" s="10">
        <v>213.8</v>
      </c>
      <c r="L17" s="10">
        <v>86.8</v>
      </c>
    </row>
    <row r="18" spans="1:12">
      <c r="A18" s="130">
        <v>1999</v>
      </c>
      <c r="B18" s="10">
        <v>1979</v>
      </c>
      <c r="C18" s="10">
        <v>423.4</v>
      </c>
      <c r="D18" s="10">
        <v>160.80000000000001</v>
      </c>
      <c r="E18" s="10">
        <v>125.3</v>
      </c>
      <c r="F18" s="10">
        <v>64</v>
      </c>
      <c r="G18" s="10">
        <v>191.5</v>
      </c>
      <c r="H18" s="10">
        <v>53.1</v>
      </c>
      <c r="I18" s="10">
        <v>240.8</v>
      </c>
      <c r="J18" s="10">
        <v>426</v>
      </c>
      <c r="K18" s="10">
        <v>209.3</v>
      </c>
      <c r="L18" s="10">
        <v>84.7</v>
      </c>
    </row>
    <row r="19" spans="1:12">
      <c r="A19" s="130">
        <v>2000</v>
      </c>
      <c r="B19" s="10">
        <v>2023.5</v>
      </c>
      <c r="C19" s="10">
        <v>442</v>
      </c>
      <c r="D19" s="10">
        <v>155.6</v>
      </c>
      <c r="E19" s="10">
        <v>130</v>
      </c>
      <c r="F19" s="10">
        <v>61.1</v>
      </c>
      <c r="G19" s="10">
        <v>195.6</v>
      </c>
      <c r="H19" s="10">
        <v>49.8</v>
      </c>
      <c r="I19" s="10">
        <v>260.60000000000002</v>
      </c>
      <c r="J19" s="10">
        <v>435.5</v>
      </c>
      <c r="K19" s="10">
        <v>202.6</v>
      </c>
      <c r="L19" s="10">
        <v>90.7</v>
      </c>
    </row>
    <row r="20" spans="1:12">
      <c r="A20" s="130">
        <v>2001</v>
      </c>
      <c r="B20" s="10">
        <v>1891.7</v>
      </c>
      <c r="C20" s="10">
        <v>400.1</v>
      </c>
      <c r="D20" s="10">
        <v>148.19999999999999</v>
      </c>
      <c r="E20" s="10">
        <v>121.3</v>
      </c>
      <c r="F20" s="10">
        <v>60.6</v>
      </c>
      <c r="G20" s="10">
        <v>189.1</v>
      </c>
      <c r="H20" s="10">
        <v>51.8</v>
      </c>
      <c r="I20" s="10">
        <v>242.4</v>
      </c>
      <c r="J20" s="10">
        <v>407.6</v>
      </c>
      <c r="K20" s="10">
        <v>185.9</v>
      </c>
      <c r="L20" s="10">
        <v>84.5</v>
      </c>
    </row>
    <row r="21" spans="1:12">
      <c r="A21" s="130">
        <v>2002</v>
      </c>
      <c r="B21" s="10">
        <v>1895</v>
      </c>
      <c r="C21" s="10">
        <v>399</v>
      </c>
      <c r="D21" s="10">
        <v>158.1</v>
      </c>
      <c r="E21" s="10">
        <v>121.2</v>
      </c>
      <c r="F21" s="10">
        <v>61.4</v>
      </c>
      <c r="G21" s="10">
        <v>189.6</v>
      </c>
      <c r="H21" s="10">
        <v>46</v>
      </c>
      <c r="I21" s="10">
        <v>234.6</v>
      </c>
      <c r="J21" s="10">
        <v>408</v>
      </c>
      <c r="K21" s="10">
        <v>180.2</v>
      </c>
      <c r="L21" s="10">
        <v>96.9</v>
      </c>
    </row>
    <row r="22" spans="1:12">
      <c r="A22" s="130">
        <v>2003</v>
      </c>
      <c r="B22" s="10">
        <v>1818.5</v>
      </c>
      <c r="C22" s="10">
        <v>386</v>
      </c>
      <c r="D22" s="10">
        <v>141.4</v>
      </c>
      <c r="E22" s="10">
        <v>109.7</v>
      </c>
      <c r="F22" s="10">
        <v>62.1</v>
      </c>
      <c r="G22" s="10">
        <v>168.8</v>
      </c>
      <c r="H22" s="10">
        <v>48</v>
      </c>
      <c r="I22" s="10">
        <v>233.8</v>
      </c>
      <c r="J22" s="10">
        <v>394.2</v>
      </c>
      <c r="K22" s="10">
        <v>183.4</v>
      </c>
      <c r="L22" s="10">
        <v>91.2</v>
      </c>
    </row>
    <row r="23" spans="1:12">
      <c r="A23" s="130">
        <v>2004</v>
      </c>
      <c r="B23" s="10">
        <v>1922.7</v>
      </c>
      <c r="C23" s="10">
        <v>406.5</v>
      </c>
      <c r="D23" s="10">
        <v>152.1</v>
      </c>
      <c r="E23" s="10">
        <v>112</v>
      </c>
      <c r="F23" s="10">
        <v>63.8</v>
      </c>
      <c r="G23" s="10">
        <v>167.4</v>
      </c>
      <c r="H23" s="10">
        <v>51.9</v>
      </c>
      <c r="I23" s="10">
        <v>232.2</v>
      </c>
      <c r="J23" s="10">
        <v>441.7</v>
      </c>
      <c r="K23" s="10">
        <v>193.4</v>
      </c>
      <c r="L23" s="10">
        <v>101.5</v>
      </c>
    </row>
    <row r="24" spans="1:12">
      <c r="A24" s="130">
        <v>2005</v>
      </c>
      <c r="B24" s="10">
        <v>2001.2</v>
      </c>
      <c r="C24" s="10">
        <v>404.8</v>
      </c>
      <c r="D24" s="10">
        <v>151.30000000000001</v>
      </c>
      <c r="E24" s="10">
        <v>133.80000000000001</v>
      </c>
      <c r="F24" s="10">
        <v>62.6</v>
      </c>
      <c r="G24" s="10">
        <v>194.8</v>
      </c>
      <c r="H24" s="10">
        <v>51.5</v>
      </c>
      <c r="I24" s="10">
        <v>247.1</v>
      </c>
      <c r="J24" s="10">
        <v>454</v>
      </c>
      <c r="K24" s="10">
        <v>203</v>
      </c>
      <c r="L24" s="10">
        <v>98.3</v>
      </c>
    </row>
    <row r="25" spans="1:12">
      <c r="A25" s="130">
        <v>2006</v>
      </c>
      <c r="B25" s="10">
        <v>1961.7</v>
      </c>
      <c r="C25" s="10">
        <v>396.8</v>
      </c>
      <c r="D25" s="10">
        <v>158.69999999999999</v>
      </c>
      <c r="E25" s="10">
        <v>124.1</v>
      </c>
      <c r="F25" s="10">
        <v>69.599999999999994</v>
      </c>
      <c r="G25" s="10">
        <v>181.2</v>
      </c>
      <c r="H25" s="10">
        <v>46.9</v>
      </c>
      <c r="I25" s="10">
        <v>234.9</v>
      </c>
      <c r="J25" s="10">
        <v>453</v>
      </c>
      <c r="K25" s="10">
        <v>207.2</v>
      </c>
      <c r="L25" s="10">
        <v>89.2</v>
      </c>
    </row>
    <row r="26" spans="1:12">
      <c r="A26" s="130">
        <v>2007</v>
      </c>
      <c r="B26" s="10">
        <v>2047.6</v>
      </c>
      <c r="C26" s="10">
        <v>407.9</v>
      </c>
      <c r="D26" s="10">
        <v>165.2</v>
      </c>
      <c r="E26" s="10">
        <v>129.4</v>
      </c>
      <c r="F26" s="10">
        <v>75</v>
      </c>
      <c r="G26" s="10">
        <v>194.7</v>
      </c>
      <c r="H26" s="10">
        <v>55.3</v>
      </c>
      <c r="I26" s="10">
        <v>262.10000000000002</v>
      </c>
      <c r="J26" s="10">
        <v>467.5</v>
      </c>
      <c r="K26" s="10">
        <v>204.1</v>
      </c>
      <c r="L26" s="10">
        <v>86.4</v>
      </c>
    </row>
    <row r="27" spans="1:12">
      <c r="A27" s="130">
        <v>2008</v>
      </c>
      <c r="B27" s="10">
        <v>1976.8</v>
      </c>
      <c r="C27" s="10">
        <v>398.4</v>
      </c>
      <c r="D27" s="10">
        <v>163.6</v>
      </c>
      <c r="E27" s="10">
        <v>125.8</v>
      </c>
      <c r="F27" s="10">
        <v>75.8</v>
      </c>
      <c r="G27" s="10">
        <v>188.8</v>
      </c>
      <c r="H27" s="10">
        <v>51.5</v>
      </c>
      <c r="I27" s="10">
        <v>241.5</v>
      </c>
      <c r="J27" s="10">
        <v>469.9</v>
      </c>
      <c r="K27" s="10">
        <v>188.2</v>
      </c>
      <c r="L27" s="10">
        <v>73.400000000000006</v>
      </c>
    </row>
    <row r="28" spans="1:12">
      <c r="A28" s="1109"/>
      <c r="B28" s="1275" t="s">
        <v>802</v>
      </c>
      <c r="C28" s="1275"/>
      <c r="D28" s="1275"/>
      <c r="E28" s="1275"/>
      <c r="F28" s="1275"/>
      <c r="G28" s="1275"/>
      <c r="H28" s="1275"/>
      <c r="I28" s="1275"/>
      <c r="J28" s="1275"/>
      <c r="K28" s="1275"/>
    </row>
    <row r="29" spans="1:12">
      <c r="A29" s="297" t="s">
        <v>604</v>
      </c>
      <c r="B29" s="159">
        <f>(POWER(B19/B8, 1/11)-1)*100</f>
        <v>1.1620854103845391</v>
      </c>
      <c r="C29" s="159">
        <f>(POWER(C19/C8, 1/11)-1)*100</f>
        <v>2.0257131365030379</v>
      </c>
      <c r="D29" s="159">
        <f>(POWER(D19/D8, 1/11)-1)*100</f>
        <v>-0.78016002681581265</v>
      </c>
      <c r="E29" s="159">
        <f>(POWER(E19/E8, 1/11)-1)*100</f>
        <v>3.6430874280085623</v>
      </c>
      <c r="F29" s="159">
        <f>(POWER(F19/F8, 1/11)-1)*100</f>
        <v>1.1463516255769912</v>
      </c>
      <c r="G29" s="159">
        <f t="shared" ref="G29:L29" si="0">(POWER(G19/G8, 1/11)-1)*100</f>
        <v>2.9146523590399598</v>
      </c>
      <c r="H29" s="159">
        <f t="shared" si="0"/>
        <v>2.29498166394555</v>
      </c>
      <c r="I29" s="159">
        <f t="shared" si="0"/>
        <v>0.28385168703033425</v>
      </c>
      <c r="J29" s="159">
        <f t="shared" si="0"/>
        <v>1.307788885036465</v>
      </c>
      <c r="K29" s="159">
        <f t="shared" si="0"/>
        <v>-1.0363839183509138</v>
      </c>
      <c r="L29" s="159">
        <f t="shared" si="0"/>
        <v>1.4400836331897482</v>
      </c>
    </row>
    <row r="30" spans="1:12">
      <c r="A30" s="446" t="s">
        <v>1416</v>
      </c>
      <c r="B30" s="644">
        <f t="shared" ref="B30:L30" si="1">(POWER(B25/B6, 1/19)-1)*100</f>
        <v>1.2716111391321894</v>
      </c>
      <c r="C30" s="644">
        <f t="shared" si="1"/>
        <v>1.282006224406218</v>
      </c>
      <c r="D30" s="644">
        <f t="shared" si="1"/>
        <v>0.95417073159429489</v>
      </c>
      <c r="E30" s="644">
        <f t="shared" si="1"/>
        <v>3.3544979571338285</v>
      </c>
      <c r="F30" s="644">
        <f t="shared" si="1"/>
        <v>2.2505127638239752</v>
      </c>
      <c r="G30" s="644">
        <f t="shared" si="1"/>
        <v>2.4974125177942508</v>
      </c>
      <c r="H30" s="644">
        <f t="shared" si="1"/>
        <v>1.476504623547692</v>
      </c>
      <c r="I30" s="644">
        <f t="shared" si="1"/>
        <v>7.4491657401298816E-2</v>
      </c>
      <c r="J30" s="644">
        <f t="shared" si="1"/>
        <v>1.8595747944041285</v>
      </c>
      <c r="K30" s="644">
        <f t="shared" si="1"/>
        <v>-0.56157564322000253</v>
      </c>
      <c r="L30" s="644">
        <f t="shared" si="1"/>
        <v>2.4039382079646288</v>
      </c>
    </row>
    <row r="31" spans="1:12">
      <c r="A31" s="446" t="s">
        <v>1417</v>
      </c>
      <c r="B31" s="644">
        <f t="shared" ref="B31:L31" si="2">(POWER(B26/B6, 1/20)-1)*100</f>
        <v>1.4247532339439761</v>
      </c>
      <c r="C31" s="644">
        <f t="shared" si="2"/>
        <v>1.3572415636526891</v>
      </c>
      <c r="D31" s="644">
        <f t="shared" si="2"/>
        <v>1.1089751206469156</v>
      </c>
      <c r="E31" s="644">
        <f t="shared" si="2"/>
        <v>3.4001187195548788</v>
      </c>
      <c r="F31" s="644">
        <f t="shared" si="2"/>
        <v>2.5191085251223377</v>
      </c>
      <c r="G31" s="644">
        <f t="shared" si="2"/>
        <v>2.7395466097086318</v>
      </c>
      <c r="H31" s="644">
        <f t="shared" si="2"/>
        <v>2.2409412218068026</v>
      </c>
      <c r="I31" s="644">
        <f t="shared" si="2"/>
        <v>0.6204889295093885</v>
      </c>
      <c r="J31" s="644">
        <f t="shared" si="2"/>
        <v>1.926224273418331</v>
      </c>
      <c r="K31" s="644">
        <f t="shared" si="2"/>
        <v>-0.60851370017036555</v>
      </c>
      <c r="L31" s="644">
        <f t="shared" si="2"/>
        <v>2.1194037352082917</v>
      </c>
    </row>
    <row r="32" spans="1:12">
      <c r="A32" s="446" t="s">
        <v>1706</v>
      </c>
      <c r="B32" s="644">
        <f>(POWER(B27/B6, 1/21)-1)*100</f>
        <v>1.1867524095932946</v>
      </c>
      <c r="C32" s="644">
        <f t="shared" ref="C32:L32" si="3">(POWER(C27/C6, 1/21)-1)*100</f>
        <v>1.178592196541528</v>
      </c>
      <c r="D32" s="644">
        <f t="shared" si="3"/>
        <v>1.0090655455615272</v>
      </c>
      <c r="E32" s="644">
        <f t="shared" si="3"/>
        <v>3.0970059278796702</v>
      </c>
      <c r="F32" s="644">
        <f t="shared" si="3"/>
        <v>2.4494736693303043</v>
      </c>
      <c r="G32" s="644">
        <f t="shared" si="3"/>
        <v>2.4571639436969495</v>
      </c>
      <c r="H32" s="644">
        <f t="shared" si="3"/>
        <v>1.7874494662994511</v>
      </c>
      <c r="I32" s="644">
        <f t="shared" si="3"/>
        <v>0.19952129076548086</v>
      </c>
      <c r="J32" s="644">
        <f t="shared" si="3"/>
        <v>1.8584973126908544</v>
      </c>
      <c r="K32" s="644">
        <f t="shared" si="3"/>
        <v>-0.96285543576432042</v>
      </c>
      <c r="L32" s="644">
        <f t="shared" si="3"/>
        <v>1.228376707146861</v>
      </c>
    </row>
    <row r="33" spans="1:12">
      <c r="A33" s="446" t="s">
        <v>449</v>
      </c>
      <c r="B33" s="644">
        <f t="shared" ref="B33:L33" si="4">(POWER(B26/B19, 1/7)-1)*100</f>
        <v>0.16928155211830553</v>
      </c>
      <c r="C33" s="159">
        <f t="shared" si="4"/>
        <v>-1.1404164679050699</v>
      </c>
      <c r="D33" s="159">
        <f t="shared" si="4"/>
        <v>0.85892850823094946</v>
      </c>
      <c r="E33" s="159">
        <f t="shared" si="4"/>
        <v>-6.6064858824210759E-2</v>
      </c>
      <c r="F33" s="159">
        <f t="shared" si="4"/>
        <v>2.9715263737922548</v>
      </c>
      <c r="G33" s="159">
        <f t="shared" si="4"/>
        <v>-6.5861804764999476E-2</v>
      </c>
      <c r="H33" s="159">
        <f t="shared" si="4"/>
        <v>1.5077960364852983</v>
      </c>
      <c r="I33" s="159">
        <f t="shared" si="4"/>
        <v>8.20257032467131E-2</v>
      </c>
      <c r="J33" s="159">
        <f t="shared" si="4"/>
        <v>1.0180695994618683</v>
      </c>
      <c r="K33" s="159">
        <f t="shared" si="4"/>
        <v>0.10543379955378906</v>
      </c>
      <c r="L33" s="159">
        <f t="shared" si="4"/>
        <v>-0.69145099080392125</v>
      </c>
    </row>
    <row r="34" spans="1:12">
      <c r="A34" s="446" t="s">
        <v>1410</v>
      </c>
      <c r="B34" s="644">
        <f>(POWER(B27/B19, 1/8)-1)*100</f>
        <v>-0.29144085470765857</v>
      </c>
      <c r="C34" s="644">
        <f t="shared" ref="C34:L34" si="5">(POWER(C27/C19, 1/8)-1)*100</f>
        <v>-1.289777111345547</v>
      </c>
      <c r="D34" s="644">
        <f t="shared" si="5"/>
        <v>0.62866551375340141</v>
      </c>
      <c r="E34" s="644">
        <f t="shared" si="5"/>
        <v>-0.40967237117836008</v>
      </c>
      <c r="F34" s="644">
        <f t="shared" si="5"/>
        <v>2.7314692620310499</v>
      </c>
      <c r="G34" s="644">
        <f t="shared" si="5"/>
        <v>-0.44131712005512913</v>
      </c>
      <c r="H34" s="644">
        <f t="shared" si="5"/>
        <v>0.42046678702791773</v>
      </c>
      <c r="I34" s="644">
        <f t="shared" si="5"/>
        <v>-0.94695278945061689</v>
      </c>
      <c r="J34" s="644">
        <f t="shared" si="5"/>
        <v>0.954843692784757</v>
      </c>
      <c r="K34" s="644">
        <f t="shared" si="5"/>
        <v>-0.9173707996355418</v>
      </c>
      <c r="L34" s="644">
        <f t="shared" si="5"/>
        <v>-2.6107331172745996</v>
      </c>
    </row>
    <row r="35" spans="1:12" ht="29.25" customHeight="1">
      <c r="A35" s="1274" t="s">
        <v>228</v>
      </c>
      <c r="B35" s="1274"/>
      <c r="C35" s="1274"/>
      <c r="D35" s="1274"/>
      <c r="E35" s="1274"/>
      <c r="F35" s="1274"/>
      <c r="G35" s="1274"/>
      <c r="H35" s="1274"/>
      <c r="I35" s="1274"/>
      <c r="J35" s="1274"/>
      <c r="K35" s="1274"/>
    </row>
    <row r="36" spans="1:12" ht="12.75" customHeight="1">
      <c r="A36" s="306" t="s">
        <v>389</v>
      </c>
      <c r="B36" s="668"/>
      <c r="C36" s="668"/>
      <c r="D36" s="668"/>
      <c r="E36" s="668"/>
      <c r="F36" s="668"/>
      <c r="G36" s="668"/>
      <c r="H36" s="668"/>
      <c r="I36" s="668"/>
      <c r="J36" s="668"/>
      <c r="K36" s="668"/>
    </row>
    <row r="37" spans="1:12">
      <c r="A37" s="149" t="s">
        <v>723</v>
      </c>
      <c r="B37" s="149"/>
      <c r="C37" s="149"/>
      <c r="D37" s="149"/>
      <c r="E37" s="149"/>
      <c r="F37" s="149"/>
      <c r="G37" s="149"/>
      <c r="H37" s="149"/>
      <c r="I37" s="149"/>
      <c r="J37" s="149"/>
    </row>
    <row r="38" spans="1:12">
      <c r="A38" s="149" t="s">
        <v>1414</v>
      </c>
      <c r="B38" s="149"/>
      <c r="C38" s="149"/>
      <c r="D38" s="149"/>
      <c r="E38" s="149"/>
      <c r="F38" s="149"/>
      <c r="G38" s="149"/>
      <c r="H38" s="149"/>
      <c r="I38" s="149"/>
      <c r="J38" s="149"/>
    </row>
    <row r="39" spans="1:12">
      <c r="A39" s="149"/>
    </row>
    <row r="40" spans="1:12">
      <c r="A40" s="149"/>
    </row>
    <row r="43" spans="1:12">
      <c r="A43" s="1">
        <v>1987</v>
      </c>
      <c r="B43" s="652">
        <v>1543000</v>
      </c>
      <c r="C43" s="652">
        <v>311500</v>
      </c>
      <c r="D43" s="652">
        <v>132500</v>
      </c>
      <c r="E43" s="652">
        <v>66300</v>
      </c>
      <c r="F43" s="652">
        <v>45600</v>
      </c>
      <c r="G43" s="652">
        <v>113400</v>
      </c>
      <c r="H43" s="1">
        <v>35500</v>
      </c>
      <c r="I43" s="1">
        <v>231600</v>
      </c>
      <c r="J43" s="1">
        <v>319200</v>
      </c>
      <c r="K43" s="1">
        <v>230600</v>
      </c>
      <c r="L43" s="1">
        <v>56800</v>
      </c>
    </row>
    <row r="44" spans="1:12">
      <c r="A44" s="1">
        <v>1988</v>
      </c>
      <c r="B44" s="652">
        <v>1701900</v>
      </c>
      <c r="C44" s="652">
        <v>343800</v>
      </c>
      <c r="D44" s="652">
        <v>154100</v>
      </c>
      <c r="E44" s="652">
        <v>82800</v>
      </c>
      <c r="F44" s="652">
        <v>49400</v>
      </c>
      <c r="G44" s="652">
        <v>134800</v>
      </c>
      <c r="H44" s="1">
        <v>39400</v>
      </c>
      <c r="I44" s="1">
        <v>247600</v>
      </c>
      <c r="J44" s="1">
        <v>351300</v>
      </c>
      <c r="K44" s="1">
        <v>227600</v>
      </c>
      <c r="L44" s="1">
        <v>71000</v>
      </c>
    </row>
    <row r="45" spans="1:12">
      <c r="A45" s="1">
        <v>1989</v>
      </c>
      <c r="B45" s="652">
        <v>1782000</v>
      </c>
      <c r="C45" s="652">
        <v>354500</v>
      </c>
      <c r="D45" s="652">
        <v>169600</v>
      </c>
      <c r="E45" s="652">
        <v>87700</v>
      </c>
      <c r="F45" s="652">
        <v>53900</v>
      </c>
      <c r="G45" s="652">
        <v>142600</v>
      </c>
      <c r="H45" s="1">
        <v>38800</v>
      </c>
      <c r="I45" s="1">
        <v>252600</v>
      </c>
      <c r="J45" s="1">
        <v>377500</v>
      </c>
      <c r="K45" s="1">
        <v>227200</v>
      </c>
      <c r="L45" s="1">
        <v>77500</v>
      </c>
    </row>
    <row r="46" spans="1:12">
      <c r="A46" s="1">
        <v>1990</v>
      </c>
      <c r="B46" s="652">
        <v>1756000</v>
      </c>
      <c r="C46" s="652">
        <v>363200</v>
      </c>
      <c r="D46" s="652">
        <v>169700</v>
      </c>
      <c r="E46" s="652">
        <v>85800</v>
      </c>
      <c r="F46" s="652">
        <v>52500</v>
      </c>
      <c r="G46" s="652">
        <v>152700</v>
      </c>
      <c r="H46" s="1">
        <v>40800</v>
      </c>
      <c r="I46" s="1">
        <v>243100</v>
      </c>
      <c r="J46" s="1">
        <v>358100</v>
      </c>
      <c r="K46" s="1">
        <v>227100</v>
      </c>
      <c r="L46" s="1">
        <v>62900</v>
      </c>
    </row>
    <row r="47" spans="1:12">
      <c r="A47" s="1">
        <v>1991</v>
      </c>
      <c r="B47" s="652">
        <v>1627800</v>
      </c>
      <c r="C47" s="652">
        <v>353900</v>
      </c>
      <c r="D47" s="652">
        <v>143500</v>
      </c>
      <c r="E47" s="652">
        <v>87000</v>
      </c>
      <c r="F47" s="652">
        <v>54300</v>
      </c>
      <c r="G47" s="652">
        <v>144300</v>
      </c>
      <c r="H47" s="1">
        <v>35500</v>
      </c>
      <c r="I47" s="1">
        <v>225300</v>
      </c>
      <c r="J47" s="1">
        <v>303500</v>
      </c>
      <c r="K47" s="1">
        <v>227100</v>
      </c>
      <c r="L47" s="1">
        <v>53300</v>
      </c>
    </row>
    <row r="48" spans="1:12">
      <c r="A48" s="1">
        <v>1992</v>
      </c>
      <c r="B48" s="652">
        <v>1587700</v>
      </c>
      <c r="C48" s="652">
        <v>343800</v>
      </c>
      <c r="D48" s="652">
        <v>143900</v>
      </c>
      <c r="E48" s="652">
        <v>76400</v>
      </c>
      <c r="F48" s="652">
        <v>52200</v>
      </c>
      <c r="G48" s="652">
        <v>152300</v>
      </c>
      <c r="H48" s="1">
        <v>37200</v>
      </c>
      <c r="I48" s="1">
        <v>228500</v>
      </c>
      <c r="J48" s="1">
        <v>284000</v>
      </c>
      <c r="K48" s="1">
        <v>215500</v>
      </c>
      <c r="L48" s="1">
        <v>53900</v>
      </c>
    </row>
    <row r="49" spans="1:12">
      <c r="A49" s="1">
        <v>1993</v>
      </c>
      <c r="B49" s="652">
        <v>1715300</v>
      </c>
      <c r="C49" s="652">
        <v>374200</v>
      </c>
      <c r="D49" s="652">
        <v>152300</v>
      </c>
      <c r="E49" s="652">
        <v>83500</v>
      </c>
      <c r="F49" s="652">
        <v>62100</v>
      </c>
      <c r="G49" s="652">
        <v>157100</v>
      </c>
      <c r="H49" s="1">
        <v>48300</v>
      </c>
      <c r="I49" s="1">
        <v>231200</v>
      </c>
      <c r="J49" s="1">
        <v>324900</v>
      </c>
      <c r="K49" s="1">
        <v>220200</v>
      </c>
      <c r="L49" s="1">
        <v>61600</v>
      </c>
    </row>
    <row r="50" spans="1:12">
      <c r="A50" s="1">
        <v>1994</v>
      </c>
      <c r="B50" s="652">
        <v>1828800</v>
      </c>
      <c r="C50" s="652">
        <v>381700</v>
      </c>
      <c r="D50" s="652">
        <v>165300</v>
      </c>
      <c r="E50" s="652">
        <v>99000</v>
      </c>
      <c r="F50" s="652">
        <v>60600</v>
      </c>
      <c r="G50" s="652">
        <v>179300</v>
      </c>
      <c r="H50" s="1">
        <v>46900</v>
      </c>
      <c r="I50" s="1">
        <v>243400</v>
      </c>
      <c r="J50" s="1">
        <v>362100</v>
      </c>
      <c r="K50" s="1">
        <v>218200</v>
      </c>
      <c r="L50" s="1">
        <v>72300</v>
      </c>
    </row>
    <row r="51" spans="1:12">
      <c r="A51" s="1">
        <v>1995</v>
      </c>
      <c r="B51" s="652">
        <v>1812500</v>
      </c>
      <c r="C51" s="652">
        <v>413300</v>
      </c>
      <c r="D51" s="652">
        <v>146400</v>
      </c>
      <c r="E51" s="652">
        <v>93200</v>
      </c>
      <c r="F51" s="652">
        <v>53500</v>
      </c>
      <c r="G51" s="652">
        <v>173700</v>
      </c>
      <c r="H51" s="1">
        <v>47300</v>
      </c>
      <c r="I51" s="1">
        <v>235400</v>
      </c>
      <c r="J51" s="1">
        <v>363000</v>
      </c>
      <c r="K51" s="1">
        <v>215300</v>
      </c>
      <c r="L51" s="1">
        <v>71400</v>
      </c>
    </row>
    <row r="52" spans="1:12">
      <c r="A52" s="1">
        <v>1996</v>
      </c>
      <c r="B52" s="652">
        <v>1917700</v>
      </c>
      <c r="C52" s="652">
        <v>422400</v>
      </c>
      <c r="D52" s="652">
        <v>170000</v>
      </c>
      <c r="E52" s="652">
        <v>106300</v>
      </c>
      <c r="F52" s="652">
        <v>56700</v>
      </c>
      <c r="G52" s="652">
        <v>179000</v>
      </c>
      <c r="H52" s="1">
        <v>53400</v>
      </c>
      <c r="I52" s="1">
        <v>255100</v>
      </c>
      <c r="J52" s="1">
        <v>376600</v>
      </c>
      <c r="K52" s="1">
        <v>218500</v>
      </c>
      <c r="L52" s="1">
        <v>79800</v>
      </c>
    </row>
    <row r="53" spans="1:12">
      <c r="A53" s="1">
        <v>1997</v>
      </c>
      <c r="B53" s="652">
        <v>1939300</v>
      </c>
      <c r="C53" s="652">
        <v>413300</v>
      </c>
      <c r="D53" s="652">
        <v>171200</v>
      </c>
      <c r="E53" s="652">
        <v>116900</v>
      </c>
      <c r="F53" s="652">
        <v>58900</v>
      </c>
      <c r="G53" s="652">
        <v>180400</v>
      </c>
      <c r="H53" s="1">
        <v>51800</v>
      </c>
      <c r="I53" s="1">
        <v>245600</v>
      </c>
      <c r="J53" s="1">
        <v>407100</v>
      </c>
      <c r="K53" s="1">
        <v>214700</v>
      </c>
      <c r="L53" s="1">
        <v>79400</v>
      </c>
    </row>
    <row r="54" spans="1:12">
      <c r="A54" s="1">
        <v>1998</v>
      </c>
      <c r="B54" s="652">
        <v>1931300</v>
      </c>
      <c r="C54" s="652">
        <v>389600</v>
      </c>
      <c r="D54" s="652">
        <v>180700</v>
      </c>
      <c r="E54" s="652">
        <v>119300</v>
      </c>
      <c r="F54" s="652">
        <v>55600</v>
      </c>
      <c r="G54" s="652">
        <v>171100</v>
      </c>
      <c r="H54" s="1">
        <v>53200</v>
      </c>
      <c r="I54" s="1">
        <v>249300</v>
      </c>
      <c r="J54" s="1">
        <v>411900</v>
      </c>
      <c r="K54" s="1">
        <v>213800</v>
      </c>
      <c r="L54" s="1">
        <v>86800</v>
      </c>
    </row>
    <row r="55" spans="1:12">
      <c r="A55" s="1">
        <v>1999</v>
      </c>
      <c r="B55" s="652">
        <v>1979000</v>
      </c>
      <c r="C55" s="652">
        <v>423400</v>
      </c>
      <c r="D55" s="652">
        <v>160800</v>
      </c>
      <c r="E55" s="652">
        <v>125300</v>
      </c>
      <c r="F55" s="652">
        <v>64000</v>
      </c>
      <c r="G55" s="652">
        <v>191500</v>
      </c>
      <c r="H55" s="1">
        <v>53100</v>
      </c>
      <c r="I55" s="1">
        <v>240800</v>
      </c>
      <c r="J55" s="1">
        <v>426000</v>
      </c>
      <c r="K55" s="1">
        <v>209300</v>
      </c>
      <c r="L55" s="1">
        <v>84700</v>
      </c>
    </row>
    <row r="56" spans="1:12">
      <c r="A56" s="1">
        <v>2000</v>
      </c>
      <c r="B56" s="652">
        <v>2023500</v>
      </c>
      <c r="C56" s="652">
        <v>442000</v>
      </c>
      <c r="D56" s="652">
        <v>155600</v>
      </c>
      <c r="E56" s="652">
        <v>130000</v>
      </c>
      <c r="F56" s="652">
        <v>61100</v>
      </c>
      <c r="G56" s="652">
        <v>195600</v>
      </c>
      <c r="H56" s="1">
        <v>49800</v>
      </c>
      <c r="I56" s="1">
        <v>260600</v>
      </c>
      <c r="J56" s="1">
        <v>435500</v>
      </c>
      <c r="K56" s="1">
        <v>202600</v>
      </c>
      <c r="L56" s="1">
        <v>90700</v>
      </c>
    </row>
    <row r="57" spans="1:12">
      <c r="A57" s="1">
        <v>2001</v>
      </c>
      <c r="B57" s="652">
        <v>1891700</v>
      </c>
      <c r="C57" s="652">
        <v>400100</v>
      </c>
      <c r="D57" s="652">
        <v>148200</v>
      </c>
      <c r="E57" s="652">
        <v>121300</v>
      </c>
      <c r="F57" s="652">
        <v>60600</v>
      </c>
      <c r="G57" s="652">
        <v>189100</v>
      </c>
      <c r="H57" s="1">
        <v>51800</v>
      </c>
      <c r="I57" s="1">
        <v>242400</v>
      </c>
      <c r="J57" s="1">
        <v>407600</v>
      </c>
      <c r="K57" s="1">
        <v>185900</v>
      </c>
      <c r="L57" s="1">
        <v>84500</v>
      </c>
    </row>
    <row r="58" spans="1:12">
      <c r="A58" s="1">
        <v>2002</v>
      </c>
      <c r="B58" s="652">
        <v>1895000</v>
      </c>
      <c r="C58" s="652">
        <v>399000</v>
      </c>
      <c r="D58" s="652">
        <v>158100</v>
      </c>
      <c r="E58" s="652">
        <v>121200</v>
      </c>
      <c r="F58" s="652">
        <v>61400</v>
      </c>
      <c r="G58" s="652">
        <v>189600</v>
      </c>
      <c r="H58" s="1">
        <v>46000</v>
      </c>
      <c r="I58" s="1">
        <v>234600</v>
      </c>
      <c r="J58" s="1">
        <v>408000</v>
      </c>
      <c r="K58" s="1">
        <v>180200</v>
      </c>
      <c r="L58" s="1">
        <v>96900</v>
      </c>
    </row>
    <row r="59" spans="1:12">
      <c r="A59" s="1">
        <v>2003</v>
      </c>
      <c r="B59" s="652">
        <v>1818500</v>
      </c>
      <c r="C59" s="652">
        <v>386000</v>
      </c>
      <c r="D59" s="652">
        <v>141400</v>
      </c>
      <c r="E59" s="652">
        <v>109700</v>
      </c>
      <c r="F59" s="652">
        <v>62100</v>
      </c>
      <c r="G59" s="652">
        <v>168800</v>
      </c>
      <c r="H59" s="1">
        <v>48000</v>
      </c>
      <c r="I59" s="1">
        <v>233800</v>
      </c>
      <c r="J59" s="1">
        <v>394200</v>
      </c>
      <c r="K59" s="1">
        <v>183400</v>
      </c>
      <c r="L59" s="1">
        <v>91200</v>
      </c>
    </row>
    <row r="60" spans="1:12">
      <c r="A60" s="1">
        <v>2004</v>
      </c>
      <c r="B60" s="652">
        <v>1922700</v>
      </c>
      <c r="C60" s="652">
        <v>406500</v>
      </c>
      <c r="D60" s="652">
        <v>152100</v>
      </c>
      <c r="E60" s="652">
        <v>112000</v>
      </c>
      <c r="F60" s="652">
        <v>63800</v>
      </c>
      <c r="G60" s="652">
        <v>167400</v>
      </c>
      <c r="H60" s="1">
        <v>51900</v>
      </c>
      <c r="I60" s="1">
        <v>232200</v>
      </c>
      <c r="J60" s="1">
        <v>441700</v>
      </c>
      <c r="K60" s="1">
        <v>193400</v>
      </c>
      <c r="L60" s="1">
        <v>101500</v>
      </c>
    </row>
    <row r="61" spans="1:12">
      <c r="A61" s="1">
        <v>2005</v>
      </c>
      <c r="B61" s="652">
        <v>2001200</v>
      </c>
      <c r="C61" s="652">
        <v>404800</v>
      </c>
      <c r="D61" s="652">
        <v>151300</v>
      </c>
      <c r="E61" s="652">
        <v>133800</v>
      </c>
      <c r="F61" s="652">
        <v>62600</v>
      </c>
      <c r="G61" s="652">
        <v>194800</v>
      </c>
      <c r="H61" s="1">
        <v>51500</v>
      </c>
      <c r="I61" s="1">
        <v>247100</v>
      </c>
      <c r="J61" s="1">
        <v>454000</v>
      </c>
      <c r="K61" s="1">
        <v>203000</v>
      </c>
      <c r="L61" s="1">
        <v>98300</v>
      </c>
    </row>
    <row r="62" spans="1:12">
      <c r="A62" s="1">
        <v>2006</v>
      </c>
      <c r="B62" s="652">
        <v>1961700</v>
      </c>
      <c r="C62" s="652">
        <v>396800</v>
      </c>
      <c r="D62" s="652">
        <v>158700</v>
      </c>
      <c r="E62" s="652">
        <v>124100</v>
      </c>
      <c r="F62" s="652">
        <v>69600</v>
      </c>
      <c r="G62" s="652">
        <v>181200</v>
      </c>
      <c r="H62" s="1">
        <v>46900</v>
      </c>
      <c r="I62" s="1">
        <v>234900</v>
      </c>
      <c r="J62" s="1">
        <v>453000</v>
      </c>
      <c r="K62" s="1">
        <v>207200</v>
      </c>
      <c r="L62" s="1">
        <v>89200</v>
      </c>
    </row>
    <row r="63" spans="1:12">
      <c r="A63" s="1">
        <v>2007</v>
      </c>
      <c r="B63" s="652">
        <v>2047600</v>
      </c>
      <c r="C63" s="652">
        <v>407900</v>
      </c>
      <c r="D63" s="652">
        <v>165200</v>
      </c>
      <c r="E63" s="652">
        <v>129400</v>
      </c>
      <c r="F63" s="652">
        <v>75000</v>
      </c>
      <c r="G63" s="652">
        <v>194700</v>
      </c>
      <c r="H63" s="1">
        <v>55300</v>
      </c>
      <c r="I63" s="1">
        <v>262100</v>
      </c>
      <c r="J63" s="1">
        <v>467500</v>
      </c>
      <c r="K63" s="1">
        <v>204100</v>
      </c>
      <c r="L63" s="1">
        <v>86400</v>
      </c>
    </row>
    <row r="64" spans="1:12">
      <c r="A64" s="1">
        <v>2008</v>
      </c>
      <c r="B64" s="652">
        <v>1976800</v>
      </c>
      <c r="C64" s="652">
        <v>398400</v>
      </c>
      <c r="D64" s="652">
        <v>163600</v>
      </c>
      <c r="E64" s="652">
        <v>125800</v>
      </c>
      <c r="F64" s="652">
        <v>75800</v>
      </c>
      <c r="G64" s="652">
        <v>188800</v>
      </c>
      <c r="H64" s="1">
        <v>51500</v>
      </c>
      <c r="I64" s="1">
        <v>241500</v>
      </c>
      <c r="J64" s="1">
        <v>469900</v>
      </c>
      <c r="K64" s="1">
        <v>188200</v>
      </c>
      <c r="L64" s="1">
        <v>73400</v>
      </c>
    </row>
    <row r="66" spans="2:12">
      <c r="B66" s="652">
        <v>1543</v>
      </c>
      <c r="C66" s="652">
        <v>311.5</v>
      </c>
      <c r="D66" s="652">
        <v>132.5</v>
      </c>
      <c r="E66" s="652">
        <v>66.3</v>
      </c>
      <c r="F66" s="652">
        <v>45.6</v>
      </c>
      <c r="G66" s="652">
        <v>113.4</v>
      </c>
      <c r="H66" s="652">
        <v>35.5</v>
      </c>
      <c r="I66" s="652">
        <v>231.6</v>
      </c>
      <c r="J66" s="652">
        <v>319.2</v>
      </c>
      <c r="K66" s="652">
        <v>230.6</v>
      </c>
      <c r="L66" s="652">
        <v>56.8</v>
      </c>
    </row>
    <row r="67" spans="2:12">
      <c r="B67" s="652">
        <v>1701.9</v>
      </c>
      <c r="C67" s="652">
        <v>343.8</v>
      </c>
      <c r="D67" s="652">
        <v>154.1</v>
      </c>
      <c r="E67" s="652">
        <v>82.8</v>
      </c>
      <c r="F67" s="652">
        <v>49.4</v>
      </c>
      <c r="G67" s="652">
        <v>134.80000000000001</v>
      </c>
      <c r="H67" s="652">
        <v>39.4</v>
      </c>
      <c r="I67" s="652">
        <v>247.6</v>
      </c>
      <c r="J67" s="652">
        <v>351.3</v>
      </c>
      <c r="K67" s="652">
        <v>227.6</v>
      </c>
      <c r="L67" s="652">
        <v>71</v>
      </c>
    </row>
    <row r="68" spans="2:12">
      <c r="B68" s="652">
        <v>1782</v>
      </c>
      <c r="C68" s="652">
        <v>354.5</v>
      </c>
      <c r="D68" s="652">
        <v>169.6</v>
      </c>
      <c r="E68" s="652">
        <v>87.7</v>
      </c>
      <c r="F68" s="652">
        <v>53.9</v>
      </c>
      <c r="G68" s="652">
        <v>142.6</v>
      </c>
      <c r="H68" s="652">
        <v>38.799999999999997</v>
      </c>
      <c r="I68" s="652">
        <v>252.6</v>
      </c>
      <c r="J68" s="652">
        <v>377.5</v>
      </c>
      <c r="K68" s="652">
        <v>227.2</v>
      </c>
      <c r="L68" s="652">
        <v>77.5</v>
      </c>
    </row>
    <row r="69" spans="2:12">
      <c r="B69" s="652">
        <v>1756</v>
      </c>
      <c r="C69" s="652">
        <v>363.2</v>
      </c>
      <c r="D69" s="652">
        <v>169.7</v>
      </c>
      <c r="E69" s="652">
        <v>85.8</v>
      </c>
      <c r="F69" s="652">
        <v>52.5</v>
      </c>
      <c r="G69" s="652">
        <v>152.69999999999999</v>
      </c>
      <c r="H69" s="652">
        <v>40.799999999999997</v>
      </c>
      <c r="I69" s="652">
        <v>243.1</v>
      </c>
      <c r="J69" s="652">
        <v>358.1</v>
      </c>
      <c r="K69" s="652">
        <v>227.1</v>
      </c>
      <c r="L69" s="652">
        <v>62.9</v>
      </c>
    </row>
    <row r="70" spans="2:12">
      <c r="B70" s="652">
        <v>1627.8</v>
      </c>
      <c r="C70" s="652">
        <v>353.9</v>
      </c>
      <c r="D70" s="652">
        <v>143.5</v>
      </c>
      <c r="E70" s="652">
        <v>87</v>
      </c>
      <c r="F70" s="652">
        <v>54.3</v>
      </c>
      <c r="G70" s="652">
        <v>144.30000000000001</v>
      </c>
      <c r="H70" s="652">
        <v>35.5</v>
      </c>
      <c r="I70" s="652">
        <v>225.3</v>
      </c>
      <c r="J70" s="652">
        <v>303.5</v>
      </c>
      <c r="K70" s="652">
        <v>227.1</v>
      </c>
      <c r="L70" s="652">
        <v>53.3</v>
      </c>
    </row>
    <row r="71" spans="2:12">
      <c r="B71" s="652">
        <v>1587.7</v>
      </c>
      <c r="C71" s="652">
        <v>343.8</v>
      </c>
      <c r="D71" s="652">
        <v>143.9</v>
      </c>
      <c r="E71" s="652">
        <v>76.400000000000006</v>
      </c>
      <c r="F71" s="652">
        <v>52.2</v>
      </c>
      <c r="G71" s="652">
        <v>152.30000000000001</v>
      </c>
      <c r="H71" s="652">
        <v>37.200000000000003</v>
      </c>
      <c r="I71" s="652">
        <v>228.5</v>
      </c>
      <c r="J71" s="652">
        <v>284</v>
      </c>
      <c r="K71" s="652">
        <v>215.5</v>
      </c>
      <c r="L71" s="652">
        <v>53.9</v>
      </c>
    </row>
    <row r="72" spans="2:12">
      <c r="B72" s="652">
        <v>1715.3</v>
      </c>
      <c r="C72" s="652">
        <v>374.2</v>
      </c>
      <c r="D72" s="652">
        <v>152.30000000000001</v>
      </c>
      <c r="E72" s="652">
        <v>83.5</v>
      </c>
      <c r="F72" s="652">
        <v>62.1</v>
      </c>
      <c r="G72" s="652">
        <v>157.1</v>
      </c>
      <c r="H72" s="652">
        <v>48.3</v>
      </c>
      <c r="I72" s="652">
        <v>231.2</v>
      </c>
      <c r="J72" s="652">
        <v>324.89999999999998</v>
      </c>
      <c r="K72" s="652">
        <v>220.2</v>
      </c>
      <c r="L72" s="652">
        <v>61.6</v>
      </c>
    </row>
    <row r="73" spans="2:12">
      <c r="B73" s="652">
        <v>1828.8</v>
      </c>
      <c r="C73" s="652">
        <v>381.7</v>
      </c>
      <c r="D73" s="652">
        <v>165.3</v>
      </c>
      <c r="E73" s="652">
        <v>99</v>
      </c>
      <c r="F73" s="652">
        <v>60.6</v>
      </c>
      <c r="G73" s="652">
        <v>179.3</v>
      </c>
      <c r="H73" s="652">
        <v>46.9</v>
      </c>
      <c r="I73" s="652">
        <v>243.4</v>
      </c>
      <c r="J73" s="652">
        <v>362.1</v>
      </c>
      <c r="K73" s="652">
        <v>218.2</v>
      </c>
      <c r="L73" s="652">
        <v>72.3</v>
      </c>
    </row>
    <row r="74" spans="2:12">
      <c r="B74" s="652">
        <v>1812.5</v>
      </c>
      <c r="C74" s="652">
        <v>413.3</v>
      </c>
      <c r="D74" s="652">
        <v>146.4</v>
      </c>
      <c r="E74" s="652">
        <v>93.2</v>
      </c>
      <c r="F74" s="652">
        <v>53.5</v>
      </c>
      <c r="G74" s="652">
        <v>173.7</v>
      </c>
      <c r="H74" s="652">
        <v>47.3</v>
      </c>
      <c r="I74" s="652">
        <v>235.4</v>
      </c>
      <c r="J74" s="652">
        <v>363</v>
      </c>
      <c r="K74" s="652">
        <v>215.3</v>
      </c>
      <c r="L74" s="652">
        <v>71.400000000000006</v>
      </c>
    </row>
    <row r="75" spans="2:12">
      <c r="B75" s="652">
        <v>1917.7</v>
      </c>
      <c r="C75" s="652">
        <v>422.4</v>
      </c>
      <c r="D75" s="652">
        <v>170</v>
      </c>
      <c r="E75" s="652">
        <v>106.3</v>
      </c>
      <c r="F75" s="652">
        <v>56.7</v>
      </c>
      <c r="G75" s="652">
        <v>179</v>
      </c>
      <c r="H75" s="652">
        <v>53.4</v>
      </c>
      <c r="I75" s="652">
        <v>255.1</v>
      </c>
      <c r="J75" s="652">
        <v>376.6</v>
      </c>
      <c r="K75" s="652">
        <v>218.5</v>
      </c>
      <c r="L75" s="652">
        <v>79.8</v>
      </c>
    </row>
    <row r="76" spans="2:12">
      <c r="B76" s="652">
        <v>1939.3</v>
      </c>
      <c r="C76" s="652">
        <v>413.3</v>
      </c>
      <c r="D76" s="652">
        <v>171.2</v>
      </c>
      <c r="E76" s="652">
        <v>116.9</v>
      </c>
      <c r="F76" s="652">
        <v>58.9</v>
      </c>
      <c r="G76" s="652">
        <v>180.4</v>
      </c>
      <c r="H76" s="652">
        <v>51.8</v>
      </c>
      <c r="I76" s="652">
        <v>245.6</v>
      </c>
      <c r="J76" s="652">
        <v>407.1</v>
      </c>
      <c r="K76" s="652">
        <v>214.7</v>
      </c>
      <c r="L76" s="652">
        <v>79.400000000000006</v>
      </c>
    </row>
    <row r="77" spans="2:12">
      <c r="B77" s="652">
        <v>1931.3</v>
      </c>
      <c r="C77" s="652">
        <v>389.6</v>
      </c>
      <c r="D77" s="652">
        <v>180.7</v>
      </c>
      <c r="E77" s="652">
        <v>119.3</v>
      </c>
      <c r="F77" s="652">
        <v>55.6</v>
      </c>
      <c r="G77" s="652">
        <v>171.1</v>
      </c>
      <c r="H77" s="652">
        <v>53.2</v>
      </c>
      <c r="I77" s="652">
        <v>249.3</v>
      </c>
      <c r="J77" s="652">
        <v>411.9</v>
      </c>
      <c r="K77" s="652">
        <v>213.8</v>
      </c>
      <c r="L77" s="652">
        <v>86.8</v>
      </c>
    </row>
    <row r="78" spans="2:12">
      <c r="B78" s="652">
        <v>1979</v>
      </c>
      <c r="C78" s="652">
        <v>423.4</v>
      </c>
      <c r="D78" s="652">
        <v>160.80000000000001</v>
      </c>
      <c r="E78" s="652">
        <v>125.3</v>
      </c>
      <c r="F78" s="652">
        <v>64</v>
      </c>
      <c r="G78" s="652">
        <v>191.5</v>
      </c>
      <c r="H78" s="652">
        <v>53.1</v>
      </c>
      <c r="I78" s="652">
        <v>240.8</v>
      </c>
      <c r="J78" s="652">
        <v>426</v>
      </c>
      <c r="K78" s="652">
        <v>209.3</v>
      </c>
      <c r="L78" s="652">
        <v>84.7</v>
      </c>
    </row>
    <row r="79" spans="2:12">
      <c r="B79" s="652">
        <v>2023.5</v>
      </c>
      <c r="C79" s="652">
        <v>442</v>
      </c>
      <c r="D79" s="652">
        <v>155.6</v>
      </c>
      <c r="E79" s="652">
        <v>130</v>
      </c>
      <c r="F79" s="652">
        <v>61.1</v>
      </c>
      <c r="G79" s="652">
        <v>195.6</v>
      </c>
      <c r="H79" s="652">
        <v>49.8</v>
      </c>
      <c r="I79" s="652">
        <v>260.60000000000002</v>
      </c>
      <c r="J79" s="652">
        <v>435.5</v>
      </c>
      <c r="K79" s="652">
        <v>202.6</v>
      </c>
      <c r="L79" s="652">
        <v>90.7</v>
      </c>
    </row>
    <row r="80" spans="2:12">
      <c r="B80" s="652">
        <v>1891.7</v>
      </c>
      <c r="C80" s="652">
        <v>400.1</v>
      </c>
      <c r="D80" s="652">
        <v>148.19999999999999</v>
      </c>
      <c r="E80" s="652">
        <v>121.3</v>
      </c>
      <c r="F80" s="652">
        <v>60.6</v>
      </c>
      <c r="G80" s="652">
        <v>189.1</v>
      </c>
      <c r="H80" s="652">
        <v>51.8</v>
      </c>
      <c r="I80" s="652">
        <v>242.4</v>
      </c>
      <c r="J80" s="652">
        <v>407.6</v>
      </c>
      <c r="K80" s="652">
        <v>185.9</v>
      </c>
      <c r="L80" s="652">
        <v>84.5</v>
      </c>
    </row>
    <row r="81" spans="2:12">
      <c r="B81" s="652">
        <v>1895</v>
      </c>
      <c r="C81" s="652">
        <v>399</v>
      </c>
      <c r="D81" s="652">
        <v>158.1</v>
      </c>
      <c r="E81" s="652">
        <v>121.2</v>
      </c>
      <c r="F81" s="652">
        <v>61.4</v>
      </c>
      <c r="G81" s="652">
        <v>189.6</v>
      </c>
      <c r="H81" s="652">
        <v>46</v>
      </c>
      <c r="I81" s="652">
        <v>234.6</v>
      </c>
      <c r="J81" s="652">
        <v>408</v>
      </c>
      <c r="K81" s="652">
        <v>180.2</v>
      </c>
      <c r="L81" s="652">
        <v>96.9</v>
      </c>
    </row>
    <row r="82" spans="2:12">
      <c r="B82" s="652">
        <v>1818.5</v>
      </c>
      <c r="C82" s="652">
        <v>386</v>
      </c>
      <c r="D82" s="652">
        <v>141.4</v>
      </c>
      <c r="E82" s="652">
        <v>109.7</v>
      </c>
      <c r="F82" s="652">
        <v>62.1</v>
      </c>
      <c r="G82" s="652">
        <v>168.8</v>
      </c>
      <c r="H82" s="652">
        <v>48</v>
      </c>
      <c r="I82" s="652">
        <v>233.8</v>
      </c>
      <c r="J82" s="652">
        <v>394.2</v>
      </c>
      <c r="K82" s="652">
        <v>183.4</v>
      </c>
      <c r="L82" s="652">
        <v>91.2</v>
      </c>
    </row>
    <row r="83" spans="2:12">
      <c r="B83" s="652">
        <v>1922.7</v>
      </c>
      <c r="C83" s="652">
        <v>406.5</v>
      </c>
      <c r="D83" s="652">
        <v>152.1</v>
      </c>
      <c r="E83" s="652">
        <v>112</v>
      </c>
      <c r="F83" s="652">
        <v>63.8</v>
      </c>
      <c r="G83" s="652">
        <v>167.4</v>
      </c>
      <c r="H83" s="652">
        <v>51.9</v>
      </c>
      <c r="I83" s="652">
        <v>232.2</v>
      </c>
      <c r="J83" s="652">
        <v>441.7</v>
      </c>
      <c r="K83" s="652">
        <v>193.4</v>
      </c>
      <c r="L83" s="652">
        <v>101.5</v>
      </c>
    </row>
    <row r="84" spans="2:12">
      <c r="B84" s="652">
        <v>2001.2</v>
      </c>
      <c r="C84" s="652">
        <v>404.8</v>
      </c>
      <c r="D84" s="652">
        <v>151.30000000000001</v>
      </c>
      <c r="E84" s="652">
        <v>133.80000000000001</v>
      </c>
      <c r="F84" s="652">
        <v>62.6</v>
      </c>
      <c r="G84" s="652">
        <v>194.8</v>
      </c>
      <c r="H84" s="652">
        <v>51.5</v>
      </c>
      <c r="I84" s="652">
        <v>247.1</v>
      </c>
      <c r="J84" s="652">
        <v>454</v>
      </c>
      <c r="K84" s="652">
        <v>203</v>
      </c>
      <c r="L84" s="652">
        <v>98.3</v>
      </c>
    </row>
    <row r="85" spans="2:12">
      <c r="B85" s="652">
        <v>1961.7</v>
      </c>
      <c r="C85" s="652">
        <v>396.8</v>
      </c>
      <c r="D85" s="652">
        <v>158.69999999999999</v>
      </c>
      <c r="E85" s="652">
        <v>124.1</v>
      </c>
      <c r="F85" s="652">
        <v>69.599999999999994</v>
      </c>
      <c r="G85" s="652">
        <v>181.2</v>
      </c>
      <c r="H85" s="652">
        <v>46.9</v>
      </c>
      <c r="I85" s="652">
        <v>234.9</v>
      </c>
      <c r="J85" s="652">
        <v>453</v>
      </c>
      <c r="K85" s="652">
        <v>207.2</v>
      </c>
      <c r="L85" s="652">
        <v>89.2</v>
      </c>
    </row>
    <row r="86" spans="2:12">
      <c r="B86" s="652">
        <v>2047.6</v>
      </c>
      <c r="C86" s="652">
        <v>407.9</v>
      </c>
      <c r="D86" s="652">
        <v>165.2</v>
      </c>
      <c r="E86" s="652">
        <v>129.4</v>
      </c>
      <c r="F86" s="652">
        <v>75</v>
      </c>
      <c r="G86" s="652">
        <v>194.7</v>
      </c>
      <c r="H86" s="652">
        <v>55.3</v>
      </c>
      <c r="I86" s="652">
        <v>262.10000000000002</v>
      </c>
      <c r="J86" s="652">
        <v>467.5</v>
      </c>
      <c r="K86" s="652">
        <v>204.1</v>
      </c>
      <c r="L86" s="652">
        <v>86.4</v>
      </c>
    </row>
    <row r="87" spans="2:12">
      <c r="B87" s="652">
        <v>1976.8</v>
      </c>
      <c r="C87" s="652">
        <v>398.4</v>
      </c>
      <c r="D87" s="652">
        <v>163.6</v>
      </c>
      <c r="E87" s="652">
        <v>125.8</v>
      </c>
      <c r="F87" s="652">
        <v>75.8</v>
      </c>
      <c r="G87" s="652">
        <v>188.8</v>
      </c>
      <c r="H87" s="652">
        <v>51.5</v>
      </c>
      <c r="I87" s="652">
        <v>241.5</v>
      </c>
      <c r="J87" s="652">
        <v>469.9</v>
      </c>
      <c r="K87" s="652">
        <v>188.2</v>
      </c>
      <c r="L87" s="652">
        <v>73.400000000000006</v>
      </c>
    </row>
    <row r="88" spans="2:12">
      <c r="H88" s="652"/>
      <c r="I88" s="652"/>
      <c r="J88" s="652"/>
      <c r="K88" s="652"/>
      <c r="L88" s="652"/>
    </row>
    <row r="89" spans="2:12">
      <c r="H89" s="652"/>
      <c r="I89" s="652"/>
      <c r="J89" s="652"/>
      <c r="K89" s="652"/>
      <c r="L89" s="652"/>
    </row>
  </sheetData>
  <mergeCells count="16">
    <mergeCell ref="L4:L5"/>
    <mergeCell ref="K4:K5"/>
    <mergeCell ref="J4:J5"/>
    <mergeCell ref="I4:I5"/>
    <mergeCell ref="B3:F3"/>
    <mergeCell ref="G3:K3"/>
    <mergeCell ref="A35:K35"/>
    <mergeCell ref="B28:F28"/>
    <mergeCell ref="G28:K28"/>
    <mergeCell ref="D4:D5"/>
    <mergeCell ref="C4:C5"/>
    <mergeCell ref="B4:B5"/>
    <mergeCell ref="H4:H5"/>
    <mergeCell ref="G4:G5"/>
    <mergeCell ref="F4:F5"/>
    <mergeCell ref="E4:E5"/>
  </mergeCells>
  <phoneticPr fontId="35" type="noConversion"/>
  <pageMargins left="0.75" right="0.75" top="1" bottom="1" header="0.5" footer="0.5"/>
  <pageSetup scale="83" orientation="landscape" verticalDpi="0" r:id="rId1"/>
  <headerFooter alignWithMargins="0"/>
</worksheet>
</file>

<file path=xl/worksheets/sheet164.xml><?xml version="1.0" encoding="utf-8"?>
<worksheet xmlns="http://schemas.openxmlformats.org/spreadsheetml/2006/main" xmlns:r="http://schemas.openxmlformats.org/officeDocument/2006/relationships">
  <sheetPr codeName="Sheet143">
    <pageSetUpPr fitToPage="1"/>
  </sheetPr>
  <dimension ref="A1:L61"/>
  <sheetViews>
    <sheetView view="pageBreakPreview" zoomScale="85" zoomScaleSheetLayoutView="85"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1"/>
    <col min="2" max="3" width="12.140625" style="652" customWidth="1"/>
    <col min="4" max="4" width="12.5703125" style="652" customWidth="1"/>
    <col min="5" max="7" width="12.140625" style="652" customWidth="1"/>
    <col min="8" max="12" width="12.140625" style="1" customWidth="1"/>
    <col min="13" max="16384" width="9.140625" style="1"/>
  </cols>
  <sheetData>
    <row r="1" spans="1:12" ht="15.75">
      <c r="A1" s="40" t="s">
        <v>2216</v>
      </c>
    </row>
    <row r="3" spans="1:12">
      <c r="B3" s="1213"/>
      <c r="C3" s="1213"/>
      <c r="D3" s="1213"/>
      <c r="E3" s="1213"/>
      <c r="F3" s="1213"/>
      <c r="G3" s="1213"/>
      <c r="H3" s="1213"/>
      <c r="I3" s="1213"/>
      <c r="J3" s="1213"/>
      <c r="K3" s="1213"/>
    </row>
    <row r="4" spans="1:12" ht="12.75" customHeight="1">
      <c r="A4" s="4"/>
      <c r="B4" s="1276" t="s">
        <v>1110</v>
      </c>
      <c r="C4" s="1211" t="s">
        <v>1111</v>
      </c>
      <c r="D4" s="1211" t="s">
        <v>1112</v>
      </c>
      <c r="E4" s="1211" t="s">
        <v>1113</v>
      </c>
      <c r="F4" s="1211" t="s">
        <v>1114</v>
      </c>
      <c r="G4" s="1211" t="s">
        <v>1115</v>
      </c>
      <c r="H4" s="1211" t="s">
        <v>1116</v>
      </c>
      <c r="I4" s="1211" t="s">
        <v>1117</v>
      </c>
      <c r="J4" s="1211" t="s">
        <v>1118</v>
      </c>
      <c r="K4" s="1211" t="s">
        <v>1119</v>
      </c>
      <c r="L4" s="1211" t="s">
        <v>1120</v>
      </c>
    </row>
    <row r="5" spans="1:12" ht="78" customHeight="1">
      <c r="A5" s="667"/>
      <c r="B5" s="1277"/>
      <c r="C5" s="1212"/>
      <c r="D5" s="1212"/>
      <c r="E5" s="1212"/>
      <c r="F5" s="1212"/>
      <c r="G5" s="1212"/>
      <c r="H5" s="1212"/>
      <c r="I5" s="1212"/>
      <c r="J5" s="1212"/>
      <c r="K5" s="1212"/>
      <c r="L5" s="1212"/>
    </row>
    <row r="6" spans="1:12">
      <c r="A6" s="652">
        <v>1987</v>
      </c>
      <c r="B6" s="11">
        <f>'44b'!B6/'44c'!B40*100</f>
        <v>12.51114894997162</v>
      </c>
      <c r="C6" s="10">
        <f>'44b'!C6/'44c'!C40*100</f>
        <v>29.461836753996028</v>
      </c>
      <c r="D6" s="10">
        <f>'44b'!D6/'44c'!D40*100</f>
        <v>5.5434691657601878</v>
      </c>
      <c r="E6" s="10">
        <f>'44b'!E6/'44c'!E40*100</f>
        <v>10.810370128811348</v>
      </c>
      <c r="F6" s="10">
        <f>'44b'!F6/'44c'!F40*100</f>
        <v>7.4013958772926474</v>
      </c>
      <c r="G6" s="10">
        <f>'44b'!G6/'44c'!G40*100</f>
        <v>14.868231283597744</v>
      </c>
      <c r="H6" s="10">
        <f>'44b'!H6/'44c'!H40*100</f>
        <v>12.178387650085764</v>
      </c>
      <c r="I6" s="10">
        <f>'44b'!I6/'44c'!I40*100</f>
        <v>8.0288428204950435</v>
      </c>
      <c r="J6" s="10">
        <f>'44b'!J6/'44c'!J40*100</f>
        <v>14.911010417153268</v>
      </c>
      <c r="K6" s="10">
        <f>'44b'!K6/'44c'!K40*100</f>
        <v>36.638068001271051</v>
      </c>
      <c r="L6" s="10">
        <f>'44b'!L6/'44c'!L40*100</f>
        <v>5.9972547777425822</v>
      </c>
    </row>
    <row r="7" spans="1:12">
      <c r="A7" s="652">
        <v>1988</v>
      </c>
      <c r="B7" s="11">
        <f>'44b'!B7/'44c'!B41*100</f>
        <v>13.390665323849687</v>
      </c>
      <c r="C7" s="10">
        <f>'44b'!C7/'44c'!C41*100</f>
        <v>30.290748898678416</v>
      </c>
      <c r="D7" s="10">
        <f>'44b'!D7/'44c'!D41*100</f>
        <v>6.1450731746221638</v>
      </c>
      <c r="E7" s="10">
        <f>'44b'!E7/'44c'!E41*100</f>
        <v>12.652811735941318</v>
      </c>
      <c r="F7" s="10">
        <f>'44b'!F7/'44c'!F41*100</f>
        <v>7.7685170624311999</v>
      </c>
      <c r="G7" s="10">
        <f>'44b'!G7/'44c'!G41*100</f>
        <v>16.941058187759207</v>
      </c>
      <c r="H7" s="10">
        <f>'44b'!H7/'44c'!H41*100</f>
        <v>12.750809061488672</v>
      </c>
      <c r="I7" s="10">
        <f>'44b'!I7/'44c'!I41*100</f>
        <v>8.4681418653168716</v>
      </c>
      <c r="J7" s="10">
        <f>'44b'!J7/'44c'!J41*100</f>
        <v>16.512338425381902</v>
      </c>
      <c r="K7" s="10">
        <f>'44b'!K7/'44c'!K41*100</f>
        <v>36.121250595143628</v>
      </c>
      <c r="L7" s="10">
        <f>'44b'!L7/'44c'!L41*100</f>
        <v>7.1680969207470966</v>
      </c>
    </row>
    <row r="8" spans="1:12">
      <c r="A8" s="652">
        <v>1989</v>
      </c>
      <c r="B8" s="11">
        <f>'44b'!B8/'44c'!B42*100</f>
        <v>13.711700343177235</v>
      </c>
      <c r="C8" s="10">
        <f>'44b'!C8/'44c'!C42*100</f>
        <v>31.131992623166767</v>
      </c>
      <c r="D8" s="10">
        <f>'44b'!D8/'44c'!D42*100</f>
        <v>6.6413439323334771</v>
      </c>
      <c r="E8" s="10">
        <f>'44b'!E8/'44c'!E42*100</f>
        <v>13.027332144979203</v>
      </c>
      <c r="F8" s="10">
        <f>'44b'!F8/'44c'!F42*100</f>
        <v>8.1174698795180724</v>
      </c>
      <c r="G8" s="10">
        <f>'44b'!G8/'44c'!G42*100</f>
        <v>17.347931873479318</v>
      </c>
      <c r="H8" s="10">
        <f>'44b'!H8/'44c'!H42*100</f>
        <v>12.352753900031836</v>
      </c>
      <c r="I8" s="10">
        <f>'44b'!I8/'44c'!I42*100</f>
        <v>8.4785016614641009</v>
      </c>
      <c r="J8" s="10">
        <f>'44b'!J8/'44c'!J42*100</f>
        <v>17.209153902261125</v>
      </c>
      <c r="K8" s="10">
        <f>'44b'!K8/'44c'!K42*100</f>
        <v>36.609732516919109</v>
      </c>
      <c r="L8" s="10">
        <f>'44b'!L8/'44c'!L42*100</f>
        <v>7.4742019481145716</v>
      </c>
    </row>
    <row r="9" spans="1:12">
      <c r="A9" s="652">
        <v>1990</v>
      </c>
      <c r="B9" s="11">
        <f>'44b'!B9/'44c'!B43*100</f>
        <v>13.418510820393692</v>
      </c>
      <c r="C9" s="10">
        <f>'44b'!C9/'44c'!C43*100</f>
        <v>30.141078838174273</v>
      </c>
      <c r="D9" s="10">
        <f>'44b'!D9/'44c'!D43*100</f>
        <v>6.6183066183066188</v>
      </c>
      <c r="E9" s="10">
        <f>'44b'!E9/'44c'!E43*100</f>
        <v>12.531035489995618</v>
      </c>
      <c r="F9" s="10">
        <f>'44b'!F9/'44c'!F43*100</f>
        <v>7.7353764549874766</v>
      </c>
      <c r="G9" s="10">
        <f>'44b'!G9/'44c'!G43*100</f>
        <v>16.885989162888421</v>
      </c>
      <c r="H9" s="10">
        <f>'44b'!H9/'44c'!H43*100</f>
        <v>12.993630573248408</v>
      </c>
      <c r="I9" s="10">
        <f>'44b'!I9/'44c'!I43*100</f>
        <v>8.130706712599082</v>
      </c>
      <c r="J9" s="10">
        <f>'44b'!J9/'44c'!J43*100</f>
        <v>16.548059149722739</v>
      </c>
      <c r="K9" s="10">
        <f>'44b'!K9/'44c'!K43*100</f>
        <v>36.511254019292608</v>
      </c>
      <c r="L9" s="10">
        <f>'44b'!L9/'44c'!L43*100</f>
        <v>6.5548145060441847</v>
      </c>
    </row>
    <row r="10" spans="1:12">
      <c r="A10" s="652">
        <v>1991</v>
      </c>
      <c r="B10" s="11">
        <f>'44b'!B10/'44c'!B44*100</f>
        <v>12.660413458397498</v>
      </c>
      <c r="C10" s="10">
        <f>'44b'!C10/'44c'!C44*100</f>
        <v>28.61879346595504</v>
      </c>
      <c r="D10" s="10">
        <f>'44b'!D10/'44c'!D44*100</f>
        <v>5.7084891399474893</v>
      </c>
      <c r="E10" s="10">
        <f>'44b'!E10/'44c'!E44*100</f>
        <v>12.186580753606949</v>
      </c>
      <c r="F10" s="10">
        <f>'44b'!F10/'44c'!F44*100</f>
        <v>7.7251387110542042</v>
      </c>
      <c r="G10" s="10">
        <f>'44b'!G10/'44c'!G44*100</f>
        <v>15.806769635228395</v>
      </c>
      <c r="H10" s="10">
        <f>'44b'!H10/'44c'!H44*100</f>
        <v>12.037978975924043</v>
      </c>
      <c r="I10" s="10">
        <f>'44b'!I10/'44c'!I44*100</f>
        <v>7.5677672903160795</v>
      </c>
      <c r="J10" s="10">
        <f>'44b'!J10/'44c'!J44*100</f>
        <v>15.049338027470622</v>
      </c>
      <c r="K10" s="10">
        <f>'44b'!K10/'44c'!K44*100</f>
        <v>36.481927710843372</v>
      </c>
      <c r="L10" s="10">
        <f>'44b'!L10/'44c'!L44*100</f>
        <v>6.1540237847823569</v>
      </c>
    </row>
    <row r="11" spans="1:12">
      <c r="A11" s="652">
        <v>1992</v>
      </c>
      <c r="B11" s="11">
        <f>'44b'!B11/'44c'!B45*100</f>
        <v>12.471231413332916</v>
      </c>
      <c r="C11" s="10">
        <f>'44b'!C11/'44c'!C45*100</f>
        <v>28.113500695069099</v>
      </c>
      <c r="D11" s="10">
        <f>'44b'!D11/'44c'!D45*100</f>
        <v>5.8254392356894185</v>
      </c>
      <c r="E11" s="10">
        <f>'44b'!E11/'44c'!E45*100</f>
        <v>11.389385807990461</v>
      </c>
      <c r="F11" s="10">
        <f>'44b'!F11/'44c'!F45*100</f>
        <v>7.5641211418634988</v>
      </c>
      <c r="G11" s="10">
        <f>'44b'!G11/'44c'!G45*100</f>
        <v>15.521810028536487</v>
      </c>
      <c r="H11" s="10">
        <f>'44b'!H11/'44c'!H45*100</f>
        <v>12.350597609561754</v>
      </c>
      <c r="I11" s="10">
        <f>'44b'!I11/'44c'!I45*100</f>
        <v>7.6298918124749564</v>
      </c>
      <c r="J11" s="10">
        <f>'44b'!J11/'44c'!J45*100</f>
        <v>14.531313958248054</v>
      </c>
      <c r="K11" s="10">
        <f>'44b'!K11/'44c'!K45*100</f>
        <v>35.479091208429367</v>
      </c>
      <c r="L11" s="10">
        <f>'44b'!L11/'44c'!L45*100</f>
        <v>6.433516352351397</v>
      </c>
    </row>
    <row r="12" spans="1:12">
      <c r="A12" s="652">
        <v>1993</v>
      </c>
      <c r="B12" s="11">
        <f>'44b'!B12/'44c'!B46*100</f>
        <v>13.40842824423304</v>
      </c>
      <c r="C12" s="10">
        <f>'44b'!C12/'44c'!C46*100</f>
        <v>29.90967948205579</v>
      </c>
      <c r="D12" s="10">
        <f>'44b'!D12/'44c'!D46*100</f>
        <v>6.2331177866906771</v>
      </c>
      <c r="E12" s="10">
        <f>'44b'!E12/'44c'!E46*100</f>
        <v>12.275801234930901</v>
      </c>
      <c r="F12" s="10">
        <f>'44b'!F12/'44c'!F46*100</f>
        <v>8.5643359536615637</v>
      </c>
      <c r="G12" s="10">
        <f>'44b'!G12/'44c'!G46*100</f>
        <v>15.771508884650135</v>
      </c>
      <c r="H12" s="10">
        <f>'44b'!H12/'44c'!H46*100</f>
        <v>14.614220877458395</v>
      </c>
      <c r="I12" s="10">
        <f>'44b'!I12/'44c'!I46*100</f>
        <v>7.7102647902354438</v>
      </c>
      <c r="J12" s="10">
        <f>'44b'!J12/'44c'!J46*100</f>
        <v>16.813289174084041</v>
      </c>
      <c r="K12" s="10">
        <f>'44b'!K12/'44c'!K46*100</f>
        <v>35.648372996600287</v>
      </c>
      <c r="L12" s="10">
        <f>'44b'!L12/'44c'!L46*100</f>
        <v>7.5342465753424657</v>
      </c>
    </row>
    <row r="13" spans="1:12">
      <c r="A13" s="652">
        <v>1994</v>
      </c>
      <c r="B13" s="11">
        <f>'44b'!B13/'44c'!B47*100</f>
        <v>14.004456798915665</v>
      </c>
      <c r="C13" s="10">
        <f>'44b'!C13/'44c'!C47*100</f>
        <v>30.404651903775687</v>
      </c>
      <c r="D13" s="10">
        <f>'44b'!D13/'44c'!D47*100</f>
        <v>6.7381379422794723</v>
      </c>
      <c r="E13" s="10">
        <f>'44b'!E13/'44c'!E47*100</f>
        <v>14.310494362532525</v>
      </c>
      <c r="F13" s="10">
        <f>'44b'!F13/'44c'!F47*100</f>
        <v>8.381742738589212</v>
      </c>
      <c r="G13" s="10">
        <f>'44b'!G13/'44c'!G47*100</f>
        <v>16.915094339622645</v>
      </c>
      <c r="H13" s="10">
        <f>'44b'!H13/'44c'!H47*100</f>
        <v>13.531448355452971</v>
      </c>
      <c r="I13" s="10">
        <f>'44b'!I13/'44c'!I47*100</f>
        <v>7.9908076165462898</v>
      </c>
      <c r="J13" s="10">
        <f>'44b'!J13/'44c'!J47*100</f>
        <v>18.010445162894804</v>
      </c>
      <c r="K13" s="10">
        <f>'44b'!K13/'44c'!K47*100</f>
        <v>35.682747342600166</v>
      </c>
      <c r="L13" s="10">
        <f>'44b'!L13/'44c'!L47*100</f>
        <v>8.4001394214011835</v>
      </c>
    </row>
    <row r="14" spans="1:12">
      <c r="A14" s="652">
        <v>1995</v>
      </c>
      <c r="B14" s="11">
        <f>'44b'!B14/'44c'!B48*100</f>
        <v>13.632534560825549</v>
      </c>
      <c r="C14" s="10">
        <f>'44b'!C14/'44c'!C48*100</f>
        <v>30.847887744439472</v>
      </c>
      <c r="D14" s="10">
        <f>'44b'!D14/'44c'!D48*100</f>
        <v>5.9791709209720239</v>
      </c>
      <c r="E14" s="10">
        <f>'44b'!E14/'44c'!E48*100</f>
        <v>12.816281628162814</v>
      </c>
      <c r="F14" s="10">
        <f>'44b'!F14/'44c'!F48*100</f>
        <v>7.3600220112807815</v>
      </c>
      <c r="G14" s="10">
        <f>'44b'!G14/'44c'!G48*100</f>
        <v>16.677868458953434</v>
      </c>
      <c r="H14" s="10">
        <f>'44b'!H14/'44c'!H48*100</f>
        <v>13.498858447488585</v>
      </c>
      <c r="I14" s="10">
        <f>'44b'!I14/'44c'!I48*100</f>
        <v>7.5852291035638331</v>
      </c>
      <c r="J14" s="10">
        <f>'44b'!J14/'44c'!J48*100</f>
        <v>17.647058823529413</v>
      </c>
      <c r="K14" s="10">
        <f>'44b'!K14/'44c'!K48*100</f>
        <v>35.758179704368047</v>
      </c>
      <c r="L14" s="10">
        <f>'44b'!L14/'44c'!L48*100</f>
        <v>7.945693300689963</v>
      </c>
    </row>
    <row r="15" spans="1:12">
      <c r="A15" s="652">
        <v>1996</v>
      </c>
      <c r="B15" s="11">
        <f>'44b'!B15/'44c'!B49*100</f>
        <v>14.288375281267228</v>
      </c>
      <c r="C15" s="10">
        <f>'44b'!C15/'44c'!C49*100</f>
        <v>31.405204460966541</v>
      </c>
      <c r="D15" s="10">
        <f>'44b'!D15/'44c'!D49*100</f>
        <v>6.9240795047246655</v>
      </c>
      <c r="E15" s="10">
        <f>'44b'!E15/'44c'!E49*100</f>
        <v>14.70873114708731</v>
      </c>
      <c r="F15" s="10">
        <f>'44b'!F15/'44c'!F49*100</f>
        <v>7.7639326304258534</v>
      </c>
      <c r="G15" s="10">
        <f>'44b'!G15/'44c'!G49*100</f>
        <v>17.075264714299344</v>
      </c>
      <c r="H15" s="10">
        <f>'44b'!H15/'44c'!H49*100</f>
        <v>14.451962110960759</v>
      </c>
      <c r="I15" s="10">
        <f>'44b'!I15/'44c'!I49*100</f>
        <v>8.0989269159946655</v>
      </c>
      <c r="J15" s="10">
        <f>'44b'!J15/'44c'!J49*100</f>
        <v>18.250545190210808</v>
      </c>
      <c r="K15" s="10">
        <f>'44b'!K15/'44c'!K49*100</f>
        <v>36.193473579592514</v>
      </c>
      <c r="L15" s="10">
        <f>'44b'!L15/'44c'!L49*100</f>
        <v>8.5512216030861534</v>
      </c>
    </row>
    <row r="16" spans="1:12">
      <c r="A16" s="652">
        <v>1997</v>
      </c>
      <c r="B16" s="11">
        <f>'44b'!B16/'44c'!B50*100</f>
        <v>14.149277688603531</v>
      </c>
      <c r="C16" s="10">
        <f>'44b'!C16/'44c'!C50*100</f>
        <v>30.468116476225582</v>
      </c>
      <c r="D16" s="10">
        <f>'44b'!D16/'44c'!D50*100</f>
        <v>6.9314547147657795</v>
      </c>
      <c r="E16" s="10">
        <f>'44b'!E16/'44c'!E50*100</f>
        <v>14.466031431753496</v>
      </c>
      <c r="F16" s="10">
        <f>'44b'!F16/'44c'!F50*100</f>
        <v>7.9422869471413149</v>
      </c>
      <c r="G16" s="10">
        <f>'44b'!G16/'44c'!G50*100</f>
        <v>17.055875957265766</v>
      </c>
      <c r="H16" s="10">
        <f>'44b'!H16/'44c'!H50*100</f>
        <v>13.868808567603747</v>
      </c>
      <c r="I16" s="10">
        <f>'44b'!I16/'44c'!I50*100</f>
        <v>7.7203570979504583</v>
      </c>
      <c r="J16" s="10">
        <f>'44b'!J16/'44c'!J50*100</f>
        <v>19.020698032986029</v>
      </c>
      <c r="K16" s="10">
        <f>'44b'!K16/'44c'!K50*100</f>
        <v>35.694098088113044</v>
      </c>
      <c r="L16" s="10">
        <f>'44b'!L16/'44c'!L50*100</f>
        <v>8.1377472583785995</v>
      </c>
    </row>
    <row r="17" spans="1:12">
      <c r="A17" s="652">
        <v>1998</v>
      </c>
      <c r="B17" s="11">
        <f>'44b'!B17/'44c'!B51*100</f>
        <v>13.749626233429682</v>
      </c>
      <c r="C17" s="10">
        <f>'44b'!C17/'44c'!C51*100</f>
        <v>28.695588126979448</v>
      </c>
      <c r="D17" s="10">
        <f>'44b'!D17/'44c'!D51*100</f>
        <v>7.1533193460274731</v>
      </c>
      <c r="E17" s="10">
        <f>'44b'!E17/'44c'!E51*100</f>
        <v>13.73000345264127</v>
      </c>
      <c r="F17" s="10">
        <f>'44b'!F17/'44c'!F51*100</f>
        <v>7.4172892209178238</v>
      </c>
      <c r="G17" s="10">
        <f>'44b'!G17/'44c'!G51*100</f>
        <v>15.589977220956719</v>
      </c>
      <c r="H17" s="10">
        <f>'44b'!H17/'44c'!H51*100</f>
        <v>13.915772953178132</v>
      </c>
      <c r="I17" s="10">
        <f>'44b'!I17/'44c'!I51*100</f>
        <v>7.6022321836977405</v>
      </c>
      <c r="J17" s="10">
        <f>'44b'!J17/'44c'!J51*100</f>
        <v>19.101279910962717</v>
      </c>
      <c r="K17" s="10">
        <f>'44b'!K17/'44c'!K51*100</f>
        <v>35.176044751563019</v>
      </c>
      <c r="L17" s="10">
        <f>'44b'!L17/'44c'!L51*100</f>
        <v>8.5056344928956396</v>
      </c>
    </row>
    <row r="18" spans="1:12">
      <c r="A18" s="652">
        <v>1999</v>
      </c>
      <c r="B18" s="11">
        <f>'44b'!B18/'44c'!B52*100</f>
        <v>13.736664190966701</v>
      </c>
      <c r="C18" s="10">
        <f>'44b'!C18/'44c'!C52*100</f>
        <v>31.072948774401883</v>
      </c>
      <c r="D18" s="10">
        <f>'44b'!D18/'44c'!D52*100</f>
        <v>6.2439327456995297</v>
      </c>
      <c r="E18" s="10">
        <f>'44b'!E18/'44c'!E52*100</f>
        <v>13.300074302091073</v>
      </c>
      <c r="F18" s="10">
        <f>'44b'!F18/'44c'!F52*100</f>
        <v>8.2740788623141555</v>
      </c>
      <c r="G18" s="10">
        <f>'44b'!G18/'44c'!G52*100</f>
        <v>17.013148542999289</v>
      </c>
      <c r="H18" s="10">
        <f>'44b'!H18/'44c'!H52*100</f>
        <v>12.844702467343977</v>
      </c>
      <c r="I18" s="10">
        <f>'44b'!I18/'44c'!I52*100</f>
        <v>7.1065989847715745</v>
      </c>
      <c r="J18" s="10">
        <f>'44b'!J18/'44c'!J52*100</f>
        <v>19.661235980984909</v>
      </c>
      <c r="K18" s="10">
        <f>'44b'!K18/'44c'!K52*100</f>
        <v>35.583134988099289</v>
      </c>
      <c r="L18" s="10">
        <f>'44b'!L18/'44c'!L52*100</f>
        <v>7.9099738513261117</v>
      </c>
    </row>
    <row r="19" spans="1:12">
      <c r="A19" s="652">
        <v>2000</v>
      </c>
      <c r="B19" s="11">
        <f>'44b'!B19/'44c'!B53*100</f>
        <v>13.705449668793431</v>
      </c>
      <c r="C19" s="10">
        <f>'44b'!C19/'44c'!C53*100</f>
        <v>31.25220957364067</v>
      </c>
      <c r="D19" s="10">
        <f>'44b'!D19/'44c'!D53*100</f>
        <v>5.9807049237037324</v>
      </c>
      <c r="E19" s="10">
        <f>'44b'!E19/'44c'!E53*100</f>
        <v>13.230205577040504</v>
      </c>
      <c r="F19" s="10">
        <f>'44b'!F19/'44c'!F53*100</f>
        <v>7.7656329435688871</v>
      </c>
      <c r="G19" s="10">
        <f>'44b'!G19/'44c'!G53*100</f>
        <v>16.878074035723529</v>
      </c>
      <c r="H19" s="10">
        <f>'44b'!H19/'44c'!H53*100</f>
        <v>12.028985507246375</v>
      </c>
      <c r="I19" s="10">
        <f>'44b'!I19/'44c'!I53*100</f>
        <v>7.4015166576727545</v>
      </c>
      <c r="J19" s="10">
        <f>'44b'!J19/'44c'!J53*100</f>
        <v>19.732668781150885</v>
      </c>
      <c r="K19" s="10">
        <f>'44b'!K19/'44c'!K53*100</f>
        <v>35.41958041958042</v>
      </c>
      <c r="L19" s="10">
        <f>'44b'!L19/'44c'!L53*100</f>
        <v>8.2014648702414323</v>
      </c>
    </row>
    <row r="20" spans="1:12">
      <c r="A20" s="652">
        <v>2001</v>
      </c>
      <c r="B20" s="11">
        <f>'44b'!B20/'44c'!B54*100</f>
        <v>12.656728800631598</v>
      </c>
      <c r="C20" s="10">
        <f>'44b'!C20/'44c'!C54*100</f>
        <v>29.979019931065494</v>
      </c>
      <c r="D20" s="10">
        <f>'44b'!D20/'44c'!D54*100</f>
        <v>5.5000927815921319</v>
      </c>
      <c r="E20" s="10">
        <f>'44b'!E20/'44c'!E54*100</f>
        <v>11.968426245683276</v>
      </c>
      <c r="F20" s="10">
        <f>'44b'!F20/'44c'!F54*100</f>
        <v>7.4658124923001115</v>
      </c>
      <c r="G20" s="10">
        <f>'44b'!G20/'44c'!G54*100</f>
        <v>15.652677758463703</v>
      </c>
      <c r="H20" s="10">
        <f>'44b'!H20/'44c'!H54*100</f>
        <v>11.845415046878573</v>
      </c>
      <c r="I20" s="10">
        <f>'44b'!I20/'44c'!I54*100</f>
        <v>6.6965025692027185</v>
      </c>
      <c r="J20" s="10">
        <f>'44b'!J20/'44c'!J54*100</f>
        <v>18.43926713413255</v>
      </c>
      <c r="K20" s="10">
        <f>'44b'!K20/'44c'!K54*100</f>
        <v>35.288534548215644</v>
      </c>
      <c r="L20" s="10">
        <f>'44b'!L20/'44c'!L54*100</f>
        <v>7.757275314422106</v>
      </c>
    </row>
    <row r="21" spans="1:12">
      <c r="A21" s="652">
        <v>2002</v>
      </c>
      <c r="B21" s="11">
        <f>'44b'!B21/'44c'!B55*100</f>
        <v>12.377207649702164</v>
      </c>
      <c r="C21" s="10">
        <f>'44b'!C21/'44c'!C55*100</f>
        <v>29.514017308972555</v>
      </c>
      <c r="D21" s="10">
        <f>'44b'!D21/'44c'!D55*100</f>
        <v>5.7967294859573215</v>
      </c>
      <c r="E21" s="10">
        <f>'44b'!E21/'44c'!E55*100</f>
        <v>11.668431693462983</v>
      </c>
      <c r="F21" s="10">
        <f>'44b'!F21/'44c'!F55*100</f>
        <v>7.013936486177748</v>
      </c>
      <c r="G21" s="10">
        <f>'44b'!G21/'44c'!G55*100</f>
        <v>15.319974143503556</v>
      </c>
      <c r="H21" s="10">
        <f>'44b'!H21/'44c'!H55*100</f>
        <v>10.50228310502283</v>
      </c>
      <c r="I21" s="10">
        <f>'44b'!I21/'44c'!I55*100</f>
        <v>6.2937625754527158</v>
      </c>
      <c r="J21" s="10">
        <f>'44b'!J21/'44c'!J55*100</f>
        <v>18.103563029684519</v>
      </c>
      <c r="K21" s="10">
        <f>'44b'!K21/'44c'!K55*100</f>
        <v>34.323809523809523</v>
      </c>
      <c r="L21" s="10">
        <f>'44b'!L21/'44c'!L55*100</f>
        <v>8.5351889368448877</v>
      </c>
    </row>
    <row r="22" spans="1:12">
      <c r="A22" s="652">
        <v>2003</v>
      </c>
      <c r="B22" s="11">
        <f>'44b'!B22/'44c'!B56*100</f>
        <v>11.603274567230082</v>
      </c>
      <c r="C22" s="10">
        <f>'44b'!C22/'44c'!C56*100</f>
        <v>28.212249671100714</v>
      </c>
      <c r="D22" s="10">
        <f>'44b'!D22/'44c'!D56*100</f>
        <v>5.0695539939767675</v>
      </c>
      <c r="E22" s="10">
        <f>'44b'!E22/'44c'!E56*100</f>
        <v>10.563312469908521</v>
      </c>
      <c r="F22" s="10">
        <f>'44b'!F22/'44c'!F56*100</f>
        <v>6.9408740359897161</v>
      </c>
      <c r="G22" s="10">
        <f>'44b'!G22/'44c'!G56*100</f>
        <v>13.366062237706867</v>
      </c>
      <c r="H22" s="10">
        <f>'44b'!H22/'44c'!H56*100</f>
        <v>10.287183883411915</v>
      </c>
      <c r="I22" s="10">
        <f>'44b'!I22/'44c'!I56*100</f>
        <v>6.1041198893008204</v>
      </c>
      <c r="J22" s="10">
        <f>'44b'!J22/'44c'!J56*100</f>
        <v>16.933717084067183</v>
      </c>
      <c r="K22" s="10">
        <f>'44b'!K22/'44c'!K56*100</f>
        <v>33.509957975516173</v>
      </c>
      <c r="L22" s="10">
        <f>'44b'!L22/'44c'!L56*100</f>
        <v>7.9525636553889081</v>
      </c>
    </row>
    <row r="23" spans="1:12">
      <c r="A23" s="652">
        <v>2004</v>
      </c>
      <c r="B23" s="11">
        <f>'44b'!B23/'44c'!B57*100</f>
        <v>12.056813193704146</v>
      </c>
      <c r="C23" s="10">
        <f>'44b'!C23/'44c'!C57*100</f>
        <v>28.211534457630645</v>
      </c>
      <c r="D23" s="10">
        <f>'44b'!D23/'44c'!D57*100</f>
        <v>5.2647975077881615</v>
      </c>
      <c r="E23" s="10">
        <f>'44b'!E23/'44c'!E57*100</f>
        <v>10.657531639547054</v>
      </c>
      <c r="F23" s="10">
        <f>'44b'!F23/'44c'!F57*100</f>
        <v>6.8484328037784454</v>
      </c>
      <c r="G23" s="10">
        <f>'44b'!G23/'44c'!G57*100</f>
        <v>13.400576368876079</v>
      </c>
      <c r="H23" s="10">
        <f>'44b'!H23/'44c'!H57*100</f>
        <v>11.063739074824131</v>
      </c>
      <c r="I23" s="10">
        <f>'44b'!I23/'44c'!I57*100</f>
        <v>6.0311688311688307</v>
      </c>
      <c r="J23" s="10">
        <f>'44b'!J23/'44c'!J57*100</f>
        <v>18.632413734919428</v>
      </c>
      <c r="K23" s="10">
        <f>'44b'!K23/'44c'!K57*100</f>
        <v>34.853126689493607</v>
      </c>
      <c r="L23" s="10">
        <f>'44b'!L23/'44c'!L57*100</f>
        <v>8.8980450600508458</v>
      </c>
    </row>
    <row r="24" spans="1:12">
      <c r="A24" s="130">
        <v>2005</v>
      </c>
      <c r="B24" s="11">
        <f>'44b'!B24/'44c'!B58*100</f>
        <v>12.376234562174931</v>
      </c>
      <c r="C24" s="10">
        <f>'44b'!C24/'44c'!C58*100</f>
        <v>27.867272476937906</v>
      </c>
      <c r="D24" s="10">
        <f>'44b'!D24/'44c'!D58*100</f>
        <v>5.219761264058512</v>
      </c>
      <c r="E24" s="10">
        <f>'44b'!E24/'44c'!E58*100</f>
        <v>12.07690224749526</v>
      </c>
      <c r="F24" s="10">
        <f>'44b'!F24/'44c'!F58*100</f>
        <v>6.5249114029601829</v>
      </c>
      <c r="G24" s="10">
        <f>'44b'!G24/'44c'!G58*100</f>
        <v>14.439255800163073</v>
      </c>
      <c r="H24" s="10">
        <f>'44b'!H24/'44c'!H58*100</f>
        <v>10.304121648659462</v>
      </c>
      <c r="I24" s="10">
        <f>'44b'!I24/'44c'!I58*100</f>
        <v>6.4168484470759317</v>
      </c>
      <c r="J24" s="10">
        <f>'44b'!J24/'44c'!J58*100</f>
        <v>18.945874890456118</v>
      </c>
      <c r="K24" s="10">
        <f>'44b'!K24/'44c'!K58*100</f>
        <v>35.551663747810856</v>
      </c>
      <c r="L24" s="10">
        <f>'44b'!L24/'44c'!L58*100</f>
        <v>9.0665928795425188</v>
      </c>
    </row>
    <row r="25" spans="1:12">
      <c r="A25" s="666">
        <v>2006</v>
      </c>
      <c r="B25" s="11">
        <f>'44b'!B25/'44c'!B59*100</f>
        <v>11.900414333638675</v>
      </c>
      <c r="C25" s="10">
        <f>'44b'!C25/'44c'!C59*100</f>
        <v>26.290333267077454</v>
      </c>
      <c r="D25" s="10">
        <f>'44b'!D25/'44c'!D59*100</f>
        <v>5.3098233404710911</v>
      </c>
      <c r="E25" s="10">
        <f>'44b'!E25/'44c'!E59*100</f>
        <v>10.933920704845814</v>
      </c>
      <c r="F25" s="10">
        <f>'44b'!F25/'44c'!F59*100</f>
        <v>7.0409711684370251</v>
      </c>
      <c r="G25" s="10">
        <f>'44b'!G25/'44c'!G59*100</f>
        <v>12.906902201011466</v>
      </c>
      <c r="H25" s="10">
        <f>'44b'!H25/'44c'!H59*100</f>
        <v>9.5772922197263632</v>
      </c>
      <c r="I25" s="10">
        <f>'44b'!I25/'44c'!I59*100</f>
        <v>6.0087483692732713</v>
      </c>
      <c r="J25" s="10">
        <f>'44b'!J25/'44c'!J59*100</f>
        <v>18.460409959656058</v>
      </c>
      <c r="K25" s="10">
        <f>'44b'!K25/'44c'!K59*100</f>
        <v>35.497687168065781</v>
      </c>
      <c r="L25" s="10">
        <f>'44b'!L25/'44c'!L59*100</f>
        <v>8.7262766581882207</v>
      </c>
    </row>
    <row r="26" spans="1:12">
      <c r="A26" s="130">
        <v>2007</v>
      </c>
      <c r="B26" s="11">
        <f>'44b'!B26/'44c'!B60*100</f>
        <v>12.140112887160271</v>
      </c>
      <c r="C26" s="10">
        <f>'44b'!C26/'44c'!C60*100</f>
        <v>27.140861002062678</v>
      </c>
      <c r="D26" s="10">
        <f>'44b'!D26/'44c'!D60*100</f>
        <v>5.436356456495985</v>
      </c>
      <c r="E26" s="10">
        <f>'44b'!E26/'44c'!E60*100</f>
        <v>10.903269295584767</v>
      </c>
      <c r="F26" s="10">
        <f>'44b'!F26/'44c'!F60*100</f>
        <v>7.4612017508953441</v>
      </c>
      <c r="G26" s="10">
        <f>'44b'!G26/'44c'!G60*100</f>
        <v>13.509575353871773</v>
      </c>
      <c r="H26" s="10">
        <f>'44b'!H26/'44c'!H60*100</f>
        <v>10.832517140058766</v>
      </c>
      <c r="I26" s="10">
        <f>'44b'!I26/'44c'!I60*100</f>
        <v>6.3848964677222915</v>
      </c>
      <c r="J26" s="10">
        <f>'44b'!J26/'44c'!J60*100</f>
        <v>18.546435513944541</v>
      </c>
      <c r="K26" s="10">
        <f>'44b'!K26/'44c'!K60*100</f>
        <v>35.220017256255396</v>
      </c>
      <c r="L26" s="10">
        <f>'44b'!L26/'44c'!L60*100</f>
        <v>8.854273416683748</v>
      </c>
    </row>
    <row r="27" spans="1:12">
      <c r="A27" s="130">
        <v>2008</v>
      </c>
      <c r="B27" s="11">
        <f>'44b'!B27/'44c'!B61*100</f>
        <v>11.542818437678823</v>
      </c>
      <c r="C27" s="10">
        <f>'44b'!C27/'44c'!C61*100</f>
        <v>25.411404515882126</v>
      </c>
      <c r="D27" s="10">
        <f>'44b'!D27/'44c'!D61*100</f>
        <v>5.2276721521009746</v>
      </c>
      <c r="E27" s="10">
        <f>'44b'!E27/'44c'!E61*100</f>
        <v>10.400132275132275</v>
      </c>
      <c r="F27" s="10">
        <f>'44b'!F27/'44c'!F61*100</f>
        <v>7.2328244274809164</v>
      </c>
      <c r="G27" s="10">
        <f>'44b'!G27/'44c'!G61*100</f>
        <v>12.657548940734783</v>
      </c>
      <c r="H27" s="10">
        <f>'44b'!H27/'44c'!H61*100</f>
        <v>9.673178061607814</v>
      </c>
      <c r="I27" s="10">
        <f>'44b'!I27/'44c'!I61*100</f>
        <v>5.9075342465753424</v>
      </c>
      <c r="J27" s="10">
        <f>'44b'!J27/'44c'!J61*100</f>
        <v>17.972843755976285</v>
      </c>
      <c r="K27" s="10">
        <f>'44b'!K27/'44c'!K61*100</f>
        <v>34.506784011734503</v>
      </c>
      <c r="L27" s="10">
        <f>'44b'!L27/'44c'!L61*100</f>
        <v>8.1646273637374875</v>
      </c>
    </row>
    <row r="28" spans="1:12">
      <c r="A28" s="1109"/>
      <c r="B28" s="299" t="s">
        <v>655</v>
      </c>
      <c r="C28" s="299"/>
      <c r="D28" s="299"/>
      <c r="E28" s="299"/>
      <c r="F28" s="299"/>
      <c r="G28" s="299"/>
      <c r="H28" s="299"/>
      <c r="I28" s="299"/>
      <c r="J28" s="299"/>
      <c r="K28" s="299"/>
    </row>
    <row r="29" spans="1:12">
      <c r="A29" s="297" t="s">
        <v>604</v>
      </c>
      <c r="B29" s="156">
        <f>B19-B8</f>
        <v>-6.2506743838035561E-3</v>
      </c>
      <c r="C29" s="156">
        <f t="shared" ref="C29:L29" si="0">C19-C8</f>
        <v>0.12021695047390324</v>
      </c>
      <c r="D29" s="156">
        <f t="shared" si="0"/>
        <v>-0.66063900862974467</v>
      </c>
      <c r="E29" s="156">
        <f t="shared" si="0"/>
        <v>0.20287343206130082</v>
      </c>
      <c r="F29" s="156">
        <f t="shared" si="0"/>
        <v>-0.3518369359491853</v>
      </c>
      <c r="G29" s="156">
        <f t="shared" si="0"/>
        <v>-0.46985783775578938</v>
      </c>
      <c r="H29" s="156">
        <f t="shared" si="0"/>
        <v>-0.32376839278546043</v>
      </c>
      <c r="I29" s="156">
        <f t="shared" si="0"/>
        <v>-1.0769850037913464</v>
      </c>
      <c r="J29" s="156">
        <f t="shared" si="0"/>
        <v>2.5235148788897597</v>
      </c>
      <c r="K29" s="156">
        <f t="shared" si="0"/>
        <v>-1.1901520973386894</v>
      </c>
      <c r="L29" s="156">
        <f t="shared" si="0"/>
        <v>0.72726292212686072</v>
      </c>
    </row>
    <row r="30" spans="1:12">
      <c r="A30" s="446" t="s">
        <v>1416</v>
      </c>
      <c r="B30" s="10">
        <f t="shared" ref="B30:L30" si="1">B25-B6</f>
        <v>-0.61073461633294457</v>
      </c>
      <c r="C30" s="10">
        <f t="shared" si="1"/>
        <v>-3.1715034869185743</v>
      </c>
      <c r="D30" s="10">
        <f t="shared" si="1"/>
        <v>-0.23364582528909672</v>
      </c>
      <c r="E30" s="10">
        <f t="shared" si="1"/>
        <v>0.12355057603446618</v>
      </c>
      <c r="F30" s="10">
        <f t="shared" si="1"/>
        <v>-0.36042470885562228</v>
      </c>
      <c r="G30" s="10">
        <f t="shared" si="1"/>
        <v>-1.9613290825862784</v>
      </c>
      <c r="H30" s="10">
        <f t="shared" si="1"/>
        <v>-2.6010954303594005</v>
      </c>
      <c r="I30" s="10">
        <f t="shared" si="1"/>
        <v>-2.0200944512217722</v>
      </c>
      <c r="J30" s="10">
        <f t="shared" si="1"/>
        <v>3.5493995425027904</v>
      </c>
      <c r="K30" s="10">
        <f t="shared" si="1"/>
        <v>-1.1403808332052705</v>
      </c>
      <c r="L30" s="10">
        <f t="shared" si="1"/>
        <v>2.7290218804456385</v>
      </c>
    </row>
    <row r="31" spans="1:12">
      <c r="A31" s="297" t="s">
        <v>1417</v>
      </c>
      <c r="B31" s="10">
        <f t="shared" ref="B31:L31" si="2">B26-B6</f>
        <v>-0.37103606281134915</v>
      </c>
      <c r="C31" s="10">
        <f t="shared" si="2"/>
        <v>-2.32097575193335</v>
      </c>
      <c r="D31" s="10">
        <f t="shared" si="2"/>
        <v>-0.1071127092642028</v>
      </c>
      <c r="E31" s="10">
        <f t="shared" si="2"/>
        <v>9.289916677341914E-2</v>
      </c>
      <c r="F31" s="10">
        <f t="shared" si="2"/>
        <v>5.9805873602696735E-2</v>
      </c>
      <c r="G31" s="10">
        <f t="shared" si="2"/>
        <v>-1.3586559297259715</v>
      </c>
      <c r="H31" s="10">
        <f t="shared" si="2"/>
        <v>-1.3458705100269981</v>
      </c>
      <c r="I31" s="10">
        <f t="shared" si="2"/>
        <v>-1.643946352772752</v>
      </c>
      <c r="J31" s="10">
        <f t="shared" si="2"/>
        <v>3.6354250967912733</v>
      </c>
      <c r="K31" s="10">
        <f t="shared" si="2"/>
        <v>-1.4180507450156554</v>
      </c>
      <c r="L31" s="10">
        <f t="shared" si="2"/>
        <v>2.8570186389411658</v>
      </c>
    </row>
    <row r="32" spans="1:12">
      <c r="A32" s="297" t="s">
        <v>1706</v>
      </c>
      <c r="B32" s="10">
        <f>B27-B6</f>
        <v>-0.96833051229279654</v>
      </c>
      <c r="C32" s="10">
        <f t="shared" ref="C32:L32" si="3">C27-C6</f>
        <v>-4.0504322381139026</v>
      </c>
      <c r="D32" s="10">
        <f t="shared" si="3"/>
        <v>-0.3157970136592132</v>
      </c>
      <c r="E32" s="10">
        <f t="shared" si="3"/>
        <v>-0.41023785367907273</v>
      </c>
      <c r="F32" s="10">
        <f t="shared" si="3"/>
        <v>-0.168571449811731</v>
      </c>
      <c r="G32" s="10">
        <f t="shared" si="3"/>
        <v>-2.2106823428629614</v>
      </c>
      <c r="H32" s="10">
        <f t="shared" si="3"/>
        <v>-2.5052095884779497</v>
      </c>
      <c r="I32" s="10">
        <f t="shared" si="3"/>
        <v>-2.1213085739197011</v>
      </c>
      <c r="J32" s="10">
        <f t="shared" si="3"/>
        <v>3.0618333388230177</v>
      </c>
      <c r="K32" s="10">
        <f t="shared" si="3"/>
        <v>-2.1312839895365485</v>
      </c>
      <c r="L32" s="10">
        <f t="shared" si="3"/>
        <v>2.1673725859949053</v>
      </c>
    </row>
    <row r="33" spans="1:12">
      <c r="A33" s="297" t="s">
        <v>449</v>
      </c>
      <c r="B33" s="10">
        <f t="shared" ref="B33:L33" si="4">B26-B19</f>
        <v>-1.5653367816331603</v>
      </c>
      <c r="C33" s="10">
        <f t="shared" si="4"/>
        <v>-4.1113485715779916</v>
      </c>
      <c r="D33" s="10">
        <f t="shared" si="4"/>
        <v>-0.54434846720774743</v>
      </c>
      <c r="E33" s="10">
        <f t="shared" si="4"/>
        <v>-2.3269362814557368</v>
      </c>
      <c r="F33" s="10">
        <f t="shared" si="4"/>
        <v>-0.30443119267354302</v>
      </c>
      <c r="G33" s="10">
        <f t="shared" si="4"/>
        <v>-3.3684986818517562</v>
      </c>
      <c r="H33" s="10">
        <f t="shared" si="4"/>
        <v>-1.1964683671876095</v>
      </c>
      <c r="I33" s="10">
        <f t="shared" si="4"/>
        <v>-1.016620189950463</v>
      </c>
      <c r="J33" s="10">
        <f t="shared" si="4"/>
        <v>-1.1862332672063438</v>
      </c>
      <c r="K33" s="10">
        <f t="shared" si="4"/>
        <v>-0.19956316332502411</v>
      </c>
      <c r="L33" s="10">
        <f t="shared" si="4"/>
        <v>0.65280854644231567</v>
      </c>
    </row>
    <row r="34" spans="1:12">
      <c r="A34" s="297" t="s">
        <v>1410</v>
      </c>
      <c r="B34" s="10">
        <f>B27-B19</f>
        <v>-2.1626312311146076</v>
      </c>
      <c r="C34" s="10">
        <f t="shared" ref="C34:L34" si="5">C27-C19</f>
        <v>-5.8408050577585442</v>
      </c>
      <c r="D34" s="10">
        <f t="shared" si="5"/>
        <v>-0.75303277160275783</v>
      </c>
      <c r="E34" s="10">
        <f t="shared" si="5"/>
        <v>-2.8300733019082287</v>
      </c>
      <c r="F34" s="10">
        <f t="shared" si="5"/>
        <v>-0.53280851608797075</v>
      </c>
      <c r="G34" s="10">
        <f t="shared" si="5"/>
        <v>-4.2205250949887461</v>
      </c>
      <c r="H34" s="10">
        <f t="shared" si="5"/>
        <v>-2.3558074456385611</v>
      </c>
      <c r="I34" s="10">
        <f t="shared" si="5"/>
        <v>-1.493982411097412</v>
      </c>
      <c r="J34" s="10">
        <f t="shared" si="5"/>
        <v>-1.7598250251745995</v>
      </c>
      <c r="K34" s="10">
        <f t="shared" si="5"/>
        <v>-0.9127964078459172</v>
      </c>
      <c r="L34" s="10">
        <f t="shared" si="5"/>
        <v>-3.6837506503944795E-2</v>
      </c>
    </row>
    <row r="35" spans="1:12" ht="29.25" customHeight="1">
      <c r="A35" s="1274" t="s">
        <v>831</v>
      </c>
      <c r="B35" s="1274"/>
      <c r="C35" s="1274"/>
      <c r="D35" s="1274"/>
      <c r="E35" s="1274"/>
      <c r="F35" s="1274"/>
      <c r="G35" s="1274"/>
      <c r="H35" s="1274"/>
      <c r="I35" s="1274"/>
      <c r="J35" s="1274"/>
      <c r="K35" s="1274"/>
      <c r="L35" s="1274"/>
    </row>
    <row r="36" spans="1:12">
      <c r="A36" s="149" t="s">
        <v>723</v>
      </c>
      <c r="B36" s="149"/>
      <c r="C36" s="149"/>
      <c r="D36" s="149"/>
      <c r="E36" s="149"/>
      <c r="F36" s="149"/>
      <c r="G36" s="149"/>
      <c r="H36" s="149"/>
      <c r="I36" s="149"/>
      <c r="J36" s="149"/>
    </row>
    <row r="37" spans="1:12">
      <c r="A37" s="149" t="s">
        <v>1414</v>
      </c>
      <c r="B37" s="149"/>
      <c r="C37" s="149"/>
      <c r="D37" s="149"/>
      <c r="E37" s="149"/>
      <c r="F37" s="149"/>
      <c r="G37" s="149"/>
      <c r="H37" s="149"/>
      <c r="I37" s="149"/>
      <c r="J37" s="149"/>
    </row>
    <row r="38" spans="1:12">
      <c r="A38" s="149"/>
    </row>
    <row r="39" spans="1:12">
      <c r="A39" s="149" t="s">
        <v>163</v>
      </c>
      <c r="B39" s="447" t="s">
        <v>229</v>
      </c>
      <c r="C39" s="447" t="s">
        <v>230</v>
      </c>
      <c r="D39" s="447" t="s">
        <v>231</v>
      </c>
      <c r="E39" s="447" t="s">
        <v>522</v>
      </c>
      <c r="F39" s="447" t="s">
        <v>523</v>
      </c>
      <c r="G39" s="447" t="s">
        <v>524</v>
      </c>
      <c r="H39" s="447" t="s">
        <v>525</v>
      </c>
      <c r="I39" s="447" t="s">
        <v>526</v>
      </c>
      <c r="J39" s="447" t="s">
        <v>527</v>
      </c>
      <c r="K39" s="447" t="s">
        <v>528</v>
      </c>
      <c r="L39" s="447" t="s">
        <v>529</v>
      </c>
    </row>
    <row r="40" spans="1:12" ht="15">
      <c r="A40" s="1">
        <v>1987</v>
      </c>
      <c r="B40" s="841">
        <v>12333</v>
      </c>
      <c r="C40" s="841">
        <v>1057.3</v>
      </c>
      <c r="D40" s="841">
        <v>2390.1999999999998</v>
      </c>
      <c r="E40" s="841">
        <v>613.29999999999995</v>
      </c>
      <c r="F40" s="841">
        <v>616.1</v>
      </c>
      <c r="G40" s="841">
        <v>762.7</v>
      </c>
      <c r="H40" s="841">
        <v>291.5</v>
      </c>
      <c r="I40" s="841">
        <v>2884.6</v>
      </c>
      <c r="J40" s="841">
        <v>2140.6999999999998</v>
      </c>
      <c r="K40" s="841">
        <v>629.4</v>
      </c>
      <c r="L40" s="841">
        <v>947.1</v>
      </c>
    </row>
    <row r="41" spans="1:12" ht="15">
      <c r="A41" s="1">
        <v>1988</v>
      </c>
      <c r="B41" s="841">
        <v>12709.6</v>
      </c>
      <c r="C41" s="841">
        <v>1135</v>
      </c>
      <c r="D41" s="841">
        <v>2507.6999999999998</v>
      </c>
      <c r="E41" s="841">
        <v>654.4</v>
      </c>
      <c r="F41" s="841">
        <v>635.9</v>
      </c>
      <c r="G41" s="841">
        <v>795.7</v>
      </c>
      <c r="H41" s="841">
        <v>309</v>
      </c>
      <c r="I41" s="841">
        <v>2923.9</v>
      </c>
      <c r="J41" s="841">
        <v>2127.5</v>
      </c>
      <c r="K41" s="841">
        <v>630.1</v>
      </c>
      <c r="L41" s="841">
        <v>990.5</v>
      </c>
    </row>
    <row r="42" spans="1:12" ht="15">
      <c r="A42" s="1">
        <v>1989</v>
      </c>
      <c r="B42" s="841">
        <v>12996.2</v>
      </c>
      <c r="C42" s="841">
        <v>1138.7</v>
      </c>
      <c r="D42" s="841">
        <v>2553.6999999999998</v>
      </c>
      <c r="E42" s="841">
        <v>673.2</v>
      </c>
      <c r="F42" s="841">
        <v>664</v>
      </c>
      <c r="G42" s="841">
        <v>822</v>
      </c>
      <c r="H42" s="841">
        <v>314.10000000000002</v>
      </c>
      <c r="I42" s="841">
        <v>2979.3</v>
      </c>
      <c r="J42" s="841">
        <v>2193.6</v>
      </c>
      <c r="K42" s="841">
        <v>620.6</v>
      </c>
      <c r="L42" s="841">
        <v>1036.9000000000001</v>
      </c>
    </row>
    <row r="43" spans="1:12" ht="15">
      <c r="A43" s="1">
        <v>1990</v>
      </c>
      <c r="B43" s="841">
        <v>13086.4</v>
      </c>
      <c r="C43" s="841">
        <v>1205</v>
      </c>
      <c r="D43" s="841">
        <v>2564.1</v>
      </c>
      <c r="E43" s="841">
        <v>684.7</v>
      </c>
      <c r="F43" s="841">
        <v>678.7</v>
      </c>
      <c r="G43" s="841">
        <v>904.3</v>
      </c>
      <c r="H43" s="841">
        <v>314</v>
      </c>
      <c r="I43" s="841">
        <v>2989.9</v>
      </c>
      <c r="J43" s="841">
        <v>2164</v>
      </c>
      <c r="K43" s="841">
        <v>622</v>
      </c>
      <c r="L43" s="841">
        <v>959.6</v>
      </c>
    </row>
    <row r="44" spans="1:12" ht="15">
      <c r="A44" s="1">
        <v>1991</v>
      </c>
      <c r="B44" s="841">
        <v>12857.4</v>
      </c>
      <c r="C44" s="841">
        <v>1236.5999999999999</v>
      </c>
      <c r="D44" s="841">
        <v>2513.8000000000002</v>
      </c>
      <c r="E44" s="841">
        <v>713.9</v>
      </c>
      <c r="F44" s="841">
        <v>702.9</v>
      </c>
      <c r="G44" s="841">
        <v>912.9</v>
      </c>
      <c r="H44" s="841">
        <v>294.89999999999998</v>
      </c>
      <c r="I44" s="841">
        <v>2977.1</v>
      </c>
      <c r="J44" s="841">
        <v>2016.7</v>
      </c>
      <c r="K44" s="841">
        <v>622.5</v>
      </c>
      <c r="L44" s="841">
        <v>866.1</v>
      </c>
    </row>
    <row r="45" spans="1:12" ht="15">
      <c r="A45" s="1">
        <v>1992</v>
      </c>
      <c r="B45" s="841">
        <v>12730.9</v>
      </c>
      <c r="C45" s="841">
        <v>1222.9000000000001</v>
      </c>
      <c r="D45" s="841">
        <v>2470.1999999999998</v>
      </c>
      <c r="E45" s="841">
        <v>670.8</v>
      </c>
      <c r="F45" s="841">
        <v>690.1</v>
      </c>
      <c r="G45" s="841">
        <v>981.2</v>
      </c>
      <c r="H45" s="841">
        <v>301.2</v>
      </c>
      <c r="I45" s="841">
        <v>2994.8</v>
      </c>
      <c r="J45" s="841">
        <v>1954.4</v>
      </c>
      <c r="K45" s="841">
        <v>607.4</v>
      </c>
      <c r="L45" s="841">
        <v>837.8</v>
      </c>
    </row>
    <row r="46" spans="1:12" ht="15">
      <c r="A46" s="1">
        <v>1993</v>
      </c>
      <c r="B46" s="841">
        <v>12792.7</v>
      </c>
      <c r="C46" s="841">
        <v>1251.0999999999999</v>
      </c>
      <c r="D46" s="841">
        <v>2443.4</v>
      </c>
      <c r="E46" s="841">
        <v>680.2</v>
      </c>
      <c r="F46" s="841">
        <v>725.1</v>
      </c>
      <c r="G46" s="841">
        <v>996.1</v>
      </c>
      <c r="H46" s="841">
        <v>330.5</v>
      </c>
      <c r="I46" s="841">
        <v>2998.6</v>
      </c>
      <c r="J46" s="841">
        <v>1932.4</v>
      </c>
      <c r="K46" s="841">
        <v>617.70000000000005</v>
      </c>
      <c r="L46" s="841">
        <v>817.6</v>
      </c>
    </row>
    <row r="47" spans="1:12" ht="15">
      <c r="A47" s="1">
        <v>1994</v>
      </c>
      <c r="B47" s="841">
        <v>13058.7</v>
      </c>
      <c r="C47" s="841">
        <v>1255.4000000000001</v>
      </c>
      <c r="D47" s="841">
        <v>2453.1999999999998</v>
      </c>
      <c r="E47" s="841">
        <v>691.8</v>
      </c>
      <c r="F47" s="841">
        <v>723</v>
      </c>
      <c r="G47" s="841">
        <v>1060</v>
      </c>
      <c r="H47" s="841">
        <v>346.6</v>
      </c>
      <c r="I47" s="841">
        <v>3046</v>
      </c>
      <c r="J47" s="841">
        <v>2010.5</v>
      </c>
      <c r="K47" s="841">
        <v>611.5</v>
      </c>
      <c r="L47" s="841">
        <v>860.7</v>
      </c>
    </row>
    <row r="48" spans="1:12" ht="15">
      <c r="A48" s="1">
        <v>1995</v>
      </c>
      <c r="B48" s="841">
        <v>13295.4</v>
      </c>
      <c r="C48" s="841">
        <v>1339.8</v>
      </c>
      <c r="D48" s="841">
        <v>2448.5</v>
      </c>
      <c r="E48" s="841">
        <v>727.2</v>
      </c>
      <c r="F48" s="841">
        <v>726.9</v>
      </c>
      <c r="G48" s="841">
        <v>1041.5</v>
      </c>
      <c r="H48" s="841">
        <v>350.4</v>
      </c>
      <c r="I48" s="841">
        <v>3103.4</v>
      </c>
      <c r="J48" s="841">
        <v>2057</v>
      </c>
      <c r="K48" s="841">
        <v>602.1</v>
      </c>
      <c r="L48" s="841">
        <v>898.6</v>
      </c>
    </row>
    <row r="49" spans="1:12" ht="15">
      <c r="A49" s="1">
        <v>1996</v>
      </c>
      <c r="B49" s="841">
        <v>13421.4</v>
      </c>
      <c r="C49" s="841">
        <v>1345</v>
      </c>
      <c r="D49" s="841">
        <v>2455.1999999999998</v>
      </c>
      <c r="E49" s="841">
        <v>722.7</v>
      </c>
      <c r="F49" s="841">
        <v>730.3</v>
      </c>
      <c r="G49" s="841">
        <v>1048.3</v>
      </c>
      <c r="H49" s="841">
        <v>369.5</v>
      </c>
      <c r="I49" s="841">
        <v>3149.8</v>
      </c>
      <c r="J49" s="841">
        <v>2063.5</v>
      </c>
      <c r="K49" s="841">
        <v>603.70000000000005</v>
      </c>
      <c r="L49" s="841">
        <v>933.2</v>
      </c>
    </row>
    <row r="50" spans="1:12" ht="15">
      <c r="A50" s="1">
        <v>1997</v>
      </c>
      <c r="B50" s="841">
        <v>13706</v>
      </c>
      <c r="C50" s="841">
        <v>1356.5</v>
      </c>
      <c r="D50" s="841">
        <v>2469.9</v>
      </c>
      <c r="E50" s="841">
        <v>808.1</v>
      </c>
      <c r="F50" s="841">
        <v>741.6</v>
      </c>
      <c r="G50" s="841">
        <v>1057.7</v>
      </c>
      <c r="H50" s="841">
        <v>373.5</v>
      </c>
      <c r="I50" s="841">
        <v>3181.2</v>
      </c>
      <c r="J50" s="841">
        <v>2140.3000000000002</v>
      </c>
      <c r="K50" s="841">
        <v>601.5</v>
      </c>
      <c r="L50" s="841">
        <v>975.7</v>
      </c>
    </row>
    <row r="51" spans="1:12" ht="15">
      <c r="A51" s="1">
        <v>1998</v>
      </c>
      <c r="B51" s="841">
        <v>14046.2</v>
      </c>
      <c r="C51" s="841">
        <v>1357.7</v>
      </c>
      <c r="D51" s="841">
        <v>2526.1</v>
      </c>
      <c r="E51" s="841">
        <v>868.9</v>
      </c>
      <c r="F51" s="841">
        <v>749.6</v>
      </c>
      <c r="G51" s="841">
        <v>1097.5</v>
      </c>
      <c r="H51" s="841">
        <v>382.3</v>
      </c>
      <c r="I51" s="841">
        <v>3279.3</v>
      </c>
      <c r="J51" s="841">
        <v>2156.4</v>
      </c>
      <c r="K51" s="841">
        <v>607.79999999999995</v>
      </c>
      <c r="L51" s="841">
        <v>1020.5</v>
      </c>
    </row>
    <row r="52" spans="1:12" ht="15">
      <c r="A52" s="1">
        <v>1999</v>
      </c>
      <c r="B52" s="841">
        <v>14406.7</v>
      </c>
      <c r="C52" s="841">
        <v>1362.6</v>
      </c>
      <c r="D52" s="841">
        <v>2575.3000000000002</v>
      </c>
      <c r="E52" s="841">
        <v>942.1</v>
      </c>
      <c r="F52" s="841">
        <v>773.5</v>
      </c>
      <c r="G52" s="841">
        <v>1125.5999999999999</v>
      </c>
      <c r="H52" s="841">
        <v>413.4</v>
      </c>
      <c r="I52" s="841">
        <v>3388.4</v>
      </c>
      <c r="J52" s="841">
        <v>2166.6999999999998</v>
      </c>
      <c r="K52" s="841">
        <v>588.20000000000005</v>
      </c>
      <c r="L52" s="841">
        <v>1070.8</v>
      </c>
    </row>
    <row r="53" spans="1:12" ht="15">
      <c r="A53" s="1">
        <v>2000</v>
      </c>
      <c r="B53" s="841">
        <v>14764.2</v>
      </c>
      <c r="C53" s="841">
        <v>1414.3</v>
      </c>
      <c r="D53" s="841">
        <v>2601.6999999999998</v>
      </c>
      <c r="E53" s="841">
        <v>982.6</v>
      </c>
      <c r="F53" s="841">
        <v>786.8</v>
      </c>
      <c r="G53" s="841">
        <v>1158.9000000000001</v>
      </c>
      <c r="H53" s="841">
        <v>414</v>
      </c>
      <c r="I53" s="841">
        <v>3520.9</v>
      </c>
      <c r="J53" s="841">
        <v>2207</v>
      </c>
      <c r="K53" s="841">
        <v>572</v>
      </c>
      <c r="L53" s="841">
        <v>1105.9000000000001</v>
      </c>
    </row>
    <row r="54" spans="1:12" ht="15">
      <c r="A54" s="1">
        <v>2001</v>
      </c>
      <c r="B54" s="841">
        <v>14946.2</v>
      </c>
      <c r="C54" s="841">
        <v>1334.6</v>
      </c>
      <c r="D54" s="841">
        <v>2694.5</v>
      </c>
      <c r="E54" s="841">
        <v>1013.5</v>
      </c>
      <c r="F54" s="841">
        <v>811.7</v>
      </c>
      <c r="G54" s="841">
        <v>1208.0999999999999</v>
      </c>
      <c r="H54" s="841">
        <v>437.3</v>
      </c>
      <c r="I54" s="841">
        <v>3619.8</v>
      </c>
      <c r="J54" s="841">
        <v>2210.5</v>
      </c>
      <c r="K54" s="841">
        <v>526.79999999999995</v>
      </c>
      <c r="L54" s="841">
        <v>1089.3</v>
      </c>
    </row>
    <row r="55" spans="1:12" ht="15">
      <c r="A55" s="1">
        <v>2002</v>
      </c>
      <c r="B55" s="841">
        <v>15310.4</v>
      </c>
      <c r="C55" s="841">
        <v>1351.9</v>
      </c>
      <c r="D55" s="841">
        <v>2727.4</v>
      </c>
      <c r="E55" s="841">
        <v>1038.7</v>
      </c>
      <c r="F55" s="841">
        <v>875.4</v>
      </c>
      <c r="G55" s="841">
        <v>1237.5999999999999</v>
      </c>
      <c r="H55" s="841">
        <v>438</v>
      </c>
      <c r="I55" s="841">
        <v>3727.5</v>
      </c>
      <c r="J55" s="841">
        <v>2253.6999999999998</v>
      </c>
      <c r="K55" s="841">
        <v>525</v>
      </c>
      <c r="L55" s="841">
        <v>1135.3</v>
      </c>
    </row>
    <row r="56" spans="1:12" ht="15">
      <c r="A56" s="1">
        <v>2003</v>
      </c>
      <c r="B56" s="841">
        <v>15672.3</v>
      </c>
      <c r="C56" s="841">
        <v>1368.2</v>
      </c>
      <c r="D56" s="841">
        <v>2789.2</v>
      </c>
      <c r="E56" s="841">
        <v>1038.5</v>
      </c>
      <c r="F56" s="841">
        <v>894.7</v>
      </c>
      <c r="G56" s="841">
        <v>1262.9000000000001</v>
      </c>
      <c r="H56" s="841">
        <v>466.6</v>
      </c>
      <c r="I56" s="841">
        <v>3830.2</v>
      </c>
      <c r="J56" s="841">
        <v>2327.9</v>
      </c>
      <c r="K56" s="841">
        <v>547.29999999999995</v>
      </c>
      <c r="L56" s="841">
        <v>1146.8</v>
      </c>
    </row>
    <row r="57" spans="1:12" ht="15">
      <c r="A57" s="1">
        <v>2004</v>
      </c>
      <c r="B57" s="841">
        <v>15947</v>
      </c>
      <c r="C57" s="841">
        <v>1440.9</v>
      </c>
      <c r="D57" s="841">
        <v>2889</v>
      </c>
      <c r="E57" s="841">
        <v>1050.9000000000001</v>
      </c>
      <c r="F57" s="841">
        <v>931.6</v>
      </c>
      <c r="G57" s="841">
        <v>1249.2</v>
      </c>
      <c r="H57" s="841">
        <v>469.1</v>
      </c>
      <c r="I57" s="841">
        <v>3850</v>
      </c>
      <c r="J57" s="841">
        <v>2370.6</v>
      </c>
      <c r="K57" s="841">
        <v>554.9</v>
      </c>
      <c r="L57" s="841">
        <v>1140.7</v>
      </c>
    </row>
    <row r="58" spans="1:12" ht="15">
      <c r="A58" s="1">
        <v>2005</v>
      </c>
      <c r="B58" s="841">
        <v>16169.7</v>
      </c>
      <c r="C58" s="841">
        <v>1452.6</v>
      </c>
      <c r="D58" s="841">
        <v>2898.6</v>
      </c>
      <c r="E58" s="841">
        <v>1107.9000000000001</v>
      </c>
      <c r="F58" s="841">
        <v>959.4</v>
      </c>
      <c r="G58" s="841">
        <v>1349.1</v>
      </c>
      <c r="H58" s="841">
        <v>499.8</v>
      </c>
      <c r="I58" s="841">
        <v>3850.8</v>
      </c>
      <c r="J58" s="841">
        <v>2396.3000000000002</v>
      </c>
      <c r="K58" s="841">
        <v>571</v>
      </c>
      <c r="L58" s="841">
        <v>1084.2</v>
      </c>
    </row>
    <row r="59" spans="1:12" ht="15">
      <c r="A59" s="1">
        <v>2006</v>
      </c>
      <c r="B59" s="841">
        <v>16484.3</v>
      </c>
      <c r="C59" s="841">
        <v>1509.3</v>
      </c>
      <c r="D59" s="841">
        <v>2988.8</v>
      </c>
      <c r="E59" s="841">
        <v>1135</v>
      </c>
      <c r="F59" s="841">
        <v>988.5</v>
      </c>
      <c r="G59" s="841">
        <v>1403.9</v>
      </c>
      <c r="H59" s="841">
        <v>489.7</v>
      </c>
      <c r="I59" s="841">
        <v>3909.3</v>
      </c>
      <c r="J59" s="841">
        <v>2453.9</v>
      </c>
      <c r="K59" s="841">
        <v>583.70000000000005</v>
      </c>
      <c r="L59" s="841">
        <v>1022.2</v>
      </c>
    </row>
    <row r="60" spans="1:12" ht="15">
      <c r="A60" s="1">
        <v>2007</v>
      </c>
      <c r="B60" s="841">
        <v>16866.400000000001</v>
      </c>
      <c r="C60" s="841">
        <v>1502.9</v>
      </c>
      <c r="D60" s="841">
        <v>3038.8</v>
      </c>
      <c r="E60" s="841">
        <v>1186.8</v>
      </c>
      <c r="F60" s="841">
        <v>1005.2</v>
      </c>
      <c r="G60" s="841">
        <v>1441.2</v>
      </c>
      <c r="H60" s="841">
        <v>510.5</v>
      </c>
      <c r="I60" s="841">
        <v>4105</v>
      </c>
      <c r="J60" s="841">
        <v>2520.6999999999998</v>
      </c>
      <c r="K60" s="841">
        <v>579.5</v>
      </c>
      <c r="L60" s="841">
        <v>975.8</v>
      </c>
    </row>
    <row r="61" spans="1:12" ht="15">
      <c r="A61" s="1">
        <v>2008</v>
      </c>
      <c r="B61" s="841">
        <v>17125.8</v>
      </c>
      <c r="C61" s="841">
        <v>1567.8</v>
      </c>
      <c r="D61" s="841">
        <v>3129.5</v>
      </c>
      <c r="E61" s="841">
        <v>1209.5999999999999</v>
      </c>
      <c r="F61" s="841">
        <v>1048</v>
      </c>
      <c r="G61" s="841">
        <v>1491.6</v>
      </c>
      <c r="H61" s="841">
        <v>532.4</v>
      </c>
      <c r="I61" s="841">
        <v>4088</v>
      </c>
      <c r="J61" s="841">
        <v>2614.5</v>
      </c>
      <c r="K61" s="841">
        <v>545.4</v>
      </c>
      <c r="L61" s="841">
        <v>899</v>
      </c>
    </row>
  </sheetData>
  <mergeCells count="14">
    <mergeCell ref="B3:F3"/>
    <mergeCell ref="G3:K3"/>
    <mergeCell ref="F4:F5"/>
    <mergeCell ref="E4:E5"/>
    <mergeCell ref="A35:L35"/>
    <mergeCell ref="L4:L5"/>
    <mergeCell ref="K4:K5"/>
    <mergeCell ref="J4:J5"/>
    <mergeCell ref="I4:I5"/>
    <mergeCell ref="D4:D5"/>
    <mergeCell ref="C4:C5"/>
    <mergeCell ref="B4:B5"/>
    <mergeCell ref="H4:H5"/>
    <mergeCell ref="G4:G5"/>
  </mergeCells>
  <phoneticPr fontId="35" type="noConversion"/>
  <pageMargins left="0.75" right="0.75" top="1" bottom="1" header="0.5" footer="0.5"/>
  <pageSetup scale="85" orientation="landscape" verticalDpi="0" r:id="rId1"/>
  <headerFooter alignWithMargins="0"/>
</worksheet>
</file>

<file path=xl/worksheets/sheet165.xml><?xml version="1.0" encoding="utf-8"?>
<worksheet xmlns="http://schemas.openxmlformats.org/spreadsheetml/2006/main" xmlns:r="http://schemas.openxmlformats.org/officeDocument/2006/relationships">
  <dimension ref="A1:F44"/>
  <sheetViews>
    <sheetView view="pageBreakPreview" zoomScale="136" zoomScaleNormal="100" zoomScaleSheetLayoutView="136" workbookViewId="0">
      <selection activeCell="H62" sqref="H62"/>
    </sheetView>
  </sheetViews>
  <sheetFormatPr defaultRowHeight="15"/>
  <cols>
    <col min="1" max="1" width="9.140625" style="1151"/>
    <col min="2" max="6" width="14.28515625" style="1151" customWidth="1"/>
    <col min="7" max="16384" width="9.140625" style="1151"/>
  </cols>
  <sheetData>
    <row r="1" spans="1:6">
      <c r="A1" s="1150" t="s">
        <v>2277</v>
      </c>
    </row>
    <row r="3" spans="1:6" ht="45">
      <c r="A3" s="1152"/>
      <c r="B3" s="1153" t="s">
        <v>2268</v>
      </c>
      <c r="C3" s="1154" t="s">
        <v>2269</v>
      </c>
      <c r="D3" s="1154" t="s">
        <v>2270</v>
      </c>
      <c r="E3" s="1154" t="s">
        <v>2271</v>
      </c>
      <c r="F3" s="1154" t="s">
        <v>2272</v>
      </c>
    </row>
    <row r="4" spans="1:6">
      <c r="A4" s="1155">
        <v>1976</v>
      </c>
      <c r="B4" s="1156">
        <v>9747500</v>
      </c>
      <c r="C4" s="1156">
        <v>1098900</v>
      </c>
      <c r="D4" s="1156">
        <v>1182000</v>
      </c>
      <c r="E4" s="1157">
        <f>100*(C4/B4)</f>
        <v>11.273659912798154</v>
      </c>
      <c r="F4" s="1157">
        <f t="shared" ref="F4:F36" si="0">100*(D4/B4)</f>
        <v>12.126186201590151</v>
      </c>
    </row>
    <row r="5" spans="1:6">
      <c r="A5" s="1155">
        <v>1977</v>
      </c>
      <c r="B5" s="1156">
        <v>9917100</v>
      </c>
      <c r="C5" s="1156">
        <v>1097600</v>
      </c>
      <c r="D5" s="1156">
        <v>1192400</v>
      </c>
      <c r="E5" s="1157">
        <f t="shared" ref="E5:E36" si="1">100*(C5/B5)</f>
        <v>11.067751661271945</v>
      </c>
      <c r="F5" s="1157">
        <f t="shared" si="0"/>
        <v>12.023676276330782</v>
      </c>
    </row>
    <row r="6" spans="1:6">
      <c r="A6" s="1155">
        <v>1978</v>
      </c>
      <c r="B6" s="1156">
        <v>10220300</v>
      </c>
      <c r="C6" s="1156">
        <v>1169300</v>
      </c>
      <c r="D6" s="1156">
        <v>1265800</v>
      </c>
      <c r="E6" s="1157">
        <f t="shared" si="1"/>
        <v>11.440955744938993</v>
      </c>
      <c r="F6" s="1157">
        <f t="shared" si="0"/>
        <v>12.385155034588026</v>
      </c>
    </row>
    <row r="7" spans="1:6">
      <c r="A7" s="1155">
        <v>1979</v>
      </c>
      <c r="B7" s="1156">
        <v>10668600</v>
      </c>
      <c r="C7" s="1156">
        <v>1275000</v>
      </c>
      <c r="D7" s="1156">
        <v>1391200</v>
      </c>
      <c r="E7" s="1157">
        <f t="shared" si="1"/>
        <v>11.950958888701422</v>
      </c>
      <c r="F7" s="1157">
        <f t="shared" si="0"/>
        <v>13.040136475263859</v>
      </c>
    </row>
    <row r="8" spans="1:6">
      <c r="A8" s="1155">
        <v>1980</v>
      </c>
      <c r="B8" s="1156">
        <v>10984000</v>
      </c>
      <c r="C8" s="1156">
        <v>1248200</v>
      </c>
      <c r="D8" s="1156">
        <v>1374800</v>
      </c>
      <c r="E8" s="1157">
        <f t="shared" si="1"/>
        <v>11.363801893663512</v>
      </c>
      <c r="F8" s="1157">
        <f t="shared" si="0"/>
        <v>12.516387472687546</v>
      </c>
    </row>
    <row r="9" spans="1:6">
      <c r="A9" s="1155">
        <v>1981</v>
      </c>
      <c r="B9" s="1156">
        <v>11305000</v>
      </c>
      <c r="C9" s="1156">
        <v>1233400</v>
      </c>
      <c r="D9" s="1156">
        <v>1369200</v>
      </c>
      <c r="E9" s="1157">
        <f t="shared" si="1"/>
        <v>10.910216718266254</v>
      </c>
      <c r="F9" s="1157">
        <f t="shared" si="0"/>
        <v>12.111455108359133</v>
      </c>
    </row>
    <row r="10" spans="1:6">
      <c r="A10" s="1155">
        <v>1982</v>
      </c>
      <c r="B10" s="1156">
        <v>10943700</v>
      </c>
      <c r="C10" s="1156">
        <v>1173200</v>
      </c>
      <c r="D10" s="1156">
        <v>1288100</v>
      </c>
      <c r="E10" s="1157">
        <f t="shared" si="1"/>
        <v>10.720323108272339</v>
      </c>
      <c r="F10" s="1157">
        <f t="shared" si="0"/>
        <v>11.77024223982748</v>
      </c>
    </row>
    <row r="11" spans="1:6">
      <c r="A11" s="1155">
        <v>1983</v>
      </c>
      <c r="B11" s="1156">
        <v>11022000</v>
      </c>
      <c r="C11" s="1156">
        <v>1247500</v>
      </c>
      <c r="D11" s="1156">
        <v>1368200</v>
      </c>
      <c r="E11" s="1157">
        <f t="shared" si="1"/>
        <v>11.318272545817457</v>
      </c>
      <c r="F11" s="1157">
        <f t="shared" si="0"/>
        <v>12.413355107965886</v>
      </c>
    </row>
    <row r="12" spans="1:6">
      <c r="A12" s="1155">
        <v>1984</v>
      </c>
      <c r="B12" s="1156">
        <v>11301700</v>
      </c>
      <c r="C12" s="1156">
        <v>1326700</v>
      </c>
      <c r="D12" s="1156">
        <v>1450700</v>
      </c>
      <c r="E12" s="1157">
        <f t="shared" si="1"/>
        <v>11.738941929090315</v>
      </c>
      <c r="F12" s="1157">
        <f t="shared" si="0"/>
        <v>12.836121999345233</v>
      </c>
    </row>
    <row r="13" spans="1:6">
      <c r="A13" s="1155">
        <v>1985</v>
      </c>
      <c r="B13" s="1156">
        <v>11627300</v>
      </c>
      <c r="C13" s="1156">
        <v>1447500</v>
      </c>
      <c r="D13" s="1156">
        <v>1580900</v>
      </c>
      <c r="E13" s="1157">
        <f t="shared" si="1"/>
        <v>12.449149845621941</v>
      </c>
      <c r="F13" s="1157">
        <f t="shared" si="0"/>
        <v>13.596449734676149</v>
      </c>
    </row>
    <row r="14" spans="1:6">
      <c r="A14" s="1155">
        <v>1986</v>
      </c>
      <c r="B14" s="1156">
        <v>11986600</v>
      </c>
      <c r="C14" s="1156">
        <v>1476700</v>
      </c>
      <c r="D14" s="1156">
        <v>1621100</v>
      </c>
      <c r="E14" s="1157">
        <f t="shared" si="1"/>
        <v>12.319590209066792</v>
      </c>
      <c r="F14" s="1157">
        <f t="shared" si="0"/>
        <v>13.524268766789582</v>
      </c>
    </row>
    <row r="15" spans="1:6">
      <c r="A15" s="1155">
        <v>1987</v>
      </c>
      <c r="B15" s="1156">
        <v>12333000</v>
      </c>
      <c r="C15" s="1156">
        <v>1543000</v>
      </c>
      <c r="D15" s="1156">
        <v>1702800</v>
      </c>
      <c r="E15" s="1157">
        <f t="shared" si="1"/>
        <v>12.51114894997162</v>
      </c>
      <c r="F15" s="1157">
        <f t="shared" si="0"/>
        <v>13.806859644855265</v>
      </c>
    </row>
    <row r="16" spans="1:6">
      <c r="A16" s="1155">
        <v>1988</v>
      </c>
      <c r="B16" s="1156">
        <v>12709600</v>
      </c>
      <c r="C16" s="1156">
        <v>1701900</v>
      </c>
      <c r="D16" s="1156">
        <v>1883000</v>
      </c>
      <c r="E16" s="1157">
        <f t="shared" si="1"/>
        <v>13.390665323849687</v>
      </c>
      <c r="F16" s="1157">
        <f t="shared" si="0"/>
        <v>14.815572480644551</v>
      </c>
    </row>
    <row r="17" spans="1:6">
      <c r="A17" s="1155">
        <v>1989</v>
      </c>
      <c r="B17" s="1156">
        <v>12996200</v>
      </c>
      <c r="C17" s="1156">
        <v>1782000</v>
      </c>
      <c r="D17" s="1156">
        <v>1981200</v>
      </c>
      <c r="E17" s="1157">
        <f t="shared" si="1"/>
        <v>13.711700343177235</v>
      </c>
      <c r="F17" s="1157">
        <f t="shared" si="0"/>
        <v>15.244456071774826</v>
      </c>
    </row>
    <row r="18" spans="1:6">
      <c r="A18" s="1155">
        <v>1990</v>
      </c>
      <c r="B18" s="1156">
        <v>13086400</v>
      </c>
      <c r="C18" s="1156">
        <v>1756000</v>
      </c>
      <c r="D18" s="1156">
        <v>1960000</v>
      </c>
      <c r="E18" s="1157">
        <f t="shared" si="1"/>
        <v>13.418510820393692</v>
      </c>
      <c r="F18" s="1157">
        <f t="shared" si="0"/>
        <v>14.977381097933733</v>
      </c>
    </row>
    <row r="19" spans="1:6">
      <c r="A19" s="1155">
        <v>1991</v>
      </c>
      <c r="B19" s="1156">
        <v>12857400</v>
      </c>
      <c r="C19" s="1156">
        <v>1627800</v>
      </c>
      <c r="D19" s="1156">
        <v>1818200</v>
      </c>
      <c r="E19" s="1157">
        <f t="shared" si="1"/>
        <v>12.660413458397498</v>
      </c>
      <c r="F19" s="1157">
        <f t="shared" si="0"/>
        <v>14.141272730100955</v>
      </c>
    </row>
    <row r="20" spans="1:6">
      <c r="A20" s="1155">
        <v>1992</v>
      </c>
      <c r="B20" s="1156">
        <v>12730900</v>
      </c>
      <c r="C20" s="1156">
        <v>1587700</v>
      </c>
      <c r="D20" s="1156">
        <v>1762900</v>
      </c>
      <c r="E20" s="1157">
        <f t="shared" si="1"/>
        <v>12.471231413332914</v>
      </c>
      <c r="F20" s="1157">
        <f t="shared" si="0"/>
        <v>13.847410630827357</v>
      </c>
    </row>
    <row r="21" spans="1:6">
      <c r="A21" s="1155">
        <v>1993</v>
      </c>
      <c r="B21" s="1156">
        <v>12792700</v>
      </c>
      <c r="C21" s="1156">
        <v>1715300</v>
      </c>
      <c r="D21" s="1156">
        <v>1895200</v>
      </c>
      <c r="E21" s="1157">
        <f t="shared" si="1"/>
        <v>13.40842824423304</v>
      </c>
      <c r="F21" s="1157">
        <f t="shared" si="0"/>
        <v>14.814699008028015</v>
      </c>
    </row>
    <row r="22" spans="1:6">
      <c r="A22" s="1155">
        <v>1994</v>
      </c>
      <c r="B22" s="1156">
        <v>13058700</v>
      </c>
      <c r="C22" s="1156">
        <v>1828800</v>
      </c>
      <c r="D22" s="1156">
        <v>2017300</v>
      </c>
      <c r="E22" s="1157">
        <f t="shared" si="1"/>
        <v>14.004456798915665</v>
      </c>
      <c r="F22" s="1157">
        <f t="shared" si="0"/>
        <v>15.447938921944756</v>
      </c>
    </row>
    <row r="23" spans="1:6">
      <c r="A23" s="1155">
        <v>1995</v>
      </c>
      <c r="B23" s="1156">
        <v>13295400</v>
      </c>
      <c r="C23" s="1156">
        <v>1812500</v>
      </c>
      <c r="D23" s="1156">
        <v>1999100</v>
      </c>
      <c r="E23" s="1157">
        <f t="shared" si="1"/>
        <v>13.632534560825549</v>
      </c>
      <c r="F23" s="1157">
        <f t="shared" si="0"/>
        <v>15.036027498232471</v>
      </c>
    </row>
    <row r="24" spans="1:6">
      <c r="A24" s="1155">
        <v>1996</v>
      </c>
      <c r="B24" s="1156">
        <v>13421400</v>
      </c>
      <c r="C24" s="1156">
        <v>1917700</v>
      </c>
      <c r="D24" s="1156">
        <v>2113400</v>
      </c>
      <c r="E24" s="1157">
        <f t="shared" si="1"/>
        <v>14.288375281267228</v>
      </c>
      <c r="F24" s="1157">
        <f t="shared" si="0"/>
        <v>15.746494404458552</v>
      </c>
    </row>
    <row r="25" spans="1:6">
      <c r="A25" s="1155">
        <v>1997</v>
      </c>
      <c r="B25" s="1156">
        <v>13706000</v>
      </c>
      <c r="C25" s="1156">
        <v>1939300</v>
      </c>
      <c r="D25" s="1156">
        <v>2130900</v>
      </c>
      <c r="E25" s="1157">
        <f t="shared" si="1"/>
        <v>14.149277688603531</v>
      </c>
      <c r="F25" s="1157">
        <f t="shared" si="0"/>
        <v>15.547205603385377</v>
      </c>
    </row>
    <row r="26" spans="1:6">
      <c r="A26" s="1155">
        <v>1998</v>
      </c>
      <c r="B26" s="1156">
        <v>14046200</v>
      </c>
      <c r="C26" s="1156">
        <v>1931300</v>
      </c>
      <c r="D26" s="1156">
        <v>2117100</v>
      </c>
      <c r="E26" s="1157">
        <f t="shared" si="1"/>
        <v>13.749626233429682</v>
      </c>
      <c r="F26" s="1157">
        <f t="shared" si="0"/>
        <v>15.07240392419302</v>
      </c>
    </row>
    <row r="27" spans="1:6">
      <c r="A27" s="1155">
        <v>1999</v>
      </c>
      <c r="B27" s="1156">
        <v>14406700</v>
      </c>
      <c r="C27" s="1156">
        <v>1979000</v>
      </c>
      <c r="D27" s="1156">
        <v>2169900</v>
      </c>
      <c r="E27" s="1157">
        <f t="shared" si="1"/>
        <v>13.736664190966701</v>
      </c>
      <c r="F27" s="1157">
        <f t="shared" si="0"/>
        <v>15.061742106103409</v>
      </c>
    </row>
    <row r="28" spans="1:6">
      <c r="A28" s="1155">
        <v>2000</v>
      </c>
      <c r="B28" s="1156">
        <v>14764200</v>
      </c>
      <c r="C28" s="1156">
        <v>2023500</v>
      </c>
      <c r="D28" s="1156">
        <v>2219100</v>
      </c>
      <c r="E28" s="1157">
        <f t="shared" si="1"/>
        <v>13.705449668793431</v>
      </c>
      <c r="F28" s="1157">
        <f t="shared" si="0"/>
        <v>15.030275937741294</v>
      </c>
    </row>
    <row r="29" spans="1:6">
      <c r="A29" s="1155">
        <v>2001</v>
      </c>
      <c r="B29" s="1156">
        <v>14946200</v>
      </c>
      <c r="C29" s="1156">
        <v>1891700</v>
      </c>
      <c r="D29" s="1156">
        <v>2080900</v>
      </c>
      <c r="E29" s="1157">
        <f t="shared" si="1"/>
        <v>12.656728800631598</v>
      </c>
      <c r="F29" s="1157">
        <f t="shared" si="0"/>
        <v>13.922602400610188</v>
      </c>
    </row>
    <row r="30" spans="1:6">
      <c r="A30" s="1155">
        <v>2002</v>
      </c>
      <c r="B30" s="1156">
        <v>15310400</v>
      </c>
      <c r="C30" s="1156">
        <v>1895000</v>
      </c>
      <c r="D30" s="1156">
        <v>2095500</v>
      </c>
      <c r="E30" s="1157">
        <f t="shared" si="1"/>
        <v>12.377207649702163</v>
      </c>
      <c r="F30" s="1157">
        <f t="shared" si="0"/>
        <v>13.686775002612602</v>
      </c>
    </row>
    <row r="31" spans="1:6">
      <c r="A31" s="1155">
        <v>2003</v>
      </c>
      <c r="B31" s="1156">
        <v>15672300</v>
      </c>
      <c r="C31" s="1156">
        <v>1818500</v>
      </c>
      <c r="D31" s="1156">
        <v>2013300</v>
      </c>
      <c r="E31" s="1157">
        <f t="shared" si="1"/>
        <v>11.603274567230081</v>
      </c>
      <c r="F31" s="1157">
        <f t="shared" si="0"/>
        <v>12.846231886832182</v>
      </c>
    </row>
    <row r="32" spans="1:6">
      <c r="A32" s="1155">
        <v>2004</v>
      </c>
      <c r="B32" s="1156">
        <v>15947000</v>
      </c>
      <c r="C32" s="1156">
        <v>1922700</v>
      </c>
      <c r="D32" s="1156">
        <v>2129500</v>
      </c>
      <c r="E32" s="1157">
        <f t="shared" si="1"/>
        <v>12.056813193704146</v>
      </c>
      <c r="F32" s="1157">
        <f t="shared" si="0"/>
        <v>13.35360882924688</v>
      </c>
    </row>
    <row r="33" spans="1:6">
      <c r="A33" s="1155">
        <v>2005</v>
      </c>
      <c r="B33" s="1156">
        <v>16169700</v>
      </c>
      <c r="C33" s="1156">
        <v>2001200</v>
      </c>
      <c r="D33" s="1156">
        <v>2220100</v>
      </c>
      <c r="E33" s="1157">
        <f t="shared" si="1"/>
        <v>12.376234562174931</v>
      </c>
      <c r="F33" s="1157">
        <f t="shared" si="0"/>
        <v>13.730001175037259</v>
      </c>
    </row>
    <row r="34" spans="1:6">
      <c r="A34" s="1155">
        <v>2006</v>
      </c>
      <c r="B34" s="1156">
        <v>16484300</v>
      </c>
      <c r="C34" s="1156">
        <v>1961700</v>
      </c>
      <c r="D34" s="1156">
        <v>2188200</v>
      </c>
      <c r="E34" s="1157">
        <f t="shared" si="1"/>
        <v>11.900414333638674</v>
      </c>
      <c r="F34" s="1157">
        <f t="shared" si="0"/>
        <v>13.274449021189859</v>
      </c>
    </row>
    <row r="35" spans="1:6">
      <c r="A35" s="1155">
        <v>2007</v>
      </c>
      <c r="B35" s="1156">
        <v>16866400</v>
      </c>
      <c r="C35" s="1156">
        <v>2047600</v>
      </c>
      <c r="D35" s="1156">
        <v>2290300</v>
      </c>
      <c r="E35" s="1157">
        <f t="shared" si="1"/>
        <v>12.140112887160273</v>
      </c>
      <c r="F35" s="1157">
        <f t="shared" si="0"/>
        <v>13.579068443769863</v>
      </c>
    </row>
    <row r="36" spans="1:6">
      <c r="A36" s="1155">
        <v>2008</v>
      </c>
      <c r="B36" s="1156">
        <v>17125800</v>
      </c>
      <c r="C36" s="1156">
        <v>1976800</v>
      </c>
      <c r="D36" s="1156">
        <v>2207000</v>
      </c>
      <c r="E36" s="1157">
        <f t="shared" si="1"/>
        <v>11.542818437678823</v>
      </c>
      <c r="F36" s="1157">
        <f t="shared" si="0"/>
        <v>12.886989220941503</v>
      </c>
    </row>
    <row r="37" spans="1:6">
      <c r="A37" s="1151" t="s">
        <v>2273</v>
      </c>
      <c r="E37" s="1151" t="s">
        <v>2274</v>
      </c>
    </row>
    <row r="38" spans="1:6">
      <c r="A38" s="448" t="s">
        <v>603</v>
      </c>
      <c r="B38" s="1158">
        <f>((B17/B9)^(1/8)-1)*100</f>
        <v>1.7579214775647944</v>
      </c>
      <c r="C38" s="1158">
        <f t="shared" ref="C38:D38" si="2">((C17/C9)^(1/8)-1)*100</f>
        <v>4.7069404051915065</v>
      </c>
      <c r="D38" s="1159">
        <f t="shared" si="2"/>
        <v>4.7267626321186196</v>
      </c>
      <c r="E38" s="1158">
        <f>E17-E9</f>
        <v>2.8014836249109809</v>
      </c>
      <c r="F38" s="1158">
        <f>F17-F9</f>
        <v>3.133000963415693</v>
      </c>
    </row>
    <row r="39" spans="1:6">
      <c r="A39" s="448" t="s">
        <v>604</v>
      </c>
      <c r="B39" s="1158">
        <f>((B28/B17)^(1/11)-1)*100</f>
        <v>1.1662788332626128</v>
      </c>
      <c r="C39" s="1158">
        <f t="shared" ref="C39:D39" si="3">((C28/C17)^(1/11)-1)*100</f>
        <v>1.1620854103845391</v>
      </c>
      <c r="D39" s="1159">
        <f t="shared" si="3"/>
        <v>1.0362319575468959</v>
      </c>
      <c r="E39" s="1158">
        <f>E28-E17</f>
        <v>-6.2506743838035561E-3</v>
      </c>
      <c r="F39" s="1158">
        <f>F28-F17</f>
        <v>-0.21418013403353164</v>
      </c>
    </row>
    <row r="40" spans="1:6">
      <c r="A40" s="448" t="s">
        <v>1408</v>
      </c>
      <c r="B40" s="1158">
        <f>((B36/B9)^(1/27)-1)*100</f>
        <v>1.5501927105705082</v>
      </c>
      <c r="C40" s="1158">
        <f t="shared" ref="C40:D40" si="4">((C36/C9)^(1/27)-1)*100</f>
        <v>1.7624050499514876</v>
      </c>
      <c r="D40" s="1159">
        <f t="shared" si="4"/>
        <v>1.7839006987803163</v>
      </c>
      <c r="E40" s="1158">
        <f>E36-E9</f>
        <v>0.63260171941256971</v>
      </c>
      <c r="F40" s="1158">
        <f>F36-F9</f>
        <v>0.77553411258237048</v>
      </c>
    </row>
    <row r="41" spans="1:6">
      <c r="A41" s="448" t="s">
        <v>1410</v>
      </c>
      <c r="B41" s="1158">
        <f>((B36/B28)^(1/8)-1)*100</f>
        <v>1.872067089771301</v>
      </c>
      <c r="C41" s="1158">
        <f t="shared" ref="C41:D41" si="5">((C36/C28)^(1/8)-1)*100</f>
        <v>-0.29144085470765857</v>
      </c>
      <c r="D41" s="1159">
        <f t="shared" si="5"/>
        <v>-6.8321412851823915E-2</v>
      </c>
      <c r="E41" s="1158">
        <f>E36-E28</f>
        <v>-2.1626312311146076</v>
      </c>
      <c r="F41" s="1158">
        <f>F36-F28</f>
        <v>-2.1432867167997909</v>
      </c>
    </row>
    <row r="42" spans="1:6">
      <c r="A42" s="1151" t="s">
        <v>2275</v>
      </c>
      <c r="E42" s="1151" t="s">
        <v>2274</v>
      </c>
    </row>
    <row r="43" spans="1:6">
      <c r="A43" s="448" t="s">
        <v>1408</v>
      </c>
      <c r="B43" s="1158">
        <f>100*(B36/B9-1)</f>
        <v>51.488721804511272</v>
      </c>
      <c r="C43" s="1158">
        <f t="shared" ref="C43:D43" si="6">100*(C36/C9-1)</f>
        <v>60.272417707150971</v>
      </c>
      <c r="D43" s="1159">
        <f t="shared" si="6"/>
        <v>61.189015483494003</v>
      </c>
      <c r="E43" s="1158">
        <f>E36-E9</f>
        <v>0.63260171941256971</v>
      </c>
      <c r="F43" s="1158">
        <f>F36-F9</f>
        <v>0.77553411258237048</v>
      </c>
    </row>
    <row r="44" spans="1:6">
      <c r="A44" s="1150" t="s">
        <v>2276</v>
      </c>
    </row>
  </sheetData>
  <pageMargins left="0.7" right="0.7" top="0.75" bottom="0.75" header="0.3" footer="0.3"/>
  <pageSetup orientation="portrait" horizontalDpi="0" verticalDpi="0" r:id="rId1"/>
</worksheet>
</file>

<file path=xl/worksheets/sheet166.xml><?xml version="1.0" encoding="utf-8"?>
<worksheet xmlns="http://schemas.openxmlformats.org/spreadsheetml/2006/main" xmlns:r="http://schemas.openxmlformats.org/officeDocument/2006/relationships">
  <sheetPr codeName="Sheet145"/>
  <dimension ref="A1:W69"/>
  <sheetViews>
    <sheetView view="pageBreakPreview" zoomScale="85" zoomScaleSheetLayoutView="85" workbookViewId="0">
      <pane xSplit="3" ySplit="4" topLeftCell="D20"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outlineLevelCol="1"/>
  <cols>
    <col min="1" max="2" width="8" style="256" customWidth="1"/>
    <col min="3" max="3" width="5.28515625" style="256" customWidth="1"/>
    <col min="4" max="4" width="9.140625" style="257" customWidth="1"/>
    <col min="5" max="9" width="6.7109375" style="256" hidden="1" customWidth="1" outlineLevel="1"/>
    <col min="10" max="10" width="6.7109375" style="256" customWidth="1" collapsed="1"/>
    <col min="11" max="21" width="6.7109375" style="256" customWidth="1"/>
    <col min="22" max="16384" width="8" style="256"/>
  </cols>
  <sheetData>
    <row r="1" spans="1:23" ht="15.75">
      <c r="A1" s="1137" t="s">
        <v>2217</v>
      </c>
      <c r="B1" s="830"/>
      <c r="C1" s="830"/>
      <c r="D1" s="839"/>
      <c r="E1" s="830"/>
      <c r="F1" s="830"/>
      <c r="G1" s="830"/>
      <c r="H1" s="830"/>
      <c r="I1" s="830"/>
      <c r="J1" s="830"/>
      <c r="K1" s="830"/>
      <c r="L1" s="830"/>
      <c r="M1" s="830"/>
      <c r="N1" s="830"/>
    </row>
    <row r="3" spans="1:23">
      <c r="D3" s="1236">
        <v>1986</v>
      </c>
      <c r="E3" s="1232">
        <v>1989</v>
      </c>
      <c r="F3" s="1232">
        <v>1990</v>
      </c>
      <c r="G3" s="1232">
        <v>1991</v>
      </c>
      <c r="H3" s="1232">
        <v>1992</v>
      </c>
      <c r="I3" s="1232">
        <v>1993</v>
      </c>
      <c r="J3" s="1238">
        <v>1994</v>
      </c>
      <c r="K3" s="1232">
        <v>1995</v>
      </c>
      <c r="L3" s="1232">
        <v>1996</v>
      </c>
      <c r="M3" s="1232">
        <v>1997</v>
      </c>
      <c r="N3" s="1232">
        <v>1998</v>
      </c>
      <c r="O3" s="1232">
        <v>1999</v>
      </c>
      <c r="P3" s="1232">
        <v>2000</v>
      </c>
      <c r="Q3" s="1232">
        <v>2001</v>
      </c>
      <c r="R3" s="1232">
        <v>2002</v>
      </c>
      <c r="S3" s="1232">
        <v>2003</v>
      </c>
      <c r="T3" s="1232">
        <v>2004</v>
      </c>
      <c r="U3" s="1232">
        <v>2005</v>
      </c>
      <c r="V3" s="1232">
        <v>2006</v>
      </c>
      <c r="W3" s="1232">
        <v>2007</v>
      </c>
    </row>
    <row r="4" spans="1:23">
      <c r="A4" s="831"/>
      <c r="B4" s="831"/>
      <c r="C4" s="831"/>
      <c r="D4" s="1237"/>
      <c r="E4" s="1233"/>
      <c r="F4" s="1233"/>
      <c r="G4" s="1233"/>
      <c r="H4" s="1233"/>
      <c r="I4" s="1233"/>
      <c r="J4" s="1239"/>
      <c r="K4" s="1233"/>
      <c r="L4" s="1233"/>
      <c r="M4" s="1233"/>
      <c r="N4" s="1233"/>
      <c r="O4" s="1233"/>
      <c r="P4" s="1233"/>
      <c r="Q4" s="1233"/>
      <c r="R4" s="1233"/>
      <c r="S4" s="1233"/>
      <c r="T4" s="1233"/>
      <c r="U4" s="1233"/>
      <c r="V4" s="1233"/>
      <c r="W4" s="1233"/>
    </row>
    <row r="5" spans="1:23" ht="15.75">
      <c r="A5" s="256" t="s">
        <v>440</v>
      </c>
      <c r="B5" s="832"/>
      <c r="C5" s="832"/>
      <c r="D5" s="833"/>
      <c r="E5" s="661"/>
      <c r="F5" s="261"/>
      <c r="G5" s="261"/>
      <c r="H5" s="261"/>
      <c r="I5" s="261"/>
      <c r="J5" s="308"/>
      <c r="K5" s="261"/>
      <c r="L5" s="261"/>
      <c r="M5" s="261"/>
      <c r="N5" s="261"/>
      <c r="O5" s="261"/>
      <c r="P5" s="261"/>
      <c r="Q5" s="261"/>
      <c r="R5" s="261"/>
      <c r="S5" s="261"/>
      <c r="T5" s="261"/>
      <c r="U5" s="261"/>
    </row>
    <row r="6" spans="1:23">
      <c r="A6" s="256" t="s">
        <v>545</v>
      </c>
      <c r="B6" s="832"/>
      <c r="C6" s="832"/>
      <c r="D6" s="503">
        <f>'34a'!D6/'34b'!D6*100</f>
        <v>19879.841844098668</v>
      </c>
      <c r="E6" s="504">
        <f>'[7]34a'!E6/'[7]34b'!E6*100</f>
        <v>18560.063085674716</v>
      </c>
      <c r="F6" s="504">
        <f>'[7]34a'!F6/'[7]34b'!F6*100</f>
        <v>18018.429567212213</v>
      </c>
      <c r="G6" s="504">
        <f>'[7]34a'!G6/'[7]34b'!G6*100</f>
        <v>19023.935684670425</v>
      </c>
      <c r="H6" s="504">
        <f>'[7]34a'!H6/'[7]34b'!H6*100</f>
        <v>20537.380695059848</v>
      </c>
      <c r="I6" s="504">
        <f>'[7]34a'!I6/'[7]34b'!I6*100</f>
        <v>20505.737050886917</v>
      </c>
      <c r="J6" s="840">
        <f>'34a'!J6/'34b'!J6*100</f>
        <v>21409.907012058</v>
      </c>
      <c r="K6" s="504">
        <f>'34a'!K6/'34b'!K6*100</f>
        <v>21399.586643507329</v>
      </c>
      <c r="L6" s="504">
        <f>'34a'!L6/'34b'!L6*100</f>
        <v>21373.511608716537</v>
      </c>
      <c r="M6" s="504">
        <f>'34a'!M6/'34b'!M6*100</f>
        <v>21341.654991044797</v>
      </c>
      <c r="N6" s="504">
        <f>'34a'!N6/'34b'!N6*100</f>
        <v>21562.043598950724</v>
      </c>
      <c r="O6" s="504">
        <f>'34a'!O6/'34b'!O6*100</f>
        <v>21271.369056468895</v>
      </c>
      <c r="P6" s="504">
        <f>'34a'!P6/'34b'!P6*100</f>
        <v>21374.614508786781</v>
      </c>
      <c r="Q6" s="504">
        <f>'34a'!Q6/'34b'!Q6*100</f>
        <v>21365.69083278178</v>
      </c>
      <c r="R6" s="504">
        <f>'34a'!R6/'34b'!R6*100</f>
        <v>21437.971663776018</v>
      </c>
      <c r="S6" s="504">
        <f>'34a'!S6/'34b'!S6*100</f>
        <v>21426.54465715</v>
      </c>
      <c r="T6" s="504">
        <f>'34a'!T6/'34b'!T6*100</f>
        <v>21363.719762775527</v>
      </c>
      <c r="U6" s="504">
        <f>'34a'!U6/'34b'!U6*100</f>
        <v>21377.27902243437</v>
      </c>
      <c r="V6" s="504">
        <f>'34a'!V6/'34b'!V6*100</f>
        <v>21447.811518428389</v>
      </c>
      <c r="W6" s="504">
        <f>'34a'!W6/'34b'!W6*100</f>
        <v>21368.337627550281</v>
      </c>
    </row>
    <row r="7" spans="1:23">
      <c r="A7" s="256" t="s">
        <v>1219</v>
      </c>
      <c r="B7" s="832"/>
      <c r="C7" s="832"/>
      <c r="D7" s="503"/>
      <c r="E7" s="504">
        <f t="shared" ref="E7:I7" si="0">E6</f>
        <v>18560.063085674716</v>
      </c>
      <c r="F7" s="504">
        <f t="shared" si="0"/>
        <v>18018.429567212213</v>
      </c>
      <c r="G7" s="504">
        <f t="shared" si="0"/>
        <v>19023.935684670425</v>
      </c>
      <c r="H7" s="504">
        <f t="shared" si="0"/>
        <v>20537.380695059848</v>
      </c>
      <c r="I7" s="504">
        <f t="shared" si="0"/>
        <v>20505.737050886917</v>
      </c>
      <c r="J7" s="840">
        <f>J6</f>
        <v>21409.907012058</v>
      </c>
      <c r="K7" s="504">
        <f t="shared" ref="K7:W7" si="1">K6</f>
        <v>21399.586643507329</v>
      </c>
      <c r="L7" s="504">
        <f t="shared" si="1"/>
        <v>21373.511608716537</v>
      </c>
      <c r="M7" s="504">
        <f t="shared" si="1"/>
        <v>21341.654991044797</v>
      </c>
      <c r="N7" s="504">
        <f t="shared" si="1"/>
        <v>21562.043598950724</v>
      </c>
      <c r="O7" s="504">
        <f t="shared" si="1"/>
        <v>21271.369056468895</v>
      </c>
      <c r="P7" s="504">
        <f t="shared" si="1"/>
        <v>21374.614508786781</v>
      </c>
      <c r="Q7" s="504">
        <f t="shared" si="1"/>
        <v>21365.69083278178</v>
      </c>
      <c r="R7" s="504">
        <f t="shared" si="1"/>
        <v>21437.971663776018</v>
      </c>
      <c r="S7" s="504">
        <f t="shared" si="1"/>
        <v>21426.54465715</v>
      </c>
      <c r="T7" s="504">
        <f t="shared" si="1"/>
        <v>21363.719762775527</v>
      </c>
      <c r="U7" s="504">
        <f t="shared" si="1"/>
        <v>21377.27902243437</v>
      </c>
      <c r="V7" s="504">
        <f t="shared" si="1"/>
        <v>21447.811518428389</v>
      </c>
      <c r="W7" s="504">
        <f t="shared" si="1"/>
        <v>21368.337627550281</v>
      </c>
    </row>
    <row r="8" spans="1:23">
      <c r="A8" s="256" t="s">
        <v>1220</v>
      </c>
      <c r="B8" s="832"/>
      <c r="C8" s="832"/>
      <c r="D8" s="503">
        <f>'34a'!D8/'34b'!D8*100</f>
        <v>26770.827953951477</v>
      </c>
      <c r="E8" s="504">
        <f>'[7]34a'!E8/'[7]34b'!E8*100</f>
        <v>25686.299010673945</v>
      </c>
      <c r="F8" s="504">
        <f>'[7]34a'!F8/'[7]34b'!F8*100</f>
        <v>25816.071507380868</v>
      </c>
      <c r="G8" s="504">
        <f>'[7]34a'!G8/'[7]34b'!G8*100</f>
        <v>25796.706709854378</v>
      </c>
      <c r="H8" s="504">
        <f>'[7]34a'!H8/'[7]34b'!H8*100</f>
        <v>25476.050669535205</v>
      </c>
      <c r="I8" s="504">
        <f>'[7]34a'!I8/'[7]34b'!I8*100</f>
        <v>25436.379147373722</v>
      </c>
      <c r="J8" s="840">
        <f>'34a'!J8/'34b'!J8*100</f>
        <v>26575.276454008606</v>
      </c>
      <c r="K8" s="504">
        <f>'34a'!K8/'34b'!K8*100</f>
        <v>26473.779230983102</v>
      </c>
      <c r="L8" s="504">
        <f>'34a'!L8/'34b'!L8*100</f>
        <v>26437.592389411344</v>
      </c>
      <c r="M8" s="504">
        <f>'34a'!M8/'34b'!M8*100</f>
        <v>26460.381932136363</v>
      </c>
      <c r="N8" s="504">
        <f>'34a'!N8/'34b'!N8*100</f>
        <v>26522.461153318174</v>
      </c>
      <c r="O8" s="504">
        <f>'34a'!O8/'34b'!O8*100</f>
        <v>26457.953669022634</v>
      </c>
      <c r="P8" s="504">
        <f>'34a'!P8/'34b'!P8*100</f>
        <v>26454.991423456169</v>
      </c>
      <c r="Q8" s="504">
        <f>'34a'!Q8/'34b'!Q8*100</f>
        <v>26678.258879139219</v>
      </c>
      <c r="R8" s="504">
        <f>'34a'!R8/'34b'!R8*100</f>
        <v>26588.057170310316</v>
      </c>
      <c r="S8" s="504">
        <f>'34a'!S8/'34b'!S8*100</f>
        <v>26477.381953705702</v>
      </c>
      <c r="T8" s="504">
        <f>'34a'!T8/'34b'!T8*100</f>
        <v>26593.329942336259</v>
      </c>
      <c r="U8" s="504">
        <f>'34a'!U8/'34b'!U8*100</f>
        <v>26449.283760839735</v>
      </c>
      <c r="V8" s="504">
        <f>'34a'!V8/'34b'!V8*100</f>
        <v>26478.168698508551</v>
      </c>
      <c r="W8" s="504">
        <f>'34a'!W8/'34b'!W8*100</f>
        <v>26565.093825168959</v>
      </c>
    </row>
    <row r="9" spans="1:23">
      <c r="A9" s="256" t="s">
        <v>1221</v>
      </c>
      <c r="B9" s="832"/>
      <c r="C9" s="832"/>
      <c r="D9" s="503">
        <f>'34a'!D9/'34b'!D9*100</f>
        <v>39226.1017028196</v>
      </c>
      <c r="E9" s="504">
        <f>'[7]34a'!E9/'[7]34b'!E9*100</f>
        <v>37033.396266973716</v>
      </c>
      <c r="F9" s="504">
        <f>'[7]34a'!F9/'[7]34b'!F9*100</f>
        <v>36330.055720624623</v>
      </c>
      <c r="G9" s="504">
        <f>'[7]34a'!G9/'[7]34b'!G9*100</f>
        <v>37803.651952883905</v>
      </c>
      <c r="H9" s="504">
        <f>'[7]34a'!H9/'[7]34b'!H9*100</f>
        <v>37963.103764131578</v>
      </c>
      <c r="I9" s="504">
        <f>'[7]34a'!I9/'[7]34b'!I9*100</f>
        <v>38038.452492746415</v>
      </c>
      <c r="J9" s="840">
        <f>'34a'!J9/'34b'!J9*100</f>
        <v>39544.612919656021</v>
      </c>
      <c r="K9" s="504">
        <f>'34a'!K9/'34b'!K9*100</f>
        <v>39492.96712871526</v>
      </c>
      <c r="L9" s="504">
        <f>'34a'!L9/'34b'!L9*100</f>
        <v>39576.150272682644</v>
      </c>
      <c r="M9" s="504">
        <f>'34a'!M9/'34b'!M9*100</f>
        <v>39619.577532060073</v>
      </c>
      <c r="N9" s="504">
        <f>'34a'!N9/'34b'!N9*100</f>
        <v>39549.599725747867</v>
      </c>
      <c r="O9" s="504">
        <f>'34a'!O9/'34b'!O9*100</f>
        <v>39578.439135662818</v>
      </c>
      <c r="P9" s="504">
        <f>'34a'!P9/'34b'!P9*100</f>
        <v>39629.360904854228</v>
      </c>
      <c r="Q9" s="504">
        <f>'34a'!Q9/'34b'!Q9*100</f>
        <v>39543.867370640204</v>
      </c>
      <c r="R9" s="504">
        <f>'34a'!R9/'34b'!R9*100</f>
        <v>39596.814514471313</v>
      </c>
      <c r="S9" s="504">
        <f>'34a'!S9/'34b'!S9*100</f>
        <v>39394.265707517101</v>
      </c>
      <c r="T9" s="504">
        <f>'34a'!T9/'34b'!T9*100</f>
        <v>39553.041047384366</v>
      </c>
      <c r="U9" s="504">
        <f>'34a'!U9/'34b'!U9*100</f>
        <v>39552.609936737354</v>
      </c>
      <c r="V9" s="504">
        <f>'34a'!V9/'34b'!V9*100</f>
        <v>39663.164067316044</v>
      </c>
      <c r="W9" s="504">
        <f>'34a'!W9/'34b'!W9*100</f>
        <v>39839.357827659333</v>
      </c>
    </row>
    <row r="10" spans="1:23" ht="15.75">
      <c r="A10" s="256" t="s">
        <v>1770</v>
      </c>
      <c r="B10" s="832"/>
      <c r="C10" s="832"/>
      <c r="D10" s="503"/>
      <c r="E10" s="504"/>
      <c r="F10" s="504"/>
      <c r="G10" s="504"/>
      <c r="H10" s="504"/>
      <c r="I10" s="504"/>
      <c r="J10" s="840"/>
      <c r="K10" s="504"/>
      <c r="L10" s="504"/>
      <c r="M10" s="504"/>
      <c r="N10" s="504"/>
      <c r="O10" s="504"/>
      <c r="P10" s="504"/>
      <c r="Q10" s="504"/>
      <c r="R10" s="504"/>
      <c r="S10" s="504"/>
      <c r="T10" s="504"/>
      <c r="U10" s="504"/>
    </row>
    <row r="11" spans="1:23">
      <c r="A11" s="256" t="s">
        <v>545</v>
      </c>
      <c r="B11" s="832"/>
      <c r="C11" s="832"/>
      <c r="D11" s="503">
        <f>'34a'!D11/'34b'!D11*100</f>
        <v>19901.530915999843</v>
      </c>
      <c r="E11" s="504">
        <f>'[7]34a'!E11/'[7]34b'!E11*100</f>
        <v>18461.977792189013</v>
      </c>
      <c r="F11" s="504">
        <f>'[7]34a'!F11/'[7]34b'!F11*100</f>
        <v>17874.045855251228</v>
      </c>
      <c r="G11" s="504">
        <f>'[7]34a'!G11/'[7]34b'!G11*100</f>
        <v>19018.646240622373</v>
      </c>
      <c r="H11" s="504">
        <f>'[7]34a'!H11/'[7]34b'!H11*100</f>
        <v>20550.314114892804</v>
      </c>
      <c r="I11" s="504">
        <f>'[7]34a'!I11/'[7]34b'!I11*100</f>
        <v>20518.956290497295</v>
      </c>
      <c r="J11" s="840">
        <f>'34a'!J11/'34b'!J11*100</f>
        <v>21434.302463452561</v>
      </c>
      <c r="K11" s="504">
        <f>'34a'!K11/'34b'!K11*100</f>
        <v>21412.576690751139</v>
      </c>
      <c r="L11" s="504">
        <f>'34a'!L11/'34b'!L11*100</f>
        <v>21408.72909127735</v>
      </c>
      <c r="M11" s="504">
        <f>'34a'!M11/'34b'!M11*100</f>
        <v>21332.898279868685</v>
      </c>
      <c r="N11" s="504">
        <f>'34a'!N11/'34b'!N11*100</f>
        <v>21575.472496267619</v>
      </c>
      <c r="O11" s="504">
        <f>'34a'!O11/'34b'!O11*100</f>
        <v>21251.786416640043</v>
      </c>
      <c r="P11" s="504">
        <f>'34a'!P11/'34b'!P11*100</f>
        <v>21340.318128434392</v>
      </c>
      <c r="Q11" s="504">
        <f>'34a'!Q11/'34b'!Q11*100</f>
        <v>21298.861325103462</v>
      </c>
      <c r="R11" s="504">
        <f>'34a'!R11/'34b'!R11*100</f>
        <v>21391.29561675874</v>
      </c>
      <c r="S11" s="504">
        <f>'34a'!S11/'34b'!S11*100</f>
        <v>21340.918571681421</v>
      </c>
      <c r="T11" s="504">
        <f>'34a'!T11/'34b'!T11*100</f>
        <v>21308.034164724551</v>
      </c>
      <c r="U11" s="504">
        <f>'34a'!U11/'34b'!U11*100</f>
        <v>21323.657620823302</v>
      </c>
      <c r="V11" s="504">
        <f>'34a'!V11/'34b'!V11*100</f>
        <v>21393.356057701305</v>
      </c>
      <c r="W11" s="504">
        <f>'34a'!W11/'34b'!W11*100</f>
        <v>21292.165309851916</v>
      </c>
    </row>
    <row r="12" spans="1:23">
      <c r="A12" s="256" t="s">
        <v>1219</v>
      </c>
      <c r="B12" s="832"/>
      <c r="C12" s="832"/>
      <c r="D12" s="503"/>
      <c r="E12" s="504">
        <v>18461.977792189013</v>
      </c>
      <c r="F12" s="504">
        <v>17874.045855251228</v>
      </c>
      <c r="G12" s="504">
        <v>19018.646240622373</v>
      </c>
      <c r="H12" s="504">
        <v>20550.314114892804</v>
      </c>
      <c r="I12" s="504">
        <v>20518.956290497295</v>
      </c>
      <c r="J12" s="840">
        <f>J11</f>
        <v>21434.302463452561</v>
      </c>
      <c r="K12" s="504">
        <v>21412.576690751139</v>
      </c>
      <c r="L12" s="504">
        <v>21408.72909127735</v>
      </c>
      <c r="M12" s="504">
        <v>21332.898279868685</v>
      </c>
      <c r="N12" s="504">
        <v>21575.472496267619</v>
      </c>
      <c r="O12" s="504">
        <v>21251.786416640043</v>
      </c>
      <c r="P12" s="504">
        <v>21340.318128434392</v>
      </c>
      <c r="Q12" s="504">
        <v>21298.861325103462</v>
      </c>
      <c r="R12" s="504">
        <v>21391.29561675874</v>
      </c>
      <c r="S12" s="504">
        <v>21340.918571681421</v>
      </c>
      <c r="T12" s="504">
        <v>21308.034164724551</v>
      </c>
      <c r="U12" s="504">
        <v>21323.657620823302</v>
      </c>
      <c r="V12" s="504">
        <v>21393.356057701305</v>
      </c>
      <c r="W12" s="504">
        <v>21292.165309851916</v>
      </c>
    </row>
    <row r="13" spans="1:23">
      <c r="A13" s="256" t="s">
        <v>1222</v>
      </c>
      <c r="B13" s="832"/>
      <c r="C13" s="832"/>
      <c r="D13" s="503">
        <f>'34a'!D13/'34b'!D13*100</f>
        <v>26787.679030283332</v>
      </c>
      <c r="E13" s="504">
        <f>'[7]34a'!E13/'[7]34b'!E13*100</f>
        <v>25650.980795806641</v>
      </c>
      <c r="F13" s="504">
        <f>'[7]34a'!F13/'[7]34b'!F13*100</f>
        <v>25777.572604629473</v>
      </c>
      <c r="G13" s="504">
        <f>'[7]34a'!G13/'[7]34b'!G13*100</f>
        <v>25783.593449482622</v>
      </c>
      <c r="H13" s="504">
        <f>'[7]34a'!H13/'[7]34b'!H13*100</f>
        <v>25481.290234176478</v>
      </c>
      <c r="I13" s="504">
        <f>'[7]34a'!I13/'[7]34b'!I13*100</f>
        <v>25443.890475099535</v>
      </c>
      <c r="J13" s="840">
        <f>'34a'!J13/'34b'!J13*100</f>
        <v>26573.705914355782</v>
      </c>
      <c r="K13" s="504">
        <f>'34a'!K13/'34b'!K13*100</f>
        <v>26500.258324260096</v>
      </c>
      <c r="L13" s="504">
        <f>'34a'!L13/'34b'!L13*100</f>
        <v>26437.329648352686</v>
      </c>
      <c r="M13" s="504">
        <f>'34a'!M13/'34b'!M13*100</f>
        <v>26443.366778546606</v>
      </c>
      <c r="N13" s="504">
        <f>'34a'!N13/'34b'!N13*100</f>
        <v>26492.738594019989</v>
      </c>
      <c r="O13" s="504">
        <f>'34a'!O13/'34b'!O13*100</f>
        <v>26410.069392940277</v>
      </c>
      <c r="P13" s="504">
        <f>'34a'!P13/'34b'!P13*100</f>
        <v>26386.80524693101</v>
      </c>
      <c r="Q13" s="504">
        <f>'34a'!Q13/'34b'!Q13*100</f>
        <v>26593.983389099925</v>
      </c>
      <c r="R13" s="504">
        <f>'34a'!R13/'34b'!R13*100</f>
        <v>26510.200059861178</v>
      </c>
      <c r="S13" s="504">
        <f>'34a'!S13/'34b'!S13*100</f>
        <v>26381.897123854451</v>
      </c>
      <c r="T13" s="504">
        <f>'34a'!T13/'34b'!T13*100</f>
        <v>26498.741520161264</v>
      </c>
      <c r="U13" s="504">
        <f>'34a'!U13/'34b'!U13*100</f>
        <v>26372.612933764514</v>
      </c>
      <c r="V13" s="504">
        <f>'34a'!V13/'34b'!V13*100</f>
        <v>26378.585384993228</v>
      </c>
      <c r="W13" s="504">
        <f>'34a'!W13/'34b'!W13*100</f>
        <v>26503.358391286878</v>
      </c>
    </row>
    <row r="14" spans="1:23">
      <c r="A14" s="256" t="s">
        <v>1221</v>
      </c>
      <c r="B14" s="832"/>
      <c r="C14" s="832"/>
      <c r="D14" s="503">
        <f>'34a'!D14/'34b'!D14*100</f>
        <v>39286.370103067464</v>
      </c>
      <c r="E14" s="504">
        <f>'[7]34a'!E14/'[7]34b'!E14*100</f>
        <v>36912.302010951549</v>
      </c>
      <c r="F14" s="504">
        <f>'[7]34a'!F14/'[7]34b'!F14*100</f>
        <v>36089.751369998827</v>
      </c>
      <c r="G14" s="504">
        <f>'[7]34a'!G14/'[7]34b'!G14*100</f>
        <v>37792.321220079211</v>
      </c>
      <c r="H14" s="504">
        <f>'[7]34a'!H14/'[7]34b'!H14*100</f>
        <v>37974.620887963189</v>
      </c>
      <c r="I14" s="504">
        <f>'[7]34a'!I14/'[7]34b'!I14*100</f>
        <v>38035.304691509984</v>
      </c>
      <c r="J14" s="840">
        <f>'34a'!J14/'34b'!J14*100</f>
        <v>39548.572322928921</v>
      </c>
      <c r="K14" s="504">
        <f>'34a'!K14/'34b'!K14*100</f>
        <v>39519.273602214853</v>
      </c>
      <c r="L14" s="504">
        <f>'34a'!L14/'34b'!L14*100</f>
        <v>39581.406948257594</v>
      </c>
      <c r="M14" s="504">
        <f>'34a'!M14/'34b'!M14*100</f>
        <v>39575.887372818615</v>
      </c>
      <c r="N14" s="504">
        <f>'34a'!N14/'34b'!N14*100</f>
        <v>39526.16793421498</v>
      </c>
      <c r="O14" s="504">
        <f>'34a'!O14/'34b'!O14*100</f>
        <v>39469.663094303818</v>
      </c>
      <c r="P14" s="504">
        <f>'34a'!P14/'34b'!P14*100</f>
        <v>39535.648550419974</v>
      </c>
      <c r="Q14" s="504">
        <f>'34a'!Q14/'34b'!Q14*100</f>
        <v>39406.413311589029</v>
      </c>
      <c r="R14" s="504">
        <f>'34a'!R14/'34b'!R14*100</f>
        <v>39477.570916302306</v>
      </c>
      <c r="S14" s="504">
        <f>'34a'!S14/'34b'!S14*100</f>
        <v>39274.883443243809</v>
      </c>
      <c r="T14" s="504">
        <f>'34a'!T14/'34b'!T14*100</f>
        <v>39440.269234881984</v>
      </c>
      <c r="U14" s="504">
        <f>'34a'!U14/'34b'!U14*100</f>
        <v>39406.178783242198</v>
      </c>
      <c r="V14" s="504">
        <f>'34a'!V14/'34b'!V14*100</f>
        <v>39531.708547296264</v>
      </c>
      <c r="W14" s="504">
        <f>'34a'!W14/'34b'!W14*100</f>
        <v>39727.789474774945</v>
      </c>
    </row>
    <row r="15" spans="1:23">
      <c r="A15" s="832" t="s">
        <v>1223</v>
      </c>
      <c r="B15" s="832"/>
      <c r="C15" s="832"/>
      <c r="D15" s="503"/>
      <c r="E15" s="504"/>
      <c r="F15" s="504"/>
      <c r="G15" s="504"/>
      <c r="H15" s="504"/>
      <c r="I15" s="504"/>
      <c r="J15" s="840"/>
      <c r="K15" s="504"/>
      <c r="L15" s="504"/>
      <c r="M15" s="504"/>
      <c r="N15" s="504"/>
      <c r="O15" s="504"/>
      <c r="P15" s="504"/>
      <c r="Q15" s="504"/>
      <c r="R15" s="504"/>
      <c r="S15" s="504"/>
      <c r="T15" s="504"/>
      <c r="U15" s="504"/>
    </row>
    <row r="16" spans="1:23">
      <c r="A16" s="256" t="s">
        <v>545</v>
      </c>
      <c r="D16" s="503">
        <f>'34a'!D16/'34b'!D16*100</f>
        <v>17448.484848484848</v>
      </c>
      <c r="E16" s="504">
        <f>'[7]34a'!E16/'[7]34b'!E16*100</f>
        <v>16968.75</v>
      </c>
      <c r="F16" s="504">
        <f>'[7]34a'!F16/'[7]34b'!F16*100</f>
        <v>17190.625</v>
      </c>
      <c r="G16" s="504">
        <f>'[7]34a'!G16/'[7]34b'!G16*100</f>
        <v>16915.151515151516</v>
      </c>
      <c r="H16" s="504">
        <f>'[7]34a'!H16/'[7]34b'!H16*100</f>
        <v>17875</v>
      </c>
      <c r="I16" s="504">
        <f>'[7]34a'!I16/'[7]34b'!I16*100</f>
        <v>17671.875</v>
      </c>
      <c r="J16" s="840">
        <f>'34a'!J16/'34b'!J16*100</f>
        <v>18396.875</v>
      </c>
      <c r="K16" s="504">
        <f>'34a'!K16/'34b'!K16*100</f>
        <v>18590.322580645163</v>
      </c>
      <c r="L16" s="504">
        <f>'34a'!L16/'34b'!L16*100</f>
        <v>18805.555555555555</v>
      </c>
      <c r="M16" s="504">
        <f>'34a'!M16/'34b'!M16*100</f>
        <v>17911.111111111113</v>
      </c>
      <c r="N16" s="504">
        <f>'34a'!N16/'34b'!N16*100</f>
        <v>17966.666666666664</v>
      </c>
      <c r="O16" s="504">
        <f>'34a'!O16/'34b'!O16*100</f>
        <v>17888.888888888887</v>
      </c>
      <c r="P16" s="504">
        <f>'34a'!P16/'34b'!P16*100</f>
        <v>17908.333333333336</v>
      </c>
      <c r="Q16" s="504">
        <f>'34a'!Q16/'34b'!Q16*100</f>
        <v>18675</v>
      </c>
      <c r="R16" s="504">
        <f>'34a'!R16/'34b'!R16*100</f>
        <v>18483.673469387755</v>
      </c>
      <c r="S16" s="504">
        <f>'34a'!S16/'34b'!S16*100</f>
        <v>18780.851063829785</v>
      </c>
      <c r="T16" s="504">
        <f>'34a'!T16/'34b'!T16*100</f>
        <v>18459.574468085106</v>
      </c>
      <c r="U16" s="504">
        <f>'34a'!U16/'34b'!U16*100</f>
        <v>18578.26086956522</v>
      </c>
      <c r="V16" s="504">
        <f>'34a'!V16/'34b'!V16*100</f>
        <v>18581.632653061224</v>
      </c>
      <c r="W16" s="504">
        <f>'34a'!W16/'34b'!W16*100</f>
        <v>18696</v>
      </c>
    </row>
    <row r="17" spans="1:23">
      <c r="A17" s="256" t="s">
        <v>1219</v>
      </c>
      <c r="D17" s="503"/>
      <c r="E17" s="504">
        <v>16968.75</v>
      </c>
      <c r="F17" s="504">
        <v>17190.625</v>
      </c>
      <c r="G17" s="504">
        <v>16915.151515151516</v>
      </c>
      <c r="H17" s="504">
        <v>17875</v>
      </c>
      <c r="I17" s="504">
        <v>17671.875</v>
      </c>
      <c r="J17" s="840">
        <f>J16</f>
        <v>18396.875</v>
      </c>
      <c r="K17" s="504">
        <v>18590.322580645163</v>
      </c>
      <c r="L17" s="504">
        <v>18805.555555555555</v>
      </c>
      <c r="M17" s="504">
        <v>17911.111111111113</v>
      </c>
      <c r="N17" s="504">
        <v>17966.666666666664</v>
      </c>
      <c r="O17" s="504">
        <v>17888.888888888887</v>
      </c>
      <c r="P17" s="504">
        <v>17908.333333333336</v>
      </c>
      <c r="Q17" s="504">
        <v>18675</v>
      </c>
      <c r="R17" s="504">
        <v>18483.673469387755</v>
      </c>
      <c r="S17" s="504">
        <v>18780.851063829785</v>
      </c>
      <c r="T17" s="504">
        <v>18459.574468085106</v>
      </c>
      <c r="U17" s="504">
        <v>18578.26086956522</v>
      </c>
      <c r="V17" s="504">
        <v>18581.632653061224</v>
      </c>
      <c r="W17" s="504">
        <v>18696</v>
      </c>
    </row>
    <row r="18" spans="1:23">
      <c r="A18" s="256" t="s">
        <v>1222</v>
      </c>
      <c r="D18" s="503">
        <f>'34a'!D18/'34b'!D18*100</f>
        <v>23885.294117647059</v>
      </c>
      <c r="E18" s="504">
        <f>'[7]34a'!E18/'[7]34b'!E18*100</f>
        <v>23140.909090909092</v>
      </c>
      <c r="F18" s="504">
        <f>'[7]34a'!F18/'[7]34b'!F18*100</f>
        <v>23144.776119402984</v>
      </c>
      <c r="G18" s="504">
        <f>'[7]34a'!G18/'[7]34b'!G18*100</f>
        <v>23126.08695652174</v>
      </c>
      <c r="H18" s="504">
        <f>'[7]34a'!H18/'[7]34b'!H18*100</f>
        <v>22182.432432432433</v>
      </c>
      <c r="I18" s="504">
        <f>'[7]34a'!I18/'[7]34b'!I18*100</f>
        <v>22245.205479452052</v>
      </c>
      <c r="J18" s="840">
        <f>'34a'!J18/'34b'!J18*100</f>
        <v>23154.794520547948</v>
      </c>
      <c r="K18" s="504">
        <f>'34a'!K18/'34b'!K18*100</f>
        <v>23298.591549295776</v>
      </c>
      <c r="L18" s="504">
        <f>'34a'!L18/'34b'!L18*100</f>
        <v>23136.111111111113</v>
      </c>
      <c r="M18" s="504">
        <f>'34a'!M18/'34b'!M18*100</f>
        <v>23350.68493150685</v>
      </c>
      <c r="N18" s="504">
        <f>'34a'!N18/'34b'!N18*100</f>
        <v>23142.666666666668</v>
      </c>
      <c r="O18" s="504">
        <f>'34a'!O18/'34b'!O18*100</f>
        <v>23171.052631578947</v>
      </c>
      <c r="P18" s="504">
        <f>'34a'!P18/'34b'!P18*100</f>
        <v>23080.263157894737</v>
      </c>
      <c r="Q18" s="504">
        <f>'34a'!Q18/'34b'!Q18*100</f>
        <v>23103.947368421053</v>
      </c>
      <c r="R18" s="504">
        <f>'34a'!R18/'34b'!R18*100</f>
        <v>23246.666666666668</v>
      </c>
      <c r="S18" s="504">
        <f>'34a'!S18/'34b'!S18*100</f>
        <v>23150</v>
      </c>
      <c r="T18" s="504">
        <f>'34a'!T18/'34b'!T18*100</f>
        <v>23284.931506849316</v>
      </c>
      <c r="U18" s="504">
        <f>'34a'!U18/'34b'!U18*100</f>
        <v>23105.479452054795</v>
      </c>
      <c r="V18" s="504">
        <f>'34a'!V18/'34b'!V18*100</f>
        <v>23100</v>
      </c>
      <c r="W18" s="504">
        <f>'34a'!W18/'34b'!W18*100</f>
        <v>23195.06172839506</v>
      </c>
    </row>
    <row r="19" spans="1:23">
      <c r="A19" s="256" t="s">
        <v>1221</v>
      </c>
      <c r="D19" s="503">
        <f>'34a'!D19/'34b'!D19*100</f>
        <v>35018.965517241377</v>
      </c>
      <c r="E19" s="504">
        <f>'[7]34a'!E19/'[7]34b'!E19*100</f>
        <v>33439.28571428571</v>
      </c>
      <c r="F19" s="504">
        <f>'[7]34a'!F19/'[7]34b'!F19*100</f>
        <v>33785.714285714283</v>
      </c>
      <c r="G19" s="504">
        <f>'[7]34a'!G19/'[7]34b'!G19*100</f>
        <v>33603.57142857142</v>
      </c>
      <c r="H19" s="504">
        <f>'[7]34a'!H19/'[7]34b'!H19*100</f>
        <v>33491.07142857142</v>
      </c>
      <c r="I19" s="504">
        <f>'[7]34a'!I19/'[7]34b'!I19*100</f>
        <v>33105.357142857138</v>
      </c>
      <c r="J19" s="840">
        <f>'34a'!J19/'34b'!J19*100</f>
        <v>34462.5</v>
      </c>
      <c r="K19" s="504">
        <f>'34a'!K19/'34b'!K19*100</f>
        <v>34347.272727272728</v>
      </c>
      <c r="L19" s="504">
        <f>'34a'!L19/'34b'!L19*100</f>
        <v>34490.909090909096</v>
      </c>
      <c r="M19" s="504">
        <f>'34a'!M19/'34b'!M19*100</f>
        <v>34771.428571428572</v>
      </c>
      <c r="N19" s="504">
        <f>'34a'!N19/'34b'!N19*100</f>
        <v>34468.965517241377</v>
      </c>
      <c r="O19" s="504">
        <f>'34a'!O19/'34b'!O19*100</f>
        <v>34701.694915254237</v>
      </c>
      <c r="P19" s="504">
        <f>'34a'!P19/'34b'!P19*100</f>
        <v>34716.949152542373</v>
      </c>
      <c r="Q19" s="504">
        <f>'34a'!Q19/'34b'!Q19*100</f>
        <v>34593.333333333336</v>
      </c>
      <c r="R19" s="504">
        <f>'34a'!R19/'34b'!R19*100</f>
        <v>34601.666666666664</v>
      </c>
      <c r="S19" s="504">
        <f>'34a'!S19/'34b'!S19*100</f>
        <v>34745.762711864401</v>
      </c>
      <c r="T19" s="504">
        <f>'34a'!T19/'34b'!T19*100</f>
        <v>34657.627118644072</v>
      </c>
      <c r="U19" s="504">
        <f>'34a'!U19/'34b'!U19*100</f>
        <v>34589.830508474573</v>
      </c>
      <c r="V19" s="504">
        <f>'34a'!V19/'34b'!V19*100</f>
        <v>34667.741935483871</v>
      </c>
      <c r="W19" s="504">
        <f>'34a'!W19/'34b'!W19*100</f>
        <v>34938.709677419356</v>
      </c>
    </row>
    <row r="20" spans="1:23">
      <c r="A20" s="256" t="s">
        <v>1224</v>
      </c>
      <c r="D20" s="503"/>
      <c r="E20" s="504"/>
      <c r="F20" s="504"/>
      <c r="G20" s="504"/>
      <c r="H20" s="504"/>
      <c r="I20" s="504"/>
      <c r="J20" s="840"/>
      <c r="K20" s="504"/>
      <c r="L20" s="504"/>
      <c r="M20" s="504"/>
      <c r="N20" s="504"/>
      <c r="O20" s="504"/>
      <c r="P20" s="504"/>
      <c r="Q20" s="504"/>
      <c r="R20" s="504"/>
      <c r="S20" s="504"/>
      <c r="T20" s="504"/>
      <c r="U20" s="504"/>
    </row>
    <row r="21" spans="1:23">
      <c r="A21" s="256" t="s">
        <v>545</v>
      </c>
      <c r="D21" s="503">
        <f>'34a'!D21/'34b'!D21*100</f>
        <v>17248.387096774193</v>
      </c>
      <c r="E21" s="504">
        <f>'[7]34a'!E21/'[7]34b'!E21*100</f>
        <v>15196.969696969696</v>
      </c>
      <c r="F21" s="504">
        <f>'[7]34a'!F21/'[7]34b'!F21*100</f>
        <v>16820</v>
      </c>
      <c r="G21" s="504">
        <f>'[7]34a'!G21/'[7]34b'!G21*100</f>
        <v>16554.83870967742</v>
      </c>
      <c r="H21" s="504">
        <f>'[7]34a'!H21/'[7]34b'!H21*100</f>
        <v>17751.724137931036</v>
      </c>
      <c r="I21" s="504">
        <f>'[7]34a'!I21/'[7]34b'!I21*100</f>
        <v>17636.206896551728</v>
      </c>
      <c r="J21" s="840">
        <f>'34a'!J21/'34b'!J21*100</f>
        <v>18484.615384615383</v>
      </c>
      <c r="K21" s="504">
        <f>'34a'!K21/'34b'!K21*100</f>
        <v>18645</v>
      </c>
      <c r="L21" s="504">
        <f>'34a'!L21/'34b'!L21*100</f>
        <v>18459.45945945946</v>
      </c>
      <c r="M21" s="504">
        <f>'34a'!M21/'34b'!M21*100</f>
        <v>18381.08108108108</v>
      </c>
      <c r="N21" s="504">
        <f>'34a'!N21/'34b'!N21*100</f>
        <v>18719.444444444445</v>
      </c>
      <c r="O21" s="504">
        <f>'34a'!O21/'34b'!O21*100</f>
        <v>18397.222222222223</v>
      </c>
      <c r="P21" s="504">
        <f>'34a'!P21/'34b'!P21*100</f>
        <v>18327.027027027027</v>
      </c>
      <c r="Q21" s="504">
        <f>'34a'!Q21/'34b'!Q21*100</f>
        <v>18513.888888888887</v>
      </c>
      <c r="R21" s="504">
        <f>'34a'!R21/'34b'!R21*100</f>
        <v>18483.333333333336</v>
      </c>
      <c r="S21" s="504">
        <f>'34a'!S21/'34b'!S21*100</f>
        <v>18550</v>
      </c>
      <c r="T21" s="504">
        <f>'34a'!T21/'34b'!T21*100</f>
        <v>18366.666666666664</v>
      </c>
      <c r="U21" s="504">
        <f>'34a'!U21/'34b'!U21*100</f>
        <v>18508.571428571428</v>
      </c>
      <c r="V21" s="504">
        <f>'34a'!V21/'34b'!V21*100</f>
        <v>18600</v>
      </c>
      <c r="W21" s="504">
        <f>'34a'!W21/'34b'!W21*100</f>
        <v>18791.428571428572</v>
      </c>
    </row>
    <row r="22" spans="1:23">
      <c r="A22" s="256" t="s">
        <v>1219</v>
      </c>
      <c r="C22" s="757"/>
      <c r="D22" s="503"/>
      <c r="E22" s="504">
        <v>15196.969696969696</v>
      </c>
      <c r="F22" s="504">
        <v>16820</v>
      </c>
      <c r="G22" s="504">
        <v>16554.83870967742</v>
      </c>
      <c r="H22" s="504">
        <v>17751.724137931036</v>
      </c>
      <c r="I22" s="504">
        <v>17636.206896551728</v>
      </c>
      <c r="J22" s="840">
        <f>J21</f>
        <v>18484.615384615383</v>
      </c>
      <c r="K22" s="504">
        <v>18645</v>
      </c>
      <c r="L22" s="504">
        <v>18459.45945945946</v>
      </c>
      <c r="M22" s="504">
        <v>18381.08108108108</v>
      </c>
      <c r="N22" s="504">
        <v>18719.444444444445</v>
      </c>
      <c r="O22" s="504">
        <v>18397.222222222223</v>
      </c>
      <c r="P22" s="504">
        <v>18327.027027027027</v>
      </c>
      <c r="Q22" s="504">
        <v>18513.888888888887</v>
      </c>
      <c r="R22" s="504">
        <v>18483.333333333336</v>
      </c>
      <c r="S22" s="504">
        <v>18550</v>
      </c>
      <c r="T22" s="504">
        <v>18366.666666666664</v>
      </c>
      <c r="U22" s="504">
        <v>18508.571428571428</v>
      </c>
      <c r="V22" s="504">
        <v>18600</v>
      </c>
      <c r="W22" s="504">
        <v>18791.428571428572</v>
      </c>
    </row>
    <row r="23" spans="1:23">
      <c r="A23" s="256" t="s">
        <v>1222</v>
      </c>
      <c r="D23" s="503">
        <f>'34a'!D23/'34b'!D23*100</f>
        <v>23307.042253521126</v>
      </c>
      <c r="E23" s="504">
        <f>'[7]34a'!E23/'[7]34b'!E23*100</f>
        <v>20524</v>
      </c>
      <c r="F23" s="504">
        <f>'[7]34a'!F23/'[7]34b'!F23*100</f>
        <v>22602.898550724636</v>
      </c>
      <c r="G23" s="504">
        <f>'[7]34a'!G23/'[7]34b'!G23*100</f>
        <v>22467.605633802817</v>
      </c>
      <c r="H23" s="504">
        <f>'[7]34a'!H23/'[7]34b'!H23*100</f>
        <v>22005.479452054795</v>
      </c>
      <c r="I23" s="504">
        <f>'[7]34a'!I23/'[7]34b'!I23*100</f>
        <v>22184.722222222223</v>
      </c>
      <c r="J23" s="840">
        <f>'34a'!J23/'34b'!J23*100</f>
        <v>23061.971830985916</v>
      </c>
      <c r="K23" s="504">
        <f>'34a'!K23/'34b'!K23*100</f>
        <v>23007.352941176468</v>
      </c>
      <c r="L23" s="504">
        <f>'34a'!L23/'34b'!L23*100</f>
        <v>23052.307692307691</v>
      </c>
      <c r="M23" s="504">
        <f>'34a'!M23/'34b'!M23*100</f>
        <v>23237.096774193549</v>
      </c>
      <c r="N23" s="504">
        <f>'34a'!N23/'34b'!N23*100</f>
        <v>23011.290322580648</v>
      </c>
      <c r="O23" s="504">
        <f>'34a'!O23/'34b'!O23*100</f>
        <v>22975.409836065573</v>
      </c>
      <c r="P23" s="504">
        <f>'34a'!P23/'34b'!P23*100</f>
        <v>23088.709677419352</v>
      </c>
      <c r="Q23" s="504">
        <f>'34a'!Q23/'34b'!Q23*100</f>
        <v>23040.322580645163</v>
      </c>
      <c r="R23" s="504">
        <f>'34a'!R23/'34b'!R23*100</f>
        <v>22969.841269841272</v>
      </c>
      <c r="S23" s="504">
        <f>'34a'!S23/'34b'!S23*100</f>
        <v>22958.730158730159</v>
      </c>
      <c r="T23" s="504">
        <f>'34a'!T23/'34b'!T23*100</f>
        <v>22895.238095238095</v>
      </c>
      <c r="U23" s="504">
        <f>'34a'!U23/'34b'!U23*100</f>
        <v>23045.16129032258</v>
      </c>
      <c r="V23" s="504">
        <f>'34a'!V23/'34b'!V23*100</f>
        <v>23181.81818181818</v>
      </c>
      <c r="W23" s="504">
        <f>'34a'!W23/'34b'!W23*100</f>
        <v>23207.352941176468</v>
      </c>
    </row>
    <row r="24" spans="1:23">
      <c r="A24" s="256" t="s">
        <v>1221</v>
      </c>
      <c r="D24" s="503">
        <f>'34a'!D24/'34b'!D24*100</f>
        <v>34074.32432432432</v>
      </c>
      <c r="E24" s="504">
        <f>'[7]34a'!E24/'[7]34b'!E24*100</f>
        <v>30021.794871794875</v>
      </c>
      <c r="F24" s="504">
        <f>'[7]34a'!F24/'[7]34b'!F24*100</f>
        <v>33305.633802816905</v>
      </c>
      <c r="G24" s="504">
        <f>'[7]34a'!G24/'[7]34b'!G24*100</f>
        <v>33102.739726027394</v>
      </c>
      <c r="H24" s="504">
        <f>'[7]34a'!H24/'[7]34b'!H24*100</f>
        <v>32987.67123287671</v>
      </c>
      <c r="I24" s="504">
        <f>'[7]34a'!I24/'[7]34b'!I24*100</f>
        <v>33190.277777777774</v>
      </c>
      <c r="J24" s="840">
        <f>'34a'!J24/'34b'!J24*100</f>
        <v>34505.633802816905</v>
      </c>
      <c r="K24" s="504">
        <f>'34a'!K24/'34b'!K24*100</f>
        <v>34667.647058823532</v>
      </c>
      <c r="L24" s="504">
        <f>'34a'!L24/'34b'!L24*100</f>
        <v>34304.6875</v>
      </c>
      <c r="M24" s="504">
        <f>'34a'!M24/'34b'!M24*100</f>
        <v>34298.4375</v>
      </c>
      <c r="N24" s="504">
        <f>'34a'!N24/'34b'!N24*100</f>
        <v>34522.222222222226</v>
      </c>
      <c r="O24" s="504">
        <f>'34a'!O24/'34b'!O24*100</f>
        <v>34475.806451612902</v>
      </c>
      <c r="P24" s="504">
        <f>'34a'!P24/'34b'!P24*100</f>
        <v>34570.3125</v>
      </c>
      <c r="Q24" s="504">
        <f>'34a'!Q24/'34b'!Q24*100</f>
        <v>34556.25</v>
      </c>
      <c r="R24" s="504">
        <f>'34a'!R24/'34b'!R24*100</f>
        <v>34443.076923076922</v>
      </c>
      <c r="S24" s="504">
        <f>'34a'!S24/'34b'!S24*100</f>
        <v>34309.230769230773</v>
      </c>
      <c r="T24" s="504">
        <f>'34a'!T24/'34b'!T24*100</f>
        <v>34261.538461538461</v>
      </c>
      <c r="U24" s="504">
        <f>'34a'!U24/'34b'!U24*100</f>
        <v>34551.5625</v>
      </c>
      <c r="V24" s="504">
        <f>'34a'!V24/'34b'!V24*100</f>
        <v>34530.303030303032</v>
      </c>
      <c r="W24" s="504">
        <f>'34a'!W24/'34b'!W24*100</f>
        <v>34706.060606060608</v>
      </c>
    </row>
    <row r="25" spans="1:23">
      <c r="A25" s="256" t="s">
        <v>1225</v>
      </c>
      <c r="D25" s="503"/>
      <c r="E25" s="504"/>
      <c r="F25" s="504"/>
      <c r="G25" s="504"/>
      <c r="H25" s="504"/>
      <c r="I25" s="504"/>
      <c r="J25" s="840"/>
      <c r="K25" s="504"/>
      <c r="L25" s="504"/>
      <c r="M25" s="504"/>
      <c r="N25" s="504"/>
      <c r="O25" s="504"/>
      <c r="P25" s="504"/>
      <c r="Q25" s="504"/>
      <c r="R25" s="504"/>
      <c r="S25" s="504"/>
      <c r="T25" s="504"/>
      <c r="U25" s="504"/>
    </row>
    <row r="26" spans="1:23">
      <c r="A26" s="256" t="s">
        <v>545</v>
      </c>
      <c r="D26" s="503">
        <f>'34a'!D26/'34b'!D26*100</f>
        <v>17863.636363636364</v>
      </c>
      <c r="E26" s="504">
        <f>'[7]34a'!E26/'[7]34b'!E26*100</f>
        <v>17022</v>
      </c>
      <c r="F26" s="504">
        <f>'[7]34a'!F26/'[7]34b'!F26*100</f>
        <v>17139.583333333336</v>
      </c>
      <c r="G26" s="504">
        <f>'[7]34a'!G26/'[7]34b'!G26*100</f>
        <v>17012.765957446809</v>
      </c>
      <c r="H26" s="504">
        <f>'[7]34a'!H26/'[7]34b'!H26*100</f>
        <v>18046.511627906977</v>
      </c>
      <c r="I26" s="504">
        <f>'[7]34a'!I26/'[7]34b'!I26*100</f>
        <v>17739.534883720931</v>
      </c>
      <c r="J26" s="840">
        <f>'34a'!J26/'34b'!J26*100</f>
        <v>18465.116279069767</v>
      </c>
      <c r="K26" s="504">
        <f>'34a'!K26/'34b'!K26*100</f>
        <v>18504.761904761905</v>
      </c>
      <c r="L26" s="504">
        <f>'34a'!L26/'34b'!L26*100</f>
        <v>18707.317073170732</v>
      </c>
      <c r="M26" s="504">
        <f>'34a'!M26/'34b'!M26*100</f>
        <v>18406.451612903227</v>
      </c>
      <c r="N26" s="504">
        <f>'34a'!N26/'34b'!N26*100</f>
        <v>18846.666666666668</v>
      </c>
      <c r="O26" s="504">
        <f>'34a'!O26/'34b'!O26*100</f>
        <v>18937.931034482757</v>
      </c>
      <c r="P26" s="504">
        <f>'34a'!P26/'34b'!P26*100</f>
        <v>18448.275862068964</v>
      </c>
      <c r="Q26" s="504">
        <f>'34a'!Q26/'34b'!Q26*100</f>
        <v>18937.931034482757</v>
      </c>
      <c r="R26" s="504">
        <f>'34a'!R26/'34b'!R26*100</f>
        <v>18670.967741935485</v>
      </c>
      <c r="S26" s="504">
        <f>'34a'!S26/'34b'!S26*100</f>
        <v>18786.666666666668</v>
      </c>
      <c r="T26" s="504">
        <f>'34a'!T26/'34b'!T26*100</f>
        <v>18503.333333333332</v>
      </c>
      <c r="U26" s="504">
        <f>'34a'!U26/'34b'!U26*100</f>
        <v>18840</v>
      </c>
      <c r="V26" s="504">
        <f>'34a'!V26/'34b'!V26*100</f>
        <v>18603.030303030304</v>
      </c>
      <c r="W26" s="504">
        <f>'34a'!W26/'34b'!W26*100</f>
        <v>18930.303030303032</v>
      </c>
    </row>
    <row r="27" spans="1:23">
      <c r="A27" s="256" t="s">
        <v>1219</v>
      </c>
      <c r="C27" s="757"/>
      <c r="D27" s="503"/>
      <c r="E27" s="504">
        <v>17022</v>
      </c>
      <c r="F27" s="504">
        <v>17139.583333333336</v>
      </c>
      <c r="G27" s="504">
        <v>17012.765957446809</v>
      </c>
      <c r="H27" s="504">
        <v>18046.511627906977</v>
      </c>
      <c r="I27" s="504">
        <v>17739.534883720931</v>
      </c>
      <c r="J27" s="840">
        <f>J26</f>
        <v>18465.116279069767</v>
      </c>
      <c r="K27" s="504">
        <v>18504.761904761905</v>
      </c>
      <c r="L27" s="504">
        <v>18707.317073170732</v>
      </c>
      <c r="M27" s="504">
        <v>18406.451612903227</v>
      </c>
      <c r="N27" s="504">
        <v>18846.666666666668</v>
      </c>
      <c r="O27" s="504">
        <v>18937.931034482757</v>
      </c>
      <c r="P27" s="504">
        <v>18448.275862068964</v>
      </c>
      <c r="Q27" s="504">
        <v>18937.931034482757</v>
      </c>
      <c r="R27" s="504">
        <v>18670.967741935485</v>
      </c>
      <c r="S27" s="504">
        <v>18786.666666666668</v>
      </c>
      <c r="T27" s="504">
        <v>18503.333333333332</v>
      </c>
      <c r="U27" s="504">
        <v>18840</v>
      </c>
      <c r="V27" s="504">
        <v>18603.030303030304</v>
      </c>
      <c r="W27" s="504">
        <v>18930.303030303032</v>
      </c>
    </row>
    <row r="28" spans="1:23">
      <c r="A28" s="256" t="s">
        <v>1222</v>
      </c>
      <c r="D28" s="503">
        <f>'34a'!D28/'34b'!D28*100</f>
        <v>24090.625</v>
      </c>
      <c r="E28" s="504">
        <f>'[7]34a'!E28/'[7]34b'!E28*100</f>
        <v>22972.727272727272</v>
      </c>
      <c r="F28" s="504">
        <f>'[7]34a'!F28/'[7]34b'!F28*100</f>
        <v>23213.636363636364</v>
      </c>
      <c r="G28" s="504">
        <f>'[7]34a'!G28/'[7]34b'!G28*100</f>
        <v>23071.641791044778</v>
      </c>
      <c r="H28" s="504">
        <f>'[7]34a'!H28/'[7]34b'!H28*100</f>
        <v>22249.27536231884</v>
      </c>
      <c r="I28" s="504">
        <f>'[7]34a'!I28/'[7]34b'!I28*100</f>
        <v>22214.705882352941</v>
      </c>
      <c r="J28" s="840">
        <f>'34a'!J28/'34b'!J28*100</f>
        <v>23089.855072463768</v>
      </c>
      <c r="K28" s="504">
        <f>'34a'!K28/'34b'!K28*100</f>
        <v>23323.880597014926</v>
      </c>
      <c r="L28" s="504">
        <f>'34a'!L28/'34b'!L28*100</f>
        <v>23301.515151515152</v>
      </c>
      <c r="M28" s="504">
        <f>'34a'!M28/'34b'!M28*100</f>
        <v>23286.153846153848</v>
      </c>
      <c r="N28" s="504">
        <f>'34a'!N28/'34b'!N28*100</f>
        <v>23306.153846153848</v>
      </c>
      <c r="O28" s="504">
        <f>'34a'!O28/'34b'!O28*100</f>
        <v>23201.538461538461</v>
      </c>
      <c r="P28" s="504">
        <f>'34a'!P28/'34b'!P28*100</f>
        <v>23196.875</v>
      </c>
      <c r="Q28" s="504">
        <f>'34a'!Q28/'34b'!Q28*100</f>
        <v>23276.666666666668</v>
      </c>
      <c r="R28" s="504">
        <f>'34a'!R28/'34b'!R28*100</f>
        <v>23376.271186440677</v>
      </c>
      <c r="S28" s="504">
        <f>'34a'!S28/'34b'!S28*100</f>
        <v>23412.068965517243</v>
      </c>
      <c r="T28" s="504">
        <f>'34a'!T28/'34b'!T28*100</f>
        <v>23291.37931034483</v>
      </c>
      <c r="U28" s="504">
        <f>'34a'!U28/'34b'!U28*100</f>
        <v>23215.517241379312</v>
      </c>
      <c r="V28" s="504">
        <f>'34a'!V28/'34b'!V28*100</f>
        <v>23153.225806451614</v>
      </c>
      <c r="W28" s="504">
        <f>'34a'!W28/'34b'!W28*100</f>
        <v>23373.015873015873</v>
      </c>
    </row>
    <row r="29" spans="1:23">
      <c r="A29" s="256" t="s">
        <v>1221</v>
      </c>
      <c r="D29" s="503">
        <f>'34a'!D29/'34b'!D29*100</f>
        <v>35082.456140350878</v>
      </c>
      <c r="E29" s="504">
        <f>'[7]34a'!E29/'[7]34b'!E29*100</f>
        <v>33580</v>
      </c>
      <c r="F29" s="504">
        <f>'[7]34a'!F29/'[7]34b'!F29*100</f>
        <v>33820.68965517242</v>
      </c>
      <c r="G29" s="504">
        <f>'[7]34a'!G29/'[7]34b'!G29*100</f>
        <v>33568.965517241384</v>
      </c>
      <c r="H29" s="504">
        <f>'[7]34a'!H29/'[7]34b'!H29*100</f>
        <v>33024.137931034486</v>
      </c>
      <c r="I29" s="504">
        <f>'[7]34a'!I29/'[7]34b'!I29*100</f>
        <v>33150.877192982458</v>
      </c>
      <c r="J29" s="840">
        <f>'34a'!J29/'34b'!J29*100</f>
        <v>34510.526315789473</v>
      </c>
      <c r="K29" s="504">
        <f>'34a'!K29/'34b'!K29*100</f>
        <v>34385.714285714283</v>
      </c>
      <c r="L29" s="504">
        <f>'34a'!L29/'34b'!L29*100</f>
        <v>34511.864406779656</v>
      </c>
      <c r="M29" s="504">
        <f>'34a'!M29/'34b'!M29*100</f>
        <v>34783.050847457627</v>
      </c>
      <c r="N29" s="504">
        <f>'34a'!N29/'34b'!N29*100</f>
        <v>34894.91525423729</v>
      </c>
      <c r="O29" s="504">
        <f>'34a'!O29/'34b'!O29*100</f>
        <v>34439.65517241379</v>
      </c>
      <c r="P29" s="504">
        <f>'34a'!P29/'34b'!P29*100</f>
        <v>34893.103448275862</v>
      </c>
      <c r="Q29" s="504">
        <f>'34a'!Q29/'34b'!Q29*100</f>
        <v>34580.327868852459</v>
      </c>
      <c r="R29" s="504">
        <f>'34a'!R29/'34b'!R29*100</f>
        <v>34634.482758620688</v>
      </c>
      <c r="S29" s="504">
        <f>'34a'!S29/'34b'!S29*100</f>
        <v>34803.508771929824</v>
      </c>
      <c r="T29" s="504">
        <f>'34a'!T29/'34b'!T29*100</f>
        <v>34742.105263157893</v>
      </c>
      <c r="U29" s="504">
        <f>'34a'!U29/'34b'!U29*100</f>
        <v>34805.263157894733</v>
      </c>
      <c r="V29" s="504">
        <f>'34a'!V29/'34b'!V29*100</f>
        <v>34652.542372881355</v>
      </c>
      <c r="W29" s="504">
        <f>'34a'!W29/'34b'!W29*100</f>
        <v>34684.745762711864</v>
      </c>
    </row>
    <row r="30" spans="1:23">
      <c r="A30" s="256" t="s">
        <v>1226</v>
      </c>
      <c r="D30" s="503"/>
      <c r="E30" s="504"/>
      <c r="F30" s="504"/>
      <c r="G30" s="504"/>
      <c r="H30" s="504"/>
      <c r="I30" s="504"/>
      <c r="J30" s="840"/>
      <c r="K30" s="504"/>
      <c r="L30" s="504"/>
      <c r="M30" s="504"/>
      <c r="N30" s="504"/>
      <c r="O30" s="504"/>
      <c r="P30" s="504"/>
      <c r="Q30" s="504"/>
      <c r="R30" s="504"/>
      <c r="S30" s="504"/>
      <c r="T30" s="504"/>
      <c r="U30" s="504"/>
      <c r="V30" s="504"/>
      <c r="W30" s="504"/>
    </row>
    <row r="31" spans="1:23">
      <c r="A31" s="256" t="s">
        <v>545</v>
      </c>
      <c r="D31" s="503">
        <f>'34a'!D31/'34b'!D31*100</f>
        <v>17609.090909090908</v>
      </c>
      <c r="E31" s="504">
        <f>'[7]34a'!E31/'[7]34b'!E31*100</f>
        <v>17175</v>
      </c>
      <c r="F31" s="504">
        <f>'[7]34a'!F31/'[7]34b'!F31*100</f>
        <v>17350</v>
      </c>
      <c r="G31" s="504">
        <f>'[7]34a'!G31/'[7]34b'!G31*100</f>
        <v>16972</v>
      </c>
      <c r="H31" s="504">
        <f>'[7]34a'!H31/'[7]34b'!H31*100</f>
        <v>17934.782608695652</v>
      </c>
      <c r="I31" s="504">
        <f>'[7]34a'!I31/'[7]34b'!I31*100</f>
        <v>17704.347826086956</v>
      </c>
      <c r="J31" s="840">
        <f>'34a'!J31/'34b'!J31*100</f>
        <v>18569.565217391304</v>
      </c>
      <c r="K31" s="504">
        <f>'34a'!K31/'34b'!K31*100</f>
        <v>19072.727272727272</v>
      </c>
      <c r="L31" s="504">
        <f>'34a'!L31/'34b'!L31*100</f>
        <v>18972.727272727272</v>
      </c>
      <c r="M31" s="504">
        <f>'34a'!M31/'34b'!M31*100</f>
        <v>18872.727272727272</v>
      </c>
      <c r="N31" s="504">
        <f>'34a'!N31/'34b'!N31*100</f>
        <v>18700</v>
      </c>
      <c r="O31" s="504">
        <f>'34a'!O31/'34b'!O31*100</f>
        <v>18377.272727272728</v>
      </c>
      <c r="P31" s="504">
        <f>'34a'!P31/'34b'!P31*100</f>
        <v>18761.904761904763</v>
      </c>
      <c r="Q31" s="504">
        <f>'34a'!Q31/'34b'!Q31*100</f>
        <v>18314.285714285714</v>
      </c>
      <c r="R31" s="504">
        <f>'34a'!R31/'34b'!R31*100</f>
        <v>18835</v>
      </c>
      <c r="S31" s="504">
        <f>'34a'!S31/'34b'!S31*100</f>
        <v>18350</v>
      </c>
      <c r="T31" s="504">
        <f>'34a'!T31/'34b'!T31*100</f>
        <v>18989.473684210527</v>
      </c>
      <c r="U31" s="504">
        <f>'34a'!U31/'34b'!U31*100</f>
        <v>18800</v>
      </c>
      <c r="V31" s="504">
        <f>'34a'!V31/'34b'!V31*100</f>
        <v>18763.15789473684</v>
      </c>
      <c r="W31" s="504">
        <f>'34a'!W31/'34b'!W31*100</f>
        <v>18810.526315789473</v>
      </c>
    </row>
    <row r="32" spans="1:23">
      <c r="A32" s="256" t="s">
        <v>1219</v>
      </c>
      <c r="C32" s="757"/>
      <c r="D32" s="503"/>
      <c r="E32" s="504">
        <v>17175</v>
      </c>
      <c r="F32" s="504">
        <v>17350</v>
      </c>
      <c r="G32" s="504">
        <v>16972</v>
      </c>
      <c r="H32" s="504">
        <v>17934.782608695652</v>
      </c>
      <c r="I32" s="504">
        <v>17704.347826086956</v>
      </c>
      <c r="J32" s="840">
        <f>J31</f>
        <v>18569.565217391304</v>
      </c>
      <c r="K32" s="504">
        <v>19072.727272727272</v>
      </c>
      <c r="L32" s="504">
        <v>18972.727272727272</v>
      </c>
      <c r="M32" s="504">
        <v>18872.727272727272</v>
      </c>
      <c r="N32" s="504">
        <v>18700</v>
      </c>
      <c r="O32" s="504">
        <v>18377.272727272728</v>
      </c>
      <c r="P32" s="504">
        <v>18761.904761904763</v>
      </c>
      <c r="Q32" s="504">
        <v>18314.285714285714</v>
      </c>
      <c r="R32" s="504">
        <v>18835</v>
      </c>
      <c r="S32" s="504">
        <v>18350</v>
      </c>
      <c r="T32" s="504">
        <v>18989.473684210527</v>
      </c>
      <c r="U32" s="504">
        <v>18800</v>
      </c>
      <c r="V32" s="504">
        <v>18763.15789473684</v>
      </c>
      <c r="W32" s="504">
        <v>18810.526315789473</v>
      </c>
    </row>
    <row r="33" spans="1:23">
      <c r="A33" s="256" t="s">
        <v>1222</v>
      </c>
      <c r="D33" s="503">
        <f>'34a'!D33/'34b'!D33*100</f>
        <v>24003.571428571428</v>
      </c>
      <c r="E33" s="504">
        <f>'[7]34a'!E33/'[7]34b'!E33*100</f>
        <v>22927.272727272724</v>
      </c>
      <c r="F33" s="504">
        <f>'[7]34a'!F33/'[7]34b'!F33*100</f>
        <v>23059.999999999996</v>
      </c>
      <c r="G33" s="504">
        <f>'[7]34a'!G33/'[7]34b'!G33*100</f>
        <v>23123.63636363636</v>
      </c>
      <c r="H33" s="504">
        <f>'[7]34a'!H33/'[7]34b'!H33*100</f>
        <v>22235.087719298248</v>
      </c>
      <c r="I33" s="504">
        <f>'[7]34a'!I33/'[7]34b'!I33*100</f>
        <v>22268.42105263158</v>
      </c>
      <c r="J33" s="840">
        <f>'34a'!J33/'34b'!J33*100</f>
        <v>23193.22033898305</v>
      </c>
      <c r="K33" s="504">
        <f>'34a'!K33/'34b'!K33*100</f>
        <v>23280.327868852459</v>
      </c>
      <c r="L33" s="504">
        <f>'34a'!L33/'34b'!L33*100</f>
        <v>23126.22950819672</v>
      </c>
      <c r="M33" s="504">
        <f>'34a'!M33/'34b'!M33*100</f>
        <v>23316.39344262295</v>
      </c>
      <c r="N33" s="504">
        <f>'34a'!N33/'34b'!N33*100</f>
        <v>23123.809523809523</v>
      </c>
      <c r="O33" s="504">
        <f>'34a'!O33/'34b'!O33*100</f>
        <v>23114.0625</v>
      </c>
      <c r="P33" s="504">
        <f>'34a'!P33/'34b'!P33*100</f>
        <v>23333.333333333336</v>
      </c>
      <c r="Q33" s="504">
        <f>'34a'!Q33/'34b'!Q33*100</f>
        <v>23322.222222222223</v>
      </c>
      <c r="R33" s="504">
        <f>'34a'!R33/'34b'!R33*100</f>
        <v>23160.317460317459</v>
      </c>
      <c r="S33" s="504">
        <f>'34a'!S33/'34b'!S33*100</f>
        <v>23156.451612903227</v>
      </c>
      <c r="T33" s="504">
        <f>'34a'!T33/'34b'!T33*100</f>
        <v>23375.409836065573</v>
      </c>
      <c r="U33" s="504">
        <f>'34a'!U33/'34b'!U33*100</f>
        <v>23336.065573770491</v>
      </c>
      <c r="V33" s="504">
        <f>'34a'!V33/'34b'!V33*100</f>
        <v>23255.384615384617</v>
      </c>
      <c r="W33" s="504">
        <f>'34a'!W33/'34b'!W33*100</f>
        <v>23061.194029850743</v>
      </c>
    </row>
    <row r="34" spans="1:23">
      <c r="A34" s="256" t="s">
        <v>1221</v>
      </c>
      <c r="D34" s="503">
        <f>'34a'!D34/'34b'!D34*100</f>
        <v>35215.217391304352</v>
      </c>
      <c r="E34" s="504">
        <f>'[7]34a'!E34/'[7]34b'!E34*100</f>
        <v>33697.727272727272</v>
      </c>
      <c r="F34" s="504">
        <f>'[7]34a'!F34/'[7]34b'!F34*100</f>
        <v>33759.090909090904</v>
      </c>
      <c r="G34" s="504">
        <f>'[7]34a'!G34/'[7]34b'!G34*100</f>
        <v>33662.222222222219</v>
      </c>
      <c r="H34" s="504">
        <f>'[7]34a'!H34/'[7]34b'!H34*100</f>
        <v>33019.565217391304</v>
      </c>
      <c r="I34" s="504">
        <f>'[7]34a'!I34/'[7]34b'!I34*100</f>
        <v>33032.608695652176</v>
      </c>
      <c r="J34" s="840">
        <f>'34a'!J34/'34b'!J34*100</f>
        <v>34665.957446808512</v>
      </c>
      <c r="K34" s="504">
        <f>'34a'!K34/'34b'!K34*100</f>
        <v>34453.061224489793</v>
      </c>
      <c r="L34" s="504">
        <f>'34a'!L34/'34b'!L34*100</f>
        <v>34875</v>
      </c>
      <c r="M34" s="504">
        <f>'34a'!M34/'34b'!M34*100</f>
        <v>34763.265306122448</v>
      </c>
      <c r="N34" s="504">
        <f>'34a'!N34/'34b'!N34*100</f>
        <v>34703.921568627455</v>
      </c>
      <c r="O34" s="504">
        <f>'34a'!O34/'34b'!O34*100</f>
        <v>34373.584905660377</v>
      </c>
      <c r="P34" s="504">
        <f>'34a'!P34/'34b'!P34*100</f>
        <v>34471.698113207545</v>
      </c>
      <c r="Q34" s="504">
        <f>'34a'!Q34/'34b'!Q34*100</f>
        <v>34858.490566037734</v>
      </c>
      <c r="R34" s="504">
        <f>'34a'!R34/'34b'!R34*100</f>
        <v>34888.67924528302</v>
      </c>
      <c r="S34" s="504">
        <f>'34a'!S34/'34b'!S34*100</f>
        <v>34498.113207547169</v>
      </c>
      <c r="T34" s="504">
        <f>'34a'!T34/'34b'!T34*100</f>
        <v>34439.622641509435</v>
      </c>
      <c r="U34" s="504">
        <f>'34a'!U34/'34b'!U34*100</f>
        <v>34550.943396226416</v>
      </c>
      <c r="V34" s="504">
        <f>'34a'!V34/'34b'!V34*100</f>
        <v>34974.074074074073</v>
      </c>
      <c r="W34" s="504">
        <f>'34a'!W34/'34b'!W34*100</f>
        <v>34905.555555555555</v>
      </c>
    </row>
    <row r="35" spans="1:23">
      <c r="A35" s="256" t="s">
        <v>1227</v>
      </c>
      <c r="D35" s="503"/>
      <c r="E35" s="504"/>
      <c r="F35" s="504"/>
      <c r="G35" s="504"/>
      <c r="H35" s="504"/>
      <c r="I35" s="504"/>
      <c r="J35" s="840"/>
      <c r="K35" s="504"/>
      <c r="L35" s="504"/>
      <c r="M35" s="504"/>
      <c r="N35" s="504"/>
      <c r="O35" s="504"/>
      <c r="P35" s="504"/>
      <c r="Q35" s="504"/>
      <c r="R35" s="504"/>
      <c r="S35" s="504"/>
      <c r="T35" s="504"/>
      <c r="U35" s="504"/>
      <c r="V35" s="504"/>
      <c r="W35" s="504"/>
    </row>
    <row r="36" spans="1:23">
      <c r="A36" s="256" t="s">
        <v>545</v>
      </c>
      <c r="D36" s="503">
        <f>'34a'!D36/'34b'!D36*100</f>
        <v>20390</v>
      </c>
      <c r="E36" s="504">
        <f>'[7]34a'!E36/'[7]34b'!E36*100</f>
        <v>16541.935483870966</v>
      </c>
      <c r="F36" s="504">
        <f>'[7]34a'!F36/'[7]34b'!F36*100</f>
        <v>15283.333333333334</v>
      </c>
      <c r="G36" s="504">
        <f>'[7]34a'!G36/'[7]34b'!G36*100</f>
        <v>18960.9756097561</v>
      </c>
      <c r="H36" s="504">
        <f>'[7]34a'!H36/'[7]34b'!H36*100</f>
        <v>20723.684210526317</v>
      </c>
      <c r="I36" s="504">
        <f>'[7]34a'!I36/'[7]34b'!I36*100</f>
        <v>20784.21052631579</v>
      </c>
      <c r="J36" s="840">
        <f>'34a'!J36/'34b'!J36*100</f>
        <v>21797.297297297297</v>
      </c>
      <c r="K36" s="504">
        <f>'34a'!K36/'34b'!K36*100</f>
        <v>21930.555555555555</v>
      </c>
      <c r="L36" s="504">
        <f>'34a'!L36/'34b'!L36*100</f>
        <v>21577.777777777777</v>
      </c>
      <c r="M36" s="504">
        <f>'34a'!M36/'34b'!M36*100</f>
        <v>21525.714285714286</v>
      </c>
      <c r="N36" s="504">
        <f>'34a'!N36/'34b'!N36*100</f>
        <v>21847.058823529413</v>
      </c>
      <c r="O36" s="504">
        <f>'34a'!O36/'34b'!O36*100</f>
        <v>21351.428571428569</v>
      </c>
      <c r="P36" s="504">
        <f>'34a'!P36/'34b'!P36*100</f>
        <v>21602.941176470587</v>
      </c>
      <c r="Q36" s="504">
        <f>'34a'!Q36/'34b'!Q36*100</f>
        <v>21508.823529411766</v>
      </c>
      <c r="R36" s="504">
        <f>'34a'!R36/'34b'!R36*100</f>
        <v>21823.529411764706</v>
      </c>
      <c r="S36" s="504">
        <f>'34a'!S36/'34b'!S36*100</f>
        <v>21567.647058823532</v>
      </c>
      <c r="T36" s="504">
        <f>'34a'!T36/'34b'!T36*100</f>
        <v>21579.411764705881</v>
      </c>
      <c r="U36" s="504">
        <f>'34a'!U36/'34b'!U36*100</f>
        <v>21945.454545454548</v>
      </c>
      <c r="V36" s="504">
        <f>'34a'!V36/'34b'!V36*100</f>
        <v>21778.78787878788</v>
      </c>
      <c r="W36" s="504">
        <f>'34a'!W36/'34b'!W36*100</f>
        <v>21512.121212121212</v>
      </c>
    </row>
    <row r="37" spans="1:23">
      <c r="A37" s="256" t="s">
        <v>1219</v>
      </c>
      <c r="C37" s="757"/>
      <c r="D37" s="503"/>
      <c r="E37" s="504">
        <v>16541.935483870966</v>
      </c>
      <c r="F37" s="504">
        <v>15283.333333333334</v>
      </c>
      <c r="G37" s="504">
        <v>18960.9756097561</v>
      </c>
      <c r="H37" s="504">
        <v>20723.684210526317</v>
      </c>
      <c r="I37" s="504">
        <v>20784.21052631579</v>
      </c>
      <c r="J37" s="840">
        <f>J36</f>
        <v>21797.297297297297</v>
      </c>
      <c r="K37" s="504">
        <v>21930.555555555555</v>
      </c>
      <c r="L37" s="504">
        <v>21577.777777777777</v>
      </c>
      <c r="M37" s="504">
        <v>21525.714285714286</v>
      </c>
      <c r="N37" s="504">
        <v>21847.058823529413</v>
      </c>
      <c r="O37" s="504">
        <v>21351.428571428569</v>
      </c>
      <c r="P37" s="504">
        <v>21602.941176470587</v>
      </c>
      <c r="Q37" s="504">
        <v>21508.823529411766</v>
      </c>
      <c r="R37" s="504">
        <v>21823.529411764706</v>
      </c>
      <c r="S37" s="504">
        <v>21567.647058823532</v>
      </c>
      <c r="T37" s="504">
        <v>21579.411764705881</v>
      </c>
      <c r="U37" s="504">
        <v>21945.454545454548</v>
      </c>
      <c r="V37" s="504">
        <v>21778.78787878788</v>
      </c>
      <c r="W37" s="504">
        <v>21512.121212121212</v>
      </c>
    </row>
    <row r="38" spans="1:23">
      <c r="A38" s="256" t="s">
        <v>1222</v>
      </c>
      <c r="D38" s="503">
        <f>'34a'!D38/'34b'!D38*100</f>
        <v>27129.824561403508</v>
      </c>
      <c r="E38" s="504">
        <f>'[7]34a'!E38/'[7]34b'!E38*100</f>
        <v>25401.85185185185</v>
      </c>
      <c r="F38" s="504">
        <f>'[7]34a'!F38/'[7]34b'!F38*100</f>
        <v>25472.413793103449</v>
      </c>
      <c r="G38" s="504">
        <f>'[7]34a'!G38/'[7]34b'!G38*100</f>
        <v>25835.185185185186</v>
      </c>
      <c r="H38" s="504">
        <f>'[7]34a'!H38/'[7]34b'!H38*100</f>
        <v>25793.333333333332</v>
      </c>
      <c r="I38" s="504">
        <f>'[7]34a'!I38/'[7]34b'!I38*100</f>
        <v>25858.06451612903</v>
      </c>
      <c r="J38" s="840">
        <f>'34a'!J38/'34b'!J38*100</f>
        <v>27044.444444444445</v>
      </c>
      <c r="K38" s="504">
        <f>'34a'!K38/'34b'!K38*100</f>
        <v>26917.741935483871</v>
      </c>
      <c r="L38" s="504">
        <f>'34a'!L38/'34b'!L38*100</f>
        <v>27064.999999999996</v>
      </c>
      <c r="M38" s="504">
        <f>'34a'!M38/'34b'!M38*100</f>
        <v>26941.379310344826</v>
      </c>
      <c r="N38" s="504">
        <f>'34a'!N38/'34b'!N38*100</f>
        <v>26920.689655172413</v>
      </c>
      <c r="O38" s="504">
        <f>'34a'!O38/'34b'!O38*100</f>
        <v>26827.586206896551</v>
      </c>
      <c r="P38" s="504">
        <f>'34a'!P38/'34b'!P38*100</f>
        <v>27037.5</v>
      </c>
      <c r="Q38" s="504">
        <f>'34a'!Q38/'34b'!Q38*100</f>
        <v>27110.714285714283</v>
      </c>
      <c r="R38" s="504">
        <f>'34a'!R38/'34b'!R38*100</f>
        <v>26998.245614035091</v>
      </c>
      <c r="S38" s="504">
        <f>'34a'!S38/'34b'!S38*100</f>
        <v>26784.210526315794</v>
      </c>
      <c r="T38" s="504">
        <f>'34a'!T38/'34b'!T38*100</f>
        <v>26863.157894736843</v>
      </c>
      <c r="U38" s="504">
        <f>'34a'!U38/'34b'!U38*100</f>
        <v>26746.666666666664</v>
      </c>
      <c r="V38" s="504">
        <f>'34a'!V38/'34b'!V38*100</f>
        <v>26828.571428571428</v>
      </c>
      <c r="W38" s="504">
        <f>'34a'!W38/'34b'!W38*100</f>
        <v>27092.063492063495</v>
      </c>
    </row>
    <row r="39" spans="1:23">
      <c r="A39" s="256" t="s">
        <v>1221</v>
      </c>
      <c r="D39" s="503">
        <f>'34a'!D39/'34b'!D39*100</f>
        <v>40064.814814814818</v>
      </c>
      <c r="E39" s="504">
        <f>'[7]34a'!E39/'[7]34b'!E39*100</f>
        <v>34981.481481481482</v>
      </c>
      <c r="F39" s="504">
        <f>'[7]34a'!F39/'[7]34b'!F39*100</f>
        <v>31827.118644067799</v>
      </c>
      <c r="G39" s="504">
        <f>'[7]34a'!G39/'[7]34b'!G39*100</f>
        <v>37773.076923076922</v>
      </c>
      <c r="H39" s="504">
        <f>'[7]34a'!H39/'[7]34b'!H39*100</f>
        <v>38929.411764705881</v>
      </c>
      <c r="I39" s="504">
        <f>'[7]34a'!I39/'[7]34b'!I39*100</f>
        <v>38343.39622641509</v>
      </c>
      <c r="J39" s="840">
        <f>'34a'!J39/'34b'!J39*100</f>
        <v>40290.38461538461</v>
      </c>
      <c r="K39" s="504">
        <f>'34a'!K39/'34b'!K39*100</f>
        <v>40213.725490196077</v>
      </c>
      <c r="L39" s="504">
        <f>'34a'!L39/'34b'!L39*100</f>
        <v>40058</v>
      </c>
      <c r="M39" s="504">
        <f>'34a'!M39/'34b'!M39*100</f>
        <v>39852.083333333328</v>
      </c>
      <c r="N39" s="504">
        <f>'34a'!N39/'34b'!N39*100</f>
        <v>40245.833333333328</v>
      </c>
      <c r="O39" s="504">
        <f>'34a'!O39/'34b'!O39*100</f>
        <v>40079.166666666672</v>
      </c>
      <c r="P39" s="504">
        <f>'34a'!P39/'34b'!P39*100</f>
        <v>40510.638297872341</v>
      </c>
      <c r="Q39" s="504">
        <f>'34a'!Q39/'34b'!Q39*100</f>
        <v>40183.333333333328</v>
      </c>
      <c r="R39" s="504">
        <f>'34a'!R39/'34b'!R39*100</f>
        <v>40148.979591836738</v>
      </c>
      <c r="S39" s="504">
        <f>'34a'!S39/'34b'!S39*100</f>
        <v>39997.959183673469</v>
      </c>
      <c r="T39" s="504">
        <f>'34a'!T39/'34b'!T39*100</f>
        <v>40314.285714285717</v>
      </c>
      <c r="U39" s="504">
        <f>'34a'!U39/'34b'!U39*100</f>
        <v>39966.666666666672</v>
      </c>
      <c r="V39" s="504">
        <f>'34a'!V39/'34b'!V39*100</f>
        <v>40230.909090909088</v>
      </c>
      <c r="W39" s="504">
        <f>'34a'!W39/'34b'!W39*100</f>
        <v>40537.037037037036</v>
      </c>
    </row>
    <row r="40" spans="1:23">
      <c r="A40" s="256" t="s">
        <v>1228</v>
      </c>
      <c r="D40" s="503"/>
      <c r="E40" s="504"/>
      <c r="F40" s="504"/>
      <c r="G40" s="504"/>
      <c r="H40" s="504"/>
      <c r="I40" s="504"/>
      <c r="J40" s="840"/>
      <c r="K40" s="504"/>
      <c r="L40" s="504"/>
      <c r="M40" s="504"/>
      <c r="N40" s="504"/>
      <c r="O40" s="504"/>
      <c r="P40" s="504"/>
      <c r="Q40" s="504"/>
      <c r="R40" s="504"/>
      <c r="S40" s="504"/>
      <c r="T40" s="504"/>
      <c r="U40" s="504"/>
      <c r="V40" s="504"/>
      <c r="W40" s="504"/>
    </row>
    <row r="41" spans="1:23">
      <c r="A41" s="256" t="s">
        <v>545</v>
      </c>
      <c r="D41" s="503">
        <f>'34a'!D41/'34b'!D41*100</f>
        <v>20267.441860465115</v>
      </c>
      <c r="E41" s="504">
        <f>'[7]34a'!E41/'[7]34b'!E41*100</f>
        <v>19342.553191489362</v>
      </c>
      <c r="F41" s="504">
        <f>'[7]34a'!F41/'[7]34b'!F41*100</f>
        <v>19265.384615384617</v>
      </c>
      <c r="G41" s="504">
        <f>'[7]34a'!G41/'[7]34b'!G41*100</f>
        <v>19346.296296296296</v>
      </c>
      <c r="H41" s="504">
        <f>'[7]34a'!H41/'[7]34b'!H41*100</f>
        <v>20954.901960784315</v>
      </c>
      <c r="I41" s="504">
        <f>'[7]34a'!I41/'[7]34b'!I41*100</f>
        <v>20907.843137254902</v>
      </c>
      <c r="J41" s="840">
        <f>'34a'!J41/'34b'!J41*100</f>
        <v>21819.607843137255</v>
      </c>
      <c r="K41" s="504">
        <f>'34a'!K41/'34b'!K41*100</f>
        <v>21560.416666666664</v>
      </c>
      <c r="L41" s="504">
        <f>'34a'!L41/'34b'!L41*100</f>
        <v>21876.923076923078</v>
      </c>
      <c r="M41" s="504">
        <f>'34a'!M41/'34b'!M41*100</f>
        <v>21607.692307692305</v>
      </c>
      <c r="N41" s="504">
        <f>'34a'!N41/'34b'!N41*100</f>
        <v>21936.84210526316</v>
      </c>
      <c r="O41" s="504">
        <f>'34a'!O41/'34b'!O41*100</f>
        <v>21560.526315789473</v>
      </c>
      <c r="P41" s="504">
        <f>'34a'!P41/'34b'!P41*100</f>
        <v>21567.567567567567</v>
      </c>
      <c r="Q41" s="504">
        <f>'34a'!Q41/'34b'!Q41*100</f>
        <v>21627.777777777777</v>
      </c>
      <c r="R41" s="504">
        <f>'34a'!R41/'34b'!R41*100</f>
        <v>21771.428571428572</v>
      </c>
      <c r="S41" s="504">
        <f>'34a'!S41/'34b'!S41*100</f>
        <v>21820.588235294119</v>
      </c>
      <c r="T41" s="504">
        <f>'34a'!T41/'34b'!T41*100</f>
        <v>21844.117647058822</v>
      </c>
      <c r="U41" s="504">
        <f>'34a'!U41/'34b'!U41*100</f>
        <v>21482.352941176468</v>
      </c>
      <c r="V41" s="504">
        <f>'34a'!V41/'34b'!V41*100</f>
        <v>21857.575757575756</v>
      </c>
      <c r="W41" s="504">
        <f>'34a'!W41/'34b'!W41*100</f>
        <v>21830.303030303032</v>
      </c>
    </row>
    <row r="42" spans="1:23">
      <c r="A42" s="256" t="s">
        <v>1219</v>
      </c>
      <c r="D42" s="503"/>
      <c r="E42" s="504">
        <v>19342.553191489362</v>
      </c>
      <c r="F42" s="504">
        <v>19265.384615384617</v>
      </c>
      <c r="G42" s="504">
        <v>19346.296296296296</v>
      </c>
      <c r="H42" s="504">
        <v>20954.901960784315</v>
      </c>
      <c r="I42" s="504">
        <v>20907.843137254902</v>
      </c>
      <c r="J42" s="840">
        <f>J41</f>
        <v>21819.607843137255</v>
      </c>
      <c r="K42" s="504">
        <v>21560.416666666664</v>
      </c>
      <c r="L42" s="504">
        <v>21876.923076923078</v>
      </c>
      <c r="M42" s="504">
        <v>21607.692307692305</v>
      </c>
      <c r="N42" s="504">
        <v>21936.84210526316</v>
      </c>
      <c r="O42" s="504">
        <v>21560.526315789473</v>
      </c>
      <c r="P42" s="504">
        <v>21567.567567567567</v>
      </c>
      <c r="Q42" s="504">
        <v>21627.777777777777</v>
      </c>
      <c r="R42" s="504">
        <v>21771.428571428572</v>
      </c>
      <c r="S42" s="504">
        <v>21820.588235294119</v>
      </c>
      <c r="T42" s="504">
        <v>21844.117647058822</v>
      </c>
      <c r="U42" s="504">
        <v>21482.352941176468</v>
      </c>
      <c r="V42" s="504">
        <v>21857.575757575756</v>
      </c>
      <c r="W42" s="504">
        <v>21830.303030303032</v>
      </c>
    </row>
    <row r="43" spans="1:23">
      <c r="A43" s="256" t="s">
        <v>1222</v>
      </c>
      <c r="D43" s="503">
        <f>'34a'!D43/'34b'!D43*100</f>
        <v>27209.375</v>
      </c>
      <c r="E43" s="504">
        <f>'[7]34a'!E43/'[7]34b'!E43*100</f>
        <v>26236.764705882353</v>
      </c>
      <c r="F43" s="504">
        <f>'[7]34a'!F43/'[7]34b'!F43*100</f>
        <v>26382.894736842103</v>
      </c>
      <c r="G43" s="504">
        <f>'[7]34a'!G43/'[7]34b'!G43*100</f>
        <v>26335.443037974681</v>
      </c>
      <c r="H43" s="504">
        <f>'[7]34a'!H43/'[7]34b'!H43*100</f>
        <v>25974.074074074077</v>
      </c>
      <c r="I43" s="504">
        <f>'[7]34a'!I43/'[7]34b'!I43*100</f>
        <v>25919.753086419751</v>
      </c>
      <c r="J43" s="840">
        <f>'34a'!J43/'34b'!J43*100</f>
        <v>27038.271604938273</v>
      </c>
      <c r="K43" s="504">
        <f>'34a'!K43/'34b'!K43*100</f>
        <v>26881.578947368424</v>
      </c>
      <c r="L43" s="504">
        <f>'34a'!L43/'34b'!L43*100</f>
        <v>26776.5625</v>
      </c>
      <c r="M43" s="504">
        <f>'34a'!M43/'34b'!M43*100</f>
        <v>26812.698412698417</v>
      </c>
      <c r="N43" s="504">
        <f>'34a'!N43/'34b'!N43*100</f>
        <v>26987.096774193549</v>
      </c>
      <c r="O43" s="504">
        <f>'34a'!O43/'34b'!O43*100</f>
        <v>26963.934426229509</v>
      </c>
      <c r="P43" s="504">
        <f>'34a'!P43/'34b'!P43*100</f>
        <v>26808.333333333332</v>
      </c>
      <c r="Q43" s="504">
        <f>'34a'!Q43/'34b'!Q43*100</f>
        <v>27179.310344827587</v>
      </c>
      <c r="R43" s="504">
        <f>'34a'!R43/'34b'!R43*100</f>
        <v>27136.842105263157</v>
      </c>
      <c r="S43" s="504">
        <f>'34a'!S43/'34b'!S43*100</f>
        <v>26966.071428571428</v>
      </c>
      <c r="T43" s="504">
        <f>'34a'!T43/'34b'!T43*100</f>
        <v>27103.571428571428</v>
      </c>
      <c r="U43" s="504">
        <f>'34a'!U43/'34b'!U43*100</f>
        <v>26900</v>
      </c>
      <c r="V43" s="504">
        <f>'34a'!V43/'34b'!V43*100</f>
        <v>26916.949152542373</v>
      </c>
      <c r="W43" s="504">
        <f>'34a'!W43/'34b'!W43*100</f>
        <v>26949.180327868849</v>
      </c>
    </row>
    <row r="44" spans="1:23">
      <c r="A44" s="256" t="s">
        <v>1221</v>
      </c>
      <c r="D44" s="503">
        <f>'34a'!D44/'34b'!D44*100</f>
        <v>39724.137931034486</v>
      </c>
      <c r="E44" s="504">
        <f>'[7]34a'!E44/'[7]34b'!E44*100</f>
        <v>38347.540983606559</v>
      </c>
      <c r="F44" s="504">
        <f>'[7]34a'!F44/'[7]34b'!F44*100</f>
        <v>38378.571428571428</v>
      </c>
      <c r="G44" s="504">
        <f>'[7]34a'!G44/'[7]34b'!G44*100</f>
        <v>38541.666666666672</v>
      </c>
      <c r="H44" s="504">
        <f>'[7]34a'!H44/'[7]34b'!H44*100</f>
        <v>38382.191780821915</v>
      </c>
      <c r="I44" s="504">
        <f>'[7]34a'!I44/'[7]34b'!I44*100</f>
        <v>38788.888888888891</v>
      </c>
      <c r="J44" s="840">
        <f>'34a'!J44/'34b'!J44*100</f>
        <v>40130.555555555555</v>
      </c>
      <c r="K44" s="504">
        <f>'34a'!K44/'34b'!K44*100</f>
        <v>40049.253731343284</v>
      </c>
      <c r="L44" s="504">
        <f>'34a'!L44/'34b'!L44*100</f>
        <v>40446.428571428572</v>
      </c>
      <c r="M44" s="504">
        <f>'34a'!M44/'34b'!M44*100</f>
        <v>40600</v>
      </c>
      <c r="N44" s="504">
        <f>'34a'!N44/'34b'!N44*100</f>
        <v>40207.272727272728</v>
      </c>
      <c r="O44" s="504">
        <f>'34a'!O44/'34b'!O44*100</f>
        <v>40270.370370370372</v>
      </c>
      <c r="P44" s="504">
        <f>'34a'!P44/'34b'!P44*100</f>
        <v>40179.245283018863</v>
      </c>
      <c r="Q44" s="504">
        <f>'34a'!Q44/'34b'!Q44*100</f>
        <v>40186.538461538461</v>
      </c>
      <c r="R44" s="504">
        <f>'34a'!R44/'34b'!R44*100</f>
        <v>40231.372549019608</v>
      </c>
      <c r="S44" s="504">
        <f>'34a'!S44/'34b'!S44*100</f>
        <v>40084</v>
      </c>
      <c r="T44" s="504">
        <f>'34a'!T44/'34b'!T44*100</f>
        <v>40160</v>
      </c>
      <c r="U44" s="504">
        <f>'34a'!U44/'34b'!U44*100</f>
        <v>40242</v>
      </c>
      <c r="V44" s="504">
        <f>'34a'!V44/'34b'!V44*100</f>
        <v>40401.96078431372</v>
      </c>
      <c r="W44" s="504">
        <f>'34a'!W44/'34b'!W44*100</f>
        <v>40496.153846153844</v>
      </c>
    </row>
    <row r="45" spans="1:23">
      <c r="A45" s="256" t="s">
        <v>1229</v>
      </c>
      <c r="D45" s="503"/>
      <c r="E45" s="504"/>
      <c r="F45" s="504"/>
      <c r="G45" s="504"/>
      <c r="H45" s="504"/>
      <c r="I45" s="504"/>
      <c r="J45" s="840"/>
      <c r="K45" s="504"/>
      <c r="L45" s="504"/>
      <c r="M45" s="504"/>
      <c r="N45" s="504"/>
      <c r="O45" s="504"/>
      <c r="P45" s="504"/>
      <c r="Q45" s="504"/>
      <c r="R45" s="504"/>
      <c r="S45" s="504"/>
      <c r="T45" s="504"/>
      <c r="U45" s="504"/>
      <c r="V45" s="504"/>
      <c r="W45" s="504"/>
    </row>
    <row r="46" spans="1:23">
      <c r="A46" s="256" t="s">
        <v>545</v>
      </c>
      <c r="D46" s="503">
        <f>'34a'!D46/'34b'!D46*100</f>
        <v>20109.302325581397</v>
      </c>
      <c r="E46" s="504">
        <f>'[7]34a'!E46/'[7]34b'!E46*100</f>
        <v>21772.5</v>
      </c>
      <c r="F46" s="504">
        <f>'[7]34a'!F46/'[7]34b'!F46*100</f>
        <v>19397.82608695652</v>
      </c>
      <c r="G46" s="504">
        <f>'[7]34a'!G46/'[7]34b'!G46*100</f>
        <v>19523.91304347826</v>
      </c>
      <c r="H46" s="504">
        <f>'[7]34a'!H46/'[7]34b'!H46*100</f>
        <v>21013.953488372092</v>
      </c>
      <c r="I46" s="504">
        <f>'[7]34a'!I46/'[7]34b'!I46*100</f>
        <v>20683.720930232557</v>
      </c>
      <c r="J46" s="840">
        <f>'34a'!J46/'34b'!J46*100</f>
        <v>21622.5</v>
      </c>
      <c r="K46" s="504">
        <f>'34a'!K46/'34b'!K46*100</f>
        <v>21738.461538461539</v>
      </c>
      <c r="L46" s="504">
        <f>'34a'!L46/'34b'!L46*100</f>
        <v>21819.444444444445</v>
      </c>
      <c r="M46" s="504">
        <f>'34a'!M46/'34b'!M46*100</f>
        <v>21393.75</v>
      </c>
      <c r="N46" s="504">
        <f>'34a'!N46/'34b'!N46*100</f>
        <v>21880.645161290322</v>
      </c>
      <c r="O46" s="504">
        <f>'34a'!O46/'34b'!O46*100</f>
        <v>21503.225806451614</v>
      </c>
      <c r="P46" s="504">
        <f>'34a'!P46/'34b'!P46*100</f>
        <v>21646.666666666668</v>
      </c>
      <c r="Q46" s="504">
        <f>'34a'!Q46/'34b'!Q46*100</f>
        <v>21848.275862068964</v>
      </c>
      <c r="R46" s="504">
        <f>'34a'!R46/'34b'!R46*100</f>
        <v>21386.206896551725</v>
      </c>
      <c r="S46" s="504">
        <f>'34a'!S46/'34b'!S46*100</f>
        <v>21571.428571428572</v>
      </c>
      <c r="T46" s="504">
        <f>'34a'!T46/'34b'!T46*100</f>
        <v>22032.142857142859</v>
      </c>
      <c r="U46" s="504">
        <f>'34a'!U46/'34b'!U46*100</f>
        <v>21660.714285714286</v>
      </c>
      <c r="V46" s="504">
        <f>'34a'!V46/'34b'!V46*100</f>
        <v>22044.444444444445</v>
      </c>
      <c r="W46" s="504">
        <f>'34a'!W46/'34b'!W46*100</f>
        <v>21581.481481481482</v>
      </c>
    </row>
    <row r="47" spans="1:23">
      <c r="A47" s="256" t="s">
        <v>1219</v>
      </c>
      <c r="D47" s="503"/>
      <c r="E47" s="504">
        <v>21772.5</v>
      </c>
      <c r="F47" s="504">
        <v>19397.82608695652</v>
      </c>
      <c r="G47" s="504">
        <v>19523.91304347826</v>
      </c>
      <c r="H47" s="504">
        <v>21013.953488372092</v>
      </c>
      <c r="I47" s="504">
        <v>20683.720930232557</v>
      </c>
      <c r="J47" s="840">
        <f>J46</f>
        <v>21622.5</v>
      </c>
      <c r="K47" s="504">
        <v>21738.461538461539</v>
      </c>
      <c r="L47" s="504">
        <v>21819.444444444445</v>
      </c>
      <c r="M47" s="504">
        <v>21393.75</v>
      </c>
      <c r="N47" s="504">
        <v>21880.645161290322</v>
      </c>
      <c r="O47" s="504">
        <v>21503.225806451614</v>
      </c>
      <c r="P47" s="504">
        <v>21646.666666666668</v>
      </c>
      <c r="Q47" s="504">
        <v>21848.275862068964</v>
      </c>
      <c r="R47" s="504">
        <v>21386.206896551725</v>
      </c>
      <c r="S47" s="504">
        <v>21571.428571428572</v>
      </c>
      <c r="T47" s="504">
        <v>22032.142857142859</v>
      </c>
      <c r="U47" s="504">
        <v>21660.714285714286</v>
      </c>
      <c r="V47" s="504">
        <v>22044.444444444445</v>
      </c>
      <c r="W47" s="504">
        <v>21581.481481481482</v>
      </c>
    </row>
    <row r="48" spans="1:23">
      <c r="A48" s="256" t="s">
        <v>1222</v>
      </c>
      <c r="D48" s="503">
        <f>'34a'!D48/'34b'!D48*100</f>
        <v>27080.357142857145</v>
      </c>
      <c r="E48" s="504">
        <f>'[7]34a'!E48/'[7]34b'!E48*100</f>
        <v>28538</v>
      </c>
      <c r="F48" s="504">
        <f>'[7]34a'!F48/'[7]34b'!F48*100</f>
        <v>26596.296296296299</v>
      </c>
      <c r="G48" s="504">
        <f>'[7]34a'!G48/'[7]34b'!G48*100</f>
        <v>26239.999999999996</v>
      </c>
      <c r="H48" s="504">
        <f>'[7]34a'!H48/'[7]34b'!H48*100</f>
        <v>26050</v>
      </c>
      <c r="I48" s="504">
        <f>'[7]34a'!I48/'[7]34b'!I48*100</f>
        <v>25887.272727272721</v>
      </c>
      <c r="J48" s="840">
        <f>'34a'!J48/'34b'!J48*100</f>
        <v>26814.545454545452</v>
      </c>
      <c r="K48" s="504">
        <f>'34a'!K48/'34b'!K48*100</f>
        <v>26722.222222222223</v>
      </c>
      <c r="L48" s="504">
        <f>'34a'!L48/'34b'!L48*100</f>
        <v>26790.566037735851</v>
      </c>
      <c r="M48" s="504">
        <f>'34a'!M48/'34b'!M48*100</f>
        <v>26873.076923076922</v>
      </c>
      <c r="N48" s="504">
        <f>'34a'!N48/'34b'!N48*100</f>
        <v>27147.058823529413</v>
      </c>
      <c r="O48" s="504">
        <f>'34a'!O48/'34b'!O48*100</f>
        <v>27206</v>
      </c>
      <c r="P48" s="504">
        <f>'34a'!P48/'34b'!P48*100</f>
        <v>27162</v>
      </c>
      <c r="Q48" s="504">
        <f>'34a'!Q48/'34b'!Q48*100</f>
        <v>27032.692307692309</v>
      </c>
      <c r="R48" s="504">
        <f>'34a'!R48/'34b'!R48*100</f>
        <v>26928.301886792451</v>
      </c>
      <c r="S48" s="504">
        <f>'34a'!S48/'34b'!S48*100</f>
        <v>27013.461538461535</v>
      </c>
      <c r="T48" s="504">
        <f>'34a'!T48/'34b'!T48*100</f>
        <v>26836.538461538465</v>
      </c>
      <c r="U48" s="504">
        <f>'34a'!U48/'34b'!U48*100</f>
        <v>27147.058823529413</v>
      </c>
      <c r="V48" s="504">
        <f>'34a'!V48/'34b'!V48*100</f>
        <v>27001.851851851854</v>
      </c>
      <c r="W48" s="504">
        <f>'34a'!W48/'34b'!W48*100</f>
        <v>27155.555555555555</v>
      </c>
    </row>
    <row r="49" spans="1:23">
      <c r="A49" s="256" t="s">
        <v>1221</v>
      </c>
      <c r="D49" s="503">
        <f>'34a'!D49/'34b'!D49*100</f>
        <v>39753.333333333336</v>
      </c>
      <c r="E49" s="504">
        <f>'[7]34a'!E49/'[7]34b'!E49*100</f>
        <v>40750</v>
      </c>
      <c r="F49" s="504">
        <f>'[7]34a'!F49/'[7]34b'!F49*100</f>
        <v>38761.538461538461</v>
      </c>
      <c r="G49" s="504">
        <f>'[7]34a'!G49/'[7]34b'!G49*100</f>
        <v>38216.417910447766</v>
      </c>
      <c r="H49" s="504">
        <f>'[7]34a'!H49/'[7]34b'!H49*100</f>
        <v>38674.626865671642</v>
      </c>
      <c r="I49" s="504">
        <f>'[7]34a'!I49/'[7]34b'!I49*100</f>
        <v>38533.870967741932</v>
      </c>
      <c r="J49" s="840">
        <f>'34a'!J49/'34b'!J49*100</f>
        <v>40126.984126984127</v>
      </c>
      <c r="K49" s="504">
        <f>'34a'!K49/'34b'!K49*100</f>
        <v>40547.540983606559</v>
      </c>
      <c r="L49" s="504">
        <f>'34a'!L49/'34b'!L49*100</f>
        <v>40100</v>
      </c>
      <c r="M49" s="504">
        <f>'34a'!M49/'34b'!M49*100</f>
        <v>40317.307692307688</v>
      </c>
      <c r="N49" s="504">
        <f>'34a'!N49/'34b'!N49*100</f>
        <v>40309.803921568629</v>
      </c>
      <c r="O49" s="504">
        <f>'34a'!O49/'34b'!O49*100</f>
        <v>40410</v>
      </c>
      <c r="P49" s="504">
        <f>'34a'!P49/'34b'!P49*100</f>
        <v>40092</v>
      </c>
      <c r="Q49" s="504">
        <f>'34a'!Q49/'34b'!Q49*100</f>
        <v>40414</v>
      </c>
      <c r="R49" s="504">
        <f>'34a'!R49/'34b'!R49*100</f>
        <v>40374</v>
      </c>
      <c r="S49" s="504">
        <f>'34a'!S49/'34b'!S49*100</f>
        <v>40223.529411764706</v>
      </c>
      <c r="T49" s="504">
        <f>'34a'!T49/'34b'!T49*100</f>
        <v>40113.207547169812</v>
      </c>
      <c r="U49" s="504">
        <f>'34a'!U49/'34b'!U49*100</f>
        <v>40039.622641509435</v>
      </c>
      <c r="V49" s="504">
        <f>'34a'!V49/'34b'!V49*100</f>
        <v>39938.888888888891</v>
      </c>
      <c r="W49" s="504">
        <f>'34a'!W49/'34b'!W49*100</f>
        <v>39956.60377358491</v>
      </c>
    </row>
    <row r="50" spans="1:23">
      <c r="A50" s="256" t="s">
        <v>1230</v>
      </c>
      <c r="D50" s="503"/>
      <c r="E50" s="504"/>
      <c r="F50" s="504"/>
      <c r="G50" s="504"/>
      <c r="H50" s="504"/>
      <c r="I50" s="504"/>
      <c r="J50" s="840"/>
      <c r="K50" s="504"/>
      <c r="L50" s="504"/>
      <c r="M50" s="504"/>
      <c r="N50" s="504"/>
      <c r="O50" s="504"/>
      <c r="P50" s="504"/>
      <c r="Q50" s="504"/>
      <c r="R50" s="504"/>
      <c r="S50" s="504"/>
      <c r="T50" s="504"/>
      <c r="U50" s="504"/>
      <c r="V50" s="504"/>
      <c r="W50" s="504"/>
    </row>
    <row r="51" spans="1:23">
      <c r="A51" s="256" t="s">
        <v>545</v>
      </c>
      <c r="D51" s="503">
        <f>'34a'!D51/'34b'!D51*100</f>
        <v>17653.658536585364</v>
      </c>
      <c r="E51" s="504">
        <f>'[7]34a'!E51/'[7]34b'!E51*100</f>
        <v>16790.476190476191</v>
      </c>
      <c r="F51" s="504">
        <f>'[7]34a'!F51/'[7]34b'!F51*100</f>
        <v>17063.414634146342</v>
      </c>
      <c r="G51" s="504">
        <f>'[7]34a'!G51/'[7]34b'!G51*100</f>
        <v>16968.292682926829</v>
      </c>
      <c r="H51" s="504">
        <f>'[7]34a'!H51/'[7]34b'!H51*100</f>
        <v>17717.5</v>
      </c>
      <c r="I51" s="504">
        <f>'[7]34a'!I51/'[7]34b'!I51*100</f>
        <v>17733.333333333336</v>
      </c>
      <c r="J51" s="840">
        <f>'34a'!J51/'34b'!J51*100</f>
        <v>18459.523809523809</v>
      </c>
      <c r="K51" s="504">
        <f>'34a'!K51/'34b'!K51*100</f>
        <v>18829.72972972973</v>
      </c>
      <c r="L51" s="504">
        <f>'34a'!L51/'34b'!L51*100</f>
        <v>18667.5</v>
      </c>
      <c r="M51" s="504">
        <f>'34a'!M51/'34b'!M51*100</f>
        <v>18741.666666666664</v>
      </c>
      <c r="N51" s="504">
        <f>'34a'!N51/'34b'!N51*100</f>
        <v>18625</v>
      </c>
      <c r="O51" s="504">
        <f>'34a'!O51/'34b'!O51*100</f>
        <v>18627.027027027027</v>
      </c>
      <c r="P51" s="504">
        <f>'34a'!P51/'34b'!P51*100</f>
        <v>18621.621621621623</v>
      </c>
      <c r="Q51" s="504">
        <f>'34a'!Q51/'34b'!Q51*100</f>
        <v>18591.89189189189</v>
      </c>
      <c r="R51" s="504">
        <f>'34a'!R51/'34b'!R51*100</f>
        <v>18819.444444444445</v>
      </c>
      <c r="S51" s="504">
        <f>'34a'!S51/'34b'!S51*100</f>
        <v>18722.222222222223</v>
      </c>
      <c r="T51" s="504">
        <f>'34a'!T51/'34b'!T51*100</f>
        <v>18486.111111111113</v>
      </c>
      <c r="U51" s="504">
        <f>'34a'!U51/'34b'!U51*100</f>
        <v>18772.972972972973</v>
      </c>
      <c r="V51" s="504">
        <f>'34a'!V51/'34b'!V51*100</f>
        <v>18580.851063829785</v>
      </c>
      <c r="W51" s="504">
        <f>'34a'!W51/'34b'!W51*100</f>
        <v>18581.632653061224</v>
      </c>
    </row>
    <row r="52" spans="1:23">
      <c r="A52" s="256" t="s">
        <v>1219</v>
      </c>
      <c r="D52" s="503"/>
      <c r="E52" s="504">
        <v>16790.476190476191</v>
      </c>
      <c r="F52" s="504">
        <v>17063.414634146342</v>
      </c>
      <c r="G52" s="504">
        <v>16968.292682926829</v>
      </c>
      <c r="H52" s="504">
        <v>17717.5</v>
      </c>
      <c r="I52" s="504">
        <v>17733.333333333336</v>
      </c>
      <c r="J52" s="840">
        <f>J51</f>
        <v>18459.523809523809</v>
      </c>
      <c r="K52" s="504">
        <v>18829.72972972973</v>
      </c>
      <c r="L52" s="504">
        <v>18667.5</v>
      </c>
      <c r="M52" s="504">
        <v>18741.666666666664</v>
      </c>
      <c r="N52" s="504">
        <v>18625</v>
      </c>
      <c r="O52" s="504">
        <v>18627.027027027027</v>
      </c>
      <c r="P52" s="504">
        <v>18621.621621621623</v>
      </c>
      <c r="Q52" s="504">
        <v>18591.89189189189</v>
      </c>
      <c r="R52" s="504">
        <v>18819.444444444445</v>
      </c>
      <c r="S52" s="504">
        <v>18722.222222222223</v>
      </c>
      <c r="T52" s="504">
        <v>18486.111111111113</v>
      </c>
      <c r="U52" s="504">
        <v>18772.972972972973</v>
      </c>
      <c r="V52" s="504">
        <v>18580.851063829785</v>
      </c>
      <c r="W52" s="504">
        <v>18581.632653061224</v>
      </c>
    </row>
    <row r="53" spans="1:23">
      <c r="A53" s="256" t="s">
        <v>1222</v>
      </c>
      <c r="D53" s="503">
        <f>'34a'!D53/'34b'!D53*100</f>
        <v>23797.142857142855</v>
      </c>
      <c r="E53" s="504">
        <f>'[7]34a'!E53/'[7]34b'!E53*100</f>
        <v>23049.27536231884</v>
      </c>
      <c r="F53" s="504">
        <f>'[7]34a'!F53/'[7]34b'!F53*100</f>
        <v>23173.529411764706</v>
      </c>
      <c r="G53" s="504">
        <f>'[7]34a'!G53/'[7]34b'!G53*100</f>
        <v>22858.823529411766</v>
      </c>
      <c r="H53" s="504">
        <f>'[7]34a'!H53/'[7]34b'!H53*100</f>
        <v>22152.17391304348</v>
      </c>
      <c r="I53" s="504">
        <f>'[7]34a'!I53/'[7]34b'!I53*100</f>
        <v>22238.235294117647</v>
      </c>
      <c r="J53" s="840">
        <f>'34a'!J53/'34b'!J53*100</f>
        <v>23138.235294117647</v>
      </c>
      <c r="K53" s="504">
        <f>'34a'!K53/'34b'!K53*100</f>
        <v>23330.303030303032</v>
      </c>
      <c r="L53" s="504">
        <f>'34a'!L53/'34b'!L53*100</f>
        <v>23309.23076923077</v>
      </c>
      <c r="M53" s="504">
        <f>'34a'!M53/'34b'!M53*100</f>
        <v>23298.4375</v>
      </c>
      <c r="N53" s="504">
        <f>'34a'!N53/'34b'!N53*100</f>
        <v>23401.694915254237</v>
      </c>
      <c r="O53" s="504">
        <f>'34a'!O53/'34b'!O53*100</f>
        <v>23381.967213114753</v>
      </c>
      <c r="P53" s="504">
        <f>'34a'!P53/'34b'!P53*100</f>
        <v>23033.870967741936</v>
      </c>
      <c r="Q53" s="504">
        <f>'34a'!Q53/'34b'!Q53*100</f>
        <v>23401.639344262294</v>
      </c>
      <c r="R53" s="504">
        <f>'34a'!R53/'34b'!R53*100</f>
        <v>23388.333333333332</v>
      </c>
      <c r="S53" s="504">
        <f>'34a'!S53/'34b'!S53*100</f>
        <v>23149.152542372882</v>
      </c>
      <c r="T53" s="504">
        <f>'34a'!T53/'34b'!T53*100</f>
        <v>23341.37931034483</v>
      </c>
      <c r="U53" s="504">
        <f>'34a'!U53/'34b'!U53*100</f>
        <v>23383.050847457627</v>
      </c>
      <c r="V53" s="504">
        <f>'34a'!V53/'34b'!V53*100</f>
        <v>23275.36231884058</v>
      </c>
      <c r="W53" s="504">
        <f>'34a'!W53/'34b'!W53*100</f>
        <v>23302.816901408452</v>
      </c>
    </row>
    <row r="54" spans="1:23">
      <c r="A54" s="256" t="s">
        <v>1221</v>
      </c>
      <c r="D54" s="503">
        <f>'34a'!D54/'34b'!D54*100</f>
        <v>34924.28571428571</v>
      </c>
      <c r="E54" s="504">
        <f>'[7]34a'!E54/'[7]34b'!E54*100</f>
        <v>33427.941176470587</v>
      </c>
      <c r="F54" s="504">
        <f>'[7]34a'!F54/'[7]34b'!F54*100</f>
        <v>33918.181818181816</v>
      </c>
      <c r="G54" s="504">
        <f>'[7]34a'!G54/'[7]34b'!G54*100</f>
        <v>33918.461538461539</v>
      </c>
      <c r="H54" s="504">
        <f>'[7]34a'!H54/'[7]34b'!H54*100</f>
        <v>33362.121212121216</v>
      </c>
      <c r="I54" s="504">
        <f>'[7]34a'!I54/'[7]34b'!I54*100</f>
        <v>33440</v>
      </c>
      <c r="J54" s="840">
        <f>'34a'!J54/'34b'!J54*100</f>
        <v>34923.076923076922</v>
      </c>
      <c r="K54" s="504">
        <f>'34a'!K54/'34b'!K54*100</f>
        <v>34725</v>
      </c>
      <c r="L54" s="504">
        <f>'34a'!L54/'34b'!L54*100</f>
        <v>34709.523809523809</v>
      </c>
      <c r="M54" s="504">
        <f>'34a'!M54/'34b'!M54*100</f>
        <v>34674.576271186445</v>
      </c>
      <c r="N54" s="504">
        <f>'34a'!N54/'34b'!N54*100</f>
        <v>34566.101694915254</v>
      </c>
      <c r="O54" s="504">
        <f>'34a'!O54/'34b'!O54*100</f>
        <v>34629.508196721312</v>
      </c>
      <c r="P54" s="504">
        <f>'34a'!P54/'34b'!P54*100</f>
        <v>34422.950819672129</v>
      </c>
      <c r="Q54" s="504">
        <f>'34a'!Q54/'34b'!Q54*100</f>
        <v>34526.229508196724</v>
      </c>
      <c r="R54" s="504">
        <f>'34a'!R54/'34b'!R54*100</f>
        <v>34558.333333333328</v>
      </c>
      <c r="S54" s="504">
        <f>'34a'!S54/'34b'!S54*100</f>
        <v>34493.220338983054</v>
      </c>
      <c r="T54" s="504">
        <f>'34a'!T54/'34b'!T54*100</f>
        <v>34401.694915254237</v>
      </c>
      <c r="U54" s="504">
        <f>'34a'!U54/'34b'!U54*100</f>
        <v>34736.206896551725</v>
      </c>
      <c r="V54" s="504">
        <f>'34a'!V54/'34b'!V54*100</f>
        <v>34556.25</v>
      </c>
      <c r="W54" s="504">
        <f>'34a'!W54/'34b'!W54*100</f>
        <v>34683.076923076922</v>
      </c>
    </row>
    <row r="55" spans="1:23">
      <c r="A55" s="256" t="s">
        <v>1231</v>
      </c>
      <c r="D55" s="503"/>
      <c r="E55" s="504"/>
      <c r="F55" s="504"/>
      <c r="G55" s="504"/>
      <c r="H55" s="504"/>
      <c r="I55" s="504"/>
      <c r="J55" s="840"/>
      <c r="K55" s="504"/>
      <c r="L55" s="504"/>
      <c r="M55" s="504"/>
      <c r="N55" s="504"/>
      <c r="O55" s="504"/>
      <c r="P55" s="504"/>
      <c r="Q55" s="504"/>
      <c r="R55" s="504"/>
      <c r="S55" s="504"/>
      <c r="T55" s="504"/>
      <c r="U55" s="504"/>
      <c r="V55" s="504"/>
      <c r="W55" s="504"/>
    </row>
    <row r="56" spans="1:23">
      <c r="A56" s="256" t="s">
        <v>545</v>
      </c>
      <c r="D56" s="503">
        <f>'34a'!D56/'34b'!D56*100</f>
        <v>20196.078431372549</v>
      </c>
      <c r="E56" s="504">
        <f>'[7]34a'!E56/'[7]34b'!E56*100</f>
        <v>19361.111111111113</v>
      </c>
      <c r="F56" s="504">
        <f>'[7]34a'!F56/'[7]34b'!F56*100</f>
        <v>19300</v>
      </c>
      <c r="G56" s="504">
        <f>'[7]34a'!G56/'[7]34b'!G56*100</f>
        <v>19210.25641025641</v>
      </c>
      <c r="H56" s="504">
        <f>'[7]34a'!H56/'[7]34b'!H56*100</f>
        <v>20622.222222222223</v>
      </c>
      <c r="I56" s="504">
        <f>'[7]34a'!I56/'[7]34b'!I56*100</f>
        <v>20626.470588235294</v>
      </c>
      <c r="J56" s="840">
        <f>'34a'!J56/'34b'!J56*100</f>
        <v>21366.666666666664</v>
      </c>
      <c r="K56" s="504">
        <f>'34a'!K56/'34b'!K56*100</f>
        <v>21637.931034482757</v>
      </c>
      <c r="L56" s="504">
        <f>'34a'!L56/'34b'!L56*100</f>
        <v>21289.655172413793</v>
      </c>
      <c r="M56" s="504">
        <f>'34a'!M56/'34b'!M56*100</f>
        <v>21825</v>
      </c>
      <c r="N56" s="504">
        <f>'34a'!N56/'34b'!N56*100</f>
        <v>21921.428571428572</v>
      </c>
      <c r="O56" s="504">
        <f>'34a'!O56/'34b'!O56*100</f>
        <v>21542.857142857141</v>
      </c>
      <c r="P56" s="504">
        <f>'34a'!P56/'34b'!P56*100</f>
        <v>21762.962962962964</v>
      </c>
      <c r="Q56" s="504">
        <f>'34a'!Q56/'34b'!Q56*100</f>
        <v>22053.846153846156</v>
      </c>
      <c r="R56" s="504">
        <f>'34a'!R56/'34b'!R56*100</f>
        <v>21592.307692307695</v>
      </c>
      <c r="S56" s="504">
        <f>'34a'!S56/'34b'!S56*100</f>
        <v>21868</v>
      </c>
      <c r="T56" s="504">
        <f>'34a'!T56/'34b'!T56*100</f>
        <v>21488</v>
      </c>
      <c r="U56" s="504">
        <f>'34a'!U56/'34b'!U56*100</f>
        <v>21933.333333333336</v>
      </c>
      <c r="V56" s="504">
        <f>'34a'!V56/'34b'!V56*100</f>
        <v>21442.307692307695</v>
      </c>
      <c r="W56" s="504">
        <f>'34a'!W56/'34b'!W56*100</f>
        <v>21995.652173913044</v>
      </c>
    </row>
    <row r="57" spans="1:23">
      <c r="A57" s="256" t="s">
        <v>1219</v>
      </c>
      <c r="D57" s="503"/>
      <c r="E57" s="504">
        <v>19361.111111111113</v>
      </c>
      <c r="F57" s="504">
        <v>19300</v>
      </c>
      <c r="G57" s="504">
        <v>19210.25641025641</v>
      </c>
      <c r="H57" s="504">
        <v>20622.222222222223</v>
      </c>
      <c r="I57" s="504">
        <v>20626.470588235294</v>
      </c>
      <c r="J57" s="840">
        <f>J56</f>
        <v>21366.666666666664</v>
      </c>
      <c r="K57" s="504">
        <v>21637.931034482757</v>
      </c>
      <c r="L57" s="504">
        <v>21289.655172413793</v>
      </c>
      <c r="M57" s="504">
        <v>21825</v>
      </c>
      <c r="N57" s="504">
        <v>21921.428571428572</v>
      </c>
      <c r="O57" s="504">
        <v>21542.857142857141</v>
      </c>
      <c r="P57" s="504">
        <v>21762.962962962964</v>
      </c>
      <c r="Q57" s="504">
        <v>22053.846153846156</v>
      </c>
      <c r="R57" s="504">
        <v>21592.307692307695</v>
      </c>
      <c r="S57" s="504">
        <v>21868</v>
      </c>
      <c r="T57" s="504">
        <v>21488</v>
      </c>
      <c r="U57" s="504">
        <v>21933.333333333336</v>
      </c>
      <c r="V57" s="504">
        <v>21442.307692307695</v>
      </c>
      <c r="W57" s="504">
        <v>21995.652173913044</v>
      </c>
    </row>
    <row r="58" spans="1:23">
      <c r="A58" s="256" t="s">
        <v>1222</v>
      </c>
      <c r="D58" s="503">
        <f>'34a'!D58/'34b'!D58*100</f>
        <v>27463.934426229509</v>
      </c>
      <c r="E58" s="504">
        <f>'[7]34a'!E58/'[7]34b'!E58*100</f>
        <v>26305.45454545454</v>
      </c>
      <c r="F58" s="504">
        <f>'[7]34a'!F58/'[7]34b'!F58*100</f>
        <v>26660.377358490565</v>
      </c>
      <c r="G58" s="504">
        <f>'[7]34a'!G58/'[7]34b'!G58*100</f>
        <v>26368.421052631584</v>
      </c>
      <c r="H58" s="504">
        <f>'[7]34a'!H58/'[7]34b'!H58*100</f>
        <v>25672.413793103453</v>
      </c>
      <c r="I58" s="504">
        <f>'[7]34a'!I58/'[7]34b'!I58*100</f>
        <v>25666.071428571428</v>
      </c>
      <c r="J58" s="840">
        <f>'34a'!J58/'34b'!J58*100</f>
        <v>27048.076923076922</v>
      </c>
      <c r="K58" s="504">
        <f>'34a'!K58/'34b'!K58*100</f>
        <v>26968.627450980392</v>
      </c>
      <c r="L58" s="504">
        <f>'34a'!L58/'34b'!L58*100</f>
        <v>27048</v>
      </c>
      <c r="M58" s="504">
        <f>'34a'!M58/'34b'!M58*100</f>
        <v>26808</v>
      </c>
      <c r="N58" s="504">
        <f>'34a'!N58/'34b'!N58*100</f>
        <v>27098</v>
      </c>
      <c r="O58" s="504">
        <f>'34a'!O58/'34b'!O58*100</f>
        <v>26786.274509803923</v>
      </c>
      <c r="P58" s="504">
        <f>'34a'!P58/'34b'!P58*100</f>
        <v>26954.000000000004</v>
      </c>
      <c r="Q58" s="504">
        <f>'34a'!Q58/'34b'!Q58*100</f>
        <v>27032.65306122449</v>
      </c>
      <c r="R58" s="504">
        <f>'34a'!R58/'34b'!R58*100</f>
        <v>27027.083333333332</v>
      </c>
      <c r="S58" s="504">
        <f>'34a'!S58/'34b'!S58*100</f>
        <v>26893.75</v>
      </c>
      <c r="T58" s="504">
        <f>'34a'!T58/'34b'!T58*100</f>
        <v>26960.416666666668</v>
      </c>
      <c r="U58" s="504">
        <f>'34a'!U58/'34b'!U58*100</f>
        <v>26768.75</v>
      </c>
      <c r="V58" s="504">
        <f>'34a'!V58/'34b'!V58*100</f>
        <v>27213.207547169812</v>
      </c>
      <c r="W58" s="504">
        <f>'34a'!W58/'34b'!W58*100</f>
        <v>26868.627450980392</v>
      </c>
    </row>
    <row r="59" spans="1:23">
      <c r="A59" s="256" t="s">
        <v>1221</v>
      </c>
      <c r="D59" s="503">
        <f>'34a'!D59/'34b'!D59*100</f>
        <v>39686.36363636364</v>
      </c>
      <c r="E59" s="504">
        <f>'[7]34a'!E59/'[7]34b'!E59*100</f>
        <v>38153.448275862072</v>
      </c>
      <c r="F59" s="504">
        <f>'[7]34a'!F59/'[7]34b'!F59*100</f>
        <v>38357.142857142848</v>
      </c>
      <c r="G59" s="504">
        <f>'[7]34a'!G59/'[7]34b'!G59*100</f>
        <v>38282.258064516129</v>
      </c>
      <c r="H59" s="504">
        <f>'[7]34a'!H59/'[7]34b'!H59*100</f>
        <v>38403.278688524588</v>
      </c>
      <c r="I59" s="504">
        <f>'[7]34a'!I59/'[7]34b'!I59*100</f>
        <v>38408.474576271183</v>
      </c>
      <c r="J59" s="840">
        <f>'34a'!J59/'34b'!J59*100</f>
        <v>39992.857142857145</v>
      </c>
      <c r="K59" s="504">
        <f>'34a'!K59/'34b'!K59*100</f>
        <v>40212.727272727272</v>
      </c>
      <c r="L59" s="504">
        <f>'34a'!L59/'34b'!L59*100</f>
        <v>40300</v>
      </c>
      <c r="M59" s="504">
        <f>'34a'!M59/'34b'!M59*100</f>
        <v>40575.471698113208</v>
      </c>
      <c r="N59" s="504">
        <f>'34a'!N59/'34b'!N59*100</f>
        <v>40087.037037037036</v>
      </c>
      <c r="O59" s="504">
        <f>'34a'!O59/'34b'!O59*100</f>
        <v>40601.886792452831</v>
      </c>
      <c r="P59" s="504">
        <f>'34a'!P59/'34b'!P59*100</f>
        <v>40298.113207547169</v>
      </c>
      <c r="Q59" s="504">
        <f>'34a'!Q59/'34b'!Q59*100</f>
        <v>40326.923076923078</v>
      </c>
      <c r="R59" s="504">
        <f>'34a'!R59/'34b'!R59*100</f>
        <v>40258.823529411762</v>
      </c>
      <c r="S59" s="504">
        <f>'34a'!S59/'34b'!S59*100</f>
        <v>39950.98039215686</v>
      </c>
      <c r="T59" s="504">
        <f>'34a'!T59/'34b'!T59*100</f>
        <v>40023.529411764706</v>
      </c>
      <c r="U59" s="504">
        <f>'34a'!U59/'34b'!U59*100</f>
        <v>40648</v>
      </c>
      <c r="V59" s="504">
        <f>'34a'!V59/'34b'!V59*100</f>
        <v>40590.909090909096</v>
      </c>
      <c r="W59" s="504">
        <f>'34a'!W59/'34b'!W59*100</f>
        <v>40638</v>
      </c>
    </row>
    <row r="60" spans="1:23">
      <c r="A60" s="256" t="s">
        <v>1232</v>
      </c>
      <c r="D60" s="503"/>
      <c r="E60" s="504"/>
      <c r="F60" s="504"/>
      <c r="G60" s="504"/>
      <c r="H60" s="504"/>
      <c r="I60" s="504"/>
      <c r="J60" s="840"/>
      <c r="K60" s="504"/>
      <c r="L60" s="504"/>
      <c r="M60" s="504"/>
      <c r="N60" s="504"/>
      <c r="O60" s="504"/>
      <c r="P60" s="504"/>
      <c r="Q60" s="504"/>
      <c r="R60" s="504"/>
      <c r="S60" s="504"/>
      <c r="T60" s="504"/>
      <c r="U60" s="504"/>
      <c r="V60" s="504"/>
      <c r="W60" s="504"/>
    </row>
    <row r="61" spans="1:23">
      <c r="A61" s="256" t="s">
        <v>545</v>
      </c>
      <c r="D61" s="503">
        <f>'34a'!D61/'34b'!D61*100</f>
        <v>19883.783783783783</v>
      </c>
      <c r="E61" s="504">
        <f>'[7]34a'!E61/'[7]34b'!E61*100</f>
        <v>19139.0243902439</v>
      </c>
      <c r="F61" s="504">
        <f>'[7]34a'!F61/'[7]34b'!F61*100</f>
        <v>19333.333333333336</v>
      </c>
      <c r="G61" s="504">
        <f>'[7]34a'!G61/'[7]34b'!G61*100</f>
        <v>19482.5</v>
      </c>
      <c r="H61" s="504">
        <f>'[7]34a'!H61/'[7]34b'!H61*100</f>
        <v>20687.5</v>
      </c>
      <c r="I61" s="504">
        <f>'[7]34a'!I61/'[7]34b'!I61*100</f>
        <v>20755</v>
      </c>
      <c r="J61" s="840">
        <f>'34a'!J61/'34b'!J61*100</f>
        <v>21621.951219512193</v>
      </c>
      <c r="K61" s="504">
        <f>'34a'!K61/'34b'!K61*100</f>
        <v>21767.5</v>
      </c>
      <c r="L61" s="504">
        <f>'34a'!L61/'34b'!L61*100</f>
        <v>21443.243243243243</v>
      </c>
      <c r="M61" s="504">
        <f>'34a'!M61/'34b'!M61*100</f>
        <v>21688.888888888887</v>
      </c>
      <c r="N61" s="504">
        <f>'34a'!N61/'34b'!N61*100</f>
        <v>21486.111111111113</v>
      </c>
      <c r="O61" s="504">
        <f>'34a'!O61/'34b'!O61*100</f>
        <v>21720</v>
      </c>
      <c r="P61" s="504">
        <f>'34a'!P61/'34b'!P61*100</f>
        <v>21950</v>
      </c>
      <c r="Q61" s="504">
        <f>'34a'!Q61/'34b'!Q61*100</f>
        <v>21650</v>
      </c>
      <c r="R61" s="504">
        <f>'34a'!R61/'34b'!R61*100</f>
        <v>21833.333333333336</v>
      </c>
      <c r="S61" s="504">
        <f>'34a'!S61/'34b'!S61*100</f>
        <v>21853.125</v>
      </c>
      <c r="T61" s="504">
        <f>'34a'!T61/'34b'!T61*100</f>
        <v>21465.625</v>
      </c>
      <c r="U61" s="504">
        <f>'34a'!U61/'34b'!U61*100</f>
        <v>21709.677419354837</v>
      </c>
      <c r="V61" s="504">
        <f>'34a'!V61/'34b'!V61*100</f>
        <v>22013.333333333332</v>
      </c>
      <c r="W61" s="504">
        <f>'34a'!W61/'34b'!W61*100</f>
        <v>21661.764705882353</v>
      </c>
    </row>
    <row r="62" spans="1:23">
      <c r="A62" s="256" t="s">
        <v>1219</v>
      </c>
      <c r="D62" s="503"/>
      <c r="E62" s="504">
        <v>19139.0243902439</v>
      </c>
      <c r="F62" s="504">
        <v>19333.333333333336</v>
      </c>
      <c r="G62" s="504">
        <v>19482.5</v>
      </c>
      <c r="H62" s="504">
        <v>20687.5</v>
      </c>
      <c r="I62" s="504">
        <v>20755</v>
      </c>
      <c r="J62" s="840">
        <f>J61</f>
        <v>21621.951219512193</v>
      </c>
      <c r="K62" s="504">
        <v>21767.5</v>
      </c>
      <c r="L62" s="504">
        <v>21443.243243243243</v>
      </c>
      <c r="M62" s="504">
        <v>21688.888888888887</v>
      </c>
      <c r="N62" s="504">
        <v>21486.111111111113</v>
      </c>
      <c r="O62" s="504">
        <v>21720</v>
      </c>
      <c r="P62" s="504">
        <v>21950</v>
      </c>
      <c r="Q62" s="504">
        <v>21650</v>
      </c>
      <c r="R62" s="504">
        <v>21833.333333333336</v>
      </c>
      <c r="S62" s="504">
        <v>21853.125</v>
      </c>
      <c r="T62" s="504">
        <v>21465.625</v>
      </c>
      <c r="U62" s="504">
        <v>21709.677419354837</v>
      </c>
      <c r="V62" s="504">
        <v>22013.333333333332</v>
      </c>
      <c r="W62" s="504">
        <v>21661.764705882353</v>
      </c>
    </row>
    <row r="63" spans="1:23">
      <c r="A63" s="256" t="s">
        <v>1222</v>
      </c>
      <c r="D63" s="503">
        <f>'34a'!D63/'34b'!D63*100</f>
        <v>27374.545454545456</v>
      </c>
      <c r="E63" s="504">
        <f>'[7]34a'!E63/'[7]34b'!E63*100</f>
        <v>26164.999999999996</v>
      </c>
      <c r="F63" s="504">
        <f>'[7]34a'!F63/'[7]34b'!F63*100</f>
        <v>26400</v>
      </c>
      <c r="G63" s="504">
        <f>'[7]34a'!G63/'[7]34b'!G63*100</f>
        <v>26009.677419354841</v>
      </c>
      <c r="H63" s="504">
        <f>'[7]34a'!H63/'[7]34b'!H63*100</f>
        <v>26006.25</v>
      </c>
      <c r="I63" s="504">
        <f>'[7]34a'!I63/'[7]34b'!I63*100</f>
        <v>25673.846153846152</v>
      </c>
      <c r="J63" s="840">
        <f>'34a'!J63/'34b'!J63*100</f>
        <v>26928.78787878788</v>
      </c>
      <c r="K63" s="504">
        <f>'34a'!K63/'34b'!K63*100</f>
        <v>26839.999999999996</v>
      </c>
      <c r="L63" s="504">
        <f>'34a'!L63/'34b'!L63*100</f>
        <v>26823.4375</v>
      </c>
      <c r="M63" s="504">
        <f>'34a'!M63/'34b'!M63*100</f>
        <v>27151.612903225803</v>
      </c>
      <c r="N63" s="504">
        <f>'34a'!N63/'34b'!N63*100</f>
        <v>26901.612903225803</v>
      </c>
      <c r="O63" s="504">
        <f>'34a'!O63/'34b'!O63*100</f>
        <v>26893.442622950817</v>
      </c>
      <c r="P63" s="504">
        <f>'34a'!P63/'34b'!P63*100</f>
        <v>26936.666666666668</v>
      </c>
      <c r="Q63" s="504">
        <f>'34a'!Q63/'34b'!Q63*100</f>
        <v>27186.4406779661</v>
      </c>
      <c r="R63" s="504">
        <f>'34a'!R63/'34b'!R63*100</f>
        <v>26814.035087719298</v>
      </c>
      <c r="S63" s="504">
        <f>'34a'!S63/'34b'!S63*100</f>
        <v>26974.545454545456</v>
      </c>
      <c r="T63" s="504">
        <f>'34a'!T63/'34b'!T63*100</f>
        <v>27174.074074074077</v>
      </c>
      <c r="U63" s="504">
        <f>'34a'!U63/'34b'!U63*100</f>
        <v>26925.925925925923</v>
      </c>
      <c r="V63" s="504">
        <f>'34a'!V63/'34b'!V63*100</f>
        <v>26775.438596491229</v>
      </c>
      <c r="W63" s="504">
        <f>'34a'!W63/'34b'!W63*100</f>
        <v>27050</v>
      </c>
    </row>
    <row r="64" spans="1:23">
      <c r="A64" s="256" t="s">
        <v>1221</v>
      </c>
      <c r="D64" s="503">
        <f>'34a'!D64/'34b'!D64*100</f>
        <v>40201.851851851854</v>
      </c>
      <c r="E64" s="504">
        <f>'[7]34a'!E64/'[7]34b'!E64*100</f>
        <v>38694.339622641506</v>
      </c>
      <c r="F64" s="504">
        <f>'[7]34a'!F64/'[7]34b'!F64*100</f>
        <v>38620.370370370372</v>
      </c>
      <c r="G64" s="504">
        <f>'[7]34a'!G64/'[7]34b'!G64*100</f>
        <v>38612.962962962964</v>
      </c>
      <c r="H64" s="504">
        <f>'[7]34a'!H64/'[7]34b'!H64*100</f>
        <v>38651.78571428571</v>
      </c>
      <c r="I64" s="504">
        <f>'[7]34a'!I64/'[7]34b'!I64*100</f>
        <v>38796.428571428565</v>
      </c>
      <c r="J64" s="840">
        <f>'34a'!J64/'34b'!J64*100</f>
        <v>40051.724137931036</v>
      </c>
      <c r="K64" s="504">
        <f>'34a'!K64/'34b'!K64*100</f>
        <v>40007.017543859649</v>
      </c>
      <c r="L64" s="504">
        <f>'34a'!L64/'34b'!L64*100</f>
        <v>40066.071428571428</v>
      </c>
      <c r="M64" s="504">
        <f>'34a'!M64/'34b'!M64*100</f>
        <v>39927.272727272728</v>
      </c>
      <c r="N64" s="504">
        <f>'34a'!N64/'34b'!N64*100</f>
        <v>40290.740740740737</v>
      </c>
      <c r="O64" s="504">
        <f>'34a'!O64/'34b'!O64*100</f>
        <v>40400</v>
      </c>
      <c r="P64" s="504">
        <f>'34a'!P64/'34b'!P64*100</f>
        <v>40584.61538461539</v>
      </c>
      <c r="Q64" s="504">
        <f>'34a'!Q64/'34b'!Q64*100</f>
        <v>40365.38461538461</v>
      </c>
      <c r="R64" s="504">
        <f>'34a'!R64/'34b'!R64*100</f>
        <v>40650</v>
      </c>
      <c r="S64" s="504">
        <f>'34a'!S64/'34b'!S64*100</f>
        <v>40048.979591836738</v>
      </c>
      <c r="T64" s="504">
        <f>'34a'!T64/'34b'!T64*100</f>
        <v>40510.416666666672</v>
      </c>
      <c r="U64" s="504">
        <f>'34a'!U64/'34b'!U64*100</f>
        <v>40102.083333333328</v>
      </c>
      <c r="V64" s="504">
        <f>'34a'!V64/'34b'!V64*100</f>
        <v>40083.673469387752</v>
      </c>
      <c r="W64" s="504">
        <f>'34a'!W64/'34b'!W64*100</f>
        <v>40566</v>
      </c>
    </row>
    <row r="66" spans="1:20" ht="24.75" customHeight="1">
      <c r="A66" s="1170" t="s">
        <v>630</v>
      </c>
      <c r="B66" s="1170"/>
      <c r="C66" s="1170"/>
      <c r="D66" s="1170"/>
      <c r="E66" s="1170"/>
      <c r="F66" s="1170"/>
      <c r="G66" s="1170"/>
      <c r="H66" s="1170"/>
      <c r="I66" s="1170"/>
      <c r="J66" s="1170"/>
      <c r="K66" s="1170"/>
      <c r="L66" s="1170"/>
      <c r="M66" s="1170"/>
      <c r="N66" s="1170"/>
      <c r="O66" s="1170"/>
      <c r="P66" s="1170"/>
      <c r="Q66" s="1170"/>
      <c r="R66" s="1170"/>
      <c r="S66" s="1170"/>
      <c r="T66" s="1170"/>
    </row>
    <row r="67" spans="1:20">
      <c r="A67" s="4"/>
      <c r="B67" s="1"/>
      <c r="C67" s="1"/>
      <c r="D67" s="4"/>
      <c r="E67" s="1"/>
      <c r="F67" s="1"/>
      <c r="G67" s="1"/>
      <c r="H67" s="1"/>
      <c r="I67" s="1"/>
      <c r="J67" s="1"/>
    </row>
    <row r="68" spans="1:20" ht="26.25" customHeight="1">
      <c r="A68" s="1169"/>
      <c r="B68" s="1169"/>
      <c r="C68" s="1169"/>
      <c r="D68" s="1169"/>
      <c r="E68" s="1169"/>
      <c r="F68" s="1169"/>
      <c r="G68" s="1169"/>
      <c r="H68" s="1169"/>
      <c r="I68" s="1169"/>
      <c r="J68" s="1169"/>
      <c r="K68" s="1169"/>
      <c r="L68" s="1169"/>
      <c r="M68" s="1169"/>
      <c r="N68" s="1169"/>
      <c r="O68" s="1169"/>
      <c r="P68" s="1169"/>
      <c r="Q68" s="1169"/>
      <c r="R68" s="1169"/>
      <c r="S68" s="1169"/>
      <c r="T68" s="1169"/>
    </row>
    <row r="69" spans="1:20" ht="40.5" customHeight="1">
      <c r="A69" s="1200"/>
      <c r="B69" s="1200"/>
      <c r="C69" s="1200"/>
      <c r="D69" s="1200"/>
      <c r="E69" s="1200"/>
      <c r="F69" s="1200"/>
      <c r="G69" s="1200"/>
      <c r="H69" s="1200"/>
      <c r="I69" s="1200"/>
      <c r="J69" s="1200"/>
      <c r="K69" s="1200"/>
      <c r="L69" s="1200"/>
      <c r="M69" s="1200"/>
      <c r="N69" s="1200"/>
      <c r="O69" s="1200"/>
      <c r="P69" s="1200"/>
      <c r="Q69" s="1200"/>
      <c r="R69" s="1200"/>
      <c r="S69" s="1200"/>
      <c r="T69" s="1200"/>
    </row>
  </sheetData>
  <mergeCells count="23">
    <mergeCell ref="W3:W4"/>
    <mergeCell ref="V3:V4"/>
    <mergeCell ref="A69:T69"/>
    <mergeCell ref="A68:T68"/>
    <mergeCell ref="A66:T66"/>
    <mergeCell ref="T3:T4"/>
    <mergeCell ref="P3:P4"/>
    <mergeCell ref="Q3:Q4"/>
    <mergeCell ref="I3:I4"/>
    <mergeCell ref="K3:K4"/>
    <mergeCell ref="H3:H4"/>
    <mergeCell ref="D3:D4"/>
    <mergeCell ref="E3:E4"/>
    <mergeCell ref="F3:F4"/>
    <mergeCell ref="G3:G4"/>
    <mergeCell ref="R3:R4"/>
    <mergeCell ref="J3:J4"/>
    <mergeCell ref="L3:L4"/>
    <mergeCell ref="M3:M4"/>
    <mergeCell ref="S3:S4"/>
    <mergeCell ref="U3:U4"/>
    <mergeCell ref="N3:N4"/>
    <mergeCell ref="O3:O4"/>
  </mergeCells>
  <phoneticPr fontId="36" type="noConversion"/>
  <pageMargins left="0.75" right="0.75" top="1" bottom="1" header="0.5" footer="0.5"/>
  <pageSetup scale="67" fitToHeight="2" orientation="landscape" horizontalDpi="1200" verticalDpi="1200" r:id="rId1"/>
  <headerFooter alignWithMargins="0"/>
  <rowBreaks count="1" manualBreakCount="1">
    <brk id="44" max="16383" man="1"/>
  </rowBreaks>
</worksheet>
</file>

<file path=xl/worksheets/sheet167.xml><?xml version="1.0" encoding="utf-8"?>
<worksheet xmlns="http://schemas.openxmlformats.org/spreadsheetml/2006/main" xmlns:r="http://schemas.openxmlformats.org/officeDocument/2006/relationships">
  <sheetPr codeName="Sheet147"/>
  <dimension ref="A1:AD70"/>
  <sheetViews>
    <sheetView view="pageBreakPreview" zoomScale="85" zoomScaleSheetLayoutView="85" workbookViewId="0">
      <pane xSplit="3" ySplit="4" topLeftCell="D5"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2" width="8" style="256" customWidth="1"/>
    <col min="3" max="3" width="5.28515625" style="256" customWidth="1"/>
    <col min="4" max="4" width="9.140625" style="256" customWidth="1"/>
    <col min="5" max="9" width="6.7109375" style="256" hidden="1" customWidth="1"/>
    <col min="10" max="28" width="6.7109375" style="256" customWidth="1"/>
    <col min="29" max="29" width="8" style="256" customWidth="1"/>
    <col min="30" max="30" width="12.28515625" style="256" customWidth="1"/>
    <col min="31" max="16384" width="8" style="256"/>
  </cols>
  <sheetData>
    <row r="1" spans="1:30" ht="15.75">
      <c r="A1" s="1137" t="s">
        <v>2218</v>
      </c>
      <c r="B1" s="830"/>
      <c r="C1" s="830"/>
      <c r="D1" s="830"/>
      <c r="E1" s="830"/>
      <c r="F1" s="830"/>
      <c r="G1" s="830"/>
      <c r="H1" s="830"/>
      <c r="I1" s="830"/>
      <c r="J1" s="830"/>
      <c r="K1" s="830"/>
      <c r="L1" s="830"/>
      <c r="M1" s="830"/>
      <c r="N1" s="830"/>
      <c r="O1" s="830"/>
      <c r="P1" s="830"/>
      <c r="Q1" s="830"/>
      <c r="R1" s="830"/>
      <c r="S1" s="830"/>
      <c r="T1" s="830"/>
      <c r="U1" s="830"/>
      <c r="V1" s="830"/>
      <c r="W1" s="830"/>
    </row>
    <row r="3" spans="1:30" ht="26.25" customHeight="1">
      <c r="D3" s="1236">
        <v>1986</v>
      </c>
      <c r="E3" s="1238">
        <v>1989</v>
      </c>
      <c r="F3" s="1232">
        <v>1990</v>
      </c>
      <c r="G3" s="1232">
        <v>1991</v>
      </c>
      <c r="H3" s="1232">
        <v>1992</v>
      </c>
      <c r="I3" s="1232">
        <v>1993</v>
      </c>
      <c r="J3" s="1238">
        <v>1994</v>
      </c>
      <c r="K3" s="1232">
        <v>1995</v>
      </c>
      <c r="L3" s="1232">
        <v>1996</v>
      </c>
      <c r="M3" s="1232">
        <v>1997</v>
      </c>
      <c r="N3" s="1232">
        <v>1998</v>
      </c>
      <c r="O3" s="1232">
        <v>1999</v>
      </c>
      <c r="P3" s="1232">
        <v>2000</v>
      </c>
      <c r="Q3" s="1232">
        <v>2001</v>
      </c>
      <c r="R3" s="1232">
        <v>2002</v>
      </c>
      <c r="S3" s="1232">
        <v>2003</v>
      </c>
      <c r="T3" s="1232">
        <v>2004</v>
      </c>
      <c r="U3" s="1232">
        <v>2005</v>
      </c>
      <c r="V3" s="1232">
        <v>2006</v>
      </c>
      <c r="W3" s="1232">
        <v>2007</v>
      </c>
      <c r="Y3" s="1235" t="s">
        <v>802</v>
      </c>
      <c r="Z3" s="1235"/>
      <c r="AA3" s="1235"/>
      <c r="AB3" s="1235"/>
      <c r="AC3" s="258"/>
      <c r="AD3" s="950" t="s">
        <v>276</v>
      </c>
    </row>
    <row r="4" spans="1:30">
      <c r="A4" s="831"/>
      <c r="B4" s="831"/>
      <c r="C4" s="831"/>
      <c r="D4" s="1237"/>
      <c r="E4" s="1239"/>
      <c r="F4" s="1233"/>
      <c r="G4" s="1233"/>
      <c r="H4" s="1233"/>
      <c r="I4" s="1233"/>
      <c r="J4" s="1239"/>
      <c r="K4" s="1233"/>
      <c r="L4" s="1233"/>
      <c r="M4" s="1233"/>
      <c r="N4" s="1233"/>
      <c r="O4" s="1233"/>
      <c r="P4" s="1233"/>
      <c r="Q4" s="1233"/>
      <c r="R4" s="1233"/>
      <c r="S4" s="1233"/>
      <c r="T4" s="1233"/>
      <c r="U4" s="1233"/>
      <c r="V4" s="1233"/>
      <c r="W4" s="1233"/>
      <c r="X4" s="748"/>
      <c r="Y4" s="259" t="s">
        <v>1218</v>
      </c>
      <c r="Z4" s="259" t="s">
        <v>604</v>
      </c>
      <c r="AA4" s="259" t="s">
        <v>1788</v>
      </c>
      <c r="AB4" s="259" t="s">
        <v>449</v>
      </c>
      <c r="AC4" s="1108"/>
      <c r="AD4" s="259" t="s">
        <v>1788</v>
      </c>
    </row>
    <row r="5" spans="1:30" ht="15.75">
      <c r="A5" s="256" t="s">
        <v>440</v>
      </c>
      <c r="B5" s="832"/>
      <c r="C5" s="832"/>
      <c r="D5" s="833"/>
      <c r="E5" s="303"/>
      <c r="F5" s="261"/>
      <c r="G5" s="261"/>
      <c r="H5" s="261"/>
      <c r="I5" s="261"/>
      <c r="J5" s="303"/>
      <c r="K5" s="261"/>
      <c r="L5" s="261"/>
      <c r="M5" s="261"/>
      <c r="N5" s="261"/>
      <c r="O5" s="261"/>
      <c r="P5" s="261"/>
      <c r="Q5" s="261"/>
      <c r="R5" s="261"/>
      <c r="S5" s="261"/>
      <c r="T5" s="261"/>
      <c r="U5" s="261"/>
      <c r="V5" s="261"/>
      <c r="W5" s="261"/>
      <c r="Y5" s="662"/>
      <c r="Z5" s="662"/>
      <c r="AA5" s="662"/>
      <c r="AB5" s="662"/>
    </row>
    <row r="6" spans="1:30">
      <c r="A6" s="256" t="s">
        <v>545</v>
      </c>
      <c r="B6" s="832"/>
      <c r="C6" s="832"/>
      <c r="D6" s="834">
        <f>'34a'!D6/('35b'!$C$8*('4'!$B$30/'4'!$B$26))/52</f>
        <v>19.938774707190095</v>
      </c>
      <c r="E6" s="835">
        <f>'34a'!E6/('35b'!$C$11*('4'!$B$30/'4'!$B$26))/52</f>
        <v>21.016343382870279</v>
      </c>
      <c r="F6" s="836">
        <f>'34a'!F6/('35b'!$C$12*('4'!$B$30/'4'!$B$26))/52</f>
        <v>23.425086315745265</v>
      </c>
      <c r="G6" s="836">
        <f>'34a'!G6/('35b'!$C$13*('4'!$B$30/'4'!$B$26))/52</f>
        <v>23.947570041291719</v>
      </c>
      <c r="H6" s="836">
        <f>'34a'!H6/('35b'!$C$14*('4'!$B$30/'4'!$B$26))/52</f>
        <v>23.614947470643067</v>
      </c>
      <c r="I6" s="836">
        <f>'34a'!I6/('35b'!$C$15*('4'!$B$30/'4'!$B$26))/52</f>
        <v>23.452341949448623</v>
      </c>
      <c r="J6" s="835">
        <f>'34a'!J6/('35b'!$C$16*('4'!$B$30/'4'!$B$26))/52</f>
        <v>22.500592047051938</v>
      </c>
      <c r="K6" s="836">
        <f>'34a'!K6/('35b'!$C$17*('4'!$B$30/'4'!$B$26))/52</f>
        <v>20.955738670290074</v>
      </c>
      <c r="L6" s="836">
        <f>'34a'!L6/('35b'!$C$18*('4'!$B$30/'4'!$B$26))/52</f>
        <v>18.68331966837172</v>
      </c>
      <c r="M6" s="836">
        <f>'34a'!M6/('35b'!$C$19*('4'!$B$30/'4'!$B$26))/52</f>
        <v>18.203134778375087</v>
      </c>
      <c r="N6" s="836">
        <f>'34a'!N6/('35b'!$C$20*('4'!$B$30/'4'!$B$26))/52</f>
        <v>18.035597700402622</v>
      </c>
      <c r="O6" s="836">
        <f>'34a'!O6/('35b'!$C$21*('4'!$B$30/'4'!$B$26))/52</f>
        <v>17.987662189035323</v>
      </c>
      <c r="P6" s="836">
        <f>'34a'!P6/('35b'!$C$22*('4'!$B$30/'4'!$B$26))/52</f>
        <v>17.909331389303482</v>
      </c>
      <c r="Q6" s="836">
        <f>'34a'!Q6/('35b'!$C$23*('4'!$B$30/'4'!$B$26))/52</f>
        <v>17.892858631807758</v>
      </c>
      <c r="R6" s="836">
        <f>'34a'!R6/('35b'!$C$24*('4'!$B$30/'4'!$B$26))/52</f>
        <v>18.066311597612376</v>
      </c>
      <c r="S6" s="836">
        <f>'34a'!S6/('35b'!$C$25*('4'!$B$30/'4'!$B$26))/52</f>
        <v>18.01368424580901</v>
      </c>
      <c r="T6" s="836">
        <f>'34a'!T6/('35b'!$C$26*('4'!$B$30/'4'!$B$26))/52</f>
        <v>17.813747392633328</v>
      </c>
      <c r="U6" s="836">
        <f>'34a'!U6/('35b'!$C$27*('4'!$B$30/'4'!$B$26))/52</f>
        <v>17.342869735468213</v>
      </c>
      <c r="V6" s="836">
        <f>'34a'!V6/('35b'!$C$27*('4'!$B$30/'4'!$B$26))/52</f>
        <v>17.441384325871432</v>
      </c>
      <c r="W6" s="836">
        <f>'34a'!W6/('35b'!$C$27*('4'!$B$30/'4'!$B$26))/52</f>
        <v>17.530616611168508</v>
      </c>
      <c r="Y6" s="662">
        <f>((((E6/D6))^(1/3))-1)*100</f>
        <v>1.7699504740059879</v>
      </c>
      <c r="Z6" s="662">
        <f>((((P6/E6))^(1/11))-1)*100</f>
        <v>-1.4438254824819752</v>
      </c>
      <c r="AA6" s="662">
        <f>((((W6/D6))^(1/21))-1)*100</f>
        <v>-0.61106554760301801</v>
      </c>
      <c r="AB6" s="662">
        <f>((((W6/P6))^(1/7))-1)*100</f>
        <v>-0.30486307074478747</v>
      </c>
      <c r="AC6" s="257"/>
      <c r="AD6" s="662">
        <f>((W6/D6)-1)*100</f>
        <v>-12.07776371109296</v>
      </c>
    </row>
    <row r="7" spans="1:30">
      <c r="A7" s="256" t="s">
        <v>1219</v>
      </c>
      <c r="B7" s="832"/>
      <c r="C7" s="832"/>
      <c r="D7" s="834"/>
      <c r="E7" s="835">
        <f>'34a'!E7/('35b'!$C$11*('4'!$B$30/'4'!$B$26))/52</f>
        <v>31.156967237933397</v>
      </c>
      <c r="F7" s="836">
        <f>'34a'!F7/('35b'!$C$12*('4'!$B$30/'4'!$B$26))/52</f>
        <v>32.297834150406075</v>
      </c>
      <c r="G7" s="836">
        <f>'34a'!G7/('35b'!$C$13*('4'!$B$30/'4'!$B$26))/52</f>
        <v>32.810360112884048</v>
      </c>
      <c r="H7" s="836">
        <f>'34a'!H7/('35b'!$C$14*('4'!$B$30/'4'!$B$26))/52</f>
        <v>32.262951590180997</v>
      </c>
      <c r="I7" s="836">
        <f>'34a'!I7/('35b'!$C$15*('4'!$B$30/'4'!$B$26))/52</f>
        <v>31.924885266049031</v>
      </c>
      <c r="J7" s="835">
        <f>'34a'!J7/('35b'!$C$16*('4'!$B$30/'4'!$B$26))/52</f>
        <v>31.104128372858675</v>
      </c>
      <c r="K7" s="836">
        <f>'34a'!K7/('35b'!$C$17*('4'!$B$30/'4'!$B$26))/52</f>
        <v>29.773709096612698</v>
      </c>
      <c r="L7" s="836">
        <f>'34a'!L7/('35b'!$C$18*('4'!$B$30/'4'!$B$26))/52</f>
        <v>29.275980814255547</v>
      </c>
      <c r="M7" s="836">
        <f>'34a'!M7/('35b'!$C$19*('4'!$B$30/'4'!$B$26))/52</f>
        <v>29.171131966848286</v>
      </c>
      <c r="N7" s="836">
        <f>'34a'!N7/('35b'!$C$20*('4'!$B$30/'4'!$B$26))/52</f>
        <v>29.059393109985674</v>
      </c>
      <c r="O7" s="836">
        <f>'34a'!O7/('35b'!$C$21*('4'!$B$30/'4'!$B$26))/52</f>
        <v>28.996440551485591</v>
      </c>
      <c r="P7" s="836">
        <f>'34a'!P7/('35b'!$C$22*('4'!$B$30/'4'!$B$26))/52</f>
        <v>29.019396455089744</v>
      </c>
      <c r="Q7" s="836">
        <f>'34a'!Q7/('35b'!$C$23*('4'!$B$30/'4'!$B$26))/52</f>
        <v>28.819301823046047</v>
      </c>
      <c r="R7" s="836">
        <f>'34a'!R7/('35b'!$C$24*('4'!$B$30/'4'!$B$26))/52</f>
        <v>28.636520127599169</v>
      </c>
      <c r="S7" s="836">
        <f>'34a'!S7/('35b'!$C$25*('4'!$B$30/'4'!$B$26))/52</f>
        <v>28.598638819451295</v>
      </c>
      <c r="T7" s="836">
        <f>'34a'!T7/('35b'!$C$26*('4'!$B$30/'4'!$B$26))/52</f>
        <v>28.297340590767849</v>
      </c>
      <c r="U7" s="836">
        <f>'34a'!U7/('35b'!$C$27*('4'!$B$30/'4'!$B$26))/52</f>
        <v>27.804301590756047</v>
      </c>
      <c r="V7" s="836">
        <f>'34a'!V7/('35b'!$C$27*('4'!$B$30/'4'!$B$26))/52</f>
        <v>27.797895522913993</v>
      </c>
      <c r="W7" s="836">
        <f>'34a'!W7/('35b'!$C$27*('4'!$B$30/'4'!$B$26))/52</f>
        <v>27.757469045284601</v>
      </c>
      <c r="Y7" s="662" t="s">
        <v>374</v>
      </c>
      <c r="Z7" s="662">
        <f>((((P7/E7))^(1/11))-1)*100</f>
        <v>-0.64403928173246694</v>
      </c>
      <c r="AA7" s="662">
        <f>((((W7/E7))^(1/18))-1)*100</f>
        <v>-0.63979414992625383</v>
      </c>
      <c r="AB7" s="733">
        <f>((((W7/P7))^(1/7))-1)*100</f>
        <v>-0.63312286205269297</v>
      </c>
      <c r="AC7" s="262"/>
      <c r="AD7" s="662">
        <f>((W7/E7)-1)*100</f>
        <v>-10.910876423524074</v>
      </c>
    </row>
    <row r="8" spans="1:30">
      <c r="A8" s="256" t="s">
        <v>1220</v>
      </c>
      <c r="B8" s="832"/>
      <c r="C8" s="832"/>
      <c r="D8" s="834">
        <f>'34a'!D8/('35b'!$C$8*('4'!$B$30/'4'!$B$26))/52</f>
        <v>44.797529998563718</v>
      </c>
      <c r="E8" s="835">
        <f>'34a'!E8/('35b'!$C$11*('4'!$B$30/'4'!$B$26))/52</f>
        <v>44.497840575183737</v>
      </c>
      <c r="F8" s="836">
        <f>'34a'!F8/('35b'!$C$12*('4'!$B$30/'4'!$B$26))/52</f>
        <v>47.270206801226045</v>
      </c>
      <c r="G8" s="836">
        <f>'34a'!G8/('35b'!$C$13*('4'!$B$30/'4'!$B$26))/52</f>
        <v>47.131960721674531</v>
      </c>
      <c r="H8" s="836">
        <f>'34a'!H8/('35b'!$C$14*('4'!$B$30/'4'!$B$26))/52</f>
        <v>47.116454110149746</v>
      </c>
      <c r="I8" s="836">
        <f>'34a'!I8/('35b'!$C$15*('4'!$B$30/'4'!$B$26))/52</f>
        <v>47.015215336991901</v>
      </c>
      <c r="J8" s="835">
        <f>'34a'!J8/('35b'!$C$16*('4'!$B$30/'4'!$B$26))/52</f>
        <v>45.867173998525196</v>
      </c>
      <c r="K8" s="836">
        <f>'34a'!K8/('35b'!$C$17*('4'!$B$30/'4'!$B$26))/52</f>
        <v>42.992773869332446</v>
      </c>
      <c r="L8" s="836">
        <f>'34a'!L8/('35b'!$C$18*('4'!$B$30/'4'!$B$26))/52</f>
        <v>39.231295805480279</v>
      </c>
      <c r="M8" s="836">
        <f>'34a'!M8/('35b'!$C$19*('4'!$B$30/'4'!$B$26))/52</f>
        <v>38.865554304368118</v>
      </c>
      <c r="N8" s="836">
        <f>'34a'!N8/('35b'!$C$20*('4'!$B$30/'4'!$B$26))/52</f>
        <v>38.628394927352019</v>
      </c>
      <c r="O8" s="836">
        <f>'34a'!O8/('35b'!$C$21*('4'!$B$30/'4'!$B$26))/52</f>
        <v>38.584640187224466</v>
      </c>
      <c r="P8" s="836">
        <f>'34a'!P8/('35b'!$C$22*('4'!$B$30/'4'!$B$26))/52</f>
        <v>38.448115782412941</v>
      </c>
      <c r="Q8" s="836">
        <f>'34a'!Q8/('35b'!$C$23*('4'!$B$30/'4'!$B$26))/52</f>
        <v>38.457451478648871</v>
      </c>
      <c r="R8" s="836">
        <f>'34a'!R8/('35b'!$C$24*('4'!$B$30/'4'!$B$26))/52</f>
        <v>38.221352560640469</v>
      </c>
      <c r="S8" s="836">
        <f>'34a'!S8/('35b'!$C$25*('4'!$B$30/'4'!$B$26))/52</f>
        <v>38.268865774324489</v>
      </c>
      <c r="T8" s="836">
        <f>'34a'!T8/('35b'!$C$26*('4'!$B$30/'4'!$B$26))/52</f>
        <v>38.009181269783831</v>
      </c>
      <c r="U8" s="836">
        <f>'34a'!U8/('35b'!$C$27*('4'!$B$30/'4'!$B$26))/52</f>
        <v>37.778689345516213</v>
      </c>
      <c r="V8" s="836">
        <f>'34a'!V8/('35b'!$C$27*('4'!$B$30/'4'!$B$26))/52</f>
        <v>40.174231136094811</v>
      </c>
      <c r="W8" s="836">
        <f>'34a'!W8/('35b'!$C$27*('4'!$B$30/'4'!$B$26))/52</f>
        <v>41.073491116660449</v>
      </c>
      <c r="Y8" s="662">
        <f>((((E8/D8))^(1/3))-1)*100</f>
        <v>-0.22349462289177335</v>
      </c>
      <c r="Z8" s="662">
        <f>((((P8/E8))^(1/11))-1)*100</f>
        <v>-1.3196782453133604</v>
      </c>
      <c r="AA8" s="733">
        <f>((((W8/D8))^(1/21))-1)*100</f>
        <v>-0.41243322235172686</v>
      </c>
      <c r="AB8" s="733">
        <f>((((W8/P8))^(1/7))-1)*100</f>
        <v>0.94808379431698953</v>
      </c>
      <c r="AC8" s="257"/>
      <c r="AD8" s="662">
        <f>((W8/D8)-1)*100</f>
        <v>-8.3130451210650875</v>
      </c>
    </row>
    <row r="9" spans="1:30">
      <c r="A9" s="256" t="s">
        <v>1221</v>
      </c>
      <c r="B9" s="832"/>
      <c r="C9" s="832"/>
      <c r="D9" s="834">
        <f>'34a'!D9/('35b'!$C$8*('4'!$B$30/'4'!$B$26))/52</f>
        <v>62.227820135822121</v>
      </c>
      <c r="E9" s="835">
        <f>'34a'!E9/('35b'!$C$11*('4'!$B$30/'4'!$B$26))/52</f>
        <v>60.51293075985204</v>
      </c>
      <c r="F9" s="836">
        <f>'34a'!F9/('35b'!$C$12*('4'!$B$30/'4'!$B$26))/52</f>
        <v>63.511113538073701</v>
      </c>
      <c r="G9" s="836">
        <f>'34a'!G9/('35b'!$C$13*('4'!$B$30/'4'!$B$26))/52</f>
        <v>64.803893438171812</v>
      </c>
      <c r="H9" s="836">
        <f>'34a'!H9/('35b'!$C$14*('4'!$B$30/'4'!$B$26))/52</f>
        <v>63.289528474960939</v>
      </c>
      <c r="I9" s="836">
        <f>'34a'!I9/('35b'!$C$15*('4'!$B$30/'4'!$B$26))/52</f>
        <v>62.909216553223466</v>
      </c>
      <c r="J9" s="835">
        <f>'34a'!J9/('35b'!$C$16*('4'!$B$30/'4'!$B$26))/52</f>
        <v>60.786520402269019</v>
      </c>
      <c r="K9" s="836">
        <f>'34a'!K9/('35b'!$C$17*('4'!$B$30/'4'!$B$26))/52</f>
        <v>56.911203251047226</v>
      </c>
      <c r="L9" s="836">
        <f>'34a'!L9/('35b'!$C$18*('4'!$B$30/'4'!$B$26))/52</f>
        <v>52.069994717191477</v>
      </c>
      <c r="M9" s="836">
        <f>'34a'!M9/('35b'!$C$19*('4'!$B$30/'4'!$B$26))/52</f>
        <v>51.368662786199749</v>
      </c>
      <c r="N9" s="836">
        <f>'34a'!N9/('35b'!$C$20*('4'!$B$30/'4'!$B$26))/52</f>
        <v>51.2966846620795</v>
      </c>
      <c r="O9" s="836">
        <f>'34a'!O9/('35b'!$C$21*('4'!$B$30/'4'!$B$26))/52</f>
        <v>51.181934021202892</v>
      </c>
      <c r="P9" s="836">
        <f>'34a'!P9/('35b'!$C$22*('4'!$B$30/'4'!$B$26))/52</f>
        <v>51.317631562344246</v>
      </c>
      <c r="Q9" s="836">
        <f>'34a'!Q9/('35b'!$C$23*('4'!$B$30/'4'!$B$26))/52</f>
        <v>51.620008227704879</v>
      </c>
      <c r="R9" s="836">
        <f>'34a'!R9/('35b'!$C$24*('4'!$B$30/'4'!$B$26))/52</f>
        <v>51.423594604959199</v>
      </c>
      <c r="S9" s="836">
        <f>'34a'!S9/('35b'!$C$25*('4'!$B$30/'4'!$B$26))/52</f>
        <v>51.601149133400568</v>
      </c>
      <c r="T9" s="836">
        <f>'34a'!T9/('35b'!$C$26*('4'!$B$30/'4'!$B$26))/52</f>
        <v>51.368130738193976</v>
      </c>
      <c r="U9" s="836">
        <f>'34a'!U9/('35b'!$C$27*('4'!$B$30/'4'!$B$26))/52</f>
        <v>51.753681843737127</v>
      </c>
      <c r="V9" s="836">
        <f>'34a'!V9/('35b'!$C$27*('4'!$B$30/'4'!$B$26))/52</f>
        <v>53.535740174918764</v>
      </c>
      <c r="W9" s="836">
        <f>'34a'!W9/('35b'!$C$27*('4'!$B$30/'4'!$B$26))/52</f>
        <v>53.523607087326141</v>
      </c>
      <c r="Y9" s="662">
        <f>((((E9/D9))^(1/3))-1)*100</f>
        <v>-0.92717811723632693</v>
      </c>
      <c r="Z9" s="662">
        <f>((((P9/E9))^(1/11))-1)*100</f>
        <v>-1.487218075415675</v>
      </c>
      <c r="AA9" s="733">
        <f>((((W9/D9))^(1/21))-1)*100</f>
        <v>-0.7149527192284455</v>
      </c>
      <c r="AB9" s="733">
        <f>((((W9/P9))^(1/7))-1)*100</f>
        <v>0.6030743902264657</v>
      </c>
      <c r="AC9" s="262"/>
      <c r="AD9" s="662">
        <f>((W9/D9)-1)*100</f>
        <v>-13.987655407979338</v>
      </c>
    </row>
    <row r="10" spans="1:30" ht="15.75">
      <c r="A10" s="256" t="s">
        <v>1770</v>
      </c>
      <c r="B10" s="832"/>
      <c r="C10" s="832"/>
      <c r="D10" s="837"/>
      <c r="E10" s="266"/>
      <c r="F10" s="267"/>
      <c r="G10" s="267"/>
      <c r="H10" s="267"/>
      <c r="I10" s="267"/>
      <c r="J10" s="266"/>
      <c r="K10" s="267"/>
      <c r="L10" s="267"/>
      <c r="M10" s="267"/>
      <c r="N10" s="267"/>
      <c r="O10" s="267"/>
      <c r="P10" s="267"/>
      <c r="Q10" s="267"/>
      <c r="R10" s="267"/>
      <c r="S10" s="267"/>
      <c r="T10" s="267"/>
      <c r="U10" s="267"/>
      <c r="V10" s="267"/>
      <c r="W10" s="267"/>
      <c r="Y10" s="662"/>
      <c r="Z10" s="662"/>
      <c r="AA10" s="662"/>
      <c r="AB10" s="662"/>
    </row>
    <row r="11" spans="1:30">
      <c r="A11" s="256" t="s">
        <v>545</v>
      </c>
      <c r="B11" s="832"/>
      <c r="C11" s="832"/>
      <c r="D11" s="834">
        <f>'34a'!D11/('35b'!$C$8*('4'!$B$30/'4'!$B$21))/52</f>
        <v>17.417476042653586</v>
      </c>
      <c r="E11" s="835">
        <f>'34a'!E11/('35b'!$C$11*('4'!$B$30/'4'!$B$21))/52</f>
        <v>18.960321543147113</v>
      </c>
      <c r="F11" s="836">
        <f>'34a'!F11/('35b'!$C$12*('4'!$B$30/'4'!$B$21))/52</f>
        <v>21.435881467785183</v>
      </c>
      <c r="G11" s="836">
        <f>'34a'!G11/('35b'!$C$13*('4'!$B$30/'4'!$B$21))/52</f>
        <v>21.866014206152332</v>
      </c>
      <c r="H11" s="836">
        <f>'34a'!H11/('35b'!$C$14*('4'!$B$30/'4'!$B$21))/52</f>
        <v>21.584951326601999</v>
      </c>
      <c r="I11" s="836">
        <f>'34a'!I11/('35b'!$C$15*('4'!$B$30/'4'!$B$21))/52</f>
        <v>21.488021921647778</v>
      </c>
      <c r="J11" s="835">
        <f>'34a'!J11/('35b'!$C$16*('4'!$B$30/'4'!$B$21))/52</f>
        <v>20.728102188421058</v>
      </c>
      <c r="K11" s="836">
        <f>'34a'!K11/('35b'!$C$17*('4'!$B$30/'4'!$B$21))/52</f>
        <v>19.497240228123232</v>
      </c>
      <c r="L11" s="836">
        <f>'34a'!L11/('35b'!$C$18*('4'!$B$30/'4'!$B$21))/52</f>
        <v>17.125082793574162</v>
      </c>
      <c r="M11" s="836">
        <f>'34a'!M11/('35b'!$C$19*('4'!$B$30/'4'!$B$21))/52</f>
        <v>16.632493640566313</v>
      </c>
      <c r="N11" s="836">
        <f>'34a'!N11/('35b'!$C$20*('4'!$B$30/'4'!$B$21))/52</f>
        <v>16.48912231627364</v>
      </c>
      <c r="O11" s="836">
        <f>'34a'!O11/('35b'!$C$21*('4'!$B$30/'4'!$B$21))/52</f>
        <v>16.366469063421921</v>
      </c>
      <c r="P11" s="836">
        <f>'34a'!P11/('35b'!$C$22*('4'!$B$30/'4'!$B$21))/52</f>
        <v>16.257364021556587</v>
      </c>
      <c r="Q11" s="836">
        <f>'34a'!Q11/('35b'!$C$23*('4'!$B$30/'4'!$B$21))/52</f>
        <v>16.276797990233</v>
      </c>
      <c r="R11" s="836">
        <f>'34a'!R11/('35b'!$C$24*('4'!$B$30/'4'!$B$21))/52</f>
        <v>16.633514297479987</v>
      </c>
      <c r="S11" s="836">
        <f>'34a'!S11/('35b'!$C$25*('4'!$B$30/'4'!$B$21))/52</f>
        <v>16.600763831233511</v>
      </c>
      <c r="T11" s="836">
        <f>'34a'!T11/('35b'!$C$26*('4'!$B$30/'4'!$B$21))/52</f>
        <v>16.440086834355711</v>
      </c>
      <c r="U11" s="836">
        <f>'34a'!U11/('35b'!$C$27*('4'!$B$30/'4'!$B$21))/52</f>
        <v>16.042933909278524</v>
      </c>
      <c r="V11" s="836">
        <f>'34a'!V11/('35b'!$C$27*('4'!$B$30/'4'!$B$21))/52</f>
        <v>16.099949977700042</v>
      </c>
      <c r="W11" s="836">
        <f>'34a'!W11/('35b'!$C$27*('4'!$B$30/'4'!$B$21))/52</f>
        <v>16.217590816731821</v>
      </c>
      <c r="Y11" s="662">
        <f>((((E11/D11))^(1/3))-1)*100</f>
        <v>2.8695465431709755</v>
      </c>
      <c r="Z11" s="662">
        <f>((((P11/E11))^(1/11))-1)*100</f>
        <v>-1.3884748764896648</v>
      </c>
      <c r="AA11" s="733">
        <f>((((W11/D11))^(1/21))-1)*100</f>
        <v>-0.33931619054380358</v>
      </c>
      <c r="AB11" s="733">
        <f>((((W11/P11))^(1/7))-1)*100</f>
        <v>-3.4986316519181049E-2</v>
      </c>
      <c r="AC11" s="257"/>
      <c r="AD11" s="733">
        <f>((W11/D11)-1)*100</f>
        <v>-6.8889730233207764</v>
      </c>
    </row>
    <row r="12" spans="1:30">
      <c r="A12" s="256" t="s">
        <v>1219</v>
      </c>
      <c r="B12" s="832"/>
      <c r="C12" s="832"/>
      <c r="D12" s="834"/>
      <c r="E12" s="835">
        <f>'34a'!E12/('35b'!$C$11*('4'!$B$30/'4'!$B$21))/52</f>
        <v>28.566822274598888</v>
      </c>
      <c r="F12" s="836">
        <f>'34a'!F12/('35b'!$C$12*('4'!$B$30/'4'!$B$21))/52</f>
        <v>29.757138383443042</v>
      </c>
      <c r="G12" s="836">
        <f>'34a'!G12/('35b'!$C$13*('4'!$B$30/'4'!$B$21))/52</f>
        <v>30.20625515576241</v>
      </c>
      <c r="H12" s="836">
        <f>'34a'!H12/('35b'!$C$14*('4'!$B$30/'4'!$B$21))/52</f>
        <v>29.697778018565671</v>
      </c>
      <c r="I12" s="836">
        <f>'34a'!I12/('35b'!$C$15*('4'!$B$30/'4'!$B$21))/52</f>
        <v>29.436875570948438</v>
      </c>
      <c r="J12" s="835">
        <f>'34a'!J12/('35b'!$C$16*('4'!$B$30/'4'!$B$21))/52</f>
        <v>28.6880874452415</v>
      </c>
      <c r="K12" s="836">
        <f>'34a'!K12/('35b'!$C$17*('4'!$B$30/'4'!$B$21))/52</f>
        <v>27.778868295526042</v>
      </c>
      <c r="L12" s="836">
        <f>'34a'!L12/('35b'!$C$18*('4'!$B$30/'4'!$B$21))/52</f>
        <v>27.101324196452488</v>
      </c>
      <c r="M12" s="836">
        <f>'34a'!M12/('35b'!$C$19*('4'!$B$30/'4'!$B$21))/52</f>
        <v>27.008509460865902</v>
      </c>
      <c r="N12" s="836">
        <f>'34a'!N12/('35b'!$C$20*('4'!$B$30/'4'!$B$21))/52</f>
        <v>26.984209723156464</v>
      </c>
      <c r="O12" s="836">
        <f>'34a'!O12/('35b'!$C$21*('4'!$B$30/'4'!$B$21))/52</f>
        <v>26.705960507863885</v>
      </c>
      <c r="P12" s="836">
        <f>'34a'!P12/('35b'!$C$22*('4'!$B$30/'4'!$B$21))/52</f>
        <v>26.539415800964417</v>
      </c>
      <c r="Q12" s="836">
        <f>'34a'!Q12/('35b'!$C$23*('4'!$B$30/'4'!$B$21))/52</f>
        <v>26.28015119333439</v>
      </c>
      <c r="R12" s="836">
        <f>'34a'!R12/('35b'!$C$24*('4'!$B$30/'4'!$B$21))/52</f>
        <v>26.172304106918173</v>
      </c>
      <c r="S12" s="836">
        <f>'34a'!S12/('35b'!$C$25*('4'!$B$30/'4'!$B$21))/52</f>
        <v>26.166318848902733</v>
      </c>
      <c r="T12" s="836">
        <f>'34a'!T12/('35b'!$C$26*('4'!$B$30/'4'!$B$21))/52</f>
        <v>25.926136379157484</v>
      </c>
      <c r="U12" s="836">
        <f>'34a'!U12/('35b'!$C$27*('4'!$B$30/'4'!$B$21))/52</f>
        <v>25.493784708465395</v>
      </c>
      <c r="V12" s="836">
        <f>'34a'!V12/('35b'!$C$27*('4'!$B$30/'4'!$B$21))/52</f>
        <v>25.444302974274368</v>
      </c>
      <c r="W12" s="836">
        <f>'34a'!W12/('35b'!$C$27*('4'!$B$30/'4'!$B$21))/52</f>
        <v>25.48730182133858</v>
      </c>
      <c r="Y12" s="662" t="s">
        <v>374</v>
      </c>
      <c r="Z12" s="662">
        <f>((((P12/E12))^(1/11))-1)*100</f>
        <v>-0.66699264026466309</v>
      </c>
      <c r="AA12" s="733">
        <f>((((W12/E12))^(1/18))-1)*100</f>
        <v>-0.63169427912763698</v>
      </c>
      <c r="AB12" s="733">
        <f>((((W12/P12))^(1/7))-1)*100</f>
        <v>-0.57620008139596113</v>
      </c>
      <c r="AC12" s="262"/>
      <c r="AD12" s="733">
        <f>((W12/E12)-1)*100</f>
        <v>-10.780059551805888</v>
      </c>
    </row>
    <row r="13" spans="1:30">
      <c r="A13" s="256" t="s">
        <v>1222</v>
      </c>
      <c r="B13" s="832"/>
      <c r="C13" s="832"/>
      <c r="D13" s="834">
        <f>'34a'!D13/('35b'!$C$8*('4'!$B$30/'4'!$B$21))/52</f>
        <v>40.500981908228887</v>
      </c>
      <c r="E13" s="835">
        <f>'34a'!E13/('35b'!$C$11*('4'!$B$30/'4'!$B$21))/52</f>
        <v>40.451587938469672</v>
      </c>
      <c r="F13" s="836">
        <f>'34a'!F13/('35b'!$C$12*('4'!$B$30/'4'!$B$21))/52</f>
        <v>43.277920080439053</v>
      </c>
      <c r="G13" s="836">
        <f>'34a'!G13/('35b'!$C$13*('4'!$B$30/'4'!$B$21))/52</f>
        <v>42.996730604958024</v>
      </c>
      <c r="H13" s="836">
        <f>'34a'!H13/('35b'!$C$14*('4'!$B$30/'4'!$B$21))/52</f>
        <v>43.116131179929916</v>
      </c>
      <c r="I13" s="836">
        <f>'34a'!I13/('35b'!$C$15*('4'!$B$30/'4'!$B$21))/52</f>
        <v>43.168539040630215</v>
      </c>
      <c r="J13" s="835">
        <f>'34a'!J13/('35b'!$C$16*('4'!$B$30/'4'!$B$21))/52</f>
        <v>42.254253922198011</v>
      </c>
      <c r="K13" s="836">
        <f>'34a'!K13/('35b'!$C$17*('4'!$B$30/'4'!$B$21))/52</f>
        <v>39.843965712619628</v>
      </c>
      <c r="L13" s="836">
        <f>'34a'!L13/('35b'!$C$18*('4'!$B$30/'4'!$B$21))/52</f>
        <v>35.945545952844576</v>
      </c>
      <c r="M13" s="836">
        <f>'34a'!M13/('35b'!$C$19*('4'!$B$30/'4'!$B$21))/52</f>
        <v>35.572596861046861</v>
      </c>
      <c r="N13" s="836">
        <f>'34a'!N13/('35b'!$C$20*('4'!$B$30/'4'!$B$21))/52</f>
        <v>35.383158752199321</v>
      </c>
      <c r="O13" s="836">
        <f>'34a'!O13/('35b'!$C$21*('4'!$B$30/'4'!$B$21))/52</f>
        <v>35.255868952873705</v>
      </c>
      <c r="P13" s="836">
        <f>'34a'!P13/('35b'!$C$22*('4'!$B$30/'4'!$B$21))/52</f>
        <v>35.091603238361031</v>
      </c>
      <c r="Q13" s="836">
        <f>'34a'!Q13/('35b'!$C$23*('4'!$B$30/'4'!$B$21))/52</f>
        <v>35.115444916091867</v>
      </c>
      <c r="R13" s="836">
        <f>'34a'!R13/('35b'!$C$24*('4'!$B$30/'4'!$B$21))/52</f>
        <v>34.992988728254822</v>
      </c>
      <c r="S13" s="836">
        <f>'34a'!S13/('35b'!$C$25*('4'!$B$30/'4'!$B$21))/52</f>
        <v>35.038309591712725</v>
      </c>
      <c r="T13" s="836">
        <f>'34a'!T13/('35b'!$C$26*('4'!$B$30/'4'!$B$21))/52</f>
        <v>34.808864486433087</v>
      </c>
      <c r="U13" s="836">
        <f>'34a'!U13/('35b'!$C$27*('4'!$B$30/'4'!$B$21))/52</f>
        <v>34.769000375519234</v>
      </c>
      <c r="V13" s="836">
        <f>'34a'!V13/('35b'!$C$27*('4'!$B$30/'4'!$B$21))/52</f>
        <v>36.850129534927945</v>
      </c>
      <c r="W13" s="836">
        <f>'34a'!W13/('35b'!$C$27*('4'!$B$30/'4'!$B$21))/52</f>
        <v>37.725242964809858</v>
      </c>
      <c r="Y13" s="662">
        <f>((((E13/D13))^(1/3))-1)*100</f>
        <v>-4.0669024901307527E-2</v>
      </c>
      <c r="Z13" s="662">
        <f>((((P13/E13))^(1/11))-1)*100</f>
        <v>-1.2839050843964639</v>
      </c>
      <c r="AA13" s="733">
        <f>((((W13/D13))^(1/21))-1)*100</f>
        <v>-0.33750902688278739</v>
      </c>
      <c r="AB13" s="733">
        <f>((((W13/P13))^(1/7))-1)*100</f>
        <v>1.0391847952238464</v>
      </c>
      <c r="AC13" s="257"/>
      <c r="AD13" s="733">
        <f>((W13/D13)-1)*100</f>
        <v>-6.8535102425629324</v>
      </c>
    </row>
    <row r="14" spans="1:30">
      <c r="A14" s="256" t="s">
        <v>1221</v>
      </c>
      <c r="B14" s="832"/>
      <c r="C14" s="832"/>
      <c r="D14" s="834">
        <f>'34a'!D14/('35b'!$C$8*('4'!$B$30/'4'!$B$21))/52</f>
        <v>55.586303509847752</v>
      </c>
      <c r="E14" s="835">
        <f>'34a'!E14/('35b'!$C$11*('4'!$B$30/'4'!$B$21))/52</f>
        <v>54.400348975784354</v>
      </c>
      <c r="F14" s="836">
        <f>'34a'!F14/('35b'!$C$12*('4'!$B$30/'4'!$B$21))/52</f>
        <v>57.467898946015026</v>
      </c>
      <c r="G14" s="836">
        <f>'34a'!G14/('35b'!$C$13*('4'!$B$30/'4'!$B$21))/52</f>
        <v>58.4394936460371</v>
      </c>
      <c r="H14" s="836">
        <f>'34a'!H14/('35b'!$C$14*('4'!$B$30/'4'!$B$21))/52</f>
        <v>57.131369473567204</v>
      </c>
      <c r="I14" s="836">
        <f>'34a'!I14/('35b'!$C$15*('4'!$B$30/'4'!$B$21))/52</f>
        <v>56.968036202605006</v>
      </c>
      <c r="J14" s="835">
        <f>'34a'!J14/('35b'!$C$16*('4'!$B$30/'4'!$B$21))/52</f>
        <v>55.141046312600523</v>
      </c>
      <c r="K14" s="836">
        <f>'34a'!K14/('35b'!$C$17*('4'!$B$30/'4'!$B$21))/52</f>
        <v>51.991480806984136</v>
      </c>
      <c r="L14" s="836">
        <f>'34a'!L14/('35b'!$C$18*('4'!$B$30/'4'!$B$21))/52</f>
        <v>46.984727591220768</v>
      </c>
      <c r="M14" s="836">
        <f>'34a'!M14/('35b'!$C$19*('4'!$B$30/'4'!$B$21))/52</f>
        <v>46.246379873199352</v>
      </c>
      <c r="N14" s="836">
        <f>'34a'!N14/('35b'!$C$20*('4'!$B$30/'4'!$B$21))/52</f>
        <v>46.206348194856751</v>
      </c>
      <c r="O14" s="836">
        <f>'34a'!O14/('35b'!$C$21*('4'!$B$30/'4'!$B$21))/52</f>
        <v>45.997632394881663</v>
      </c>
      <c r="P14" s="836">
        <f>'34a'!P14/('35b'!$C$22*('4'!$B$30/'4'!$B$21))/52</f>
        <v>46.058307490796885</v>
      </c>
      <c r="Q14" s="836">
        <f>'34a'!Q14/('35b'!$C$23*('4'!$B$30/'4'!$B$21))/52</f>
        <v>46.403903082905053</v>
      </c>
      <c r="R14" s="836">
        <f>'34a'!R14/('35b'!$C$24*('4'!$B$30/'4'!$B$21))/52</f>
        <v>46.339239961633126</v>
      </c>
      <c r="S14" s="836">
        <f>'34a'!S14/('35b'!$C$25*('4'!$B$30/'4'!$B$21))/52</f>
        <v>46.529670754250915</v>
      </c>
      <c r="T14" s="836">
        <f>'34a'!T14/('35b'!$C$26*('4'!$B$30/'4'!$B$21))/52</f>
        <v>46.3642772291862</v>
      </c>
      <c r="U14" s="836">
        <f>'34a'!U14/('35b'!$C$27*('4'!$B$30/'4'!$B$21))/52</f>
        <v>47.078436066005388</v>
      </c>
      <c r="V14" s="836">
        <f>'34a'!V14/('35b'!$C$27*('4'!$B$30/'4'!$B$21))/52</f>
        <v>48.477345902614886</v>
      </c>
      <c r="W14" s="836">
        <f>'34a'!W14/('35b'!$C$27*('4'!$B$30/'4'!$B$21))/52</f>
        <v>48.619278710623057</v>
      </c>
      <c r="Y14" s="662">
        <f>((((E14/D14))^(1/3))-1)*100</f>
        <v>-0.7162976820244471</v>
      </c>
      <c r="Z14" s="662">
        <f>((((P14/E14))^(1/11))-1)*100</f>
        <v>-1.5019019714926807</v>
      </c>
      <c r="AA14" s="733">
        <f>((((W14/D14))^(1/21))-1)*100</f>
        <v>-0.63566957805397672</v>
      </c>
      <c r="AB14" s="733">
        <f>((((W14/P14))^(1/7))-1)*100</f>
        <v>0.77602394346030223</v>
      </c>
      <c r="AC14" s="262"/>
      <c r="AD14" s="733">
        <f>((W14/D14)-1)*100</f>
        <v>-12.53370769292188</v>
      </c>
    </row>
    <row r="15" spans="1:30">
      <c r="A15" s="832" t="s">
        <v>1223</v>
      </c>
      <c r="B15" s="832"/>
      <c r="C15" s="832"/>
      <c r="D15" s="833"/>
      <c r="E15" s="663"/>
      <c r="F15" s="261"/>
      <c r="G15" s="261"/>
      <c r="H15" s="261"/>
      <c r="I15" s="261"/>
      <c r="J15" s="663"/>
      <c r="K15" s="261"/>
      <c r="L15" s="261"/>
      <c r="M15" s="261"/>
      <c r="N15" s="261"/>
      <c r="O15" s="261"/>
      <c r="P15" s="261"/>
      <c r="Q15" s="261"/>
      <c r="R15" s="261"/>
      <c r="S15" s="261"/>
      <c r="T15" s="261"/>
      <c r="U15" s="261"/>
      <c r="V15" s="261"/>
      <c r="W15" s="261"/>
      <c r="Y15" s="662"/>
      <c r="Z15" s="662"/>
      <c r="AA15" s="662"/>
      <c r="AB15" s="662"/>
    </row>
    <row r="16" spans="1:30">
      <c r="A16" s="256" t="s">
        <v>545</v>
      </c>
      <c r="D16" s="834">
        <f>'34a'!D16/('35b'!$F$8*('4'!$C$30/'4'!$C$21))/52</f>
        <v>15.307340639269402</v>
      </c>
      <c r="E16" s="835">
        <f>'34a'!E16/('35b'!$F$11*('4'!$C$30/'4'!$C$21))/52</f>
        <v>16.147799086757988</v>
      </c>
      <c r="F16" s="836">
        <f>'34a'!F16/('35b'!$F$12*('4'!$C$30/'4'!$C$21))/52</f>
        <v>17.146246360461991</v>
      </c>
      <c r="G16" s="836">
        <f>'34a'!G16/('35b'!$F$13*('4'!$C$30/'4'!$C$21))/52</f>
        <v>16.442555731795238</v>
      </c>
      <c r="H16" s="836">
        <f>'34a'!H16/('35b'!$F$14*('4'!$C$30/'4'!$C$21))/52</f>
        <v>17.090780100937273</v>
      </c>
      <c r="I16" s="836">
        <f>'34a'!I16/('35b'!$F$15*('4'!$C$30/'4'!$C$21))/52</f>
        <v>17.220596971881754</v>
      </c>
      <c r="J16" s="835">
        <f>'34a'!J16/('35b'!$F$16*('4'!$C$30/'4'!$C$21))/52</f>
        <v>17.21731742369623</v>
      </c>
      <c r="K16" s="836">
        <f>'34a'!K16/('35b'!$F$17*('4'!$C$30/'4'!$C$21))/52</f>
        <v>17.228336842105261</v>
      </c>
      <c r="L16" s="836">
        <f>'34a'!L16/('35b'!$F$18*('4'!$C$30/'4'!$C$21))/52</f>
        <v>9.7560646118721461</v>
      </c>
      <c r="M16" s="836">
        <f>'34a'!M16/('35b'!$F$19*('4'!$C$30/'4'!$C$21))/52</f>
        <v>4.4994393563818225</v>
      </c>
      <c r="N16" s="836">
        <f>'34a'!N16/('35b'!$F$20*('4'!$C$30/'4'!$C$21))/52</f>
        <v>4.5583296803652962</v>
      </c>
      <c r="O16" s="836">
        <f>'34a'!O16/('35b'!$F$21*('4'!$C$30/'4'!$C$21))/52</f>
        <v>4.4082187629721865</v>
      </c>
      <c r="P16" s="836">
        <f>'34a'!P16/('35b'!$F$22*('4'!$C$30/'4'!$C$21))/52</f>
        <v>6.0423564134495642</v>
      </c>
      <c r="Q16" s="836">
        <f>'34a'!Q16/('35b'!$F$23*('4'!$C$30/'4'!$C$21))/52</f>
        <v>10.765916562889164</v>
      </c>
      <c r="R16" s="836">
        <f>'34a'!R16/('35b'!$F$24*('4'!$C$30/'4'!$C$21))/52</f>
        <v>24.989682308364909</v>
      </c>
      <c r="S16" s="836">
        <f>'34a'!S16/('35b'!$F$25*('4'!$C$30/'4'!$C$21))/52</f>
        <v>24.515413850837135</v>
      </c>
      <c r="T16" s="836">
        <f>'34a'!T16/('35b'!$F$26*('4'!$C$30/'4'!$C$21))/52</f>
        <v>24.541393150684932</v>
      </c>
      <c r="U16" s="836">
        <f>'34a'!U16/('35b'!$F$27*('4'!$C$30/'4'!$C$21))/52</f>
        <v>23.716515799086757</v>
      </c>
      <c r="V16" s="836">
        <f>'34a'!V16/('35b'!$F$27*('4'!$C$30/'4'!$C$21))/52</f>
        <v>25.267830136986298</v>
      </c>
      <c r="W16" s="836">
        <f>'34a'!W16/('35b'!$F$27*('4'!$C$30/'4'!$C$21))/52</f>
        <v>25.942193972602738</v>
      </c>
      <c r="Y16" s="662">
        <f>((((E16/D16))^(1/3))-1)*100</f>
        <v>1.7976760293751504</v>
      </c>
      <c r="Z16" s="662">
        <f>((((P16/E16))^(1/11))-1)*100</f>
        <v>-8.5486179948266461</v>
      </c>
      <c r="AA16" s="733">
        <f>((((W16/D16))^(1/21))-1)*100</f>
        <v>2.5439057382814489</v>
      </c>
      <c r="AB16" s="733">
        <f>((((W16/P16))^(1/7))-1)*100</f>
        <v>23.140255938825938</v>
      </c>
      <c r="AC16" s="257"/>
      <c r="AD16" s="733">
        <f>((W16/D16)-1)*100</f>
        <v>69.475512330670398</v>
      </c>
    </row>
    <row r="17" spans="1:30">
      <c r="A17" s="256" t="s">
        <v>1219</v>
      </c>
      <c r="D17" s="834"/>
      <c r="E17" s="835">
        <f>'34a'!E17/('35b'!$F$11*('4'!$C$30/'4'!$C$21))/52</f>
        <v>32.227126940639259</v>
      </c>
      <c r="F17" s="836">
        <f>'34a'!F17/('35b'!$F$12*('4'!$C$30/'4'!$C$21))/52</f>
        <v>33.781155412301899</v>
      </c>
      <c r="G17" s="836">
        <f>'34a'!G17/('35b'!$F$13*('4'!$C$30/'4'!$C$21))/52</f>
        <v>31.51183734679163</v>
      </c>
      <c r="H17" s="836">
        <f>'34a'!H17/('35b'!$F$14*('4'!$C$30/'4'!$C$21))/52</f>
        <v>32.326857966834886</v>
      </c>
      <c r="I17" s="836">
        <f>'34a'!I17/('35b'!$F$15*('4'!$C$30/'4'!$C$21))/52</f>
        <v>32.524873059360722</v>
      </c>
      <c r="J17" s="835">
        <f>'34a'!J17/('35b'!$F$16*('4'!$C$30/'4'!$C$21))/52</f>
        <v>32.516075270367701</v>
      </c>
      <c r="K17" s="836">
        <f>'34a'!K17/('35b'!$F$17*('4'!$C$30/'4'!$C$21))/52</f>
        <v>32.534442105263153</v>
      </c>
      <c r="L17" s="836">
        <f>'34a'!L17/('35b'!$F$18*('4'!$C$30/'4'!$C$21))/52</f>
        <v>31.965882602739725</v>
      </c>
      <c r="M17" s="836">
        <f>'34a'!M17/('35b'!$F$19*('4'!$C$30/'4'!$C$21))/52</f>
        <v>32.165967210263105</v>
      </c>
      <c r="N17" s="836">
        <f>'34a'!N17/('35b'!$F$20*('4'!$C$30/'4'!$C$21))/52</f>
        <v>32.333977386388341</v>
      </c>
      <c r="O17" s="836">
        <f>'34a'!O17/('35b'!$F$21*('4'!$C$30/'4'!$C$21))/52</f>
        <v>31.11764362806143</v>
      </c>
      <c r="P17" s="836">
        <f>'34a'!P17/('35b'!$F$22*('4'!$C$30/'4'!$C$21))/52</f>
        <v>31.462991282689909</v>
      </c>
      <c r="Q17" s="836">
        <f>'34a'!Q17/('35b'!$F$23*('4'!$C$30/'4'!$C$21))/52</f>
        <v>31.698201992528013</v>
      </c>
      <c r="R17" s="836">
        <f>'34a'!R17/('35b'!$F$24*('4'!$C$30/'4'!$C$21))/52</f>
        <v>29.757505100553772</v>
      </c>
      <c r="S17" s="836">
        <f>'34a'!S17/('35b'!$F$25*('4'!$C$30/'4'!$C$21))/52</f>
        <v>29.153540182648403</v>
      </c>
      <c r="T17" s="836">
        <f>'34a'!T17/('35b'!$F$26*('4'!$C$30/'4'!$C$21))/52</f>
        <v>29.152097488584477</v>
      </c>
      <c r="U17" s="836">
        <f>'34a'!U17/('35b'!$F$27*('4'!$C$30/'4'!$C$21))/52</f>
        <v>28.142895707762555</v>
      </c>
      <c r="V17" s="836">
        <f>'34a'!V17/('35b'!$F$27*('4'!$C$30/'4'!$C$21))/52</f>
        <v>29.608180091324201</v>
      </c>
      <c r="W17" s="836">
        <f>'34a'!W17/('35b'!$F$27*('4'!$C$30/'4'!$C$21))/52</f>
        <v>30.18818849315068</v>
      </c>
      <c r="Y17" s="662" t="s">
        <v>374</v>
      </c>
      <c r="Z17" s="662">
        <f>((((P17/E17))^(1/11))-1)*100</f>
        <v>-0.21791289939794289</v>
      </c>
      <c r="AA17" s="733">
        <f>((((W17/E17))^(1/18))-1)*100</f>
        <v>-0.36244054333968156</v>
      </c>
      <c r="AB17" s="733">
        <f>((((W17/P17))^(1/7))-1)*100</f>
        <v>-0.58913257973284283</v>
      </c>
      <c r="AC17" s="262"/>
      <c r="AD17" s="733">
        <f>((W17/E17)-1)*100</f>
        <v>-6.3267769765644966</v>
      </c>
    </row>
    <row r="18" spans="1:30">
      <c r="A18" s="256" t="s">
        <v>1222</v>
      </c>
      <c r="D18" s="834">
        <f>'34a'!D18/('35b'!$F$8*('4'!$C$30/'4'!$C$21))/52</f>
        <v>43.178504109589021</v>
      </c>
      <c r="E18" s="835">
        <f>'34a'!E18/('35b'!$F$11*('4'!$C$30/'4'!$C$21))/52</f>
        <v>45.422104109589029</v>
      </c>
      <c r="F18" s="836">
        <f>'34a'!F18/('35b'!$F$12*('4'!$C$30/'4'!$C$21))/52</f>
        <v>48.3348319097502</v>
      </c>
      <c r="G18" s="836">
        <f>'34a'!G18/('35b'!$F$13*('4'!$C$30/'4'!$C$21))/52</f>
        <v>47.002143330930053</v>
      </c>
      <c r="H18" s="836">
        <f>'34a'!H18/('35b'!$F$14*('4'!$C$30/'4'!$C$21))/52</f>
        <v>49.053577505407347</v>
      </c>
      <c r="I18" s="836">
        <f>'34a'!I18/('35b'!$F$15*('4'!$C$30/'4'!$C$21))/52</f>
        <v>49.4504267243451</v>
      </c>
      <c r="J18" s="835">
        <f>'34a'!J18/('35b'!$F$16*('4'!$C$30/'4'!$C$21))/52</f>
        <v>49.435080076904597</v>
      </c>
      <c r="K18" s="836">
        <f>'34a'!K18/('35b'!$F$17*('4'!$C$30/'4'!$C$21))/52</f>
        <v>49.451873684210518</v>
      </c>
      <c r="L18" s="836">
        <f>'34a'!L18/('35b'!$F$18*('4'!$C$30/'4'!$C$21))/52</f>
        <v>48.010790045662098</v>
      </c>
      <c r="M18" s="836">
        <f>'34a'!M18/('35b'!$F$19*('4'!$C$30/'4'!$C$21))/52</f>
        <v>47.579059099804311</v>
      </c>
      <c r="N18" s="836">
        <f>'34a'!N18/('35b'!$F$20*('4'!$C$30/'4'!$C$21))/52</f>
        <v>48.929454707545112</v>
      </c>
      <c r="O18" s="836">
        <f>'34a'!O18/('35b'!$F$21*('4'!$C$30/'4'!$C$21))/52</f>
        <v>48.21660398505604</v>
      </c>
      <c r="P18" s="836">
        <f>'34a'!P18/('35b'!$F$22*('4'!$C$30/'4'!$C$21))/52</f>
        <v>49.320136737235366</v>
      </c>
      <c r="Q18" s="836">
        <f>'34a'!Q18/('35b'!$F$23*('4'!$C$30/'4'!$C$21))/52</f>
        <v>50.612778829389782</v>
      </c>
      <c r="R18" s="836">
        <f>'34a'!R18/('35b'!$F$24*('4'!$C$30/'4'!$C$21))/52</f>
        <v>48.105897211697268</v>
      </c>
      <c r="S18" s="836">
        <f>'34a'!S18/('35b'!$F$25*('4'!$C$30/'4'!$C$21))/52</f>
        <v>47.578288736681884</v>
      </c>
      <c r="T18" s="836">
        <f>'34a'!T18/('35b'!$F$26*('4'!$C$30/'4'!$C$21))/52</f>
        <v>48.081443150684933</v>
      </c>
      <c r="U18" s="836">
        <f>'34a'!U18/('35b'!$F$27*('4'!$C$30/'4'!$C$21))/52</f>
        <v>46.8086206392694</v>
      </c>
      <c r="V18" s="836">
        <f>'34a'!V18/('35b'!$F$27*('4'!$C$30/'4'!$C$21))/52</f>
        <v>50.643891506849315</v>
      </c>
      <c r="W18" s="836">
        <f>'34a'!W18/('35b'!$F$27*('4'!$C$30/'4'!$C$21))/52</f>
        <v>52.139702648401823</v>
      </c>
      <c r="Y18" s="662">
        <f>((((E18/D18))^(1/3))-1)*100</f>
        <v>1.7028723424179271</v>
      </c>
      <c r="Z18" s="662">
        <f>((((P18/E18))^(1/11))-1)*100</f>
        <v>0.7512953446086712</v>
      </c>
      <c r="AA18" s="733">
        <f>((((W18/D18))^(1/21))-1)*100</f>
        <v>0.90206297149653114</v>
      </c>
      <c r="AB18" s="733">
        <f>((((W18/P18))^(1/7))-1)*100</f>
        <v>0.79736580291593917</v>
      </c>
      <c r="AC18" s="257"/>
      <c r="AD18" s="733">
        <f>((W18/D18)-1)*100</f>
        <v>20.753842041560478</v>
      </c>
    </row>
    <row r="19" spans="1:30">
      <c r="A19" s="256" t="s">
        <v>1221</v>
      </c>
      <c r="D19" s="834">
        <f>'34a'!D19/('35b'!$F$8*('4'!$C$30/'4'!$C$21))/52</f>
        <v>53.995726940639251</v>
      </c>
      <c r="E19" s="835">
        <f>'34a'!E19/('35b'!$F$11*('4'!$C$30/'4'!$C$21))/52</f>
        <v>55.68993607305935</v>
      </c>
      <c r="F19" s="836">
        <f>'34a'!F19/('35b'!$F$12*('4'!$C$30/'4'!$C$21))/52</f>
        <v>58.977226537738375</v>
      </c>
      <c r="G19" s="836">
        <f>'34a'!G19/('35b'!$F$13*('4'!$C$30/'4'!$C$21))/52</f>
        <v>55.431107714491695</v>
      </c>
      <c r="H19" s="836">
        <f>'34a'!H19/('35b'!$F$14*('4'!$C$30/'4'!$C$21))/52</f>
        <v>56.045260273972595</v>
      </c>
      <c r="I19" s="836">
        <f>'34a'!I19/('35b'!$F$15*('4'!$C$30/'4'!$C$21))/52</f>
        <v>56.452593126652232</v>
      </c>
      <c r="J19" s="835">
        <f>'34a'!J19/('35b'!$F$16*('4'!$C$30/'4'!$C$21))/52</f>
        <v>56.442501946647447</v>
      </c>
      <c r="K19" s="836">
        <f>'34a'!K19/('35b'!$F$17*('4'!$C$30/'4'!$C$21))/52</f>
        <v>56.474147368421043</v>
      </c>
      <c r="L19" s="836">
        <f>'34a'!L19/('35b'!$F$18*('4'!$C$30/'4'!$C$21))/52</f>
        <v>54.674311872146113</v>
      </c>
      <c r="M19" s="836">
        <f>'34a'!M19/('35b'!$F$19*('4'!$C$30/'4'!$C$21))/52</f>
        <v>54.350547858230058</v>
      </c>
      <c r="N19" s="836">
        <f>'34a'!N19/('35b'!$F$20*('4'!$C$30/'4'!$C$21))/52</f>
        <v>56.357530593607294</v>
      </c>
      <c r="O19" s="836">
        <f>'34a'!O19/('35b'!$F$21*('4'!$C$30/'4'!$C$21))/52</f>
        <v>56.058304939809041</v>
      </c>
      <c r="P19" s="836">
        <f>'34a'!P19/('35b'!$F$22*('4'!$C$30/'4'!$C$21))/52</f>
        <v>57.592176089663766</v>
      </c>
      <c r="Q19" s="836">
        <f>'34a'!Q19/('35b'!$F$23*('4'!$C$30/'4'!$C$21))/52</f>
        <v>59.827942216687411</v>
      </c>
      <c r="R19" s="836">
        <f>'34a'!R19/('35b'!$F$24*('4'!$C$30/'4'!$C$21))/52</f>
        <v>57.282852423977452</v>
      </c>
      <c r="S19" s="836">
        <f>'34a'!S19/('35b'!$F$25*('4'!$C$30/'4'!$C$21))/52</f>
        <v>56.935083713850837</v>
      </c>
      <c r="T19" s="836">
        <f>'34a'!T19/('35b'!$F$26*('4'!$C$30/'4'!$C$21))/52</f>
        <v>57.840295890410964</v>
      </c>
      <c r="U19" s="836">
        <f>'34a'!U19/('35b'!$F$27*('4'!$C$30/'4'!$C$21))/52</f>
        <v>56.635461552511408</v>
      </c>
      <c r="V19" s="836">
        <f>'34a'!V19/('35b'!$F$27*('4'!$C$30/'4'!$C$21))/52</f>
        <v>59.649285114155241</v>
      </c>
      <c r="W19" s="836">
        <f>'34a'!W19/('35b'!$F$27*('4'!$C$30/'4'!$C$21))/52</f>
        <v>60.115511963470311</v>
      </c>
      <c r="Y19" s="662">
        <f>((((E19/D19))^(1/3))-1)*100</f>
        <v>1.0351387736025064</v>
      </c>
      <c r="Z19" s="662">
        <f>((((P19/E19))^(1/11))-1)*100</f>
        <v>0.305805515847557</v>
      </c>
      <c r="AA19" s="733">
        <f>((((W19/D19))^(1/21))-1)*100</f>
        <v>0.51256149681115915</v>
      </c>
      <c r="AB19" s="733">
        <f>((((W19/P19))^(1/7))-1)*100</f>
        <v>0.61446850383237717</v>
      </c>
      <c r="AC19" s="262"/>
      <c r="AD19" s="733">
        <f>((W19/D19)-1)*100</f>
        <v>11.33383208185883</v>
      </c>
    </row>
    <row r="20" spans="1:30">
      <c r="A20" s="256" t="s">
        <v>1224</v>
      </c>
      <c r="D20" s="838"/>
      <c r="E20" s="263"/>
      <c r="F20" s="264"/>
      <c r="G20" s="264"/>
      <c r="H20" s="264"/>
      <c r="I20" s="264"/>
      <c r="J20" s="263"/>
      <c r="K20" s="264"/>
      <c r="L20" s="264"/>
      <c r="M20" s="264"/>
      <c r="N20" s="264"/>
      <c r="O20" s="264"/>
      <c r="P20" s="264"/>
      <c r="Q20" s="264"/>
      <c r="R20" s="264"/>
      <c r="S20" s="264"/>
      <c r="T20" s="264"/>
      <c r="U20" s="264"/>
      <c r="V20" s="264"/>
      <c r="W20" s="264"/>
      <c r="Y20" s="662"/>
      <c r="Z20" s="662"/>
      <c r="AA20" s="662"/>
      <c r="AB20" s="662"/>
    </row>
    <row r="21" spans="1:30">
      <c r="A21" s="256" t="s">
        <v>545</v>
      </c>
      <c r="D21" s="834">
        <f>'34a'!D21/('35b'!$G$8*('4'!$D$30/'4'!$D$21))/52</f>
        <v>27.350487317342154</v>
      </c>
      <c r="E21" s="835">
        <f>'34a'!E21/('35b'!$G$11*('4'!$D$30/'4'!$D$21))/52</f>
        <v>27.101552017277825</v>
      </c>
      <c r="F21" s="836">
        <f>'34a'!F21/('35b'!$G$12*('4'!$D$30/'4'!$D$21))/52</f>
        <v>28.585224703611804</v>
      </c>
      <c r="G21" s="836">
        <f>'34a'!G21/('35b'!$G$13*('4'!$D$30/'4'!$D$21))/52</f>
        <v>29.087175133864438</v>
      </c>
      <c r="H21" s="836">
        <f>'34a'!H21/('35b'!$G$14*('4'!$D$30/'4'!$D$21))/52</f>
        <v>29.599736624439512</v>
      </c>
      <c r="I21" s="836">
        <f>'34a'!I21/('35b'!$G$15*('4'!$D$30/'4'!$D$21))/52</f>
        <v>29.966816275593864</v>
      </c>
      <c r="J21" s="835">
        <f>'34a'!J21/('35b'!$G$16*('4'!$D$30/'4'!$D$21))/52</f>
        <v>27.044690479299994</v>
      </c>
      <c r="K21" s="836">
        <f>'34a'!K21/('35b'!$G$17*('4'!$D$30/'4'!$D$21))/52</f>
        <v>21.449339166775498</v>
      </c>
      <c r="L21" s="836">
        <f>'34a'!L21/('35b'!$G$18*('4'!$D$30/'4'!$D$21))/52</f>
        <v>18.386381902452214</v>
      </c>
      <c r="M21" s="836">
        <f>'34a'!M21/('35b'!$G$19*('4'!$D$30/'4'!$D$21))/52</f>
        <v>17.755319287442944</v>
      </c>
      <c r="N21" s="836">
        <f>'34a'!N21/('35b'!$G$20*('4'!$D$30/'4'!$D$21))/52</f>
        <v>17.768612448176739</v>
      </c>
      <c r="O21" s="836">
        <f>'34a'!O21/('35b'!$G$21*('4'!$D$30/'4'!$D$21))/52</f>
        <v>17.768785724223672</v>
      </c>
      <c r="P21" s="836">
        <f>'34a'!P21/('35b'!$G$22*('4'!$D$30/'4'!$D$21))/52</f>
        <v>18.01503594691599</v>
      </c>
      <c r="Q21" s="836">
        <f>'34a'!Q21/('35b'!$G$23*('4'!$D$30/'4'!$D$21))/52</f>
        <v>17.526373231653405</v>
      </c>
      <c r="R21" s="836">
        <f>'34a'!R21/('35b'!$G$24*('4'!$D$30/'4'!$D$21))/52</f>
        <v>17.29468224427902</v>
      </c>
      <c r="S21" s="836">
        <f>'34a'!S21/('35b'!$G$25*('4'!$D$30/'4'!$D$21))/52</f>
        <v>17.129336972704717</v>
      </c>
      <c r="T21" s="836">
        <f>'34a'!T21/('35b'!$G$26*('4'!$D$30/'4'!$D$21))/52</f>
        <v>16.609142489024627</v>
      </c>
      <c r="U21" s="836">
        <f>'34a'!U21/('35b'!$G$27*('4'!$D$30/'4'!$D$21))/52</f>
        <v>15.896329256475131</v>
      </c>
      <c r="V21" s="836">
        <f>'34a'!V21/('35b'!$G$27*('4'!$D$30/'4'!$D$21))/52</f>
        <v>15.97485388386124</v>
      </c>
      <c r="W21" s="836">
        <f>'34a'!W21/('35b'!$G$27*('4'!$D$30/'4'!$D$21))/52</f>
        <v>16.139264822450901</v>
      </c>
      <c r="Y21" s="662">
        <f>((((E21/D21))^(1/3))-1)*100</f>
        <v>-0.30431436469550155</v>
      </c>
      <c r="Z21" s="662">
        <f>((((P21/E21))^(1/11))-1)*100</f>
        <v>-3.6445127486109063</v>
      </c>
      <c r="AA21" s="733">
        <f>((((W21/D21))^(1/21))-1)*100</f>
        <v>-2.4805225090933192</v>
      </c>
      <c r="AB21" s="733">
        <f>((((W21/P21))^(1/7))-1)*100</f>
        <v>-1.5584657944447855</v>
      </c>
      <c r="AC21" s="257"/>
      <c r="AD21" s="733">
        <f>((W21/D21)-1)*100</f>
        <v>-40.990942372652128</v>
      </c>
    </row>
    <row r="22" spans="1:30">
      <c r="A22" s="256" t="s">
        <v>1219</v>
      </c>
      <c r="C22" s="757"/>
      <c r="D22" s="834"/>
      <c r="E22" s="835">
        <f>'34a'!E22/('35b'!$G$11*('4'!$D$30/'4'!$D$21))/52</f>
        <v>31.495347394540943</v>
      </c>
      <c r="F22" s="836">
        <f>'34a'!F22/('35b'!$G$12*('4'!$D$30/'4'!$D$21))/52</f>
        <v>33.011166253101742</v>
      </c>
      <c r="G22" s="836">
        <f>'34a'!G22/('35b'!$G$13*('4'!$D$30/'4'!$D$21))/52</f>
        <v>33.102292673370769</v>
      </c>
      <c r="H22" s="836">
        <f>'34a'!H22/('35b'!$G$14*('4'!$D$30/'4'!$D$21))/52</f>
        <v>33.675802098297851</v>
      </c>
      <c r="I22" s="836">
        <f>'34a'!I22/('35b'!$G$15*('4'!$D$30/'4'!$D$21))/52</f>
        <v>34.047451859591078</v>
      </c>
      <c r="J22" s="835">
        <f>'34a'!J22/('35b'!$G$16*('4'!$D$30/'4'!$D$21))/52</f>
        <v>33.684876656073605</v>
      </c>
      <c r="K22" s="836">
        <f>'34a'!K22/('35b'!$G$17*('4'!$D$30/'4'!$D$21))/52</f>
        <v>33.140350659527229</v>
      </c>
      <c r="L22" s="836">
        <f>'34a'!L22/('35b'!$G$18*('4'!$D$30/'4'!$D$21))/52</f>
        <v>28.63214610753759</v>
      </c>
      <c r="M22" s="836">
        <f>'34a'!M22/('35b'!$G$19*('4'!$D$30/'4'!$D$21))/52</f>
        <v>27.226911461364868</v>
      </c>
      <c r="N22" s="836">
        <f>'34a'!N22/('35b'!$G$20*('4'!$D$30/'4'!$D$21))/52</f>
        <v>27.226397409092304</v>
      </c>
      <c r="O22" s="836">
        <f>'34a'!O22/('35b'!$G$21*('4'!$D$30/'4'!$D$21))/52</f>
        <v>27.199146862778136</v>
      </c>
      <c r="P22" s="836">
        <f>'34a'!P22/('35b'!$G$22*('4'!$D$30/'4'!$D$21))/52</f>
        <v>27.103583060085082</v>
      </c>
      <c r="Q22" s="836">
        <f>'34a'!Q22/('35b'!$G$23*('4'!$D$30/'4'!$D$21))/52</f>
        <v>26.298763494338441</v>
      </c>
      <c r="R22" s="836">
        <f>'34a'!R22/('35b'!$G$24*('4'!$D$30/'4'!$D$21))/52</f>
        <v>25.957618210642408</v>
      </c>
      <c r="S22" s="836">
        <f>'34a'!S22/('35b'!$G$25*('4'!$D$30/'4'!$D$21))/52</f>
        <v>22.397929087400062</v>
      </c>
      <c r="T22" s="836">
        <f>'34a'!T22/('35b'!$G$26*('4'!$D$30/'4'!$D$21))/52</f>
        <v>21.670761078768216</v>
      </c>
      <c r="U22" s="836">
        <f>'34a'!U22/('35b'!$G$27*('4'!$D$30/'4'!$D$21))/52</f>
        <v>20.678969843210236</v>
      </c>
      <c r="V22" s="836">
        <f>'34a'!V22/('35b'!$G$27*('4'!$D$30/'4'!$D$21))/52</f>
        <v>20.840926887194087</v>
      </c>
      <c r="W22" s="836">
        <f>'34a'!W22/('35b'!$G$27*('4'!$D$30/'4'!$D$21))/52</f>
        <v>21.159933185950145</v>
      </c>
      <c r="Y22" s="662" t="s">
        <v>374</v>
      </c>
      <c r="Z22" s="662">
        <f>((((P22/E22))^(1/11))-1)*100</f>
        <v>-1.3559404260472863</v>
      </c>
      <c r="AA22" s="733">
        <f>((((W22/E22))^(1/18))-1)*100</f>
        <v>-2.1853801039714904</v>
      </c>
      <c r="AB22" s="733">
        <f>((((W22/P22))^(1/7))-1)*100</f>
        <v>-3.4747170310223674</v>
      </c>
      <c r="AC22" s="262"/>
      <c r="AD22" s="733">
        <f>((W22/E22)-1)*100</f>
        <v>-32.815685691983276</v>
      </c>
    </row>
    <row r="23" spans="1:30">
      <c r="A23" s="256" t="s">
        <v>1222</v>
      </c>
      <c r="D23" s="834">
        <f>'34a'!D23/('35b'!$G$8*('4'!$D$30/'4'!$D$21))/52</f>
        <v>42.322411083540118</v>
      </c>
      <c r="E23" s="835">
        <f>'34a'!E23/('35b'!$G$11*('4'!$D$30/'4'!$D$21))/52</f>
        <v>41.594596238090858</v>
      </c>
      <c r="F23" s="836">
        <f>'34a'!F23/('35b'!$G$12*('4'!$D$30/'4'!$D$21))/52</f>
        <v>44.17247250559079</v>
      </c>
      <c r="G23" s="836">
        <f>'34a'!G23/('35b'!$G$13*('4'!$D$30/'4'!$D$21))/52</f>
        <v>45.204732271124463</v>
      </c>
      <c r="H23" s="836">
        <f>'34a'!H23/('35b'!$G$14*('4'!$D$30/'4'!$D$21))/52</f>
        <v>46.179781028253011</v>
      </c>
      <c r="I23" s="836">
        <f>'34a'!I23/('35b'!$G$15*('4'!$D$30/'4'!$D$21))/52</f>
        <v>46.792412171868882</v>
      </c>
      <c r="J23" s="835">
        <f>'34a'!J23/('35b'!$G$16*('4'!$D$30/'4'!$D$21))/52</f>
        <v>46.070512058682695</v>
      </c>
      <c r="K23" s="836">
        <f>'34a'!K23/('35b'!$G$17*('4'!$D$30/'4'!$D$21))/52</f>
        <v>44.995295154760349</v>
      </c>
      <c r="L23" s="836">
        <f>'34a'!L23/('35b'!$G$18*('4'!$D$30/'4'!$D$21))/52</f>
        <v>40.336976050709225</v>
      </c>
      <c r="M23" s="836">
        <f>'34a'!M23/('35b'!$G$19*('4'!$D$30/'4'!$D$21))/52</f>
        <v>37.612245989441334</v>
      </c>
      <c r="N23" s="836">
        <f>'34a'!N23/('35b'!$G$20*('4'!$D$30/'4'!$D$21))/52</f>
        <v>37.617568452016258</v>
      </c>
      <c r="O23" s="836">
        <f>'34a'!O23/('35b'!$G$21*('4'!$D$30/'4'!$D$21))/52</f>
        <v>37.600714468518007</v>
      </c>
      <c r="P23" s="836">
        <f>'34a'!P23/('35b'!$G$22*('4'!$D$30/'4'!$D$21))/52</f>
        <v>38.03056180210919</v>
      </c>
      <c r="Q23" s="836">
        <f>'34a'!Q23/('35b'!$G$23*('4'!$D$30/'4'!$D$21))/52</f>
        <v>37.56402724893757</v>
      </c>
      <c r="R23" s="836">
        <f>'34a'!R23/('35b'!$G$24*('4'!$D$30/'4'!$D$21))/52</f>
        <v>37.612165127286104</v>
      </c>
      <c r="S23" s="836">
        <f>'34a'!S23/('35b'!$G$25*('4'!$D$30/'4'!$D$21))/52</f>
        <v>37.100738240970507</v>
      </c>
      <c r="T23" s="836">
        <f>'34a'!T23/('35b'!$G$26*('4'!$D$30/'4'!$D$21))/52</f>
        <v>36.232648406184396</v>
      </c>
      <c r="U23" s="836">
        <f>'34a'!U23/('35b'!$G$27*('4'!$D$30/'4'!$D$21))/52</f>
        <v>35.061246127896986</v>
      </c>
      <c r="V23" s="836">
        <f>'34a'!V23/('35b'!$G$27*('4'!$D$30/'4'!$D$21))/52</f>
        <v>37.544587468982634</v>
      </c>
      <c r="W23" s="836">
        <f>'34a'!W23/('35b'!$G$27*('4'!$D$30/'4'!$D$21))/52</f>
        <v>38.724910774380064</v>
      </c>
      <c r="Y23" s="662">
        <f>((((E23/D23))^(1/3))-1)*100</f>
        <v>-0.57654814160431611</v>
      </c>
      <c r="Z23" s="662">
        <f>((((P23/E23))^(1/11))-1)*100</f>
        <v>-0.81105817798581281</v>
      </c>
      <c r="AA23" s="733">
        <f>((((W23/D23))^(1/21))-1)*100</f>
        <v>-0.42212404780659352</v>
      </c>
      <c r="AB23" s="733">
        <f>((((W23/P23))^(1/7))-1)*100</f>
        <v>0.25880557896587053</v>
      </c>
      <c r="AC23" s="257"/>
      <c r="AD23" s="733">
        <f>((W23/D23)-1)*100</f>
        <v>-8.5002253346553314</v>
      </c>
    </row>
    <row r="24" spans="1:30">
      <c r="A24" s="256" t="s">
        <v>1221</v>
      </c>
      <c r="D24" s="834">
        <f>'34a'!D24/('35b'!$G$8*('4'!$D$30/'4'!$D$21))/52</f>
        <v>64.488735525227469</v>
      </c>
      <c r="E24" s="835">
        <f>'34a'!E24/('35b'!$G$11*('4'!$D$30/'4'!$D$21))/52</f>
        <v>63.278430061575222</v>
      </c>
      <c r="F24" s="836">
        <f>'34a'!F24/('35b'!$G$12*('4'!$D$30/'4'!$D$21))/52</f>
        <v>66.973271451766081</v>
      </c>
      <c r="G24" s="836">
        <f>'34a'!G24/('35b'!$G$13*('4'!$D$30/'4'!$D$21))/52</f>
        <v>68.477190805798628</v>
      </c>
      <c r="H24" s="836">
        <f>'34a'!H24/('35b'!$G$14*('4'!$D$30/'4'!$D$21))/52</f>
        <v>69.229683078664408</v>
      </c>
      <c r="I24" s="836">
        <f>'34a'!I24/('35b'!$G$15*('4'!$D$30/'4'!$D$21))/52</f>
        <v>70.008755532337872</v>
      </c>
      <c r="J24" s="835">
        <f>'34a'!J24/('35b'!$G$16*('4'!$D$30/'4'!$D$21))/52</f>
        <v>68.931322518973218</v>
      </c>
      <c r="K24" s="836">
        <f>'34a'!K24/('35b'!$G$17*('4'!$D$30/'4'!$D$21))/52</f>
        <v>67.799238605197857</v>
      </c>
      <c r="L24" s="836">
        <f>'34a'!L24/('35b'!$G$18*('4'!$D$30/'4'!$D$21))/52</f>
        <v>59.102930405320407</v>
      </c>
      <c r="M24" s="836">
        <f>'34a'!M24/('35b'!$G$19*('4'!$D$30/'4'!$D$21))/52</f>
        <v>57.307309760132348</v>
      </c>
      <c r="N24" s="836">
        <f>'34a'!N24/('35b'!$G$20*('4'!$D$30/'4'!$D$21))/52</f>
        <v>57.345236998871627</v>
      </c>
      <c r="O24" s="836">
        <f>'34a'!O24/('35b'!$G$21*('4'!$D$30/'4'!$D$21))/52</f>
        <v>57.346790707425797</v>
      </c>
      <c r="P24" s="836">
        <f>'34a'!P24/('35b'!$G$22*('4'!$D$30/'4'!$D$21))/52</f>
        <v>58.779334954360174</v>
      </c>
      <c r="Q24" s="836">
        <f>'34a'!Q24/('35b'!$G$23*('4'!$D$30/'4'!$D$21))/52</f>
        <v>58.156529691109782</v>
      </c>
      <c r="R24" s="836">
        <f>'34a'!R24/('35b'!$G$24*('4'!$D$30/'4'!$D$21))/52</f>
        <v>58.189562080691118</v>
      </c>
      <c r="S24" s="836">
        <f>'34a'!S24/('35b'!$G$25*('4'!$D$30/'4'!$D$21))/52</f>
        <v>57.202956548111395</v>
      </c>
      <c r="T24" s="836">
        <f>'34a'!T24/('35b'!$G$26*('4'!$D$30/'4'!$D$21))/52</f>
        <v>55.941561287141326</v>
      </c>
      <c r="U24" s="836">
        <f>'34a'!U24/('35b'!$G$27*('4'!$D$30/'4'!$D$21))/52</f>
        <v>54.262971418406082</v>
      </c>
      <c r="V24" s="836">
        <f>'34a'!V24/('35b'!$G$27*('4'!$D$30/'4'!$D$21))/52</f>
        <v>55.924258066543416</v>
      </c>
      <c r="W24" s="836">
        <f>'34a'!W24/('35b'!$G$27*('4'!$D$30/'4'!$D$21))/52</f>
        <v>56.208909840818052</v>
      </c>
      <c r="Y24" s="662">
        <f>((((E24/D24))^(1/3))-1)*100</f>
        <v>-0.62954506778226671</v>
      </c>
      <c r="Z24" s="662">
        <f>((((P24/E24))^(1/11))-1)*100</f>
        <v>-0.66824964198146652</v>
      </c>
      <c r="AA24" s="733">
        <f>((((W24/D24))^(1/21))-1)*100</f>
        <v>-0.65222222794133478</v>
      </c>
      <c r="AB24" s="733">
        <f>((((W24/P24))^(1/7))-1)*100</f>
        <v>-0.63675072911549835</v>
      </c>
      <c r="AC24" s="262"/>
      <c r="AD24" s="733">
        <f>((W24/D24)-1)*100</f>
        <v>-12.839181318992399</v>
      </c>
    </row>
    <row r="25" spans="1:30">
      <c r="A25" s="256" t="s">
        <v>1225</v>
      </c>
      <c r="D25" s="833"/>
      <c r="E25" s="663"/>
      <c r="F25" s="261"/>
      <c r="G25" s="261"/>
      <c r="H25" s="261"/>
      <c r="I25" s="261"/>
      <c r="J25" s="663"/>
      <c r="K25" s="261"/>
      <c r="L25" s="261"/>
      <c r="M25" s="261"/>
      <c r="N25" s="261"/>
      <c r="O25" s="261"/>
      <c r="P25" s="261"/>
      <c r="Q25" s="261"/>
      <c r="R25" s="261"/>
      <c r="S25" s="261"/>
      <c r="T25" s="261"/>
      <c r="U25" s="261"/>
      <c r="V25" s="261"/>
      <c r="W25" s="261"/>
      <c r="Y25" s="662"/>
      <c r="Z25" s="662"/>
      <c r="AA25" s="662"/>
      <c r="AB25" s="662"/>
    </row>
    <row r="26" spans="1:30">
      <c r="A26" s="256" t="s">
        <v>545</v>
      </c>
      <c r="D26" s="834">
        <f>'34a'!D26/('35b'!$H$8*('4'!$E$30/'4'!$E$21))/52</f>
        <v>20.208612040133776</v>
      </c>
      <c r="E26" s="835">
        <f>'34a'!E26/('35b'!$H$11*('4'!$E$30/'4'!$E$21))/52</f>
        <v>23.119620958751391</v>
      </c>
      <c r="F26" s="836">
        <f>'34a'!F26/('35b'!$H$12*('4'!$E$30/'4'!$E$21))/52</f>
        <v>23.423857302118169</v>
      </c>
      <c r="G26" s="836">
        <f>'34a'!G26/('35b'!$H$13*('4'!$E$30/'4'!$E$21))/52</f>
        <v>22.777834008097162</v>
      </c>
      <c r="H26" s="836">
        <f>'34a'!H26/('35b'!$H$14*('4'!$E$30/'4'!$E$21))/52</f>
        <v>21.304640468227426</v>
      </c>
      <c r="I26" s="836">
        <f>'34a'!I26/('35b'!$H$15*('4'!$E$30/'4'!$E$21))/52</f>
        <v>20.721109198947946</v>
      </c>
      <c r="J26" s="835">
        <f>'34a'!J26/('35b'!$H$16*('4'!$E$30/'4'!$E$21))/52</f>
        <v>20.714010293210375</v>
      </c>
      <c r="K26" s="836">
        <f>'34a'!K26/('35b'!$H$17*('4'!$E$30/'4'!$E$21))/52</f>
        <v>20.725249212585634</v>
      </c>
      <c r="L26" s="836">
        <f>'34a'!L26/('35b'!$H$18*('4'!$E$30/'4'!$E$21))/52</f>
        <v>19.980825883787077</v>
      </c>
      <c r="M26" s="836">
        <f>'34a'!M26/('35b'!$H$19*('4'!$E$30/'4'!$E$21))/52</f>
        <v>14.703055640012163</v>
      </c>
      <c r="N26" s="836">
        <f>'34a'!N26/('35b'!$H$20*('4'!$E$30/'4'!$E$21))/52</f>
        <v>14.714109531772571</v>
      </c>
      <c r="O26" s="836">
        <f>'34a'!O26/('35b'!$H$21*('4'!$E$30/'4'!$E$21))/52</f>
        <v>14.283291776158622</v>
      </c>
      <c r="P26" s="836">
        <f>'34a'!P26/('35b'!$H$22*('4'!$E$30/'4'!$E$21))/52</f>
        <v>14.037746435486708</v>
      </c>
      <c r="Q26" s="836">
        <f>'34a'!Q26/('35b'!$H$23*('4'!$E$30/'4'!$E$21))/52</f>
        <v>14.518156786991117</v>
      </c>
      <c r="R26" s="836">
        <f>'34a'!R26/('35b'!$H$24*('4'!$E$30/'4'!$E$21))/52</f>
        <v>15.123327759197322</v>
      </c>
      <c r="S26" s="836">
        <f>'34a'!S26/('35b'!$H$25*('4'!$E$30/'4'!$E$21))/52</f>
        <v>14.53296321070234</v>
      </c>
      <c r="T26" s="836">
        <f>'34a'!T26/('35b'!$H$26*('4'!$E$30/'4'!$E$21))/52</f>
        <v>14.01763168896321</v>
      </c>
      <c r="U26" s="836">
        <f>'34a'!U26/('35b'!$H$27*('4'!$E$30/'4'!$E$21))/52</f>
        <v>13.942707308675978</v>
      </c>
      <c r="V26" s="836">
        <f>'34a'!V26/('35b'!$H$27*('4'!$E$30/'4'!$E$21))/52</f>
        <v>15.144069385697422</v>
      </c>
      <c r="W26" s="836">
        <f>'34a'!W26/('35b'!$H$27*('4'!$E$30/'4'!$E$21))/52</f>
        <v>15.410490544461933</v>
      </c>
      <c r="Y26" s="662">
        <f>((((E26/D26))^(1/3))-1)*100</f>
        <v>4.587891509399511</v>
      </c>
      <c r="Z26" s="662">
        <f>((((P26/E26))^(1/11))-1)*100</f>
        <v>-4.434416308601774</v>
      </c>
      <c r="AA26" s="733">
        <f>((((W26/D26))^(1/21))-1)*100</f>
        <v>-1.2824690410755291</v>
      </c>
      <c r="AB26" s="733">
        <f>((((W26/P26))^(1/7))-1)*100</f>
        <v>1.3417591017979458</v>
      </c>
      <c r="AC26" s="257"/>
      <c r="AD26" s="733">
        <f>((W26/D26)-1)*100</f>
        <v>-23.742954172918452</v>
      </c>
    </row>
    <row r="27" spans="1:30">
      <c r="A27" s="256" t="s">
        <v>1219</v>
      </c>
      <c r="C27" s="757"/>
      <c r="D27" s="834"/>
      <c r="E27" s="835">
        <f>'34a'!E27/('35b'!$H$11*('4'!$E$30/'4'!$E$21))/52</f>
        <v>30.345805462653285</v>
      </c>
      <c r="F27" s="836">
        <f>'34a'!F27/('35b'!$H$12*('4'!$E$30/'4'!$E$21))/52</f>
        <v>31.931939799331101</v>
      </c>
      <c r="G27" s="836">
        <f>'34a'!G27/('35b'!$H$13*('4'!$E$30/'4'!$E$21))/52</f>
        <v>32.022874493927119</v>
      </c>
      <c r="H27" s="836">
        <f>'34a'!H27/('35b'!$H$14*('4'!$E$30/'4'!$E$21))/52</f>
        <v>30.16994147157191</v>
      </c>
      <c r="I27" s="836">
        <f>'34a'!I27/('35b'!$H$15*('4'!$E$30/'4'!$E$21))/52</f>
        <v>29.338401467675418</v>
      </c>
      <c r="J27" s="835">
        <f>'34a'!J27/('35b'!$H$16*('4'!$E$30/'4'!$E$21))/52</f>
        <v>29.805738992434325</v>
      </c>
      <c r="K27" s="836">
        <f>'34a'!K27/('35b'!$H$17*('4'!$E$30/'4'!$E$21))/52</f>
        <v>29.911878592070646</v>
      </c>
      <c r="L27" s="836">
        <f>'34a'!L27/('35b'!$H$18*('4'!$E$30/'4'!$E$21))/52</f>
        <v>28.7546748507486</v>
      </c>
      <c r="M27" s="836">
        <f>'34a'!M27/('35b'!$H$19*('4'!$E$30/'4'!$E$21))/52</f>
        <v>27.994040741866829</v>
      </c>
      <c r="N27" s="836">
        <f>'34a'!N27/('35b'!$H$20*('4'!$E$30/'4'!$E$21))/52</f>
        <v>28.012499999999992</v>
      </c>
      <c r="O27" s="836">
        <f>'34a'!O27/('35b'!$H$21*('4'!$E$30/'4'!$E$21))/52</f>
        <v>27.51328180990205</v>
      </c>
      <c r="P27" s="836">
        <f>'34a'!P27/('35b'!$H$22*('4'!$E$30/'4'!$E$21))/52</f>
        <v>27.031189491286742</v>
      </c>
      <c r="Q27" s="836">
        <f>'34a'!Q27/('35b'!$H$23*('4'!$E$30/'4'!$E$21))/52</f>
        <v>25.049900530503976</v>
      </c>
      <c r="R27" s="836">
        <f>'34a'!R27/('35b'!$H$24*('4'!$E$30/'4'!$E$21))/52</f>
        <v>25.7002508361204</v>
      </c>
      <c r="S27" s="836">
        <f>'34a'!S27/('35b'!$H$25*('4'!$E$30/'4'!$E$21))/52</f>
        <v>24.682314381270903</v>
      </c>
      <c r="T27" s="836">
        <f>'34a'!T27/('35b'!$H$26*('4'!$E$30/'4'!$E$21))/52</f>
        <v>23.777701312065858</v>
      </c>
      <c r="U27" s="836">
        <f>'34a'!U27/('35b'!$H$27*('4'!$E$30/'4'!$E$21))/52</f>
        <v>22.877683577611645</v>
      </c>
      <c r="V27" s="836">
        <f>'34a'!V27/('35b'!$H$27*('4'!$E$30/'4'!$E$21))/52</f>
        <v>22.653199082726736</v>
      </c>
      <c r="W27" s="836">
        <f>'34a'!W27/('35b'!$H$27*('4'!$E$30/'4'!$E$21))/52</f>
        <v>22.418847137517215</v>
      </c>
      <c r="Y27" s="662" t="s">
        <v>374</v>
      </c>
      <c r="Z27" s="662">
        <f>((((P27/E27))^(1/11))-1)*100</f>
        <v>-1.0460084874272413</v>
      </c>
      <c r="AA27" s="733">
        <f>((((W27/E27))^(1/18))-1)*100</f>
        <v>-1.6679131844724249</v>
      </c>
      <c r="AB27" s="733">
        <f>((((W27/P27))^(1/7))-1)*100</f>
        <v>-2.6373046114081089</v>
      </c>
      <c r="AC27" s="262"/>
      <c r="AD27" s="733">
        <f>((W27/E27)-1)*100</f>
        <v>-26.122089047502172</v>
      </c>
    </row>
    <row r="28" spans="1:30">
      <c r="A28" s="256" t="s">
        <v>1222</v>
      </c>
      <c r="D28" s="834">
        <f>'34a'!D28/('35b'!$H$8*('4'!$E$30/'4'!$E$21))/52</f>
        <v>39.640760869565206</v>
      </c>
      <c r="E28" s="835">
        <f>'34a'!E28/('35b'!$H$11*('4'!$E$30/'4'!$E$21))/52</f>
        <v>41.186385172798211</v>
      </c>
      <c r="F28" s="836">
        <f>'34a'!F28/('35b'!$H$12*('4'!$E$30/'4'!$E$21))/52</f>
        <v>43.619286510590854</v>
      </c>
      <c r="G28" s="836">
        <f>'34a'!G28/('35b'!$H$13*('4'!$E$30/'4'!$E$21))/52</f>
        <v>44.036234817813764</v>
      </c>
      <c r="H28" s="836">
        <f>'34a'!H28/('35b'!$H$14*('4'!$E$30/'4'!$E$21))/52</f>
        <v>42.151003344481602</v>
      </c>
      <c r="I28" s="836">
        <f>'34a'!I28/('35b'!$H$15*('4'!$E$30/'4'!$E$21))/52</f>
        <v>41.030506218138122</v>
      </c>
      <c r="J28" s="835">
        <f>'34a'!J28/('35b'!$H$16*('4'!$E$30/'4'!$E$21))/52</f>
        <v>41.563679092119358</v>
      </c>
      <c r="K28" s="836">
        <f>'34a'!K28/('35b'!$H$17*('4'!$E$30/'4'!$E$21))/52</f>
        <v>41.671830860148702</v>
      </c>
      <c r="L28" s="836">
        <f>'34a'!L28/('35b'!$H$18*('4'!$E$30/'4'!$E$21))/52</f>
        <v>40.063249187322228</v>
      </c>
      <c r="M28" s="836">
        <f>'34a'!M28/('35b'!$H$19*('4'!$E$30/'4'!$E$21))/52</f>
        <v>39.002006688963213</v>
      </c>
      <c r="N28" s="836">
        <f>'34a'!N28/('35b'!$H$20*('4'!$E$30/'4'!$E$21))/52</f>
        <v>39.424132525083607</v>
      </c>
      <c r="O28" s="836">
        <f>'34a'!O28/('35b'!$H$21*('4'!$E$30/'4'!$E$21))/52</f>
        <v>39.221835993490203</v>
      </c>
      <c r="P28" s="836">
        <f>'34a'!P28/('35b'!$H$22*('4'!$E$30/'4'!$E$21))/52</f>
        <v>38.95409038901601</v>
      </c>
      <c r="Q28" s="836">
        <f>'34a'!Q28/('35b'!$H$23*('4'!$E$30/'4'!$E$21))/52</f>
        <v>36.919260321762188</v>
      </c>
      <c r="R28" s="836">
        <f>'34a'!R28/('35b'!$H$24*('4'!$E$30/'4'!$E$21))/52</f>
        <v>36.036789297658856</v>
      </c>
      <c r="S28" s="836">
        <f>'34a'!S28/('35b'!$H$25*('4'!$E$30/'4'!$E$21))/52</f>
        <v>35.014745819397994</v>
      </c>
      <c r="T28" s="836">
        <f>'34a'!T28/('35b'!$H$26*('4'!$E$30/'4'!$E$21))/52</f>
        <v>34.113526659377413</v>
      </c>
      <c r="U28" s="836">
        <f>'34a'!U28/('35b'!$H$27*('4'!$E$30/'4'!$E$21))/52</f>
        <v>33.21630465522329</v>
      </c>
      <c r="V28" s="836">
        <f>'34a'!V28/('35b'!$H$27*('4'!$E$30/'4'!$E$21))/52</f>
        <v>35.411812352449338</v>
      </c>
      <c r="W28" s="836">
        <f>'34a'!W28/('35b'!$H$27*('4'!$E$30/'4'!$E$21))/52</f>
        <v>36.324551507475903</v>
      </c>
      <c r="Y28" s="662">
        <f>((((E28/D28))^(1/3))-1)*100</f>
        <v>1.2831574120682809</v>
      </c>
      <c r="Z28" s="662">
        <f>((((P28/E28))^(1/11))-1)*100</f>
        <v>-0.50530050877702903</v>
      </c>
      <c r="AA28" s="733">
        <f>((((W28/D28))^(1/21))-1)*100</f>
        <v>-0.41515508181522165</v>
      </c>
      <c r="AB28" s="733">
        <f>((((W28/P28))^(1/7))-1)*100</f>
        <v>-0.99345969571287274</v>
      </c>
      <c r="AC28" s="257"/>
      <c r="AD28" s="733">
        <f>((W28/D28)-1)*100</f>
        <v>-8.3656551724651038</v>
      </c>
    </row>
    <row r="29" spans="1:30">
      <c r="A29" s="256" t="s">
        <v>1221</v>
      </c>
      <c r="D29" s="834">
        <f>'34a'!D29/('35b'!$H$8*('4'!$E$30/'4'!$E$21))/52</f>
        <v>51.413691471571902</v>
      </c>
      <c r="E29" s="835">
        <f>'34a'!E29/('35b'!$H$11*('4'!$E$30/'4'!$E$21))/52</f>
        <v>54.729292084726858</v>
      </c>
      <c r="F29" s="836">
        <f>'34a'!F29/('35b'!$H$12*('4'!$E$30/'4'!$E$21))/52</f>
        <v>55.850167224080266</v>
      </c>
      <c r="G29" s="836">
        <f>'34a'!G29/('35b'!$H$13*('4'!$E$30/'4'!$E$21))/52</f>
        <v>55.464777327935209</v>
      </c>
      <c r="H29" s="836">
        <f>'34a'!H29/('35b'!$H$14*('4'!$E$30/'4'!$E$21))/52</f>
        <v>52.586036789297658</v>
      </c>
      <c r="I29" s="836">
        <f>'34a'!I29/('35b'!$H$15*('4'!$E$30/'4'!$E$21))/52</f>
        <v>51.328522258661557</v>
      </c>
      <c r="J29" s="835">
        <f>'34a'!J29/('35b'!$H$16*('4'!$E$30/'4'!$E$21))/52</f>
        <v>51.318047415332657</v>
      </c>
      <c r="K29" s="836">
        <f>'34a'!K29/('35b'!$H$17*('4'!$E$30/'4'!$E$21))/52</f>
        <v>51.349124914764403</v>
      </c>
      <c r="L29" s="836">
        <f>'34a'!L29/('35b'!$H$18*('4'!$E$30/'4'!$E$21))/52</f>
        <v>53.044273356671773</v>
      </c>
      <c r="M29" s="836">
        <f>'34a'!M29/('35b'!$H$19*('4'!$E$30/'4'!$E$21))/52</f>
        <v>52.880495591365154</v>
      </c>
      <c r="N29" s="836">
        <f>'34a'!N29/('35b'!$H$20*('4'!$E$30/'4'!$E$21))/52</f>
        <v>53.57872073578595</v>
      </c>
      <c r="O29" s="836">
        <f>'34a'!O29/('35b'!$H$21*('4'!$E$30/'4'!$E$21))/52</f>
        <v>51.949882233934538</v>
      </c>
      <c r="P29" s="836">
        <f>'34a'!P29/('35b'!$H$22*('4'!$E$30/'4'!$E$21))/52</f>
        <v>53.102039693715895</v>
      </c>
      <c r="Q29" s="836">
        <f>'34a'!Q29/('35b'!$H$23*('4'!$E$30/'4'!$E$21))/52</f>
        <v>55.762199429131584</v>
      </c>
      <c r="R29" s="836">
        <f>'34a'!R29/('35b'!$H$24*('4'!$E$30/'4'!$E$21))/52</f>
        <v>52.487458193979926</v>
      </c>
      <c r="S29" s="836">
        <f>'34a'!S29/('35b'!$H$25*('4'!$E$30/'4'!$E$21))/52</f>
        <v>51.154173913043479</v>
      </c>
      <c r="T29" s="836">
        <f>'34a'!T29/('35b'!$H$26*('4'!$E$30/'4'!$E$21))/52</f>
        <v>50.007414940828397</v>
      </c>
      <c r="U29" s="836">
        <f>'34a'!U29/('35b'!$H$27*('4'!$E$30/'4'!$E$21))/52</f>
        <v>48.940086747491634</v>
      </c>
      <c r="V29" s="836">
        <f>'34a'!V29/('35b'!$H$27*('4'!$E$30/'4'!$E$21))/52</f>
        <v>50.435005471670266</v>
      </c>
      <c r="W29" s="836">
        <f>'34a'!W29/('35b'!$H$27*('4'!$E$30/'4'!$E$21))/52</f>
        <v>50.481875860712179</v>
      </c>
      <c r="Y29" s="662">
        <f>((((E29/D29))^(1/3))-1)*100</f>
        <v>2.1050011440913341</v>
      </c>
      <c r="Z29" s="662">
        <f>((((P29/E29))^(1/11))-1)*100</f>
        <v>-0.27402142463253121</v>
      </c>
      <c r="AA29" s="733">
        <f>((((W29/D29))^(1/21))-1)*100</f>
        <v>-8.705793978955878E-2</v>
      </c>
      <c r="AB29" s="733">
        <f>((((W29/P29))^(1/7))-1)*100</f>
        <v>-0.72026445551096607</v>
      </c>
      <c r="AC29" s="262"/>
      <c r="AD29" s="733">
        <f>((W29/D29)-1)*100</f>
        <v>-1.8123880705491646</v>
      </c>
    </row>
    <row r="30" spans="1:30">
      <c r="A30" s="256" t="s">
        <v>1226</v>
      </c>
      <c r="D30" s="838"/>
      <c r="E30" s="263"/>
      <c r="F30" s="264"/>
      <c r="G30" s="264"/>
      <c r="H30" s="264"/>
      <c r="I30" s="264"/>
      <c r="J30" s="263"/>
      <c r="K30" s="264"/>
      <c r="L30" s="264"/>
      <c r="M30" s="264"/>
      <c r="N30" s="264"/>
      <c r="O30" s="264"/>
      <c r="P30" s="264"/>
      <c r="Q30" s="264"/>
      <c r="R30" s="264"/>
      <c r="S30" s="264"/>
      <c r="T30" s="264"/>
      <c r="U30" s="264"/>
      <c r="V30" s="264"/>
      <c r="W30" s="264"/>
      <c r="Y30" s="662"/>
      <c r="Z30" s="662"/>
      <c r="AA30" s="662"/>
      <c r="AB30" s="662"/>
    </row>
    <row r="31" spans="1:30">
      <c r="A31" s="256" t="s">
        <v>545</v>
      </c>
      <c r="D31" s="834">
        <f>'34a'!D31/('35b'!$I$8*('4'!$F$30/'4'!$F$21))/52</f>
        <v>10.080968864468863</v>
      </c>
      <c r="E31" s="835">
        <f>'34a'!E31/('35b'!$I$11*('4'!$F$30/'4'!$F$21))/52</f>
        <v>11.657024336835324</v>
      </c>
      <c r="F31" s="836">
        <f>'34a'!F31/('35b'!$I$12*('4'!$F$30/'4'!$F$21))/52</f>
        <v>11.366087407868784</v>
      </c>
      <c r="G31" s="836">
        <f>'34a'!G31/('35b'!$I$13*('4'!$F$30/'4'!$F$21))/52</f>
        <v>11.621871808960268</v>
      </c>
      <c r="H31" s="836">
        <f>'34a'!H31/('35b'!$I$14*('4'!$F$30/'4'!$F$21))/52</f>
        <v>11.459760355029589</v>
      </c>
      <c r="I31" s="836">
        <f>'34a'!I31/('35b'!$I$15*('4'!$F$30/'4'!$F$21))/52</f>
        <v>11.528636460974923</v>
      </c>
      <c r="J31" s="835">
        <f>'34a'!J31/('35b'!$I$16*('4'!$F$30/'4'!$F$21))/52</f>
        <v>11.615534470977739</v>
      </c>
      <c r="K31" s="836">
        <f>'34a'!K31/('35b'!$I$17*('4'!$F$30/'4'!$F$21))/52</f>
        <v>11.664560777683855</v>
      </c>
      <c r="L31" s="836">
        <f>'34a'!L31/('35b'!$I$18*('4'!$F$30/'4'!$F$21))/52</f>
        <v>10.954045640108252</v>
      </c>
      <c r="M31" s="836">
        <f>'34a'!M31/('35b'!$I$19*('4'!$F$30/'4'!$F$21))/52</f>
        <v>10.828340275109506</v>
      </c>
      <c r="N31" s="836">
        <f>'34a'!N31/('35b'!$I$20*('4'!$F$30/'4'!$F$21))/52</f>
        <v>10.836054592843054</v>
      </c>
      <c r="O31" s="836">
        <f>'34a'!O31/('35b'!$I$21*('4'!$F$30/'4'!$F$21))/52</f>
        <v>10.835665126540126</v>
      </c>
      <c r="P31" s="836">
        <f>'34a'!P31/('35b'!$I$22*('4'!$F$30/'4'!$F$21))/52</f>
        <v>10.372311735087655</v>
      </c>
      <c r="Q31" s="836">
        <f>'34a'!Q31/('35b'!$I$23*('4'!$F$30/'4'!$F$21))/52</f>
        <v>10.1156764975572</v>
      </c>
      <c r="R31" s="836">
        <f>'34a'!R31/('35b'!$I$24*('4'!$F$30/'4'!$F$21))/52</f>
        <v>9.9619229595191126</v>
      </c>
      <c r="S31" s="836">
        <f>'34a'!S31/('35b'!$I$25*('4'!$F$30/'4'!$F$21))/52</f>
        <v>9.9771554193669587</v>
      </c>
      <c r="T31" s="836">
        <f>'34a'!T31/('35b'!$I$26*('4'!$F$30/'4'!$F$21))/52</f>
        <v>9.6676368854470596</v>
      </c>
      <c r="U31" s="836">
        <f>'34a'!U31/('35b'!$I$27*('4'!$F$30/'4'!$F$21))/52</f>
        <v>9.6261691198504398</v>
      </c>
      <c r="V31" s="836">
        <f>'34a'!V31/('35b'!$I$27*('4'!$F$30/'4'!$F$21))/52</f>
        <v>9.6073048466592432</v>
      </c>
      <c r="W31" s="836">
        <f>'34a'!W31/('35b'!$I$27*('4'!$F$30/'4'!$F$21))/52</f>
        <v>9.6315589121907816</v>
      </c>
      <c r="Y31" s="662">
        <f>((((E31/D31))^(1/3))-1)*100</f>
        <v>4.9611249157270221</v>
      </c>
      <c r="Z31" s="662">
        <f>((((P31/E31))^(1/11))-1)*100</f>
        <v>-1.0559221572507882</v>
      </c>
      <c r="AA31" s="733">
        <f>((((W31/D31))^(1/21))-1)*100</f>
        <v>-0.21692761889889889</v>
      </c>
      <c r="AB31" s="733">
        <f>((((W31/P31))^(1/7))-1)*100</f>
        <v>-1.0529151876994991</v>
      </c>
      <c r="AC31" s="257"/>
      <c r="AD31" s="733">
        <f>((W31/D31)-1)*100</f>
        <v>-4.45800357406182</v>
      </c>
    </row>
    <row r="32" spans="1:30">
      <c r="A32" s="256" t="s">
        <v>1219</v>
      </c>
      <c r="C32" s="757"/>
      <c r="D32" s="834"/>
      <c r="E32" s="835">
        <f>'34a'!E32/('35b'!$I$11*('4'!$F$30/'4'!$F$21))/52</f>
        <v>30.085268767862171</v>
      </c>
      <c r="F32" s="836">
        <f>'34a'!F32/('35b'!$I$12*('4'!$F$30/'4'!$F$21))/52</f>
        <v>28.897098723139209</v>
      </c>
      <c r="G32" s="836">
        <f>'34a'!G32/('35b'!$I$13*('4'!$F$30/'4'!$F$21))/52</f>
        <v>28.659225824175824</v>
      </c>
      <c r="H32" s="836">
        <f>'34a'!H32/('35b'!$I$14*('4'!$F$30/'4'!$F$21))/52</f>
        <v>28.797346153846156</v>
      </c>
      <c r="I32" s="836">
        <f>'34a'!I32/('35b'!$I$15*('4'!$F$30/'4'!$F$21))/52</f>
        <v>29.172013891236968</v>
      </c>
      <c r="J32" s="835">
        <f>'34a'!J32/('35b'!$I$16*('4'!$F$30/'4'!$F$21))/52</f>
        <v>23.086928617216117</v>
      </c>
      <c r="K32" s="836">
        <f>'34a'!K32/('35b'!$I$17*('4'!$F$30/'4'!$F$21))/52</f>
        <v>23.504256762468302</v>
      </c>
      <c r="L32" s="836">
        <f>'34a'!L32/('35b'!$I$18*('4'!$F$30/'4'!$F$21))/52</f>
        <v>22.02618712444383</v>
      </c>
      <c r="M32" s="836">
        <f>'34a'!M32/('35b'!$I$19*('4'!$F$30/'4'!$F$21))/52</f>
        <v>22.071349650349649</v>
      </c>
      <c r="N32" s="836">
        <f>'34a'!N32/('35b'!$I$20*('4'!$F$30/'4'!$F$21))/52</f>
        <v>22.198898422090728</v>
      </c>
      <c r="O32" s="836">
        <f>'34a'!O32/('35b'!$I$21*('4'!$F$30/'4'!$F$21))/52</f>
        <v>22.207351283332056</v>
      </c>
      <c r="P32" s="836">
        <f>'34a'!P32/('35b'!$I$22*('4'!$F$30/'4'!$F$21))/52</f>
        <v>22.0135204895439</v>
      </c>
      <c r="Q32" s="836">
        <f>'34a'!Q32/('35b'!$I$23*('4'!$F$30/'4'!$F$21))/52</f>
        <v>22.206618998667562</v>
      </c>
      <c r="R32" s="836">
        <f>'34a'!R32/('35b'!$I$24*('4'!$F$30/'4'!$F$21))/52</f>
        <v>22.592170916690144</v>
      </c>
      <c r="S32" s="836">
        <f>'34a'!S32/('35b'!$I$25*('4'!$F$30/'4'!$F$21))/52</f>
        <v>23.355243108387342</v>
      </c>
      <c r="T32" s="836">
        <f>'34a'!T32/('35b'!$I$26*('4'!$F$30/'4'!$F$21))/52</f>
        <v>22.614982071278597</v>
      </c>
      <c r="U32" s="836">
        <f>'34a'!U32/('35b'!$I$27*('4'!$F$30/'4'!$F$21))/52</f>
        <v>22.459264682204246</v>
      </c>
      <c r="V32" s="836">
        <f>'34a'!V32/('35b'!$I$27*('4'!$F$30/'4'!$F$21))/52</f>
        <v>22.346079043057067</v>
      </c>
      <c r="W32" s="836">
        <f>'34a'!W32/('35b'!$I$27*('4'!$F$30/'4'!$F$21))/52</f>
        <v>22.300265808164163</v>
      </c>
      <c r="Y32" s="662" t="s">
        <v>374</v>
      </c>
      <c r="Z32" s="662">
        <f>((((P32/E32))^(1/11))-1)*100</f>
        <v>-2.7998638334416626</v>
      </c>
      <c r="AA32" s="733">
        <f>((((W32/E32))^(1/18))-1)*100</f>
        <v>-1.649778731107876</v>
      </c>
      <c r="AB32" s="733">
        <f>((((W32/P32))^(1/7))-1)*100</f>
        <v>0.18505338065557542</v>
      </c>
      <c r="AC32" s="262"/>
      <c r="AD32" s="733">
        <f>((W32/E32)-1)*100</f>
        <v>-25.876461399653984</v>
      </c>
    </row>
    <row r="33" spans="1:30">
      <c r="A33" s="256" t="s">
        <v>1222</v>
      </c>
      <c r="D33" s="834">
        <f>'34a'!D33/('35b'!$I$8*('4'!$F$30/'4'!$F$21))/52</f>
        <v>34.978932234432229</v>
      </c>
      <c r="E33" s="835">
        <f>'34a'!E33/('35b'!$I$11*('4'!$F$30/'4'!$F$21))/52</f>
        <v>35.660131465603989</v>
      </c>
      <c r="F33" s="836">
        <f>'34a'!F33/('35b'!$I$12*('4'!$F$30/'4'!$F$21))/52</f>
        <v>34.62466396761134</v>
      </c>
      <c r="G33" s="836">
        <f>'34a'!G33/('35b'!$I$13*('4'!$F$30/'4'!$F$21))/52</f>
        <v>34.836711834319523</v>
      </c>
      <c r="H33" s="836">
        <f>'34a'!H33/('35b'!$I$14*('4'!$F$30/'4'!$F$21))/52</f>
        <v>35.218970414201188</v>
      </c>
      <c r="I33" s="836">
        <f>'34a'!I33/('35b'!$I$15*('4'!$F$30/'4'!$F$21))/52</f>
        <v>35.941420597351367</v>
      </c>
      <c r="J33" s="835">
        <f>'34a'!J33/('35b'!$I$16*('4'!$F$30/'4'!$F$21))/52</f>
        <v>37.215400070442378</v>
      </c>
      <c r="K33" s="836">
        <f>'34a'!K33/('35b'!$I$17*('4'!$F$30/'4'!$F$21))/52</f>
        <v>39.477699619611158</v>
      </c>
      <c r="L33" s="836">
        <f>'34a'!L33/('35b'!$I$18*('4'!$F$30/'4'!$F$21))/52</f>
        <v>37.021734989220676</v>
      </c>
      <c r="M33" s="836">
        <f>'34a'!M33/('35b'!$I$19*('4'!$F$30/'4'!$F$21))/52</f>
        <v>37.093324598478446</v>
      </c>
      <c r="N33" s="836">
        <f>'34a'!N33/('35b'!$I$20*('4'!$F$30/'4'!$F$21))/52</f>
        <v>38.371327979712596</v>
      </c>
      <c r="O33" s="836">
        <f>'34a'!O33/('35b'!$I$21*('4'!$F$30/'4'!$F$21))/52</f>
        <v>39.646795502574349</v>
      </c>
      <c r="P33" s="836">
        <f>'34a'!P33/('35b'!$I$22*('4'!$F$30/'4'!$F$21))/52</f>
        <v>38.698726524311809</v>
      </c>
      <c r="Q33" s="836">
        <f>'34a'!Q33/('35b'!$I$23*('4'!$F$30/'4'!$F$21))/52</f>
        <v>38.645250852472167</v>
      </c>
      <c r="R33" s="836">
        <f>'34a'!R33/('35b'!$I$24*('4'!$F$30/'4'!$F$21))/52</f>
        <v>38.58625375692683</v>
      </c>
      <c r="S33" s="836">
        <f>'34a'!S33/('35b'!$I$25*('4'!$F$30/'4'!$F$21))/52</f>
        <v>39.030523257725186</v>
      </c>
      <c r="T33" s="836">
        <f>'34a'!T33/('35b'!$I$26*('4'!$F$30/'4'!$F$21))/52</f>
        <v>38.206993999331935</v>
      </c>
      <c r="U33" s="836">
        <f>'34a'!U33/('35b'!$I$27*('4'!$F$30/'4'!$F$21))/52</f>
        <v>38.361846982382701</v>
      </c>
      <c r="V33" s="836">
        <f>'34a'!V33/('35b'!$I$27*('4'!$F$30/'4'!$F$21))/52</f>
        <v>40.736050508303258</v>
      </c>
      <c r="W33" s="836">
        <f>'34a'!W33/('35b'!$I$27*('4'!$F$30/'4'!$F$21))/52</f>
        <v>41.638840725310509</v>
      </c>
      <c r="Y33" s="662">
        <f>((((E33/D33))^(1/3))-1)*100</f>
        <v>0.64498294671466727</v>
      </c>
      <c r="Z33" s="662">
        <f>((((P33/E33))^(1/11))-1)*100</f>
        <v>0.74616452830531532</v>
      </c>
      <c r="AA33" s="733">
        <f>((((W33/D33))^(1/21))-1)*100</f>
        <v>0.83339383213272278</v>
      </c>
      <c r="AB33" s="733">
        <f>((((W33/P33))^(1/7))-1)*100</f>
        <v>1.0515865663460078</v>
      </c>
      <c r="AC33" s="257"/>
      <c r="AD33" s="733">
        <f>((W33/D33)-1)*100</f>
        <v>19.039770700383073</v>
      </c>
    </row>
    <row r="34" spans="1:30">
      <c r="A34" s="256" t="s">
        <v>1221</v>
      </c>
      <c r="D34" s="834">
        <f>'34a'!D34/('35b'!$I$8*('4'!$F$30/'4'!$F$21))/52</f>
        <v>42.153230417018868</v>
      </c>
      <c r="E34" s="835">
        <f>'34a'!E34/('35b'!$I$11*('4'!$F$30/'4'!$F$21))/52</f>
        <v>41.929478275570581</v>
      </c>
      <c r="F34" s="836">
        <f>'34a'!F34/('35b'!$I$12*('4'!$F$30/'4'!$F$21))/52</f>
        <v>40.55388560157791</v>
      </c>
      <c r="G34" s="836">
        <f>'34a'!G34/('35b'!$I$13*('4'!$F$30/'4'!$F$21))/52</f>
        <v>41.492420921386305</v>
      </c>
      <c r="H34" s="836">
        <f>'34a'!H34/('35b'!$I$14*('4'!$F$30/'4'!$F$21))/52</f>
        <v>42.208384615384617</v>
      </c>
      <c r="I34" s="836">
        <f>'34a'!I34/('35b'!$I$15*('4'!$F$30/'4'!$F$21))/52</f>
        <v>43.025936122851505</v>
      </c>
      <c r="J34" s="835">
        <f>'34a'!J34/('35b'!$I$16*('4'!$F$30/'4'!$F$21))/52</f>
        <v>44.310911527895186</v>
      </c>
      <c r="K34" s="836">
        <f>'34a'!K34/('35b'!$I$17*('4'!$F$30/'4'!$F$21))/52</f>
        <v>46.930675655114115</v>
      </c>
      <c r="L34" s="836">
        <f>'34a'!L34/('35b'!$I$18*('4'!$F$30/'4'!$F$21))/52</f>
        <v>43.931654052566394</v>
      </c>
      <c r="M34" s="836">
        <f>'34a'!M34/('35b'!$I$19*('4'!$F$30/'4'!$F$21))/52</f>
        <v>44.424361330976723</v>
      </c>
      <c r="N34" s="836">
        <f>'34a'!N34/('35b'!$I$20*('4'!$F$30/'4'!$F$21))/52</f>
        <v>46.618213475626931</v>
      </c>
      <c r="O34" s="836">
        <f>'34a'!O34/('35b'!$I$21*('4'!$F$30/'4'!$F$21))/52</f>
        <v>48.826155645636419</v>
      </c>
      <c r="P34" s="836">
        <f>'34a'!P34/('35b'!$I$22*('4'!$F$30/'4'!$F$21))/52</f>
        <v>48.096988680216107</v>
      </c>
      <c r="Q34" s="836">
        <f>'34a'!Q34/('35b'!$I$23*('4'!$F$30/'4'!$F$21))/52</f>
        <v>48.592595759846411</v>
      </c>
      <c r="R34" s="836">
        <f>'34a'!R34/('35b'!$I$24*('4'!$F$30/'4'!$F$21))/52</f>
        <v>48.899898445571516</v>
      </c>
      <c r="S34" s="836">
        <f>'34a'!S34/('35b'!$I$25*('4'!$F$30/'4'!$F$21))/52</f>
        <v>49.706351413543722</v>
      </c>
      <c r="T34" s="836">
        <f>'34a'!T34/('35b'!$I$26*('4'!$F$30/'4'!$F$21))/52</f>
        <v>48.908917979508082</v>
      </c>
      <c r="U34" s="836">
        <f>'34a'!U34/('35b'!$I$27*('4'!$F$30/'4'!$F$21))/52</f>
        <v>49.348938668169438</v>
      </c>
      <c r="V34" s="836">
        <f>'34a'!V34/('35b'!$I$27*('4'!$F$30/'4'!$F$21))/52</f>
        <v>50.895809069847537</v>
      </c>
      <c r="W34" s="836">
        <f>'34a'!W34/('35b'!$I$27*('4'!$F$30/'4'!$F$21))/52</f>
        <v>50.796097911551215</v>
      </c>
      <c r="Y34" s="662">
        <f>((((E34/D34))^(1/3))-1)*100</f>
        <v>-0.1772495313849598</v>
      </c>
      <c r="Z34" s="662">
        <f>((((P34/E34))^(1/11))-1)*100</f>
        <v>1.2553639198259914</v>
      </c>
      <c r="AA34" s="733">
        <f>((((W34/D34))^(1/21))-1)*100</f>
        <v>0.89208997869902884</v>
      </c>
      <c r="AB34" s="733">
        <f>((((W34/P34))^(1/7))-1)*100</f>
        <v>0.78304948002736463</v>
      </c>
      <c r="AC34" s="262"/>
      <c r="AD34" s="733">
        <f>((W34/D34)-1)*100</f>
        <v>20.503452307282455</v>
      </c>
    </row>
    <row r="35" spans="1:30">
      <c r="A35" s="256" t="s">
        <v>1227</v>
      </c>
      <c r="D35" s="833"/>
      <c r="E35" s="663"/>
      <c r="F35" s="261"/>
      <c r="G35" s="261"/>
      <c r="H35" s="261"/>
      <c r="I35" s="261"/>
      <c r="J35" s="663"/>
      <c r="K35" s="261"/>
      <c r="L35" s="261"/>
      <c r="M35" s="261"/>
      <c r="N35" s="261"/>
      <c r="O35" s="261"/>
      <c r="P35" s="261"/>
      <c r="Q35" s="261"/>
      <c r="R35" s="261"/>
      <c r="S35" s="261"/>
      <c r="T35" s="261"/>
      <c r="U35" s="261"/>
      <c r="V35" s="261"/>
      <c r="W35" s="261"/>
      <c r="Y35" s="662"/>
      <c r="Z35" s="662"/>
      <c r="AA35" s="662"/>
      <c r="AB35" s="662"/>
    </row>
    <row r="36" spans="1:30">
      <c r="A36" s="256" t="s">
        <v>545</v>
      </c>
      <c r="D36" s="834">
        <f>'34a'!D36/('35b'!$J$8*('4'!$G$30/'4'!$G$21))/52</f>
        <v>9.8790404726870147</v>
      </c>
      <c r="E36" s="835">
        <f>'34a'!E36/('35b'!$J$11*('4'!$G$30/'4'!$G$21))/52</f>
        <v>12.844945439105514</v>
      </c>
      <c r="F36" s="836">
        <f>'34a'!F36/('35b'!$J$12*('4'!$G$30/'4'!$G$21))/52</f>
        <v>18.171226595348379</v>
      </c>
      <c r="G36" s="836">
        <f>'34a'!G36/('35b'!$J$13*('4'!$G$30/'4'!$G$21))/52</f>
        <v>19.419415469535064</v>
      </c>
      <c r="H36" s="836">
        <f>'34a'!H36/('35b'!$J$14*('4'!$G$30/'4'!$G$21))/52</f>
        <v>19.433348852280723</v>
      </c>
      <c r="I36" s="836">
        <f>'34a'!I36/('35b'!$J$15*('4'!$G$30/'4'!$G$21))/52</f>
        <v>19.352139002145371</v>
      </c>
      <c r="J36" s="835">
        <f>'34a'!J36/('35b'!$J$16*('4'!$G$30/'4'!$G$21))/52</f>
        <v>18.504906883211852</v>
      </c>
      <c r="K36" s="836">
        <f>'34a'!K36/('35b'!$J$17*('4'!$G$30/'4'!$G$21))/52</f>
        <v>17.224613541397517</v>
      </c>
      <c r="L36" s="836">
        <f>'34a'!L36/('35b'!$J$18*('4'!$G$30/'4'!$G$21))/52</f>
        <v>16.557285443140252</v>
      </c>
      <c r="M36" s="836">
        <f>'34a'!M36/('35b'!$J$19*('4'!$G$30/'4'!$G$21))/52</f>
        <v>16.089335003975407</v>
      </c>
      <c r="N36" s="836">
        <f>'34a'!N36/('35b'!$J$20*('4'!$G$30/'4'!$G$21))/52</f>
        <v>15.78870617482993</v>
      </c>
      <c r="O36" s="836">
        <f>'34a'!O36/('35b'!$J$21*('4'!$G$30/'4'!$G$21))/52</f>
        <v>16.162724352564361</v>
      </c>
      <c r="P36" s="836">
        <f>'34a'!P36/('35b'!$J$22*('4'!$G$30/'4'!$G$21))/52</f>
        <v>16.313383464661413</v>
      </c>
      <c r="Q36" s="836">
        <f>'34a'!Q36/('35b'!$J$23*('4'!$G$30/'4'!$G$21))/52</f>
        <v>16.41305213461791</v>
      </c>
      <c r="R36" s="836">
        <f>'34a'!R36/('35b'!$J$24*('4'!$G$30/'4'!$G$21))/52</f>
        <v>16.554816439821039</v>
      </c>
      <c r="S36" s="836">
        <f>'34a'!S36/('35b'!$J$25*('4'!$G$30/'4'!$G$21))/52</f>
        <v>16.588415327032859</v>
      </c>
      <c r="T36" s="836">
        <f>'34a'!T36/('35b'!$J$26*('4'!$G$30/'4'!$G$21))/52</f>
        <v>16.563872878848397</v>
      </c>
      <c r="U36" s="836">
        <f>'34a'!U36/('35b'!$J$27*('4'!$G$30/'4'!$G$21))/52</f>
        <v>16.378784419473426</v>
      </c>
      <c r="V36" s="836">
        <f>'34a'!V36/('35b'!$J$27*('4'!$G$30/'4'!$G$21))/52</f>
        <v>16.25439431410598</v>
      </c>
      <c r="W36" s="836">
        <f>'34a'!W36/('35b'!$J$27*('4'!$G$30/'4'!$G$21))/52</f>
        <v>16.055370145518069</v>
      </c>
      <c r="Y36" s="662">
        <f>((((E36/D36))^(1/3))-1)*100</f>
        <v>9.1454995835273714</v>
      </c>
      <c r="Z36" s="662">
        <f>((((P36/E36))^(1/11))-1)*100</f>
        <v>2.1968323123080502</v>
      </c>
      <c r="AA36" s="733">
        <f>((((W36/D36))^(1/21))-1)*100</f>
        <v>2.3394601728323305</v>
      </c>
      <c r="AB36" s="733">
        <f>((((W36/P36))^(1/7))-1)*100</f>
        <v>-0.22749027990021098</v>
      </c>
      <c r="AC36" s="257"/>
      <c r="AD36" s="733">
        <f>((W36/D36)-1)*100</f>
        <v>62.519530008071179</v>
      </c>
    </row>
    <row r="37" spans="1:30">
      <c r="A37" s="256" t="s">
        <v>1219</v>
      </c>
      <c r="C37" s="757"/>
      <c r="D37" s="834"/>
      <c r="E37" s="835">
        <f>'34a'!E37/('35b'!$J$11*('4'!$G$30/'4'!$G$21))/52</f>
        <v>22.892600608591042</v>
      </c>
      <c r="F37" s="836">
        <f>'34a'!F37/('35b'!$J$12*('4'!$G$30/'4'!$G$21))/52</f>
        <v>23.729288450522937</v>
      </c>
      <c r="G37" s="836">
        <f>'34a'!G37/('35b'!$J$13*('4'!$G$30/'4'!$G$21))/52</f>
        <v>25.024995228049502</v>
      </c>
      <c r="H37" s="836">
        <f>'34a'!H37/('35b'!$J$14*('4'!$G$30/'4'!$G$21))/52</f>
        <v>25.181207423767823</v>
      </c>
      <c r="I37" s="836">
        <f>'34a'!I37/('35b'!$J$15*('4'!$G$30/'4'!$G$21))/52</f>
        <v>25.014631757661974</v>
      </c>
      <c r="J37" s="835">
        <f>'34a'!J37/('35b'!$J$16*('4'!$G$30/'4'!$G$21))/52</f>
        <v>24.812407071922255</v>
      </c>
      <c r="K37" s="836">
        <f>'34a'!K37/('35b'!$J$17*('4'!$G$30/'4'!$G$21))/52</f>
        <v>23.108689883531667</v>
      </c>
      <c r="L37" s="836">
        <f>'34a'!L37/('35b'!$J$18*('4'!$G$30/'4'!$G$21))/52</f>
        <v>22.710849175677062</v>
      </c>
      <c r="M37" s="836">
        <f>'34a'!M37/('35b'!$J$19*('4'!$G$30/'4'!$G$21))/52</f>
        <v>22.707446123874504</v>
      </c>
      <c r="N37" s="836">
        <f>'34a'!N37/('35b'!$J$20*('4'!$G$30/'4'!$G$21))/52</f>
        <v>22.805200397112319</v>
      </c>
      <c r="O37" s="836">
        <f>'34a'!O37/('35b'!$J$21*('4'!$G$30/'4'!$G$21))/52</f>
        <v>23.250272553200436</v>
      </c>
      <c r="P37" s="836">
        <f>'34a'!P37/('35b'!$J$22*('4'!$G$30/'4'!$G$21))/52</f>
        <v>23.600546316608874</v>
      </c>
      <c r="Q37" s="836">
        <f>'34a'!Q37/('35b'!$J$23*('4'!$G$30/'4'!$G$21))/52</f>
        <v>23.832927747505487</v>
      </c>
      <c r="R37" s="836">
        <f>'34a'!R37/('35b'!$J$24*('4'!$G$30/'4'!$G$21))/52</f>
        <v>23.783604211387097</v>
      </c>
      <c r="S37" s="836">
        <f>'34a'!S37/('35b'!$J$25*('4'!$G$30/'4'!$G$21))/52</f>
        <v>23.84316071824988</v>
      </c>
      <c r="T37" s="836">
        <f>'34a'!T37/('35b'!$J$26*('4'!$G$30/'4'!$G$21))/52</f>
        <v>23.815223524461189</v>
      </c>
      <c r="U37" s="836">
        <f>'34a'!U37/('35b'!$J$27*('4'!$G$30/'4'!$G$21))/52</f>
        <v>23.711015721314467</v>
      </c>
      <c r="V37" s="836">
        <f>'34a'!V37/('35b'!$J$27*('4'!$G$30/'4'!$G$21))/52</f>
        <v>23.808266167329016</v>
      </c>
      <c r="W37" s="836">
        <f>'34a'!W37/('35b'!$J$27*('4'!$G$30/'4'!$G$21))/52</f>
        <v>23.747201933784996</v>
      </c>
      <c r="Y37" s="662" t="s">
        <v>374</v>
      </c>
      <c r="Z37" s="662">
        <f>((((P37/E37))^(1/11))-1)*100</f>
        <v>0.27725746731888101</v>
      </c>
      <c r="AA37" s="733">
        <f>((((W37/E37))^(1/18))-1)*100</f>
        <v>0.20382393586988456</v>
      </c>
      <c r="AB37" s="733">
        <f>((((W37/P37))^(1/7))-1)*100</f>
        <v>8.8537020234102926E-2</v>
      </c>
      <c r="AC37" s="262"/>
      <c r="AD37" s="733">
        <f>((W37/E37)-1)*100</f>
        <v>3.7330897428632159</v>
      </c>
    </row>
    <row r="38" spans="1:30">
      <c r="A38" s="256" t="s">
        <v>1222</v>
      </c>
      <c r="D38" s="834">
        <f>'34a'!D38/('35b'!$J$8*('4'!$G$30/'4'!$G$21))/52</f>
        <v>37.46186411712408</v>
      </c>
      <c r="E38" s="835">
        <f>'34a'!E38/('35b'!$J$11*('4'!$G$30/'4'!$G$21))/52</f>
        <v>34.362932616233813</v>
      </c>
      <c r="F38" s="836">
        <f>'34a'!F38/('35b'!$J$12*('4'!$G$30/'4'!$G$21))/52</f>
        <v>36.596712540206667</v>
      </c>
      <c r="G38" s="836">
        <f>'34a'!G38/('35b'!$J$13*('4'!$G$30/'4'!$G$21))/52</f>
        <v>34.85333323132771</v>
      </c>
      <c r="H38" s="836">
        <f>'34a'!H38/('35b'!$J$14*('4'!$G$30/'4'!$G$21))/52</f>
        <v>38.189643523570787</v>
      </c>
      <c r="I38" s="836">
        <f>'34a'!I38/('35b'!$J$15*('4'!$G$30/'4'!$G$21))/52</f>
        <v>39.28251512253776</v>
      </c>
      <c r="J38" s="835">
        <f>'34a'!J38/('35b'!$J$16*('4'!$G$30/'4'!$G$21))/52</f>
        <v>39.093193239449917</v>
      </c>
      <c r="K38" s="836">
        <f>'34a'!K38/('35b'!$J$17*('4'!$G$30/'4'!$G$21))/52</f>
        <v>36.410585863506419</v>
      </c>
      <c r="L38" s="836">
        <f>'34a'!L38/('35b'!$J$18*('4'!$G$30/'4'!$G$21))/52</f>
        <v>34.612996692991061</v>
      </c>
      <c r="M38" s="836">
        <f>'34a'!M38/('35b'!$J$19*('4'!$G$30/'4'!$G$21))/52</f>
        <v>33.370314410952979</v>
      </c>
      <c r="N38" s="836">
        <f>'34a'!N38/('35b'!$J$20*('4'!$G$30/'4'!$G$21))/52</f>
        <v>33.188591574285745</v>
      </c>
      <c r="O38" s="836">
        <f>'34a'!O38/('35b'!$J$21*('4'!$G$30/'4'!$G$21))/52</f>
        <v>33.653417760725468</v>
      </c>
      <c r="P38" s="836">
        <f>'34a'!P38/('35b'!$J$22*('4'!$G$30/'4'!$G$21))/52</f>
        <v>33.628446431373519</v>
      </c>
      <c r="Q38" s="836">
        <f>'34a'!Q38/('35b'!$J$23*('4'!$G$30/'4'!$G$21))/52</f>
        <v>34.07397203716247</v>
      </c>
      <c r="R38" s="836">
        <f>'34a'!R38/('35b'!$J$24*('4'!$G$30/'4'!$G$21))/52</f>
        <v>34.33451080760188</v>
      </c>
      <c r="S38" s="836">
        <f>'34a'!S38/('35b'!$J$25*('4'!$G$30/'4'!$G$21))/52</f>
        <v>34.536388490087369</v>
      </c>
      <c r="T38" s="836">
        <f>'34a'!T38/('35b'!$J$26*('4'!$G$30/'4'!$G$21))/52</f>
        <v>34.568082529770564</v>
      </c>
      <c r="U38" s="836">
        <f>'34a'!U38/('35b'!$J$27*('4'!$G$30/'4'!$G$21))/52</f>
        <v>36.294771107941109</v>
      </c>
      <c r="V38" s="836">
        <f>'34a'!V38/('35b'!$J$27*('4'!$G$30/'4'!$G$21))/52</f>
        <v>38.226210198555627</v>
      </c>
      <c r="W38" s="836">
        <f>'34a'!W38/('35b'!$J$27*('4'!$G$30/'4'!$G$21))/52</f>
        <v>38.601642152937366</v>
      </c>
      <c r="Y38" s="662">
        <f>((((E38/D38))^(1/3))-1)*100</f>
        <v>-2.8371424790146871</v>
      </c>
      <c r="Z38" s="662">
        <f>((((P38/E38))^(1/11))-1)*100</f>
        <v>-0.19622644568138004</v>
      </c>
      <c r="AA38" s="733">
        <f>((((W38/D38))^(1/21))-1)*100</f>
        <v>0.14282265521290416</v>
      </c>
      <c r="AB38" s="733">
        <f>((((W38/P38))^(1/7))-1)*100</f>
        <v>1.989860225682194</v>
      </c>
      <c r="AC38" s="257"/>
      <c r="AD38" s="733">
        <f>((W38/D38)-1)*100</f>
        <v>3.0425021890255755</v>
      </c>
    </row>
    <row r="39" spans="1:30">
      <c r="A39" s="256" t="s">
        <v>1221</v>
      </c>
      <c r="D39" s="834">
        <f>'34a'!D39/('35b'!$J$8*('4'!$G$30/'4'!$G$21))/52</f>
        <v>52.41124095796556</v>
      </c>
      <c r="E39" s="835">
        <f>'34a'!E39/('35b'!$J$11*('4'!$G$30/'4'!$G$21))/52</f>
        <v>47.323230231406129</v>
      </c>
      <c r="F39" s="836">
        <f>'34a'!F39/('35b'!$J$12*('4'!$G$30/'4'!$G$21))/52</f>
        <v>46.515203426696026</v>
      </c>
      <c r="G39" s="836">
        <f>'34a'!G39/('35b'!$J$13*('4'!$G$30/'4'!$G$21))/52</f>
        <v>49.069792883960311</v>
      </c>
      <c r="H39" s="836">
        <f>'34a'!H39/('35b'!$J$14*('4'!$G$30/'4'!$G$21))/52</f>
        <v>48.994102551687398</v>
      </c>
      <c r="I39" s="836">
        <f>'34a'!I39/('35b'!$J$15*('4'!$G$30/'4'!$G$21))/52</f>
        <v>49.794207776199144</v>
      </c>
      <c r="J39" s="835">
        <f>'34a'!J39/('35b'!$J$16*('4'!$G$30/'4'!$G$21))/52</f>
        <v>48.071457422215943</v>
      </c>
      <c r="K39" s="836">
        <f>'34a'!K39/('35b'!$J$17*('4'!$G$30/'4'!$G$21))/52</f>
        <v>44.744724397786158</v>
      </c>
      <c r="L39" s="836">
        <f>'34a'!L39/('35b'!$J$18*('4'!$G$30/'4'!$G$21))/52</f>
        <v>42.691280914090648</v>
      </c>
      <c r="M39" s="836">
        <f>'34a'!M39/('35b'!$J$19*('4'!$G$30/'4'!$G$21))/52</f>
        <v>40.851193163133203</v>
      </c>
      <c r="N39" s="836">
        <f>'34a'!N39/('35b'!$J$20*('4'!$G$30/'4'!$G$21))/52</f>
        <v>41.0616889991067</v>
      </c>
      <c r="O39" s="836">
        <f>'34a'!O39/('35b'!$J$21*('4'!$G$30/'4'!$G$21))/52</f>
        <v>41.60825519799721</v>
      </c>
      <c r="P39" s="836">
        <f>'34a'!P39/('35b'!$J$22*('4'!$G$30/'4'!$G$21))/52</f>
        <v>42.288198933581121</v>
      </c>
      <c r="Q39" s="836">
        <f>'34a'!Q39/('35b'!$J$23*('4'!$G$30/'4'!$G$21))/52</f>
        <v>43.2893408413114</v>
      </c>
      <c r="R39" s="836">
        <f>'34a'!R39/('35b'!$J$24*('4'!$G$30/'4'!$G$21))/52</f>
        <v>43.892574638894786</v>
      </c>
      <c r="S39" s="836">
        <f>'34a'!S39/('35b'!$J$25*('4'!$G$30/'4'!$G$21))/52</f>
        <v>44.336063274855732</v>
      </c>
      <c r="T39" s="836">
        <f>'34a'!T39/('35b'!$J$26*('4'!$G$30/'4'!$G$21))/52</f>
        <v>44.596257986748164</v>
      </c>
      <c r="U39" s="836">
        <f>'34a'!U39/('35b'!$J$27*('4'!$G$30/'4'!$G$21))/52</f>
        <v>48.810677346185507</v>
      </c>
      <c r="V39" s="836">
        <f>'34a'!V39/('35b'!$J$27*('4'!$G$30/'4'!$G$21))/52</f>
        <v>50.043270208462914</v>
      </c>
      <c r="W39" s="836">
        <f>'34a'!W39/('35b'!$J$27*('4'!$G$30/'4'!$G$21))/52</f>
        <v>49.507261936243204</v>
      </c>
      <c r="Y39" s="662">
        <f>((((E39/D39))^(1/3))-1)*100</f>
        <v>-3.3467089819197771</v>
      </c>
      <c r="Z39" s="662">
        <f>((((P39/E39))^(1/11))-1)*100</f>
        <v>-1.0174543557155746</v>
      </c>
      <c r="AA39" s="733">
        <f>((((W39/D39))^(1/21))-1)*100</f>
        <v>-0.27106873306326218</v>
      </c>
      <c r="AB39" s="733">
        <f>((((W39/P39))^(1/7))-1)*100</f>
        <v>2.2771296462606783</v>
      </c>
      <c r="AC39" s="262"/>
      <c r="AD39" s="733">
        <f>((W39/D39)-1)*100</f>
        <v>-5.5407560833207192</v>
      </c>
    </row>
    <row r="40" spans="1:30">
      <c r="A40" s="256" t="s">
        <v>1228</v>
      </c>
      <c r="D40" s="838"/>
      <c r="E40" s="263"/>
      <c r="F40" s="264"/>
      <c r="G40" s="264"/>
      <c r="H40" s="264"/>
      <c r="I40" s="264"/>
      <c r="J40" s="263"/>
      <c r="K40" s="264"/>
      <c r="L40" s="264"/>
      <c r="M40" s="264"/>
      <c r="N40" s="264"/>
      <c r="O40" s="264"/>
      <c r="P40" s="264"/>
      <c r="Q40" s="264"/>
      <c r="R40" s="264"/>
      <c r="S40" s="264"/>
      <c r="T40" s="264"/>
      <c r="U40" s="264"/>
      <c r="V40" s="264"/>
      <c r="W40" s="264"/>
      <c r="Y40" s="662"/>
      <c r="Z40" s="662"/>
      <c r="AA40" s="662"/>
      <c r="AB40" s="662"/>
    </row>
    <row r="41" spans="1:30">
      <c r="A41" s="256" t="s">
        <v>545</v>
      </c>
      <c r="D41" s="834">
        <f>'34a'!D41/('35b'!$K$8*('4'!$H$30/'4'!$H$21))/52</f>
        <v>20.860565220783272</v>
      </c>
      <c r="E41" s="835">
        <f>'34a'!E41/('35b'!$K$11*('4'!$H$30/'4'!$H$21))/52</f>
        <v>22.503318749999998</v>
      </c>
      <c r="F41" s="836">
        <f>'34a'!F41/('35b'!$K$12*('4'!$H$30/'4'!$H$21))/52</f>
        <v>24.065322083961796</v>
      </c>
      <c r="G41" s="836">
        <f>'34a'!G41/('35b'!$K$13*('4'!$H$30/'4'!$H$21))/52</f>
        <v>23.853442449095024</v>
      </c>
      <c r="H41" s="836">
        <f>'34a'!H41/('35b'!$K$14*('4'!$H$30/'4'!$H$21))/52</f>
        <v>23.390249225068587</v>
      </c>
      <c r="I41" s="836">
        <f>'34a'!I41/('35b'!$K$15*('4'!$H$30/'4'!$H$21))/52</f>
        <v>23.782286359425658</v>
      </c>
      <c r="J41" s="835">
        <f>'34a'!J41/('35b'!$K$16*('4'!$H$30/'4'!$H$21))/52</f>
        <v>22.592653094820015</v>
      </c>
      <c r="K41" s="836">
        <f>'34a'!K41/('35b'!$K$17*('4'!$H$30/'4'!$H$21))/52</f>
        <v>21.006612259305744</v>
      </c>
      <c r="L41" s="836">
        <f>'34a'!L41/('35b'!$K$18*('4'!$H$30/'4'!$H$21))/52</f>
        <v>17.575437068566899</v>
      </c>
      <c r="M41" s="836">
        <f>'34a'!M41/('35b'!$K$19*('4'!$H$30/'4'!$H$21))/52</f>
        <v>17.652041937774552</v>
      </c>
      <c r="N41" s="836">
        <f>'34a'!N41/('35b'!$K$20*('4'!$H$30/'4'!$H$21))/52</f>
        <v>17.635265795818604</v>
      </c>
      <c r="O41" s="836">
        <f>'34a'!O41/('35b'!$K$21*('4'!$H$30/'4'!$H$21))/52</f>
        <v>17.636491566411799</v>
      </c>
      <c r="P41" s="836">
        <f>'34a'!P41/('35b'!$K$22*('4'!$H$30/'4'!$H$21))/52</f>
        <v>17.640252295471814</v>
      </c>
      <c r="Q41" s="836">
        <f>'34a'!Q41/('35b'!$K$23*('4'!$H$30/'4'!$H$21))/52</f>
        <v>17.644395353733859</v>
      </c>
      <c r="R41" s="836">
        <f>'34a'!R41/('35b'!$K$24*('4'!$H$30/'4'!$H$21))/52</f>
        <v>17.656657693959115</v>
      </c>
      <c r="S41" s="836">
        <f>'34a'!S41/('35b'!$K$25*('4'!$H$30/'4'!$H$21))/52</f>
        <v>17.672256725402121</v>
      </c>
      <c r="T41" s="836">
        <f>'34a'!T41/('35b'!$K$26*('4'!$H$30/'4'!$H$21))/52</f>
        <v>17.262280187996392</v>
      </c>
      <c r="U41" s="836">
        <f>'34a'!U41/('35b'!$K$27*('4'!$H$30/'4'!$H$21))/52</f>
        <v>16.65069505602964</v>
      </c>
      <c r="V41" s="836">
        <f>'34a'!V41/('35b'!$K$27*('4'!$H$30/'4'!$H$21))/52</f>
        <v>16.443245268228612</v>
      </c>
      <c r="W41" s="836">
        <f>'34a'!W41/('35b'!$K$27*('4'!$H$30/'4'!$H$21))/52</f>
        <v>16.422728256248291</v>
      </c>
      <c r="Y41" s="662">
        <f>((((E41/D41))^(1/3))-1)*100</f>
        <v>2.5589344638901279</v>
      </c>
      <c r="Z41" s="662">
        <f>((((P41/E41))^(1/11))-1)*100</f>
        <v>-2.1891324556858827</v>
      </c>
      <c r="AA41" s="733">
        <f>((((W41/D41))^(1/21))-1)*100</f>
        <v>-1.1325581988562039</v>
      </c>
      <c r="AB41" s="733">
        <f>((((W41/P41))^(1/7))-1)*100</f>
        <v>-1.0164716254349448</v>
      </c>
      <c r="AC41" s="257"/>
      <c r="AD41" s="733">
        <f>((W41/D41)-1)*100</f>
        <v>-21.273809782074295</v>
      </c>
    </row>
    <row r="42" spans="1:30">
      <c r="A42" s="256" t="s">
        <v>1219</v>
      </c>
      <c r="D42" s="834"/>
      <c r="E42" s="835">
        <f>'34a'!E42/('35b'!$K$11*('4'!$H$30/'4'!$H$21))/52</f>
        <v>32.381318749999998</v>
      </c>
      <c r="F42" s="836">
        <f>'34a'!F42/('35b'!$K$12*('4'!$H$30/'4'!$H$21))/52</f>
        <v>33.794690066197425</v>
      </c>
      <c r="G42" s="836">
        <f>'34a'!G42/('35b'!$K$13*('4'!$H$30/'4'!$H$21))/52</f>
        <v>33.296251484728508</v>
      </c>
      <c r="H42" s="836">
        <f>'34a'!H42/('35b'!$K$14*('4'!$H$30/'4'!$H$21))/52</f>
        <v>32.244529385042931</v>
      </c>
      <c r="I42" s="836">
        <f>'34a'!I42/('35b'!$K$15*('4'!$H$30/'4'!$H$21))/52</f>
        <v>32.702515943991166</v>
      </c>
      <c r="J42" s="835">
        <f>'34a'!J42/('35b'!$K$16*('4'!$H$30/'4'!$H$21))/52</f>
        <v>31.054746741406088</v>
      </c>
      <c r="K42" s="836">
        <f>'34a'!K42/('35b'!$K$17*('4'!$H$30/'4'!$H$21))/52</f>
        <v>30.39656184975394</v>
      </c>
      <c r="L42" s="836">
        <f>'34a'!L42/('35b'!$K$18*('4'!$H$30/'4'!$H$21))/52</f>
        <v>30.353265964056877</v>
      </c>
      <c r="M42" s="836">
        <f>'34a'!M42/('35b'!$K$19*('4'!$H$30/'4'!$H$21))/52</f>
        <v>30.377348069491696</v>
      </c>
      <c r="N42" s="836">
        <f>'34a'!N42/('35b'!$K$20*('4'!$H$30/'4'!$H$21))/52</f>
        <v>30.398408615657097</v>
      </c>
      <c r="O42" s="836">
        <f>'34a'!O42/('35b'!$K$21*('4'!$H$30/'4'!$H$21))/52</f>
        <v>30.399430477342541</v>
      </c>
      <c r="P42" s="836">
        <f>'34a'!P42/('35b'!$K$22*('4'!$H$30/'4'!$H$21))/52</f>
        <v>30.397382119678305</v>
      </c>
      <c r="Q42" s="836">
        <f>'34a'!Q42/('35b'!$K$23*('4'!$H$30/'4'!$H$21))/52</f>
        <v>30.389332352115467</v>
      </c>
      <c r="R42" s="836">
        <f>'34a'!R42/('35b'!$K$24*('4'!$H$30/'4'!$H$21))/52</f>
        <v>30.394012988407049</v>
      </c>
      <c r="S42" s="836">
        <f>'34a'!S42/('35b'!$K$25*('4'!$H$30/'4'!$H$21))/52</f>
        <v>30.406571923407206</v>
      </c>
      <c r="T42" s="836">
        <f>'34a'!T42/('35b'!$K$26*('4'!$H$30/'4'!$H$21))/52</f>
        <v>29.671505167626492</v>
      </c>
      <c r="U42" s="836">
        <f>'34a'!U42/('35b'!$K$27*('4'!$H$30/'4'!$H$21))/52</f>
        <v>28.650867396519782</v>
      </c>
      <c r="V42" s="836">
        <f>'34a'!V42/('35b'!$K$27*('4'!$H$30/'4'!$H$21))/52</f>
        <v>28.338552880819336</v>
      </c>
      <c r="W42" s="836">
        <f>'34a'!W42/('35b'!$K$27*('4'!$H$30/'4'!$H$21))/52</f>
        <v>28.226849148926476</v>
      </c>
      <c r="Y42" s="662" t="s">
        <v>374</v>
      </c>
      <c r="Z42" s="662">
        <f>((((P42/E42))^(1/11))-1)*100</f>
        <v>-0.5731257366942466</v>
      </c>
      <c r="AA42" s="733">
        <f>((((W42/E42))^(1/18))-1)*100</f>
        <v>-0.75992040559406115</v>
      </c>
      <c r="AB42" s="733">
        <f>((((W42/P42))^(1/7))-1)*100</f>
        <v>-1.0527461096073609</v>
      </c>
      <c r="AC42" s="262"/>
      <c r="AD42" s="733">
        <f>((W42/E42)-1)*100</f>
        <v>-12.829834489287196</v>
      </c>
    </row>
    <row r="43" spans="1:30">
      <c r="A43" s="256" t="s">
        <v>1222</v>
      </c>
      <c r="D43" s="834">
        <f>'34a'!D43/('35b'!$K$8*('4'!$H$30/'4'!$H$21))/52</f>
        <v>41.682832215114153</v>
      </c>
      <c r="E43" s="835">
        <f>'34a'!E43/('35b'!$K$11*('4'!$H$30/'4'!$H$21))/52</f>
        <v>44.158934134615379</v>
      </c>
      <c r="F43" s="836">
        <f>'34a'!F43/('35b'!$K$12*('4'!$H$30/'4'!$H$21))/52</f>
        <v>48.167515292441777</v>
      </c>
      <c r="G43" s="836">
        <f>'34a'!G43/('35b'!$K$13*('4'!$H$30/'4'!$H$21))/52</f>
        <v>47.503177813914029</v>
      </c>
      <c r="H43" s="836">
        <f>'34a'!H43/('35b'!$K$14*('4'!$H$30/'4'!$H$21))/52</f>
        <v>46.047715956461325</v>
      </c>
      <c r="I43" s="836">
        <f>'34a'!I43/('35b'!$K$15*('4'!$H$30/'4'!$H$21))/52</f>
        <v>46.82853074785335</v>
      </c>
      <c r="J43" s="835">
        <f>'34a'!J43/('35b'!$K$16*('4'!$H$30/'4'!$H$21))/52</f>
        <v>44.464566447668332</v>
      </c>
      <c r="K43" s="836">
        <f>'34a'!K43/('35b'!$K$17*('4'!$H$30/'4'!$H$21))/52</f>
        <v>41.469232627076657</v>
      </c>
      <c r="L43" s="836">
        <f>'34a'!L43/('35b'!$K$18*('4'!$H$30/'4'!$H$21))/52</f>
        <v>35.301250005160682</v>
      </c>
      <c r="M43" s="836">
        <f>'34a'!M43/('35b'!$K$19*('4'!$H$30/'4'!$H$21))/52</f>
        <v>35.383682498266012</v>
      </c>
      <c r="N43" s="836">
        <f>'34a'!N43/('35b'!$K$20*('4'!$H$30/'4'!$H$21))/52</f>
        <v>35.397464886712683</v>
      </c>
      <c r="O43" s="836">
        <f>'34a'!O43/('35b'!$K$21*('4'!$H$30/'4'!$H$21))/52</f>
        <v>35.40644614724048</v>
      </c>
      <c r="P43" s="836">
        <f>'34a'!P43/('35b'!$K$22*('4'!$H$30/'4'!$H$21))/52</f>
        <v>35.556824332414052</v>
      </c>
      <c r="Q43" s="836">
        <f>'34a'!Q43/('35b'!$K$23*('4'!$H$30/'4'!$H$21))/52</f>
        <v>35.723895242263104</v>
      </c>
      <c r="R43" s="836">
        <f>'34a'!R43/('35b'!$K$24*('4'!$H$30/'4'!$H$21))/52</f>
        <v>35.841624830729607</v>
      </c>
      <c r="S43" s="836">
        <f>'34a'!S43/('35b'!$K$25*('4'!$H$30/'4'!$H$21))/52</f>
        <v>35.970986495524656</v>
      </c>
      <c r="T43" s="836">
        <f>'34a'!T43/('35b'!$K$26*('4'!$H$30/'4'!$H$21))/52</f>
        <v>35.277620666946177</v>
      </c>
      <c r="U43" s="836">
        <f>'34a'!U43/('35b'!$K$27*('4'!$H$30/'4'!$H$21))/52</f>
        <v>34.340918719062223</v>
      </c>
      <c r="V43" s="836">
        <f>'34a'!V43/('35b'!$K$27*('4'!$H$30/'4'!$H$21))/52</f>
        <v>36.203407473275838</v>
      </c>
      <c r="W43" s="836">
        <f>'34a'!W43/('35b'!$K$27*('4'!$H$30/'4'!$H$21))/52</f>
        <v>37.475462216055753</v>
      </c>
      <c r="Y43" s="662">
        <f>((((E43/D43))^(1/3))-1)*100</f>
        <v>1.9421496622628931</v>
      </c>
      <c r="Z43" s="662">
        <f>((((P43/E43))^(1/11))-1)*100</f>
        <v>-1.9503939485991273</v>
      </c>
      <c r="AA43" s="733">
        <f>((((W43/D43))^(1/21))-1)*100</f>
        <v>-0.50539934117309615</v>
      </c>
      <c r="AB43" s="733">
        <f>((((W43/P43))^(1/7))-1)*100</f>
        <v>0.75360075212476119</v>
      </c>
      <c r="AC43" s="257"/>
      <c r="AD43" s="733">
        <f>((W43/D43)-1)*100</f>
        <v>-10.093771885137915</v>
      </c>
    </row>
    <row r="44" spans="1:30">
      <c r="A44" s="256" t="s">
        <v>1221</v>
      </c>
      <c r="D44" s="834">
        <f>'34a'!D44/('35b'!$K$8*('4'!$H$30/'4'!$H$21))/52</f>
        <v>55.149446091433916</v>
      </c>
      <c r="E44" s="835">
        <f>'34a'!E44/('35b'!$K$11*('4'!$H$30/'4'!$H$21))/52</f>
        <v>57.900276923076916</v>
      </c>
      <c r="F44" s="836">
        <f>'34a'!F44/('35b'!$K$12*('4'!$H$30/'4'!$H$21))/52</f>
        <v>64.535990133232787</v>
      </c>
      <c r="G44" s="836">
        <f>'34a'!G44/('35b'!$K$13*('4'!$H$30/'4'!$H$21))/52</f>
        <v>63.361664804864255</v>
      </c>
      <c r="H44" s="836">
        <f>'34a'!H44/('35b'!$K$14*('4'!$H$30/'4'!$H$21))/52</f>
        <v>61.324866168454065</v>
      </c>
      <c r="I44" s="836">
        <f>'34a'!I44/('35b'!$K$15*('4'!$H$30/'4'!$H$21))/52</f>
        <v>62.291831109488008</v>
      </c>
      <c r="J44" s="835">
        <f>'34a'!J44/('35b'!$K$16*('4'!$H$30/'4'!$H$21))/52</f>
        <v>58.662124238113726</v>
      </c>
      <c r="K44" s="836">
        <f>'34a'!K44/('35b'!$K$17*('4'!$H$30/'4'!$H$21))/52</f>
        <v>54.466173229679299</v>
      </c>
      <c r="L44" s="836">
        <f>'34a'!L44/('35b'!$K$18*('4'!$H$30/'4'!$H$21))/52</f>
        <v>46.657717956286952</v>
      </c>
      <c r="M44" s="836">
        <f>'34a'!M44/('35b'!$K$19*('4'!$H$30/'4'!$H$21))/52</f>
        <v>46.77466434917595</v>
      </c>
      <c r="N44" s="836">
        <f>'34a'!N44/('35b'!$K$20*('4'!$H$30/'4'!$H$21))/52</f>
        <v>46.783381454982319</v>
      </c>
      <c r="O44" s="836">
        <f>'34a'!O44/('35b'!$K$21*('4'!$H$30/'4'!$H$21))/52</f>
        <v>46.811075992089705</v>
      </c>
      <c r="P44" s="836">
        <f>'34a'!P44/('35b'!$K$22*('4'!$H$30/'4'!$H$21))/52</f>
        <v>47.073831156901285</v>
      </c>
      <c r="Q44" s="836">
        <f>'34a'!Q44/('35b'!$K$23*('4'!$H$30/'4'!$H$21))/52</f>
        <v>47.356143039683587</v>
      </c>
      <c r="R44" s="836">
        <f>'34a'!R44/('35b'!$K$24*('4'!$H$30/'4'!$H$21))/52</f>
        <v>47.543215559665768</v>
      </c>
      <c r="S44" s="836">
        <f>'34a'!S44/('35b'!$K$25*('4'!$H$30/'4'!$H$21))/52</f>
        <v>47.740580845196021</v>
      </c>
      <c r="T44" s="836">
        <f>'34a'!T44/('35b'!$K$26*('4'!$H$30/'4'!$H$21))/52</f>
        <v>46.671143957852102</v>
      </c>
      <c r="U44" s="836">
        <f>'34a'!U44/('35b'!$K$27*('4'!$H$30/'4'!$H$21))/52</f>
        <v>45.869199784004984</v>
      </c>
      <c r="V44" s="836">
        <f>'34a'!V44/('35b'!$K$27*('4'!$H$30/'4'!$H$21))/52</f>
        <v>46.972559094946703</v>
      </c>
      <c r="W44" s="836">
        <f>'34a'!W44/('35b'!$K$27*('4'!$H$30/'4'!$H$21))/52</f>
        <v>48.005248697956205</v>
      </c>
      <c r="Y44" s="662">
        <f>((((E44/D44))^(1/3))-1)*100</f>
        <v>1.6357497744909022</v>
      </c>
      <c r="Z44" s="662">
        <f>((((P44/E44))^(1/11))-1)*100</f>
        <v>-1.8642664447774959</v>
      </c>
      <c r="AA44" s="733">
        <f>((((W44/D44))^(1/21))-1)*100</f>
        <v>-0.65847179223299523</v>
      </c>
      <c r="AB44" s="733">
        <f>((((W44/P44))^(1/7))-1)*100</f>
        <v>0.28029363224206794</v>
      </c>
      <c r="AC44" s="262"/>
      <c r="AD44" s="733">
        <f>((W44/D44)-1)*100</f>
        <v>-12.954250495341569</v>
      </c>
    </row>
    <row r="45" spans="1:30">
      <c r="A45" s="256" t="s">
        <v>1229</v>
      </c>
      <c r="D45" s="833"/>
      <c r="E45" s="663"/>
      <c r="F45" s="261"/>
      <c r="G45" s="261"/>
      <c r="H45" s="261"/>
      <c r="I45" s="261"/>
      <c r="J45" s="663"/>
      <c r="K45" s="261"/>
      <c r="L45" s="261"/>
      <c r="M45" s="261"/>
      <c r="N45" s="261"/>
      <c r="O45" s="261"/>
      <c r="P45" s="261"/>
      <c r="Q45" s="261"/>
      <c r="R45" s="261"/>
      <c r="S45" s="261"/>
      <c r="T45" s="261"/>
      <c r="U45" s="261"/>
      <c r="V45" s="261"/>
      <c r="W45" s="261"/>
      <c r="Y45" s="662"/>
      <c r="Z45" s="662"/>
      <c r="AA45" s="662"/>
      <c r="AB45" s="662"/>
    </row>
    <row r="46" spans="1:30">
      <c r="A46" s="256" t="s">
        <v>545</v>
      </c>
      <c r="D46" s="834">
        <f>'34a'!D46/('35b'!$L$8*('4'!$I$30/'4'!$I$21))/52</f>
        <v>21.144438304042076</v>
      </c>
      <c r="E46" s="835">
        <f>'34a'!E46/('35b'!$L$11*('4'!$I$30/'4'!$I$21))/52</f>
        <v>23.663397125653436</v>
      </c>
      <c r="F46" s="836">
        <f>'34a'!F46/('35b'!$L$12*('4'!$I$30/'4'!$I$21))/52</f>
        <v>25.408743281037992</v>
      </c>
      <c r="G46" s="836">
        <f>'34a'!G46/('35b'!$L$13*('4'!$I$30/'4'!$I$21))/52</f>
        <v>24.849879046068924</v>
      </c>
      <c r="H46" s="836">
        <f>'34a'!H46/('35b'!$L$14*('4'!$I$30/'4'!$I$21))/52</f>
        <v>25.363511994904819</v>
      </c>
      <c r="I46" s="836">
        <f>'34a'!I46/('35b'!$L$15*('4'!$I$30/'4'!$I$21))/52</f>
        <v>25.440500516594721</v>
      </c>
      <c r="J46" s="835">
        <f>'34a'!J46/('35b'!$L$16*('4'!$I$30/'4'!$I$21))/52</f>
        <v>23.761399964616796</v>
      </c>
      <c r="K46" s="836">
        <f>'34a'!K46/('35b'!$L$17*('4'!$I$30/'4'!$I$21))/52</f>
        <v>22.674281023484333</v>
      </c>
      <c r="L46" s="836">
        <f>'34a'!L46/('35b'!$L$18*('4'!$I$30/'4'!$I$21))/52</f>
        <v>20.72762297627753</v>
      </c>
      <c r="M46" s="836">
        <f>'34a'!M46/('35b'!$L$19*('4'!$I$30/'4'!$I$21))/52</f>
        <v>18.369903521807846</v>
      </c>
      <c r="N46" s="836">
        <f>'34a'!N46/('35b'!$L$20*('4'!$I$30/'4'!$I$21))/52</f>
        <v>18.382058535607293</v>
      </c>
      <c r="O46" s="836">
        <f>'34a'!O46/('35b'!$L$21*('4'!$I$30/'4'!$I$21))/52</f>
        <v>16.543411895831863</v>
      </c>
      <c r="P46" s="836">
        <f>'34a'!P46/('35b'!$L$22*('4'!$I$30/'4'!$I$21))/52</f>
        <v>16.55025610360201</v>
      </c>
      <c r="Q46" s="836">
        <f>'34a'!Q46/('35b'!$L$23*('4'!$I$30/'4'!$I$21))/52</f>
        <v>15.891661872478949</v>
      </c>
      <c r="R46" s="836">
        <f>'34a'!R46/('35b'!$L$24*('4'!$I$30/'4'!$I$21))/52</f>
        <v>15.293740439731524</v>
      </c>
      <c r="S46" s="836">
        <f>'34a'!S46/('35b'!$L$25*('4'!$I$30/'4'!$I$21))/52</f>
        <v>14.744212802428072</v>
      </c>
      <c r="T46" s="836">
        <f>'34a'!T46/('35b'!$L$26*('4'!$I$30/'4'!$I$21))/52</f>
        <v>14.789678108919601</v>
      </c>
      <c r="U46" s="836">
        <f>'34a'!U46/('35b'!$L$27*('4'!$I$30/'4'!$I$21))/52</f>
        <v>14.347356386911635</v>
      </c>
      <c r="V46" s="836">
        <f>'34a'!V46/('35b'!$L$27*('4'!$I$30/'4'!$I$21))/52</f>
        <v>14.080043728754832</v>
      </c>
      <c r="W46" s="836">
        <f>'34a'!W46/('35b'!$L$27*('4'!$I$30/'4'!$I$21))/52</f>
        <v>13.784343885661022</v>
      </c>
      <c r="Y46" s="662">
        <f>((((E46/D46))^(1/3))-1)*100</f>
        <v>3.8230173788067923</v>
      </c>
      <c r="Z46" s="662">
        <f>((((P46/E46))^(1/11))-1)*100</f>
        <v>-3.1980001283633985</v>
      </c>
      <c r="AA46" s="733">
        <f>((((W46/D46))^(1/21))-1)*100</f>
        <v>-2.0167360645318322</v>
      </c>
      <c r="AB46" s="733">
        <f>((((W46/P46))^(1/7))-1)*100</f>
        <v>-2.5785738426317595</v>
      </c>
      <c r="AC46" s="257"/>
      <c r="AD46" s="733">
        <f>((W46/D46)-1)*100</f>
        <v>-34.808654231188832</v>
      </c>
    </row>
    <row r="47" spans="1:30">
      <c r="A47" s="256" t="s">
        <v>1219</v>
      </c>
      <c r="D47" s="834"/>
      <c r="E47" s="835">
        <f>'34a'!E47/('35b'!$L$11*('4'!$I$30/'4'!$I$21))/52</f>
        <v>25.706805358554888</v>
      </c>
      <c r="F47" s="836">
        <f>'34a'!F47/('35b'!$L$12*('4'!$I$30/'4'!$I$21))/52</f>
        <v>26.886662871946665</v>
      </c>
      <c r="G47" s="836">
        <f>'34a'!G47/('35b'!$L$13*('4'!$I$30/'4'!$I$21))/52</f>
        <v>26.150502922652322</v>
      </c>
      <c r="H47" s="836">
        <f>'34a'!H47/('35b'!$L$14*('4'!$I$30/'4'!$I$21))/52</f>
        <v>32.047049182648081</v>
      </c>
      <c r="I47" s="836">
        <f>'34a'!I47/('35b'!$L$15*('4'!$I$30/'4'!$I$21))/52</f>
        <v>29.534689576109262</v>
      </c>
      <c r="J47" s="835">
        <f>'34a'!J47/('35b'!$L$16*('4'!$I$30/'4'!$I$21))/52</f>
        <v>29.404354702427288</v>
      </c>
      <c r="K47" s="836">
        <f>'34a'!K47/('35b'!$L$17*('4'!$I$30/'4'!$I$21))/52</f>
        <v>28.020575876745148</v>
      </c>
      <c r="L47" s="836">
        <f>'34a'!L47/('35b'!$L$18*('4'!$I$30/'4'!$I$21))/52</f>
        <v>27.203190994582442</v>
      </c>
      <c r="M47" s="836">
        <f>'34a'!M47/('35b'!$L$19*('4'!$I$30/'4'!$I$21))/52</f>
        <v>27.224808812775695</v>
      </c>
      <c r="N47" s="836">
        <f>'34a'!N47/('35b'!$L$20*('4'!$I$30/'4'!$I$21))/52</f>
        <v>27.24111048207644</v>
      </c>
      <c r="O47" s="836">
        <f>'34a'!O47/('35b'!$L$21*('4'!$I$30/'4'!$I$21))/52</f>
        <v>24.725774485174441</v>
      </c>
      <c r="P47" s="836">
        <f>'34a'!P47/('35b'!$L$22*('4'!$I$30/'4'!$I$21))/52</f>
        <v>24.878903616163047</v>
      </c>
      <c r="Q47" s="836">
        <f>'34a'!Q47/('35b'!$L$23*('4'!$I$30/'4'!$I$21))/52</f>
        <v>23.88013142169698</v>
      </c>
      <c r="R47" s="836">
        <f>'34a'!R47/('35b'!$L$24*('4'!$I$30/'4'!$I$21))/52</f>
        <v>22.970201901983096</v>
      </c>
      <c r="S47" s="836">
        <f>'34a'!S47/('35b'!$L$25*('4'!$I$30/'4'!$I$21))/52</f>
        <v>22.128524677816301</v>
      </c>
      <c r="T47" s="836">
        <f>'34a'!T47/('35b'!$L$26*('4'!$I$30/'4'!$I$21))/52</f>
        <v>21.898025587108386</v>
      </c>
      <c r="U47" s="836">
        <f>'34a'!U47/('35b'!$L$27*('4'!$I$30/'4'!$I$21))/52</f>
        <v>21.209958345432767</v>
      </c>
      <c r="V47" s="836">
        <f>'34a'!V47/('35b'!$L$27*('4'!$I$30/'4'!$I$21))/52</f>
        <v>21.316410288946539</v>
      </c>
      <c r="W47" s="836">
        <f>'34a'!W47/('35b'!$L$27*('4'!$I$30/'4'!$I$21))/52</f>
        <v>21.351894270117796</v>
      </c>
      <c r="Y47" s="662" t="s">
        <v>374</v>
      </c>
      <c r="Z47" s="662">
        <f>((((P47/E47))^(1/11))-1)*100</f>
        <v>-0.29715359273400077</v>
      </c>
      <c r="AA47" s="733">
        <f>((((W47/E47))^(1/18))-1)*100</f>
        <v>-1.0258974931531162</v>
      </c>
      <c r="AB47" s="733">
        <f>((((W47/P47))^(1/7))-1)*100</f>
        <v>-2.1603197605398972</v>
      </c>
      <c r="AC47" s="262"/>
      <c r="AD47" s="733">
        <f>((W47/E47)-1)*100</f>
        <v>-16.940693437770303</v>
      </c>
    </row>
    <row r="48" spans="1:30">
      <c r="A48" s="256" t="s">
        <v>1222</v>
      </c>
      <c r="D48" s="834">
        <f>'34a'!D48/('35b'!$L$8*('4'!$I$30/'4'!$I$21))/52</f>
        <v>37.082850338938144</v>
      </c>
      <c r="E48" s="835">
        <f>'34a'!E48/('35b'!$L$11*('4'!$I$30/'4'!$I$21))/52</f>
        <v>38.767415887979865</v>
      </c>
      <c r="F48" s="836">
        <f>'34a'!F48/('35b'!$L$12*('4'!$I$30/'4'!$I$21))/52</f>
        <v>40.898214779101153</v>
      </c>
      <c r="G48" s="836">
        <f>'34a'!G48/('35b'!$L$13*('4'!$I$30/'4'!$I$21))/52</f>
        <v>39.931807345552329</v>
      </c>
      <c r="H48" s="836">
        <f>'34a'!H48/('35b'!$L$14*('4'!$I$30/'4'!$I$21))/52</f>
        <v>43.873840209468547</v>
      </c>
      <c r="I48" s="836">
        <f>'34a'!I48/('35b'!$L$15*('4'!$I$30/'4'!$I$21))/52</f>
        <v>40.725107126176489</v>
      </c>
      <c r="J48" s="835">
        <f>'34a'!J48/('35b'!$L$16*('4'!$I$30/'4'!$I$21))/52</f>
        <v>40.517184261552615</v>
      </c>
      <c r="K48" s="836">
        <f>'34a'!K48/('35b'!$L$17*('4'!$I$30/'4'!$I$21))/52</f>
        <v>38.592813773163357</v>
      </c>
      <c r="L48" s="836">
        <f>'34a'!L48/('35b'!$L$18*('4'!$I$30/'4'!$I$21))/52</f>
        <v>37.468048203712883</v>
      </c>
      <c r="M48" s="836">
        <f>'34a'!M48/('35b'!$L$19*('4'!$I$30/'4'!$I$21))/52</f>
        <v>37.496498950298403</v>
      </c>
      <c r="N48" s="836">
        <f>'34a'!N48/('35b'!$L$20*('4'!$I$30/'4'!$I$21))/52</f>
        <v>37.520212358172337</v>
      </c>
      <c r="O48" s="836">
        <f>'34a'!O48/('35b'!$L$21*('4'!$I$30/'4'!$I$21))/52</f>
        <v>33.759380740924215</v>
      </c>
      <c r="P48" s="836">
        <f>'34a'!P48/('35b'!$L$22*('4'!$I$30/'4'!$I$21))/52</f>
        <v>34.611799837237278</v>
      </c>
      <c r="Q48" s="836">
        <f>'34a'!Q48/('35b'!$L$23*('4'!$I$30/'4'!$I$21))/52</f>
        <v>35.257116625858046</v>
      </c>
      <c r="R48" s="836">
        <f>'34a'!R48/('35b'!$L$24*('4'!$I$30/'4'!$I$21))/52</f>
        <v>35.193850944187083</v>
      </c>
      <c r="S48" s="836">
        <f>'34a'!S48/('35b'!$L$25*('4'!$I$30/'4'!$I$21))/52</f>
        <v>34.290059144984625</v>
      </c>
      <c r="T48" s="836">
        <f>'34a'!T48/('35b'!$L$26*('4'!$I$30/'4'!$I$21))/52</f>
        <v>33.455982818929002</v>
      </c>
      <c r="U48" s="836">
        <f>'34a'!U48/('35b'!$L$27*('4'!$I$30/'4'!$I$21))/52</f>
        <v>32.751714621070334</v>
      </c>
      <c r="V48" s="836">
        <f>'34a'!V48/('35b'!$L$27*('4'!$I$30/'4'!$I$21))/52</f>
        <v>34.492795297206683</v>
      </c>
      <c r="W48" s="836">
        <f>'34a'!W48/('35b'!$L$27*('4'!$I$30/'4'!$I$21))/52</f>
        <v>34.689139993020973</v>
      </c>
      <c r="Y48" s="662">
        <f>((((E48/D48))^(1/3))-1)*100</f>
        <v>1.4918685481535299</v>
      </c>
      <c r="Z48" s="662">
        <f>((((P48/E48))^(1/11))-1)*100</f>
        <v>-1.0254824071448621</v>
      </c>
      <c r="AA48" s="733">
        <f>((((W48/D48))^(1/21))-1)*100</f>
        <v>-0.31724778928089448</v>
      </c>
      <c r="AB48" s="733">
        <f>((((W48/P48))^(1/7))-1)*100</f>
        <v>3.1890938144663039E-2</v>
      </c>
      <c r="AC48" s="257"/>
      <c r="AD48" s="733">
        <f>((W48/D48)-1)*100</f>
        <v>-6.4550333214372753</v>
      </c>
    </row>
    <row r="49" spans="1:30">
      <c r="A49" s="256" t="s">
        <v>1221</v>
      </c>
      <c r="D49" s="834">
        <f>'34a'!D49/('35b'!$L$8*('4'!$I$30/'4'!$I$21))/52</f>
        <v>58.325100315486488</v>
      </c>
      <c r="E49" s="835">
        <f>'34a'!E49/('35b'!$L$11*('4'!$I$30/'4'!$I$21))/52</f>
        <v>66.429012285662424</v>
      </c>
      <c r="F49" s="836">
        <f>'34a'!F49/('35b'!$L$12*('4'!$I$30/'4'!$I$21))/52</f>
        <v>71.748761803374038</v>
      </c>
      <c r="G49" s="836">
        <f>'34a'!G49/('35b'!$L$13*('4'!$I$30/'4'!$I$21))/52</f>
        <v>70.846840591607105</v>
      </c>
      <c r="H49" s="836">
        <f>'34a'!H49/('35b'!$L$14*('4'!$I$30/'4'!$I$21))/52</f>
        <v>72.735303375557294</v>
      </c>
      <c r="I49" s="836">
        <f>'34a'!I49/('35b'!$L$15*('4'!$I$30/'4'!$I$21))/52</f>
        <v>68.341674616092277</v>
      </c>
      <c r="J49" s="835">
        <f>'34a'!J49/('35b'!$L$16*('4'!$I$30/'4'!$I$21))/52</f>
        <v>69.451750619205995</v>
      </c>
      <c r="K49" s="836">
        <f>'34a'!K49/('35b'!$L$17*('4'!$I$30/'4'!$I$21))/52</f>
        <v>66.150703802177574</v>
      </c>
      <c r="L49" s="836">
        <f>'34a'!L49/('35b'!$L$18*('4'!$I$30/'4'!$I$21))/52</f>
        <v>59.256461050959665</v>
      </c>
      <c r="M49" s="836">
        <f>'34a'!M49/('35b'!$L$19*('4'!$I$30/'4'!$I$21))/52</f>
        <v>56.255481643982108</v>
      </c>
      <c r="N49" s="836">
        <f>'34a'!N49/('35b'!$L$20*('4'!$I$30/'4'!$I$21))/52</f>
        <v>55.712569567302772</v>
      </c>
      <c r="O49" s="836">
        <f>'34a'!O49/('35b'!$L$21*('4'!$I$30/'4'!$I$21))/52</f>
        <v>50.143959999292342</v>
      </c>
      <c r="P49" s="836">
        <f>'34a'!P49/('35b'!$L$22*('4'!$I$30/'4'!$I$21))/52</f>
        <v>51.088148114075437</v>
      </c>
      <c r="Q49" s="836">
        <f>'34a'!Q49/('35b'!$L$23*('4'!$I$30/'4'!$I$21))/52</f>
        <v>50.682261909277479</v>
      </c>
      <c r="R49" s="836">
        <f>'34a'!R49/('35b'!$L$24*('4'!$I$30/'4'!$I$21))/52</f>
        <v>49.779867503524706</v>
      </c>
      <c r="S49" s="836">
        <f>'34a'!S49/('35b'!$L$25*('4'!$I$30/'4'!$I$21))/52</f>
        <v>50.07661944188898</v>
      </c>
      <c r="T49" s="836">
        <f>'34a'!T49/('35b'!$L$26*('4'!$I$30/'4'!$I$21))/52</f>
        <v>50.969128966709462</v>
      </c>
      <c r="U49" s="836">
        <f>'34a'!U49/('35b'!$L$27*('4'!$I$30/'4'!$I$21))/52</f>
        <v>50.200370962349844</v>
      </c>
      <c r="V49" s="836">
        <f>'34a'!V49/('35b'!$L$27*('4'!$I$30/'4'!$I$21))/52</f>
        <v>51.01886812803351</v>
      </c>
      <c r="W49" s="836">
        <f>'34a'!W49/('35b'!$L$27*('4'!$I$30/'4'!$I$21))/52</f>
        <v>50.096284617580828</v>
      </c>
      <c r="Y49" s="662">
        <f>((((E49/D49))^(1/3))-1)*100</f>
        <v>4.4321214025593303</v>
      </c>
      <c r="Z49" s="662">
        <f>((((P49/E49))^(1/11))-1)*100</f>
        <v>-2.3588373031337095</v>
      </c>
      <c r="AA49" s="733">
        <f>((((W49/D49))^(1/21))-1)*100</f>
        <v>-0.72160144396350434</v>
      </c>
      <c r="AB49" s="733">
        <f>((((W49/P49))^(1/7))-1)*100</f>
        <v>-0.27968941193130537</v>
      </c>
      <c r="AC49" s="262"/>
      <c r="AD49" s="733">
        <f>((W49/D49)-1)*100</f>
        <v>-14.108532438684451</v>
      </c>
    </row>
    <row r="50" spans="1:30">
      <c r="A50" s="256" t="s">
        <v>1230</v>
      </c>
      <c r="D50" s="838"/>
      <c r="E50" s="263"/>
      <c r="F50" s="264"/>
      <c r="G50" s="264"/>
      <c r="H50" s="264"/>
      <c r="I50" s="264"/>
      <c r="J50" s="263"/>
      <c r="K50" s="264"/>
      <c r="L50" s="264"/>
      <c r="M50" s="264"/>
      <c r="N50" s="264"/>
      <c r="O50" s="264"/>
      <c r="P50" s="264"/>
      <c r="Q50" s="264"/>
      <c r="R50" s="264"/>
      <c r="S50" s="264"/>
      <c r="T50" s="264"/>
      <c r="U50" s="264"/>
      <c r="V50" s="264"/>
      <c r="W50" s="264"/>
      <c r="Y50" s="662"/>
      <c r="Z50" s="662"/>
      <c r="AA50" s="662"/>
      <c r="AB50" s="662"/>
    </row>
    <row r="51" spans="1:30">
      <c r="A51" s="256" t="s">
        <v>545</v>
      </c>
      <c r="D51" s="834">
        <f>'34a'!D51/('35b'!$M$8*('4'!$J$30/'4'!$J$21))/52</f>
        <v>16.590010638714581</v>
      </c>
      <c r="E51" s="835">
        <f>'34a'!E51/('35b'!$M$11*('4'!$J$30/'4'!$J$21))/52</f>
        <v>19.211986243311632</v>
      </c>
      <c r="F51" s="836">
        <f>'34a'!F51/('35b'!$M$12*('4'!$J$30/'4'!$J$21))/52</f>
        <v>19.977747632141771</v>
      </c>
      <c r="G51" s="836">
        <f>'34a'!G51/('35b'!$M$13*('4'!$J$30/'4'!$J$21))/52</f>
        <v>19.36646129982265</v>
      </c>
      <c r="H51" s="836">
        <f>'34a'!H51/('35b'!$M$14*('4'!$J$30/'4'!$J$21))/52</f>
        <v>20.012876954533869</v>
      </c>
      <c r="I51" s="836">
        <f>'34a'!I51/('35b'!$M$15*('4'!$J$30/'4'!$J$21))/52</f>
        <v>19.53180004230417</v>
      </c>
      <c r="J51" s="835">
        <f>'34a'!J51/('35b'!$M$16*('4'!$J$30/'4'!$J$21))/52</f>
        <v>19.526912672206628</v>
      </c>
      <c r="K51" s="836">
        <f>'34a'!K51/('35b'!$M$17*('4'!$J$30/'4'!$J$21))/52</f>
        <v>17.936301469246125</v>
      </c>
      <c r="L51" s="836">
        <f>'34a'!L51/('35b'!$M$18*('4'!$J$30/'4'!$J$21))/52</f>
        <v>18.637885761122476</v>
      </c>
      <c r="M51" s="836">
        <f>'34a'!M51/('35b'!$M$19*('4'!$J$30/'4'!$J$21))/52</f>
        <v>17.124893282702637</v>
      </c>
      <c r="N51" s="836">
        <f>'34a'!N51/('35b'!$M$20*('4'!$J$30/'4'!$J$21))/52</f>
        <v>17.187720900776586</v>
      </c>
      <c r="O51" s="836">
        <f>'34a'!O51/('35b'!$M$21*('4'!$J$30/'4'!$J$21))/52</f>
        <v>16.778243483983175</v>
      </c>
      <c r="P51" s="836">
        <f>'34a'!P51/('35b'!$M$22*('4'!$J$30/'4'!$J$21))/52</f>
        <v>17.224757103574703</v>
      </c>
      <c r="Q51" s="836">
        <f>'34a'!Q51/('35b'!$M$23*('4'!$J$30/'4'!$J$21))/52</f>
        <v>17.629892899950644</v>
      </c>
      <c r="R51" s="836">
        <f>'34a'!R51/('35b'!$M$24*('4'!$J$30/'4'!$J$21))/52</f>
        <v>16.388254627696213</v>
      </c>
      <c r="S51" s="836">
        <f>'34a'!S51/('35b'!$M$25*('4'!$J$30/'4'!$J$21))/52</f>
        <v>16.382045432978906</v>
      </c>
      <c r="T51" s="836">
        <f>'34a'!T51/('35b'!$M$26*('4'!$J$30/'4'!$J$21))/52</f>
        <v>16.474409477829809</v>
      </c>
      <c r="U51" s="836">
        <f>'34a'!U51/('35b'!$M$27*('4'!$J$30/'4'!$J$21))/52</f>
        <v>16.575483285103584</v>
      </c>
      <c r="V51" s="836">
        <f>'34a'!V51/('35b'!$M$27*('4'!$J$30/'4'!$J$21))/52</f>
        <v>20.839864026606623</v>
      </c>
      <c r="W51" s="836">
        <f>'34a'!W51/('35b'!$M$27*('4'!$J$30/'4'!$J$21))/52</f>
        <v>21.727580666695669</v>
      </c>
      <c r="Y51" s="662">
        <f>((((E51/D51))^(1/3))-1)*100</f>
        <v>5.0127103112704408</v>
      </c>
      <c r="Z51" s="662">
        <f>((((P51/E51))^(1/11))-1)*100</f>
        <v>-0.98769585706017793</v>
      </c>
      <c r="AA51" s="733">
        <f>((((W51/D51))^(1/21))-1)*100</f>
        <v>1.2929621901596633</v>
      </c>
      <c r="AB51" s="733">
        <f>((((W51/P51))^(1/7))-1)*100</f>
        <v>3.3732864270094476</v>
      </c>
      <c r="AC51" s="257"/>
      <c r="AD51" s="733">
        <f>((W51/D51)-1)*100</f>
        <v>30.967852521999074</v>
      </c>
    </row>
    <row r="52" spans="1:30">
      <c r="A52" s="256" t="s">
        <v>1219</v>
      </c>
      <c r="D52" s="834"/>
      <c r="E52" s="835">
        <f>'34a'!E52/('35b'!$M$11*('4'!$J$30/'4'!$J$21))/52</f>
        <v>31.134864932195818</v>
      </c>
      <c r="F52" s="836">
        <f>'34a'!F52/('35b'!$M$12*('4'!$J$30/'4'!$J$21))/52</f>
        <v>31.934811722954713</v>
      </c>
      <c r="G52" s="836">
        <f>'34a'!G52/('35b'!$M$13*('4'!$J$30/'4'!$J$21))/52</f>
        <v>30.475738603637073</v>
      </c>
      <c r="H52" s="836">
        <f>'34a'!H52/('35b'!$M$14*('4'!$J$30/'4'!$J$21))/52</f>
        <v>30.340355897363583</v>
      </c>
      <c r="I52" s="836">
        <f>'34a'!I52/('35b'!$M$15*('4'!$J$30/'4'!$J$21))/52</f>
        <v>27.914071776069946</v>
      </c>
      <c r="J52" s="835">
        <f>'34a'!J52/('35b'!$M$16*('4'!$J$30/'4'!$J$21))/52</f>
        <v>27.901346392713148</v>
      </c>
      <c r="K52" s="836">
        <f>'34a'!K52/('35b'!$M$17*('4'!$J$30/'4'!$J$21))/52</f>
        <v>27.917504396799909</v>
      </c>
      <c r="L52" s="836">
        <f>'34a'!L52/('35b'!$M$18*('4'!$J$30/'4'!$J$21))/52</f>
        <v>27.383988842275976</v>
      </c>
      <c r="M52" s="836">
        <f>'34a'!M52/('35b'!$M$19*('4'!$J$30/'4'!$J$21))/52</f>
        <v>24.962698300782634</v>
      </c>
      <c r="N52" s="836">
        <f>'34a'!N52/('35b'!$M$20*('4'!$J$30/'4'!$J$21))/52</f>
        <v>25.19071339178695</v>
      </c>
      <c r="O52" s="836">
        <f>'34a'!O52/('35b'!$M$21*('4'!$J$30/'4'!$J$21))/52</f>
        <v>24.514932078309716</v>
      </c>
      <c r="P52" s="836">
        <f>'34a'!P52/('35b'!$M$22*('4'!$J$30/'4'!$J$21))/52</f>
        <v>24.982147712049635</v>
      </c>
      <c r="Q52" s="836">
        <f>'34a'!Q52/('35b'!$M$23*('4'!$J$30/'4'!$J$21))/52</f>
        <v>25.531180850313756</v>
      </c>
      <c r="R52" s="836">
        <f>'34a'!R52/('35b'!$M$24*('4'!$J$30/'4'!$J$21))/52</f>
        <v>23.611181316744315</v>
      </c>
      <c r="S52" s="836">
        <f>'34a'!S52/('35b'!$M$25*('4'!$J$30/'4'!$J$21))/52</f>
        <v>23.498755971222561</v>
      </c>
      <c r="T52" s="836">
        <f>'34a'!T52/('35b'!$M$26*('4'!$J$30/'4'!$J$21))/52</f>
        <v>23.858806693812724</v>
      </c>
      <c r="U52" s="836">
        <f>'34a'!U52/('35b'!$M$27*('4'!$J$30/'4'!$J$21))/52</f>
        <v>22.121325950606135</v>
      </c>
      <c r="V52" s="836">
        <f>'34a'!V52/('35b'!$M$27*('4'!$J$30/'4'!$J$21))/52</f>
        <v>22.806204111104947</v>
      </c>
      <c r="W52" s="836">
        <f>'34a'!W52/('35b'!$M$27*('4'!$J$30/'4'!$J$21))/52</f>
        <v>23.319266147715553</v>
      </c>
      <c r="Y52" s="662" t="s">
        <v>374</v>
      </c>
      <c r="Z52" s="662">
        <f>((((P52/E52))^(1/11))-1)*100</f>
        <v>-1.9816187454260947</v>
      </c>
      <c r="AA52" s="733">
        <f>((((W52/E52))^(1/18))-1)*100</f>
        <v>-1.5929995927671525</v>
      </c>
      <c r="AB52" s="733">
        <f>((((W52/P52))^(1/7))-1)*100</f>
        <v>-0.9791969967263614</v>
      </c>
      <c r="AC52" s="262"/>
      <c r="AD52" s="733">
        <f>((W52/E52)-1)*100</f>
        <v>-25.102401444492351</v>
      </c>
    </row>
    <row r="53" spans="1:30">
      <c r="A53" s="256" t="s">
        <v>1222</v>
      </c>
      <c r="D53" s="834">
        <f>'34a'!D53/('35b'!$M$8*('4'!$J$30/'4'!$J$21))/52</f>
        <v>38.181320422728305</v>
      </c>
      <c r="E53" s="835">
        <f>'34a'!E53/('35b'!$M$11*('4'!$J$30/'4'!$J$21))/52</f>
        <v>43.329549711313227</v>
      </c>
      <c r="F53" s="836">
        <f>'34a'!F53/('35b'!$M$12*('4'!$J$30/'4'!$J$21))/52</f>
        <v>44.99581552249564</v>
      </c>
      <c r="G53" s="836">
        <f>'34a'!G53/('35b'!$M$13*('4'!$J$30/'4'!$J$21))/52</f>
        <v>43.27277149783869</v>
      </c>
      <c r="H53" s="836">
        <f>'34a'!H53/('35b'!$M$14*('4'!$J$30/'4'!$J$21))/52</f>
        <v>43.165719306428613</v>
      </c>
      <c r="I53" s="836">
        <f>'34a'!I53/('35b'!$M$15*('4'!$J$30/'4'!$J$21))/52</f>
        <v>39.654786716491579</v>
      </c>
      <c r="J53" s="835">
        <f>'34a'!J53/('35b'!$M$16*('4'!$J$30/'4'!$J$21))/52</f>
        <v>39.628072228105125</v>
      </c>
      <c r="K53" s="836">
        <f>'34a'!K53/('35b'!$M$17*('4'!$J$30/'4'!$J$21))/52</f>
        <v>39.641620499993081</v>
      </c>
      <c r="L53" s="836">
        <f>'34a'!L53/('35b'!$M$18*('4'!$J$30/'4'!$J$21))/52</f>
        <v>37.817410896848351</v>
      </c>
      <c r="M53" s="836">
        <f>'34a'!M53/('35b'!$M$19*('4'!$J$30/'4'!$J$21))/52</f>
        <v>37.846344114180972</v>
      </c>
      <c r="N53" s="836">
        <f>'34a'!N53/('35b'!$M$20*('4'!$J$30/'4'!$J$21))/52</f>
        <v>35.393118937661789</v>
      </c>
      <c r="O53" s="836">
        <f>'34a'!O53/('35b'!$M$21*('4'!$J$30/'4'!$J$21))/52</f>
        <v>34.722589496815445</v>
      </c>
      <c r="P53" s="836">
        <f>'34a'!P53/('35b'!$M$22*('4'!$J$30/'4'!$J$21))/52</f>
        <v>35.701996545159702</v>
      </c>
      <c r="Q53" s="836">
        <f>'34a'!Q53/('35b'!$M$23*('4'!$J$30/'4'!$J$21))/52</f>
        <v>36.584782838609605</v>
      </c>
      <c r="R53" s="836">
        <f>'34a'!R53/('35b'!$M$24*('4'!$J$30/'4'!$J$21))/52</f>
        <v>33.944852721839254</v>
      </c>
      <c r="S53" s="836">
        <f>'34a'!S53/('35b'!$M$25*('4'!$J$30/'4'!$J$21))/52</f>
        <v>33.196732421902951</v>
      </c>
      <c r="T53" s="836">
        <f>'34a'!T53/('35b'!$M$26*('4'!$J$30/'4'!$J$21))/52</f>
        <v>33.513231481722002</v>
      </c>
      <c r="U53" s="836">
        <f>'34a'!U53/('35b'!$M$27*('4'!$J$30/'4'!$J$21))/52</f>
        <v>32.921878405022895</v>
      </c>
      <c r="V53" s="836">
        <f>'34a'!V53/('35b'!$M$27*('4'!$J$30/'4'!$J$21))/52</f>
        <v>38.32454096728528</v>
      </c>
      <c r="W53" s="836">
        <f>'34a'!W53/('35b'!$M$27*('4'!$J$30/'4'!$J$21))/52</f>
        <v>39.481913468476655</v>
      </c>
      <c r="Y53" s="662">
        <f>((((E53/D53))^(1/3))-1)*100</f>
        <v>4.3064290317527787</v>
      </c>
      <c r="Z53" s="662">
        <f>((((P53/E53))^(1/11))-1)*100</f>
        <v>-1.7448546301241041</v>
      </c>
      <c r="AA53" s="733">
        <f>((((W53/D53))^(1/21))-1)*100</f>
        <v>0.15963336588173949</v>
      </c>
      <c r="AB53" s="733">
        <f>((((W53/P53))^(1/7))-1)*100</f>
        <v>1.4480421111137343</v>
      </c>
      <c r="AC53" s="257"/>
      <c r="AD53" s="733">
        <f>((W53/D53)-1)*100</f>
        <v>3.4063595269852032</v>
      </c>
    </row>
    <row r="54" spans="1:30">
      <c r="A54" s="256" t="s">
        <v>1221</v>
      </c>
      <c r="D54" s="834">
        <f>'34a'!D54/('35b'!$M$8*('4'!$J$30/'4'!$J$21))/52</f>
        <v>56.034262238830529</v>
      </c>
      <c r="E54" s="835">
        <f>'34a'!E54/('35b'!$M$11*('4'!$J$30/'4'!$J$21))/52</f>
        <v>61.92735873150172</v>
      </c>
      <c r="F54" s="836">
        <f>'34a'!F54/('35b'!$M$12*('4'!$J$30/'4'!$J$21))/52</f>
        <v>63.924409535672602</v>
      </c>
      <c r="G54" s="836">
        <f>'34a'!G54/('35b'!$M$13*('4'!$J$30/'4'!$J$21))/52</f>
        <v>61.373416104870941</v>
      </c>
      <c r="H54" s="836">
        <f>'34a'!H54/('35b'!$M$14*('4'!$J$30/'4'!$J$21))/52</f>
        <v>62.184319038502217</v>
      </c>
      <c r="I54" s="836">
        <f>'34a'!I54/('35b'!$M$15*('4'!$J$30/'4'!$J$21))/52</f>
        <v>57.000454064725382</v>
      </c>
      <c r="J54" s="835">
        <f>'34a'!J54/('35b'!$M$16*('4'!$J$30/'4'!$J$21))/52</f>
        <v>57.17282570090164</v>
      </c>
      <c r="K54" s="836">
        <f>'34a'!K54/('35b'!$M$17*('4'!$J$30/'4'!$J$21))/52</f>
        <v>57.214922327045478</v>
      </c>
      <c r="L54" s="836">
        <f>'34a'!L54/('35b'!$M$18*('4'!$J$30/'4'!$J$21))/52</f>
        <v>54.580775135725887</v>
      </c>
      <c r="M54" s="836">
        <f>'34a'!M54/('35b'!$M$19*('4'!$J$30/'4'!$J$21))/52</f>
        <v>51.925458244779975</v>
      </c>
      <c r="N54" s="836">
        <f>'34a'!N54/('35b'!$M$20*('4'!$J$30/'4'!$J$21))/52</f>
        <v>52.278356457932539</v>
      </c>
      <c r="O54" s="836">
        <f>'34a'!O54/('35b'!$M$21*('4'!$J$30/'4'!$J$21))/52</f>
        <v>51.425364967449305</v>
      </c>
      <c r="P54" s="836">
        <f>'34a'!P54/('35b'!$M$22*('4'!$J$30/'4'!$J$21))/52</f>
        <v>52.49425974758514</v>
      </c>
      <c r="Q54" s="836">
        <f>'34a'!Q54/('35b'!$M$23*('4'!$J$30/'4'!$J$21))/52</f>
        <v>53.976330043009241</v>
      </c>
      <c r="R54" s="836">
        <f>'34a'!R54/('35b'!$M$24*('4'!$J$30/'4'!$J$21))/52</f>
        <v>50.156525417753649</v>
      </c>
      <c r="S54" s="836">
        <f>'34a'!S54/('35b'!$M$25*('4'!$J$30/'4'!$J$21))/52</f>
        <v>49.464541039548031</v>
      </c>
      <c r="T54" s="836">
        <f>'34a'!T54/('35b'!$M$26*('4'!$J$30/'4'!$J$21))/52</f>
        <v>50.24509228722939</v>
      </c>
      <c r="U54" s="836">
        <f>'34a'!U54/('35b'!$M$27*('4'!$J$30/'4'!$J$21))/52</f>
        <v>48.077492332994808</v>
      </c>
      <c r="V54" s="836">
        <f>'34a'!V54/('35b'!$M$27*('4'!$J$30/'4'!$J$21))/52</f>
        <v>52.776186054326359</v>
      </c>
      <c r="W54" s="836">
        <f>'34a'!W54/('35b'!$M$27*('4'!$J$30/'4'!$J$21))/52</f>
        <v>53.797537457439567</v>
      </c>
      <c r="Y54" s="662">
        <f>((((E54/D54))^(1/3))-1)*100</f>
        <v>3.3894677707489107</v>
      </c>
      <c r="Z54" s="662">
        <f>((((P54/E54))^(1/11))-1)*100</f>
        <v>-1.4911186909329022</v>
      </c>
      <c r="AA54" s="733">
        <f>((((W54/D54))^(1/21))-1)*100</f>
        <v>-0.19379119803358824</v>
      </c>
      <c r="AB54" s="733">
        <f>((((W54/P54))^(1/7))-1)*100</f>
        <v>0.35095538952305549</v>
      </c>
      <c r="AC54" s="262"/>
      <c r="AD54" s="733">
        <f>((W54/D54)-1)*100</f>
        <v>-3.9917091651131997</v>
      </c>
    </row>
    <row r="55" spans="1:30">
      <c r="A55" s="256" t="s">
        <v>1231</v>
      </c>
      <c r="D55" s="833"/>
      <c r="E55" s="663"/>
      <c r="F55" s="261"/>
      <c r="G55" s="261"/>
      <c r="H55" s="261"/>
      <c r="I55" s="261"/>
      <c r="J55" s="663"/>
      <c r="K55" s="261"/>
      <c r="L55" s="261"/>
      <c r="M55" s="261"/>
      <c r="N55" s="261"/>
      <c r="O55" s="261"/>
      <c r="P55" s="261"/>
      <c r="Q55" s="261"/>
      <c r="R55" s="261"/>
      <c r="S55" s="261"/>
      <c r="T55" s="261"/>
      <c r="U55" s="261"/>
      <c r="V55" s="261"/>
      <c r="W55" s="261"/>
      <c r="Y55" s="662"/>
      <c r="Z55" s="662"/>
      <c r="AA55" s="662"/>
      <c r="AB55" s="662"/>
    </row>
    <row r="56" spans="1:30">
      <c r="A56" s="256" t="s">
        <v>545</v>
      </c>
      <c r="D56" s="834">
        <f>'34a'!D56/('35b'!$N$8*('4'!$K$30/'4'!$K$21))/52</f>
        <v>26.825651360403199</v>
      </c>
      <c r="E56" s="835">
        <f>'34a'!E56/('35b'!$N$11*('4'!$K$30/'4'!$K$21))/52</f>
        <v>18.221213051122223</v>
      </c>
      <c r="F56" s="836">
        <f>'34a'!F56/('35b'!$N$12*('4'!$K$30/'4'!$K$21))/52</f>
        <v>18.506773157978856</v>
      </c>
      <c r="G56" s="836">
        <f>'34a'!G56/('35b'!$N$13*('4'!$K$30/'4'!$K$21))/52</f>
        <v>21.680119186245634</v>
      </c>
      <c r="H56" s="836">
        <f>'34a'!H56/('35b'!$N$14*('4'!$K$30/'4'!$K$21))/52</f>
        <v>19.61493787245702</v>
      </c>
      <c r="I56" s="836">
        <f>'34a'!I56/('35b'!$N$15*('4'!$K$30/'4'!$K$21))/52</f>
        <v>18.880519761627507</v>
      </c>
      <c r="J56" s="835">
        <f>'34a'!J56/('35b'!$N$16*('4'!$K$30/'4'!$K$21))/52</f>
        <v>16.575309849989726</v>
      </c>
      <c r="K56" s="836">
        <f>'34a'!K56/('35b'!$N$17*('4'!$K$30/'4'!$K$21))/52</f>
        <v>16.58596102472772</v>
      </c>
      <c r="L56" s="836">
        <f>'34a'!L56/('35b'!$N$18*('4'!$K$30/'4'!$K$21))/52</f>
        <v>16.561176676484692</v>
      </c>
      <c r="M56" s="836">
        <f>'34a'!M56/('35b'!$N$19*('4'!$K$30/'4'!$K$21))/52</f>
        <v>16.668768627988218</v>
      </c>
      <c r="N56" s="836">
        <f>'34a'!N56/('35b'!$N$20*('4'!$K$30/'4'!$K$21))/52</f>
        <v>15.656573110030365</v>
      </c>
      <c r="O56" s="836">
        <f>'34a'!O56/('35b'!$N$21*('4'!$K$30/'4'!$K$21))/52</f>
        <v>14.639217618238099</v>
      </c>
      <c r="P56" s="836">
        <f>'34a'!P56/('35b'!$N$22*('4'!$K$30/'4'!$K$21))/52</f>
        <v>14.334117451740948</v>
      </c>
      <c r="Q56" s="836">
        <f>'34a'!Q56/('35b'!$N$23*('4'!$K$30/'4'!$K$21))/52</f>
        <v>14.339610015081133</v>
      </c>
      <c r="R56" s="836">
        <f>'34a'!R56/('35b'!$N$24*('4'!$K$30/'4'!$K$21))/52</f>
        <v>14.355330815553884</v>
      </c>
      <c r="S56" s="836">
        <f>'34a'!S56/('35b'!$N$25*('4'!$K$30/'4'!$K$21))/52</f>
        <v>14.37086750775825</v>
      </c>
      <c r="T56" s="836">
        <f>'34a'!T56/('35b'!$N$26*('4'!$K$30/'4'!$K$21))/52</f>
        <v>14.382139025078336</v>
      </c>
      <c r="U56" s="836">
        <f>'34a'!U56/('35b'!$N$27*('4'!$K$30/'4'!$K$21))/52</f>
        <v>12.139321871361053</v>
      </c>
      <c r="V56" s="836">
        <f>'34a'!V56/('35b'!$N$27*('4'!$K$30/'4'!$K$21))/52</f>
        <v>12.856519649095342</v>
      </c>
      <c r="W56" s="836">
        <f>'34a'!W56/('35b'!$N$27*('4'!$K$30/'4'!$K$21))/52</f>
        <v>11.666570924623018</v>
      </c>
      <c r="Y56" s="662">
        <f>((((E56/D56))^(1/3))-1)*100</f>
        <v>-12.095925991377277</v>
      </c>
      <c r="Z56" s="662">
        <f>((((P56/E56))^(1/11))-1)*100</f>
        <v>-2.1576900187892822</v>
      </c>
      <c r="AA56" s="733">
        <f>((((W56/D56))^(1/21))-1)*100</f>
        <v>-3.8873356269404691</v>
      </c>
      <c r="AB56" s="733">
        <f>((((W56/P56))^(1/7))-1)*100</f>
        <v>-2.8987972051698674</v>
      </c>
      <c r="AC56" s="257"/>
      <c r="AD56" s="733">
        <f>((W56/D56)-1)*100</f>
        <v>-56.509645309698584</v>
      </c>
    </row>
    <row r="57" spans="1:30">
      <c r="A57" s="256" t="s">
        <v>1219</v>
      </c>
      <c r="D57" s="834"/>
      <c r="E57" s="835">
        <f>'34a'!E57/('35b'!$N$11*('4'!$K$30/'4'!$K$21))/52</f>
        <v>22.471826335137109</v>
      </c>
      <c r="F57" s="836">
        <f>'34a'!F57/('35b'!$N$12*('4'!$K$30/'4'!$K$21))/52</f>
        <v>22.756943900267142</v>
      </c>
      <c r="G57" s="836">
        <f>'34a'!G57/('35b'!$N$13*('4'!$K$30/'4'!$K$21))/52</f>
        <v>25.752428385505855</v>
      </c>
      <c r="H57" s="836">
        <f>'34a'!H57/('35b'!$N$14*('4'!$K$30/'4'!$K$21))/52</f>
        <v>23.056866497705325</v>
      </c>
      <c r="I57" s="836">
        <f>'34a'!I57/('35b'!$N$15*('4'!$K$30/'4'!$K$21))/52</f>
        <v>22.837422124803066</v>
      </c>
      <c r="J57" s="835">
        <f>'34a'!J57/('35b'!$N$16*('4'!$K$30/'4'!$K$21))/52</f>
        <v>22.776182396054523</v>
      </c>
      <c r="K57" s="836">
        <f>'34a'!K57/('35b'!$N$17*('4'!$K$30/'4'!$K$21))/52</f>
        <v>22.852943270086993</v>
      </c>
      <c r="L57" s="836">
        <f>'34a'!L57/('35b'!$N$18*('4'!$K$30/'4'!$K$21))/52</f>
        <v>22.819230642509766</v>
      </c>
      <c r="M57" s="836">
        <f>'34a'!M57/('35b'!$N$19*('4'!$K$30/'4'!$K$21))/52</f>
        <v>22.9342180697308</v>
      </c>
      <c r="N57" s="836">
        <f>'34a'!N57/('35b'!$N$20*('4'!$K$30/'4'!$K$21))/52</f>
        <v>21.462105921765314</v>
      </c>
      <c r="O57" s="836">
        <f>'34a'!O57/('35b'!$N$21*('4'!$K$30/'4'!$K$21))/52</f>
        <v>20.577905534655311</v>
      </c>
      <c r="P57" s="836">
        <f>'34a'!P57/('35b'!$N$22*('4'!$K$30/'4'!$K$21))/52</f>
        <v>21.640223947310062</v>
      </c>
      <c r="Q57" s="836">
        <f>'34a'!Q57/('35b'!$N$23*('4'!$K$30/'4'!$K$21))/52</f>
        <v>21.654461653398592</v>
      </c>
      <c r="R57" s="836">
        <f>'34a'!R57/('35b'!$N$24*('4'!$K$30/'4'!$K$21))/52</f>
        <v>21.676191543186725</v>
      </c>
      <c r="S57" s="836">
        <f>'34a'!S57/('35b'!$N$25*('4'!$K$30/'4'!$K$21))/52</f>
        <v>22.083346978722712</v>
      </c>
      <c r="T57" s="836">
        <f>'34a'!T57/('35b'!$N$26*('4'!$K$30/'4'!$K$21))/52</f>
        <v>22.371026376313214</v>
      </c>
      <c r="U57" s="836">
        <f>'34a'!U57/('35b'!$N$27*('4'!$K$30/'4'!$K$21))/52</f>
        <v>18.873140234654038</v>
      </c>
      <c r="V57" s="836">
        <f>'34a'!V57/('35b'!$N$27*('4'!$K$30/'4'!$K$21))/52</f>
        <v>20.060782856947149</v>
      </c>
      <c r="W57" s="836">
        <f>'34a'!W57/('35b'!$N$27*('4'!$K$30/'4'!$K$21))/52</f>
        <v>19.46350239253178</v>
      </c>
      <c r="Y57" s="662" t="s">
        <v>374</v>
      </c>
      <c r="Z57" s="662">
        <f>((((P57/E57))^(1/11))-1)*100</f>
        <v>-0.34221817626525208</v>
      </c>
      <c r="AA57" s="733">
        <f>((((W57/E57))^(1/18))-1)*100</f>
        <v>-0.79527263007729276</v>
      </c>
      <c r="AB57" s="733">
        <f>((((W57/P57))^(1/7))-1)*100</f>
        <v>-1.5030576514020955</v>
      </c>
      <c r="AC57" s="262"/>
      <c r="AD57" s="733">
        <f>((W57/E57)-1)*100</f>
        <v>-13.387091452827281</v>
      </c>
    </row>
    <row r="58" spans="1:30">
      <c r="A58" s="256" t="s">
        <v>1222</v>
      </c>
      <c r="D58" s="834">
        <f>'34a'!D58/('35b'!$N$8*('4'!$K$30/'4'!$K$21))/52</f>
        <v>43.632052159304344</v>
      </c>
      <c r="E58" s="835">
        <f>'34a'!E58/('35b'!$N$11*('4'!$K$30/'4'!$K$21))/52</f>
        <v>37.821681150154873</v>
      </c>
      <c r="F58" s="836">
        <f>'34a'!F58/('35b'!$N$12*('4'!$K$30/'4'!$K$21))/52</f>
        <v>38.716768728451719</v>
      </c>
      <c r="G58" s="836">
        <f>'34a'!G58/('35b'!$N$13*('4'!$K$30/'4'!$K$21))/52</f>
        <v>43.493483663264605</v>
      </c>
      <c r="H58" s="836">
        <f>'34a'!H58/('35b'!$N$14*('4'!$K$30/'4'!$K$21))/52</f>
        <v>39.34139626001781</v>
      </c>
      <c r="I58" s="836">
        <f>'34a'!I58/('35b'!$N$15*('4'!$K$30/'4'!$K$21))/52</f>
        <v>38.698608425234603</v>
      </c>
      <c r="J58" s="835">
        <f>'34a'!J58/('35b'!$N$16*('4'!$K$30/'4'!$K$21))/52</f>
        <v>36.370005154462632</v>
      </c>
      <c r="K58" s="836">
        <f>'34a'!K58/('35b'!$N$17*('4'!$K$30/'4'!$K$21))/52</f>
        <v>36.354312021371328</v>
      </c>
      <c r="L58" s="836">
        <f>'34a'!L58/('35b'!$N$18*('4'!$K$30/'4'!$K$21))/52</f>
        <v>36.276863196109325</v>
      </c>
      <c r="M58" s="836">
        <f>'34a'!M58/('35b'!$N$19*('4'!$K$30/'4'!$K$21))/52</f>
        <v>36.561638797177885</v>
      </c>
      <c r="N58" s="836">
        <f>'34a'!N58/('35b'!$N$20*('4'!$K$30/'4'!$K$21))/52</f>
        <v>34.560265406940601</v>
      </c>
      <c r="O58" s="836">
        <f>'34a'!O58/('35b'!$N$21*('4'!$K$30/'4'!$K$21))/52</f>
        <v>33.154236054832673</v>
      </c>
      <c r="P58" s="836">
        <f>'34a'!P58/('35b'!$N$22*('4'!$K$30/'4'!$K$21))/52</f>
        <v>32.876259512782966</v>
      </c>
      <c r="Q58" s="836">
        <f>'34a'!Q58/('35b'!$N$23*('4'!$K$30/'4'!$K$21))/52</f>
        <v>33.12564950466772</v>
      </c>
      <c r="R58" s="836">
        <f>'34a'!R58/('35b'!$N$24*('4'!$K$30/'4'!$K$21))/52</f>
        <v>33.172730080188913</v>
      </c>
      <c r="S58" s="836">
        <f>'34a'!S58/('35b'!$N$25*('4'!$K$30/'4'!$K$21))/52</f>
        <v>33.933332478077787</v>
      </c>
      <c r="T58" s="836">
        <f>'34a'!T58/('35b'!$N$26*('4'!$K$30/'4'!$K$21))/52</f>
        <v>34.646176679735433</v>
      </c>
      <c r="U58" s="836">
        <f>'34a'!U58/('35b'!$N$27*('4'!$K$30/'4'!$K$21))/52</f>
        <v>29.631106900668346</v>
      </c>
      <c r="V58" s="836">
        <f>'34a'!V58/('35b'!$N$27*('4'!$K$30/'4'!$K$21))/52</f>
        <v>33.260911730744766</v>
      </c>
      <c r="W58" s="836">
        <f>'34a'!W58/('35b'!$N$27*('4'!$K$30/'4'!$K$21))/52</f>
        <v>31.600518161713623</v>
      </c>
      <c r="Y58" s="662">
        <f>((((E58/D58))^(1/3))-1)*100</f>
        <v>-4.651968833837639</v>
      </c>
      <c r="Z58" s="662">
        <f>((((P58/E58))^(1/11))-1)*100</f>
        <v>-1.2658445790605488</v>
      </c>
      <c r="AA58" s="733">
        <f>((((W58/D58))^(1/21))-1)*100</f>
        <v>-1.5245380283300025</v>
      </c>
      <c r="AB58" s="733">
        <f>((((W58/P58))^(1/7))-1)*100</f>
        <v>-0.56379445088502456</v>
      </c>
      <c r="AC58" s="257"/>
      <c r="AD58" s="733">
        <f>((W58/D58)-1)*100</f>
        <v>-27.574989949275274</v>
      </c>
    </row>
    <row r="59" spans="1:30">
      <c r="A59" s="256" t="s">
        <v>1221</v>
      </c>
      <c r="D59" s="834">
        <f>'34a'!D59/('35b'!$N$8*('4'!$K$30/'4'!$K$21))/52</f>
        <v>68.217891852722431</v>
      </c>
      <c r="E59" s="835">
        <f>'34a'!E59/('35b'!$N$11*('4'!$K$30/'4'!$K$21))/52</f>
        <v>57.845956709363648</v>
      </c>
      <c r="F59" s="836">
        <f>'34a'!F59/('35b'!$N$12*('4'!$K$30/'4'!$K$21))/52</f>
        <v>58.853168268755091</v>
      </c>
      <c r="G59" s="836">
        <f>'34a'!G59/('35b'!$N$13*('4'!$K$30/'4'!$K$21))/52</f>
        <v>68.67961956298376</v>
      </c>
      <c r="H59" s="836">
        <f>'34a'!H59/('35b'!$N$14*('4'!$K$30/'4'!$K$21))/52</f>
        <v>61.891351325433256</v>
      </c>
      <c r="I59" s="836">
        <f>'34a'!I59/('35b'!$N$15*('4'!$K$30/'4'!$K$21))/52</f>
        <v>61.014297993013209</v>
      </c>
      <c r="J59" s="835">
        <f>'34a'!J59/('35b'!$N$16*('4'!$K$30/'4'!$K$21))/52</f>
        <v>57.912736255907937</v>
      </c>
      <c r="K59" s="836">
        <f>'34a'!K59/('35b'!$N$17*('4'!$K$30/'4'!$K$21))/52</f>
        <v>58.459235057195691</v>
      </c>
      <c r="L59" s="836">
        <f>'34a'!L59/('35b'!$N$18*('4'!$K$30/'4'!$K$21))/52</f>
        <v>58.374526536064124</v>
      </c>
      <c r="M59" s="836">
        <f>'34a'!M59/('35b'!$N$19*('4'!$K$30/'4'!$K$21))/52</f>
        <v>58.658463319405435</v>
      </c>
      <c r="N59" s="836">
        <f>'34a'!N59/('35b'!$N$20*('4'!$K$30/'4'!$K$21))/52</f>
        <v>55.216330745002821</v>
      </c>
      <c r="O59" s="836">
        <f>'34a'!O59/('35b'!$N$21*('4'!$K$30/'4'!$K$21))/52</f>
        <v>52.22502054490478</v>
      </c>
      <c r="P59" s="836">
        <f>'34a'!P59/('35b'!$N$22*('4'!$K$30/'4'!$K$21))/52</f>
        <v>52.101443249537631</v>
      </c>
      <c r="Q59" s="836">
        <f>'34a'!Q59/('35b'!$N$23*('4'!$K$30/'4'!$K$21))/52</f>
        <v>52.441859437783634</v>
      </c>
      <c r="R59" s="836">
        <f>'34a'!R59/('35b'!$N$24*('4'!$K$30/'4'!$K$21))/52</f>
        <v>52.501541201452149</v>
      </c>
      <c r="S59" s="836">
        <f>'34a'!S59/('35b'!$N$25*('4'!$K$30/'4'!$K$21))/52</f>
        <v>53.558885215030983</v>
      </c>
      <c r="T59" s="836">
        <f>'34a'!T59/('35b'!$N$26*('4'!$K$30/'4'!$K$21))/52</f>
        <v>54.647844709586558</v>
      </c>
      <c r="U59" s="836">
        <f>'34a'!U59/('35b'!$N$27*('4'!$K$30/'4'!$K$21))/52</f>
        <v>46.869220690262551</v>
      </c>
      <c r="V59" s="836">
        <f>'34a'!V59/('35b'!$N$27*('4'!$K$30/'4'!$K$21))/52</f>
        <v>51.483731150861608</v>
      </c>
      <c r="W59" s="836">
        <f>'34a'!W59/('35b'!$N$27*('4'!$K$30/'4'!$K$21))/52</f>
        <v>46.8576901793665</v>
      </c>
      <c r="Y59" s="662">
        <f>((((E59/D59))^(1/3))-1)*100</f>
        <v>-5.3490658249373375</v>
      </c>
      <c r="Z59" s="662">
        <f>((((P59/E59))^(1/11))-1)*100</f>
        <v>-0.94632038039715871</v>
      </c>
      <c r="AA59" s="733">
        <f>((((W59/D59))^(1/21))-1)*100</f>
        <v>-1.7726327629702165</v>
      </c>
      <c r="AB59" s="733">
        <f>((((W59/P59))^(1/7))-1)*100</f>
        <v>-1.5039687005371061</v>
      </c>
      <c r="AC59" s="262"/>
      <c r="AD59" s="733">
        <f>((W59/D59)-1)*100</f>
        <v>-31.311729361955486</v>
      </c>
    </row>
    <row r="60" spans="1:30">
      <c r="A60" s="256" t="s">
        <v>1232</v>
      </c>
      <c r="D60" s="838"/>
      <c r="E60" s="263"/>
      <c r="F60" s="264"/>
      <c r="G60" s="264"/>
      <c r="H60" s="264"/>
      <c r="I60" s="264"/>
      <c r="J60" s="263"/>
      <c r="K60" s="264"/>
      <c r="L60" s="264"/>
      <c r="M60" s="264"/>
      <c r="N60" s="264"/>
      <c r="O60" s="264"/>
      <c r="P60" s="264"/>
      <c r="Q60" s="264"/>
      <c r="R60" s="264"/>
      <c r="S60" s="264"/>
      <c r="T60" s="264"/>
      <c r="U60" s="264"/>
      <c r="V60" s="264"/>
      <c r="W60" s="264"/>
      <c r="Y60" s="662"/>
      <c r="Z60" s="662"/>
      <c r="AA60" s="662"/>
      <c r="AB60" s="662"/>
    </row>
    <row r="61" spans="1:30">
      <c r="A61" s="256" t="s">
        <v>545</v>
      </c>
      <c r="D61" s="834">
        <f>'34a'!D61/('35b'!$O$8*('4'!$L$30/'4'!$L$21))/52</f>
        <v>22.675982725982131</v>
      </c>
      <c r="E61" s="835">
        <f>'34a'!E61/('35b'!$O$11*('4'!$L$30/'4'!$L$21))/52</f>
        <v>21.334473777841026</v>
      </c>
      <c r="F61" s="836">
        <f>'34a'!F61/('35b'!$O$12*('4'!$L$30/'4'!$L$21))/52</f>
        <v>21.983339358144164</v>
      </c>
      <c r="G61" s="836">
        <f>'34a'!G61/('35b'!$O$13*('4'!$L$30/'4'!$L$21))/52</f>
        <v>22.281831751227493</v>
      </c>
      <c r="H61" s="836">
        <f>'34a'!H61/('35b'!$O$14*('4'!$L$30/'4'!$L$21))/52</f>
        <v>21.819595427699031</v>
      </c>
      <c r="I61" s="836">
        <f>'34a'!I61/('35b'!$O$15*('4'!$L$30/'4'!$L$21))/52</f>
        <v>20.448433738940672</v>
      </c>
      <c r="J61" s="835">
        <f>'34a'!J61/('35b'!$O$16*('4'!$L$30/'4'!$L$21))/52</f>
        <v>20.971473929054294</v>
      </c>
      <c r="K61" s="836">
        <f>'34a'!K61/('35b'!$O$17*('4'!$L$30/'4'!$L$21))/52</f>
        <v>18.714986629980153</v>
      </c>
      <c r="L61" s="836">
        <f>'34a'!L61/('35b'!$O$18*('4'!$L$30/'4'!$L$21))/52</f>
        <v>16.688471465167581</v>
      </c>
      <c r="M61" s="836">
        <f>'34a'!M61/('35b'!$O$19*('4'!$L$30/'4'!$L$21))/52</f>
        <v>16.700552479897532</v>
      </c>
      <c r="N61" s="836">
        <f>'34a'!N61/('35b'!$O$20*('4'!$L$30/'4'!$L$21))/52</f>
        <v>16.358583576460539</v>
      </c>
      <c r="O61" s="836">
        <f>'34a'!O61/('35b'!$O$21*('4'!$L$30/'4'!$L$21))/52</f>
        <v>16.359053806792367</v>
      </c>
      <c r="P61" s="836">
        <f>'34a'!P61/('35b'!$O$22*('4'!$L$30/'4'!$L$21))/52</f>
        <v>15.515610456841957</v>
      </c>
      <c r="Q61" s="836">
        <f>'34a'!Q61/('35b'!$O$23*('4'!$L$30/'4'!$L$21))/52</f>
        <v>14.904119667508716</v>
      </c>
      <c r="R61" s="836">
        <f>'34a'!R61/('35b'!$O$24*('4'!$L$30/'4'!$L$21))/52</f>
        <v>14.916421315733295</v>
      </c>
      <c r="S61" s="836">
        <f>'34a'!S61/('35b'!$O$25*('4'!$L$30/'4'!$L$21))/52</f>
        <v>14.882890939657013</v>
      </c>
      <c r="T61" s="836">
        <f>'34a'!T61/('35b'!$O$26*('4'!$L$30/'4'!$L$21))/52</f>
        <v>14.889182543318153</v>
      </c>
      <c r="U61" s="836">
        <f>'34a'!U61/('35b'!$O$27*('4'!$L$30/'4'!$L$21))/52</f>
        <v>14.908347194549208</v>
      </c>
      <c r="V61" s="836">
        <f>'34a'!V61/('35b'!$O$27*('4'!$L$30/'4'!$L$21))/52</f>
        <v>14.629231036077707</v>
      </c>
      <c r="W61" s="836">
        <f>'34a'!W61/('35b'!$O$27*('4'!$L$30/'4'!$L$21))/52</f>
        <v>16.315004024941295</v>
      </c>
      <c r="Y61" s="662">
        <f>((((E61/D61))^(1/3))-1)*100</f>
        <v>-2.012215302380993</v>
      </c>
      <c r="Z61" s="662">
        <f>((((P61/E61))^(1/11))-1)*100</f>
        <v>-2.8537401714392785</v>
      </c>
      <c r="AA61" s="733">
        <f>((((W61/D61))^(1/21))-1)*100</f>
        <v>-1.5554950395592182</v>
      </c>
      <c r="AB61" s="733">
        <f>((((W61/P61))^(1/7))-1)*100</f>
        <v>0.7202749249599627</v>
      </c>
      <c r="AC61" s="257"/>
      <c r="AD61" s="733">
        <f>((W61/D61)-1)*100</f>
        <v>-28.051612042164898</v>
      </c>
    </row>
    <row r="62" spans="1:30">
      <c r="A62" s="256" t="s">
        <v>1219</v>
      </c>
      <c r="D62" s="834"/>
      <c r="E62" s="835">
        <f>'34a'!E62/('35b'!$O$11*('4'!$L$30/'4'!$L$21))/52</f>
        <v>29.336205507720766</v>
      </c>
      <c r="F62" s="836">
        <f>'34a'!F62/('35b'!$O$12*('4'!$L$30/'4'!$L$21))/52</f>
        <v>30.503993396427806</v>
      </c>
      <c r="G62" s="836">
        <f>'34a'!G62/('35b'!$O$13*('4'!$L$30/'4'!$L$21))/52</f>
        <v>32.023962029459895</v>
      </c>
      <c r="H62" s="836">
        <f>'34a'!H62/('35b'!$O$14*('4'!$L$30/'4'!$L$21))/52</f>
        <v>30.5059495546082</v>
      </c>
      <c r="I62" s="836">
        <f>'34a'!I62/('35b'!$O$15*('4'!$L$30/'4'!$L$21))/52</f>
        <v>28.699639033183892</v>
      </c>
      <c r="J62" s="835">
        <f>'34a'!J62/('35b'!$O$16*('4'!$L$30/'4'!$L$21))/52</f>
        <v>29.405010822125764</v>
      </c>
      <c r="K62" s="836">
        <f>'34a'!K62/('35b'!$O$17*('4'!$L$30/'4'!$L$21))/52</f>
        <v>26.250847790507358</v>
      </c>
      <c r="L62" s="836">
        <f>'34a'!L62/('35b'!$O$18*('4'!$L$30/'4'!$L$21))/52</f>
        <v>25.280909823525228</v>
      </c>
      <c r="M62" s="836">
        <f>'34a'!M62/('35b'!$O$19*('4'!$L$30/'4'!$L$21))/52</f>
        <v>25.303219241443113</v>
      </c>
      <c r="N62" s="836">
        <f>'34a'!N62/('35b'!$O$20*('4'!$L$30/'4'!$L$21))/52</f>
        <v>24.788488442106527</v>
      </c>
      <c r="O62" s="836">
        <f>'34a'!O62/('35b'!$O$21*('4'!$L$30/'4'!$L$21))/52</f>
        <v>24.790357781405952</v>
      </c>
      <c r="P62" s="836">
        <f>'34a'!P62/('35b'!$O$22*('4'!$L$30/'4'!$L$21))/52</f>
        <v>23.509382694086675</v>
      </c>
      <c r="Q62" s="836">
        <f>'34a'!Q62/('35b'!$O$23*('4'!$L$30/'4'!$L$21))/52</f>
        <v>22.579913399274176</v>
      </c>
      <c r="R62" s="836">
        <f>'34a'!R62/('35b'!$O$24*('4'!$L$30/'4'!$L$21))/52</f>
        <v>22.588906728100763</v>
      </c>
      <c r="S62" s="836">
        <f>'34a'!S62/('35b'!$O$25*('4'!$L$30/'4'!$L$21))/52</f>
        <v>22.657408400341563</v>
      </c>
      <c r="T62" s="836">
        <f>'34a'!T62/('35b'!$O$26*('4'!$L$30/'4'!$L$21))/52</f>
        <v>22.65566107770583</v>
      </c>
      <c r="U62" s="836">
        <f>'34a'!U62/('35b'!$O$27*('4'!$L$30/'4'!$L$21))/52</f>
        <v>24.6065260976304</v>
      </c>
      <c r="V62" s="836">
        <f>'34a'!V62/('35b'!$O$27*('4'!$L$30/'4'!$L$21))/52</f>
        <v>24.15240853821248</v>
      </c>
      <c r="W62" s="836">
        <f>'34a'!W62/('35b'!$O$27*('4'!$L$30/'4'!$L$21))/52</f>
        <v>24.644184626947986</v>
      </c>
      <c r="Y62" s="662" t="s">
        <v>374</v>
      </c>
      <c r="Z62" s="662">
        <f>((((P62/E62))^(1/11))-1)*100</f>
        <v>-1.9928105499872117</v>
      </c>
      <c r="AA62" s="733">
        <f>((((W62/E62))^(1/18))-1)*100</f>
        <v>-0.96355819147379007</v>
      </c>
      <c r="AB62" s="733">
        <f>((((W62/P62))^(1/7))-1)*100</f>
        <v>0.67572061402336736</v>
      </c>
      <c r="AC62" s="262"/>
      <c r="AD62" s="733">
        <f>((W62/E62)-1)*100</f>
        <v>-15.99395968077032</v>
      </c>
    </row>
    <row r="63" spans="1:30">
      <c r="A63" s="256" t="s">
        <v>1222</v>
      </c>
      <c r="D63" s="834">
        <f>'34a'!D63/('35b'!$O$8*('4'!$L$30/'4'!$L$21))/52</f>
        <v>46.406088884380452</v>
      </c>
      <c r="E63" s="835">
        <f>'34a'!E63/('35b'!$O$11*('4'!$L$30/'4'!$L$21))/52</f>
        <v>42.681988187575598</v>
      </c>
      <c r="F63" s="836">
        <f>'34a'!F63/('35b'!$O$12*('4'!$L$30/'4'!$L$21))/52</f>
        <v>43.595312203799899</v>
      </c>
      <c r="G63" s="836">
        <f>'34a'!G63/('35b'!$O$13*('4'!$L$30/'4'!$L$21))/52</f>
        <v>46.105070376432074</v>
      </c>
      <c r="H63" s="836">
        <f>'34a'!H63/('35b'!$O$14*('4'!$L$30/'4'!$L$21))/52</f>
        <v>43.889612829353801</v>
      </c>
      <c r="I63" s="836">
        <f>'34a'!I63/('35b'!$O$15*('4'!$L$30/'4'!$L$21))/52</f>
        <v>41.104801631917255</v>
      </c>
      <c r="J63" s="835">
        <f>'34a'!J63/('35b'!$O$16*('4'!$L$30/'4'!$L$21))/52</f>
        <v>42.044670743494862</v>
      </c>
      <c r="K63" s="836">
        <f>'34a'!K63/('35b'!$O$17*('4'!$L$30/'4'!$L$21))/52</f>
        <v>37.498754651043264</v>
      </c>
      <c r="L63" s="836">
        <f>'34a'!L63/('35b'!$O$18*('4'!$L$30/'4'!$L$21))/52</f>
        <v>36.109275225930404</v>
      </c>
      <c r="M63" s="836">
        <f>'34a'!M63/('35b'!$O$19*('4'!$L$30/'4'!$L$21))/52</f>
        <v>36.006288479328262</v>
      </c>
      <c r="N63" s="836">
        <f>'34a'!N63/('35b'!$O$20*('4'!$L$30/'4'!$L$21))/52</f>
        <v>35.274055006048521</v>
      </c>
      <c r="O63" s="836">
        <f>'34a'!O63/('35b'!$O$21*('4'!$L$30/'4'!$L$21))/52</f>
        <v>35.302588489927487</v>
      </c>
      <c r="P63" s="836">
        <f>'34a'!P63/('35b'!$O$22*('4'!$L$30/'4'!$L$21))/52</f>
        <v>33.600870454707184</v>
      </c>
      <c r="Q63" s="836">
        <f>'34a'!Q63/('35b'!$O$23*('4'!$L$30/'4'!$L$21))/52</f>
        <v>32.476848181882872</v>
      </c>
      <c r="R63" s="836">
        <f>'34a'!R63/('35b'!$O$24*('4'!$L$30/'4'!$L$21))/52</f>
        <v>31.642273891695723</v>
      </c>
      <c r="S63" s="836">
        <f>'34a'!S63/('35b'!$O$25*('4'!$L$30/'4'!$L$21))/52</f>
        <v>31.574799082046539</v>
      </c>
      <c r="T63" s="836">
        <f>'34a'!T63/('35b'!$O$26*('4'!$L$30/'4'!$L$21))/52</f>
        <v>31.807230257774144</v>
      </c>
      <c r="U63" s="836">
        <f>'34a'!U63/('35b'!$O$27*('4'!$L$30/'4'!$L$21))/52</f>
        <v>32.209118604568424</v>
      </c>
      <c r="V63" s="836">
        <f>'34a'!V63/('35b'!$O$27*('4'!$L$30/'4'!$L$21))/52</f>
        <v>33.808498496762262</v>
      </c>
      <c r="W63" s="836">
        <f>'34a'!W63/('35b'!$O$27*('4'!$L$30/'4'!$L$21))/52</f>
        <v>35.952819460257601</v>
      </c>
      <c r="Y63" s="662">
        <f>((((E63/D63))^(1/3))-1)*100</f>
        <v>-2.7499370200109285</v>
      </c>
      <c r="Z63" s="662">
        <f>((((P63/E63))^(1/11))-1)*100</f>
        <v>-2.1512953680450475</v>
      </c>
      <c r="AA63" s="733">
        <f>((((W63/D63))^(1/21))-1)*100</f>
        <v>-1.2079928897809289</v>
      </c>
      <c r="AB63" s="733">
        <f>((((W63/P63))^(1/7))-1)*100</f>
        <v>0.97119341675180326</v>
      </c>
      <c r="AC63" s="257"/>
      <c r="AD63" s="733">
        <f>((W63/D63)-1)*100</f>
        <v>-22.52564194790666</v>
      </c>
    </row>
    <row r="64" spans="1:30">
      <c r="A64" s="256" t="s">
        <v>1221</v>
      </c>
      <c r="D64" s="834">
        <f>'34a'!D64/('35b'!$O$8*('4'!$L$30/'4'!$L$21))/52</f>
        <v>66.912180100359677</v>
      </c>
      <c r="E64" s="835">
        <f>'34a'!E64/('35b'!$O$11*('4'!$L$30/'4'!$L$21))/52</f>
        <v>55.756525724044685</v>
      </c>
      <c r="F64" s="836">
        <f>'34a'!F64/('35b'!$O$12*('4'!$L$30/'4'!$L$21))/52</f>
        <v>56.458097772717565</v>
      </c>
      <c r="G64" s="836">
        <f>'34a'!G64/('35b'!$O$13*('4'!$L$30/'4'!$L$21))/52</f>
        <v>59.615693617021279</v>
      </c>
      <c r="H64" s="836">
        <f>'34a'!H64/('35b'!$O$14*('4'!$L$30/'4'!$L$21))/52</f>
        <v>57.073444427912506</v>
      </c>
      <c r="I64" s="836">
        <f>'34a'!I64/('35b'!$O$15*('4'!$L$30/'4'!$L$21))/52</f>
        <v>53.514690006878709</v>
      </c>
      <c r="J64" s="835">
        <f>'34a'!J64/('35b'!$O$16*('4'!$L$30/'4'!$L$21))/52</f>
        <v>54.954014593562469</v>
      </c>
      <c r="K64" s="836">
        <f>'34a'!K64/('35b'!$O$17*('4'!$L$30/'4'!$L$21))/52</f>
        <v>49.015338820497</v>
      </c>
      <c r="L64" s="836">
        <f>'34a'!L64/('35b'!$O$18*('4'!$L$30/'4'!$L$21))/52</f>
        <v>47.194256902440763</v>
      </c>
      <c r="M64" s="836">
        <f>'34a'!M64/('35b'!$O$19*('4'!$L$30/'4'!$L$21))/52</f>
        <v>46.970303849711811</v>
      </c>
      <c r="N64" s="836">
        <f>'34a'!N64/('35b'!$O$20*('4'!$L$30/'4'!$L$21))/52</f>
        <v>46.013406964841884</v>
      </c>
      <c r="O64" s="836">
        <f>'34a'!O64/('35b'!$O$21*('4'!$L$30/'4'!$L$21))/52</f>
        <v>46.077355973564607</v>
      </c>
      <c r="P64" s="836">
        <f>'34a'!P64/('35b'!$O$22*('4'!$L$30/'4'!$L$21))/52</f>
        <v>43.875310609834209</v>
      </c>
      <c r="Q64" s="836">
        <f>'34a'!Q64/('35b'!$O$23*('4'!$L$30/'4'!$L$21))/52</f>
        <v>42.499316916316801</v>
      </c>
      <c r="R64" s="836">
        <f>'34a'!R64/('35b'!$O$24*('4'!$L$30/'4'!$L$21))/52</f>
        <v>42.078593094001278</v>
      </c>
      <c r="S64" s="836">
        <f>'34a'!S64/('35b'!$O$25*('4'!$L$30/'4'!$L$21))/52</f>
        <v>41.764886572262149</v>
      </c>
      <c r="T64" s="836">
        <f>'34a'!T64/('35b'!$O$26*('4'!$L$30/'4'!$L$21))/52</f>
        <v>42.14880689399061</v>
      </c>
      <c r="U64" s="836">
        <f>'34a'!U64/('35b'!$O$27*('4'!$L$30/'4'!$L$21))/52</f>
        <v>42.640531225539036</v>
      </c>
      <c r="V64" s="836">
        <f>'34a'!V64/('35b'!$O$27*('4'!$L$30/'4'!$L$21))/52</f>
        <v>43.50889260745037</v>
      </c>
      <c r="W64" s="836">
        <f>'34a'!W64/('35b'!$O$27*('4'!$L$30/'4'!$L$21))/52</f>
        <v>44.931055891090871</v>
      </c>
      <c r="Y64" s="662">
        <f>((((E64/D64))^(1/3))-1)*100</f>
        <v>-5.8984360392483781</v>
      </c>
      <c r="Z64" s="662">
        <f>((((P64/E64))^(1/11))-1)*100</f>
        <v>-2.1550105215175641</v>
      </c>
      <c r="AA64" s="733">
        <f>((((W64/D64))^(1/21))-1)*100</f>
        <v>-1.8785678705842024</v>
      </c>
      <c r="AB64" s="733">
        <f>((((W64/P64))^(1/7))-1)*100</f>
        <v>0.34025559419572637</v>
      </c>
      <c r="AC64" s="262"/>
      <c r="AD64" s="733">
        <f>((W64/D64)-1)*100</f>
        <v>-32.850706965906575</v>
      </c>
    </row>
    <row r="66" spans="1:1">
      <c r="A66" s="256" t="s">
        <v>631</v>
      </c>
    </row>
    <row r="67" spans="1:1" ht="15.75">
      <c r="A67" s="265" t="s">
        <v>1771</v>
      </c>
    </row>
    <row r="68" spans="1:1" ht="15.75">
      <c r="A68" s="265" t="s">
        <v>1772</v>
      </c>
    </row>
    <row r="69" spans="1:1">
      <c r="A69" s="256" t="s">
        <v>632</v>
      </c>
    </row>
    <row r="70" spans="1:1">
      <c r="A70" s="256" t="s">
        <v>1584</v>
      </c>
    </row>
  </sheetData>
  <mergeCells count="21">
    <mergeCell ref="U3:U4"/>
    <mergeCell ref="Y3:AB3"/>
    <mergeCell ref="L3:L4"/>
    <mergeCell ref="M3:M4"/>
    <mergeCell ref="N3:N4"/>
    <mergeCell ref="O3:O4"/>
    <mergeCell ref="T3:T4"/>
    <mergeCell ref="P3:P4"/>
    <mergeCell ref="Q3:Q4"/>
    <mergeCell ref="V3:V4"/>
    <mergeCell ref="W3:W4"/>
    <mergeCell ref="D3:D4"/>
    <mergeCell ref="E3:E4"/>
    <mergeCell ref="F3:F4"/>
    <mergeCell ref="G3:G4"/>
    <mergeCell ref="S3:S4"/>
    <mergeCell ref="R3:R4"/>
    <mergeCell ref="H3:H4"/>
    <mergeCell ref="I3:I4"/>
    <mergeCell ref="J3:J4"/>
    <mergeCell ref="K3:K4"/>
  </mergeCells>
  <phoneticPr fontId="36" type="noConversion"/>
  <pageMargins left="0.75" right="0.75" top="1" bottom="1" header="0.5" footer="0.5"/>
  <pageSetup scale="61" fitToHeight="2" orientation="landscape" horizontalDpi="1200" verticalDpi="1200" r:id="rId1"/>
  <headerFooter alignWithMargins="0"/>
  <rowBreaks count="1" manualBreakCount="1">
    <brk id="44" max="16383" man="1"/>
  </rowBreaks>
</worksheet>
</file>

<file path=xl/worksheets/sheet168.xml><?xml version="1.0" encoding="utf-8"?>
<worksheet xmlns="http://schemas.openxmlformats.org/spreadsheetml/2006/main" xmlns:r="http://schemas.openxmlformats.org/officeDocument/2006/relationships">
  <sheetPr codeName="Sheet148"/>
  <dimension ref="A1:AD70"/>
  <sheetViews>
    <sheetView view="pageBreakPreview" zoomScale="70" zoomScaleSheetLayoutView="70" workbookViewId="0">
      <pane xSplit="3" ySplit="4" topLeftCell="D5"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2" width="8" style="256" customWidth="1"/>
    <col min="3" max="3" width="5.28515625" style="256" customWidth="1"/>
    <col min="4" max="4" width="9.140625" style="256" customWidth="1"/>
    <col min="5" max="28" width="6.7109375" style="256" customWidth="1"/>
    <col min="29" max="16384" width="8" style="256"/>
  </cols>
  <sheetData>
    <row r="1" spans="1:30" ht="15.75">
      <c r="A1" s="1137" t="s">
        <v>2219</v>
      </c>
      <c r="B1" s="830"/>
      <c r="C1" s="830"/>
      <c r="D1" s="830"/>
      <c r="E1" s="830"/>
      <c r="F1" s="830"/>
      <c r="G1" s="830"/>
      <c r="H1" s="830"/>
      <c r="I1" s="830"/>
      <c r="J1" s="830"/>
      <c r="K1" s="830"/>
      <c r="L1" s="830"/>
      <c r="M1" s="830"/>
      <c r="N1" s="830"/>
      <c r="O1" s="830"/>
      <c r="P1" s="830"/>
      <c r="Q1" s="830"/>
      <c r="R1" s="830"/>
      <c r="S1" s="830"/>
    </row>
    <row r="3" spans="1:30">
      <c r="D3" s="1236">
        <v>1986</v>
      </c>
      <c r="E3" s="1238">
        <v>1989</v>
      </c>
      <c r="F3" s="1232">
        <v>1990</v>
      </c>
      <c r="G3" s="1232">
        <v>1991</v>
      </c>
      <c r="H3" s="1232">
        <v>1992</v>
      </c>
      <c r="I3" s="1232">
        <v>1993</v>
      </c>
      <c r="J3" s="1238">
        <v>1994</v>
      </c>
      <c r="K3" s="1232">
        <v>1995</v>
      </c>
      <c r="L3" s="1232">
        <v>1996</v>
      </c>
      <c r="M3" s="1232">
        <v>1997</v>
      </c>
      <c r="N3" s="1232">
        <v>1998</v>
      </c>
      <c r="O3" s="1232">
        <v>1999</v>
      </c>
      <c r="P3" s="1232">
        <v>2000</v>
      </c>
      <c r="Q3" s="1232">
        <v>2001</v>
      </c>
      <c r="R3" s="1232">
        <v>2002</v>
      </c>
      <c r="S3" s="1232">
        <v>2003</v>
      </c>
      <c r="T3" s="1232">
        <v>2004</v>
      </c>
      <c r="U3" s="1232">
        <v>2005</v>
      </c>
      <c r="V3" s="1232">
        <v>2006</v>
      </c>
      <c r="W3" s="1232">
        <v>2007</v>
      </c>
      <c r="Y3" s="1235" t="s">
        <v>802</v>
      </c>
      <c r="Z3" s="1235"/>
      <c r="AA3" s="1235"/>
      <c r="AB3" s="1235"/>
      <c r="AC3" s="258"/>
      <c r="AD3" s="662" t="s">
        <v>276</v>
      </c>
    </row>
    <row r="4" spans="1:30">
      <c r="A4" s="831"/>
      <c r="B4" s="831"/>
      <c r="C4" s="831"/>
      <c r="D4" s="1237"/>
      <c r="E4" s="1239"/>
      <c r="F4" s="1233"/>
      <c r="G4" s="1233"/>
      <c r="H4" s="1233"/>
      <c r="I4" s="1233"/>
      <c r="J4" s="1239"/>
      <c r="K4" s="1233"/>
      <c r="L4" s="1233"/>
      <c r="M4" s="1233"/>
      <c r="N4" s="1233"/>
      <c r="O4" s="1233"/>
      <c r="P4" s="1233"/>
      <c r="Q4" s="1233"/>
      <c r="R4" s="1233"/>
      <c r="S4" s="1233"/>
      <c r="T4" s="1233"/>
      <c r="U4" s="1233"/>
      <c r="V4" s="1233"/>
      <c r="W4" s="1233"/>
      <c r="X4" s="748"/>
      <c r="Y4" s="259" t="s">
        <v>1218</v>
      </c>
      <c r="Z4" s="259" t="s">
        <v>604</v>
      </c>
      <c r="AA4" s="259" t="s">
        <v>1788</v>
      </c>
      <c r="AB4" s="259" t="s">
        <v>449</v>
      </c>
      <c r="AC4" s="1108"/>
      <c r="AD4" s="259" t="s">
        <v>1788</v>
      </c>
    </row>
    <row r="5" spans="1:30" ht="15.75">
      <c r="A5" s="256" t="s">
        <v>440</v>
      </c>
      <c r="B5" s="832"/>
      <c r="C5" s="832"/>
      <c r="D5" s="833"/>
      <c r="E5" s="663"/>
      <c r="F5" s="261"/>
      <c r="G5" s="261"/>
      <c r="H5" s="261"/>
      <c r="I5" s="261"/>
      <c r="J5" s="663"/>
      <c r="K5" s="261"/>
      <c r="L5" s="261"/>
      <c r="M5" s="261"/>
      <c r="N5" s="261"/>
      <c r="O5" s="261"/>
      <c r="P5" s="261"/>
      <c r="Q5" s="261"/>
      <c r="R5" s="261"/>
      <c r="S5" s="261"/>
      <c r="T5" s="261"/>
      <c r="U5" s="261"/>
      <c r="V5" s="261"/>
      <c r="W5" s="261"/>
      <c r="Y5" s="662"/>
      <c r="Z5" s="662"/>
      <c r="AA5" s="662"/>
      <c r="AB5" s="662"/>
    </row>
    <row r="6" spans="1:30">
      <c r="A6" s="256" t="s">
        <v>545</v>
      </c>
      <c r="B6" s="832"/>
      <c r="C6" s="832"/>
      <c r="D6" s="834">
        <f>'45a'!D6/('35b'!$C$8*('4'!$B$30/'4'!$B$26))/52</f>
        <v>54.824480187634443</v>
      </c>
      <c r="E6" s="835">
        <f>'45a'!E6/('35b'!$C$11*('4'!$B$30/'4'!$B$26))/52</f>
        <v>50.416607597980835</v>
      </c>
      <c r="F6" s="836">
        <f>'45a'!F6/('35b'!$C$12*('4'!$B$30/'4'!$B$26))/52</f>
        <v>48.513523353744866</v>
      </c>
      <c r="G6" s="836">
        <f>'45a'!G6/('35b'!$C$13*('4'!$B$30/'4'!$B$26))/52</f>
        <v>50.55108728160689</v>
      </c>
      <c r="H6" s="836">
        <f>'45a'!H6/('35b'!$C$14*('4'!$B$30/'4'!$B$26))/52</f>
        <v>52.780284420827535</v>
      </c>
      <c r="I6" s="836">
        <f>'45a'!I6/('35b'!$C$15*('4'!$B$30/'4'!$B$26))/52</f>
        <v>52.550722108980452</v>
      </c>
      <c r="J6" s="835">
        <f>'45a'!J6/('35b'!$C$16*('4'!$B$30/'4'!$B$26))/52</f>
        <v>53.338074659484654</v>
      </c>
      <c r="K6" s="836">
        <f>'45a'!K6/('35b'!$C$17*('4'!$B$30/'4'!$B$26))/52</f>
        <v>52.046060630100911</v>
      </c>
      <c r="L6" s="836">
        <f>'45a'!L6/('35b'!$C$18*('4'!$B$30/'4'!$B$26))/52</f>
        <v>51.608643776161628</v>
      </c>
      <c r="M6" s="836">
        <f>'45a'!M6/('35b'!$C$19*('4'!$B$30/'4'!$B$26))/52</f>
        <v>52.054062206022422</v>
      </c>
      <c r="N6" s="836">
        <f>'45a'!N6/('35b'!$C$20*('4'!$B$30/'4'!$B$26))/52</f>
        <v>52.598120884648907</v>
      </c>
      <c r="O6" s="836">
        <f>'45a'!O6/('35b'!$C$21*('4'!$B$30/'4'!$B$26))/52</f>
        <v>52.269872999513282</v>
      </c>
      <c r="P6" s="836">
        <f>'45a'!P6/('35b'!$C$22*('4'!$B$30/'4'!$B$26))/52</f>
        <v>53.350523699915122</v>
      </c>
      <c r="Q6" s="836">
        <f>'45a'!Q6/('35b'!$C$23*('4'!$B$30/'4'!$B$26))/52</f>
        <v>53.901306800547857</v>
      </c>
      <c r="R6" s="836">
        <f>'45a'!R6/('35b'!$C$24*('4'!$B$30/'4'!$B$26))/52</f>
        <v>54.471736583038329</v>
      </c>
      <c r="S6" s="836">
        <f>'45a'!S6/('35b'!$C$25*('4'!$B$30/'4'!$B$26))/52</f>
        <v>55.52457220697724</v>
      </c>
      <c r="T6" s="836">
        <f>'45a'!T6/('35b'!$C$26*('4'!$B$30/'4'!$B$26))/52</f>
        <v>54.957806517856355</v>
      </c>
      <c r="U6" s="836">
        <f>'45a'!U6/('35b'!$C$27*('4'!$B$30/'4'!$B$26))/52</f>
        <v>54.294922104118584</v>
      </c>
      <c r="V6" s="836">
        <f>'45a'!V6/('35b'!$C$27*('4'!$B$30/'4'!$B$26))/52</f>
        <v>54.474063536093404</v>
      </c>
      <c r="W6" s="836">
        <f>'45a'!W6/('35b'!$C$27*('4'!$B$30/'4'!$B$26))/52</f>
        <v>54.272212369253616</v>
      </c>
      <c r="X6" s="774"/>
      <c r="Y6" s="662">
        <f>((((E6/D6))^(1/3))-1)*100</f>
        <v>-2.7552048705706489</v>
      </c>
      <c r="Z6" s="662">
        <f>((((P6/E6))^(1/11))-1)*100</f>
        <v>0.51553485285735778</v>
      </c>
      <c r="AA6" s="662">
        <f>((((W6/D6))^(1/21))-1)*100</f>
        <v>-4.820009307712203E-2</v>
      </c>
      <c r="AB6" s="662">
        <f>((((W6/P6))^(1/6))-1)*100</f>
        <v>0.28588385756302959</v>
      </c>
      <c r="AC6" s="951">
        <f>W6-D6</f>
        <v>-0.55226781838082672</v>
      </c>
      <c r="AD6" s="662">
        <f>((W6/D6)-1)*100</f>
        <v>-1.0073379929745108</v>
      </c>
    </row>
    <row r="7" spans="1:30">
      <c r="A7" s="256" t="s">
        <v>1219</v>
      </c>
      <c r="B7" s="832"/>
      <c r="C7" s="832"/>
      <c r="D7" s="834"/>
      <c r="E7" s="835">
        <f>'45a'!E7/('35b'!$C$11*('4'!$B$30/'4'!$B$26))/52</f>
        <v>50.416607597980835</v>
      </c>
      <c r="F7" s="836">
        <f>'45a'!F7/('35b'!$C$12*('4'!$B$30/'4'!$B$26))/52</f>
        <v>48.513523353744866</v>
      </c>
      <c r="G7" s="836">
        <f>'45a'!G7/('35b'!$C$13*('4'!$B$30/'4'!$B$26))/52</f>
        <v>50.55108728160689</v>
      </c>
      <c r="H7" s="836">
        <f>'45a'!H7/('35b'!$C$14*('4'!$B$30/'4'!$B$26))/52</f>
        <v>52.780284420827535</v>
      </c>
      <c r="I7" s="836">
        <f>'45a'!I7/('35b'!$C$15*('4'!$B$30/'4'!$B$26))/52</f>
        <v>52.550722108980452</v>
      </c>
      <c r="J7" s="835">
        <f>'45a'!J7/('35b'!$C$16*('4'!$B$30/'4'!$B$26))/52</f>
        <v>53.338074659484654</v>
      </c>
      <c r="K7" s="836">
        <f>'45a'!K7/('35b'!$C$17*('4'!$B$30/'4'!$B$26))/52</f>
        <v>52.046060630100911</v>
      </c>
      <c r="L7" s="836">
        <f>'45a'!L7/('35b'!$C$18*('4'!$B$30/'4'!$B$26))/52</f>
        <v>51.608643776161628</v>
      </c>
      <c r="M7" s="836">
        <f>'45a'!M7/('35b'!$C$19*('4'!$B$30/'4'!$B$26))/52</f>
        <v>52.054062206022422</v>
      </c>
      <c r="N7" s="836">
        <f>'45a'!N7/('35b'!$C$20*('4'!$B$30/'4'!$B$26))/52</f>
        <v>52.598120884648907</v>
      </c>
      <c r="O7" s="836">
        <f>'45a'!O7/('35b'!$C$21*('4'!$B$30/'4'!$B$26))/52</f>
        <v>52.269872999513282</v>
      </c>
      <c r="P7" s="836">
        <f>'45a'!P7/('35b'!$C$22*('4'!$B$30/'4'!$B$26))/52</f>
        <v>53.350523699915122</v>
      </c>
      <c r="Q7" s="836">
        <f>'45a'!Q7/('35b'!$C$23*('4'!$B$30/'4'!$B$26))/52</f>
        <v>53.901306800547857</v>
      </c>
      <c r="R7" s="836">
        <f>'45a'!R7/('35b'!$C$24*('4'!$B$30/'4'!$B$26))/52</f>
        <v>54.471736583038329</v>
      </c>
      <c r="S7" s="836">
        <f>'45a'!S7/('35b'!$C$25*('4'!$B$30/'4'!$B$26))/52</f>
        <v>55.52457220697724</v>
      </c>
      <c r="T7" s="836">
        <f>'45a'!T7/('35b'!$C$26*('4'!$B$30/'4'!$B$26))/52</f>
        <v>54.957806517856355</v>
      </c>
      <c r="U7" s="836">
        <f>'45a'!U7/('35b'!$C$27*('4'!$B$30/'4'!$B$26))/52</f>
        <v>54.294922104118584</v>
      </c>
      <c r="V7" s="836">
        <f>'45a'!V7/('35b'!$C$27*('4'!$B$30/'4'!$B$26))/52</f>
        <v>54.474063536093404</v>
      </c>
      <c r="W7" s="836">
        <f>'45a'!W7/('35b'!$C$27*('4'!$B$30/'4'!$B$26))/52</f>
        <v>54.272212369253616</v>
      </c>
      <c r="X7" s="774"/>
      <c r="Y7" s="662" t="s">
        <v>374</v>
      </c>
      <c r="Z7" s="662">
        <f>((((P7/E7))^(1/11))-1)*100</f>
        <v>0.51553485285735778</v>
      </c>
      <c r="AA7" s="662">
        <f>((((W7/E7))^(1/18))-1)*100</f>
        <v>0.41023760562475253</v>
      </c>
      <c r="AB7" s="662">
        <f>((((W7/P7))^(1/6))-1)*100</f>
        <v>0.28588385756302959</v>
      </c>
      <c r="AC7" s="951">
        <f>W7-E7</f>
        <v>3.8556047712727803</v>
      </c>
      <c r="AD7" s="662">
        <f>((W7/E7)-1)*100</f>
        <v>7.6474894979391639</v>
      </c>
    </row>
    <row r="8" spans="1:30">
      <c r="A8" s="256" t="s">
        <v>1220</v>
      </c>
      <c r="B8" s="832"/>
      <c r="C8" s="832"/>
      <c r="D8" s="834">
        <f>'45a'!D8/('35b'!$C$8*('4'!$B$30/'4'!$B$26))/52</f>
        <v>73.828390501188466</v>
      </c>
      <c r="E8" s="835">
        <f>'45a'!E8/('35b'!$C$11*('4'!$B$30/'4'!$B$26))/52</f>
        <v>69.774334919426479</v>
      </c>
      <c r="F8" s="836">
        <f>'45a'!F8/('35b'!$C$12*('4'!$B$30/'4'!$B$26))/52</f>
        <v>69.508198997224994</v>
      </c>
      <c r="G8" s="836">
        <f>'45a'!G8/('35b'!$C$13*('4'!$B$30/'4'!$B$26))/52</f>
        <v>68.547938454116689</v>
      </c>
      <c r="H8" s="836">
        <f>'45a'!H8/('35b'!$C$14*('4'!$B$30/'4'!$B$26))/52</f>
        <v>65.472477733293701</v>
      </c>
      <c r="I8" s="836">
        <f>'45a'!I8/('35b'!$C$15*('4'!$B$30/'4'!$B$26))/52</f>
        <v>65.186639656753357</v>
      </c>
      <c r="J8" s="835">
        <f>'45a'!J8/('35b'!$C$16*('4'!$B$30/'4'!$B$26))/52</f>
        <v>66.20645660917809</v>
      </c>
      <c r="K8" s="836">
        <f>'45a'!K8/('35b'!$C$17*('4'!$B$30/'4'!$B$26))/52</f>
        <v>64.387034287958869</v>
      </c>
      <c r="L8" s="836">
        <f>'45a'!L8/('35b'!$C$18*('4'!$B$30/'4'!$B$26))/52</f>
        <v>63.836411765302032</v>
      </c>
      <c r="M8" s="836">
        <f>'45a'!M8/('35b'!$C$19*('4'!$B$30/'4'!$B$26))/52</f>
        <v>64.539060708670362</v>
      </c>
      <c r="N8" s="836">
        <f>'45a'!N8/('35b'!$C$20*('4'!$B$30/'4'!$B$26))/52</f>
        <v>64.698487947057146</v>
      </c>
      <c r="O8" s="836">
        <f>'45a'!O8/('35b'!$C$21*('4'!$B$30/'4'!$B$26))/52</f>
        <v>65.014803440037426</v>
      </c>
      <c r="P8" s="836">
        <f>'45a'!P8/('35b'!$C$22*('4'!$B$30/'4'!$B$26))/52</f>
        <v>66.031022282902441</v>
      </c>
      <c r="Q8" s="836">
        <f>'45a'!Q8/('35b'!$C$23*('4'!$B$30/'4'!$B$26))/52</f>
        <v>67.30383903817345</v>
      </c>
      <c r="R8" s="836">
        <f>'45a'!R8/('35b'!$C$24*('4'!$B$30/'4'!$B$26))/52</f>
        <v>67.557587497100386</v>
      </c>
      <c r="S8" s="836">
        <f>'45a'!S8/('35b'!$C$25*('4'!$B$30/'4'!$B$26))/52</f>
        <v>68.613270579288823</v>
      </c>
      <c r="T8" s="836">
        <f>'45a'!T8/('35b'!$C$26*('4'!$B$30/'4'!$B$26))/52</f>
        <v>68.410889951055779</v>
      </c>
      <c r="U8" s="836">
        <f>'45a'!U8/('35b'!$C$27*('4'!$B$30/'4'!$B$26))/52</f>
        <v>67.177015372136367</v>
      </c>
      <c r="V8" s="836">
        <f>'45a'!V8/('35b'!$C$27*('4'!$B$30/'4'!$B$26))/52</f>
        <v>67.250378564854429</v>
      </c>
      <c r="W8" s="836">
        <f>'45a'!W8/('35b'!$C$27*('4'!$B$30/'4'!$B$26))/52</f>
        <v>67.471154697119189</v>
      </c>
      <c r="X8" s="774"/>
      <c r="Y8" s="662">
        <f>((((E8/D8))^(1/3))-1)*100</f>
        <v>-1.8649604983685619</v>
      </c>
      <c r="Z8" s="662">
        <f>((((P8/E8))^(1/11))-1)*100</f>
        <v>-0.50003275670462699</v>
      </c>
      <c r="AA8" s="733">
        <f>((((W8/D8))^(1/21))-1)*100</f>
        <v>-0.42785913045152446</v>
      </c>
      <c r="AB8" s="662">
        <f>((((W8/P8))^(1/6))-1)*100</f>
        <v>0.36023901562358684</v>
      </c>
      <c r="AC8" s="951">
        <f>W8-D8</f>
        <v>-6.3572358040692762</v>
      </c>
      <c r="AD8" s="662">
        <f>((W8/D8)-1)*100</f>
        <v>-8.6108281122110331</v>
      </c>
    </row>
    <row r="9" spans="1:30">
      <c r="A9" s="256" t="s">
        <v>1221</v>
      </c>
      <c r="B9" s="832"/>
      <c r="C9" s="832"/>
      <c r="D9" s="834">
        <f>'45a'!D9/('35b'!$C$8*('4'!$B$30/'4'!$B$26))/52</f>
        <v>108.17745193897295</v>
      </c>
      <c r="E9" s="835">
        <f>'45a'!E9/('35b'!$C$11*('4'!$B$30/'4'!$B$26))/52</f>
        <v>100.59762183963866</v>
      </c>
      <c r="F9" s="836">
        <f>'45a'!F9/('35b'!$C$12*('4'!$B$30/'4'!$B$26))/52</f>
        <v>97.816460644969865</v>
      </c>
      <c r="G9" s="836">
        <f>'45a'!G9/('35b'!$C$13*('4'!$B$30/'4'!$B$26))/52</f>
        <v>100.45322593124767</v>
      </c>
      <c r="H9" s="836">
        <f>'45a'!H9/('35b'!$C$14*('4'!$B$30/'4'!$B$26))/52</f>
        <v>97.563727522966573</v>
      </c>
      <c r="I9" s="836">
        <f>'45a'!I9/('35b'!$C$15*('4'!$B$30/'4'!$B$26))/52</f>
        <v>97.482384634182807</v>
      </c>
      <c r="J9" s="835">
        <f>'45a'!J9/('35b'!$C$16*('4'!$B$30/'4'!$B$26))/52</f>
        <v>98.516706079158581</v>
      </c>
      <c r="K9" s="836">
        <f>'45a'!K9/('35b'!$C$17*('4'!$B$30/'4'!$B$26))/52</f>
        <v>96.051077802819378</v>
      </c>
      <c r="L9" s="836">
        <f>'45a'!L9/('35b'!$C$18*('4'!$B$30/'4'!$B$26))/52</f>
        <v>95.560873610575086</v>
      </c>
      <c r="M9" s="836">
        <f>'45a'!M9/('35b'!$C$19*('4'!$B$30/'4'!$B$26))/52</f>
        <v>96.635427491240634</v>
      </c>
      <c r="N9" s="836">
        <f>'45a'!N9/('35b'!$C$20*('4'!$B$30/'4'!$B$26))/52</f>
        <v>96.476691449394622</v>
      </c>
      <c r="O9" s="836">
        <f>'45a'!O9/('35b'!$C$21*('4'!$B$30/'4'!$B$26))/52</f>
        <v>97.255610659010472</v>
      </c>
      <c r="P9" s="836">
        <f>'45a'!P9/('35b'!$C$22*('4'!$B$30/'4'!$B$26))/52</f>
        <v>98.913931631271296</v>
      </c>
      <c r="Q9" s="836">
        <f>'45a'!Q9/('35b'!$C$23*('4'!$B$30/'4'!$B$26))/52</f>
        <v>99.761161195625974</v>
      </c>
      <c r="R9" s="836">
        <f>'45a'!R9/('35b'!$C$24*('4'!$B$30/'4'!$B$26))/52</f>
        <v>100.61153562415892</v>
      </c>
      <c r="S9" s="836">
        <f>'45a'!S9/('35b'!$C$25*('4'!$B$30/'4'!$B$26))/52</f>
        <v>102.08597726875975</v>
      </c>
      <c r="T9" s="836">
        <f>'45a'!T9/('35b'!$C$26*('4'!$B$30/'4'!$B$26))/52</f>
        <v>101.74952682456325</v>
      </c>
      <c r="U9" s="836">
        <f>'45a'!U9/('35b'!$C$27*('4'!$B$30/'4'!$B$26))/52</f>
        <v>100.45740027419031</v>
      </c>
      <c r="V9" s="836">
        <f>'45a'!V9/('35b'!$C$27*('4'!$B$30/'4'!$B$26))/52</f>
        <v>100.73819035518046</v>
      </c>
      <c r="W9" s="836">
        <f>'45a'!W9/('35b'!$C$27*('4'!$B$30/'4'!$B$26))/52</f>
        <v>101.18569475847852</v>
      </c>
      <c r="X9" s="774"/>
      <c r="Y9" s="662">
        <f>((((E9/D9))^(1/3))-1)*100</f>
        <v>-2.3923952627423528</v>
      </c>
      <c r="Z9" s="662">
        <f>((((P9/E9))^(1/11))-1)*100</f>
        <v>-0.15332345817800075</v>
      </c>
      <c r="AA9" s="733">
        <f>((((W9/D9))^(1/21))-1)*100</f>
        <v>-0.31766371842895103</v>
      </c>
      <c r="AB9" s="662">
        <f>((((W9/P9))^(1/6))-1)*100</f>
        <v>0.3791719812259231</v>
      </c>
      <c r="AC9" s="951">
        <f>W9-D9</f>
        <v>-6.9917571804944316</v>
      </c>
      <c r="AD9" s="662">
        <f>((W9/D9)-1)*100</f>
        <v>-6.4632296797291433</v>
      </c>
    </row>
    <row r="10" spans="1:30" ht="15.75">
      <c r="A10" s="256" t="s">
        <v>1770</v>
      </c>
      <c r="B10" s="832"/>
      <c r="C10" s="832"/>
      <c r="D10" s="837"/>
      <c r="E10" s="266"/>
      <c r="F10" s="267"/>
      <c r="G10" s="267"/>
      <c r="H10" s="267"/>
      <c r="I10" s="267"/>
      <c r="J10" s="266"/>
      <c r="K10" s="267"/>
      <c r="L10" s="267"/>
      <c r="M10" s="267"/>
      <c r="N10" s="267"/>
      <c r="O10" s="267"/>
      <c r="P10" s="267"/>
      <c r="Q10" s="267"/>
      <c r="R10" s="267"/>
      <c r="S10" s="267"/>
      <c r="T10" s="267"/>
      <c r="U10" s="267"/>
      <c r="V10" s="267"/>
      <c r="W10" s="267"/>
      <c r="Y10" s="662"/>
      <c r="Z10" s="662"/>
      <c r="AA10" s="662"/>
      <c r="AB10" s="662"/>
    </row>
    <row r="11" spans="1:30">
      <c r="A11" s="256" t="s">
        <v>545</v>
      </c>
      <c r="B11" s="832"/>
      <c r="C11" s="832"/>
      <c r="D11" s="834">
        <f>'45a'!D11/('35b'!$C$8*('4'!$B$30/'4'!$B$26))/52</f>
        <v>54.884294149036116</v>
      </c>
      <c r="E11" s="835">
        <f>'45a'!E11/('35b'!$C$11*('4'!$B$30/'4'!$B$26))/52</f>
        <v>50.150168430722928</v>
      </c>
      <c r="F11" s="836">
        <f>'45a'!F11/('35b'!$C$12*('4'!$B$30/'4'!$B$26))/52</f>
        <v>48.124779009739122</v>
      </c>
      <c r="G11" s="836">
        <f>'45a'!G11/('35b'!$C$13*('4'!$B$30/'4'!$B$26))/52</f>
        <v>50.537031980318218</v>
      </c>
      <c r="H11" s="836">
        <f>'45a'!H11/('35b'!$C$14*('4'!$B$30/'4'!$B$26))/52</f>
        <v>52.813522816095805</v>
      </c>
      <c r="I11" s="836">
        <f>'45a'!I11/('35b'!$C$15*('4'!$B$30/'4'!$B$26))/52</f>
        <v>52.584599486103407</v>
      </c>
      <c r="J11" s="835">
        <f>'45a'!J11/('35b'!$C$16*('4'!$B$30/'4'!$B$26))/52</f>
        <v>53.39885056136513</v>
      </c>
      <c r="K11" s="836">
        <f>'45a'!K11/('35b'!$C$17*('4'!$B$30/'4'!$B$26))/52</f>
        <v>52.077653800459856</v>
      </c>
      <c r="L11" s="836">
        <f>'45a'!L11/('35b'!$C$18*('4'!$B$30/'4'!$B$26))/52</f>
        <v>51.693680177547023</v>
      </c>
      <c r="M11" s="836">
        <f>'45a'!M11/('35b'!$C$19*('4'!$B$30/'4'!$B$26))/52</f>
        <v>52.032703862985159</v>
      </c>
      <c r="N11" s="836">
        <f>'45a'!N11/('35b'!$C$20*('4'!$B$30/'4'!$B$26))/52</f>
        <v>52.63087913231594</v>
      </c>
      <c r="O11" s="836">
        <f>'45a'!O11/('35b'!$C$21*('4'!$B$30/'4'!$B$26))/52</f>
        <v>52.221752820030147</v>
      </c>
      <c r="P11" s="836">
        <f>'45a'!P11/('35b'!$C$22*('4'!$B$30/'4'!$B$26))/52</f>
        <v>53.264920759471011</v>
      </c>
      <c r="Q11" s="836">
        <f>'45a'!Q11/('35b'!$C$23*('4'!$B$30/'4'!$B$26))/52</f>
        <v>53.732709500095879</v>
      </c>
      <c r="R11" s="836">
        <f>'45a'!R11/('35b'!$C$24*('4'!$B$30/'4'!$B$26))/52</f>
        <v>54.353137427402778</v>
      </c>
      <c r="S11" s="836">
        <f>'45a'!S11/('35b'!$C$25*('4'!$B$30/'4'!$B$26))/52</f>
        <v>55.302681470907743</v>
      </c>
      <c r="T11" s="836">
        <f>'45a'!T11/('35b'!$C$26*('4'!$B$30/'4'!$B$26))/52</f>
        <v>54.814556261931862</v>
      </c>
      <c r="U11" s="836">
        <f>'45a'!U11/('35b'!$C$27*('4'!$B$30/'4'!$B$26))/52</f>
        <v>54.158732188623198</v>
      </c>
      <c r="V11" s="836">
        <f>'45a'!V11/('35b'!$C$27*('4'!$B$30/'4'!$B$26))/52</f>
        <v>54.33575524179561</v>
      </c>
      <c r="W11" s="836">
        <f>'45a'!W11/('35b'!$C$27*('4'!$B$30/'4'!$B$26))/52</f>
        <v>54.078746678340266</v>
      </c>
      <c r="Y11" s="662">
        <f>((((E11/D11))^(1/3))-1)*100</f>
        <v>-2.9620892330028625</v>
      </c>
      <c r="Z11" s="662">
        <f>((((P11/E11))^(1/11))-1)*100</f>
        <v>0.54928574943866604</v>
      </c>
      <c r="AA11" s="733">
        <f>((((W11/D11))^(1/21))-1)*100</f>
        <v>-7.0384601138540059E-2</v>
      </c>
      <c r="AB11" s="733">
        <f>((((W11/P11))^(1/6))-1)*100</f>
        <v>0.25304108897321598</v>
      </c>
      <c r="AC11" s="257"/>
      <c r="AD11" s="733">
        <f>((W11/D11)-1)*100</f>
        <v>-1.4677194690860373</v>
      </c>
    </row>
    <row r="12" spans="1:30">
      <c r="A12" s="256" t="s">
        <v>1219</v>
      </c>
      <c r="B12" s="832"/>
      <c r="C12" s="832"/>
      <c r="D12" s="834"/>
      <c r="E12" s="835">
        <f>'45a'!E12/('35b'!$C$11*('4'!$B$30/'4'!$B$26))/52</f>
        <v>50.150168430722928</v>
      </c>
      <c r="F12" s="836">
        <f>'45a'!F12/('35b'!$C$12*('4'!$B$30/'4'!$B$26))/52</f>
        <v>48.124779009739122</v>
      </c>
      <c r="G12" s="836">
        <f>'45a'!G12/('35b'!$C$13*('4'!$B$30/'4'!$B$26))/52</f>
        <v>50.537031980318218</v>
      </c>
      <c r="H12" s="836">
        <f>'45a'!H12/('35b'!$C$14*('4'!$B$30/'4'!$B$26))/52</f>
        <v>52.813522816095805</v>
      </c>
      <c r="I12" s="836">
        <f>'45a'!I12/('35b'!$C$15*('4'!$B$30/'4'!$B$26))/52</f>
        <v>52.584599486103407</v>
      </c>
      <c r="J12" s="835">
        <f>'45a'!J12/('35b'!$C$16*('4'!$B$30/'4'!$B$26))/52</f>
        <v>53.39885056136513</v>
      </c>
      <c r="K12" s="836">
        <f>'45a'!K12/('35b'!$C$17*('4'!$B$30/'4'!$B$26))/52</f>
        <v>52.077653800459856</v>
      </c>
      <c r="L12" s="836">
        <f>'45a'!L12/('35b'!$C$18*('4'!$B$30/'4'!$B$26))/52</f>
        <v>51.693680177547023</v>
      </c>
      <c r="M12" s="836">
        <f>'45a'!M12/('35b'!$C$19*('4'!$B$30/'4'!$B$26))/52</f>
        <v>52.032703862985159</v>
      </c>
      <c r="N12" s="836">
        <f>'45a'!N12/('35b'!$C$20*('4'!$B$30/'4'!$B$26))/52</f>
        <v>52.63087913231594</v>
      </c>
      <c r="O12" s="836">
        <f>'45a'!O12/('35b'!$C$21*('4'!$B$30/'4'!$B$26))/52</f>
        <v>52.221752820030147</v>
      </c>
      <c r="P12" s="836">
        <f>'45a'!P12/('35b'!$C$22*('4'!$B$30/'4'!$B$26))/52</f>
        <v>53.264920759471011</v>
      </c>
      <c r="Q12" s="836">
        <f>'45a'!Q12/('35b'!$C$23*('4'!$B$30/'4'!$B$26))/52</f>
        <v>53.732709500095879</v>
      </c>
      <c r="R12" s="836">
        <f>'45a'!R12/('35b'!$C$24*('4'!$B$30/'4'!$B$26))/52</f>
        <v>54.353137427402778</v>
      </c>
      <c r="S12" s="836">
        <f>'45a'!S12/('35b'!$C$25*('4'!$B$30/'4'!$B$26))/52</f>
        <v>55.302681470907743</v>
      </c>
      <c r="T12" s="836">
        <f>'45a'!T12/('35b'!$C$26*('4'!$B$30/'4'!$B$26))/52</f>
        <v>54.814556261931862</v>
      </c>
      <c r="U12" s="836">
        <f>'45a'!U12/('35b'!$C$27*('4'!$B$30/'4'!$B$26))/52</f>
        <v>54.158732188623198</v>
      </c>
      <c r="V12" s="836">
        <f>'45a'!V12/('35b'!$C$27*('4'!$B$30/'4'!$B$26))/52</f>
        <v>54.33575524179561</v>
      </c>
      <c r="W12" s="836">
        <f>'45a'!W12/('35b'!$C$27*('4'!$B$30/'4'!$B$26))/52</f>
        <v>54.078746678340266</v>
      </c>
      <c r="Y12" s="662" t="s">
        <v>374</v>
      </c>
      <c r="Z12" s="662">
        <f>((((P12/E12))^(1/11))-1)*100</f>
        <v>0.54928574943866604</v>
      </c>
      <c r="AA12" s="733">
        <f>((((W12/E12))^(1/18))-1)*100</f>
        <v>0.41987559122325102</v>
      </c>
      <c r="AB12" s="733">
        <f>((((W12/P12))^(1/6))-1)*100</f>
        <v>0.25304108897321598</v>
      </c>
      <c r="AC12" s="262"/>
      <c r="AD12" s="733">
        <f>((W12/E12)-1)*100</f>
        <v>7.8336292191007129</v>
      </c>
    </row>
    <row r="13" spans="1:30">
      <c r="A13" s="256" t="s">
        <v>1222</v>
      </c>
      <c r="B13" s="832"/>
      <c r="C13" s="832"/>
      <c r="D13" s="834">
        <f>'45a'!D13/('35b'!$C$8*('4'!$B$30/'4'!$B$26))/52</f>
        <v>73.874862274341453</v>
      </c>
      <c r="E13" s="835">
        <f>'45a'!E13/('35b'!$C$11*('4'!$B$30/'4'!$B$26))/52</f>
        <v>69.678396421167804</v>
      </c>
      <c r="F13" s="836">
        <f>'45a'!F13/('35b'!$C$12*('4'!$B$30/'4'!$B$26))/52</f>
        <v>69.404543048144845</v>
      </c>
      <c r="G13" s="836">
        <f>'45a'!G13/('35b'!$C$13*('4'!$B$30/'4'!$B$26))/52</f>
        <v>68.513093426222014</v>
      </c>
      <c r="H13" s="836">
        <f>'45a'!H13/('35b'!$C$14*('4'!$B$30/'4'!$B$26))/52</f>
        <v>65.485943214413908</v>
      </c>
      <c r="I13" s="836">
        <f>'45a'!I13/('35b'!$C$15*('4'!$B$30/'4'!$B$26))/52</f>
        <v>65.205889181655053</v>
      </c>
      <c r="J13" s="835">
        <f>'45a'!J13/('35b'!$C$16*('4'!$B$30/'4'!$B$26))/52</f>
        <v>66.202543955040397</v>
      </c>
      <c r="K13" s="836">
        <f>'45a'!K13/('35b'!$C$17*('4'!$B$30/'4'!$B$26))/52</f>
        <v>64.451434246569406</v>
      </c>
      <c r="L13" s="836">
        <f>'45a'!L13/('35b'!$C$18*('4'!$B$30/'4'!$B$26))/52</f>
        <v>63.835777348742418</v>
      </c>
      <c r="M13" s="836">
        <f>'45a'!M13/('35b'!$C$19*('4'!$B$30/'4'!$B$26))/52</f>
        <v>64.497559341331325</v>
      </c>
      <c r="N13" s="836">
        <f>'45a'!N13/('35b'!$C$20*('4'!$B$30/'4'!$B$26))/52</f>
        <v>64.62598318841529</v>
      </c>
      <c r="O13" s="836">
        <f>'45a'!O13/('35b'!$C$21*('4'!$B$30/'4'!$B$26))/52</f>
        <v>64.897137998623947</v>
      </c>
      <c r="P13" s="836">
        <f>'45a'!P13/('35b'!$C$22*('4'!$B$30/'4'!$B$26))/52</f>
        <v>65.860831226347159</v>
      </c>
      <c r="Q13" s="836">
        <f>'45a'!Q13/('35b'!$C$23*('4'!$B$30/'4'!$B$26))/52</f>
        <v>67.09122906080708</v>
      </c>
      <c r="R13" s="836">
        <f>'45a'!R13/('35b'!$C$24*('4'!$B$30/'4'!$B$26))/52</f>
        <v>67.359760385561273</v>
      </c>
      <c r="S13" s="836">
        <f>'45a'!S13/('35b'!$C$25*('4'!$B$30/'4'!$B$26))/52</f>
        <v>68.365831973830922</v>
      </c>
      <c r="T13" s="836">
        <f>'45a'!T13/('35b'!$C$26*('4'!$B$30/'4'!$B$26))/52</f>
        <v>68.167562840307014</v>
      </c>
      <c r="U13" s="836">
        <f>'45a'!U13/('35b'!$C$27*('4'!$B$30/'4'!$B$26))/52</f>
        <v>66.98228354591383</v>
      </c>
      <c r="V13" s="836">
        <f>'45a'!V13/('35b'!$C$27*('4'!$B$30/'4'!$B$26))/52</f>
        <v>66.997452631459907</v>
      </c>
      <c r="W13" s="836">
        <f>'45a'!W13/('35b'!$C$27*('4'!$B$30/'4'!$B$26))/52</f>
        <v>67.314356417498388</v>
      </c>
      <c r="Y13" s="662">
        <f>((((E13/D13))^(1/3))-1)*100</f>
        <v>-1.9305316314612742</v>
      </c>
      <c r="Z13" s="662">
        <f>((((P13/E13))^(1/11))-1)*100</f>
        <v>-0.5109304765221645</v>
      </c>
      <c r="AA13" s="733">
        <f>((((W13/D13))^(1/21))-1)*100</f>
        <v>-0.44187360451704016</v>
      </c>
      <c r="AB13" s="733">
        <f>((((W13/P13))^(1/6))-1)*100</f>
        <v>0.36448991555986243</v>
      </c>
      <c r="AC13" s="257"/>
      <c r="AD13" s="733">
        <f>((W13/D13)-1)*100</f>
        <v>-8.8805659393042085</v>
      </c>
    </row>
    <row r="14" spans="1:30">
      <c r="A14" s="256" t="s">
        <v>1221</v>
      </c>
      <c r="B14" s="832"/>
      <c r="C14" s="832"/>
      <c r="D14" s="834">
        <f>'45a'!D14/('35b'!$C$8*('4'!$B$30/'4'!$B$26))/52</f>
        <v>108.34365968555571</v>
      </c>
      <c r="E14" s="835">
        <f>'45a'!E14/('35b'!$C$11*('4'!$B$30/'4'!$B$26))/52</f>
        <v>100.26868106179448</v>
      </c>
      <c r="F14" s="836">
        <f>'45a'!F14/('35b'!$C$12*('4'!$B$30/'4'!$B$26))/52</f>
        <v>97.169455827896087</v>
      </c>
      <c r="G14" s="836">
        <f>'45a'!G14/('35b'!$C$13*('4'!$B$30/'4'!$B$26))/52</f>
        <v>100.42311749982376</v>
      </c>
      <c r="H14" s="836">
        <f>'45a'!H14/('35b'!$C$14*('4'!$B$30/'4'!$B$26))/52</f>
        <v>97.593326091575122</v>
      </c>
      <c r="I14" s="836">
        <f>'45a'!I14/('35b'!$C$15*('4'!$B$30/'4'!$B$26))/52</f>
        <v>97.474317661139125</v>
      </c>
      <c r="J14" s="835">
        <f>'45a'!J14/('35b'!$C$16*('4'!$B$30/'4'!$B$26))/52</f>
        <v>98.526570061625094</v>
      </c>
      <c r="K14" s="836">
        <f>'45a'!K14/('35b'!$C$17*('4'!$B$30/'4'!$B$26))/52</f>
        <v>96.1150579318533</v>
      </c>
      <c r="L14" s="836">
        <f>'45a'!L14/('35b'!$C$18*('4'!$B$30/'4'!$B$26))/52</f>
        <v>95.573566419420033</v>
      </c>
      <c r="M14" s="836">
        <f>'45a'!M14/('35b'!$C$19*('4'!$B$30/'4'!$B$26))/52</f>
        <v>96.528863578184215</v>
      </c>
      <c r="N14" s="836">
        <f>'45a'!N14/('35b'!$C$20*('4'!$B$30/'4'!$B$26))/52</f>
        <v>96.419532293865871</v>
      </c>
      <c r="O14" s="836">
        <f>'45a'!O14/('35b'!$C$21*('4'!$B$30/'4'!$B$26))/52</f>
        <v>96.988316633311854</v>
      </c>
      <c r="P14" s="836">
        <f>'45a'!P14/('35b'!$C$22*('4'!$B$30/'4'!$B$26))/52</f>
        <v>98.680027848624633</v>
      </c>
      <c r="Q14" s="836">
        <f>'45a'!Q14/('35b'!$C$23*('4'!$B$30/'4'!$B$26))/52</f>
        <v>99.414392468797331</v>
      </c>
      <c r="R14" s="836">
        <f>'45a'!R14/('35b'!$C$24*('4'!$B$30/'4'!$B$26))/52</f>
        <v>100.30854959681702</v>
      </c>
      <c r="S14" s="836">
        <f>'45a'!S14/('35b'!$C$25*('4'!$B$30/'4'!$B$26))/52</f>
        <v>101.77661104761017</v>
      </c>
      <c r="T14" s="836">
        <f>'45a'!T14/('35b'!$C$26*('4'!$B$30/'4'!$B$26))/52</f>
        <v>101.45942325079456</v>
      </c>
      <c r="U14" s="836">
        <f>'45a'!U14/('35b'!$C$27*('4'!$B$30/'4'!$B$26))/52</f>
        <v>100.08548820510555</v>
      </c>
      <c r="V14" s="836">
        <f>'45a'!V14/('35b'!$C$27*('4'!$B$30/'4'!$B$26))/52</f>
        <v>100.40431403667706</v>
      </c>
      <c r="W14" s="836">
        <f>'45a'!W14/('35b'!$C$27*('4'!$B$30/'4'!$B$26))/52</f>
        <v>100.90232871255726</v>
      </c>
      <c r="Y14" s="662">
        <f>((((E14/D14))^(1/3))-1)*100</f>
        <v>-2.5487830240364384</v>
      </c>
      <c r="Z14" s="662">
        <f>((((P14/E14))^(1/11))-1)*100</f>
        <v>-0.14508392146268534</v>
      </c>
      <c r="AA14" s="733">
        <f>((((W14/D14))^(1/21))-1)*100</f>
        <v>-0.33826090338844317</v>
      </c>
      <c r="AB14" s="733">
        <f>((((W14/P14))^(1/6))-1)*100</f>
        <v>0.37186358049703383</v>
      </c>
      <c r="AC14" s="262"/>
      <c r="AD14" s="733">
        <f>((W14/D14)-1)*100</f>
        <v>-6.8682662138193518</v>
      </c>
    </row>
    <row r="15" spans="1:30">
      <c r="A15" s="832" t="s">
        <v>1223</v>
      </c>
      <c r="B15" s="832"/>
      <c r="C15" s="832"/>
      <c r="D15" s="833"/>
      <c r="E15" s="663"/>
      <c r="F15" s="261"/>
      <c r="G15" s="261"/>
      <c r="H15" s="261"/>
      <c r="I15" s="261"/>
      <c r="J15" s="663"/>
      <c r="K15" s="261"/>
      <c r="L15" s="261"/>
      <c r="M15" s="261"/>
      <c r="N15" s="261"/>
      <c r="O15" s="261"/>
      <c r="P15" s="261"/>
      <c r="Q15" s="261"/>
      <c r="R15" s="261"/>
      <c r="S15" s="261"/>
      <c r="T15" s="261"/>
      <c r="U15" s="261"/>
      <c r="V15" s="261"/>
      <c r="W15" s="261"/>
      <c r="Y15" s="662"/>
      <c r="Z15" s="662"/>
      <c r="AA15" s="662"/>
      <c r="AB15" s="662"/>
    </row>
    <row r="16" spans="1:30">
      <c r="A16" s="256" t="s">
        <v>545</v>
      </c>
      <c r="D16" s="834">
        <f>'45a'!D16/('35b'!$F$8*('4'!$C$30/'4'!$C$26))/52</f>
        <v>50.255558748709419</v>
      </c>
      <c r="E16" s="835">
        <f>'45a'!E16/('35b'!$F$11*('4'!$C$30/'4'!$C$26))/52</f>
        <v>52.449947312961008</v>
      </c>
      <c r="F16" s="836">
        <f>'45a'!F16/('35b'!$F$12*('4'!$C$30/'4'!$C$26))/52</f>
        <v>55.693092832496532</v>
      </c>
      <c r="G16" s="836">
        <f>'45a'!G16/('35b'!$F$13*('4'!$C$30/'4'!$C$26))/52</f>
        <v>51.783947847394138</v>
      </c>
      <c r="H16" s="836">
        <f>'45a'!H16/('35b'!$F$14*('4'!$C$30/'4'!$C$26))/52</f>
        <v>55.515501081470802</v>
      </c>
      <c r="I16" s="836">
        <f>'45a'!I16/('35b'!$F$15*('4'!$C$30/'4'!$C$26))/52</f>
        <v>55.930064888248012</v>
      </c>
      <c r="J16" s="835">
        <f>'45a'!J16/('35b'!$F$16*('4'!$C$30/'4'!$C$26))/52</f>
        <v>58.292651082395146</v>
      </c>
      <c r="K16" s="836">
        <f>'45a'!K16/('35b'!$F$17*('4'!$C$30/'4'!$C$26))/52</f>
        <v>60.211571111401327</v>
      </c>
      <c r="L16" s="836">
        <f>'45a'!L16/('35b'!$F$18*('4'!$C$30/'4'!$C$26))/52</f>
        <v>58.721949030168211</v>
      </c>
      <c r="M16" s="836">
        <f>'45a'!M16/('35b'!$F$19*('4'!$C$30/'4'!$C$26))/52</f>
        <v>54.164431881326884</v>
      </c>
      <c r="N16" s="836">
        <f>'45a'!N16/('35b'!$F$20*('4'!$C$30/'4'!$C$26))/52</f>
        <v>54.873355969246376</v>
      </c>
      <c r="O16" s="836">
        <f>'45a'!O16/('35b'!$F$21*('4'!$C$30/'4'!$C$26))/52</f>
        <v>53.066314710150323</v>
      </c>
      <c r="P16" s="836">
        <f>'45a'!P16/('35b'!$F$22*('4'!$C$30/'4'!$C$26))/52</f>
        <v>54.55359708784367</v>
      </c>
      <c r="Q16" s="836">
        <f>'45a'!Q16/('35b'!$F$23*('4'!$C$30/'4'!$C$26))/52</f>
        <v>58.320241402433183</v>
      </c>
      <c r="R16" s="836">
        <f>'45a'!R16/('35b'!$F$24*('4'!$C$30/'4'!$C$26))/52</f>
        <v>55.253902112377361</v>
      </c>
      <c r="S16" s="836">
        <f>'45a'!S16/('35b'!$F$25*('4'!$C$30/'4'!$C$26))/52</f>
        <v>56.511868907671882</v>
      </c>
      <c r="T16" s="836">
        <f>'45a'!T16/('35b'!$F$26*('4'!$C$30/'4'!$C$26))/52</f>
        <v>56.571755263098908</v>
      </c>
      <c r="U16" s="836">
        <f>'45a'!U16/('35b'!$F$27*('4'!$C$30/'4'!$C$26))/52</f>
        <v>55.858768192300062</v>
      </c>
      <c r="V16" s="836">
        <f>'45a'!V16/('35b'!$F$27*('4'!$C$30/'4'!$C$26))/52</f>
        <v>55.868906045031288</v>
      </c>
      <c r="W16" s="836">
        <f>'45a'!W16/('35b'!$F$27*('4'!$C$30/'4'!$C$26))/52</f>
        <v>56.212771338250789</v>
      </c>
      <c r="Y16" s="662">
        <f>((((E16/D16))^(1/3))-1)*100</f>
        <v>1.4348014527103548</v>
      </c>
      <c r="Z16" s="662">
        <f>((((P16/E16))^(1/11))-1)*100</f>
        <v>0.35813359767833397</v>
      </c>
      <c r="AA16" s="733">
        <f>((((W16/D16))^(1/21))-1)*100</f>
        <v>0.53486731796090758</v>
      </c>
      <c r="AB16" s="733">
        <f>((((W16/P16))^(1/6))-1)*100</f>
        <v>0.50058757174555879</v>
      </c>
      <c r="AC16" s="257"/>
      <c r="AD16" s="733">
        <f>((W16/D16)-1)*100</f>
        <v>11.853838138242478</v>
      </c>
    </row>
    <row r="17" spans="1:30">
      <c r="A17" s="256" t="s">
        <v>1219</v>
      </c>
      <c r="D17" s="834"/>
      <c r="E17" s="835">
        <f>'45a'!E17/('35b'!$F$11*('4'!$C$30/'4'!$C$26))/52</f>
        <v>52.449947312961008</v>
      </c>
      <c r="F17" s="836">
        <f>'45a'!F17/('35b'!$F$12*('4'!$C$30/'4'!$C$26))/52</f>
        <v>55.693092832496532</v>
      </c>
      <c r="G17" s="836">
        <f>'45a'!G17/('35b'!$F$13*('4'!$C$30/'4'!$C$26))/52</f>
        <v>51.783947847394138</v>
      </c>
      <c r="H17" s="836">
        <f>'45a'!H17/('35b'!$F$14*('4'!$C$30/'4'!$C$26))/52</f>
        <v>55.515501081470802</v>
      </c>
      <c r="I17" s="836">
        <f>'45a'!I17/('35b'!$F$15*('4'!$C$30/'4'!$C$26))/52</f>
        <v>55.930064888248012</v>
      </c>
      <c r="J17" s="835">
        <f>'45a'!J17/('35b'!$F$16*('4'!$C$30/'4'!$C$26))/52</f>
        <v>58.292651082395146</v>
      </c>
      <c r="K17" s="836">
        <f>'45a'!K17/('35b'!$F$17*('4'!$C$30/'4'!$C$26))/52</f>
        <v>60.211571111401327</v>
      </c>
      <c r="L17" s="836">
        <f>'45a'!L17/('35b'!$F$18*('4'!$C$30/'4'!$C$26))/52</f>
        <v>58.721949030168211</v>
      </c>
      <c r="M17" s="836">
        <f>'45a'!M17/('35b'!$F$19*('4'!$C$30/'4'!$C$26))/52</f>
        <v>54.164431881326884</v>
      </c>
      <c r="N17" s="836">
        <f>'45a'!N17/('35b'!$F$20*('4'!$C$30/'4'!$C$26))/52</f>
        <v>54.873355969246376</v>
      </c>
      <c r="O17" s="836">
        <f>'45a'!O17/('35b'!$F$21*('4'!$C$30/'4'!$C$26))/52</f>
        <v>53.066314710150323</v>
      </c>
      <c r="P17" s="836">
        <f>'45a'!P17/('35b'!$F$22*('4'!$C$30/'4'!$C$26))/52</f>
        <v>54.55359708784367</v>
      </c>
      <c r="Q17" s="836">
        <f>'45a'!Q17/('35b'!$F$23*('4'!$C$30/'4'!$C$26))/52</f>
        <v>58.320241402433183</v>
      </c>
      <c r="R17" s="836">
        <f>'45a'!R17/('35b'!$F$24*('4'!$C$30/'4'!$C$26))/52</f>
        <v>55.253902112377361</v>
      </c>
      <c r="S17" s="836">
        <f>'45a'!S17/('35b'!$F$25*('4'!$C$30/'4'!$C$26))/52</f>
        <v>56.511868907671882</v>
      </c>
      <c r="T17" s="836">
        <f>'45a'!T17/('35b'!$F$26*('4'!$C$30/'4'!$C$26))/52</f>
        <v>56.571755263098908</v>
      </c>
      <c r="U17" s="836">
        <f>'45a'!U17/('35b'!$F$27*('4'!$C$30/'4'!$C$26))/52</f>
        <v>55.858768192300062</v>
      </c>
      <c r="V17" s="836">
        <f>'45a'!V17/('35b'!$F$27*('4'!$C$30/'4'!$C$26))/52</f>
        <v>55.868906045031288</v>
      </c>
      <c r="W17" s="836">
        <f>'45a'!W17/('35b'!$F$27*('4'!$C$30/'4'!$C$26))/52</f>
        <v>56.212771338250789</v>
      </c>
      <c r="Y17" s="662" t="s">
        <v>374</v>
      </c>
      <c r="Z17" s="662">
        <f>((((P17/E17))^(1/11))-1)*100</f>
        <v>0.35813359767833397</v>
      </c>
      <c r="AA17" s="733">
        <f>((((W17/E17))^(1/18))-1)*100</f>
        <v>0.38565646348358573</v>
      </c>
      <c r="AB17" s="733">
        <f>((((W17/P17))^(1/6))-1)*100</f>
        <v>0.50058757174555879</v>
      </c>
      <c r="AC17" s="262"/>
      <c r="AD17" s="733">
        <f>((W17/E17)-1)*100</f>
        <v>7.1741235560020211</v>
      </c>
    </row>
    <row r="18" spans="1:30">
      <c r="A18" s="256" t="s">
        <v>1222</v>
      </c>
      <c r="D18" s="834">
        <f>'45a'!D18/('35b'!$F$8*('4'!$C$30/'4'!$C$26))/52</f>
        <v>68.795016425959204</v>
      </c>
      <c r="E18" s="835">
        <f>'45a'!E18/('35b'!$F$11*('4'!$C$30/'4'!$C$26))/52</f>
        <v>71.527924130663848</v>
      </c>
      <c r="F18" s="836">
        <f>'45a'!F18/('35b'!$F$12*('4'!$C$30/'4'!$C$26))/52</f>
        <v>74.982972696179417</v>
      </c>
      <c r="G18" s="836">
        <f>'45a'!G18/('35b'!$F$13*('4'!$C$30/'4'!$C$26))/52</f>
        <v>70.79806999057179</v>
      </c>
      <c r="H18" s="836">
        <f>'45a'!H18/('35b'!$F$14*('4'!$C$30/'4'!$C$26))/52</f>
        <v>68.89336233243948</v>
      </c>
      <c r="I18" s="836">
        <f>'45a'!I18/('35b'!$F$15*('4'!$C$30/'4'!$C$26))/52</f>
        <v>70.404288504652925</v>
      </c>
      <c r="J18" s="835">
        <f>'45a'!J18/('35b'!$F$16*('4'!$C$30/'4'!$C$26))/52</f>
        <v>73.368675814281318</v>
      </c>
      <c r="K18" s="836">
        <f>'45a'!K18/('35b'!$F$17*('4'!$C$30/'4'!$C$26))/52</f>
        <v>75.461025260876994</v>
      </c>
      <c r="L18" s="836">
        <f>'45a'!L18/('35b'!$F$18*('4'!$C$30/'4'!$C$26))/52</f>
        <v>72.244477617765298</v>
      </c>
      <c r="M18" s="836">
        <f>'45a'!M18/('35b'!$F$19*('4'!$C$30/'4'!$C$26))/52</f>
        <v>70.614077234456317</v>
      </c>
      <c r="N18" s="836">
        <f>'45a'!N18/('35b'!$F$20*('4'!$C$30/'4'!$C$26))/52</f>
        <v>70.6817691694404</v>
      </c>
      <c r="O18" s="836">
        <f>'45a'!O18/('35b'!$F$21*('4'!$C$30/'4'!$C$26))/52</f>
        <v>68.735536273387751</v>
      </c>
      <c r="P18" s="836">
        <f>'45a'!P18/('35b'!$F$22*('4'!$C$30/'4'!$C$26))/52</f>
        <v>70.308685546609127</v>
      </c>
      <c r="Q18" s="836">
        <f>'45a'!Q18/('35b'!$F$23*('4'!$C$30/'4'!$C$26))/52</f>
        <v>72.151421037506111</v>
      </c>
      <c r="R18" s="836">
        <f>'45a'!R18/('35b'!$F$24*('4'!$C$30/'4'!$C$26))/52</f>
        <v>69.49208697969992</v>
      </c>
      <c r="S18" s="836">
        <f>'45a'!S18/('35b'!$F$25*('4'!$C$30/'4'!$C$26))/52</f>
        <v>69.658705069663981</v>
      </c>
      <c r="T18" s="836">
        <f>'45a'!T18/('35b'!$F$26*('4'!$C$30/'4'!$C$26))/52</f>
        <v>71.35968647603103</v>
      </c>
      <c r="U18" s="836">
        <f>'45a'!U18/('35b'!$F$27*('4'!$C$30/'4'!$C$26))/52</f>
        <v>69.470637200417642</v>
      </c>
      <c r="V18" s="836">
        <f>'45a'!V18/('35b'!$F$27*('4'!$C$30/'4'!$C$26))/52</f>
        <v>69.454162276080083</v>
      </c>
      <c r="W18" s="836">
        <f>'45a'!W18/('35b'!$F$27*('4'!$C$30/'4'!$C$26))/52</f>
        <v>69.739981873924023</v>
      </c>
      <c r="Y18" s="662">
        <f>((((E18/D18))^(1/3))-1)*100</f>
        <v>1.3070216263374235</v>
      </c>
      <c r="Z18" s="662">
        <f>((((P18/E18))^(1/11))-1)*100</f>
        <v>-0.15617410126529396</v>
      </c>
      <c r="AA18" s="733">
        <f>((((W18/D18))^(1/21))-1)*100</f>
        <v>6.4985271482354001E-2</v>
      </c>
      <c r="AB18" s="733">
        <f>((((W18/P18))^(1/6))-1)*100</f>
        <v>-0.13526775700469784</v>
      </c>
      <c r="AC18" s="257"/>
      <c r="AD18" s="733">
        <f>((W18/D18)-1)*100</f>
        <v>1.3735957879766447</v>
      </c>
    </row>
    <row r="19" spans="1:30">
      <c r="A19" s="256" t="s">
        <v>1221</v>
      </c>
      <c r="D19" s="834">
        <f>'45a'!D19/('35b'!$F$8*('4'!$C$30/'4'!$C$26))/52</f>
        <v>100.86249288422172</v>
      </c>
      <c r="E19" s="835">
        <f>'45a'!E19/('35b'!$F$11*('4'!$C$30/'4'!$C$26))/52</f>
        <v>103.35992774348937</v>
      </c>
      <c r="F19" s="836">
        <f>'45a'!F19/('35b'!$F$12*('4'!$C$30/'4'!$C$26))/52</f>
        <v>109.45680695882145</v>
      </c>
      <c r="G19" s="836">
        <f>'45a'!G19/('35b'!$F$13*('4'!$C$30/'4'!$C$26))/52</f>
        <v>102.87378086945498</v>
      </c>
      <c r="H19" s="836">
        <f>'45a'!H19/('35b'!$F$14*('4'!$C$30/'4'!$C$26))/52</f>
        <v>104.01530697132713</v>
      </c>
      <c r="I19" s="836">
        <f>'45a'!I19/('35b'!$F$15*('4'!$C$30/'4'!$C$26))/52</f>
        <v>104.7757961817082</v>
      </c>
      <c r="J19" s="835">
        <f>'45a'!J19/('35b'!$F$16*('4'!$C$30/'4'!$C$26))/52</f>
        <v>109.19846375686319</v>
      </c>
      <c r="K19" s="836">
        <f>'45a'!K19/('35b'!$F$17*('4'!$C$30/'4'!$C$26))/52</f>
        <v>111.24622745675376</v>
      </c>
      <c r="L19" s="836">
        <f>'45a'!L19/('35b'!$F$18*('4'!$C$30/'4'!$C$26))/52</f>
        <v>107.70080148162342</v>
      </c>
      <c r="M19" s="836">
        <f>'45a'!M19/('35b'!$F$19*('4'!$C$30/'4'!$C$26))/52</f>
        <v>105.15119149170033</v>
      </c>
      <c r="N19" s="836">
        <f>'45a'!N19/('35b'!$F$20*('4'!$C$30/'4'!$C$26))/52</f>
        <v>105.27427540181436</v>
      </c>
      <c r="O19" s="836">
        <f>'45a'!O19/('35b'!$F$21*('4'!$C$30/'4'!$C$26))/52</f>
        <v>102.94049422445057</v>
      </c>
      <c r="P19" s="836">
        <f>'45a'!P19/('35b'!$F$22*('4'!$C$30/'4'!$C$26))/52</f>
        <v>105.75715902393405</v>
      </c>
      <c r="Q19" s="836">
        <f>'45a'!Q19/('35b'!$F$23*('4'!$C$30/'4'!$C$26))/52</f>
        <v>108.03167608647063</v>
      </c>
      <c r="R19" s="836">
        <f>'45a'!R19/('35b'!$F$24*('4'!$C$30/'4'!$C$26))/52</f>
        <v>103.4359920981897</v>
      </c>
      <c r="S19" s="836">
        <f>'45a'!S19/('35b'!$F$25*('4'!$C$30/'4'!$C$26))/52</f>
        <v>104.55053292294991</v>
      </c>
      <c r="T19" s="836">
        <f>'45a'!T19/('35b'!$F$26*('4'!$C$30/'4'!$C$26))/52</f>
        <v>106.21278419746035</v>
      </c>
      <c r="U19" s="836">
        <f>'45a'!U19/('35b'!$F$27*('4'!$C$30/'4'!$C$26))/52</f>
        <v>104.00033338691335</v>
      </c>
      <c r="V19" s="836">
        <f>'45a'!V19/('35b'!$F$27*('4'!$C$30/'4'!$C$26))/52</f>
        <v>104.23458762477763</v>
      </c>
      <c r="W19" s="836">
        <f>'45a'!W19/('35b'!$F$27*('4'!$C$30/'4'!$C$26))/52</f>
        <v>105.04929920572872</v>
      </c>
      <c r="Y19" s="662">
        <f>((((E19/D19))^(1/3))-1)*100</f>
        <v>0.81863962251549349</v>
      </c>
      <c r="Z19" s="662">
        <f>((((P19/E19))^(1/11))-1)*100</f>
        <v>0.20865531289016026</v>
      </c>
      <c r="AA19" s="733">
        <f>((((W19/D19))^(1/21))-1)*100</f>
        <v>0.1938620680416836</v>
      </c>
      <c r="AB19" s="733">
        <f>((((W19/P19))^(1/6))-1)*100</f>
        <v>-0.11186666665081724</v>
      </c>
      <c r="AC19" s="262"/>
      <c r="AD19" s="733">
        <f>((W19/D19)-1)*100</f>
        <v>4.1510042056098539</v>
      </c>
    </row>
    <row r="20" spans="1:30">
      <c r="A20" s="256" t="s">
        <v>1224</v>
      </c>
      <c r="D20" s="838"/>
      <c r="E20" s="263"/>
      <c r="F20" s="264"/>
      <c r="G20" s="264"/>
      <c r="H20" s="264"/>
      <c r="I20" s="264"/>
      <c r="J20" s="263"/>
      <c r="K20" s="264"/>
      <c r="L20" s="264"/>
      <c r="M20" s="264"/>
      <c r="N20" s="264"/>
      <c r="O20" s="264"/>
      <c r="P20" s="264"/>
      <c r="Q20" s="264"/>
      <c r="R20" s="264"/>
      <c r="S20" s="264"/>
      <c r="T20" s="264"/>
      <c r="U20" s="264"/>
      <c r="V20" s="264"/>
      <c r="W20" s="264"/>
      <c r="Y20" s="662"/>
      <c r="Z20" s="662"/>
      <c r="AA20" s="662"/>
      <c r="AB20" s="662"/>
    </row>
    <row r="21" spans="1:30">
      <c r="A21" s="256" t="s">
        <v>545</v>
      </c>
      <c r="D21" s="834">
        <f>'45a'!D21/('35b'!$G$8*('4'!$D$30/'4'!$D$26))/52</f>
        <v>48.74440797957967</v>
      </c>
      <c r="E21" s="835">
        <f>'45a'!E21/('35b'!$G$11*('4'!$D$30/'4'!$D$26))/52</f>
        <v>43.52898528525769</v>
      </c>
      <c r="F21" s="836">
        <f>'45a'!F21/('35b'!$G$12*('4'!$D$30/'4'!$D$26))/52</f>
        <v>50.496584260025124</v>
      </c>
      <c r="G21" s="836">
        <f>'45a'!G21/('35b'!$G$13*('4'!$D$30/'4'!$D$26))/52</f>
        <v>49.727215661823259</v>
      </c>
      <c r="H21" s="836">
        <f>'45a'!H21/('35b'!$G$14*('4'!$D$30/'4'!$D$26))/52</f>
        <v>54.095193489842522</v>
      </c>
      <c r="I21" s="836">
        <f>'45a'!I21/('35b'!$G$15*('4'!$D$30/'4'!$D$26))/52</f>
        <v>54.766854960052086</v>
      </c>
      <c r="J21" s="835">
        <f>'45a'!J21/('35b'!$G$16*('4'!$D$30/'4'!$D$26))/52</f>
        <v>57.468530555248599</v>
      </c>
      <c r="K21" s="836">
        <f>'45a'!K21/('35b'!$G$17*('4'!$D$30/'4'!$D$26))/52</f>
        <v>59.25231814026381</v>
      </c>
      <c r="L21" s="836">
        <f>'45a'!L21/('35b'!$G$18*('4'!$D$30/'4'!$D$26))/52</f>
        <v>54.909308354344375</v>
      </c>
      <c r="M21" s="836">
        <f>'45a'!M21/('35b'!$G$19*('4'!$D$30/'4'!$D$26))/52</f>
        <v>53.024695497813774</v>
      </c>
      <c r="N21" s="836">
        <f>'45a'!N21/('35b'!$G$20*('4'!$D$30/'4'!$D$26))/52</f>
        <v>54.538405304409892</v>
      </c>
      <c r="O21" s="836">
        <f>'45a'!O21/('35b'!$G$21*('4'!$D$30/'4'!$D$26))/52</f>
        <v>54.538937152313302</v>
      </c>
      <c r="P21" s="836">
        <f>'45a'!P21/('35b'!$G$22*('4'!$D$30/'4'!$D$26))/52</f>
        <v>53.800316401122863</v>
      </c>
      <c r="Q21" s="836">
        <f>'45a'!Q21/('35b'!$G$23*('4'!$D$30/'4'!$D$26))/52</f>
        <v>53.794884075056494</v>
      </c>
      <c r="R21" s="836">
        <f>'45a'!R21/('35b'!$G$24*('4'!$D$30/'4'!$D$26))/52</f>
        <v>53.083739239653227</v>
      </c>
      <c r="S21" s="836">
        <f>'45a'!S21/('35b'!$G$25*('4'!$D$30/'4'!$D$26))/52</f>
        <v>52.576233802040257</v>
      </c>
      <c r="T21" s="836">
        <f>'45a'!T21/('35b'!$G$26*('4'!$D$30/'4'!$D$26))/52</f>
        <v>50.979565650781531</v>
      </c>
      <c r="U21" s="836">
        <f>'45a'!U21/('35b'!$G$27*('4'!$D$30/'4'!$D$26))/52</f>
        <v>50.18572772367839</v>
      </c>
      <c r="V21" s="836">
        <f>'45a'!V21/('35b'!$G$27*('4'!$D$30/'4'!$D$26))/52</f>
        <v>50.433634992458529</v>
      </c>
      <c r="W21" s="836">
        <f>'45a'!W21/('35b'!$G$27*('4'!$D$30/'4'!$D$26))/52</f>
        <v>50.952690836466935</v>
      </c>
      <c r="Y21" s="662">
        <f>((((E21/D21))^(1/3))-1)*100</f>
        <v>-3.7018565372204604</v>
      </c>
      <c r="Z21" s="662">
        <f>((((P21/E21))^(1/11))-1)*100</f>
        <v>1.944595702035623</v>
      </c>
      <c r="AA21" s="733">
        <f>((((W21/D21))^(1/21))-1)*100</f>
        <v>0.21120886950112272</v>
      </c>
      <c r="AB21" s="733">
        <f>((((W21/P21))^(1/6))-1)*100</f>
        <v>-0.90226785687260724</v>
      </c>
      <c r="AC21" s="257"/>
      <c r="AD21" s="733">
        <f>((W21/D21)-1)*100</f>
        <v>4.5303306541590871</v>
      </c>
    </row>
    <row r="22" spans="1:30">
      <c r="A22" s="256" t="s">
        <v>1219</v>
      </c>
      <c r="C22" s="757"/>
      <c r="D22" s="834"/>
      <c r="E22" s="835">
        <f>'45a'!E22/('35b'!$G$11*('4'!$D$30/'4'!$D$26))/52</f>
        <v>43.52898528525769</v>
      </c>
      <c r="F22" s="836">
        <f>'45a'!F22/('35b'!$G$12*('4'!$D$30/'4'!$D$26))/52</f>
        <v>50.496584260025124</v>
      </c>
      <c r="G22" s="836">
        <f>'45a'!G22/('35b'!$G$13*('4'!$D$30/'4'!$D$26))/52</f>
        <v>49.727215661823259</v>
      </c>
      <c r="H22" s="836">
        <f>'45a'!H22/('35b'!$G$14*('4'!$D$30/'4'!$D$26))/52</f>
        <v>54.095193489842522</v>
      </c>
      <c r="I22" s="836">
        <f>'45a'!I22/('35b'!$G$15*('4'!$D$30/'4'!$D$26))/52</f>
        <v>54.766854960052086</v>
      </c>
      <c r="J22" s="835">
        <f>'45a'!J22/('35b'!$G$16*('4'!$D$30/'4'!$D$26))/52</f>
        <v>57.468530555248599</v>
      </c>
      <c r="K22" s="836">
        <f>'45a'!K22/('35b'!$G$17*('4'!$D$30/'4'!$D$26))/52</f>
        <v>59.25231814026381</v>
      </c>
      <c r="L22" s="836">
        <f>'45a'!L22/('35b'!$G$18*('4'!$D$30/'4'!$D$26))/52</f>
        <v>54.909308354344375</v>
      </c>
      <c r="M22" s="836">
        <f>'45a'!M22/('35b'!$G$19*('4'!$D$30/'4'!$D$26))/52</f>
        <v>53.024695497813774</v>
      </c>
      <c r="N22" s="836">
        <f>'45a'!N22/('35b'!$G$20*('4'!$D$30/'4'!$D$26))/52</f>
        <v>54.538405304409892</v>
      </c>
      <c r="O22" s="836">
        <f>'45a'!O22/('35b'!$G$21*('4'!$D$30/'4'!$D$26))/52</f>
        <v>54.538937152313302</v>
      </c>
      <c r="P22" s="836">
        <f>'45a'!P22/('35b'!$G$22*('4'!$D$30/'4'!$D$26))/52</f>
        <v>53.800316401122863</v>
      </c>
      <c r="Q22" s="836">
        <f>'45a'!Q22/('35b'!$G$23*('4'!$D$30/'4'!$D$26))/52</f>
        <v>53.794884075056494</v>
      </c>
      <c r="R22" s="836">
        <f>'45a'!R22/('35b'!$G$24*('4'!$D$30/'4'!$D$26))/52</f>
        <v>53.083739239653227</v>
      </c>
      <c r="S22" s="836">
        <f>'45a'!S22/('35b'!$G$25*('4'!$D$30/'4'!$D$26))/52</f>
        <v>52.576233802040257</v>
      </c>
      <c r="T22" s="836">
        <f>'45a'!T22/('35b'!$G$26*('4'!$D$30/'4'!$D$26))/52</f>
        <v>50.979565650781531</v>
      </c>
      <c r="U22" s="836">
        <f>'45a'!U22/('35b'!$G$27*('4'!$D$30/'4'!$D$26))/52</f>
        <v>50.18572772367839</v>
      </c>
      <c r="V22" s="836">
        <f>'45a'!V22/('35b'!$G$27*('4'!$D$30/'4'!$D$26))/52</f>
        <v>50.433634992458529</v>
      </c>
      <c r="W22" s="836">
        <f>'45a'!W22/('35b'!$G$27*('4'!$D$30/'4'!$D$26))/52</f>
        <v>50.952690836466935</v>
      </c>
      <c r="Y22" s="662" t="s">
        <v>374</v>
      </c>
      <c r="Z22" s="662">
        <f>((((P22/E22))^(1/11))-1)*100</f>
        <v>1.944595702035623</v>
      </c>
      <c r="AA22" s="733">
        <f>((((W22/E22))^(1/18))-1)*100</f>
        <v>0.87867413684123985</v>
      </c>
      <c r="AB22" s="733">
        <f>((((W22/P22))^(1/6))-1)*100</f>
        <v>-0.90226785687260724</v>
      </c>
      <c r="AC22" s="262"/>
      <c r="AD22" s="733">
        <f>((W22/E22)-1)*100</f>
        <v>17.054625791434397</v>
      </c>
    </row>
    <row r="23" spans="1:30">
      <c r="A23" s="256" t="s">
        <v>1222</v>
      </c>
      <c r="D23" s="834">
        <f>'45a'!D23/('35b'!$G$8*('4'!$D$30/'4'!$D$26))/52</f>
        <v>65.866331154836374</v>
      </c>
      <c r="E23" s="835">
        <f>'45a'!E23/('35b'!$G$11*('4'!$D$30/'4'!$D$26))/52</f>
        <v>58.787305088380357</v>
      </c>
      <c r="F23" s="836">
        <f>'45a'!F23/('35b'!$G$12*('4'!$D$30/'4'!$D$26))/52</f>
        <v>67.857857977851751</v>
      </c>
      <c r="G23" s="836">
        <f>'45a'!G23/('35b'!$G$13*('4'!$D$30/'4'!$D$26))/52</f>
        <v>67.487910353593421</v>
      </c>
      <c r="H23" s="836">
        <f>'45a'!H23/('35b'!$G$14*('4'!$D$30/'4'!$D$26))/52</f>
        <v>67.057749407680802</v>
      </c>
      <c r="I23" s="836">
        <f>'45a'!I23/('35b'!$G$15*('4'!$D$30/'4'!$D$26))/52</f>
        <v>68.89165405011471</v>
      </c>
      <c r="J23" s="835">
        <f>'45a'!J23/('35b'!$G$16*('4'!$D$30/'4'!$D$26))/52</f>
        <v>71.699497406711856</v>
      </c>
      <c r="K23" s="836">
        <f>'45a'!K23/('35b'!$G$17*('4'!$D$30/'4'!$D$26))/52</f>
        <v>73.115526738317101</v>
      </c>
      <c r="L23" s="836">
        <f>'45a'!L23/('35b'!$G$18*('4'!$D$30/'4'!$D$26))/52</f>
        <v>68.571145007580483</v>
      </c>
      <c r="M23" s="836">
        <f>'45a'!M23/('35b'!$G$19*('4'!$D$30/'4'!$D$26))/52</f>
        <v>67.033052912923424</v>
      </c>
      <c r="N23" s="836">
        <f>'45a'!N23/('35b'!$G$20*('4'!$D$30/'4'!$D$26))/52</f>
        <v>67.042538677626553</v>
      </c>
      <c r="O23" s="836">
        <f>'45a'!O23/('35b'!$G$21*('4'!$D$30/'4'!$D$26))/52</f>
        <v>68.111066875315657</v>
      </c>
      <c r="P23" s="836">
        <f>'45a'!P23/('35b'!$G$22*('4'!$D$30/'4'!$D$26))/52</f>
        <v>67.778581005363009</v>
      </c>
      <c r="Q23" s="836">
        <f>'45a'!Q23/('35b'!$G$23*('4'!$D$30/'4'!$D$26))/52</f>
        <v>66.947116822202048</v>
      </c>
      <c r="R23" s="836">
        <f>'45a'!R23/('35b'!$G$24*('4'!$D$30/'4'!$D$26))/52</f>
        <v>65.968894373912306</v>
      </c>
      <c r="S23" s="836">
        <f>'45a'!S23/('35b'!$G$25*('4'!$D$30/'4'!$D$26))/52</f>
        <v>65.071890276191368</v>
      </c>
      <c r="T23" s="836">
        <f>'45a'!T23/('35b'!$G$26*('4'!$D$30/'4'!$D$26))/52</f>
        <v>63.549326328482671</v>
      </c>
      <c r="U23" s="836">
        <f>'45a'!U23/('35b'!$G$27*('4'!$D$30/'4'!$D$26))/52</f>
        <v>62.486626497766864</v>
      </c>
      <c r="V23" s="836">
        <f>'45a'!V23/('35b'!$G$27*('4'!$D$30/'4'!$D$26))/52</f>
        <v>62.857169712008428</v>
      </c>
      <c r="W23" s="836">
        <f>'45a'!W23/('35b'!$G$27*('4'!$D$30/'4'!$D$26))/52</f>
        <v>62.926406848196393</v>
      </c>
      <c r="Y23" s="662">
        <f>((((E23/D23))^(1/3))-1)*100</f>
        <v>-3.7191255127919209</v>
      </c>
      <c r="Z23" s="662">
        <f>((((P23/E23))^(1/11))-1)*100</f>
        <v>1.3022269759622063</v>
      </c>
      <c r="AA23" s="733">
        <f>((((W23/D23))^(1/21))-1)*100</f>
        <v>-0.21719951554536321</v>
      </c>
      <c r="AB23" s="733">
        <f>((((W23/P23))^(1/6))-1)*100</f>
        <v>-1.2303737769093326</v>
      </c>
      <c r="AC23" s="257"/>
      <c r="AD23" s="733">
        <f>((W23/D23)-1)*100</f>
        <v>-4.4634705700077664</v>
      </c>
    </row>
    <row r="24" spans="1:30">
      <c r="A24" s="256" t="s">
        <v>1221</v>
      </c>
      <c r="D24" s="834">
        <f>'45a'!D24/('35b'!$G$8*('4'!$D$30/'4'!$D$26))/52</f>
        <v>96.294961214316032</v>
      </c>
      <c r="E24" s="835">
        <f>'45a'!E24/('35b'!$G$11*('4'!$D$30/'4'!$D$26))/52</f>
        <v>85.992029547309414</v>
      </c>
      <c r="F24" s="836">
        <f>'45a'!F24/('35b'!$G$12*('4'!$D$30/'4'!$D$26))/52</f>
        <v>99.989342666913501</v>
      </c>
      <c r="G24" s="836">
        <f>'45a'!G24/('35b'!$G$13*('4'!$D$30/'4'!$D$26))/52</f>
        <v>99.433591967954825</v>
      </c>
      <c r="H24" s="836">
        <f>'45a'!H24/('35b'!$G$14*('4'!$D$30/'4'!$D$26))/52</f>
        <v>100.52400793615297</v>
      </c>
      <c r="I24" s="836">
        <f>'45a'!I24/('35b'!$G$15*('4'!$D$30/'4'!$D$26))/52</f>
        <v>103.06791816412641</v>
      </c>
      <c r="J24" s="835">
        <f>'45a'!J24/('35b'!$G$16*('4'!$D$30/'4'!$D$26))/52</f>
        <v>107.27775662434554</v>
      </c>
      <c r="K24" s="836">
        <f>'45a'!K24/('35b'!$G$17*('4'!$D$30/'4'!$D$26))/52</f>
        <v>110.17100845823506</v>
      </c>
      <c r="L24" s="836">
        <f>'45a'!L24/('35b'!$G$18*('4'!$D$30/'4'!$D$26))/52</f>
        <v>102.04235221913054</v>
      </c>
      <c r="M24" s="836">
        <f>'45a'!M24/('35b'!$G$19*('4'!$D$30/'4'!$D$26))/52</f>
        <v>98.942178453267161</v>
      </c>
      <c r="N24" s="836">
        <f>'45a'!N24/('35b'!$G$20*('4'!$D$30/'4'!$D$26))/52</f>
        <v>100.57921073203831</v>
      </c>
      <c r="O24" s="836">
        <f>'45a'!O24/('35b'!$G$21*('4'!$D$30/'4'!$D$26))/52</f>
        <v>102.20422510680055</v>
      </c>
      <c r="P24" s="836">
        <f>'45a'!P24/('35b'!$G$22*('4'!$D$30/'4'!$D$26))/52</f>
        <v>101.48365841567708</v>
      </c>
      <c r="Q24" s="836">
        <f>'45a'!Q24/('35b'!$G$23*('4'!$D$30/'4'!$D$26))/52</f>
        <v>100.40837308547961</v>
      </c>
      <c r="R24" s="836">
        <f>'45a'!R24/('35b'!$G$24*('4'!$D$30/'4'!$D$26))/52</f>
        <v>98.919782542611316</v>
      </c>
      <c r="S24" s="836">
        <f>'45a'!S24/('35b'!$G$25*('4'!$D$30/'4'!$D$26))/52</f>
        <v>97.242595066912699</v>
      </c>
      <c r="T24" s="836">
        <f>'45a'!T24/('35b'!$G$26*('4'!$D$30/'4'!$D$26))/52</f>
        <v>95.098276731221958</v>
      </c>
      <c r="U24" s="836">
        <f>'45a'!U24/('35b'!$G$27*('4'!$D$30/'4'!$D$26))/52</f>
        <v>93.686069437855792</v>
      </c>
      <c r="V24" s="836">
        <f>'45a'!V24/('35b'!$G$27*('4'!$D$30/'4'!$D$26))/52</f>
        <v>93.628424688671402</v>
      </c>
      <c r="W24" s="836">
        <f>'45a'!W24/('35b'!$G$27*('4'!$D$30/'4'!$D$26))/52</f>
        <v>94.104988851193795</v>
      </c>
      <c r="Y24" s="662">
        <f>((((E24/D24))^(1/3))-1)*100</f>
        <v>-3.7017905139132834</v>
      </c>
      <c r="Z24" s="662">
        <f>((((P24/E24))^(1/11))-1)*100</f>
        <v>1.5172420234538686</v>
      </c>
      <c r="AA24" s="733">
        <f>((((W24/D24))^(1/21))-1)*100</f>
        <v>-0.10948731373990883</v>
      </c>
      <c r="AB24" s="733">
        <f>((((W24/P24))^(1/6))-1)*100</f>
        <v>-1.2502309064823192</v>
      </c>
      <c r="AC24" s="262"/>
      <c r="AD24" s="733">
        <f>((W24/D24)-1)*100</f>
        <v>-2.2742336000823427</v>
      </c>
    </row>
    <row r="25" spans="1:30">
      <c r="A25" s="256" t="s">
        <v>1225</v>
      </c>
      <c r="D25" s="833"/>
      <c r="E25" s="663"/>
      <c r="F25" s="261"/>
      <c r="G25" s="261"/>
      <c r="H25" s="261"/>
      <c r="I25" s="261"/>
      <c r="J25" s="663"/>
      <c r="K25" s="261"/>
      <c r="L25" s="261"/>
      <c r="M25" s="261"/>
      <c r="N25" s="261"/>
      <c r="O25" s="261"/>
      <c r="P25" s="261"/>
      <c r="Q25" s="261"/>
      <c r="R25" s="261"/>
      <c r="S25" s="261"/>
      <c r="T25" s="261"/>
      <c r="U25" s="261"/>
      <c r="V25" s="261"/>
      <c r="W25" s="261"/>
      <c r="Y25" s="662"/>
      <c r="Z25" s="662"/>
      <c r="AA25" s="662"/>
      <c r="AB25" s="662"/>
    </row>
    <row r="26" spans="1:30">
      <c r="A26" s="256" t="s">
        <v>545</v>
      </c>
      <c r="D26" s="834">
        <f>'45a'!D26/('35b'!$H$8*('4'!$E$30/'4'!$E$26))/52</f>
        <v>51.031848586196404</v>
      </c>
      <c r="E26" s="835">
        <f>'45a'!E26/('35b'!$H$11*('4'!$E$30/'4'!$E$26))/52</f>
        <v>49.286417688591591</v>
      </c>
      <c r="F26" s="836">
        <f>'45a'!F26/('35b'!$H$12*('4'!$E$30/'4'!$E$26))/52</f>
        <v>52.015334035261581</v>
      </c>
      <c r="G26" s="836">
        <f>'45a'!G26/('35b'!$H$13*('4'!$E$30/'4'!$E$26))/52</f>
        <v>51.658196227065204</v>
      </c>
      <c r="H26" s="836">
        <f>'45a'!H26/('35b'!$H$14*('4'!$E$30/'4'!$E$26))/52</f>
        <v>52.811697907754528</v>
      </c>
      <c r="I26" s="836">
        <f>'45a'!I26/('35b'!$H$15*('4'!$E$30/'4'!$E$26))/52</f>
        <v>51.361340188929105</v>
      </c>
      <c r="J26" s="835">
        <f>'45a'!J26/('35b'!$H$16*('4'!$E$30/'4'!$E$26))/52</f>
        <v>53.524574401060399</v>
      </c>
      <c r="K26" s="836">
        <f>'45a'!K26/('35b'!$H$17*('4'!$E$30/'4'!$E$26))/52</f>
        <v>54.828701620596917</v>
      </c>
      <c r="L26" s="836">
        <f>'45a'!L26/('35b'!$H$18*('4'!$E$30/'4'!$E$26))/52</f>
        <v>54.148579630859288</v>
      </c>
      <c r="M26" s="836">
        <f>'45a'!M26/('35b'!$H$19*('4'!$E$30/'4'!$E$26))/52</f>
        <v>52.699124157749687</v>
      </c>
      <c r="N26" s="836">
        <f>'45a'!N26/('35b'!$H$20*('4'!$E$30/'4'!$E$26))/52</f>
        <v>54.496701969528054</v>
      </c>
      <c r="O26" s="836">
        <f>'45a'!O26/('35b'!$H$21*('4'!$E$30/'4'!$E$26))/52</f>
        <v>54.725255847351043</v>
      </c>
      <c r="P26" s="836">
        <f>'45a'!P26/('35b'!$H$22*('4'!$E$30/'4'!$E$26))/52</f>
        <v>53.784469101481641</v>
      </c>
      <c r="Q26" s="836">
        <f>'45a'!Q26/('35b'!$H$23*('4'!$E$30/'4'!$E$26))/52</f>
        <v>55.625121789238001</v>
      </c>
      <c r="R26" s="836">
        <f>'45a'!R26/('35b'!$H$24*('4'!$E$30/'4'!$E$26))/52</f>
        <v>54.205475839416934</v>
      </c>
      <c r="S26" s="836">
        <f>'45a'!S26/('35b'!$H$25*('4'!$E$30/'4'!$E$26))/52</f>
        <v>53.825789669267927</v>
      </c>
      <c r="T26" s="836">
        <f>'45a'!T26/('35b'!$H$26*('4'!$E$30/'4'!$E$26))/52</f>
        <v>51.917154403567444</v>
      </c>
      <c r="U26" s="836">
        <f>'45a'!U26/('35b'!$H$27*('4'!$E$30/'4'!$E$26))/52</f>
        <v>51.639656698799918</v>
      </c>
      <c r="V26" s="836">
        <f>'45a'!V26/('35b'!$H$27*('4'!$E$30/'4'!$E$26))/52</f>
        <v>50.990132611775834</v>
      </c>
      <c r="W26" s="836">
        <f>'45a'!W26/('35b'!$H$27*('4'!$E$30/'4'!$E$26))/52</f>
        <v>51.887173550376879</v>
      </c>
      <c r="Y26" s="662">
        <f>((((E26/D26))^(1/3))-1)*100</f>
        <v>-1.153343411844665</v>
      </c>
      <c r="Z26" s="662">
        <f>((((P26/E26))^(1/11))-1)*100</f>
        <v>0.79712578509110177</v>
      </c>
      <c r="AA26" s="733">
        <f>((((W26/D26))^(1/21))-1)*100</f>
        <v>7.9182294410329312E-2</v>
      </c>
      <c r="AB26" s="733">
        <f>((((W26/P26))^(1/6))-1)*100</f>
        <v>-0.5967643324950922</v>
      </c>
      <c r="AC26" s="257"/>
      <c r="AD26" s="733">
        <f>((W26/D26)-1)*100</f>
        <v>1.6760611027754058</v>
      </c>
    </row>
    <row r="27" spans="1:30">
      <c r="A27" s="256" t="s">
        <v>1219</v>
      </c>
      <c r="C27" s="757"/>
      <c r="D27" s="834"/>
      <c r="E27" s="835">
        <f>'45a'!E27/('35b'!$H$11*('4'!$E$30/'4'!$E$26))/52</f>
        <v>49.286417688591591</v>
      </c>
      <c r="F27" s="836">
        <f>'45a'!F27/('35b'!$H$12*('4'!$E$30/'4'!$E$26))/52</f>
        <v>52.015334035261581</v>
      </c>
      <c r="G27" s="836">
        <f>'45a'!G27/('35b'!$H$13*('4'!$E$30/'4'!$E$26))/52</f>
        <v>51.658196227065204</v>
      </c>
      <c r="H27" s="836">
        <f>'45a'!H27/('35b'!$H$14*('4'!$E$30/'4'!$E$26))/52</f>
        <v>52.811697907754528</v>
      </c>
      <c r="I27" s="836">
        <f>'45a'!I27/('35b'!$H$15*('4'!$E$30/'4'!$E$26))/52</f>
        <v>51.361340188929105</v>
      </c>
      <c r="J27" s="835">
        <f>'45a'!J27/('35b'!$H$16*('4'!$E$30/'4'!$E$26))/52</f>
        <v>53.524574401060399</v>
      </c>
      <c r="K27" s="836">
        <f>'45a'!K27/('35b'!$H$17*('4'!$E$30/'4'!$E$26))/52</f>
        <v>54.828701620596917</v>
      </c>
      <c r="L27" s="836">
        <f>'45a'!L27/('35b'!$H$18*('4'!$E$30/'4'!$E$26))/52</f>
        <v>54.148579630859288</v>
      </c>
      <c r="M27" s="836">
        <f>'45a'!M27/('35b'!$H$19*('4'!$E$30/'4'!$E$26))/52</f>
        <v>52.699124157749687</v>
      </c>
      <c r="N27" s="836">
        <f>'45a'!N27/('35b'!$H$20*('4'!$E$30/'4'!$E$26))/52</f>
        <v>54.496701969528054</v>
      </c>
      <c r="O27" s="836">
        <f>'45a'!O27/('35b'!$H$21*('4'!$E$30/'4'!$E$26))/52</f>
        <v>54.725255847351043</v>
      </c>
      <c r="P27" s="836">
        <f>'45a'!P27/('35b'!$H$22*('4'!$E$30/'4'!$E$26))/52</f>
        <v>53.784469101481641</v>
      </c>
      <c r="Q27" s="836">
        <f>'45a'!Q27/('35b'!$H$23*('4'!$E$30/'4'!$E$26))/52</f>
        <v>55.625121789238001</v>
      </c>
      <c r="R27" s="836">
        <f>'45a'!R27/('35b'!$H$24*('4'!$E$30/'4'!$E$26))/52</f>
        <v>54.205475839416934</v>
      </c>
      <c r="S27" s="836">
        <f>'45a'!S27/('35b'!$H$25*('4'!$E$30/'4'!$E$26))/52</f>
        <v>53.825789669267927</v>
      </c>
      <c r="T27" s="836">
        <f>'45a'!T27/('35b'!$H$26*('4'!$E$30/'4'!$E$26))/52</f>
        <v>51.917154403567444</v>
      </c>
      <c r="U27" s="836">
        <f>'45a'!U27/('35b'!$H$27*('4'!$E$30/'4'!$E$26))/52</f>
        <v>51.639656698799918</v>
      </c>
      <c r="V27" s="836">
        <f>'45a'!V27/('35b'!$H$27*('4'!$E$30/'4'!$E$26))/52</f>
        <v>50.990132611775834</v>
      </c>
      <c r="W27" s="836">
        <f>'45a'!W27/('35b'!$H$27*('4'!$E$30/'4'!$E$26))/52</f>
        <v>51.887173550376879</v>
      </c>
      <c r="Y27" s="662" t="s">
        <v>374</v>
      </c>
      <c r="Z27" s="662">
        <f>((((P27/E27))^(1/11))-1)*100</f>
        <v>0.79712578509110177</v>
      </c>
      <c r="AA27" s="733">
        <f>((((W27/E27))^(1/18))-1)*100</f>
        <v>0.28609225420586082</v>
      </c>
      <c r="AB27" s="733">
        <f>((((W27/P27))^(1/6))-1)*100</f>
        <v>-0.5967643324950922</v>
      </c>
      <c r="AC27" s="262"/>
      <c r="AD27" s="733">
        <f>((W27/E27)-1)*100</f>
        <v>5.2768206409679719</v>
      </c>
    </row>
    <row r="28" spans="1:30">
      <c r="A28" s="256" t="s">
        <v>1222</v>
      </c>
      <c r="D28" s="834">
        <f>'45a'!D28/('35b'!$H$8*('4'!$E$30/'4'!$E$26))/52</f>
        <v>68.820765398550719</v>
      </c>
      <c r="E28" s="835">
        <f>'45a'!E28/('35b'!$H$11*('4'!$E$30/'4'!$E$26))/52</f>
        <v>66.51647466864857</v>
      </c>
      <c r="F28" s="836">
        <f>'45a'!F28/('35b'!$H$12*('4'!$E$30/'4'!$E$26))/52</f>
        <v>70.44891501413241</v>
      </c>
      <c r="G28" s="836">
        <f>'45a'!G28/('35b'!$H$13*('4'!$E$30/'4'!$E$26))/52</f>
        <v>70.055592482929484</v>
      </c>
      <c r="H28" s="836">
        <f>'45a'!H28/('35b'!$H$14*('4'!$E$30/'4'!$E$26))/52</f>
        <v>65.110755658959818</v>
      </c>
      <c r="I28" s="836">
        <f>'45a'!I28/('35b'!$H$15*('4'!$E$30/'4'!$E$26))/52</f>
        <v>64.318319138546087</v>
      </c>
      <c r="J28" s="835">
        <f>'45a'!J28/('35b'!$H$16*('4'!$E$30/'4'!$E$26))/52</f>
        <v>66.930240083928112</v>
      </c>
      <c r="K28" s="836">
        <f>'45a'!K28/('35b'!$H$17*('4'!$E$30/'4'!$E$26))/52</f>
        <v>69.107513864259872</v>
      </c>
      <c r="L28" s="836">
        <f>'45a'!L28/('35b'!$H$18*('4'!$E$30/'4'!$E$26))/52</f>
        <v>67.44654745340442</v>
      </c>
      <c r="M28" s="836">
        <f>'45a'!M28/('35b'!$H$19*('4'!$E$30/'4'!$E$26))/52</f>
        <v>66.67009690421061</v>
      </c>
      <c r="N28" s="836">
        <f>'45a'!N28/('35b'!$H$20*('4'!$E$30/'4'!$E$26))/52</f>
        <v>67.391679530057459</v>
      </c>
      <c r="O28" s="836">
        <f>'45a'!O28/('35b'!$H$21*('4'!$E$30/'4'!$E$26))/52</f>
        <v>67.045873493145649</v>
      </c>
      <c r="P28" s="836">
        <f>'45a'!P28/('35b'!$H$22*('4'!$E$30/'4'!$E$26))/52</f>
        <v>67.628629147597252</v>
      </c>
      <c r="Q28" s="836">
        <f>'45a'!Q28/('35b'!$H$23*('4'!$E$30/'4'!$E$26))/52</f>
        <v>68.369000595855923</v>
      </c>
      <c r="R28" s="836">
        <f>'45a'!R28/('35b'!$H$24*('4'!$E$30/'4'!$E$26))/52</f>
        <v>67.865893215930058</v>
      </c>
      <c r="S28" s="836">
        <f>'45a'!S28/('35b'!$H$25*('4'!$E$30/'4'!$E$26))/52</f>
        <v>67.078057125283507</v>
      </c>
      <c r="T28" s="836">
        <f>'45a'!T28/('35b'!$H$26*('4'!$E$30/'4'!$E$26))/52</f>
        <v>65.351583638654063</v>
      </c>
      <c r="U28" s="836">
        <f>'45a'!U28/('35b'!$H$27*('4'!$E$30/'4'!$E$26))/52</f>
        <v>63.632767538741938</v>
      </c>
      <c r="V28" s="836">
        <f>'45a'!V28/('35b'!$H$27*('4'!$E$30/'4'!$E$26))/52</f>
        <v>63.462029305464768</v>
      </c>
      <c r="W28" s="836">
        <f>'45a'!W28/('35b'!$H$27*('4'!$E$30/'4'!$E$26))/52</f>
        <v>64.064464739816401</v>
      </c>
      <c r="Y28" s="662">
        <f>((((E28/D28))^(1/3))-1)*100</f>
        <v>-1.1287764912921938</v>
      </c>
      <c r="Z28" s="662">
        <f>((((P28/E28))^(1/11))-1)*100</f>
        <v>0.1508568121937115</v>
      </c>
      <c r="AA28" s="733">
        <f>((((W28/D28))^(1/21))-1)*100</f>
        <v>-0.34044623021074472</v>
      </c>
      <c r="AB28" s="733">
        <f>((((W28/P28))^(1/6))-1)*100</f>
        <v>-0.89830034792602875</v>
      </c>
      <c r="AC28" s="257"/>
      <c r="AD28" s="733">
        <f>((W28/D28)-1)*100</f>
        <v>-6.9111417625042577</v>
      </c>
    </row>
    <row r="29" spans="1:30">
      <c r="A29" s="256" t="s">
        <v>1221</v>
      </c>
      <c r="D29" s="834">
        <f>'45a'!D29/('35b'!$H$8*('4'!$E$30/'4'!$E$26))/52</f>
        <v>100.22162080228439</v>
      </c>
      <c r="E29" s="835">
        <f>'45a'!E29/('35b'!$H$11*('4'!$E$30/'4'!$E$26))/52</f>
        <v>97.229344729344717</v>
      </c>
      <c r="F29" s="836">
        <f>'45a'!F29/('35b'!$H$12*('4'!$E$30/'4'!$E$26))/52</f>
        <v>102.63927865127268</v>
      </c>
      <c r="G29" s="836">
        <f>'45a'!G29/('35b'!$H$13*('4'!$E$30/'4'!$E$26))/52</f>
        <v>101.93005723858718</v>
      </c>
      <c r="H29" s="836">
        <f>'45a'!H29/('35b'!$H$14*('4'!$E$30/'4'!$E$26))/52</f>
        <v>96.642544112559122</v>
      </c>
      <c r="I29" s="836">
        <f>'45a'!I29/('35b'!$H$15*('4'!$E$30/'4'!$E$26))/52</f>
        <v>95.981855907207475</v>
      </c>
      <c r="J29" s="835">
        <f>'45a'!J29/('35b'!$H$16*('4'!$E$30/'4'!$E$26))/52</f>
        <v>100.0351801468473</v>
      </c>
      <c r="K29" s="836">
        <f>'45a'!K29/('35b'!$H$17*('4'!$E$30/'4'!$E$26))/52</f>
        <v>101.88318435469128</v>
      </c>
      <c r="L29" s="836">
        <f>'45a'!L29/('35b'!$H$18*('4'!$E$30/'4'!$E$26))/52</f>
        <v>99.895053402395035</v>
      </c>
      <c r="M29" s="836">
        <f>'45a'!M29/('35b'!$H$19*('4'!$E$30/'4'!$E$26))/52</f>
        <v>99.586620699369405</v>
      </c>
      <c r="N29" s="836">
        <f>'45a'!N29/('35b'!$H$20*('4'!$E$30/'4'!$E$26))/52</f>
        <v>100.90154564178145</v>
      </c>
      <c r="O29" s="836">
        <f>'45a'!O29/('35b'!$H$21*('4'!$E$30/'4'!$E$26))/52</f>
        <v>99.520847191445469</v>
      </c>
      <c r="P29" s="836">
        <f>'45a'!P29/('35b'!$H$22*('4'!$E$30/'4'!$E$26))/52</f>
        <v>101.72804539026032</v>
      </c>
      <c r="Q29" s="836">
        <f>'45a'!Q29/('35b'!$H$23*('4'!$E$30/'4'!$E$26))/52</f>
        <v>101.57049076344552</v>
      </c>
      <c r="R29" s="836">
        <f>'45a'!R29/('35b'!$H$24*('4'!$E$30/'4'!$E$26))/52</f>
        <v>100.55068619536384</v>
      </c>
      <c r="S29" s="836">
        <f>'45a'!S29/('35b'!$H$25*('4'!$E$30/'4'!$E$26))/52</f>
        <v>99.715738621917112</v>
      </c>
      <c r="T29" s="836">
        <f>'45a'!T29/('35b'!$H$26*('4'!$E$30/'4'!$E$26))/52</f>
        <v>97.480341015260052</v>
      </c>
      <c r="U29" s="836">
        <f>'45a'!U29/('35b'!$H$27*('4'!$E$30/'4'!$E$26))/52</f>
        <v>95.399779234876476</v>
      </c>
      <c r="V29" s="836">
        <f>'45a'!V29/('35b'!$H$27*('4'!$E$30/'4'!$E$26))/52</f>
        <v>94.981177912750042</v>
      </c>
      <c r="W29" s="836">
        <f>'45a'!W29/('35b'!$H$27*('4'!$E$30/'4'!$E$26))/52</f>
        <v>95.069446065371324</v>
      </c>
      <c r="Y29" s="662">
        <f>((((E29/D29))^(1/3))-1)*100</f>
        <v>-1.0052919983469244</v>
      </c>
      <c r="Z29" s="662">
        <f>((((P29/E29))^(1/11))-1)*100</f>
        <v>0.41203257066924071</v>
      </c>
      <c r="AA29" s="733">
        <f>((((W29/D29))^(1/21))-1)*100</f>
        <v>-0.25100020964532455</v>
      </c>
      <c r="AB29" s="733">
        <f>((((W29/P29))^(1/6))-1)*100</f>
        <v>-1.1219156412318187</v>
      </c>
      <c r="AC29" s="262"/>
      <c r="AD29" s="733">
        <f>((W29/D29)-1)*100</f>
        <v>-5.1407816952763081</v>
      </c>
    </row>
    <row r="30" spans="1:30">
      <c r="A30" s="256" t="s">
        <v>1226</v>
      </c>
      <c r="D30" s="838"/>
      <c r="E30" s="263"/>
      <c r="F30" s="264"/>
      <c r="G30" s="264"/>
      <c r="H30" s="264"/>
      <c r="I30" s="264"/>
      <c r="J30" s="263"/>
      <c r="K30" s="264"/>
      <c r="L30" s="264"/>
      <c r="M30" s="264"/>
      <c r="N30" s="264"/>
      <c r="O30" s="264"/>
      <c r="P30" s="264"/>
      <c r="Q30" s="264"/>
      <c r="R30" s="264"/>
      <c r="S30" s="264"/>
      <c r="T30" s="264"/>
      <c r="U30" s="264"/>
      <c r="V30" s="264"/>
      <c r="W30" s="264"/>
      <c r="Y30" s="662"/>
      <c r="Z30" s="662"/>
      <c r="AA30" s="662"/>
      <c r="AB30" s="662"/>
    </row>
    <row r="31" spans="1:30">
      <c r="A31" s="256" t="s">
        <v>545</v>
      </c>
      <c r="D31" s="834">
        <f>'45a'!D31/('35b'!$I$8*('4'!$F$30/'4'!$F$26))/52</f>
        <v>50.857475857475841</v>
      </c>
      <c r="E31" s="835">
        <f>'45a'!E31/('35b'!$I$11*('4'!$F$30/'4'!$F$26))/52</f>
        <v>51.712353580485441</v>
      </c>
      <c r="F31" s="836">
        <f>'45a'!F31/('35b'!$I$12*('4'!$F$30/'4'!$F$26))/52</f>
        <v>50.430810754697397</v>
      </c>
      <c r="G31" s="836">
        <f>'45a'!G31/('35b'!$I$13*('4'!$F$30/'4'!$F$26))/52</f>
        <v>49.495688926458151</v>
      </c>
      <c r="H31" s="836">
        <f>'45a'!H31/('35b'!$I$14*('4'!$F$30/'4'!$F$26))/52</f>
        <v>53.061487007975302</v>
      </c>
      <c r="I31" s="836">
        <f>'45a'!I31/('35b'!$I$15*('4'!$F$30/'4'!$F$26))/52</f>
        <v>53.377436387469821</v>
      </c>
      <c r="J31" s="835">
        <f>'45a'!J31/('35b'!$I$16*('4'!$F$30/'4'!$F$26))/52</f>
        <v>56.051413747902039</v>
      </c>
      <c r="K31" s="836">
        <f>'45a'!K31/('35b'!$I$17*('4'!$F$30/'4'!$F$26))/52</f>
        <v>58.846538077307301</v>
      </c>
      <c r="L31" s="836">
        <f>'45a'!L31/('35b'!$I$18*('4'!$F$30/'4'!$F$26))/52</f>
        <v>55.262060539341391</v>
      </c>
      <c r="M31" s="836">
        <f>'45a'!M31/('35b'!$I$19*('4'!$F$30/'4'!$F$26))/52</f>
        <v>54.627889592924554</v>
      </c>
      <c r="N31" s="836">
        <f>'45a'!N31/('35b'!$I$20*('4'!$F$30/'4'!$F$26))/52</f>
        <v>54.666807551422934</v>
      </c>
      <c r="O31" s="836">
        <f>'45a'!O31/('35b'!$I$21*('4'!$F$30/'4'!$F$26))/52</f>
        <v>54.66484273302455</v>
      </c>
      <c r="P31" s="836">
        <f>'45a'!P31/('35b'!$I$22*('4'!$F$30/'4'!$F$26))/52</f>
        <v>54.81904621895066</v>
      </c>
      <c r="Q31" s="836">
        <f>'45a'!Q31/('35b'!$I$23*('4'!$F$30/'4'!$F$26))/52</f>
        <v>53.462694876365944</v>
      </c>
      <c r="R31" s="836">
        <f>'45a'!R31/('35b'!$I$24*('4'!$F$30/'4'!$F$26))/52</f>
        <v>55.282591340283645</v>
      </c>
      <c r="S31" s="836">
        <f>'45a'!S31/('35b'!$I$25*('4'!$F$30/'4'!$F$26))/52</f>
        <v>55.367122194045265</v>
      </c>
      <c r="T31" s="836">
        <f>'45a'!T31/('35b'!$I$26*('4'!$F$30/'4'!$F$26))/52</f>
        <v>56.473140285338268</v>
      </c>
      <c r="U31" s="836">
        <f>'45a'!U31/('35b'!$I$27*('4'!$F$30/'4'!$F$26))/52</f>
        <v>56.230907879259526</v>
      </c>
      <c r="V31" s="836">
        <f>'45a'!V31/('35b'!$I$27*('4'!$F$30/'4'!$F$26))/52</f>
        <v>56.120712931007887</v>
      </c>
      <c r="W31" s="836">
        <f>'45a'!W31/('35b'!$I$27*('4'!$F$30/'4'!$F$26))/52</f>
        <v>56.26239215018856</v>
      </c>
      <c r="Y31" s="662">
        <f>((((E31/D31))^(1/3))-1)*100</f>
        <v>0.55719897215000813</v>
      </c>
      <c r="Z31" s="662">
        <f>((((P31/E31))^(1/11))-1)*100</f>
        <v>0.53178161958402637</v>
      </c>
      <c r="AA31" s="733">
        <f>((((W31/D31))^(1/21))-1)*100</f>
        <v>0.48210694802659493</v>
      </c>
      <c r="AB31" s="733">
        <f>((((W31/P31))^(1/6))-1)*100</f>
        <v>0.43408324711784463</v>
      </c>
      <c r="AC31" s="257"/>
      <c r="AD31" s="733">
        <f>((W31/D31)-1)*100</f>
        <v>10.627574808981045</v>
      </c>
    </row>
    <row r="32" spans="1:30">
      <c r="A32" s="256" t="s">
        <v>1219</v>
      </c>
      <c r="C32" s="757"/>
      <c r="D32" s="834"/>
      <c r="E32" s="835">
        <f>'45a'!E32/('35b'!$I$11*('4'!$F$30/'4'!$F$26))/52</f>
        <v>51.712353580485441</v>
      </c>
      <c r="F32" s="836">
        <f>'45a'!F32/('35b'!$I$12*('4'!$F$30/'4'!$F$26))/52</f>
        <v>50.430810754697397</v>
      </c>
      <c r="G32" s="836">
        <f>'45a'!G32/('35b'!$I$13*('4'!$F$30/'4'!$F$26))/52</f>
        <v>49.495688926458151</v>
      </c>
      <c r="H32" s="836">
        <f>'45a'!H32/('35b'!$I$14*('4'!$F$30/'4'!$F$26))/52</f>
        <v>53.061487007975302</v>
      </c>
      <c r="I32" s="836">
        <f>'45a'!I32/('35b'!$I$15*('4'!$F$30/'4'!$F$26))/52</f>
        <v>53.377436387469821</v>
      </c>
      <c r="J32" s="835">
        <f>'45a'!J32/('35b'!$I$16*('4'!$F$30/'4'!$F$26))/52</f>
        <v>56.051413747902039</v>
      </c>
      <c r="K32" s="836">
        <f>'45a'!K32/('35b'!$I$17*('4'!$F$30/'4'!$F$26))/52</f>
        <v>58.846538077307301</v>
      </c>
      <c r="L32" s="836">
        <f>'45a'!L32/('35b'!$I$18*('4'!$F$30/'4'!$F$26))/52</f>
        <v>55.262060539341391</v>
      </c>
      <c r="M32" s="836">
        <f>'45a'!M32/('35b'!$I$19*('4'!$F$30/'4'!$F$26))/52</f>
        <v>54.627889592924554</v>
      </c>
      <c r="N32" s="836">
        <f>'45a'!N32/('35b'!$I$20*('4'!$F$30/'4'!$F$26))/52</f>
        <v>54.666807551422934</v>
      </c>
      <c r="O32" s="836">
        <f>'45a'!O32/('35b'!$I$21*('4'!$F$30/'4'!$F$26))/52</f>
        <v>54.66484273302455</v>
      </c>
      <c r="P32" s="836">
        <f>'45a'!P32/('35b'!$I$22*('4'!$F$30/'4'!$F$26))/52</f>
        <v>54.81904621895066</v>
      </c>
      <c r="Q32" s="836">
        <f>'45a'!Q32/('35b'!$I$23*('4'!$F$30/'4'!$F$26))/52</f>
        <v>53.462694876365944</v>
      </c>
      <c r="R32" s="836">
        <f>'45a'!R32/('35b'!$I$24*('4'!$F$30/'4'!$F$26))/52</f>
        <v>55.282591340283645</v>
      </c>
      <c r="S32" s="836">
        <f>'45a'!S32/('35b'!$I$25*('4'!$F$30/'4'!$F$26))/52</f>
        <v>55.367122194045265</v>
      </c>
      <c r="T32" s="836">
        <f>'45a'!T32/('35b'!$I$26*('4'!$F$30/'4'!$F$26))/52</f>
        <v>56.473140285338268</v>
      </c>
      <c r="U32" s="836">
        <f>'45a'!U32/('35b'!$I$27*('4'!$F$30/'4'!$F$26))/52</f>
        <v>56.230907879259526</v>
      </c>
      <c r="V32" s="836">
        <f>'45a'!V32/('35b'!$I$27*('4'!$F$30/'4'!$F$26))/52</f>
        <v>56.120712931007887</v>
      </c>
      <c r="W32" s="836">
        <f>'45a'!W32/('35b'!$I$27*('4'!$F$30/'4'!$F$26))/52</f>
        <v>56.26239215018856</v>
      </c>
      <c r="Y32" s="662" t="s">
        <v>374</v>
      </c>
      <c r="Z32" s="662">
        <f>((((P32/E32))^(1/11))-1)*100</f>
        <v>0.53178161958402637</v>
      </c>
      <c r="AA32" s="733">
        <f>((((W32/E32))^(1/18))-1)*100</f>
        <v>0.46959706360500952</v>
      </c>
      <c r="AB32" s="733">
        <f>((((W32/P32))^(1/6))-1)*100</f>
        <v>0.43408324711784463</v>
      </c>
      <c r="AC32" s="262"/>
      <c r="AD32" s="733">
        <f>((W32/E32)-1)*100</f>
        <v>8.7987458598677293</v>
      </c>
    </row>
    <row r="33" spans="1:30">
      <c r="A33" s="256" t="s">
        <v>1222</v>
      </c>
      <c r="D33" s="834">
        <f>'45a'!D33/('35b'!$I$8*('4'!$F$30/'4'!$F$26))/52</f>
        <v>69.325614861329129</v>
      </c>
      <c r="E33" s="835">
        <f>'45a'!E33/('35b'!$I$11*('4'!$F$30/'4'!$F$26))/52</f>
        <v>69.031920460491861</v>
      </c>
      <c r="F33" s="836">
        <f>'45a'!F33/('35b'!$I$12*('4'!$F$30/'4'!$F$26))/52</f>
        <v>67.027924841690009</v>
      </c>
      <c r="G33" s="836">
        <f>'45a'!G33/('35b'!$I$13*('4'!$F$30/'4'!$F$26))/52</f>
        <v>67.435794974256495</v>
      </c>
      <c r="H33" s="836">
        <f>'45a'!H33/('35b'!$I$14*('4'!$F$30/'4'!$F$26))/52</f>
        <v>65.784283193190078</v>
      </c>
      <c r="I33" s="836">
        <f>'45a'!I33/('35b'!$I$15*('4'!$F$30/'4'!$F$26))/52</f>
        <v>67.137814951580125</v>
      </c>
      <c r="J33" s="835">
        <f>'45a'!J33/('35b'!$I$16*('4'!$F$30/'4'!$F$26))/52</f>
        <v>70.007712843436437</v>
      </c>
      <c r="K33" s="836">
        <f>'45a'!K33/('35b'!$I$17*('4'!$F$30/'4'!$F$26))/52</f>
        <v>71.828568657068018</v>
      </c>
      <c r="L33" s="836">
        <f>'45a'!L33/('35b'!$I$18*('4'!$F$30/'4'!$F$26))/52</f>
        <v>67.360009805536052</v>
      </c>
      <c r="M33" s="836">
        <f>'45a'!M33/('35b'!$I$19*('4'!$F$30/'4'!$F$26))/52</f>
        <v>67.490265094300398</v>
      </c>
      <c r="N33" s="836">
        <f>'45a'!N33/('35b'!$I$20*('4'!$F$30/'4'!$F$26))/52</f>
        <v>67.599189577211547</v>
      </c>
      <c r="O33" s="836">
        <f>'45a'!O33/('35b'!$I$21*('4'!$F$30/'4'!$F$26))/52</f>
        <v>68.754847916506563</v>
      </c>
      <c r="P33" s="836">
        <f>'45a'!P33/('35b'!$I$22*('4'!$F$30/'4'!$F$26))/52</f>
        <v>68.175971186004631</v>
      </c>
      <c r="Q33" s="836">
        <f>'45a'!Q33/('35b'!$I$23*('4'!$F$30/'4'!$F$26))/52</f>
        <v>68.081762508098876</v>
      </c>
      <c r="R33" s="836">
        <f>'45a'!R33/('35b'!$I$24*('4'!$F$30/'4'!$F$26))/52</f>
        <v>67.977826677460371</v>
      </c>
      <c r="S33" s="836">
        <f>'45a'!S33/('35b'!$I$25*('4'!$F$30/'4'!$F$26))/52</f>
        <v>69.869541473139492</v>
      </c>
      <c r="T33" s="836">
        <f>'45a'!T33/('35b'!$I$26*('4'!$F$30/'4'!$F$26))/52</f>
        <v>69.516555374414452</v>
      </c>
      <c r="U33" s="836">
        <f>'45a'!U33/('35b'!$I$27*('4'!$F$30/'4'!$F$26))/52</f>
        <v>69.798306039523837</v>
      </c>
      <c r="V33" s="836">
        <f>'45a'!V33/('35b'!$I$27*('4'!$F$30/'4'!$F$26))/52</f>
        <v>69.556988830023485</v>
      </c>
      <c r="W33" s="836">
        <f>'45a'!W33/('35b'!$I$27*('4'!$F$30/'4'!$F$26))/52</f>
        <v>68.976163674375897</v>
      </c>
      <c r="Y33" s="662">
        <f>((((E33/D33))^(1/3))-1)*100</f>
        <v>-0.1414148391006731</v>
      </c>
      <c r="Z33" s="662">
        <f>((((P33/E33))^(1/11))-1)*100</f>
        <v>-0.11336150521806809</v>
      </c>
      <c r="AA33" s="733">
        <f>((((W33/D33))^(1/21))-1)*100</f>
        <v>-2.4061246727336005E-2</v>
      </c>
      <c r="AB33" s="733">
        <f>((((W33/P33))^(1/6))-1)*100</f>
        <v>0.194669515611956</v>
      </c>
      <c r="AC33" s="257"/>
      <c r="AD33" s="733">
        <f>((W33/D33)-1)*100</f>
        <v>-0.50407225042610193</v>
      </c>
    </row>
    <row r="34" spans="1:30">
      <c r="A34" s="256" t="s">
        <v>1221</v>
      </c>
      <c r="D34" s="834">
        <f>'45a'!D34/('35b'!$I$8*('4'!$F$30/'4'!$F$26))/52</f>
        <v>101.70639004251044</v>
      </c>
      <c r="E34" s="835">
        <f>'45a'!E34/('35b'!$I$11*('4'!$F$30/'4'!$F$26))/52</f>
        <v>101.46077365857583</v>
      </c>
      <c r="F34" s="836">
        <f>'45a'!F34/('35b'!$I$12*('4'!$F$30/'4'!$F$26))/52</f>
        <v>98.126704604437379</v>
      </c>
      <c r="G34" s="836">
        <f>'45a'!G34/('35b'!$I$13*('4'!$F$30/'4'!$F$26))/52</f>
        <v>98.169625246548307</v>
      </c>
      <c r="H34" s="836">
        <f>'45a'!H34/('35b'!$I$14*('4'!$F$30/'4'!$F$26))/52</f>
        <v>97.69102135322872</v>
      </c>
      <c r="I34" s="836">
        <f>'45a'!I34/('35b'!$I$15*('4'!$F$30/'4'!$F$26))/52</f>
        <v>99.591127935609535</v>
      </c>
      <c r="J34" s="835">
        <f>'45a'!J34/('35b'!$I$16*('4'!$F$30/'4'!$F$26))/52</f>
        <v>104.6376638909372</v>
      </c>
      <c r="K34" s="836">
        <f>'45a'!K34/('35b'!$I$17*('4'!$F$30/'4'!$F$26))/52</f>
        <v>106.30065382027705</v>
      </c>
      <c r="L34" s="836">
        <f>'45a'!L34/('35b'!$I$18*('4'!$F$30/'4'!$F$26))/52</f>
        <v>101.58077611118755</v>
      </c>
      <c r="M34" s="836">
        <f>'45a'!M34/('35b'!$I$19*('4'!$F$30/'4'!$F$26))/52</f>
        <v>100.62370910094614</v>
      </c>
      <c r="N34" s="836">
        <f>'45a'!N34/('35b'!$I$20*('4'!$F$30/'4'!$F$26))/52</f>
        <v>101.45201078458997</v>
      </c>
      <c r="O34" s="836">
        <f>'45a'!O34/('35b'!$I$21*('4'!$F$30/'4'!$F$26))/52</f>
        <v>102.24730518634725</v>
      </c>
      <c r="P34" s="836">
        <f>'45a'!P34/('35b'!$I$22*('4'!$F$30/'4'!$F$26))/52</f>
        <v>100.72034988422948</v>
      </c>
      <c r="Q34" s="836">
        <f>'45a'!Q34/('35b'!$I$23*('4'!$F$30/'4'!$F$26))/52</f>
        <v>101.75820526426907</v>
      </c>
      <c r="R34" s="836">
        <f>'45a'!R34/('35b'!$I$24*('4'!$F$30/'4'!$F$26))/52</f>
        <v>102.40173066733298</v>
      </c>
      <c r="S34" s="836">
        <f>'45a'!S34/('35b'!$I$25*('4'!$F$30/'4'!$F$26))/52</f>
        <v>104.09053130388398</v>
      </c>
      <c r="T34" s="836">
        <f>'45a'!T34/('35b'!$I$26*('4'!$F$30/'4'!$F$26))/52</f>
        <v>102.42061855696623</v>
      </c>
      <c r="U34" s="836">
        <f>'45a'!U34/('35b'!$I$27*('4'!$F$30/'4'!$F$26))/52</f>
        <v>103.34206996035734</v>
      </c>
      <c r="V34" s="836">
        <f>'45a'!V34/('35b'!$I$27*('4'!$F$30/'4'!$F$26))/52</f>
        <v>104.60765624583289</v>
      </c>
      <c r="W34" s="836">
        <f>'45a'!W34/('35b'!$I$27*('4'!$F$30/'4'!$F$26))/52</f>
        <v>104.40271696376702</v>
      </c>
      <c r="Y34" s="662">
        <f>((((E34/D34))^(1/3))-1)*100</f>
        <v>-8.0563396607880033E-2</v>
      </c>
      <c r="Z34" s="662">
        <f>((((P34/E34))^(1/11))-1)*100</f>
        <v>-6.6563235076821936E-2</v>
      </c>
      <c r="AA34" s="733">
        <f>((((W34/D34))^(1/21))-1)*100</f>
        <v>0.12467559028537245</v>
      </c>
      <c r="AB34" s="733">
        <f>((((W34/P34))^(1/6))-1)*100</f>
        <v>0.60025830828580595</v>
      </c>
      <c r="AC34" s="262"/>
      <c r="AD34" s="733">
        <f>((W34/D34)-1)*100</f>
        <v>2.6510890024998401</v>
      </c>
    </row>
    <row r="35" spans="1:30">
      <c r="A35" s="256" t="s">
        <v>1227</v>
      </c>
      <c r="D35" s="833"/>
      <c r="E35" s="663"/>
      <c r="F35" s="261"/>
      <c r="G35" s="261"/>
      <c r="H35" s="261"/>
      <c r="I35" s="261"/>
      <c r="J35" s="663"/>
      <c r="K35" s="261"/>
      <c r="L35" s="261"/>
      <c r="M35" s="261"/>
      <c r="N35" s="261"/>
      <c r="O35" s="261"/>
      <c r="P35" s="261"/>
      <c r="Q35" s="261"/>
      <c r="R35" s="261"/>
      <c r="S35" s="261"/>
      <c r="T35" s="261"/>
      <c r="U35" s="261"/>
      <c r="V35" s="261"/>
      <c r="W35" s="261"/>
      <c r="Y35" s="662"/>
      <c r="Z35" s="662"/>
      <c r="AA35" s="662"/>
      <c r="AB35" s="662"/>
    </row>
    <row r="36" spans="1:30">
      <c r="A36" s="256" t="s">
        <v>545</v>
      </c>
      <c r="D36" s="834">
        <f>'45a'!D36/('35b'!$J$8*('4'!$G$30/'4'!$G$26))/52</f>
        <v>54.40000260290207</v>
      </c>
      <c r="E36" s="835">
        <f>'45a'!E36/('35b'!$J$11*('4'!$G$30/'4'!$G$26))/52</f>
        <v>43.780934618694651</v>
      </c>
      <c r="F36" s="836">
        <f>'45a'!F36/('35b'!$J$12*('4'!$G$30/'4'!$G$26))/52</f>
        <v>39.996813286636424</v>
      </c>
      <c r="G36" s="836">
        <f>'45a'!G36/('35b'!$J$13*('4'!$G$30/'4'!$G$26))/52</f>
        <v>50.045513011384621</v>
      </c>
      <c r="H36" s="836">
        <f>'45a'!H36/('35b'!$J$14*('4'!$G$30/'4'!$G$26))/52</f>
        <v>54.030440529662002</v>
      </c>
      <c r="I36" s="836">
        <f>'45a'!I36/('35b'!$J$15*('4'!$G$30/'4'!$G$26))/52</f>
        <v>53.804493032915808</v>
      </c>
      <c r="J36" s="835">
        <f>'45a'!J36/('35b'!$J$16*('4'!$G$30/'4'!$G$26))/52</f>
        <v>55.080684852993961</v>
      </c>
      <c r="K36" s="836">
        <f>'45a'!K36/('35b'!$J$17*('4'!$G$30/'4'!$G$26))/52</f>
        <v>52.693996394387909</v>
      </c>
      <c r="L36" s="836">
        <f>'45a'!L36/('35b'!$J$18*('4'!$G$30/'4'!$G$26))/52</f>
        <v>50.652488506914629</v>
      </c>
      <c r="M36" s="836">
        <f>'45a'!M36/('35b'!$J$19*('4'!$G$30/'4'!$G$26))/52</f>
        <v>50.627234122011984</v>
      </c>
      <c r="N36" s="836">
        <f>'45a'!N36/('35b'!$J$20*('4'!$G$30/'4'!$G$26))/52</f>
        <v>51.142479187710329</v>
      </c>
      <c r="O36" s="836">
        <f>'45a'!O36/('35b'!$J$21*('4'!$G$30/'4'!$G$26))/52</f>
        <v>50.858163475658777</v>
      </c>
      <c r="P36" s="836">
        <f>'45a'!P36/('35b'!$J$22*('4'!$G$30/'4'!$G$26))/52</f>
        <v>52.842003966900151</v>
      </c>
      <c r="Q36" s="836">
        <f>'45a'!Q36/('35b'!$J$23*('4'!$G$30/'4'!$G$26))/52</f>
        <v>53.164848842374681</v>
      </c>
      <c r="R36" s="836">
        <f>'45a'!R36/('35b'!$J$24*('4'!$G$30/'4'!$G$26))/52</f>
        <v>53.624049105406314</v>
      </c>
      <c r="S36" s="836">
        <f>'45a'!S36/('35b'!$J$25*('4'!$G$30/'4'!$G$26))/52</f>
        <v>53.732881987020164</v>
      </c>
      <c r="T36" s="836">
        <f>'45a'!T36/('35b'!$J$26*('4'!$G$30/'4'!$G$26))/52</f>
        <v>53.653384551854096</v>
      </c>
      <c r="U36" s="836">
        <f>'45a'!U36/('35b'!$J$27*('4'!$G$30/'4'!$G$26))/52</f>
        <v>54.661541915209675</v>
      </c>
      <c r="V36" s="836">
        <f>'45a'!V36/('35b'!$J$27*('4'!$G$30/'4'!$G$26))/52</f>
        <v>54.246410072440199</v>
      </c>
      <c r="W36" s="836">
        <f>'45a'!W36/('35b'!$J$27*('4'!$G$30/'4'!$G$26))/52</f>
        <v>53.582199124009044</v>
      </c>
      <c r="Y36" s="662">
        <f>((((E36/D36))^(1/3))-1)*100</f>
        <v>-6.9830626390264054</v>
      </c>
      <c r="Z36" s="662">
        <f>((((P36/E36))^(1/11))-1)*100</f>
        <v>1.7247778447246898</v>
      </c>
      <c r="AA36" s="733">
        <f>((((W36/D36))^(1/21))-1)*100</f>
        <v>-7.2103967288761339E-2</v>
      </c>
      <c r="AB36" s="733">
        <f>((((W36/P36))^(1/6))-1)*100</f>
        <v>0.23211067571300426</v>
      </c>
      <c r="AC36" s="257"/>
      <c r="AD36" s="733">
        <f>((W36/D36)-1)*100</f>
        <v>-1.5033151466235406</v>
      </c>
    </row>
    <row r="37" spans="1:30">
      <c r="A37" s="256" t="s">
        <v>1219</v>
      </c>
      <c r="C37" s="757"/>
      <c r="D37" s="834"/>
      <c r="E37" s="835">
        <f>'45a'!E37/('35b'!$J$11*('4'!$G$30/'4'!$G$26))/52</f>
        <v>43.780934618694651</v>
      </c>
      <c r="F37" s="836">
        <f>'45a'!F37/('35b'!$J$12*('4'!$G$30/'4'!$G$26))/52</f>
        <v>39.996813286636424</v>
      </c>
      <c r="G37" s="836">
        <f>'45a'!G37/('35b'!$J$13*('4'!$G$30/'4'!$G$26))/52</f>
        <v>50.045513011384621</v>
      </c>
      <c r="H37" s="836">
        <f>'45a'!H37/('35b'!$J$14*('4'!$G$30/'4'!$G$26))/52</f>
        <v>54.030440529662002</v>
      </c>
      <c r="I37" s="836">
        <f>'45a'!I37/('35b'!$J$15*('4'!$G$30/'4'!$G$26))/52</f>
        <v>53.804493032915808</v>
      </c>
      <c r="J37" s="835">
        <f>'45a'!J37/('35b'!$J$16*('4'!$G$30/'4'!$G$26))/52</f>
        <v>55.080684852993961</v>
      </c>
      <c r="K37" s="836">
        <f>'45a'!K37/('35b'!$J$17*('4'!$G$30/'4'!$G$26))/52</f>
        <v>52.693996394387909</v>
      </c>
      <c r="L37" s="836">
        <f>'45a'!L37/('35b'!$J$18*('4'!$G$30/'4'!$G$26))/52</f>
        <v>50.652488506914629</v>
      </c>
      <c r="M37" s="836">
        <f>'45a'!M37/('35b'!$J$19*('4'!$G$30/'4'!$G$26))/52</f>
        <v>50.627234122011984</v>
      </c>
      <c r="N37" s="836">
        <f>'45a'!N37/('35b'!$J$20*('4'!$G$30/'4'!$G$26))/52</f>
        <v>51.142479187710329</v>
      </c>
      <c r="O37" s="836">
        <f>'45a'!O37/('35b'!$J$21*('4'!$G$30/'4'!$G$26))/52</f>
        <v>50.858163475658777</v>
      </c>
      <c r="P37" s="836">
        <f>'45a'!P37/('35b'!$J$22*('4'!$G$30/'4'!$G$26))/52</f>
        <v>52.842003966900151</v>
      </c>
      <c r="Q37" s="836">
        <f>'45a'!Q37/('35b'!$J$23*('4'!$G$30/'4'!$G$26))/52</f>
        <v>53.164848842374681</v>
      </c>
      <c r="R37" s="836">
        <f>'45a'!R37/('35b'!$J$24*('4'!$G$30/'4'!$G$26))/52</f>
        <v>53.624049105406314</v>
      </c>
      <c r="S37" s="836">
        <f>'45a'!S37/('35b'!$J$25*('4'!$G$30/'4'!$G$26))/52</f>
        <v>53.732881987020164</v>
      </c>
      <c r="T37" s="836">
        <f>'45a'!T37/('35b'!$J$26*('4'!$G$30/'4'!$G$26))/52</f>
        <v>53.653384551854096</v>
      </c>
      <c r="U37" s="836">
        <f>'45a'!U37/('35b'!$J$27*('4'!$G$30/'4'!$G$26))/52</f>
        <v>54.661541915209675</v>
      </c>
      <c r="V37" s="836">
        <f>'45a'!V37/('35b'!$J$27*('4'!$G$30/'4'!$G$26))/52</f>
        <v>54.246410072440199</v>
      </c>
      <c r="W37" s="836">
        <f>'45a'!W37/('35b'!$J$27*('4'!$G$30/'4'!$G$26))/52</f>
        <v>53.582199124009044</v>
      </c>
      <c r="Y37" s="662" t="s">
        <v>374</v>
      </c>
      <c r="Z37" s="662">
        <f>((((P37/E37))^(1/11))-1)*100</f>
        <v>1.7247778447246898</v>
      </c>
      <c r="AA37" s="733">
        <f>((((W37/E37))^(1/18))-1)*100</f>
        <v>1.1286465099314302</v>
      </c>
      <c r="AB37" s="733">
        <f>((((W37/P37))^(1/6))-1)*100</f>
        <v>0.23211067571300426</v>
      </c>
      <c r="AC37" s="262"/>
      <c r="AD37" s="733">
        <f>((W37/E37)-1)*100</f>
        <v>22.387060922014236</v>
      </c>
    </row>
    <row r="38" spans="1:30">
      <c r="A38" s="256" t="s">
        <v>1222</v>
      </c>
      <c r="D38" s="834">
        <f>'45a'!D38/('35b'!$J$8*('4'!$G$30/'4'!$G$26))/52</f>
        <v>72.381683509398101</v>
      </c>
      <c r="E38" s="835">
        <f>'45a'!E38/('35b'!$J$11*('4'!$G$30/'4'!$G$26))/52</f>
        <v>67.230150680012684</v>
      </c>
      <c r="F38" s="836">
        <f>'45a'!F38/('35b'!$J$12*('4'!$G$30/'4'!$G$26))/52</f>
        <v>66.661856822859377</v>
      </c>
      <c r="G38" s="836">
        <f>'45a'!G38/('35b'!$J$13*('4'!$G$30/'4'!$G$26))/52</f>
        <v>68.189270581174895</v>
      </c>
      <c r="H38" s="836">
        <f>'45a'!H38/('35b'!$J$14*('4'!$G$30/'4'!$G$26))/52</f>
        <v>67.247944360228274</v>
      </c>
      <c r="I38" s="836">
        <f>'45a'!I38/('35b'!$J$15*('4'!$G$30/'4'!$G$26))/52</f>
        <v>66.939278272859667</v>
      </c>
      <c r="J38" s="835">
        <f>'45a'!J38/('35b'!$J$16*('4'!$G$30/'4'!$G$26))/52</f>
        <v>68.339964407121727</v>
      </c>
      <c r="K38" s="836">
        <f>'45a'!K38/('35b'!$J$17*('4'!$G$30/'4'!$G$26))/52</f>
        <v>64.677038978802088</v>
      </c>
      <c r="L38" s="836">
        <f>'45a'!L38/('35b'!$J$18*('4'!$G$30/'4'!$G$26))/52</f>
        <v>63.533400684638508</v>
      </c>
      <c r="M38" s="836">
        <f>'45a'!M38/('35b'!$J$19*('4'!$G$30/'4'!$G$26))/52</f>
        <v>63.364564808888375</v>
      </c>
      <c r="N38" s="836">
        <f>'45a'!N38/('35b'!$J$20*('4'!$G$30/'4'!$G$26))/52</f>
        <v>63.019503976693279</v>
      </c>
      <c r="O38" s="836">
        <f>'45a'!O38/('35b'!$J$21*('4'!$G$30/'4'!$G$26))/52</f>
        <v>63.902130033277899</v>
      </c>
      <c r="P38" s="836">
        <f>'45a'!P38/('35b'!$J$22*('4'!$G$30/'4'!$G$26))/52</f>
        <v>66.13523920581639</v>
      </c>
      <c r="Q38" s="836">
        <f>'45a'!Q38/('35b'!$J$23*('4'!$G$30/'4'!$G$26))/52</f>
        <v>67.011430217830522</v>
      </c>
      <c r="R38" s="836">
        <f>'45a'!R38/('35b'!$J$24*('4'!$G$30/'4'!$G$26))/52</f>
        <v>66.339189287429249</v>
      </c>
      <c r="S38" s="836">
        <f>'45a'!S38/('35b'!$J$25*('4'!$G$30/'4'!$G$26))/52</f>
        <v>66.729245865382524</v>
      </c>
      <c r="T38" s="836">
        <f>'45a'!T38/('35b'!$J$26*('4'!$G$30/'4'!$G$26))/52</f>
        <v>66.790483286518608</v>
      </c>
      <c r="U38" s="836">
        <f>'45a'!U38/('35b'!$J$27*('4'!$G$30/'4'!$G$26))/52</f>
        <v>66.620358127645204</v>
      </c>
      <c r="V38" s="836">
        <f>'45a'!V38/('35b'!$J$27*('4'!$G$30/'4'!$G$26))/52</f>
        <v>66.824365776091923</v>
      </c>
      <c r="W38" s="836">
        <f>'45a'!W38/('35b'!$J$27*('4'!$G$30/'4'!$G$26))/52</f>
        <v>67.480669451327486</v>
      </c>
      <c r="Y38" s="662">
        <f>((((E38/D38))^(1/3))-1)*100</f>
        <v>-2.4310117578590251</v>
      </c>
      <c r="Z38" s="662">
        <f>((((P38/E38))^(1/11))-1)*100</f>
        <v>-0.14916221819766262</v>
      </c>
      <c r="AA38" s="733">
        <f>((((W38/D38))^(1/21))-1)*100</f>
        <v>-0.33331042063455829</v>
      </c>
      <c r="AB38" s="733">
        <f>((((W38/P38))^(1/6))-1)*100</f>
        <v>0.33622152685284235</v>
      </c>
      <c r="AC38" s="257"/>
      <c r="AD38" s="733">
        <f>((W38/D38)-1)*100</f>
        <v>-6.7710694480244582</v>
      </c>
    </row>
    <row r="39" spans="1:30">
      <c r="A39" s="256" t="s">
        <v>1221</v>
      </c>
      <c r="D39" s="834">
        <f>'45a'!D39/('35b'!$J$8*('4'!$G$30/'4'!$G$26))/52</f>
        <v>106.89190927958387</v>
      </c>
      <c r="E39" s="835">
        <f>'45a'!E39/('35b'!$J$11*('4'!$G$30/'4'!$G$26))/52</f>
        <v>92.584205463690296</v>
      </c>
      <c r="F39" s="836">
        <f>'45a'!F39/('35b'!$J$12*('4'!$G$30/'4'!$G$26))/52</f>
        <v>83.292256610146438</v>
      </c>
      <c r="G39" s="836">
        <f>'45a'!G39/('35b'!$J$13*('4'!$G$30/'4'!$G$26))/52</f>
        <v>99.698087880099052</v>
      </c>
      <c r="H39" s="836">
        <f>'45a'!H39/('35b'!$J$14*('4'!$G$30/'4'!$G$26))/52</f>
        <v>101.49610686208416</v>
      </c>
      <c r="I39" s="836">
        <f>'45a'!I39/('35b'!$J$15*('4'!$G$30/'4'!$G$26))/52</f>
        <v>99.26030110743767</v>
      </c>
      <c r="J39" s="835">
        <f>'45a'!J39/('35b'!$J$16*('4'!$G$30/'4'!$G$26))/52</f>
        <v>101.81179562482194</v>
      </c>
      <c r="K39" s="836">
        <f>'45a'!K39/('35b'!$J$17*('4'!$G$30/'4'!$G$26))/52</f>
        <v>96.624178106992659</v>
      </c>
      <c r="L39" s="836">
        <f>'45a'!L39/('35b'!$J$18*('4'!$G$30/'4'!$G$26))/52</f>
        <v>94.033658401080714</v>
      </c>
      <c r="M39" s="836">
        <f>'45a'!M39/('35b'!$J$19*('4'!$G$30/'4'!$G$26))/52</f>
        <v>93.729793417614715</v>
      </c>
      <c r="N39" s="836">
        <f>'45a'!N39/('35b'!$J$20*('4'!$G$30/'4'!$G$26))/52</f>
        <v>94.21275926740708</v>
      </c>
      <c r="O39" s="836">
        <f>'45a'!O39/('35b'!$J$21*('4'!$G$30/'4'!$G$26))/52</f>
        <v>95.466811669413588</v>
      </c>
      <c r="P39" s="836">
        <f>'45a'!P39/('35b'!$J$22*('4'!$G$30/'4'!$G$26))/52</f>
        <v>99.091290030886498</v>
      </c>
      <c r="Q39" s="836">
        <f>'45a'!Q39/('35b'!$J$23*('4'!$G$30/'4'!$G$26))/52</f>
        <v>99.323928141775411</v>
      </c>
      <c r="R39" s="836">
        <f>'45a'!R39/('35b'!$J$24*('4'!$G$30/'4'!$G$26))/52</f>
        <v>98.652734511585862</v>
      </c>
      <c r="S39" s="836">
        <f>'45a'!S39/('35b'!$J$25*('4'!$G$30/'4'!$G$26))/52</f>
        <v>99.649517384823639</v>
      </c>
      <c r="T39" s="836">
        <f>'45a'!T39/('35b'!$J$26*('4'!$G$30/'4'!$G$26))/52</f>
        <v>100.23432973736439</v>
      </c>
      <c r="U39" s="836">
        <f>'45a'!U39/('35b'!$J$27*('4'!$G$30/'4'!$G$26))/52</f>
        <v>99.548615896119912</v>
      </c>
      <c r="V39" s="836">
        <f>'45a'!V39/('35b'!$J$27*('4'!$G$30/'4'!$G$26))/52</f>
        <v>100.20678856320168</v>
      </c>
      <c r="W39" s="836">
        <f>'45a'!W39/('35b'!$J$27*('4'!$G$30/'4'!$G$26))/52</f>
        <v>100.96928931359767</v>
      </c>
      <c r="Y39" s="662">
        <f>((((E39/D39))^(1/3))-1)*100</f>
        <v>-4.6770758296687642</v>
      </c>
      <c r="Z39" s="662">
        <f>((((P39/E39))^(1/11))-1)*100</f>
        <v>0.61939204832168748</v>
      </c>
      <c r="AA39" s="733">
        <f>((((W39/D39))^(1/21))-1)*100</f>
        <v>-0.27106873306326218</v>
      </c>
      <c r="AB39" s="733">
        <f>((((W39/P39))^(1/6))-1)*100</f>
        <v>0.3134043817605292</v>
      </c>
      <c r="AC39" s="262"/>
      <c r="AD39" s="733">
        <f>((W39/D39)-1)*100</f>
        <v>-5.5407560833207086</v>
      </c>
    </row>
    <row r="40" spans="1:30">
      <c r="A40" s="256" t="s">
        <v>1228</v>
      </c>
      <c r="D40" s="838"/>
      <c r="E40" s="263"/>
      <c r="F40" s="264"/>
      <c r="G40" s="264"/>
      <c r="H40" s="264"/>
      <c r="I40" s="264"/>
      <c r="J40" s="263"/>
      <c r="K40" s="264"/>
      <c r="L40" s="264"/>
      <c r="M40" s="264"/>
      <c r="N40" s="264"/>
      <c r="O40" s="264"/>
      <c r="P40" s="264"/>
      <c r="Q40" s="264"/>
      <c r="R40" s="264"/>
      <c r="S40" s="264"/>
      <c r="T40" s="264"/>
      <c r="U40" s="264"/>
      <c r="V40" s="264"/>
      <c r="W40" s="264"/>
      <c r="Y40" s="662"/>
      <c r="Z40" s="662"/>
      <c r="AA40" s="662"/>
      <c r="AB40" s="662"/>
    </row>
    <row r="41" spans="1:30">
      <c r="A41" s="256" t="s">
        <v>545</v>
      </c>
      <c r="D41" s="834">
        <f>'45a'!D41/('35b'!$K$8*('4'!$H$30/'4'!$H$26))/52</f>
        <v>54.023321129080827</v>
      </c>
      <c r="E41" s="835">
        <f>'45a'!E41/('35b'!$K$11*('4'!$H$30/'4'!$H$26))/52</f>
        <v>51.146174304418984</v>
      </c>
      <c r="F41" s="836">
        <f>'45a'!F41/('35b'!$K$12*('4'!$H$30/'4'!$H$26))/52</f>
        <v>49.438780278712414</v>
      </c>
      <c r="G41" s="836">
        <f>'45a'!G41/('35b'!$K$13*('4'!$H$30/'4'!$H$26))/52</f>
        <v>47.189424648064346</v>
      </c>
      <c r="H41" s="836">
        <f>'45a'!H41/('35b'!$K$14*('4'!$H$30/'4'!$H$26))/52</f>
        <v>48.995811493086919</v>
      </c>
      <c r="I41" s="836">
        <f>'45a'!I41/('35b'!$K$15*('4'!$H$30/'4'!$H$26))/52</f>
        <v>49.816938390420127</v>
      </c>
      <c r="J41" s="835">
        <f>'45a'!J41/('35b'!$K$16*('4'!$H$30/'4'!$H$26))/52</f>
        <v>49.331091084370527</v>
      </c>
      <c r="K41" s="836">
        <f>'45a'!K41/('35b'!$K$17*('4'!$H$30/'4'!$H$26))/52</f>
        <v>48.734716637216358</v>
      </c>
      <c r="L41" s="836">
        <f>'45a'!L41/('35b'!$K$18*('4'!$H$30/'4'!$H$26))/52</f>
        <v>50.18399025917109</v>
      </c>
      <c r="M41" s="836">
        <f>'45a'!M41/('35b'!$K$19*('4'!$H$30/'4'!$H$26))/52</f>
        <v>50.402723824380523</v>
      </c>
      <c r="N41" s="836">
        <f>'45a'!N41/('35b'!$K$20*('4'!$H$30/'4'!$H$26))/52</f>
        <v>51.679948997241254</v>
      </c>
      <c r="O41" s="836">
        <f>'45a'!O41/('35b'!$K$21*('4'!$H$30/'4'!$H$26))/52</f>
        <v>51.683541104242757</v>
      </c>
      <c r="P41" s="836">
        <f>'45a'!P41/('35b'!$K$22*('4'!$H$30/'4'!$H$26))/52</f>
        <v>53.091712199698463</v>
      </c>
      <c r="Q41" s="836">
        <f>'45a'!Q41/('35b'!$K$23*('4'!$H$30/'4'!$H$26))/52</f>
        <v>54.579297679206441</v>
      </c>
      <c r="R41" s="836">
        <f>'45a'!R41/('35b'!$K$24*('4'!$H$30/'4'!$H$26))/52</f>
        <v>56.177720948008634</v>
      </c>
      <c r="S41" s="836">
        <f>'45a'!S41/('35b'!$K$25*('4'!$H$30/'4'!$H$26))/52</f>
        <v>57.881097620208692</v>
      </c>
      <c r="T41" s="836">
        <f>'45a'!T41/('35b'!$K$26*('4'!$H$30/'4'!$H$26))/52</f>
        <v>56.53832106641029</v>
      </c>
      <c r="U41" s="836">
        <f>'45a'!U41/('35b'!$K$27*('4'!$H$30/'4'!$H$26))/52</f>
        <v>54.535225520862163</v>
      </c>
      <c r="V41" s="836">
        <f>'45a'!V41/('35b'!$K$27*('4'!$H$30/'4'!$H$26))/52</f>
        <v>55.487768334442229</v>
      </c>
      <c r="W41" s="836">
        <f>'45a'!W41/('35b'!$K$27*('4'!$H$30/'4'!$H$26))/52</f>
        <v>55.418533631127389</v>
      </c>
      <c r="Y41" s="662">
        <f>((((E41/D41))^(1/3))-1)*100</f>
        <v>-1.8077319069272457</v>
      </c>
      <c r="Z41" s="662">
        <f>((((P41/E41))^(1/11))-1)*100</f>
        <v>0.33996877851545371</v>
      </c>
      <c r="AA41" s="733">
        <f>((((W41/D41))^(1/21))-1)*100</f>
        <v>0.12149400037868574</v>
      </c>
      <c r="AB41" s="733">
        <f>((((W41/P41))^(1/6))-1)*100</f>
        <v>0.7174488019638936</v>
      </c>
      <c r="AC41" s="257"/>
      <c r="AD41" s="733">
        <f>((W41/D41)-1)*100</f>
        <v>2.5826114960850077</v>
      </c>
    </row>
    <row r="42" spans="1:30">
      <c r="A42" s="256" t="s">
        <v>1219</v>
      </c>
      <c r="D42" s="834"/>
      <c r="E42" s="835">
        <f>'45a'!E42/('35b'!$K$11*('4'!$H$30/'4'!$H$26))/52</f>
        <v>51.146174304418984</v>
      </c>
      <c r="F42" s="836">
        <f>'45a'!F42/('35b'!$K$12*('4'!$H$30/'4'!$H$26))/52</f>
        <v>49.438780278712414</v>
      </c>
      <c r="G42" s="836">
        <f>'45a'!G42/('35b'!$K$13*('4'!$H$30/'4'!$H$26))/52</f>
        <v>47.189424648064346</v>
      </c>
      <c r="H42" s="836">
        <f>'45a'!H42/('35b'!$K$14*('4'!$H$30/'4'!$H$26))/52</f>
        <v>48.995811493086919</v>
      </c>
      <c r="I42" s="836">
        <f>'45a'!I42/('35b'!$K$15*('4'!$H$30/'4'!$H$26))/52</f>
        <v>49.816938390420127</v>
      </c>
      <c r="J42" s="835">
        <f>'45a'!J42/('35b'!$K$16*('4'!$H$30/'4'!$H$26))/52</f>
        <v>49.331091084370527</v>
      </c>
      <c r="K42" s="836">
        <f>'45a'!K42/('35b'!$K$17*('4'!$H$30/'4'!$H$26))/52</f>
        <v>48.734716637216358</v>
      </c>
      <c r="L42" s="836">
        <f>'45a'!L42/('35b'!$K$18*('4'!$H$30/'4'!$H$26))/52</f>
        <v>50.18399025917109</v>
      </c>
      <c r="M42" s="836">
        <f>'45a'!M42/('35b'!$K$19*('4'!$H$30/'4'!$H$26))/52</f>
        <v>50.402723824380523</v>
      </c>
      <c r="N42" s="836">
        <f>'45a'!N42/('35b'!$K$20*('4'!$H$30/'4'!$H$26))/52</f>
        <v>51.679948997241254</v>
      </c>
      <c r="O42" s="836">
        <f>'45a'!O42/('35b'!$K$21*('4'!$H$30/'4'!$H$26))/52</f>
        <v>51.683541104242757</v>
      </c>
      <c r="P42" s="836">
        <f>'45a'!P42/('35b'!$K$22*('4'!$H$30/'4'!$H$26))/52</f>
        <v>53.091712199698463</v>
      </c>
      <c r="Q42" s="836">
        <f>'45a'!Q42/('35b'!$K$23*('4'!$H$30/'4'!$H$26))/52</f>
        <v>54.579297679206441</v>
      </c>
      <c r="R42" s="836">
        <f>'45a'!R42/('35b'!$K$24*('4'!$H$30/'4'!$H$26))/52</f>
        <v>56.177720948008634</v>
      </c>
      <c r="S42" s="836">
        <f>'45a'!S42/('35b'!$K$25*('4'!$H$30/'4'!$H$26))/52</f>
        <v>57.881097620208692</v>
      </c>
      <c r="T42" s="836">
        <f>'45a'!T42/('35b'!$K$26*('4'!$H$30/'4'!$H$26))/52</f>
        <v>56.53832106641029</v>
      </c>
      <c r="U42" s="836">
        <f>'45a'!U42/('35b'!$K$27*('4'!$H$30/'4'!$H$26))/52</f>
        <v>54.535225520862163</v>
      </c>
      <c r="V42" s="836">
        <f>'45a'!V42/('35b'!$K$27*('4'!$H$30/'4'!$H$26))/52</f>
        <v>55.487768334442229</v>
      </c>
      <c r="W42" s="836">
        <f>'45a'!W42/('35b'!$K$27*('4'!$H$30/'4'!$H$26))/52</f>
        <v>55.418533631127389</v>
      </c>
      <c r="Y42" s="662" t="s">
        <v>374</v>
      </c>
      <c r="Z42" s="662">
        <f>((((P42/E42))^(1/11))-1)*100</f>
        <v>0.33996877851545371</v>
      </c>
      <c r="AA42" s="733">
        <f>((((W42/E42))^(1/18))-1)*100</f>
        <v>0.44669686226024297</v>
      </c>
      <c r="AB42" s="733">
        <f>((((W42/P42))^(1/6))-1)*100</f>
        <v>0.7174488019638936</v>
      </c>
      <c r="AC42" s="262"/>
      <c r="AD42" s="733">
        <f>((W42/E42)-1)*100</f>
        <v>8.3532334232460315</v>
      </c>
    </row>
    <row r="43" spans="1:30">
      <c r="A43" s="256" t="s">
        <v>1222</v>
      </c>
      <c r="D43" s="834">
        <f>'45a'!D43/('35b'!$K$8*('4'!$H$30/'4'!$H$26))/52</f>
        <v>72.527199706142397</v>
      </c>
      <c r="E43" s="835">
        <f>'45a'!E43/('35b'!$K$11*('4'!$H$30/'4'!$H$26))/52</f>
        <v>69.376060520361989</v>
      </c>
      <c r="F43" s="836">
        <f>'45a'!F43/('35b'!$K$12*('4'!$H$30/'4'!$H$26))/52</f>
        <v>67.703716383089443</v>
      </c>
      <c r="G43" s="836">
        <f>'45a'!G43/('35b'!$K$13*('4'!$H$30/'4'!$H$26))/52</f>
        <v>64.237329242797401</v>
      </c>
      <c r="H43" s="836">
        <f>'45a'!H43/('35b'!$K$14*('4'!$H$30/'4'!$H$26))/52</f>
        <v>60.731414512100017</v>
      </c>
      <c r="I43" s="836">
        <f>'45a'!I43/('35b'!$K$15*('4'!$H$30/'4'!$H$26))/52</f>
        <v>61.758773208904437</v>
      </c>
      <c r="J43" s="835">
        <f>'45a'!J43/('35b'!$K$16*('4'!$H$30/'4'!$H$26))/52</f>
        <v>61.129762225615664</v>
      </c>
      <c r="K43" s="836">
        <f>'45a'!K43/('35b'!$K$17*('4'!$H$30/'4'!$H$26))/52</f>
        <v>60.762560993841085</v>
      </c>
      <c r="L43" s="836">
        <f>'45a'!L43/('35b'!$K$18*('4'!$H$30/'4'!$H$26))/52</f>
        <v>61.423388789603081</v>
      </c>
      <c r="M43" s="836">
        <f>'45a'!M43/('35b'!$K$19*('4'!$H$30/'4'!$H$26))/52</f>
        <v>62.544070594736134</v>
      </c>
      <c r="N43" s="836">
        <f>'45a'!N43/('35b'!$K$20*('4'!$H$30/'4'!$H$26))/52</f>
        <v>63.577600558072923</v>
      </c>
      <c r="O43" s="836">
        <f>'45a'!O43/('35b'!$K$21*('4'!$H$30/'4'!$H$26))/52</f>
        <v>64.636252048706567</v>
      </c>
      <c r="P43" s="836">
        <f>'45a'!P43/('35b'!$K$22*('4'!$H$30/'4'!$H$26))/52</f>
        <v>65.992621255408395</v>
      </c>
      <c r="Q43" s="836">
        <f>'45a'!Q43/('35b'!$K$23*('4'!$H$30/'4'!$H$26))/52</f>
        <v>68.58900092593332</v>
      </c>
      <c r="R43" s="836">
        <f>'45a'!R43/('35b'!$K$24*('4'!$H$30/'4'!$H$26))/52</f>
        <v>70.022320225705457</v>
      </c>
      <c r="S43" s="836">
        <f>'45a'!S43/('35b'!$K$25*('4'!$H$30/'4'!$H$26))/52</f>
        <v>71.529960419035646</v>
      </c>
      <c r="T43" s="836">
        <f>'45a'!T43/('35b'!$K$26*('4'!$H$30/'4'!$H$26))/52</f>
        <v>70.15117059128653</v>
      </c>
      <c r="U43" s="836">
        <f>'45a'!U43/('35b'!$K$27*('4'!$H$30/'4'!$H$26))/52</f>
        <v>68.288495702875878</v>
      </c>
      <c r="V43" s="836">
        <f>'45a'!V43/('35b'!$K$27*('4'!$H$30/'4'!$H$26))/52</f>
        <v>68.331522919625215</v>
      </c>
      <c r="W43" s="836">
        <f>'45a'!W43/('35b'!$K$27*('4'!$H$30/'4'!$H$26))/52</f>
        <v>68.413345167869849</v>
      </c>
      <c r="Y43" s="662">
        <f>((((E43/D43))^(1/3))-1)*100</f>
        <v>-1.4697521695534732</v>
      </c>
      <c r="Z43" s="662">
        <f>((((P43/E43))^(1/11))-1)*100</f>
        <v>-0.45350420563001759</v>
      </c>
      <c r="AA43" s="733">
        <f>((((W43/D43))^(1/21))-1)*100</f>
        <v>-0.27767922972316006</v>
      </c>
      <c r="AB43" s="733">
        <f>((((W43/P43))^(1/6))-1)*100</f>
        <v>0.60222234075435477</v>
      </c>
      <c r="AC43" s="257"/>
      <c r="AD43" s="733">
        <f>((W43/D43)-1)*100</f>
        <v>-5.6721541089971854</v>
      </c>
    </row>
    <row r="44" spans="1:30">
      <c r="A44" s="256" t="s">
        <v>1221</v>
      </c>
      <c r="D44" s="834">
        <f>'45a'!D44/('35b'!$K$8*('4'!$H$30/'4'!$H$26))/52</f>
        <v>105.88558116011427</v>
      </c>
      <c r="E44" s="835">
        <f>'45a'!E44/('35b'!$K$11*('4'!$H$30/'4'!$H$26))/52</f>
        <v>101.39974779319041</v>
      </c>
      <c r="F44" s="836">
        <f>'45a'!F44/('35b'!$K$12*('4'!$H$30/'4'!$H$26))/52</f>
        <v>98.486990950226243</v>
      </c>
      <c r="G44" s="836">
        <f>'45a'!G44/('35b'!$K$13*('4'!$H$30/'4'!$H$26))/52</f>
        <v>94.010711255656119</v>
      </c>
      <c r="H44" s="836">
        <f>'45a'!H44/('35b'!$K$14*('4'!$H$30/'4'!$H$26))/52</f>
        <v>89.743518566873476</v>
      </c>
      <c r="I44" s="836">
        <f>'45a'!I44/('35b'!$K$15*('4'!$H$30/'4'!$H$26))/52</f>
        <v>92.421952629224521</v>
      </c>
      <c r="J44" s="835">
        <f>'45a'!J44/('35b'!$K$16*('4'!$H$30/'4'!$H$26))/52</f>
        <v>90.729590816186771</v>
      </c>
      <c r="K44" s="836">
        <f>'45a'!K44/('35b'!$K$17*('4'!$H$30/'4'!$H$26))/52</f>
        <v>90.526498736295054</v>
      </c>
      <c r="L44" s="836">
        <f>'45a'!L44/('35b'!$K$18*('4'!$H$30/'4'!$H$26))/52</f>
        <v>92.781017253195486</v>
      </c>
      <c r="M44" s="836">
        <f>'45a'!M44/('35b'!$K$19*('4'!$H$30/'4'!$H$26))/52</f>
        <v>94.704726359943209</v>
      </c>
      <c r="N44" s="836">
        <f>'45a'!N44/('35b'!$K$20*('4'!$H$30/'4'!$H$26))/52</f>
        <v>94.722375895894558</v>
      </c>
      <c r="O44" s="836">
        <f>'45a'!O44/('35b'!$K$21*('4'!$H$30/'4'!$H$26))/52</f>
        <v>96.53360552686982</v>
      </c>
      <c r="P44" s="836">
        <f>'45a'!P44/('35b'!$K$22*('4'!$H$30/'4'!$H$26))/52</f>
        <v>98.90707054860124</v>
      </c>
      <c r="Q44" s="836">
        <f>'45a'!Q44/('35b'!$K$23*('4'!$H$30/'4'!$H$26))/52</f>
        <v>101.41370361419305</v>
      </c>
      <c r="R44" s="836">
        <f>'45a'!R44/('35b'!$K$24*('4'!$H$30/'4'!$H$26))/52</f>
        <v>103.81068072768628</v>
      </c>
      <c r="S44" s="836">
        <f>'45a'!S44/('35b'!$K$25*('4'!$H$30/'4'!$H$26))/52</f>
        <v>106.32646067972388</v>
      </c>
      <c r="T44" s="836">
        <f>'45a'!T44/('35b'!$K$26*('4'!$H$30/'4'!$H$26))/52</f>
        <v>103.94464133151915</v>
      </c>
      <c r="U44" s="836">
        <f>'45a'!U44/('35b'!$K$27*('4'!$H$30/'4'!$H$26))/52</f>
        <v>102.15857412918702</v>
      </c>
      <c r="V44" s="836">
        <f>'45a'!V44/('35b'!$K$27*('4'!$H$30/'4'!$H$26))/52</f>
        <v>102.56465150213261</v>
      </c>
      <c r="W44" s="836">
        <f>'45a'!W44/('35b'!$K$27*('4'!$H$30/'4'!$H$26))/52</f>
        <v>102.80377055412926</v>
      </c>
      <c r="Y44" s="662">
        <f>((((E44/D44))^(1/3))-1)*100</f>
        <v>-1.4325888498195827</v>
      </c>
      <c r="Z44" s="662">
        <f>((((P44/E44))^(1/11))-1)*100</f>
        <v>-0.2260157982173272</v>
      </c>
      <c r="AA44" s="733">
        <f>((((W44/D44))^(1/21))-1)*100</f>
        <v>-0.14055378388246886</v>
      </c>
      <c r="AB44" s="733">
        <f>((((W44/P44))^(1/6))-1)*100</f>
        <v>0.6460999943165957</v>
      </c>
      <c r="AC44" s="262"/>
      <c r="AD44" s="733">
        <f>((W44/D44)-1)*100</f>
        <v>-2.9105101678809975</v>
      </c>
    </row>
    <row r="45" spans="1:30">
      <c r="A45" s="256" t="s">
        <v>1229</v>
      </c>
      <c r="D45" s="833"/>
      <c r="E45" s="663"/>
      <c r="F45" s="261"/>
      <c r="G45" s="261"/>
      <c r="H45" s="261"/>
      <c r="I45" s="261"/>
      <c r="J45" s="663"/>
      <c r="K45" s="261"/>
      <c r="L45" s="261"/>
      <c r="M45" s="261"/>
      <c r="N45" s="261"/>
      <c r="O45" s="261"/>
      <c r="P45" s="261"/>
      <c r="Q45" s="261"/>
      <c r="R45" s="261"/>
      <c r="S45" s="261"/>
      <c r="T45" s="261"/>
      <c r="U45" s="261"/>
      <c r="V45" s="261"/>
      <c r="W45" s="261"/>
      <c r="Y45" s="662"/>
      <c r="Z45" s="662"/>
      <c r="AA45" s="662"/>
      <c r="AB45" s="662"/>
    </row>
    <row r="46" spans="1:30">
      <c r="A46" s="256" t="s">
        <v>545</v>
      </c>
      <c r="D46" s="834">
        <f>'45a'!D46/('35b'!$L$8*('4'!$I$30/'4'!$I$26))/52</f>
        <v>54.274958427131992</v>
      </c>
      <c r="E46" s="835">
        <f>'45a'!E46/('35b'!$L$11*('4'!$I$30/'4'!$I$26))/52</f>
        <v>62.635302280216486</v>
      </c>
      <c r="F46" s="836">
        <f>'45a'!F46/('35b'!$L$12*('4'!$I$30/'4'!$I$26))/52</f>
        <v>58.489566771844174</v>
      </c>
      <c r="G46" s="836">
        <f>'45a'!G46/('35b'!$L$13*('4'!$I$30/'4'!$I$26))/52</f>
        <v>57.199773547519641</v>
      </c>
      <c r="H46" s="836">
        <f>'45a'!H46/('35b'!$L$14*('4'!$I$30/'4'!$I$26))/52</f>
        <v>62.457437301792375</v>
      </c>
      <c r="I46" s="836">
        <f>'45a'!I46/('35b'!$L$15*('4'!$I$30/'4'!$I$26))/52</f>
        <v>62.646893766467585</v>
      </c>
      <c r="J46" s="835">
        <f>'45a'!J46/('35b'!$L$16*('4'!$I$30/'4'!$I$26))/52</f>
        <v>65.566776944306838</v>
      </c>
      <c r="K46" s="836">
        <f>'45a'!K46/('35b'!$L$17*('4'!$I$30/'4'!$I$26))/52</f>
        <v>64.171282683772958</v>
      </c>
      <c r="L46" s="836">
        <f>'45a'!L46/('35b'!$L$18*('4'!$I$30/'4'!$I$26))/52</f>
        <v>63.550475154149893</v>
      </c>
      <c r="M46" s="836">
        <f>'45a'!M46/('35b'!$L$19*('4'!$I$30/'4'!$I$26))/52</f>
        <v>63.361974068045818</v>
      </c>
      <c r="N46" s="836">
        <f>'45a'!N46/('35b'!$L$20*('4'!$I$30/'4'!$I$26))/52</f>
        <v>65.449186554181054</v>
      </c>
      <c r="O46" s="836">
        <f>'45a'!O46/('35b'!$L$21*('4'!$I$30/'4'!$I$26))/52</f>
        <v>58.902698482631422</v>
      </c>
      <c r="P46" s="836">
        <f>'45a'!P46/('35b'!$L$22*('4'!$I$30/'4'!$I$26))/52</f>
        <v>60.89130280942608</v>
      </c>
      <c r="Q46" s="836">
        <f>'45a'!Q46/('35b'!$L$23*('4'!$I$30/'4'!$I$26))/52</f>
        <v>60.484364285906018</v>
      </c>
      <c r="R46" s="836">
        <f>'45a'!R46/('35b'!$L$24*('4'!$I$30/'4'!$I$26))/52</f>
        <v>58.208649005600677</v>
      </c>
      <c r="S46" s="836">
        <f>'45a'!S46/('35b'!$L$25*('4'!$I$30/'4'!$I$26))/52</f>
        <v>58.121305591406781</v>
      </c>
      <c r="T46" s="836">
        <f>'45a'!T46/('35b'!$L$26*('4'!$I$30/'4'!$I$26))/52</f>
        <v>58.300528653893103</v>
      </c>
      <c r="U46" s="836">
        <f>'45a'!U46/('35b'!$L$27*('4'!$I$30/'4'!$I$26))/52</f>
        <v>56.556907863890075</v>
      </c>
      <c r="V46" s="836">
        <f>'45a'!V46/('35b'!$L$27*('4'!$I$30/'4'!$I$26))/52</f>
        <v>57.558841177151628</v>
      </c>
      <c r="W46" s="836">
        <f>'45a'!W46/('35b'!$L$27*('4'!$I$30/'4'!$I$26))/52</f>
        <v>56.350028148397605</v>
      </c>
      <c r="Y46" s="662">
        <f>((((E46/D46))^(1/3))-1)*100</f>
        <v>4.8914025841410469</v>
      </c>
      <c r="Z46" s="662">
        <f>((((P46/E46))^(1/11))-1)*100</f>
        <v>-0.25638622073808071</v>
      </c>
      <c r="AA46" s="733">
        <f>((((W46/D46))^(1/21))-1)*100</f>
        <v>0.17882536989934916</v>
      </c>
      <c r="AB46" s="733">
        <f>((((W46/P46))^(1/6))-1)*100</f>
        <v>-1.2834857170895053</v>
      </c>
      <c r="AC46" s="257"/>
      <c r="AD46" s="733">
        <f>((W46/D46)-1)*100</f>
        <v>3.8232543725510881</v>
      </c>
    </row>
    <row r="47" spans="1:30">
      <c r="A47" s="256" t="s">
        <v>1219</v>
      </c>
      <c r="D47" s="834"/>
      <c r="E47" s="835">
        <f>'45a'!E47/('35b'!$L$11*('4'!$I$30/'4'!$I$26))/52</f>
        <v>62.635302280216486</v>
      </c>
      <c r="F47" s="836">
        <f>'45a'!F47/('35b'!$L$12*('4'!$I$30/'4'!$I$26))/52</f>
        <v>58.489566771844174</v>
      </c>
      <c r="G47" s="836">
        <f>'45a'!G47/('35b'!$L$13*('4'!$I$30/'4'!$I$26))/52</f>
        <v>57.199773547519641</v>
      </c>
      <c r="H47" s="836">
        <f>'45a'!H47/('35b'!$L$14*('4'!$I$30/'4'!$I$26))/52</f>
        <v>62.457437301792375</v>
      </c>
      <c r="I47" s="836">
        <f>'45a'!I47/('35b'!$L$15*('4'!$I$30/'4'!$I$26))/52</f>
        <v>62.646893766467585</v>
      </c>
      <c r="J47" s="835">
        <f>'45a'!J47/('35b'!$L$16*('4'!$I$30/'4'!$I$26))/52</f>
        <v>65.566776944306838</v>
      </c>
      <c r="K47" s="836">
        <f>'45a'!K47/('35b'!$L$17*('4'!$I$30/'4'!$I$26))/52</f>
        <v>64.171282683772958</v>
      </c>
      <c r="L47" s="836">
        <f>'45a'!L47/('35b'!$L$18*('4'!$I$30/'4'!$I$26))/52</f>
        <v>63.550475154149893</v>
      </c>
      <c r="M47" s="836">
        <f>'45a'!M47/('35b'!$L$19*('4'!$I$30/'4'!$I$26))/52</f>
        <v>63.361974068045818</v>
      </c>
      <c r="N47" s="836">
        <f>'45a'!N47/('35b'!$L$20*('4'!$I$30/'4'!$I$26))/52</f>
        <v>65.449186554181054</v>
      </c>
      <c r="O47" s="836">
        <f>'45a'!O47/('35b'!$L$21*('4'!$I$30/'4'!$I$26))/52</f>
        <v>58.902698482631422</v>
      </c>
      <c r="P47" s="836">
        <f>'45a'!P47/('35b'!$L$22*('4'!$I$30/'4'!$I$26))/52</f>
        <v>60.89130280942608</v>
      </c>
      <c r="Q47" s="836">
        <f>'45a'!Q47/('35b'!$L$23*('4'!$I$30/'4'!$I$26))/52</f>
        <v>60.484364285906018</v>
      </c>
      <c r="R47" s="836">
        <f>'45a'!R47/('35b'!$L$24*('4'!$I$30/'4'!$I$26))/52</f>
        <v>58.208649005600677</v>
      </c>
      <c r="S47" s="836">
        <f>'45a'!S47/('35b'!$L$25*('4'!$I$30/'4'!$I$26))/52</f>
        <v>58.121305591406781</v>
      </c>
      <c r="T47" s="836">
        <f>'45a'!T47/('35b'!$L$26*('4'!$I$30/'4'!$I$26))/52</f>
        <v>58.300528653893103</v>
      </c>
      <c r="U47" s="836">
        <f>'45a'!U47/('35b'!$L$27*('4'!$I$30/'4'!$I$26))/52</f>
        <v>56.556907863890075</v>
      </c>
      <c r="V47" s="836">
        <f>'45a'!V47/('35b'!$L$27*('4'!$I$30/'4'!$I$26))/52</f>
        <v>57.558841177151628</v>
      </c>
      <c r="W47" s="836">
        <f>'45a'!W47/('35b'!$L$27*('4'!$I$30/'4'!$I$26))/52</f>
        <v>56.350028148397605</v>
      </c>
      <c r="Y47" s="662" t="s">
        <v>374</v>
      </c>
      <c r="Z47" s="662">
        <f>((((P47/E47))^(1/11))-1)*100</f>
        <v>-0.25638622073808071</v>
      </c>
      <c r="AA47" s="733">
        <f>((((W47/E47))^(1/18))-1)*100</f>
        <v>-0.58575723192151319</v>
      </c>
      <c r="AB47" s="733">
        <f>((((W47/P47))^(1/6))-1)*100</f>
        <v>-1.2834857170895053</v>
      </c>
      <c r="AC47" s="262"/>
      <c r="AD47" s="733">
        <f>((W47/E47)-1)*100</f>
        <v>-10.034715093574476</v>
      </c>
    </row>
    <row r="48" spans="1:30">
      <c r="A48" s="256" t="s">
        <v>1222</v>
      </c>
      <c r="D48" s="834">
        <f>'45a'!D48/('35b'!$L$8*('4'!$I$30/'4'!$I$26))/52</f>
        <v>73.0898185488374</v>
      </c>
      <c r="E48" s="835">
        <f>'45a'!E48/('35b'!$L$11*('4'!$I$30/'4'!$I$26))/52</f>
        <v>82.098346835357361</v>
      </c>
      <c r="F48" s="836">
        <f>'45a'!F48/('35b'!$L$12*('4'!$I$30/'4'!$I$26))/52</f>
        <v>80.19485488386735</v>
      </c>
      <c r="G48" s="836">
        <f>'45a'!G48/('35b'!$L$13*('4'!$I$30/'4'!$I$26))/52</f>
        <v>76.876088033401729</v>
      </c>
      <c r="H48" s="836">
        <f>'45a'!H48/('35b'!$L$14*('4'!$I$30/'4'!$I$26))/52</f>
        <v>77.425518363880855</v>
      </c>
      <c r="I48" s="836">
        <f>'45a'!I48/('35b'!$L$15*('4'!$I$30/'4'!$I$26))/52</f>
        <v>78.40742146537913</v>
      </c>
      <c r="J48" s="835">
        <f>'45a'!J48/('35b'!$L$16*('4'!$I$30/'4'!$I$26))/52</f>
        <v>81.310825329224585</v>
      </c>
      <c r="K48" s="836">
        <f>'45a'!K48/('35b'!$L$17*('4'!$I$30/'4'!$I$26))/52</f>
        <v>78.883193878594071</v>
      </c>
      <c r="L48" s="836">
        <f>'45a'!L48/('35b'!$L$18*('4'!$I$30/'4'!$I$26))/52</f>
        <v>78.029172817928441</v>
      </c>
      <c r="M48" s="836">
        <f>'45a'!M48/('35b'!$L$19*('4'!$I$30/'4'!$I$26))/52</f>
        <v>79.590123429908303</v>
      </c>
      <c r="N48" s="836">
        <f>'45a'!N48/('35b'!$L$20*('4'!$I$30/'4'!$I$26))/52</f>
        <v>81.202035142995157</v>
      </c>
      <c r="O48" s="836">
        <f>'45a'!O48/('35b'!$L$21*('4'!$I$30/'4'!$I$26))/52</f>
        <v>74.524019295638439</v>
      </c>
      <c r="P48" s="836">
        <f>'45a'!P48/('35b'!$L$22*('4'!$I$30/'4'!$I$26))/52</f>
        <v>76.405739155049176</v>
      </c>
      <c r="Q48" s="836">
        <f>'45a'!Q48/('35b'!$L$23*('4'!$I$30/'4'!$I$26))/52</f>
        <v>74.836807237769662</v>
      </c>
      <c r="R48" s="836">
        <f>'45a'!R48/('35b'!$L$24*('4'!$I$30/'4'!$I$26))/52</f>
        <v>73.293037911173059</v>
      </c>
      <c r="S48" s="836">
        <f>'45a'!S48/('35b'!$L$25*('4'!$I$30/'4'!$I$26))/52</f>
        <v>72.784129616625535</v>
      </c>
      <c r="T48" s="836">
        <f>'45a'!T48/('35b'!$L$26*('4'!$I$30/'4'!$I$26))/52</f>
        <v>71.013717988896687</v>
      </c>
      <c r="U48" s="836">
        <f>'45a'!U48/('35b'!$L$27*('4'!$I$30/'4'!$I$26))/52</f>
        <v>70.881951740185983</v>
      </c>
      <c r="V48" s="836">
        <f>'45a'!V48/('35b'!$L$27*('4'!$I$30/'4'!$I$26))/52</f>
        <v>70.502811089049729</v>
      </c>
      <c r="W48" s="836">
        <f>'45a'!W48/('35b'!$L$27*('4'!$I$30/'4'!$I$26))/52</f>
        <v>70.904137014596046</v>
      </c>
      <c r="Y48" s="662">
        <f>((((E48/D48))^(1/3))-1)*100</f>
        <v>3.9503229177795252</v>
      </c>
      <c r="Z48" s="662">
        <f>((((P48/E48))^(1/11))-1)*100</f>
        <v>-0.65114414588023362</v>
      </c>
      <c r="AA48" s="733">
        <f>((((W48/D48))^(1/21))-1)*100</f>
        <v>-0.1444683728180185</v>
      </c>
      <c r="AB48" s="733">
        <f>((((W48/P48))^(1/6))-1)*100</f>
        <v>-1.2377598062015105</v>
      </c>
      <c r="AC48" s="257"/>
      <c r="AD48" s="733">
        <f>((W48/D48)-1)*100</f>
        <v>-2.990404925934953</v>
      </c>
    </row>
    <row r="49" spans="1:30">
      <c r="A49" s="256" t="s">
        <v>1221</v>
      </c>
      <c r="D49" s="834">
        <f>'45a'!D49/('35b'!$L$8*('4'!$I$30/'4'!$I$26))/52</f>
        <v>107.29415069074041</v>
      </c>
      <c r="E49" s="835">
        <f>'45a'!E49/('35b'!$L$11*('4'!$I$30/'4'!$I$26))/52</f>
        <v>117.22992618756788</v>
      </c>
      <c r="F49" s="836">
        <f>'45a'!F49/('35b'!$L$12*('4'!$I$30/'4'!$I$26))/52</f>
        <v>116.87627169469435</v>
      </c>
      <c r="G49" s="836">
        <f>'45a'!G49/('35b'!$L$13*('4'!$I$30/'4'!$I$26))/52</f>
        <v>111.9637464788435</v>
      </c>
      <c r="H49" s="836">
        <f>'45a'!H49/('35b'!$L$14*('4'!$I$30/'4'!$I$26))/52</f>
        <v>114.94829299824565</v>
      </c>
      <c r="I49" s="836">
        <f>'45a'!I49/('35b'!$L$15*('4'!$I$30/'4'!$I$26))/52</f>
        <v>116.71146255886735</v>
      </c>
      <c r="J49" s="835">
        <f>'45a'!J49/('35b'!$L$16*('4'!$I$30/'4'!$I$26))/52</f>
        <v>121.67866887278112</v>
      </c>
      <c r="K49" s="836">
        <f>'45a'!K49/('35b'!$L$17*('4'!$I$30/'4'!$I$26))/52</f>
        <v>119.69511779788223</v>
      </c>
      <c r="L49" s="836">
        <f>'45a'!L49/('35b'!$L$18*('4'!$I$30/'4'!$I$26))/52</f>
        <v>116.79371856464772</v>
      </c>
      <c r="M49" s="836">
        <f>'45a'!M49/('35b'!$L$19*('4'!$I$30/'4'!$I$26))/52</f>
        <v>119.40796749019803</v>
      </c>
      <c r="N49" s="836">
        <f>'45a'!N49/('35b'!$L$20*('4'!$I$30/'4'!$I$26))/52</f>
        <v>120.57431841601259</v>
      </c>
      <c r="O49" s="836">
        <f>'45a'!O49/('35b'!$L$21*('4'!$I$30/'4'!$I$26))/52</f>
        <v>110.69306843110893</v>
      </c>
      <c r="P49" s="836">
        <f>'45a'!P49/('35b'!$L$22*('4'!$I$30/'4'!$I$26))/52</f>
        <v>112.77736890524378</v>
      </c>
      <c r="Q49" s="836">
        <f>'45a'!Q49/('35b'!$L$23*('4'!$I$30/'4'!$I$26))/52</f>
        <v>111.88137286816219</v>
      </c>
      <c r="R49" s="836">
        <f>'45a'!R49/('35b'!$L$24*('4'!$I$30/'4'!$I$26))/52</f>
        <v>109.8893322373614</v>
      </c>
      <c r="S49" s="836">
        <f>'45a'!S49/('35b'!$L$25*('4'!$I$30/'4'!$I$26))/52</f>
        <v>108.37687625392587</v>
      </c>
      <c r="T49" s="836">
        <f>'45a'!T49/('35b'!$L$26*('4'!$I$30/'4'!$I$26))/52</f>
        <v>106.14588064207062</v>
      </c>
      <c r="U49" s="836">
        <f>'45a'!U49/('35b'!$L$27*('4'!$I$30/'4'!$I$26))/52</f>
        <v>104.54490183337467</v>
      </c>
      <c r="V49" s="836">
        <f>'45a'!V49/('35b'!$L$27*('4'!$I$30/'4'!$I$26))/52</f>
        <v>104.28188236455217</v>
      </c>
      <c r="W49" s="836">
        <f>'45a'!W49/('35b'!$L$27*('4'!$I$30/'4'!$I$26))/52</f>
        <v>104.32813656874677</v>
      </c>
      <c r="Y49" s="662">
        <f>((((E49/D49))^(1/3))-1)*100</f>
        <v>2.996108258702801</v>
      </c>
      <c r="Z49" s="662">
        <f>((((P49/E49))^(1/11))-1)*100</f>
        <v>-0.35139478369063948</v>
      </c>
      <c r="AA49" s="733">
        <f>((((W49/D49))^(1/21))-1)*100</f>
        <v>-0.13340162255880417</v>
      </c>
      <c r="AB49" s="733">
        <f>((((W49/P49))^(1/6))-1)*100</f>
        <v>-1.2895234257570554</v>
      </c>
      <c r="AC49" s="262"/>
      <c r="AD49" s="733">
        <f>((W49/D49)-1)*100</f>
        <v>-2.7643763456805193</v>
      </c>
    </row>
    <row r="50" spans="1:30">
      <c r="A50" s="256" t="s">
        <v>1230</v>
      </c>
      <c r="D50" s="838"/>
      <c r="E50" s="263"/>
      <c r="F50" s="264"/>
      <c r="G50" s="264"/>
      <c r="H50" s="264"/>
      <c r="I50" s="264"/>
      <c r="J50" s="263"/>
      <c r="K50" s="264"/>
      <c r="L50" s="264"/>
      <c r="M50" s="264"/>
      <c r="N50" s="264"/>
      <c r="O50" s="264"/>
      <c r="P50" s="264"/>
      <c r="Q50" s="264"/>
      <c r="R50" s="264"/>
      <c r="S50" s="264"/>
      <c r="T50" s="264"/>
      <c r="U50" s="264"/>
      <c r="V50" s="264"/>
      <c r="W50" s="264"/>
      <c r="Y50" s="662"/>
      <c r="Z50" s="662"/>
      <c r="AA50" s="662"/>
      <c r="AB50" s="662"/>
    </row>
    <row r="51" spans="1:30">
      <c r="A51" s="256" t="s">
        <v>545</v>
      </c>
      <c r="D51" s="834">
        <f>'45a'!D51/('35b'!$M$8*('4'!$J$30/'4'!$J$26))/52</f>
        <v>45.362601549585968</v>
      </c>
      <c r="E51" s="835">
        <f>'45a'!E51/('35b'!$M$11*('4'!$J$30/'4'!$J$26))/52</f>
        <v>49.19534415409759</v>
      </c>
      <c r="F51" s="836">
        <f>'45a'!F51/('35b'!$M$12*('4'!$J$30/'4'!$J$26))/52</f>
        <v>52.401220056760963</v>
      </c>
      <c r="G51" s="836">
        <f>'45a'!G51/('35b'!$M$13*('4'!$J$30/'4'!$J$26))/52</f>
        <v>50.800240596681888</v>
      </c>
      <c r="H51" s="836">
        <f>'45a'!H51/('35b'!$M$14*('4'!$J$30/'4'!$J$26))/52</f>
        <v>53.811985095916562</v>
      </c>
      <c r="I51" s="836">
        <f>'45a'!I51/('35b'!$M$15*('4'!$J$30/'4'!$J$26))/52</f>
        <v>50.012926273237923</v>
      </c>
      <c r="J51" s="835">
        <f>'45a'!J51/('35b'!$M$16*('4'!$J$30/'4'!$J$26))/52</f>
        <v>52.121804057779805</v>
      </c>
      <c r="K51" s="836">
        <f>'45a'!K51/('35b'!$M$17*('4'!$J$30/'4'!$J$26))/52</f>
        <v>54.345841319979776</v>
      </c>
      <c r="L51" s="836">
        <f>'45a'!L51/('35b'!$M$18*('4'!$J$30/'4'!$J$26))/52</f>
        <v>52.236226908975546</v>
      </c>
      <c r="M51" s="836">
        <f>'45a'!M51/('35b'!$M$19*('4'!$J$30/'4'!$J$26))/52</f>
        <v>53.328641264021648</v>
      </c>
      <c r="N51" s="836">
        <f>'45a'!N51/('35b'!$M$20*('4'!$J$30/'4'!$J$26))/52</f>
        <v>53.524292790161262</v>
      </c>
      <c r="O51" s="836">
        <f>'45a'!O51/('35b'!$M$21*('4'!$J$30/'4'!$J$26))/52</f>
        <v>50.837000012068756</v>
      </c>
      <c r="P51" s="836">
        <f>'45a'!P51/('35b'!$M$22*('4'!$J$30/'4'!$J$26))/52</f>
        <v>52.189907597790274</v>
      </c>
      <c r="Q51" s="836">
        <f>'45a'!Q51/('35b'!$M$23*('4'!$J$30/'4'!$J$26))/52</f>
        <v>53.417443037058064</v>
      </c>
      <c r="R51" s="836">
        <f>'45a'!R51/('35b'!$M$24*('4'!$J$30/'4'!$J$26))/52</f>
        <v>51.034674351321044</v>
      </c>
      <c r="S51" s="836">
        <f>'45a'!S51/('35b'!$M$25*('4'!$J$30/'4'!$J$26))/52</f>
        <v>51.015338294029981</v>
      </c>
      <c r="T51" s="836">
        <f>'45a'!T51/('35b'!$M$26*('4'!$J$30/'4'!$J$26))/52</f>
        <v>51.302969225927399</v>
      </c>
      <c r="U51" s="836">
        <f>'45a'!U51/('35b'!$M$27*('4'!$J$30/'4'!$J$26))/52</f>
        <v>50.222649633691624</v>
      </c>
      <c r="V51" s="836">
        <f>'45a'!V51/('35b'!$M$27*('4'!$J$30/'4'!$J$26))/52</f>
        <v>49.708672900025334</v>
      </c>
      <c r="W51" s="836">
        <f>'45a'!W51/('35b'!$M$27*('4'!$J$30/'4'!$J$26))/52</f>
        <v>49.710763857178712</v>
      </c>
      <c r="Y51" s="662">
        <f>((((E51/D51))^(1/3))-1)*100</f>
        <v>2.7405808145710253</v>
      </c>
      <c r="Z51" s="662">
        <f>((((P51/E51))^(1/11))-1)*100</f>
        <v>0.53862857165185574</v>
      </c>
      <c r="AA51" s="733">
        <f>((((W51/D51))^(1/21))-1)*100</f>
        <v>0.43682500197328444</v>
      </c>
      <c r="AB51" s="733">
        <f>((((W51/P51))^(1/6))-1)*100</f>
        <v>-0.80784671910478778</v>
      </c>
      <c r="AC51" s="257"/>
      <c r="AD51" s="733">
        <f>((W51/D51)-1)*100</f>
        <v>9.5853459877951686</v>
      </c>
    </row>
    <row r="52" spans="1:30">
      <c r="A52" s="256" t="s">
        <v>1219</v>
      </c>
      <c r="D52" s="834"/>
      <c r="E52" s="835">
        <f>'45a'!E52/('35b'!$M$11*('4'!$J$30/'4'!$J$26))/52</f>
        <v>49.19534415409759</v>
      </c>
      <c r="F52" s="836">
        <f>'45a'!F52/('35b'!$M$12*('4'!$J$30/'4'!$J$26))/52</f>
        <v>52.401220056760963</v>
      </c>
      <c r="G52" s="836">
        <f>'45a'!G52/('35b'!$M$13*('4'!$J$30/'4'!$J$26))/52</f>
        <v>50.800240596681888</v>
      </c>
      <c r="H52" s="836">
        <f>'45a'!H52/('35b'!$M$14*('4'!$J$30/'4'!$J$26))/52</f>
        <v>53.811985095916562</v>
      </c>
      <c r="I52" s="836">
        <f>'45a'!I52/('35b'!$M$15*('4'!$J$30/'4'!$J$26))/52</f>
        <v>50.012926273237923</v>
      </c>
      <c r="J52" s="835">
        <f>'45a'!J52/('35b'!$M$16*('4'!$J$30/'4'!$J$26))/52</f>
        <v>52.121804057779805</v>
      </c>
      <c r="K52" s="836">
        <f>'45a'!K52/('35b'!$M$17*('4'!$J$30/'4'!$J$26))/52</f>
        <v>54.345841319979776</v>
      </c>
      <c r="L52" s="836">
        <f>'45a'!L52/('35b'!$M$18*('4'!$J$30/'4'!$J$26))/52</f>
        <v>52.236226908975546</v>
      </c>
      <c r="M52" s="836">
        <f>'45a'!M52/('35b'!$M$19*('4'!$J$30/'4'!$J$26))/52</f>
        <v>53.328641264021648</v>
      </c>
      <c r="N52" s="836">
        <f>'45a'!N52/('35b'!$M$20*('4'!$J$30/'4'!$J$26))/52</f>
        <v>53.524292790161262</v>
      </c>
      <c r="O52" s="836">
        <f>'45a'!O52/('35b'!$M$21*('4'!$J$30/'4'!$J$26))/52</f>
        <v>50.837000012068756</v>
      </c>
      <c r="P52" s="836">
        <f>'45a'!P52/('35b'!$M$22*('4'!$J$30/'4'!$J$26))/52</f>
        <v>52.189907597790274</v>
      </c>
      <c r="Q52" s="836">
        <f>'45a'!Q52/('35b'!$M$23*('4'!$J$30/'4'!$J$26))/52</f>
        <v>53.417443037058064</v>
      </c>
      <c r="R52" s="836">
        <f>'45a'!R52/('35b'!$M$24*('4'!$J$30/'4'!$J$26))/52</f>
        <v>51.034674351321044</v>
      </c>
      <c r="S52" s="836">
        <f>'45a'!S52/('35b'!$M$25*('4'!$J$30/'4'!$J$26))/52</f>
        <v>51.015338294029981</v>
      </c>
      <c r="T52" s="836">
        <f>'45a'!T52/('35b'!$M$26*('4'!$J$30/'4'!$J$26))/52</f>
        <v>51.302969225927399</v>
      </c>
      <c r="U52" s="836">
        <f>'45a'!U52/('35b'!$M$27*('4'!$J$30/'4'!$J$26))/52</f>
        <v>50.222649633691624</v>
      </c>
      <c r="V52" s="836">
        <f>'45a'!V52/('35b'!$M$27*('4'!$J$30/'4'!$J$26))/52</f>
        <v>49.708672900025334</v>
      </c>
      <c r="W52" s="836">
        <f>'45a'!W52/('35b'!$M$27*('4'!$J$30/'4'!$J$26))/52</f>
        <v>49.710763857178712</v>
      </c>
      <c r="Y52" s="662" t="s">
        <v>374</v>
      </c>
      <c r="Z52" s="662">
        <f>((((P52/E52))^(1/11))-1)*100</f>
        <v>0.53862857165185574</v>
      </c>
      <c r="AA52" s="733">
        <f>((((W52/E52))^(1/18))-1)*100</f>
        <v>5.7919534945760631E-2</v>
      </c>
      <c r="AB52" s="733">
        <f>((((W52/P52))^(1/6))-1)*100</f>
        <v>-0.80784671910478778</v>
      </c>
      <c r="AC52" s="262"/>
      <c r="AD52" s="733">
        <f>((W52/E52)-1)*100</f>
        <v>1.0477001674521036</v>
      </c>
    </row>
    <row r="53" spans="1:30">
      <c r="A53" s="256" t="s">
        <v>1222</v>
      </c>
      <c r="D53" s="834">
        <f>'45a'!D53/('35b'!$M$8*('4'!$J$30/'4'!$J$26))/52</f>
        <v>61.148815539282992</v>
      </c>
      <c r="E53" s="835">
        <f>'45a'!E53/('35b'!$M$11*('4'!$J$30/'4'!$J$26))/52</f>
        <v>67.533345754363566</v>
      </c>
      <c r="F53" s="836">
        <f>'45a'!F53/('35b'!$M$12*('4'!$J$30/'4'!$J$26))/52</f>
        <v>71.165194085342904</v>
      </c>
      <c r="G53" s="836">
        <f>'45a'!G53/('35b'!$M$13*('4'!$J$30/'4'!$J$26))/52</f>
        <v>68.435508318383853</v>
      </c>
      <c r="H53" s="836">
        <f>'45a'!H53/('35b'!$M$14*('4'!$J$30/'4'!$J$26))/52</f>
        <v>67.281075346456745</v>
      </c>
      <c r="I53" s="836">
        <f>'45a'!I53/('35b'!$M$15*('4'!$J$30/'4'!$J$26))/52</f>
        <v>62.718001252535146</v>
      </c>
      <c r="J53" s="835">
        <f>'45a'!J53/('35b'!$M$16*('4'!$J$30/'4'!$J$26))/52</f>
        <v>65.332485208561607</v>
      </c>
      <c r="K53" s="836">
        <f>'45a'!K53/('35b'!$M$17*('4'!$J$30/'4'!$J$26))/52</f>
        <v>67.335270587024539</v>
      </c>
      <c r="L53" s="836">
        <f>'45a'!L53/('35b'!$M$18*('4'!$J$30/'4'!$J$26))/52</f>
        <v>65.22492393385366</v>
      </c>
      <c r="M53" s="836">
        <f>'45a'!M53/('35b'!$M$19*('4'!$J$30/'4'!$J$26))/52</f>
        <v>66.294745155165657</v>
      </c>
      <c r="N53" s="836">
        <f>'45a'!N53/('35b'!$M$20*('4'!$J$30/'4'!$J$26))/52</f>
        <v>67.251499083495077</v>
      </c>
      <c r="O53" s="836">
        <f>'45a'!O53/('35b'!$M$21*('4'!$J$30/'4'!$J$26))/52</f>
        <v>63.814212851605234</v>
      </c>
      <c r="P53" s="836">
        <f>'45a'!P53/('35b'!$M$22*('4'!$J$30/'4'!$J$26))/52</f>
        <v>64.555902909662407</v>
      </c>
      <c r="Q53" s="836">
        <f>'45a'!Q53/('35b'!$M$23*('4'!$J$30/'4'!$J$26))/52</f>
        <v>67.23660743698008</v>
      </c>
      <c r="R53" s="836">
        <f>'45a'!R53/('35b'!$M$24*('4'!$J$30/'4'!$J$26))/52</f>
        <v>63.424612708967217</v>
      </c>
      <c r="S53" s="836">
        <f>'45a'!S53/('35b'!$M$25*('4'!$J$30/'4'!$J$26))/52</f>
        <v>63.078080911117574</v>
      </c>
      <c r="T53" s="836">
        <f>'45a'!T53/('35b'!$M$26*('4'!$J$30/'4'!$J$26))/52</f>
        <v>64.777391916116443</v>
      </c>
      <c r="U53" s="836">
        <f>'45a'!U53/('35b'!$M$27*('4'!$J$30/'4'!$J$26))/52</f>
        <v>62.555822765491563</v>
      </c>
      <c r="V53" s="836">
        <f>'45a'!V53/('35b'!$M$27*('4'!$J$30/'4'!$J$26))/52</f>
        <v>62.267727574064601</v>
      </c>
      <c r="W53" s="836">
        <f>'45a'!W53/('35b'!$M$27*('4'!$J$30/'4'!$J$26))/52</f>
        <v>62.341175817085599</v>
      </c>
      <c r="Y53" s="662">
        <f>((((E53/D53))^(1/3))-1)*100</f>
        <v>3.3657687771517564</v>
      </c>
      <c r="Z53" s="662">
        <f>((((P53/E53))^(1/11))-1)*100</f>
        <v>-0.4090694482334456</v>
      </c>
      <c r="AA53" s="733">
        <f>((((W53/D53))^(1/21))-1)*100</f>
        <v>9.2002502706933775E-2</v>
      </c>
      <c r="AB53" s="733">
        <f>((((W53/P53))^(1/6))-1)*100</f>
        <v>-0.58013442821824857</v>
      </c>
      <c r="AC53" s="257"/>
      <c r="AD53" s="733">
        <f>((W53/D53)-1)*100</f>
        <v>1.9499319280135818</v>
      </c>
    </row>
    <row r="54" spans="1:30">
      <c r="A54" s="256" t="s">
        <v>1221</v>
      </c>
      <c r="D54" s="834">
        <f>'45a'!D54/('35b'!$M$8*('4'!$J$30/'4'!$J$26))/52</f>
        <v>89.740970914206471</v>
      </c>
      <c r="E54" s="835">
        <f>'45a'!E54/('35b'!$M$11*('4'!$J$30/'4'!$J$26))/52</f>
        <v>97.942372323673879</v>
      </c>
      <c r="F54" s="836">
        <f>'45a'!F54/('35b'!$M$12*('4'!$J$30/'4'!$J$26))/52</f>
        <v>104.16169022951793</v>
      </c>
      <c r="G54" s="836">
        <f>'45a'!G54/('35b'!$M$13*('4'!$J$30/'4'!$J$26))/52</f>
        <v>101.54622147441287</v>
      </c>
      <c r="H54" s="836">
        <f>'45a'!H54/('35b'!$M$14*('4'!$J$30/'4'!$J$26))/52</f>
        <v>101.32817662959383</v>
      </c>
      <c r="I54" s="836">
        <f>'45a'!I54/('35b'!$M$15*('4'!$J$30/'4'!$J$26))/52</f>
        <v>94.310089543820069</v>
      </c>
      <c r="J54" s="835">
        <f>'45a'!J54/('35b'!$M$16*('4'!$J$30/'4'!$J$26))/52</f>
        <v>98.607840118836904</v>
      </c>
      <c r="K54" s="836">
        <f>'45a'!K54/('35b'!$M$17*('4'!$J$30/'4'!$J$26))/52</f>
        <v>100.22232750673606</v>
      </c>
      <c r="L54" s="836">
        <f>'45a'!L54/('35b'!$M$18*('4'!$J$30/'4'!$J$26))/52</f>
        <v>97.125729830816923</v>
      </c>
      <c r="M54" s="836">
        <f>'45a'!M54/('35b'!$M$19*('4'!$J$30/'4'!$J$26))/52</f>
        <v>98.665079890514534</v>
      </c>
      <c r="N54" s="836">
        <f>'45a'!N54/('35b'!$M$20*('4'!$J$30/'4'!$J$26))/52</f>
        <v>99.335632093054144</v>
      </c>
      <c r="O54" s="836">
        <f>'45a'!O54/('35b'!$M$21*('4'!$J$30/'4'!$J$26))/52</f>
        <v>94.511072865267408</v>
      </c>
      <c r="P54" s="836">
        <f>'45a'!P54/('35b'!$M$22*('4'!$J$30/'4'!$J$26))/52</f>
        <v>96.475519641963416</v>
      </c>
      <c r="Q54" s="836">
        <f>'45a'!Q54/('35b'!$M$23*('4'!$J$30/'4'!$J$26))/52</f>
        <v>99.199312730664644</v>
      </c>
      <c r="R54" s="836">
        <f>'45a'!R54/('35b'!$M$24*('4'!$J$30/'4'!$J$26))/52</f>
        <v>93.715480974876016</v>
      </c>
      <c r="S54" s="836">
        <f>'45a'!S54/('35b'!$M$25*('4'!$J$30/'4'!$J$26))/52</f>
        <v>93.989019228448797</v>
      </c>
      <c r="T54" s="836">
        <f>'45a'!T54/('35b'!$M$26*('4'!$J$30/'4'!$J$26))/52</f>
        <v>95.472167453122651</v>
      </c>
      <c r="U54" s="836">
        <f>'45a'!U54/('35b'!$M$27*('4'!$J$30/'4'!$J$26))/52</f>
        <v>92.928506906206138</v>
      </c>
      <c r="V54" s="836">
        <f>'45a'!V54/('35b'!$M$27*('4'!$J$30/'4'!$J$26))/52</f>
        <v>92.447074786866523</v>
      </c>
      <c r="W54" s="836">
        <f>'45a'!W54/('35b'!$M$27*('4'!$J$30/'4'!$J$26))/52</f>
        <v>92.786370226698111</v>
      </c>
      <c r="Y54" s="662">
        <f>((((E54/D54))^(1/3))-1)*100</f>
        <v>2.9579654143453205</v>
      </c>
      <c r="Z54" s="662">
        <f>((((P54/E54))^(1/11))-1)*100</f>
        <v>-0.13708753543515417</v>
      </c>
      <c r="AA54" s="733">
        <f>((((W54/D54))^(1/21))-1)*100</f>
        <v>0.15904222758498232</v>
      </c>
      <c r="AB54" s="733">
        <f>((((W54/P54))^(1/6))-1)*100</f>
        <v>-0.64771882008006765</v>
      </c>
      <c r="AC54" s="262"/>
      <c r="AD54" s="733">
        <f>((W54/D54)-1)*100</f>
        <v>3.3935439760319541</v>
      </c>
    </row>
    <row r="55" spans="1:30">
      <c r="A55" s="256" t="s">
        <v>1231</v>
      </c>
      <c r="D55" s="833"/>
      <c r="E55" s="663"/>
      <c r="F55" s="261"/>
      <c r="G55" s="261"/>
      <c r="H55" s="261"/>
      <c r="I55" s="261"/>
      <c r="J55" s="663"/>
      <c r="K55" s="261"/>
      <c r="L55" s="261"/>
      <c r="M55" s="261"/>
      <c r="N55" s="261"/>
      <c r="O55" s="261"/>
      <c r="P55" s="261"/>
      <c r="Q55" s="261"/>
      <c r="R55" s="261"/>
      <c r="S55" s="261"/>
      <c r="T55" s="261"/>
      <c r="U55" s="261"/>
      <c r="V55" s="261"/>
      <c r="W55" s="261"/>
      <c r="Y55" s="662"/>
      <c r="Z55" s="662"/>
      <c r="AA55" s="662"/>
      <c r="AB55" s="662"/>
    </row>
    <row r="56" spans="1:30">
      <c r="A56" s="256" t="s">
        <v>545</v>
      </c>
      <c r="D56" s="834">
        <f>'45a'!D56/('35b'!$N$8*('4'!$K$30/'4'!$K$26))/52</f>
        <v>59.704104872812081</v>
      </c>
      <c r="E56" s="835">
        <f>'45a'!E56/('35b'!$N$11*('4'!$K$30/'4'!$K$26))/52</f>
        <v>55.110742406675918</v>
      </c>
      <c r="F56" s="836">
        <f>'45a'!F56/('35b'!$N$12*('4'!$K$30/'4'!$K$26))/52</f>
        <v>57.580808426756782</v>
      </c>
      <c r="G56" s="836">
        <f>'45a'!G56/('35b'!$N$13*('4'!$K$30/'4'!$K$26))/52</f>
        <v>60.529611265963062</v>
      </c>
      <c r="H56" s="836">
        <f>'45a'!H56/('35b'!$N$14*('4'!$K$30/'4'!$K$26))/52</f>
        <v>59.328264493001818</v>
      </c>
      <c r="I56" s="836">
        <f>'45a'!I56/('35b'!$N$15*('4'!$K$30/'4'!$K$26))/52</f>
        <v>60.470781640966536</v>
      </c>
      <c r="J56" s="835">
        <f>'45a'!J56/('35b'!$N$16*('4'!$K$30/'4'!$K$26))/52</f>
        <v>62.713998675708368</v>
      </c>
      <c r="K56" s="836">
        <f>'45a'!K56/('35b'!$N$17*('4'!$K$30/'4'!$K$26))/52</f>
        <v>64.918239558212534</v>
      </c>
      <c r="L56" s="836">
        <f>'45a'!L56/('35b'!$N$18*('4'!$K$30/'4'!$K$26))/52</f>
        <v>64.821232441522938</v>
      </c>
      <c r="M56" s="836">
        <f>'45a'!M56/('35b'!$N$19*('4'!$K$30/'4'!$K$26))/52</f>
        <v>67.572436468251254</v>
      </c>
      <c r="N56" s="836">
        <f>'45a'!N56/('35b'!$N$20*('4'!$K$30/'4'!$K$26))/52</f>
        <v>63.469162923748847</v>
      </c>
      <c r="O56" s="836">
        <f>'45a'!O56/('35b'!$N$21*('4'!$K$30/'4'!$K$26))/52</f>
        <v>59.34497169708974</v>
      </c>
      <c r="P56" s="836">
        <f>'45a'!P56/('35b'!$N$22*('4'!$K$30/'4'!$K$26))/52</f>
        <v>60.260299540677458</v>
      </c>
      <c r="Q56" s="836">
        <f>'45a'!Q56/('35b'!$N$23*('4'!$K$30/'4'!$K$26))/52</f>
        <v>62.601982079285492</v>
      </c>
      <c r="R56" s="836">
        <f>'45a'!R56/('35b'!$N$24*('4'!$K$30/'4'!$K$26))/52</f>
        <v>62.67061388087788</v>
      </c>
      <c r="S56" s="836">
        <f>'45a'!S56/('35b'!$N$25*('4'!$K$30/'4'!$K$26))/52</f>
        <v>65.247979603896724</v>
      </c>
      <c r="T56" s="836">
        <f>'45a'!T56/('35b'!$N$26*('4'!$K$30/'4'!$K$26))/52</f>
        <v>65.299155618970886</v>
      </c>
      <c r="U56" s="836">
        <f>'45a'!U56/('35b'!$N$27*('4'!$K$30/'4'!$K$26))/52</f>
        <v>57.41260816950934</v>
      </c>
      <c r="V56" s="836">
        <f>'45a'!V56/('35b'!$N$27*('4'!$K$30/'4'!$K$26))/52</f>
        <v>56.1273013581391</v>
      </c>
      <c r="W56" s="836">
        <f>'45a'!W56/('35b'!$N$27*('4'!$K$30/'4'!$K$26))/52</f>
        <v>57.57573372463613</v>
      </c>
      <c r="Y56" s="662">
        <f>((((E56/D56))^(1/3))-1)*100</f>
        <v>-2.633246398524014</v>
      </c>
      <c r="Z56" s="662">
        <f>((((P56/E56))^(1/11))-1)*100</f>
        <v>0.81538672898775477</v>
      </c>
      <c r="AA56" s="733">
        <f>((((W56/D56))^(1/21))-1)*100</f>
        <v>-0.17270586739533966</v>
      </c>
      <c r="AB56" s="733">
        <f>((((W56/P56))^(1/6))-1)*100</f>
        <v>-0.75666137917425047</v>
      </c>
      <c r="AC56" s="257"/>
      <c r="AD56" s="733">
        <f>((W56/D56)-1)*100</f>
        <v>-3.5648656867229289</v>
      </c>
    </row>
    <row r="57" spans="1:30">
      <c r="A57" s="256" t="s">
        <v>1219</v>
      </c>
      <c r="D57" s="834"/>
      <c r="E57" s="835">
        <f>'45a'!E57/('35b'!$N$11*('4'!$K$30/'4'!$K$26))/52</f>
        <v>55.110742406675918</v>
      </c>
      <c r="F57" s="836">
        <f>'45a'!F57/('35b'!$N$12*('4'!$K$30/'4'!$K$26))/52</f>
        <v>57.580808426756782</v>
      </c>
      <c r="G57" s="836">
        <f>'45a'!G57/('35b'!$N$13*('4'!$K$30/'4'!$K$26))/52</f>
        <v>60.529611265963062</v>
      </c>
      <c r="H57" s="836">
        <f>'45a'!H57/('35b'!$N$14*('4'!$K$30/'4'!$K$26))/52</f>
        <v>59.328264493001818</v>
      </c>
      <c r="I57" s="836">
        <f>'45a'!I57/('35b'!$N$15*('4'!$K$30/'4'!$K$26))/52</f>
        <v>60.470781640966536</v>
      </c>
      <c r="J57" s="835">
        <f>'45a'!J57/('35b'!$N$16*('4'!$K$30/'4'!$K$26))/52</f>
        <v>62.713998675708368</v>
      </c>
      <c r="K57" s="836">
        <f>'45a'!K57/('35b'!$N$17*('4'!$K$30/'4'!$K$26))/52</f>
        <v>64.918239558212534</v>
      </c>
      <c r="L57" s="836">
        <f>'45a'!L57/('35b'!$N$18*('4'!$K$30/'4'!$K$26))/52</f>
        <v>64.821232441522938</v>
      </c>
      <c r="M57" s="836">
        <f>'45a'!M57/('35b'!$N$19*('4'!$K$30/'4'!$K$26))/52</f>
        <v>67.572436468251254</v>
      </c>
      <c r="N57" s="836">
        <f>'45a'!N57/('35b'!$N$20*('4'!$K$30/'4'!$K$26))/52</f>
        <v>63.469162923748847</v>
      </c>
      <c r="O57" s="836">
        <f>'45a'!O57/('35b'!$N$21*('4'!$K$30/'4'!$K$26))/52</f>
        <v>59.34497169708974</v>
      </c>
      <c r="P57" s="836">
        <f>'45a'!P57/('35b'!$N$22*('4'!$K$30/'4'!$K$26))/52</f>
        <v>60.260299540677458</v>
      </c>
      <c r="Q57" s="836">
        <f>'45a'!Q57/('35b'!$N$23*('4'!$K$30/'4'!$K$26))/52</f>
        <v>62.601982079285492</v>
      </c>
      <c r="R57" s="836">
        <f>'45a'!R57/('35b'!$N$24*('4'!$K$30/'4'!$K$26))/52</f>
        <v>62.67061388087788</v>
      </c>
      <c r="S57" s="836">
        <f>'45a'!S57/('35b'!$N$25*('4'!$K$30/'4'!$K$26))/52</f>
        <v>65.247979603896724</v>
      </c>
      <c r="T57" s="836">
        <f>'45a'!T57/('35b'!$N$26*('4'!$K$30/'4'!$K$26))/52</f>
        <v>65.299155618970886</v>
      </c>
      <c r="U57" s="836">
        <f>'45a'!U57/('35b'!$N$27*('4'!$K$30/'4'!$K$26))/52</f>
        <v>57.41260816950934</v>
      </c>
      <c r="V57" s="836">
        <f>'45a'!V57/('35b'!$N$27*('4'!$K$30/'4'!$K$26))/52</f>
        <v>56.1273013581391</v>
      </c>
      <c r="W57" s="836">
        <f>'45a'!W57/('35b'!$N$27*('4'!$K$30/'4'!$K$26))/52</f>
        <v>57.57573372463613</v>
      </c>
      <c r="Y57" s="662" t="s">
        <v>374</v>
      </c>
      <c r="Z57" s="662">
        <f>((((P57/E57))^(1/11))-1)*100</f>
        <v>0.81538672898775477</v>
      </c>
      <c r="AA57" s="733">
        <f>((((W57/E57))^(1/18))-1)*100</f>
        <v>0.24338754258137474</v>
      </c>
      <c r="AB57" s="733">
        <f>((((W57/P57))^(1/6))-1)*100</f>
        <v>-0.75666137917425047</v>
      </c>
      <c r="AC57" s="262"/>
      <c r="AD57" s="733">
        <f>((W57/E57)-1)*100</f>
        <v>4.4727964282724075</v>
      </c>
    </row>
    <row r="58" spans="1:30">
      <c r="A58" s="256" t="s">
        <v>1222</v>
      </c>
      <c r="D58" s="834">
        <f>'45a'!D58/('35b'!$N$8*('4'!$K$30/'4'!$K$26))/52</f>
        <v>81.189505515908422</v>
      </c>
      <c r="E58" s="835">
        <f>'45a'!E58/('35b'!$N$11*('4'!$K$30/'4'!$K$26))/52</f>
        <v>74.877579134035031</v>
      </c>
      <c r="F58" s="836">
        <f>'45a'!F58/('35b'!$N$12*('4'!$K$30/'4'!$K$26))/52</f>
        <v>79.540211464470957</v>
      </c>
      <c r="G58" s="836">
        <f>'45a'!G58/('35b'!$N$13*('4'!$K$30/'4'!$K$26))/52</f>
        <v>83.084277582098281</v>
      </c>
      <c r="H58" s="836">
        <f>'45a'!H58/('35b'!$N$14*('4'!$K$30/'4'!$K$26))/52</f>
        <v>73.857207980707258</v>
      </c>
      <c r="I58" s="836">
        <f>'45a'!I58/('35b'!$N$15*('4'!$K$30/'4'!$K$26))/52</f>
        <v>75.24541798361922</v>
      </c>
      <c r="J58" s="835">
        <f>'45a'!J58/('35b'!$N$16*('4'!$K$30/'4'!$K$26))/52</f>
        <v>79.389690811277902</v>
      </c>
      <c r="K58" s="836">
        <f>'45a'!K58/('35b'!$N$17*('4'!$K$30/'4'!$K$26))/52</f>
        <v>80.911424231313191</v>
      </c>
      <c r="L58" s="836">
        <f>'45a'!L58/('35b'!$N$18*('4'!$K$30/'4'!$K$26))/52</f>
        <v>82.353832454277693</v>
      </c>
      <c r="M58" s="836">
        <f>'45a'!M58/('35b'!$N$19*('4'!$K$30/'4'!$K$26))/52</f>
        <v>83.000315090074665</v>
      </c>
      <c r="N58" s="836">
        <f>'45a'!N58/('35b'!$N$20*('4'!$K$30/'4'!$K$26))/52</f>
        <v>78.456902172396369</v>
      </c>
      <c r="O58" s="836">
        <f>'45a'!O58/('35b'!$N$21*('4'!$K$30/'4'!$K$26))/52</f>
        <v>73.789223598034042</v>
      </c>
      <c r="P58" s="836">
        <f>'45a'!P58/('35b'!$N$22*('4'!$K$30/'4'!$K$26))/52</f>
        <v>74.633960301436943</v>
      </c>
      <c r="Q58" s="836">
        <f>'45a'!Q58/('35b'!$N$23*('4'!$K$30/'4'!$K$26))/52</f>
        <v>76.734808553980216</v>
      </c>
      <c r="R58" s="836">
        <f>'45a'!R58/('35b'!$N$24*('4'!$K$30/'4'!$K$26))/52</f>
        <v>78.44478357971272</v>
      </c>
      <c r="S58" s="836">
        <f>'45a'!S58/('35b'!$N$25*('4'!$K$30/'4'!$K$26))/52</f>
        <v>80.243408243657285</v>
      </c>
      <c r="T58" s="836">
        <f>'45a'!T58/('35b'!$N$26*('4'!$K$30/'4'!$K$26))/52</f>
        <v>81.929097331950985</v>
      </c>
      <c r="U58" s="836">
        <f>'45a'!U58/('35b'!$N$27*('4'!$K$30/'4'!$K$26))/52</f>
        <v>70.069776060982662</v>
      </c>
      <c r="V58" s="836">
        <f>'45a'!V58/('35b'!$N$27*('4'!$K$30/'4'!$K$26))/52</f>
        <v>71.233186410692753</v>
      </c>
      <c r="W58" s="836">
        <f>'45a'!W58/('35b'!$N$27*('4'!$K$30/'4'!$K$26))/52</f>
        <v>70.331214888859861</v>
      </c>
      <c r="Y58" s="662">
        <f>((((E58/D58))^(1/3))-1)*100</f>
        <v>-2.6616531418733547</v>
      </c>
      <c r="Z58" s="662">
        <f>((((P58/E58))^(1/11))-1)*100</f>
        <v>-2.9621667918233729E-2</v>
      </c>
      <c r="AA58" s="733">
        <f>((((W58/D58))^(1/21))-1)*100</f>
        <v>-0.68133626971637051</v>
      </c>
      <c r="AB58" s="733">
        <f>((((W58/P58))^(1/6))-1)*100</f>
        <v>-0.9847841170239402</v>
      </c>
      <c r="AC58" s="257"/>
      <c r="AD58" s="733">
        <f>((W58/D58)-1)*100</f>
        <v>-13.374007586388082</v>
      </c>
    </row>
    <row r="59" spans="1:30">
      <c r="A59" s="256" t="s">
        <v>1221</v>
      </c>
      <c r="D59" s="834">
        <f>'45a'!D59/('35b'!$N$8*('4'!$K$30/'4'!$K$26))/52</f>
        <v>117.32172781055004</v>
      </c>
      <c r="E59" s="835">
        <f>'45a'!E59/('35b'!$N$11*('4'!$K$30/'4'!$K$26))/52</f>
        <v>108.6024891748477</v>
      </c>
      <c r="F59" s="836">
        <f>'45a'!F59/('35b'!$N$12*('4'!$K$30/'4'!$K$26))/52</f>
        <v>114.43706189921681</v>
      </c>
      <c r="G59" s="836">
        <f>'45a'!G59/('35b'!$N$13*('4'!$K$30/'4'!$K$26))/52</f>
        <v>120.62359551803151</v>
      </c>
      <c r="H59" s="836">
        <f>'45a'!H59/('35b'!$N$14*('4'!$K$30/'4'!$K$26))/52</f>
        <v>110.48275258017898</v>
      </c>
      <c r="I59" s="836">
        <f>'45a'!I59/('35b'!$N$15*('4'!$K$30/'4'!$K$26))/52</f>
        <v>112.60241878652006</v>
      </c>
      <c r="J59" s="835">
        <f>'45a'!J59/('35b'!$N$16*('4'!$K$30/'4'!$K$26))/52</f>
        <v>117.38433650054309</v>
      </c>
      <c r="K59" s="836">
        <f>'45a'!K59/('35b'!$N$17*('4'!$K$30/'4'!$K$26))/52</f>
        <v>120.64644527333752</v>
      </c>
      <c r="L59" s="836">
        <f>'45a'!L59/('35b'!$N$18*('4'!$K$30/'4'!$K$26))/52</f>
        <v>122.7025823686554</v>
      </c>
      <c r="M59" s="836">
        <f>'45a'!M59/('35b'!$N$19*('4'!$K$30/'4'!$K$26))/52</f>
        <v>125.62581825842297</v>
      </c>
      <c r="N59" s="836">
        <f>'45a'!N59/('35b'!$N$20*('4'!$K$30/'4'!$K$26))/52</f>
        <v>116.06409119477618</v>
      </c>
      <c r="O59" s="836">
        <f>'45a'!O59/('35b'!$N$21*('4'!$K$30/'4'!$K$26))/52</f>
        <v>111.84764428266504</v>
      </c>
      <c r="P59" s="836">
        <f>'45a'!P59/('35b'!$N$22*('4'!$K$30/'4'!$K$26))/52</f>
        <v>111.5829851359682</v>
      </c>
      <c r="Q59" s="836">
        <f>'45a'!Q59/('35b'!$N$23*('4'!$K$30/'4'!$K$26))/52</f>
        <v>114.47188386838305</v>
      </c>
      <c r="R59" s="836">
        <f>'45a'!R59/('35b'!$N$24*('4'!$K$30/'4'!$K$26))/52</f>
        <v>116.84926042476719</v>
      </c>
      <c r="S59" s="836">
        <f>'45a'!S59/('35b'!$N$25*('4'!$K$30/'4'!$K$26))/52</f>
        <v>119.20252212287947</v>
      </c>
      <c r="T59" s="836">
        <f>'45a'!T59/('35b'!$N$26*('4'!$K$30/'4'!$K$26))/52</f>
        <v>121.6261483376434</v>
      </c>
      <c r="U59" s="836">
        <f>'45a'!U59/('35b'!$N$27*('4'!$K$30/'4'!$K$26))/52</f>
        <v>106.40004696994903</v>
      </c>
      <c r="V59" s="836">
        <f>'45a'!V59/('35b'!$N$27*('4'!$K$30/'4'!$K$26))/52</f>
        <v>106.25060602798807</v>
      </c>
      <c r="W59" s="836">
        <f>'45a'!W59/('35b'!$N$27*('4'!$K$30/'4'!$K$26))/52</f>
        <v>106.37387100877753</v>
      </c>
      <c r="Y59" s="662">
        <f>((((E59/D59))^(1/3))-1)*100</f>
        <v>-2.5413383699542602</v>
      </c>
      <c r="Z59" s="662">
        <f>((((P59/E59))^(1/11))-1)*100</f>
        <v>0.24643267072048669</v>
      </c>
      <c r="AA59" s="733">
        <f>((((W59/D59))^(1/21))-1)*100</f>
        <v>-0.46538986969161256</v>
      </c>
      <c r="AB59" s="733">
        <f>((((W59/P59))^(1/6))-1)*100</f>
        <v>-0.79364391477181329</v>
      </c>
      <c r="AC59" s="262"/>
      <c r="AD59" s="733">
        <f>((W59/D59)-1)*100</f>
        <v>-9.3314827577812398</v>
      </c>
    </row>
    <row r="60" spans="1:30">
      <c r="A60" s="256" t="s">
        <v>1232</v>
      </c>
      <c r="D60" s="838"/>
      <c r="E60" s="263"/>
      <c r="F60" s="264"/>
      <c r="G60" s="264"/>
      <c r="H60" s="264"/>
      <c r="I60" s="264"/>
      <c r="J60" s="263"/>
      <c r="K60" s="264"/>
      <c r="L60" s="264"/>
      <c r="M60" s="264"/>
      <c r="N60" s="264"/>
      <c r="O60" s="264"/>
      <c r="P60" s="264"/>
      <c r="Q60" s="264"/>
      <c r="R60" s="264"/>
      <c r="S60" s="264"/>
      <c r="T60" s="264"/>
      <c r="U60" s="264"/>
      <c r="V60" s="264"/>
      <c r="W60" s="264"/>
      <c r="Y60" s="662"/>
      <c r="Z60" s="662"/>
      <c r="AA60" s="662"/>
      <c r="AB60" s="662"/>
    </row>
    <row r="61" spans="1:30">
      <c r="A61" s="256" t="s">
        <v>545</v>
      </c>
      <c r="D61" s="834">
        <f>'45a'!D61/('35b'!$O$8*('4'!$L$30/'4'!$L$26))/52</f>
        <v>65.82861417825103</v>
      </c>
      <c r="E61" s="835">
        <f>'45a'!E61/('35b'!$O$11*('4'!$L$30/'4'!$L$26))/52</f>
        <v>53.616535311442917</v>
      </c>
      <c r="F61" s="836">
        <f>'45a'!F61/('35b'!$O$12*('4'!$L$30/'4'!$L$26))/52</f>
        <v>53.929172893095192</v>
      </c>
      <c r="G61" s="836">
        <f>'45a'!G61/('35b'!$O$13*('4'!$L$30/'4'!$L$26))/52</f>
        <v>57.395253682487727</v>
      </c>
      <c r="H61" s="836">
        <f>'45a'!H61/('35b'!$O$14*('4'!$L$30/'4'!$L$26))/52</f>
        <v>56.207668372330723</v>
      </c>
      <c r="I61" s="836">
        <f>'45a'!I61/('35b'!$O$15*('4'!$L$30/'4'!$L$26))/52</f>
        <v>52.67641547475035</v>
      </c>
      <c r="J61" s="835">
        <f>'45a'!J61/('35b'!$O$16*('4'!$L$30/'4'!$L$26))/52</f>
        <v>54.940855437516163</v>
      </c>
      <c r="K61" s="836">
        <f>'45a'!K61/('35b'!$O$17*('4'!$L$30/'4'!$L$26))/52</f>
        <v>50.255066138507395</v>
      </c>
      <c r="L61" s="836">
        <f>'45a'!L61/('35b'!$O$18*('4'!$L$30/'4'!$L$26))/52</f>
        <v>48.446806587417136</v>
      </c>
      <c r="M61" s="836">
        <f>'45a'!M61/('35b'!$O$19*('4'!$L$30/'4'!$L$26))/52</f>
        <v>49.828596729614304</v>
      </c>
      <c r="N61" s="836">
        <f>'45a'!N61/('35b'!$O$20*('4'!$L$30/'4'!$L$26))/52</f>
        <v>48.808281347596804</v>
      </c>
      <c r="O61" s="836">
        <f>'45a'!O61/('35b'!$O$21*('4'!$L$30/'4'!$L$26))/52</f>
        <v>50.204246760142304</v>
      </c>
      <c r="P61" s="836">
        <f>'45a'!P61/('35b'!$O$22*('4'!$L$30/'4'!$L$26))/52</f>
        <v>49.016271108997152</v>
      </c>
      <c r="Q61" s="836">
        <f>'45a'!Q61/('35b'!$O$23*('4'!$L$30/'4'!$L$26))/52</f>
        <v>47.084474845228776</v>
      </c>
      <c r="R61" s="836">
        <f>'45a'!R61/('35b'!$O$24*('4'!$L$30/'4'!$L$26))/52</f>
        <v>48.551317630873605</v>
      </c>
      <c r="S61" s="836">
        <f>'45a'!S61/('35b'!$O$25*('4'!$L$30/'4'!$L$26))/52</f>
        <v>49.955998052017364</v>
      </c>
      <c r="T61" s="836">
        <f>'45a'!T61/('35b'!$O$26*('4'!$L$30/'4'!$L$26))/52</f>
        <v>49.977116485358991</v>
      </c>
      <c r="U61" s="836">
        <f>'45a'!U61/('35b'!$O$27*('4'!$L$30/'4'!$L$26))/52</f>
        <v>51.65568481531897</v>
      </c>
      <c r="V61" s="836">
        <f>'45a'!V61/('35b'!$O$27*('4'!$L$30/'4'!$L$26))/52</f>
        <v>52.378199198273208</v>
      </c>
      <c r="W61" s="836">
        <f>'45a'!W61/('35b'!$O$27*('4'!$L$30/'4'!$L$26))/52</f>
        <v>51.541682014725772</v>
      </c>
      <c r="Y61" s="662">
        <f>((((E61/D61))^(1/3))-1)*100</f>
        <v>-6.6112251447858039</v>
      </c>
      <c r="Z61" s="662">
        <f>((((P61/E61))^(1/11))-1)*100</f>
        <v>-0.81218570103895882</v>
      </c>
      <c r="AA61" s="733">
        <f>((((W61/D61))^(1/21))-1)*100</f>
        <v>-1.1583049627262199</v>
      </c>
      <c r="AB61" s="733">
        <f>((((W61/P61))^(1/6))-1)*100</f>
        <v>0.84082412491786052</v>
      </c>
      <c r="AC61" s="257"/>
      <c r="AD61" s="733">
        <f>((W61/D61)-1)*100</f>
        <v>-21.70322486941474</v>
      </c>
    </row>
    <row r="62" spans="1:30">
      <c r="A62" s="256" t="s">
        <v>1219</v>
      </c>
      <c r="D62" s="834"/>
      <c r="E62" s="835">
        <f>'45a'!E62/('35b'!$O$11*('4'!$L$30/'4'!$L$26))/52</f>
        <v>53.616535311442917</v>
      </c>
      <c r="F62" s="836">
        <f>'45a'!F62/('35b'!$O$12*('4'!$L$30/'4'!$L$26))/52</f>
        <v>53.929172893095192</v>
      </c>
      <c r="G62" s="836">
        <f>'45a'!G62/('35b'!$O$13*('4'!$L$30/'4'!$L$26))/52</f>
        <v>57.395253682487727</v>
      </c>
      <c r="H62" s="836">
        <f>'45a'!H62/('35b'!$O$14*('4'!$L$30/'4'!$L$26))/52</f>
        <v>56.207668372330723</v>
      </c>
      <c r="I62" s="836">
        <f>'45a'!I62/('35b'!$O$15*('4'!$L$30/'4'!$L$26))/52</f>
        <v>52.67641547475035</v>
      </c>
      <c r="J62" s="835">
        <f>'45a'!J62/('35b'!$O$16*('4'!$L$30/'4'!$L$26))/52</f>
        <v>54.940855437516163</v>
      </c>
      <c r="K62" s="836">
        <f>'45a'!K62/('35b'!$O$17*('4'!$L$30/'4'!$L$26))/52</f>
        <v>50.255066138507395</v>
      </c>
      <c r="L62" s="836">
        <f>'45a'!L62/('35b'!$O$18*('4'!$L$30/'4'!$L$26))/52</f>
        <v>48.446806587417136</v>
      </c>
      <c r="M62" s="836">
        <f>'45a'!M62/('35b'!$O$19*('4'!$L$30/'4'!$L$26))/52</f>
        <v>49.828596729614304</v>
      </c>
      <c r="N62" s="836">
        <f>'45a'!N62/('35b'!$O$20*('4'!$L$30/'4'!$L$26))/52</f>
        <v>48.808281347596804</v>
      </c>
      <c r="O62" s="836">
        <f>'45a'!O62/('35b'!$O$21*('4'!$L$30/'4'!$L$26))/52</f>
        <v>50.204246760142304</v>
      </c>
      <c r="P62" s="836">
        <f>'45a'!P62/('35b'!$O$22*('4'!$L$30/'4'!$L$26))/52</f>
        <v>49.016271108997152</v>
      </c>
      <c r="Q62" s="836">
        <f>'45a'!Q62/('35b'!$O$23*('4'!$L$30/'4'!$L$26))/52</f>
        <v>47.084474845228776</v>
      </c>
      <c r="R62" s="836">
        <f>'45a'!R62/('35b'!$O$24*('4'!$L$30/'4'!$L$26))/52</f>
        <v>48.551317630873605</v>
      </c>
      <c r="S62" s="836">
        <f>'45a'!S62/('35b'!$O$25*('4'!$L$30/'4'!$L$26))/52</f>
        <v>49.955998052017364</v>
      </c>
      <c r="T62" s="836">
        <f>'45a'!T62/('35b'!$O$26*('4'!$L$30/'4'!$L$26))/52</f>
        <v>49.977116485358991</v>
      </c>
      <c r="U62" s="836">
        <f>'45a'!U62/('35b'!$O$27*('4'!$L$30/'4'!$L$26))/52</f>
        <v>51.65568481531897</v>
      </c>
      <c r="V62" s="836">
        <f>'45a'!V62/('35b'!$O$27*('4'!$L$30/'4'!$L$26))/52</f>
        <v>52.378199198273208</v>
      </c>
      <c r="W62" s="836">
        <f>'45a'!W62/('35b'!$O$27*('4'!$L$30/'4'!$L$26))/52</f>
        <v>51.541682014725772</v>
      </c>
      <c r="Y62" s="662" t="s">
        <v>374</v>
      </c>
      <c r="Z62" s="662">
        <f>((((P62/E62))^(1/11))-1)*100</f>
        <v>-0.81218570103895882</v>
      </c>
      <c r="AA62" s="733">
        <f>((((W62/E62))^(1/18))-1)*100</f>
        <v>-0.21901910955616222</v>
      </c>
      <c r="AB62" s="733">
        <f>((((W62/P62))^(1/6))-1)*100</f>
        <v>0.84082412491786052</v>
      </c>
      <c r="AC62" s="262"/>
      <c r="AD62" s="733">
        <f>((W62/E62)-1)*100</f>
        <v>-3.8698011437421687</v>
      </c>
    </row>
    <row r="63" spans="1:30">
      <c r="A63" s="256" t="s">
        <v>1222</v>
      </c>
      <c r="D63" s="834">
        <f>'45a'!D63/('35b'!$O$8*('4'!$L$30/'4'!$L$26))/52</f>
        <v>90.628041957583164</v>
      </c>
      <c r="E63" s="835">
        <f>'45a'!E63/('35b'!$O$11*('4'!$L$30/'4'!$L$26))/52</f>
        <v>73.299276797986565</v>
      </c>
      <c r="F63" s="836">
        <f>'45a'!F63/('35b'!$O$12*('4'!$L$30/'4'!$L$26))/52</f>
        <v>73.641215398847223</v>
      </c>
      <c r="G63" s="836">
        <f>'45a'!G63/('35b'!$O$13*('4'!$L$30/'4'!$L$26))/52</f>
        <v>76.624254263238484</v>
      </c>
      <c r="H63" s="836">
        <f>'45a'!H63/('35b'!$O$14*('4'!$L$30/'4'!$L$26))/52</f>
        <v>70.658642929688256</v>
      </c>
      <c r="I63" s="836">
        <f>'45a'!I63/('35b'!$O$15*('4'!$L$30/'4'!$L$26))/52</f>
        <v>65.160500449762523</v>
      </c>
      <c r="J63" s="835">
        <f>'45a'!J63/('35b'!$O$16*('4'!$L$30/'4'!$L$26))/52</f>
        <v>68.425399120357511</v>
      </c>
      <c r="K63" s="836">
        <f>'45a'!K63/('35b'!$O$17*('4'!$L$30/'4'!$L$26))/52</f>
        <v>61.966049163088933</v>
      </c>
      <c r="L63" s="836">
        <f>'45a'!L63/('35b'!$O$18*('4'!$L$30/'4'!$L$26))/52</f>
        <v>60.60230133245571</v>
      </c>
      <c r="M63" s="836">
        <f>'45a'!M63/('35b'!$O$19*('4'!$L$30/'4'!$L$26))/52</f>
        <v>62.378795743959422</v>
      </c>
      <c r="N63" s="836">
        <f>'45a'!N63/('35b'!$O$20*('4'!$L$30/'4'!$L$26))/52</f>
        <v>61.11024393827055</v>
      </c>
      <c r="O63" s="836">
        <f>'45a'!O63/('35b'!$O$21*('4'!$L$30/'4'!$L$26))/52</f>
        <v>62.162294183809927</v>
      </c>
      <c r="P63" s="836">
        <f>'45a'!P63/('35b'!$O$22*('4'!$L$30/'4'!$L$26))/52</f>
        <v>60.151934218953073</v>
      </c>
      <c r="Q63" s="836">
        <f>'45a'!Q63/('35b'!$O$23*('4'!$L$30/'4'!$L$26))/52</f>
        <v>59.125140056951473</v>
      </c>
      <c r="R63" s="836">
        <f>'45a'!R63/('35b'!$O$24*('4'!$L$30/'4'!$L$26))/52</f>
        <v>59.627026008057214</v>
      </c>
      <c r="S63" s="836">
        <f>'45a'!S63/('35b'!$O$25*('4'!$L$30/'4'!$L$26))/52</f>
        <v>61.663507630205132</v>
      </c>
      <c r="T63" s="836">
        <f>'45a'!T63/('35b'!$O$26*('4'!$L$30/'4'!$L$26))/52</f>
        <v>63.267753227859615</v>
      </c>
      <c r="U63" s="836">
        <f>'45a'!U63/('35b'!$O$27*('4'!$L$30/'4'!$L$26))/52</f>
        <v>64.067149231349049</v>
      </c>
      <c r="V63" s="836">
        <f>'45a'!V63/('35b'!$O$27*('4'!$L$30/'4'!$L$26))/52</f>
        <v>63.709081909213374</v>
      </c>
      <c r="W63" s="836">
        <f>'45a'!W63/('35b'!$O$27*('4'!$L$30/'4'!$L$26))/52</f>
        <v>64.362369245001076</v>
      </c>
      <c r="Y63" s="662">
        <f>((((E63/D63))^(1/3))-1)*100</f>
        <v>-6.8293702602619248</v>
      </c>
      <c r="Z63" s="662">
        <f>((((P63/E63))^(1/11))-1)*100</f>
        <v>-1.7810140258310847</v>
      </c>
      <c r="AA63" s="733">
        <f>((((W63/D63))^(1/21))-1)*100</f>
        <v>-1.6164807353445831</v>
      </c>
      <c r="AB63" s="733">
        <f>((((W63/P63))^(1/6))-1)*100</f>
        <v>1.1339735394632511</v>
      </c>
      <c r="AC63" s="257"/>
      <c r="AD63" s="733">
        <f>((W63/D63)-1)*100</f>
        <v>-28.981838452247779</v>
      </c>
    </row>
    <row r="64" spans="1:30">
      <c r="A64" s="256" t="s">
        <v>1221</v>
      </c>
      <c r="D64" s="834">
        <f>'45a'!D64/('35b'!$O$8*('4'!$L$30/'4'!$L$26))/52</f>
        <v>133.09499960289548</v>
      </c>
      <c r="E64" s="835">
        <f>'45a'!E64/('35b'!$O$11*('4'!$L$30/'4'!$L$26))/52</f>
        <v>108.39927806288168</v>
      </c>
      <c r="F64" s="836">
        <f>'45a'!F64/('35b'!$O$12*('4'!$L$30/'4'!$L$26))/52</f>
        <v>107.72920504650385</v>
      </c>
      <c r="G64" s="836">
        <f>'45a'!G64/('35b'!$O$13*('4'!$L$30/'4'!$L$26))/52</f>
        <v>113.75340971085652</v>
      </c>
      <c r="H64" s="836">
        <f>'45a'!H64/('35b'!$O$14*('4'!$L$30/'4'!$L$26))/52</f>
        <v>105.0163989571945</v>
      </c>
      <c r="I64" s="836">
        <f>'45a'!I64/('35b'!$O$15*('4'!$L$30/'4'!$L$26))/52</f>
        <v>98.465757184536088</v>
      </c>
      <c r="J64" s="835">
        <f>'45a'!J64/('35b'!$O$16*('4'!$L$30/'4'!$L$26))/52</f>
        <v>101.77046296818858</v>
      </c>
      <c r="K64" s="836">
        <f>'45a'!K64/('35b'!$O$17*('4'!$L$30/'4'!$L$26))/52</f>
        <v>92.365008047368434</v>
      </c>
      <c r="L64" s="836">
        <f>'45a'!L64/('35b'!$O$18*('4'!$L$30/'4'!$L$26))/52</f>
        <v>90.521437974606343</v>
      </c>
      <c r="M64" s="836">
        <f>'45a'!M64/('35b'!$O$19*('4'!$L$30/'4'!$L$26))/52</f>
        <v>91.729916706789993</v>
      </c>
      <c r="N64" s="836">
        <f>'45a'!N64/('35b'!$O$20*('4'!$L$30/'4'!$L$26))/52</f>
        <v>91.525255529382761</v>
      </c>
      <c r="O64" s="836">
        <f>'45a'!O64/('35b'!$O$21*('4'!$L$30/'4'!$L$26))/52</f>
        <v>93.381748117391766</v>
      </c>
      <c r="P64" s="836">
        <f>'45a'!P64/('35b'!$O$22*('4'!$L$30/'4'!$L$26))/52</f>
        <v>90.628998202582437</v>
      </c>
      <c r="Q64" s="836">
        <f>'45a'!Q64/('35b'!$O$23*('4'!$L$30/'4'!$L$26))/52</f>
        <v>87.786740717831918</v>
      </c>
      <c r="R64" s="836">
        <f>'45a'!R64/('35b'!$O$24*('4'!$L$30/'4'!$L$26))/52</f>
        <v>90.394399772290626</v>
      </c>
      <c r="S64" s="836">
        <f>'45a'!S64/('35b'!$O$25*('4'!$L$30/'4'!$L$26))/52</f>
        <v>91.551517070216704</v>
      </c>
      <c r="T64" s="836">
        <f>'45a'!T64/('35b'!$O$26*('4'!$L$30/'4'!$L$26))/52</f>
        <v>94.317953128335589</v>
      </c>
      <c r="U64" s="836">
        <f>'45a'!U64/('35b'!$O$27*('4'!$L$30/'4'!$L$26))/52</f>
        <v>95.418302957257055</v>
      </c>
      <c r="V64" s="836">
        <f>'45a'!V64/('35b'!$O$27*('4'!$L$30/'4'!$L$26))/52</f>
        <v>95.374498799733374</v>
      </c>
      <c r="W64" s="836">
        <f>'45a'!W64/('35b'!$O$27*('4'!$L$30/'4'!$L$26))/52</f>
        <v>96.522139400839691</v>
      </c>
      <c r="Y64" s="662">
        <f>((((E64/D64))^(1/3))-1)*100</f>
        <v>-6.6126145199759012</v>
      </c>
      <c r="Z64" s="662">
        <f>((((P64/E64))^(1/11))-1)*100</f>
        <v>-1.614526323656662</v>
      </c>
      <c r="AA64" s="733">
        <f>((((W64/D64))^(1/21))-1)*100</f>
        <v>-1.5183115869495833</v>
      </c>
      <c r="AB64" s="733">
        <f>((((W64/P64))^(1/6))-1)*100</f>
        <v>1.0555011164690153</v>
      </c>
      <c r="AC64" s="262"/>
      <c r="AD64" s="733">
        <f>((W64/D64)-1)*100</f>
        <v>-27.478763523179083</v>
      </c>
    </row>
    <row r="66" spans="1:1">
      <c r="A66" s="256" t="s">
        <v>634</v>
      </c>
    </row>
    <row r="67" spans="1:1" ht="15.75">
      <c r="A67" s="265" t="s">
        <v>1771</v>
      </c>
    </row>
    <row r="68" spans="1:1" ht="15.75">
      <c r="A68" s="265" t="s">
        <v>1772</v>
      </c>
    </row>
    <row r="69" spans="1:1">
      <c r="A69" s="256" t="s">
        <v>632</v>
      </c>
    </row>
    <row r="70" spans="1:1">
      <c r="A70" s="256" t="s">
        <v>633</v>
      </c>
    </row>
  </sheetData>
  <mergeCells count="21">
    <mergeCell ref="O3:O4"/>
    <mergeCell ref="D3:D4"/>
    <mergeCell ref="E3:E4"/>
    <mergeCell ref="F3:F4"/>
    <mergeCell ref="G3:G4"/>
    <mergeCell ref="H3:H4"/>
    <mergeCell ref="I3:I4"/>
    <mergeCell ref="J3:J4"/>
    <mergeCell ref="K3:K4"/>
    <mergeCell ref="L3:L4"/>
    <mergeCell ref="M3:M4"/>
    <mergeCell ref="N3:N4"/>
    <mergeCell ref="U3:U4"/>
    <mergeCell ref="Y3:AB3"/>
    <mergeCell ref="T3:T4"/>
    <mergeCell ref="P3:P4"/>
    <mergeCell ref="Q3:Q4"/>
    <mergeCell ref="R3:R4"/>
    <mergeCell ref="S3:S4"/>
    <mergeCell ref="V3:V4"/>
    <mergeCell ref="W3:W4"/>
  </mergeCells>
  <phoneticPr fontId="36" type="noConversion"/>
  <pageMargins left="0.75" right="0.75" top="1" bottom="1" header="0.5" footer="0.5"/>
  <pageSetup scale="59" fitToHeight="2" orientation="landscape" horizontalDpi="1200" verticalDpi="1200" r:id="rId1"/>
  <headerFooter alignWithMargins="0"/>
  <rowBreaks count="1" manualBreakCount="1">
    <brk id="44" max="16383" man="1"/>
  </rowBreaks>
</worksheet>
</file>

<file path=xl/worksheets/sheet169.xml><?xml version="1.0" encoding="utf-8"?>
<worksheet xmlns="http://schemas.openxmlformats.org/spreadsheetml/2006/main" xmlns:r="http://schemas.openxmlformats.org/officeDocument/2006/relationships">
  <sheetPr codeName="Sheet149">
    <pageSetUpPr fitToPage="1"/>
  </sheetPr>
  <dimension ref="A1:N85"/>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0.85546875" style="275" customWidth="1"/>
    <col min="2" max="2" width="10.85546875" style="822" customWidth="1"/>
    <col min="3" max="10" width="9.28515625" style="822" bestFit="1" customWidth="1"/>
    <col min="11" max="11" width="8" style="822" customWidth="1"/>
    <col min="12" max="12" width="9.28515625" style="822" bestFit="1" customWidth="1"/>
    <col min="13" max="16384" width="9.140625" style="275"/>
  </cols>
  <sheetData>
    <row r="1" spans="1:14" ht="15.75">
      <c r="A1" s="339" t="s">
        <v>2220</v>
      </c>
    </row>
    <row r="3" spans="1:14">
      <c r="A3" s="343"/>
      <c r="B3" s="1278" t="s">
        <v>375</v>
      </c>
      <c r="C3" s="1278" t="s">
        <v>377</v>
      </c>
      <c r="D3" s="1278" t="s">
        <v>386</v>
      </c>
      <c r="E3" s="1278" t="s">
        <v>378</v>
      </c>
      <c r="F3" s="1278" t="s">
        <v>379</v>
      </c>
      <c r="G3" s="1278" t="s">
        <v>380</v>
      </c>
      <c r="H3" s="1278" t="s">
        <v>381</v>
      </c>
      <c r="I3" s="1278" t="s">
        <v>382</v>
      </c>
      <c r="J3" s="1278" t="s">
        <v>383</v>
      </c>
      <c r="K3" s="1278" t="s">
        <v>384</v>
      </c>
      <c r="L3" s="1278" t="s">
        <v>385</v>
      </c>
    </row>
    <row r="4" spans="1:14">
      <c r="A4" s="829"/>
      <c r="B4" s="1279"/>
      <c r="C4" s="1279"/>
      <c r="D4" s="1279"/>
      <c r="E4" s="1279"/>
      <c r="F4" s="1279"/>
      <c r="G4" s="1279"/>
      <c r="H4" s="1279"/>
      <c r="I4" s="1279"/>
      <c r="J4" s="1279"/>
      <c r="K4" s="1279"/>
      <c r="L4" s="1279"/>
    </row>
    <row r="5" spans="1:14">
      <c r="A5" s="823">
        <v>1981</v>
      </c>
      <c r="B5" s="276">
        <v>17.399999999999999</v>
      </c>
      <c r="C5" s="276">
        <v>13.3</v>
      </c>
      <c r="D5" s="276">
        <v>10.199999999999999</v>
      </c>
      <c r="E5" s="276">
        <v>13.2</v>
      </c>
      <c r="F5" s="276">
        <v>14.2</v>
      </c>
      <c r="G5" s="276">
        <v>17.899999999999999</v>
      </c>
      <c r="H5" s="276">
        <v>19.600000000000001</v>
      </c>
      <c r="I5" s="276">
        <v>17.600000000000001</v>
      </c>
      <c r="J5" s="276">
        <v>19.2</v>
      </c>
      <c r="K5" s="276">
        <v>15.5</v>
      </c>
      <c r="L5" s="276">
        <v>13.8</v>
      </c>
      <c r="N5" s="822"/>
    </row>
    <row r="6" spans="1:14">
      <c r="A6" s="823">
        <v>1982</v>
      </c>
      <c r="B6" s="276">
        <v>20.2</v>
      </c>
      <c r="C6" s="276">
        <v>15.5</v>
      </c>
      <c r="D6" s="276">
        <v>15.2</v>
      </c>
      <c r="E6" s="276">
        <v>16.7</v>
      </c>
      <c r="F6" s="276">
        <v>18.5</v>
      </c>
      <c r="G6" s="276">
        <v>19.399999999999999</v>
      </c>
      <c r="H6" s="276">
        <v>23.2</v>
      </c>
      <c r="I6" s="276">
        <v>20.399999999999999</v>
      </c>
      <c r="J6" s="276">
        <v>22.8</v>
      </c>
      <c r="K6" s="276">
        <v>16.2</v>
      </c>
      <c r="L6" s="276">
        <v>17.3</v>
      </c>
      <c r="N6" s="822"/>
    </row>
    <row r="7" spans="1:14">
      <c r="A7" s="823">
        <v>1983</v>
      </c>
      <c r="B7" s="276">
        <v>16.899999999999999</v>
      </c>
      <c r="C7" s="276">
        <v>11.3</v>
      </c>
      <c r="D7" s="276">
        <v>12.9</v>
      </c>
      <c r="E7" s="276">
        <v>12.5</v>
      </c>
      <c r="F7" s="276">
        <v>15</v>
      </c>
      <c r="G7" s="276">
        <v>15.3</v>
      </c>
      <c r="H7" s="276">
        <v>20.9</v>
      </c>
      <c r="I7" s="276">
        <v>15.2</v>
      </c>
      <c r="J7" s="276">
        <v>14.3</v>
      </c>
      <c r="K7" s="276">
        <v>13.4</v>
      </c>
      <c r="L7" s="276">
        <v>14</v>
      </c>
      <c r="N7" s="822"/>
    </row>
    <row r="8" spans="1:14">
      <c r="A8" s="823">
        <v>1984</v>
      </c>
      <c r="B8" s="276">
        <v>16.7</v>
      </c>
      <c r="C8" s="276">
        <v>8.1</v>
      </c>
      <c r="D8" s="276">
        <v>9</v>
      </c>
      <c r="E8" s="276">
        <v>10.9</v>
      </c>
      <c r="F8" s="276">
        <v>14.2</v>
      </c>
      <c r="G8" s="276">
        <v>15.5</v>
      </c>
      <c r="H8" s="276">
        <v>20.5</v>
      </c>
      <c r="I8" s="276">
        <v>17.8</v>
      </c>
      <c r="J8" s="276">
        <v>14.5</v>
      </c>
      <c r="K8" s="276">
        <v>13.4</v>
      </c>
      <c r="L8" s="276">
        <v>13.1</v>
      </c>
      <c r="N8" s="822"/>
    </row>
    <row r="9" spans="1:14">
      <c r="A9" s="823">
        <v>1985</v>
      </c>
      <c r="B9" s="276">
        <v>15.8</v>
      </c>
      <c r="C9" s="276">
        <v>7.1</v>
      </c>
      <c r="D9" s="276">
        <v>8.6999999999999993</v>
      </c>
      <c r="E9" s="276">
        <v>10.7</v>
      </c>
      <c r="F9" s="276">
        <v>12.4</v>
      </c>
      <c r="G9" s="276">
        <v>13.4</v>
      </c>
      <c r="H9" s="276">
        <v>19.100000000000001</v>
      </c>
      <c r="I9" s="276">
        <v>18</v>
      </c>
      <c r="J9" s="276">
        <v>15.2</v>
      </c>
      <c r="K9" s="276">
        <v>15.4</v>
      </c>
      <c r="L9" s="276">
        <v>12.1</v>
      </c>
      <c r="N9" s="822"/>
    </row>
    <row r="10" spans="1:14">
      <c r="A10" s="823">
        <v>1986</v>
      </c>
      <c r="B10" s="276">
        <v>13.4</v>
      </c>
      <c r="C10" s="276">
        <v>6.3</v>
      </c>
      <c r="D10" s="276">
        <v>12.2</v>
      </c>
      <c r="E10" s="276">
        <v>8.1999999999999993</v>
      </c>
      <c r="F10" s="276">
        <v>11.5</v>
      </c>
      <c r="G10" s="276">
        <v>10.7</v>
      </c>
      <c r="H10" s="276">
        <v>16.2</v>
      </c>
      <c r="I10" s="276">
        <v>15.3</v>
      </c>
      <c r="J10" s="276">
        <v>18.5</v>
      </c>
      <c r="K10" s="276">
        <v>13.1</v>
      </c>
      <c r="L10" s="276">
        <v>10.199999999999999</v>
      </c>
      <c r="N10" s="822"/>
    </row>
    <row r="11" spans="1:14">
      <c r="A11" s="823">
        <v>1987</v>
      </c>
      <c r="B11" s="276">
        <v>11.9</v>
      </c>
      <c r="C11" s="276">
        <v>9</v>
      </c>
      <c r="D11" s="276">
        <v>10.4</v>
      </c>
      <c r="E11" s="276">
        <v>8.1</v>
      </c>
      <c r="F11" s="276">
        <v>11.7</v>
      </c>
      <c r="G11" s="276">
        <v>10.1</v>
      </c>
      <c r="H11" s="276">
        <v>15.3</v>
      </c>
      <c r="I11" s="276">
        <v>13.3</v>
      </c>
      <c r="J11" s="276">
        <v>6.4</v>
      </c>
      <c r="K11" s="276">
        <v>8.5</v>
      </c>
      <c r="L11" s="276">
        <v>8.8000000000000007</v>
      </c>
      <c r="N11" s="822"/>
    </row>
    <row r="12" spans="1:14">
      <c r="A12" s="823">
        <v>1988</v>
      </c>
      <c r="B12" s="276">
        <v>12.3</v>
      </c>
      <c r="C12" s="276">
        <v>9.4</v>
      </c>
      <c r="D12" s="276">
        <v>12.6</v>
      </c>
      <c r="E12" s="276">
        <v>8.6999999999999993</v>
      </c>
      <c r="F12" s="276">
        <v>12.1</v>
      </c>
      <c r="G12" s="276">
        <v>10</v>
      </c>
      <c r="H12" s="276">
        <v>15.3</v>
      </c>
      <c r="I12" s="276">
        <v>13.4</v>
      </c>
      <c r="J12" s="276">
        <v>8</v>
      </c>
      <c r="K12" s="276">
        <v>11</v>
      </c>
      <c r="L12" s="276">
        <v>9.4</v>
      </c>
      <c r="N12" s="822"/>
    </row>
    <row r="13" spans="1:14">
      <c r="A13" s="1055">
        <v>1989</v>
      </c>
      <c r="B13" s="276">
        <v>13</v>
      </c>
      <c r="C13" s="276">
        <v>10.3</v>
      </c>
      <c r="D13" s="276">
        <v>13.3</v>
      </c>
      <c r="E13" s="276">
        <v>10.199999999999999</v>
      </c>
      <c r="F13" s="276">
        <v>12.9</v>
      </c>
      <c r="G13" s="276">
        <v>11.5</v>
      </c>
      <c r="H13" s="276">
        <v>15.9</v>
      </c>
      <c r="I13" s="276">
        <v>13.3</v>
      </c>
      <c r="J13" s="276">
        <v>7.9</v>
      </c>
      <c r="K13" s="276">
        <v>10.3</v>
      </c>
      <c r="L13" s="276">
        <v>10.1</v>
      </c>
      <c r="N13" s="822"/>
    </row>
    <row r="14" spans="1:14">
      <c r="A14" s="1055">
        <v>1990</v>
      </c>
      <c r="B14" s="276">
        <v>13</v>
      </c>
      <c r="C14" s="276">
        <v>12.3</v>
      </c>
      <c r="D14" s="276">
        <v>11.7</v>
      </c>
      <c r="E14" s="276">
        <v>9.6999999999999993</v>
      </c>
      <c r="F14" s="276">
        <v>11.2</v>
      </c>
      <c r="G14" s="276">
        <v>12.5</v>
      </c>
      <c r="H14" s="276">
        <v>15.8</v>
      </c>
      <c r="I14" s="276">
        <v>13.9</v>
      </c>
      <c r="J14" s="276">
        <v>10.3</v>
      </c>
      <c r="K14" s="276">
        <v>8.9</v>
      </c>
      <c r="L14" s="276">
        <v>9.1</v>
      </c>
      <c r="N14" s="822"/>
    </row>
    <row r="15" spans="1:14">
      <c r="A15" s="1055">
        <v>1991</v>
      </c>
      <c r="B15" s="276">
        <v>13.3</v>
      </c>
      <c r="C15" s="276">
        <v>13.5</v>
      </c>
      <c r="D15" s="276">
        <v>13.1</v>
      </c>
      <c r="E15" s="276">
        <v>11.2</v>
      </c>
      <c r="F15" s="276">
        <v>10.6</v>
      </c>
      <c r="G15" s="276">
        <v>12.7</v>
      </c>
      <c r="H15" s="276">
        <v>16.399999999999999</v>
      </c>
      <c r="I15" s="276">
        <v>13.6</v>
      </c>
      <c r="J15" s="276">
        <v>10.4</v>
      </c>
      <c r="K15" s="276">
        <v>9.9</v>
      </c>
      <c r="L15" s="276">
        <v>8.3000000000000007</v>
      </c>
      <c r="N15" s="822"/>
    </row>
    <row r="16" spans="1:14">
      <c r="A16" s="1055">
        <v>1992</v>
      </c>
      <c r="B16" s="276">
        <v>13</v>
      </c>
      <c r="C16" s="276">
        <v>14.7</v>
      </c>
      <c r="D16" s="276">
        <v>12.6</v>
      </c>
      <c r="E16" s="276">
        <v>11.6</v>
      </c>
      <c r="F16" s="276">
        <v>11.6</v>
      </c>
      <c r="G16" s="276">
        <v>11.9</v>
      </c>
      <c r="H16" s="276">
        <v>16.7</v>
      </c>
      <c r="I16" s="276">
        <v>13.4</v>
      </c>
      <c r="J16" s="276">
        <v>7.5</v>
      </c>
      <c r="K16" s="276">
        <v>10.1</v>
      </c>
      <c r="L16" s="276">
        <v>6.9</v>
      </c>
      <c r="N16" s="822"/>
    </row>
    <row r="17" spans="1:14">
      <c r="A17" s="1055">
        <v>1993</v>
      </c>
      <c r="B17" s="276">
        <v>11.9</v>
      </c>
      <c r="C17" s="276">
        <v>15.2</v>
      </c>
      <c r="D17" s="276">
        <v>14.1</v>
      </c>
      <c r="E17" s="276">
        <v>11.4</v>
      </c>
      <c r="F17" s="276">
        <v>11.1</v>
      </c>
      <c r="G17" s="276">
        <v>11.9</v>
      </c>
      <c r="H17" s="276">
        <v>14.6</v>
      </c>
      <c r="I17" s="276">
        <v>10.5</v>
      </c>
      <c r="J17" s="276">
        <v>6.6</v>
      </c>
      <c r="K17" s="276">
        <v>10.199999999999999</v>
      </c>
      <c r="L17" s="276">
        <v>5.7</v>
      </c>
      <c r="N17" s="822"/>
    </row>
    <row r="18" spans="1:14">
      <c r="A18" s="1055">
        <v>1994</v>
      </c>
      <c r="B18" s="276">
        <v>9.5</v>
      </c>
      <c r="C18" s="276">
        <v>13.6</v>
      </c>
      <c r="D18" s="276">
        <v>11</v>
      </c>
      <c r="E18" s="276">
        <v>9.1</v>
      </c>
      <c r="F18" s="276">
        <v>9.9</v>
      </c>
      <c r="G18" s="276">
        <v>10.4</v>
      </c>
      <c r="H18" s="276">
        <v>12.1</v>
      </c>
      <c r="I18" s="276">
        <v>8.4</v>
      </c>
      <c r="J18" s="276">
        <v>1.9</v>
      </c>
      <c r="K18" s="276">
        <v>5.7</v>
      </c>
      <c r="L18" s="276">
        <v>3.7</v>
      </c>
      <c r="N18" s="822"/>
    </row>
    <row r="19" spans="1:14">
      <c r="A19" s="1055">
        <v>1995</v>
      </c>
      <c r="B19" s="276">
        <v>9.1999999999999993</v>
      </c>
      <c r="C19" s="276">
        <v>12.6</v>
      </c>
      <c r="D19" s="276">
        <v>10.9</v>
      </c>
      <c r="E19" s="276">
        <v>8.5</v>
      </c>
      <c r="F19" s="276">
        <v>10.199999999999999</v>
      </c>
      <c r="G19" s="276">
        <v>10.3</v>
      </c>
      <c r="H19" s="276">
        <v>11.6</v>
      </c>
      <c r="I19" s="276">
        <v>7.6</v>
      </c>
      <c r="J19" s="276">
        <v>4.8</v>
      </c>
      <c r="K19" s="276">
        <v>5.9</v>
      </c>
      <c r="L19" s="276">
        <v>3.3</v>
      </c>
      <c r="N19" s="822"/>
    </row>
    <row r="20" spans="1:14">
      <c r="A20" s="1055">
        <v>1996</v>
      </c>
      <c r="B20" s="276">
        <v>7</v>
      </c>
      <c r="C20" s="276">
        <v>9.6</v>
      </c>
      <c r="D20" s="276">
        <v>6.6</v>
      </c>
      <c r="E20" s="276">
        <v>5.8</v>
      </c>
      <c r="F20" s="276">
        <v>8.3000000000000007</v>
      </c>
      <c r="G20" s="276">
        <v>8</v>
      </c>
      <c r="H20" s="276">
        <v>8.9</v>
      </c>
      <c r="I20" s="276">
        <v>8.4</v>
      </c>
      <c r="J20" s="276">
        <v>7.2</v>
      </c>
      <c r="K20" s="276">
        <v>4.5999999999999996</v>
      </c>
      <c r="L20" s="276">
        <v>0.5</v>
      </c>
      <c r="N20" s="822"/>
    </row>
    <row r="21" spans="1:14">
      <c r="A21" s="1055">
        <v>1997</v>
      </c>
      <c r="B21" s="276">
        <v>4.9000000000000004</v>
      </c>
      <c r="C21" s="276">
        <v>5.2</v>
      </c>
      <c r="D21" s="276">
        <v>4.8</v>
      </c>
      <c r="E21" s="276">
        <v>4.5999999999999996</v>
      </c>
      <c r="F21" s="276">
        <v>6.6</v>
      </c>
      <c r="G21" s="276">
        <v>4.9000000000000004</v>
      </c>
      <c r="H21" s="276">
        <v>7.6</v>
      </c>
      <c r="I21" s="276">
        <v>3.3</v>
      </c>
      <c r="J21" s="276">
        <v>-2.2999999999999998</v>
      </c>
      <c r="K21" s="276">
        <v>3.2</v>
      </c>
      <c r="L21" s="276">
        <v>-0.8</v>
      </c>
      <c r="N21" s="822"/>
    </row>
    <row r="22" spans="1:14">
      <c r="A22" s="1055">
        <v>1998</v>
      </c>
      <c r="B22" s="276">
        <v>4.9000000000000004</v>
      </c>
      <c r="C22" s="276">
        <v>4.0999999999999996</v>
      </c>
      <c r="D22" s="276">
        <v>3.2</v>
      </c>
      <c r="E22" s="276">
        <v>5</v>
      </c>
      <c r="F22" s="276">
        <v>7.2</v>
      </c>
      <c r="G22" s="276">
        <v>4.2</v>
      </c>
      <c r="H22" s="276">
        <v>7.6</v>
      </c>
      <c r="I22" s="276">
        <v>5.8</v>
      </c>
      <c r="J22" s="276">
        <v>-0.1</v>
      </c>
      <c r="K22" s="276">
        <v>4.4000000000000004</v>
      </c>
      <c r="L22" s="276">
        <v>-1.7</v>
      </c>
      <c r="N22" s="822"/>
    </row>
    <row r="23" spans="1:14">
      <c r="A23" s="1055">
        <v>1999</v>
      </c>
      <c r="B23" s="276">
        <v>4</v>
      </c>
      <c r="C23" s="276">
        <v>1.9</v>
      </c>
      <c r="D23" s="276">
        <v>3.3</v>
      </c>
      <c r="E23" s="276">
        <v>3.8</v>
      </c>
      <c r="F23" s="276">
        <v>6.4</v>
      </c>
      <c r="G23" s="276">
        <v>3.4</v>
      </c>
      <c r="H23" s="276">
        <v>6.5</v>
      </c>
      <c r="I23" s="276">
        <v>4.8</v>
      </c>
      <c r="J23" s="276">
        <v>0.5</v>
      </c>
      <c r="K23" s="276">
        <v>3.1</v>
      </c>
      <c r="L23" s="276">
        <v>-2</v>
      </c>
      <c r="N23" s="822"/>
    </row>
    <row r="24" spans="1:14">
      <c r="A24" s="1055">
        <v>2000</v>
      </c>
      <c r="B24" s="276">
        <v>4.7</v>
      </c>
      <c r="C24" s="276">
        <v>0.6</v>
      </c>
      <c r="D24" s="276">
        <v>1.9</v>
      </c>
      <c r="E24" s="276">
        <v>2.2999999999999998</v>
      </c>
      <c r="F24" s="276">
        <v>4.9000000000000004</v>
      </c>
      <c r="G24" s="276">
        <v>3.8</v>
      </c>
      <c r="H24" s="276">
        <v>7.6</v>
      </c>
      <c r="I24" s="276">
        <v>4.9000000000000004</v>
      </c>
      <c r="J24" s="276">
        <v>-0.9</v>
      </c>
      <c r="K24" s="276">
        <v>4.5</v>
      </c>
      <c r="L24" s="276">
        <v>-1.5</v>
      </c>
      <c r="N24" s="822"/>
    </row>
    <row r="25" spans="1:14">
      <c r="A25" s="1055">
        <v>2001</v>
      </c>
      <c r="B25" s="276">
        <v>5.2</v>
      </c>
      <c r="C25" s="276">
        <v>1.2</v>
      </c>
      <c r="D25" s="276">
        <v>0.6</v>
      </c>
      <c r="E25" s="276">
        <v>2.9</v>
      </c>
      <c r="F25" s="276">
        <v>5.7</v>
      </c>
      <c r="G25" s="276">
        <v>4.7</v>
      </c>
      <c r="H25" s="276">
        <v>6.8</v>
      </c>
      <c r="I25" s="276">
        <v>4.8</v>
      </c>
      <c r="J25" s="276">
        <v>-2.6</v>
      </c>
      <c r="K25" s="276">
        <v>9.5</v>
      </c>
      <c r="L25" s="276">
        <v>-1</v>
      </c>
      <c r="N25" s="822"/>
    </row>
    <row r="26" spans="1:14">
      <c r="A26" s="1055">
        <v>2002</v>
      </c>
      <c r="B26" s="276">
        <v>3.5</v>
      </c>
      <c r="C26" s="276">
        <v>-0.1</v>
      </c>
      <c r="D26" s="276">
        <v>0.8</v>
      </c>
      <c r="E26" s="276">
        <v>0.4</v>
      </c>
      <c r="F26" s="276">
        <v>3.1</v>
      </c>
      <c r="G26" s="276">
        <v>4</v>
      </c>
      <c r="H26" s="276">
        <v>4.8</v>
      </c>
      <c r="I26" s="276">
        <v>3.1</v>
      </c>
      <c r="J26" s="276">
        <v>-4.5999999999999996</v>
      </c>
      <c r="K26" s="276">
        <v>7.1</v>
      </c>
      <c r="L26" s="276">
        <v>-2.9</v>
      </c>
      <c r="N26" s="822"/>
    </row>
    <row r="27" spans="1:14">
      <c r="A27" s="1055">
        <v>2003</v>
      </c>
      <c r="B27" s="276">
        <v>2.6</v>
      </c>
      <c r="C27" s="276">
        <v>-0.8</v>
      </c>
      <c r="D27" s="276">
        <v>-3.1</v>
      </c>
      <c r="E27" s="276">
        <v>-1.7</v>
      </c>
      <c r="F27" s="276">
        <v>3.1</v>
      </c>
      <c r="G27" s="276">
        <v>3.9</v>
      </c>
      <c r="H27" s="276">
        <v>3.7</v>
      </c>
      <c r="I27" s="276">
        <v>2.9</v>
      </c>
      <c r="J27" s="276">
        <v>-2.5</v>
      </c>
      <c r="K27" s="276">
        <v>6.3</v>
      </c>
      <c r="L27" s="276">
        <v>-4.5</v>
      </c>
      <c r="N27" s="822"/>
    </row>
    <row r="28" spans="1:14">
      <c r="A28" s="1055">
        <v>2004</v>
      </c>
      <c r="B28" s="276">
        <v>3.2</v>
      </c>
      <c r="C28" s="276">
        <v>-0.9</v>
      </c>
      <c r="D28" s="276">
        <v>-4.2</v>
      </c>
      <c r="E28" s="276">
        <v>-1.3</v>
      </c>
      <c r="F28" s="276">
        <v>4</v>
      </c>
      <c r="G28" s="276">
        <v>3.8</v>
      </c>
      <c r="H28" s="276">
        <v>3.9</v>
      </c>
      <c r="I28" s="276">
        <v>3.3</v>
      </c>
      <c r="J28" s="276">
        <v>1.9</v>
      </c>
      <c r="K28" s="276">
        <v>9</v>
      </c>
      <c r="L28" s="276">
        <v>-4.5999999999999996</v>
      </c>
      <c r="N28" s="822"/>
    </row>
    <row r="29" spans="1:14">
      <c r="A29" s="1055">
        <v>2005</v>
      </c>
      <c r="B29" s="276">
        <v>2</v>
      </c>
      <c r="C29" s="276">
        <v>-1.8</v>
      </c>
      <c r="D29" s="276">
        <v>-5.5</v>
      </c>
      <c r="E29" s="276">
        <v>-1.4</v>
      </c>
      <c r="F29" s="276">
        <v>3</v>
      </c>
      <c r="G29" s="276">
        <v>2.2000000000000002</v>
      </c>
      <c r="H29" s="276">
        <v>2.2999999999999998</v>
      </c>
      <c r="I29" s="276">
        <v>0.8</v>
      </c>
      <c r="J29" s="276">
        <v>-1.7</v>
      </c>
      <c r="K29" s="276">
        <v>9.8000000000000007</v>
      </c>
      <c r="L29" s="276">
        <v>-5.4</v>
      </c>
    </row>
    <row r="30" spans="1:14">
      <c r="A30" s="1055">
        <v>2006</v>
      </c>
      <c r="B30" s="276">
        <v>3.1</v>
      </c>
      <c r="C30" s="276">
        <v>15.2</v>
      </c>
      <c r="D30" s="276">
        <v>-5.2</v>
      </c>
      <c r="E30" s="276">
        <v>-1.7</v>
      </c>
      <c r="F30" s="276">
        <v>2.2000000000000002</v>
      </c>
      <c r="G30" s="276">
        <v>1.9</v>
      </c>
      <c r="H30" s="276">
        <v>3.5</v>
      </c>
      <c r="I30" s="276">
        <v>1.5</v>
      </c>
      <c r="J30" s="276">
        <v>-2.5</v>
      </c>
      <c r="K30" s="276">
        <v>11.7</v>
      </c>
      <c r="L30" s="276">
        <v>-4.3</v>
      </c>
    </row>
    <row r="31" spans="1:14">
      <c r="A31" s="1055">
        <v>2007</v>
      </c>
      <c r="B31" s="276">
        <v>2.7</v>
      </c>
      <c r="C31" s="276">
        <v>8.1999999999999993</v>
      </c>
      <c r="D31" s="276">
        <v>-6.8</v>
      </c>
      <c r="E31" s="276">
        <v>-2.2999999999999998</v>
      </c>
      <c r="F31" s="276">
        <v>1.1000000000000001</v>
      </c>
      <c r="G31" s="276">
        <v>2</v>
      </c>
      <c r="H31" s="276">
        <v>2.9</v>
      </c>
      <c r="I31" s="276">
        <v>1.7</v>
      </c>
      <c r="J31" s="276">
        <v>-2</v>
      </c>
      <c r="K31" s="276">
        <v>11.4</v>
      </c>
      <c r="L31" s="276">
        <v>-4.9000000000000004</v>
      </c>
    </row>
    <row r="32" spans="1:14">
      <c r="A32" s="1055">
        <v>2008</v>
      </c>
      <c r="B32" s="276">
        <v>3.7</v>
      </c>
      <c r="C32" s="276">
        <v>1</v>
      </c>
      <c r="D32" s="276">
        <v>-8.6</v>
      </c>
      <c r="E32" s="276">
        <v>-3</v>
      </c>
      <c r="F32" s="276">
        <v>0.8</v>
      </c>
      <c r="G32" s="276">
        <v>2.1</v>
      </c>
      <c r="H32" s="276">
        <v>3.6</v>
      </c>
      <c r="I32" s="276">
        <v>2.8</v>
      </c>
      <c r="J32" s="276">
        <v>2.6</v>
      </c>
      <c r="K32" s="276">
        <v>14.3</v>
      </c>
      <c r="L32" s="276">
        <v>-2.9</v>
      </c>
    </row>
    <row r="33" spans="1:12">
      <c r="A33" s="343"/>
      <c r="B33" s="1118"/>
      <c r="C33" s="1118"/>
      <c r="D33" s="1118"/>
      <c r="E33" s="1118"/>
      <c r="F33" s="1118" t="s">
        <v>1233</v>
      </c>
    </row>
    <row r="34" spans="1:12">
      <c r="A34" s="677" t="s">
        <v>1408</v>
      </c>
      <c r="B34" s="671">
        <f>(B32-B5)/27</f>
        <v>-0.50740740740740742</v>
      </c>
      <c r="C34" s="671">
        <f t="shared" ref="C34:L34" si="0">(C32-C5)/27</f>
        <v>-0.4555555555555556</v>
      </c>
      <c r="D34" s="671">
        <f t="shared" si="0"/>
        <v>-0.69629629629629619</v>
      </c>
      <c r="E34" s="671">
        <f t="shared" si="0"/>
        <v>-0.6</v>
      </c>
      <c r="F34" s="671">
        <f t="shared" si="0"/>
        <v>-0.49629629629629624</v>
      </c>
      <c r="G34" s="671">
        <f t="shared" si="0"/>
        <v>-0.58518518518518514</v>
      </c>
      <c r="H34" s="671">
        <f t="shared" si="0"/>
        <v>-0.59259259259259256</v>
      </c>
      <c r="I34" s="671">
        <f t="shared" si="0"/>
        <v>-0.54814814814814816</v>
      </c>
      <c r="J34" s="671">
        <f t="shared" si="0"/>
        <v>-0.6148148148148147</v>
      </c>
      <c r="K34" s="671">
        <f t="shared" si="0"/>
        <v>-4.4444444444444418E-2</v>
      </c>
      <c r="L34" s="671">
        <f t="shared" si="0"/>
        <v>-0.61851851851851847</v>
      </c>
    </row>
    <row r="35" spans="1:12">
      <c r="A35" s="678" t="s">
        <v>603</v>
      </c>
      <c r="B35" s="671">
        <f>(B13-B5)/8</f>
        <v>-0.54999999999999982</v>
      </c>
      <c r="C35" s="671">
        <f t="shared" ref="C35:L35" si="1">(C13-C5)/8</f>
        <v>-0.375</v>
      </c>
      <c r="D35" s="671">
        <f t="shared" si="1"/>
        <v>0.38750000000000018</v>
      </c>
      <c r="E35" s="671">
        <f t="shared" si="1"/>
        <v>-0.375</v>
      </c>
      <c r="F35" s="671">
        <f t="shared" si="1"/>
        <v>-0.16249999999999987</v>
      </c>
      <c r="G35" s="671">
        <f t="shared" si="1"/>
        <v>-0.79999999999999982</v>
      </c>
      <c r="H35" s="671">
        <f t="shared" si="1"/>
        <v>-0.46250000000000013</v>
      </c>
      <c r="I35" s="671">
        <f t="shared" si="1"/>
        <v>-0.53750000000000009</v>
      </c>
      <c r="J35" s="671">
        <f t="shared" si="1"/>
        <v>-1.4124999999999999</v>
      </c>
      <c r="K35" s="671">
        <f t="shared" si="1"/>
        <v>-0.64999999999999991</v>
      </c>
      <c r="L35" s="671">
        <f t="shared" si="1"/>
        <v>-0.46250000000000013</v>
      </c>
    </row>
    <row r="36" spans="1:12">
      <c r="A36" s="678" t="s">
        <v>604</v>
      </c>
      <c r="B36" s="671">
        <f>(B24-B13)/11</f>
        <v>-0.75454545454545463</v>
      </c>
      <c r="C36" s="671">
        <f t="shared" ref="C36:L36" si="2">(C24-C13)/11</f>
        <v>-0.88181818181818195</v>
      </c>
      <c r="D36" s="671">
        <f t="shared" si="2"/>
        <v>-1.0363636363636364</v>
      </c>
      <c r="E36" s="671">
        <f t="shared" si="2"/>
        <v>-0.71818181818181814</v>
      </c>
      <c r="F36" s="671">
        <f t="shared" si="2"/>
        <v>-0.72727272727272729</v>
      </c>
      <c r="G36" s="671">
        <f t="shared" si="2"/>
        <v>-0.70000000000000007</v>
      </c>
      <c r="H36" s="671">
        <f t="shared" si="2"/>
        <v>-0.75454545454545463</v>
      </c>
      <c r="I36" s="671">
        <f t="shared" si="2"/>
        <v>-0.76363636363636367</v>
      </c>
      <c r="J36" s="671">
        <f t="shared" si="2"/>
        <v>-0.8</v>
      </c>
      <c r="K36" s="671">
        <f t="shared" si="2"/>
        <v>-0.52727272727272734</v>
      </c>
      <c r="L36" s="671">
        <f t="shared" si="2"/>
        <v>-1.0545454545454545</v>
      </c>
    </row>
    <row r="37" spans="1:12">
      <c r="A37" s="678" t="s">
        <v>1410</v>
      </c>
      <c r="B37" s="671">
        <f>(B32-B24)/8</f>
        <v>-0.125</v>
      </c>
      <c r="C37" s="671">
        <f t="shared" ref="C37:L37" si="3">(C32-C24)/8</f>
        <v>0.05</v>
      </c>
      <c r="D37" s="671">
        <f t="shared" si="3"/>
        <v>-1.3125</v>
      </c>
      <c r="E37" s="671">
        <f t="shared" si="3"/>
        <v>-0.66249999999999998</v>
      </c>
      <c r="F37" s="671">
        <f t="shared" si="3"/>
        <v>-0.51250000000000007</v>
      </c>
      <c r="G37" s="671">
        <f t="shared" si="3"/>
        <v>-0.21249999999999997</v>
      </c>
      <c r="H37" s="671">
        <f t="shared" si="3"/>
        <v>-0.49999999999999994</v>
      </c>
      <c r="I37" s="671">
        <f t="shared" si="3"/>
        <v>-0.26250000000000007</v>
      </c>
      <c r="J37" s="671">
        <f t="shared" si="3"/>
        <v>0.4375</v>
      </c>
      <c r="K37" s="671">
        <f t="shared" si="3"/>
        <v>1.2250000000000001</v>
      </c>
      <c r="L37" s="671">
        <f t="shared" si="3"/>
        <v>-0.17499999999999999</v>
      </c>
    </row>
    <row r="38" spans="1:12">
      <c r="B38" s="671">
        <f>B32-B6</f>
        <v>-16.5</v>
      </c>
    </row>
    <row r="39" spans="1:12">
      <c r="A39" s="275" t="s">
        <v>1234</v>
      </c>
    </row>
    <row r="40" spans="1:12">
      <c r="A40" s="275" t="s">
        <v>832</v>
      </c>
    </row>
    <row r="43" spans="1:12">
      <c r="A43" s="1"/>
    </row>
    <row r="44" spans="1:12">
      <c r="A44" s="1"/>
    </row>
    <row r="45" spans="1:12">
      <c r="A45" s="1"/>
    </row>
    <row r="46" spans="1:12">
      <c r="A46" s="1"/>
    </row>
    <row r="47" spans="1:12">
      <c r="A47" s="1"/>
    </row>
    <row r="48" spans="1:12">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sheetData>
  <mergeCells count="11">
    <mergeCell ref="K3:K4"/>
    <mergeCell ref="L3:L4"/>
    <mergeCell ref="F3:F4"/>
    <mergeCell ref="G3:G4"/>
    <mergeCell ref="H3:H4"/>
    <mergeCell ref="I3:I4"/>
    <mergeCell ref="D3:D4"/>
    <mergeCell ref="E3:E4"/>
    <mergeCell ref="J3:J4"/>
    <mergeCell ref="B3:B4"/>
    <mergeCell ref="C3:C4"/>
  </mergeCells>
  <phoneticPr fontId="36" type="noConversion"/>
  <pageMargins left="0.75" right="0.75" top="1" bottom="1" header="0.5" footer="0.5"/>
  <pageSetup scale="91" orientation="landscape" horizontalDpi="4294967293" verticalDpi="0" r:id="rId1"/>
  <headerFooter alignWithMargins="0"/>
</worksheet>
</file>

<file path=xl/worksheets/sheet17.xml><?xml version="1.0" encoding="utf-8"?>
<worksheet xmlns="http://schemas.openxmlformats.org/spreadsheetml/2006/main" xmlns:r="http://schemas.openxmlformats.org/officeDocument/2006/relationships">
  <sheetPr codeName="Sheet17"/>
  <dimension ref="A1:AD104"/>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1" customWidth="1"/>
    <col min="2" max="2" width="10.42578125" style="1" bestFit="1" customWidth="1"/>
    <col min="3" max="3" width="9.5703125" style="1" bestFit="1" customWidth="1"/>
    <col min="4" max="4" width="9.28515625" style="1" customWidth="1"/>
    <col min="5" max="6" width="9.42578125" style="1" bestFit="1" customWidth="1"/>
    <col min="7" max="8" width="9.85546875" style="1" bestFit="1" customWidth="1"/>
    <col min="9" max="11" width="9.42578125" style="1" bestFit="1" customWidth="1"/>
    <col min="12" max="12" width="9.42578125" style="1" customWidth="1"/>
    <col min="13" max="13" width="10.42578125" style="1" hidden="1" customWidth="1"/>
    <col min="14" max="14" width="10.5703125" style="1" hidden="1" customWidth="1"/>
    <col min="15" max="15" width="8.85546875" style="1" hidden="1" customWidth="1"/>
    <col min="16" max="17" width="9.42578125" style="1" hidden="1" customWidth="1"/>
    <col min="18" max="18" width="9.42578125" style="1" customWidth="1"/>
    <col min="19" max="16384" width="9.140625" style="1"/>
  </cols>
  <sheetData>
    <row r="1" spans="1:30" ht="15.75">
      <c r="A1" s="3" t="s">
        <v>2102</v>
      </c>
    </row>
    <row r="2" spans="1:30">
      <c r="A2" s="4"/>
      <c r="B2" s="4"/>
    </row>
    <row r="3" spans="1:30" ht="25.5">
      <c r="A3" s="4"/>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30" s="4" customFormat="1" ht="25.5">
      <c r="A4" s="667"/>
      <c r="B4" s="1167"/>
      <c r="C4" s="1165"/>
      <c r="D4" s="1165"/>
      <c r="E4" s="1165"/>
      <c r="F4" s="1165"/>
      <c r="G4" s="1165"/>
      <c r="H4" s="1165"/>
      <c r="I4" s="1165"/>
      <c r="J4" s="1165"/>
      <c r="K4" s="1165"/>
      <c r="L4" s="1165"/>
      <c r="N4" s="645" t="s">
        <v>282</v>
      </c>
      <c r="O4" s="645" t="s">
        <v>282</v>
      </c>
      <c r="P4" s="645" t="s">
        <v>281</v>
      </c>
      <c r="Q4" s="645" t="s">
        <v>281</v>
      </c>
    </row>
    <row r="5" spans="1:30" ht="12.75" customHeight="1">
      <c r="A5" s="120">
        <v>1981</v>
      </c>
      <c r="B5" s="19">
        <f>1000*('6d'!B5/'1'!B15)</f>
        <v>26074.431381273986</v>
      </c>
      <c r="C5" s="19">
        <f>1000*('6d'!C5/'1'!C15)</f>
        <v>16288.678104559152</v>
      </c>
      <c r="D5" s="19">
        <f>1000*('6d'!D5/'1'!D15)</f>
        <v>17101.207494303671</v>
      </c>
      <c r="E5" s="19">
        <f>1000*('6d'!E5/'1'!E15)</f>
        <v>18683.455033303919</v>
      </c>
      <c r="F5" s="19">
        <f>1000*('6d'!F5/'1'!F15)</f>
        <v>17143.311972035426</v>
      </c>
      <c r="G5" s="19">
        <f>1000*('6d'!G5/'1'!G15)</f>
        <v>23688.637358098887</v>
      </c>
      <c r="H5" s="19">
        <f>1000*('6d'!H5/'1'!H15)</f>
        <v>28546.77889918549</v>
      </c>
      <c r="I5" s="19">
        <f>1000*('6d'!I5/'1'!I15)</f>
        <v>23792.627406049094</v>
      </c>
      <c r="J5" s="19">
        <f>1000*('6d'!J5/'1'!J15)</f>
        <v>23960.575137347481</v>
      </c>
      <c r="K5" s="19">
        <f>1000*('6d'!K5/'1'!K15)</f>
        <v>35796.639910188554</v>
      </c>
      <c r="L5" s="19">
        <f>1000*('6d'!L5/'1'!L15)</f>
        <v>29894.684057576142</v>
      </c>
      <c r="N5" s="19">
        <f>SUM(C80:L80)/10</f>
        <v>44126634.155893378</v>
      </c>
      <c r="O5" s="19">
        <f>SQRT(N5)</f>
        <v>6642.7881311911024</v>
      </c>
      <c r="P5" s="19">
        <f>Q5^2</f>
        <v>37445588.67031052</v>
      </c>
      <c r="Q5" s="19">
        <f>STDEVP(C5:L5)</f>
        <v>6119.2800777796174</v>
      </c>
      <c r="T5" s="19"/>
      <c r="U5" s="19"/>
      <c r="V5" s="19"/>
      <c r="W5" s="19"/>
      <c r="X5" s="19"/>
      <c r="Y5" s="19"/>
      <c r="Z5" s="19"/>
      <c r="AA5" s="19"/>
      <c r="AB5" s="19"/>
      <c r="AC5" s="19"/>
      <c r="AD5" s="19"/>
    </row>
    <row r="6" spans="1:30" ht="12.75" customHeight="1">
      <c r="A6" s="120">
        <v>1982</v>
      </c>
      <c r="B6" s="19">
        <f>1000*('6d'!B6/'1'!B16)</f>
        <v>25039.100267025853</v>
      </c>
      <c r="C6" s="19">
        <f>1000*('6d'!C6/'1'!C16)</f>
        <v>16484.431991042391</v>
      </c>
      <c r="D6" s="19">
        <f>1000*('6d'!D6/'1'!D16)</f>
        <v>17244.703752142428</v>
      </c>
      <c r="E6" s="19">
        <f>1000*('6d'!E6/'1'!E16)</f>
        <v>19302.088425451613</v>
      </c>
      <c r="F6" s="19">
        <f>1000*('6d'!F6/'1'!F16)</f>
        <v>17426.743008651167</v>
      </c>
      <c r="G6" s="19">
        <f>1000*('6d'!G6/'1'!G16)</f>
        <v>22718.985938870406</v>
      </c>
      <c r="H6" s="19">
        <f>1000*('6d'!H6/'1'!H16)</f>
        <v>27431.078648259081</v>
      </c>
      <c r="I6" s="19">
        <f>1000*('6d'!I6/'1'!I16)</f>
        <v>22943.626121235236</v>
      </c>
      <c r="J6" s="19">
        <f>1000*('6d'!J6/'1'!J16)</f>
        <v>23260.116475281222</v>
      </c>
      <c r="K6" s="19">
        <f>1000*('6d'!K6/'1'!K16)</f>
        <v>33476.620395784827</v>
      </c>
      <c r="L6" s="19">
        <f>1000*('6d'!L6/'1'!L16)</f>
        <v>27556.839003961679</v>
      </c>
      <c r="N6" s="19">
        <f t="shared" ref="N6:N29" si="0">SUM(C81:L81)/10</f>
        <v>32098729.48124839</v>
      </c>
      <c r="O6" s="19">
        <f t="shared" ref="O6:O29" si="1">SQRT(N6)</f>
        <v>5665.5740645806045</v>
      </c>
      <c r="P6" s="19">
        <f t="shared" ref="P6:P29" si="2">Q6^2</f>
        <v>27015612.524007339</v>
      </c>
      <c r="Q6" s="19">
        <f t="shared" ref="Q6:Q29" si="3">STDEVP(C6:L6)</f>
        <v>5197.6545214170728</v>
      </c>
      <c r="T6" s="19"/>
      <c r="U6" s="19"/>
      <c r="V6" s="19"/>
      <c r="W6" s="19"/>
      <c r="X6" s="19"/>
      <c r="Y6" s="19"/>
      <c r="Z6" s="19"/>
      <c r="AA6" s="19"/>
      <c r="AB6" s="19"/>
      <c r="AC6" s="19"/>
      <c r="AD6" s="19"/>
    </row>
    <row r="7" spans="1:30" ht="12.75" customHeight="1">
      <c r="A7" s="120">
        <v>1983</v>
      </c>
      <c r="B7" s="19">
        <f>1000*('6d'!B7/'1'!B17)</f>
        <v>25459.529060227025</v>
      </c>
      <c r="C7" s="19">
        <f>1000*('6d'!C7/'1'!C17)</f>
        <v>16838.828029267483</v>
      </c>
      <c r="D7" s="19">
        <f>1000*('6d'!D7/'1'!D17)</f>
        <v>18656.033131353801</v>
      </c>
      <c r="E7" s="19">
        <f>1000*('6d'!E7/'1'!E17)</f>
        <v>19567.406628929115</v>
      </c>
      <c r="F7" s="19">
        <f>1000*('6d'!F7/'1'!F17)</f>
        <v>18451.859200251565</v>
      </c>
      <c r="G7" s="19">
        <f>1000*('6d'!G7/'1'!G17)</f>
        <v>23064.126533780491</v>
      </c>
      <c r="H7" s="19">
        <f>1000*('6d'!H7/'1'!H17)</f>
        <v>28283.745463025349</v>
      </c>
      <c r="I7" s="19">
        <f>1000*('6d'!I7/'1'!I17)</f>
        <v>22806.845375144374</v>
      </c>
      <c r="J7" s="19">
        <f>1000*('6d'!J7/'1'!J17)</f>
        <v>23593.313017130364</v>
      </c>
      <c r="K7" s="19">
        <f>1000*('6d'!K7/'1'!K17)</f>
        <v>32792.036135661438</v>
      </c>
      <c r="L7" s="19">
        <f>1000*('6d'!L7/'1'!L17)</f>
        <v>27443.928606385954</v>
      </c>
      <c r="N7" s="19">
        <f t="shared" si="0"/>
        <v>28636573.290744197</v>
      </c>
      <c r="O7" s="19">
        <f t="shared" si="1"/>
        <v>5351.3150991830216</v>
      </c>
      <c r="P7" s="19">
        <f t="shared" si="2"/>
        <v>23301781.372189946</v>
      </c>
      <c r="Q7" s="19">
        <f t="shared" si="3"/>
        <v>4827.1918723197596</v>
      </c>
      <c r="T7" s="19"/>
      <c r="U7" s="19"/>
      <c r="V7" s="19"/>
      <c r="W7" s="19"/>
      <c r="X7" s="19"/>
      <c r="Y7" s="19"/>
      <c r="Z7" s="19"/>
      <c r="AA7" s="19"/>
      <c r="AB7" s="19"/>
      <c r="AC7" s="19"/>
      <c r="AD7" s="19"/>
    </row>
    <row r="8" spans="1:30" ht="12.75" customHeight="1">
      <c r="A8" s="120">
        <v>1984</v>
      </c>
      <c r="B8" s="19">
        <f>1000*('6d'!B8/'1'!B18)</f>
        <v>26682.309719472061</v>
      </c>
      <c r="C8" s="19">
        <f>1000*('6d'!C8/'1'!C18)</f>
        <v>17274.685167304226</v>
      </c>
      <c r="D8" s="19">
        <f>1000*('6d'!D8/'1'!D18)</f>
        <v>18856.995631774924</v>
      </c>
      <c r="E8" s="19">
        <f>1000*('6d'!E8/'1'!E18)</f>
        <v>20558.436890399971</v>
      </c>
      <c r="F8" s="19">
        <f>1000*('6d'!F8/'1'!F18)</f>
        <v>18685.38465574351</v>
      </c>
      <c r="G8" s="19">
        <f>1000*('6d'!G8/'1'!G18)</f>
        <v>23968.645726729974</v>
      </c>
      <c r="H8" s="19">
        <f>1000*('6d'!H8/'1'!H18)</f>
        <v>30117.907084419687</v>
      </c>
      <c r="I8" s="19">
        <f>1000*('6d'!I8/'1'!I18)</f>
        <v>24398.698678655015</v>
      </c>
      <c r="J8" s="19">
        <f>1000*('6d'!J8/'1'!J18)</f>
        <v>23742.117858390709</v>
      </c>
      <c r="K8" s="19">
        <f>1000*('6d'!K8/'1'!K18)</f>
        <v>34142.891990575627</v>
      </c>
      <c r="L8" s="19">
        <f>1000*('6d'!L8/'1'!L18)</f>
        <v>27275.928005166141</v>
      </c>
      <c r="N8" s="19">
        <f t="shared" si="0"/>
        <v>34023114.876546539</v>
      </c>
      <c r="O8" s="19">
        <f t="shared" si="1"/>
        <v>5832.9336423918403</v>
      </c>
      <c r="P8" s="19">
        <f t="shared" si="2"/>
        <v>26293933.395700224</v>
      </c>
      <c r="Q8" s="19">
        <f t="shared" si="3"/>
        <v>5127.7610509558872</v>
      </c>
      <c r="T8" s="19"/>
      <c r="U8" s="19"/>
      <c r="V8" s="19"/>
      <c r="W8" s="19"/>
      <c r="X8" s="19"/>
      <c r="Y8" s="19"/>
      <c r="Z8" s="19"/>
      <c r="AA8" s="19"/>
      <c r="AB8" s="19"/>
      <c r="AC8" s="19"/>
      <c r="AD8" s="19"/>
    </row>
    <row r="9" spans="1:30" ht="12.75" customHeight="1">
      <c r="A9" s="120">
        <v>1985</v>
      </c>
      <c r="B9" s="19">
        <f>1000*('6d'!B9/'1'!B19)</f>
        <v>27721.891287210416</v>
      </c>
      <c r="C9" s="19">
        <f>1000*('6d'!C9/'1'!C19)</f>
        <v>17545.394782600895</v>
      </c>
      <c r="D9" s="19">
        <f>1000*('6d'!D9/'1'!D19)</f>
        <v>18622.96943904987</v>
      </c>
      <c r="E9" s="19">
        <f>1000*('6d'!E9/'1'!E19)</f>
        <v>21358.755324867136</v>
      </c>
      <c r="F9" s="19">
        <f>1000*('6d'!F9/'1'!F19)</f>
        <v>19198.362373339944</v>
      </c>
      <c r="G9" s="19">
        <f>1000*('6d'!G9/'1'!G19)</f>
        <v>24634.158353090686</v>
      </c>
      <c r="H9" s="19">
        <f>1000*('6d'!H9/'1'!H19)</f>
        <v>30923.573850875262</v>
      </c>
      <c r="I9" s="19">
        <f>1000*('6d'!I9/'1'!I19)</f>
        <v>25710.817908472407</v>
      </c>
      <c r="J9" s="19">
        <f>1000*('6d'!J9/'1'!J19)</f>
        <v>24124.150419716614</v>
      </c>
      <c r="K9" s="19">
        <f>1000*('6d'!K9/'1'!K19)</f>
        <v>36739.577660937292</v>
      </c>
      <c r="L9" s="19">
        <f>1000*('6d'!L9/'1'!L19)</f>
        <v>28932.228670941357</v>
      </c>
      <c r="N9" s="19">
        <f t="shared" si="0"/>
        <v>41904810.984069832</v>
      </c>
      <c r="O9" s="19">
        <f t="shared" si="1"/>
        <v>6473.3925405516566</v>
      </c>
      <c r="P9" s="19">
        <f t="shared" si="2"/>
        <v>33244195.254171979</v>
      </c>
      <c r="Q9" s="19">
        <f t="shared" si="3"/>
        <v>5765.7779400677564</v>
      </c>
      <c r="T9" s="19"/>
      <c r="U9" s="19"/>
      <c r="V9" s="19"/>
      <c r="W9" s="19"/>
      <c r="X9" s="19"/>
      <c r="Y9" s="19"/>
      <c r="Z9" s="19"/>
      <c r="AA9" s="19"/>
      <c r="AB9" s="19"/>
      <c r="AC9" s="19"/>
      <c r="AD9" s="19"/>
    </row>
    <row r="10" spans="1:30" ht="12.75" customHeight="1">
      <c r="A10" s="120">
        <v>1986</v>
      </c>
      <c r="B10" s="19">
        <f>1000*('6d'!B10/'1'!B20)</f>
        <v>28093.5293884083</v>
      </c>
      <c r="C10" s="19">
        <f>1000*('6d'!C10/'1'!C20)</f>
        <v>17654.088805896146</v>
      </c>
      <c r="D10" s="19">
        <f>1000*('6d'!D10/'1'!D20)</f>
        <v>19316.812457642256</v>
      </c>
      <c r="E10" s="19">
        <f>1000*('6d'!E10/'1'!E20)</f>
        <v>21721.923855903609</v>
      </c>
      <c r="F10" s="19">
        <f>1000*('6d'!F10/'1'!F20)</f>
        <v>20468.037819776771</v>
      </c>
      <c r="G10" s="19">
        <f>1000*('6d'!G10/'1'!G20)</f>
        <v>24949.533820060355</v>
      </c>
      <c r="H10" s="19">
        <f>1000*('6d'!H10/'1'!H20)</f>
        <v>31691.258015413485</v>
      </c>
      <c r="I10" s="19">
        <f>1000*('6d'!I10/'1'!I20)</f>
        <v>25571.886156830704</v>
      </c>
      <c r="J10" s="19">
        <f>1000*('6d'!J10/'1'!J20)</f>
        <v>25405.718110663143</v>
      </c>
      <c r="K10" s="19">
        <f>1000*('6d'!K10/'1'!K20)</f>
        <v>35504.527383138571</v>
      </c>
      <c r="L10" s="19">
        <f>1000*('6d'!L10/'1'!L20)</f>
        <v>28698.592506162135</v>
      </c>
      <c r="N10" s="19">
        <f t="shared" si="0"/>
        <v>37645852.459757335</v>
      </c>
      <c r="O10" s="19">
        <f t="shared" si="1"/>
        <v>6135.6216033713599</v>
      </c>
      <c r="P10" s="19">
        <f t="shared" si="2"/>
        <v>28674081.318182904</v>
      </c>
      <c r="Q10" s="19">
        <f t="shared" si="3"/>
        <v>5354.8185140285477</v>
      </c>
      <c r="T10" s="19"/>
      <c r="U10" s="19"/>
      <c r="V10" s="19"/>
      <c r="W10" s="19"/>
      <c r="X10" s="19"/>
      <c r="Y10" s="19"/>
      <c r="Z10" s="19"/>
      <c r="AA10" s="19"/>
      <c r="AB10" s="19"/>
      <c r="AC10" s="19"/>
      <c r="AD10" s="19"/>
    </row>
    <row r="11" spans="1:30" ht="12.75" customHeight="1">
      <c r="A11" s="120">
        <v>1987</v>
      </c>
      <c r="B11" s="19">
        <f>1000*('6d'!B11/'1'!B21)</f>
        <v>28912.453245355835</v>
      </c>
      <c r="C11" s="19">
        <f>1000*('6d'!C11/'1'!C21)</f>
        <v>18286.165109122594</v>
      </c>
      <c r="D11" s="19">
        <f>1000*('6d'!D11/'1'!D21)</f>
        <v>19569.121076078591</v>
      </c>
      <c r="E11" s="19">
        <f>1000*('6d'!E11/'1'!E21)</f>
        <v>22307.036498701396</v>
      </c>
      <c r="F11" s="19">
        <f>1000*('6d'!F11/'1'!F21)</f>
        <v>21458.396278827775</v>
      </c>
      <c r="G11" s="19">
        <f>1000*('6d'!G11/'1'!G21)</f>
        <v>25731.135929237378</v>
      </c>
      <c r="H11" s="19">
        <f>1000*('6d'!H11/'1'!H21)</f>
        <v>32577.865247144258</v>
      </c>
      <c r="I11" s="19">
        <f>1000*('6d'!I11/'1'!I21)</f>
        <v>25776.762538773259</v>
      </c>
      <c r="J11" s="19">
        <f>1000*('6d'!J11/'1'!J21)</f>
        <v>25421.607936695578</v>
      </c>
      <c r="K11" s="19">
        <f>1000*('6d'!K11/'1'!K21)</f>
        <v>36085.054218475772</v>
      </c>
      <c r="L11" s="19">
        <f>1000*('6d'!L11/'1'!L21)</f>
        <v>30023.119944292885</v>
      </c>
      <c r="N11" s="19">
        <f t="shared" si="0"/>
        <v>39766471.865769297</v>
      </c>
      <c r="O11" s="19">
        <f t="shared" si="1"/>
        <v>6306.066275085388</v>
      </c>
      <c r="P11" s="19">
        <f t="shared" si="2"/>
        <v>29597855.711873852</v>
      </c>
      <c r="Q11" s="19">
        <f t="shared" si="3"/>
        <v>5440.3911359270714</v>
      </c>
      <c r="T11" s="19"/>
      <c r="U11" s="19"/>
      <c r="V11" s="19"/>
      <c r="W11" s="19"/>
      <c r="X11" s="19"/>
      <c r="Y11" s="19"/>
      <c r="Z11" s="19"/>
      <c r="AA11" s="19"/>
      <c r="AB11" s="19"/>
      <c r="AC11" s="19"/>
      <c r="AD11" s="19"/>
    </row>
    <row r="12" spans="1:30" ht="12.75" customHeight="1">
      <c r="A12" s="120">
        <v>1988</v>
      </c>
      <c r="B12" s="19">
        <f>1000*('6d'!B12/'1'!B22)</f>
        <v>29952.47221435851</v>
      </c>
      <c r="C12" s="19">
        <f>1000*('6d'!C12/'1'!C22)</f>
        <v>19427.016318023736</v>
      </c>
      <c r="D12" s="19">
        <f>1000*('6d'!D12/'1'!D22)</f>
        <v>20109.986155047995</v>
      </c>
      <c r="E12" s="19">
        <f>1000*('6d'!E12/'1'!E22)</f>
        <v>22488.209085257644</v>
      </c>
      <c r="F12" s="19">
        <f>1000*('6d'!F12/'1'!F22)</f>
        <v>21529.980179764741</v>
      </c>
      <c r="G12" s="19">
        <f>1000*('6d'!G12/'1'!G22)</f>
        <v>26684.167787573486</v>
      </c>
      <c r="H12" s="19">
        <f>1000*('6d'!H12/'1'!H22)</f>
        <v>33631.913103994848</v>
      </c>
      <c r="I12" s="19">
        <f>1000*('6d'!I12/'1'!I22)</f>
        <v>25544.074397562221</v>
      </c>
      <c r="J12" s="19">
        <f>1000*('6d'!J12/'1'!J22)</f>
        <v>24673.705784776503</v>
      </c>
      <c r="K12" s="19">
        <f>1000*('6d'!K12/'1'!K22)</f>
        <v>38729.266031560983</v>
      </c>
      <c r="L12" s="19">
        <f>1000*('6d'!L12/'1'!L22)</f>
        <v>31078.900525701563</v>
      </c>
      <c r="N12" s="19">
        <f t="shared" si="0"/>
        <v>48413374.565262586</v>
      </c>
      <c r="O12" s="19">
        <f t="shared" si="1"/>
        <v>6957.972015268715</v>
      </c>
      <c r="P12" s="19">
        <f t="shared" si="2"/>
        <v>35720185.025919639</v>
      </c>
      <c r="Q12" s="19">
        <f t="shared" si="3"/>
        <v>5976.6365981143308</v>
      </c>
      <c r="T12" s="19"/>
      <c r="U12" s="19"/>
      <c r="V12" s="19"/>
      <c r="W12" s="19"/>
      <c r="X12" s="19"/>
      <c r="Y12" s="19"/>
      <c r="Z12" s="19"/>
      <c r="AA12" s="19"/>
      <c r="AB12" s="19"/>
      <c r="AC12" s="19"/>
      <c r="AD12" s="19"/>
    </row>
    <row r="13" spans="1:30" ht="12.75" customHeight="1">
      <c r="A13" s="120">
        <v>1989</v>
      </c>
      <c r="B13" s="19">
        <f>1000*('6d'!B13/'1'!B23)</f>
        <v>30216.928873625016</v>
      </c>
      <c r="C13" s="19">
        <f>1000*('6d'!C13/'1'!C23)</f>
        <v>20209.061131010229</v>
      </c>
      <c r="D13" s="19">
        <f>1000*('6d'!D13/'1'!D23)</f>
        <v>20518.602853951306</v>
      </c>
      <c r="E13" s="19">
        <f>1000*('6d'!E13/'1'!E23)</f>
        <v>22836.435091032519</v>
      </c>
      <c r="F13" s="19">
        <f>1000*('6d'!F13/'1'!F23)</f>
        <v>21567.741802823879</v>
      </c>
      <c r="G13" s="19">
        <f>1000*('6d'!G13/'1'!G23)</f>
        <v>26526.835702281223</v>
      </c>
      <c r="H13" s="19">
        <f>1000*('6d'!H13/'1'!H23)</f>
        <v>33857.717511820818</v>
      </c>
      <c r="I13" s="19">
        <f>1000*('6d'!I13/'1'!I23)</f>
        <v>26203.548609459638</v>
      </c>
      <c r="J13" s="19">
        <f>1000*('6d'!J13/'1'!J23)</f>
        <v>25482.53830588235</v>
      </c>
      <c r="K13" s="19">
        <f>1000*('6d'!K13/'1'!K23)</f>
        <v>38637.348341440345</v>
      </c>
      <c r="L13" s="19">
        <f>1000*('6d'!L13/'1'!L23)</f>
        <v>31274.567088564228</v>
      </c>
      <c r="N13" s="19">
        <f t="shared" si="0"/>
        <v>46091093.711974956</v>
      </c>
      <c r="O13" s="19">
        <f t="shared" si="1"/>
        <v>6789.0421792749939</v>
      </c>
      <c r="P13" s="19">
        <f t="shared" si="2"/>
        <v>33802638.971742406</v>
      </c>
      <c r="Q13" s="19">
        <f t="shared" si="3"/>
        <v>5814.0036955391079</v>
      </c>
      <c r="T13" s="19"/>
      <c r="U13" s="19"/>
      <c r="V13" s="19"/>
      <c r="W13" s="19"/>
      <c r="X13" s="19"/>
      <c r="Y13" s="19"/>
      <c r="Z13" s="19"/>
      <c r="AA13" s="19"/>
      <c r="AB13" s="19"/>
      <c r="AC13" s="19"/>
      <c r="AD13" s="19"/>
    </row>
    <row r="14" spans="1:30" ht="12.75" customHeight="1">
      <c r="A14" s="120">
        <v>1990</v>
      </c>
      <c r="B14" s="19">
        <f>1000*('6d'!B14/'1'!B24)</f>
        <v>29798.228034550051</v>
      </c>
      <c r="C14" s="19">
        <f>1000*('6d'!C14/'1'!C24)</f>
        <v>20186.202312281192</v>
      </c>
      <c r="D14" s="19">
        <f>1000*('6d'!D14/'1'!D24)</f>
        <v>20610.812107047597</v>
      </c>
      <c r="E14" s="19">
        <f>1000*('6d'!E14/'1'!E24)</f>
        <v>22596.097126788372</v>
      </c>
      <c r="F14" s="19">
        <f>1000*('6d'!F14/'1'!F24)</f>
        <v>21316.123548163388</v>
      </c>
      <c r="G14" s="19">
        <f>1000*('6d'!G14/'1'!G24)</f>
        <v>26338.607135217273</v>
      </c>
      <c r="H14" s="19">
        <f>1000*('6d'!H14/'1'!H24)</f>
        <v>32664.36142758156</v>
      </c>
      <c r="I14" s="19">
        <f>1000*('6d'!I14/'1'!I24)</f>
        <v>26787.979515532239</v>
      </c>
      <c r="J14" s="19">
        <f>1000*('6d'!J14/'1'!J24)</f>
        <v>27570.990371015723</v>
      </c>
      <c r="K14" s="19">
        <f>1000*('6d'!K14/'1'!K24)</f>
        <v>38750.912757313163</v>
      </c>
      <c r="L14" s="19">
        <f>1000*('6d'!L14/'1'!L24)</f>
        <v>30822.347191602628</v>
      </c>
      <c r="N14" s="19">
        <f t="shared" si="0"/>
        <v>41602170.098390415</v>
      </c>
      <c r="O14" s="19">
        <f t="shared" si="1"/>
        <v>6449.9744261811156</v>
      </c>
      <c r="P14" s="19">
        <f t="shared" si="2"/>
        <v>32398320.581655428</v>
      </c>
      <c r="Q14" s="19">
        <f t="shared" si="3"/>
        <v>5691.9522645271218</v>
      </c>
      <c r="T14" s="19"/>
      <c r="U14" s="19"/>
      <c r="V14" s="19"/>
      <c r="W14" s="19"/>
      <c r="X14" s="19"/>
      <c r="Y14" s="19"/>
      <c r="Z14" s="19"/>
      <c r="AA14" s="19"/>
      <c r="AB14" s="19"/>
      <c r="AC14" s="19"/>
      <c r="AD14" s="19"/>
    </row>
    <row r="15" spans="1:30" ht="12.75" customHeight="1">
      <c r="A15" s="120">
        <v>1991</v>
      </c>
      <c r="B15" s="19">
        <f>1000*('6d'!B15/'1'!B25)</f>
        <v>28826.325742054458</v>
      </c>
      <c r="C15" s="19">
        <f>1000*('6d'!C15/'1'!C25)</f>
        <v>20219.391384635226</v>
      </c>
      <c r="D15" s="19">
        <f>1000*('6d'!D15/'1'!D25)</f>
        <v>20567.2494835363</v>
      </c>
      <c r="E15" s="19">
        <f>1000*('6d'!E15/'1'!E25)</f>
        <v>22300.891371682152</v>
      </c>
      <c r="F15" s="19">
        <f>1000*('6d'!F15/'1'!F25)</f>
        <v>21160.913254900985</v>
      </c>
      <c r="G15" s="19">
        <f>1000*('6d'!G15/'1'!G25)</f>
        <v>25380.083168665791</v>
      </c>
      <c r="H15" s="19">
        <f>1000*('6d'!H15/'1'!H25)</f>
        <v>30980.431104442305</v>
      </c>
      <c r="I15" s="19">
        <f>1000*('6d'!I15/'1'!I25)</f>
        <v>25811.053020541134</v>
      </c>
      <c r="J15" s="19">
        <f>1000*('6d'!J15/'1'!J25)</f>
        <v>28035.634461681802</v>
      </c>
      <c r="K15" s="19">
        <f>1000*('6d'!K15/'1'!K25)</f>
        <v>38256.59050885438</v>
      </c>
      <c r="L15" s="19">
        <f>1000*('6d'!L15/'1'!L25)</f>
        <v>30099.596622893885</v>
      </c>
      <c r="N15" s="19">
        <f t="shared" si="0"/>
        <v>36041643.437799245</v>
      </c>
      <c r="O15" s="19">
        <f t="shared" si="1"/>
        <v>6003.4692834892767</v>
      </c>
      <c r="P15" s="19">
        <f t="shared" si="2"/>
        <v>29563894.090845179</v>
      </c>
      <c r="Q15" s="19">
        <f t="shared" si="3"/>
        <v>5437.2689919522263</v>
      </c>
      <c r="T15" s="19"/>
      <c r="U15" s="19"/>
      <c r="V15" s="19"/>
      <c r="W15" s="19"/>
      <c r="X15" s="19"/>
      <c r="Y15" s="19"/>
      <c r="Z15" s="19"/>
      <c r="AA15" s="19"/>
      <c r="AB15" s="19"/>
      <c r="AC15" s="19"/>
      <c r="AD15" s="19"/>
    </row>
    <row r="16" spans="1:30" ht="12.75" customHeight="1">
      <c r="A16" s="120">
        <v>1992</v>
      </c>
      <c r="B16" s="19">
        <f>1000*('6d'!B16/'1'!B26)</f>
        <v>28742.457051606529</v>
      </c>
      <c r="C16" s="19">
        <f>1000*('6d'!C16/'1'!C26)</f>
        <v>19904.110794605847</v>
      </c>
      <c r="D16" s="19">
        <f>1000*('6d'!D16/'1'!D26)</f>
        <v>21038.068730769457</v>
      </c>
      <c r="E16" s="19">
        <f>1000*('6d'!E16/'1'!E26)</f>
        <v>22490.439558885835</v>
      </c>
      <c r="F16" s="19">
        <f>1000*('6d'!F16/'1'!F26)</f>
        <v>21420.484327068942</v>
      </c>
      <c r="G16" s="19">
        <f>1000*('6d'!G16/'1'!G26)</f>
        <v>25339.141184434586</v>
      </c>
      <c r="H16" s="19">
        <f>1000*('6d'!H16/'1'!H26)</f>
        <v>30829.008987047324</v>
      </c>
      <c r="I16" s="19">
        <f>1000*('6d'!I16/'1'!I26)</f>
        <v>25987.47388655855</v>
      </c>
      <c r="J16" s="19">
        <f>1000*('6d'!J16/'1'!J26)</f>
        <v>26924.284616714194</v>
      </c>
      <c r="K16" s="19">
        <f>1000*('6d'!K16/'1'!K26)</f>
        <v>38002.479642525635</v>
      </c>
      <c r="L16" s="19">
        <f>1000*('6d'!L16/'1'!L26)</f>
        <v>30048.351035102041</v>
      </c>
      <c r="N16" s="19">
        <f t="shared" si="0"/>
        <v>34445828.985924467</v>
      </c>
      <c r="O16" s="19">
        <f t="shared" si="1"/>
        <v>5869.0569077088076</v>
      </c>
      <c r="P16" s="19">
        <f t="shared" si="2"/>
        <v>27973522.700231019</v>
      </c>
      <c r="Q16" s="19">
        <f t="shared" si="3"/>
        <v>5289.0001607327467</v>
      </c>
      <c r="T16" s="19"/>
      <c r="U16" s="19"/>
      <c r="V16" s="19"/>
      <c r="W16" s="19"/>
      <c r="X16" s="19"/>
      <c r="Y16" s="19"/>
      <c r="Z16" s="19"/>
      <c r="AA16" s="19"/>
      <c r="AB16" s="19"/>
      <c r="AC16" s="19"/>
      <c r="AD16" s="19"/>
    </row>
    <row r="17" spans="1:30" ht="12.75" customHeight="1">
      <c r="A17" s="120">
        <v>1993</v>
      </c>
      <c r="B17" s="19">
        <f>1000*('6d'!B17/'1'!B27)</f>
        <v>29072.109692259877</v>
      </c>
      <c r="C17" s="19">
        <f>1000*('6d'!C17/'1'!C27)</f>
        <v>20056.214051838015</v>
      </c>
      <c r="D17" s="19">
        <f>1000*('6d'!D17/'1'!D27)</f>
        <v>21076.244838207152</v>
      </c>
      <c r="E17" s="19">
        <f>1000*('6d'!E17/'1'!E27)</f>
        <v>22612.008057384679</v>
      </c>
      <c r="F17" s="19">
        <f>1000*('6d'!F17/'1'!F27)</f>
        <v>22022.163316195285</v>
      </c>
      <c r="G17" s="19">
        <f>1000*('6d'!G17/'1'!G27)</f>
        <v>25672.305168268471</v>
      </c>
      <c r="H17" s="19">
        <f>1000*('6d'!H17/'1'!H27)</f>
        <v>30769.710285156085</v>
      </c>
      <c r="I17" s="19">
        <f>1000*('6d'!I17/'1'!I27)</f>
        <v>25976.565529273328</v>
      </c>
      <c r="J17" s="19">
        <f>1000*('6d'!J17/'1'!J27)</f>
        <v>28606.634323669197</v>
      </c>
      <c r="K17" s="19">
        <f>1000*('6d'!K17/'1'!K27)</f>
        <v>40204.739756030511</v>
      </c>
      <c r="L17" s="19">
        <f>1000*('6d'!L17/'1'!L27)</f>
        <v>30519.163406929216</v>
      </c>
      <c r="N17" s="19">
        <f t="shared" si="0"/>
        <v>38692388.214958385</v>
      </c>
      <c r="O17" s="19">
        <f t="shared" si="1"/>
        <v>6220.320587795969</v>
      </c>
      <c r="P17" s="19">
        <f t="shared" si="2"/>
        <v>33307506.368930969</v>
      </c>
      <c r="Q17" s="19">
        <f t="shared" si="3"/>
        <v>5771.2655777507734</v>
      </c>
      <c r="T17" s="19"/>
      <c r="U17" s="19"/>
      <c r="V17" s="19"/>
      <c r="W17" s="19"/>
      <c r="X17" s="19"/>
      <c r="Y17" s="19"/>
      <c r="Z17" s="19"/>
      <c r="AA17" s="19"/>
      <c r="AB17" s="19"/>
      <c r="AC17" s="19"/>
      <c r="AD17" s="19"/>
    </row>
    <row r="18" spans="1:30" ht="12.75" customHeight="1">
      <c r="A18" s="120">
        <v>1994</v>
      </c>
      <c r="B18" s="19">
        <f>1000*('6d'!B18/'1'!B28)</f>
        <v>30137.437510798991</v>
      </c>
      <c r="C18" s="19">
        <f>1000*('6d'!C18/'1'!C28)</f>
        <v>21119.418219452142</v>
      </c>
      <c r="D18" s="19">
        <f>1000*('6d'!D18/'1'!D28)</f>
        <v>21892.017195332828</v>
      </c>
      <c r="E18" s="19">
        <f>1000*('6d'!E18/'1'!E28)</f>
        <v>22628.992927139578</v>
      </c>
      <c r="F18" s="19">
        <f>1000*('6d'!F18/'1'!F28)</f>
        <v>22440.866935641923</v>
      </c>
      <c r="G18" s="19">
        <f>1000*('6d'!G18/'1'!G28)</f>
        <v>26661.990370611744</v>
      </c>
      <c r="H18" s="19">
        <f>1000*('6d'!H18/'1'!H28)</f>
        <v>32199.563673058627</v>
      </c>
      <c r="I18" s="19">
        <f>1000*('6d'!I18/'1'!I28)</f>
        <v>26872.253171863784</v>
      </c>
      <c r="J18" s="19">
        <f>1000*('6d'!J18/'1'!J28)</f>
        <v>29751.93503796243</v>
      </c>
      <c r="K18" s="19">
        <f>1000*('6d'!K18/'1'!K28)</f>
        <v>42173.946682365007</v>
      </c>
      <c r="L18" s="19">
        <f>1000*('6d'!L18/'1'!L28)</f>
        <v>30447.890892391872</v>
      </c>
      <c r="N18" s="19">
        <f t="shared" si="0"/>
        <v>43704063.919850156</v>
      </c>
      <c r="O18" s="19">
        <f t="shared" si="1"/>
        <v>6610.9049244297985</v>
      </c>
      <c r="P18" s="19">
        <f t="shared" si="2"/>
        <v>37360969.816257328</v>
      </c>
      <c r="Q18" s="19">
        <f t="shared" si="3"/>
        <v>6112.3620488529086</v>
      </c>
      <c r="T18" s="19"/>
      <c r="U18" s="19"/>
      <c r="V18" s="19"/>
      <c r="W18" s="19"/>
      <c r="X18" s="19"/>
      <c r="Y18" s="19"/>
      <c r="Z18" s="19"/>
      <c r="AA18" s="19"/>
      <c r="AB18" s="19"/>
      <c r="AC18" s="19"/>
      <c r="AD18" s="19"/>
    </row>
    <row r="19" spans="1:30" ht="12.75" customHeight="1">
      <c r="A19" s="120">
        <v>1995</v>
      </c>
      <c r="B19" s="19">
        <f>1000*('6d'!B19/'1'!B29)</f>
        <v>30662.315965575126</v>
      </c>
      <c r="C19" s="19">
        <f>1000*('6d'!C19/'1'!C29)</f>
        <v>21880.479478951096</v>
      </c>
      <c r="D19" s="19">
        <f>1000*('6d'!D19/'1'!D29)</f>
        <v>23135.908076569951</v>
      </c>
      <c r="E19" s="19">
        <f>1000*('6d'!E19/'1'!E29)</f>
        <v>22972.834290098228</v>
      </c>
      <c r="F19" s="19">
        <f>1000*('6d'!F19/'1'!F29)</f>
        <v>23155.599069233125</v>
      </c>
      <c r="G19" s="19">
        <f>1000*('6d'!G19/'1'!G29)</f>
        <v>27022.813459577286</v>
      </c>
      <c r="H19" s="19">
        <f>1000*('6d'!H19/'1'!H29)</f>
        <v>32940.071234885305</v>
      </c>
      <c r="I19" s="19">
        <f>1000*('6d'!I19/'1'!I29)</f>
        <v>26803.233345027314</v>
      </c>
      <c r="J19" s="19">
        <f>1000*('6d'!J19/'1'!J29)</f>
        <v>29948.681277112406</v>
      </c>
      <c r="K19" s="19">
        <f>1000*('6d'!K19/'1'!K29)</f>
        <v>42984.81164821815</v>
      </c>
      <c r="L19" s="19">
        <f>1000*('6d'!L19/'1'!L29)</f>
        <v>30340.935002355232</v>
      </c>
      <c r="N19" s="19">
        <f t="shared" si="0"/>
        <v>43502952.105990432</v>
      </c>
      <c r="O19" s="19">
        <f t="shared" si="1"/>
        <v>6595.6767739171719</v>
      </c>
      <c r="P19" s="19">
        <f t="shared" si="2"/>
        <v>37032139.094001472</v>
      </c>
      <c r="Q19" s="19">
        <f t="shared" si="3"/>
        <v>6085.4037741140455</v>
      </c>
      <c r="T19" s="19"/>
      <c r="U19" s="19"/>
      <c r="V19" s="19"/>
      <c r="W19" s="19"/>
      <c r="X19" s="19"/>
      <c r="Y19" s="19"/>
      <c r="Z19" s="19"/>
      <c r="AA19" s="19"/>
      <c r="AB19" s="19"/>
      <c r="AC19" s="19"/>
      <c r="AD19" s="19"/>
    </row>
    <row r="20" spans="1:30" ht="12.75" customHeight="1">
      <c r="A20" s="120">
        <v>1996</v>
      </c>
      <c r="B20" s="19">
        <f>1000*('6d'!B20/'1'!B30)</f>
        <v>30854.449869283748</v>
      </c>
      <c r="C20" s="19">
        <f>1000*('6d'!C20/'1'!C30)</f>
        <v>21149.798641410191</v>
      </c>
      <c r="D20" s="19">
        <f>1000*('6d'!D20/'1'!D30)</f>
        <v>23580.013350146557</v>
      </c>
      <c r="E20" s="19">
        <f>1000*('6d'!E20/'1'!E30)</f>
        <v>23048.130822636373</v>
      </c>
      <c r="F20" s="19">
        <f>1000*('6d'!F20/'1'!F30)</f>
        <v>23264.385340834579</v>
      </c>
      <c r="G20" s="19">
        <f>1000*('6d'!G20/'1'!G30)</f>
        <v>27165.539534709827</v>
      </c>
      <c r="H20" s="19">
        <f>1000*('6d'!H20/'1'!H30)</f>
        <v>32915.894666353684</v>
      </c>
      <c r="I20" s="19">
        <f>1000*('6d'!I20/'1'!I30)</f>
        <v>27488.751132033063</v>
      </c>
      <c r="J20" s="19">
        <f>1000*('6d'!J20/'1'!J30)</f>
        <v>30675.865172747232</v>
      </c>
      <c r="K20" s="19">
        <f>1000*('6d'!K20/'1'!K30)</f>
        <v>43186.00282566165</v>
      </c>
      <c r="L20" s="19">
        <f>1000*('6d'!L20/'1'!L30)</f>
        <v>30311.9161267741</v>
      </c>
      <c r="N20" s="19">
        <f t="shared" si="0"/>
        <v>44722435.449907139</v>
      </c>
      <c r="O20" s="19">
        <f t="shared" si="1"/>
        <v>6687.4834915614665</v>
      </c>
      <c r="P20" s="19">
        <f t="shared" si="2"/>
        <v>38087586.221372075</v>
      </c>
      <c r="Q20" s="19">
        <f t="shared" si="3"/>
        <v>6171.5140947236014</v>
      </c>
      <c r="T20" s="19"/>
      <c r="U20" s="19"/>
      <c r="V20" s="19"/>
      <c r="W20" s="19"/>
      <c r="X20" s="19"/>
      <c r="Y20" s="19"/>
      <c r="Z20" s="19"/>
      <c r="AA20" s="19"/>
      <c r="AB20" s="19"/>
      <c r="AC20" s="19"/>
      <c r="AD20" s="19"/>
    </row>
    <row r="21" spans="1:30" ht="12.75" customHeight="1">
      <c r="A21" s="120">
        <v>1997</v>
      </c>
      <c r="B21" s="19">
        <f>1000*('6d'!B21/'1'!B31)</f>
        <v>31841.392670154055</v>
      </c>
      <c r="C21" s="19">
        <f>1000*('6d'!C21/'1'!C31)</f>
        <v>21751.127048803923</v>
      </c>
      <c r="D21" s="19">
        <f>1000*('6d'!D21/'1'!D31)</f>
        <v>23620.968823315954</v>
      </c>
      <c r="E21" s="19">
        <f>1000*('6d'!E21/'1'!E31)</f>
        <v>24005.115371285759</v>
      </c>
      <c r="F21" s="19">
        <f>1000*('6d'!F21/'1'!F31)</f>
        <v>23538.438313783081</v>
      </c>
      <c r="G21" s="19">
        <f>1000*('6d'!G21/'1'!G31)</f>
        <v>27941.306541659767</v>
      </c>
      <c r="H21" s="19">
        <f>1000*('6d'!H21/'1'!H31)</f>
        <v>33940.690815656308</v>
      </c>
      <c r="I21" s="19">
        <f>1000*('6d'!I21/'1'!I31)</f>
        <v>28463.380427434997</v>
      </c>
      <c r="J21" s="19">
        <f>1000*('6d'!J21/'1'!J31)</f>
        <v>31897.785444089051</v>
      </c>
      <c r="K21" s="19">
        <f>1000*('6d'!K21/'1'!K31)</f>
        <v>45249.019343071486</v>
      </c>
      <c r="L21" s="19">
        <f>1000*('6d'!L21/'1'!L31)</f>
        <v>30686.560774685458</v>
      </c>
      <c r="N21" s="19">
        <f t="shared" si="0"/>
        <v>51186508.255721636</v>
      </c>
      <c r="O21" s="19">
        <f t="shared" si="1"/>
        <v>7154.4747015921184</v>
      </c>
      <c r="P21" s="19">
        <f t="shared" si="2"/>
        <v>43722938.986455083</v>
      </c>
      <c r="Q21" s="19">
        <f t="shared" si="3"/>
        <v>6612.3323408956903</v>
      </c>
      <c r="T21" s="19"/>
      <c r="U21" s="19"/>
      <c r="V21" s="19"/>
      <c r="W21" s="19"/>
      <c r="X21" s="19"/>
      <c r="Y21" s="19"/>
      <c r="Z21" s="19"/>
      <c r="AA21" s="19"/>
      <c r="AB21" s="19"/>
      <c r="AC21" s="19"/>
      <c r="AD21" s="19"/>
    </row>
    <row r="22" spans="1:30" ht="12.75" customHeight="1">
      <c r="A22" s="120">
        <v>1998</v>
      </c>
      <c r="B22" s="19">
        <f>1000*('6d'!B22/'1'!B32)</f>
        <v>32873.409766649915</v>
      </c>
      <c r="C22" s="19">
        <f>1000*('6d'!C22/'1'!C32)</f>
        <v>23392.446669810706</v>
      </c>
      <c r="D22" s="19">
        <f>1000*('6d'!D22/'1'!D32)</f>
        <v>24747.184391378825</v>
      </c>
      <c r="E22" s="19">
        <f>1000*('6d'!E22/'1'!E32)</f>
        <v>24909.422630381207</v>
      </c>
      <c r="F22" s="19">
        <f>1000*('6d'!F22/'1'!F32)</f>
        <v>24472.983536078951</v>
      </c>
      <c r="G22" s="19">
        <f>1000*('6d'!G22/'1'!G32)</f>
        <v>28738.927968430424</v>
      </c>
      <c r="H22" s="19">
        <f>1000*('6d'!H22/'1'!H32)</f>
        <v>35146.205085406524</v>
      </c>
      <c r="I22" s="19">
        <f>1000*('6d'!I22/'1'!I32)</f>
        <v>29628.286371805883</v>
      </c>
      <c r="J22" s="19">
        <f>1000*('6d'!J22/'1'!J32)</f>
        <v>33272.124784101077</v>
      </c>
      <c r="K22" s="19">
        <f>1000*('6d'!K22/'1'!K32)</f>
        <v>46499.205605353796</v>
      </c>
      <c r="L22" s="19">
        <f>1000*('6d'!L22/'1'!L32)</f>
        <v>30820.402659130003</v>
      </c>
      <c r="N22" s="19">
        <f t="shared" si="0"/>
        <v>51274294.029048756</v>
      </c>
      <c r="O22" s="19">
        <f t="shared" si="1"/>
        <v>7160.607099195483</v>
      </c>
      <c r="P22" s="19">
        <f t="shared" si="2"/>
        <v>43926449.435024261</v>
      </c>
      <c r="Q22" s="19">
        <f t="shared" si="3"/>
        <v>6627.7031794600052</v>
      </c>
      <c r="T22" s="19"/>
      <c r="U22" s="19"/>
      <c r="V22" s="19"/>
      <c r="W22" s="19"/>
      <c r="X22" s="19"/>
      <c r="Y22" s="19"/>
      <c r="Z22" s="19"/>
      <c r="AA22" s="19"/>
      <c r="AB22" s="19"/>
      <c r="AC22" s="19"/>
      <c r="AD22" s="19"/>
    </row>
    <row r="23" spans="1:30" ht="12.75" customHeight="1">
      <c r="A23" s="120">
        <v>1999</v>
      </c>
      <c r="B23" s="19">
        <f>1000*('6d'!B23/'1'!B33)</f>
        <v>34415.091710047971</v>
      </c>
      <c r="C23" s="19">
        <f>1000*('6d'!C23/'1'!C33)</f>
        <v>24967.415975008898</v>
      </c>
      <c r="D23" s="19">
        <f>1000*('6d'!D23/'1'!D33)</f>
        <v>25698.500120341218</v>
      </c>
      <c r="E23" s="19">
        <f>1000*('6d'!E23/'1'!E33)</f>
        <v>26214.594143286555</v>
      </c>
      <c r="F23" s="19">
        <f>1000*('6d'!F23/'1'!F33)</f>
        <v>25991.467252875245</v>
      </c>
      <c r="G23" s="19">
        <f>1000*('6d'!G23/'1'!G33)</f>
        <v>30397.320939503876</v>
      </c>
      <c r="H23" s="19">
        <f>1000*('6d'!H23/'1'!H33)</f>
        <v>37344.794197154166</v>
      </c>
      <c r="I23" s="19">
        <f>1000*('6d'!I23/'1'!I33)</f>
        <v>29989.567990957054</v>
      </c>
      <c r="J23" s="19">
        <f>1000*('6d'!J23/'1'!J33)</f>
        <v>33448.048395163765</v>
      </c>
      <c r="K23" s="19">
        <f>1000*('6d'!K23/'1'!K33)</f>
        <v>46268.321478766033</v>
      </c>
      <c r="L23" s="19">
        <f>1000*('6d'!L23/'1'!L33)</f>
        <v>31598.036166412767</v>
      </c>
      <c r="N23" s="19">
        <f t="shared" si="0"/>
        <v>49712408.454877414</v>
      </c>
      <c r="O23" s="19">
        <f t="shared" si="1"/>
        <v>7050.7026922766654</v>
      </c>
      <c r="P23" s="19">
        <f t="shared" si="2"/>
        <v>39322841.979352109</v>
      </c>
      <c r="Q23" s="19">
        <f t="shared" si="3"/>
        <v>6270.7927712014298</v>
      </c>
      <c r="T23" s="19"/>
      <c r="U23" s="19"/>
      <c r="V23" s="19"/>
      <c r="W23" s="19"/>
      <c r="X23" s="19"/>
      <c r="Y23" s="19"/>
      <c r="Z23" s="19"/>
      <c r="AA23" s="19"/>
      <c r="AB23" s="19"/>
      <c r="AC23" s="19"/>
      <c r="AD23" s="19"/>
    </row>
    <row r="24" spans="1:30" ht="12.75" customHeight="1">
      <c r="A24" s="120">
        <v>2000</v>
      </c>
      <c r="B24" s="19">
        <f>1000*('6d'!B24/'1'!B34)</f>
        <v>35873.172270224874</v>
      </c>
      <c r="C24" s="19">
        <f>1000*('6d'!C24/'1'!C34)</f>
        <v>26528.292006121264</v>
      </c>
      <c r="D24" s="19">
        <f>1000*('6d'!D24/'1'!D34)</f>
        <v>26155.632540870509</v>
      </c>
      <c r="E24" s="19">
        <f>1000*('6d'!E24/'1'!E34)</f>
        <v>27027.112432306538</v>
      </c>
      <c r="F24" s="19">
        <f>1000*('6d'!F24/'1'!F34)</f>
        <v>26549.159097122698</v>
      </c>
      <c r="G24" s="19">
        <f>1000*('6d'!G24/'1'!G34)</f>
        <v>31584.230527515589</v>
      </c>
      <c r="H24" s="19">
        <f>1000*('6d'!H24/'1'!H34)</f>
        <v>38972.716200192364</v>
      </c>
      <c r="I24" s="19">
        <f>1000*('6d'!I24/'1'!I34)</f>
        <v>31115.450993387603</v>
      </c>
      <c r="J24" s="19">
        <f>1000*('6d'!J24/'1'!J34)</f>
        <v>34541.16522090631</v>
      </c>
      <c r="K24" s="19">
        <f>1000*('6d'!K24/'1'!K34)</f>
        <v>48243.802150834905</v>
      </c>
      <c r="L24" s="19">
        <f>1000*('6d'!L24/'1'!L34)</f>
        <v>32809.652231801185</v>
      </c>
      <c r="N24" s="19">
        <f t="shared" si="0"/>
        <v>56177734.889275037</v>
      </c>
      <c r="O24" s="19">
        <f t="shared" si="1"/>
        <v>7495.180777624716</v>
      </c>
      <c r="P24" s="19">
        <f t="shared" si="2"/>
        <v>43784160.137899466</v>
      </c>
      <c r="Q24" s="19">
        <f t="shared" si="3"/>
        <v>6616.9600375020755</v>
      </c>
      <c r="T24" s="19"/>
      <c r="U24" s="19"/>
      <c r="V24" s="19"/>
      <c r="W24" s="19"/>
      <c r="X24" s="19"/>
      <c r="Y24" s="19"/>
      <c r="Z24" s="19"/>
      <c r="AA24" s="19"/>
      <c r="AB24" s="19"/>
      <c r="AC24" s="19"/>
      <c r="AD24" s="19"/>
    </row>
    <row r="25" spans="1:30" ht="12.75" customHeight="1">
      <c r="A25" s="120">
        <v>2001</v>
      </c>
      <c r="B25" s="19">
        <f>1000*('6d'!B25/'1'!B35)</f>
        <v>36118.874581571428</v>
      </c>
      <c r="C25" s="19">
        <f>1000*('6d'!C25/'1'!C35)</f>
        <v>27270.198962710027</v>
      </c>
      <c r="D25" s="19">
        <f>1000*('6d'!D25/'1'!D35)</f>
        <v>25855.35696432578</v>
      </c>
      <c r="E25" s="19">
        <f>1000*('6d'!E25/'1'!E35)</f>
        <v>27925.448311551554</v>
      </c>
      <c r="F25" s="19">
        <f>1000*('6d'!F25/'1'!F35)</f>
        <v>26992.158657851945</v>
      </c>
      <c r="G25" s="19">
        <f>1000*('6d'!G25/'1'!G35)</f>
        <v>31890.088987069503</v>
      </c>
      <c r="H25" s="19">
        <f>1000*('6d'!H25/'1'!H35)</f>
        <v>38954.881296956359</v>
      </c>
      <c r="I25" s="19">
        <f>1000*('6d'!I25/'1'!I35)</f>
        <v>31251.891657481261</v>
      </c>
      <c r="J25" s="19">
        <f>1000*('6d'!J25/'1'!J35)</f>
        <v>34463.767482412397</v>
      </c>
      <c r="K25" s="19">
        <f>1000*('6d'!K25/'1'!K35)</f>
        <v>48214.429746128575</v>
      </c>
      <c r="L25" s="19">
        <f>1000*('6d'!L25/'1'!L35)</f>
        <v>32721.290716356791</v>
      </c>
      <c r="N25" s="19">
        <f t="shared" si="0"/>
        <v>54426652.652892984</v>
      </c>
      <c r="O25" s="19">
        <f t="shared" si="1"/>
        <v>7377.4421483935057</v>
      </c>
      <c r="P25" s="19">
        <f t="shared" si="2"/>
        <v>41717974.494574279</v>
      </c>
      <c r="Q25" s="19">
        <f t="shared" si="3"/>
        <v>6458.9453082197779</v>
      </c>
      <c r="T25" s="19"/>
      <c r="U25" s="19"/>
      <c r="V25" s="19"/>
      <c r="W25" s="19"/>
      <c r="X25" s="19"/>
      <c r="Y25" s="19"/>
      <c r="Z25" s="19"/>
      <c r="AA25" s="19"/>
      <c r="AB25" s="19"/>
      <c r="AC25" s="19"/>
      <c r="AD25" s="19"/>
    </row>
    <row r="26" spans="1:30" ht="12.75" customHeight="1">
      <c r="A26" s="120">
        <v>2002</v>
      </c>
      <c r="B26" s="19">
        <f>1000*('6d'!B26/'1'!B36)</f>
        <v>36770.990917295261</v>
      </c>
      <c r="C26" s="19">
        <f>1000*('6d'!C26/'1'!C36)</f>
        <v>31676.64682184509</v>
      </c>
      <c r="D26" s="19">
        <f>1000*('6d'!D26/'1'!D36)</f>
        <v>27039.071860662203</v>
      </c>
      <c r="E26" s="19">
        <f>1000*('6d'!E26/'1'!E36)</f>
        <v>28964.241215381575</v>
      </c>
      <c r="F26" s="19">
        <f>1000*('6d'!F26/'1'!F36)</f>
        <v>28250.532808598604</v>
      </c>
      <c r="G26" s="19">
        <f>1000*('6d'!G26/'1'!G36)</f>
        <v>32447.995424317669</v>
      </c>
      <c r="H26" s="19">
        <f>1000*('6d'!H26/'1'!H36)</f>
        <v>39513.841212356696</v>
      </c>
      <c r="I26" s="19">
        <f>1000*('6d'!I26/'1'!I36)</f>
        <v>31608.671180420759</v>
      </c>
      <c r="J26" s="19">
        <f>1000*('6d'!J26/'1'!J36)</f>
        <v>34453.215837464042</v>
      </c>
      <c r="K26" s="19">
        <f>1000*('6d'!K26/'1'!K36)</f>
        <v>48138.260125739842</v>
      </c>
      <c r="L26" s="19">
        <f>1000*('6d'!L26/'1'!L36)</f>
        <v>33720.594859471697</v>
      </c>
      <c r="M26" s="1">
        <f>B26*'1'!B36</f>
        <v>1152905000</v>
      </c>
      <c r="N26" s="19">
        <f t="shared" si="0"/>
        <v>45095900.710476138</v>
      </c>
      <c r="O26" s="19">
        <f t="shared" si="1"/>
        <v>6715.3481451430453</v>
      </c>
      <c r="P26" s="19">
        <f t="shared" si="2"/>
        <v>34921818.077051394</v>
      </c>
      <c r="Q26" s="19">
        <f t="shared" si="3"/>
        <v>5909.4685105389462</v>
      </c>
      <c r="T26" s="19"/>
      <c r="U26" s="19"/>
      <c r="V26" s="19"/>
      <c r="W26" s="19"/>
      <c r="X26" s="19"/>
      <c r="Y26" s="19"/>
      <c r="Z26" s="19"/>
      <c r="AA26" s="19"/>
      <c r="AB26" s="19"/>
      <c r="AC26" s="19"/>
      <c r="AD26" s="19"/>
    </row>
    <row r="27" spans="1:30" ht="12.75" customHeight="1">
      <c r="A27" s="120">
        <v>2003</v>
      </c>
      <c r="B27" s="19">
        <f>1000*('6d'!B27/'1'!B37)</f>
        <v>37118.565632112426</v>
      </c>
      <c r="C27" s="19">
        <f>1000*('6d'!C27/'1'!C37)</f>
        <v>33599.697956906937</v>
      </c>
      <c r="D27" s="19">
        <f>1000*('6d'!D27/'1'!D37)</f>
        <v>27540.277928392454</v>
      </c>
      <c r="E27" s="19">
        <f>1000*('6d'!E27/'1'!E37)</f>
        <v>29281.346752689056</v>
      </c>
      <c r="F27" s="19">
        <f>1000*('6d'!F27/'1'!F37)</f>
        <v>29032.73111631129</v>
      </c>
      <c r="G27" s="19">
        <f>1000*('6d'!G27/'1'!G37)</f>
        <v>32648.002911459407</v>
      </c>
      <c r="H27" s="19">
        <f>1000*('6d'!H27/'1'!H37)</f>
        <v>39564.750389249064</v>
      </c>
      <c r="I27" s="19">
        <f>1000*('6d'!I27/'1'!I37)</f>
        <v>31829.280383009042</v>
      </c>
      <c r="J27" s="19">
        <f>1000*('6d'!J27/'1'!J37)</f>
        <v>36061.140757534449</v>
      </c>
      <c r="K27" s="19">
        <f>1000*('6d'!K27/'1'!K37)</f>
        <v>48801.449112690774</v>
      </c>
      <c r="L27" s="19">
        <f>1000*('6d'!L27/'1'!L37)</f>
        <v>34300.44081160568</v>
      </c>
      <c r="M27" s="1">
        <f>B27*'1'!B37</f>
        <v>1174419167.4733784</v>
      </c>
      <c r="N27" s="19">
        <f t="shared" si="0"/>
        <v>43042477.527357608</v>
      </c>
      <c r="O27" s="19">
        <f t="shared" si="1"/>
        <v>6560.6766059117417</v>
      </c>
      <c r="P27" s="19">
        <f t="shared" si="2"/>
        <v>34904843.709868938</v>
      </c>
      <c r="Q27" s="19">
        <f t="shared" si="3"/>
        <v>5908.0321351418643</v>
      </c>
      <c r="T27" s="19"/>
      <c r="U27" s="19"/>
      <c r="V27" s="19"/>
      <c r="W27" s="19"/>
      <c r="X27" s="19"/>
      <c r="Y27" s="19"/>
      <c r="Z27" s="19"/>
      <c r="AA27" s="19"/>
      <c r="AB27" s="19"/>
      <c r="AC27" s="19"/>
      <c r="AD27" s="19"/>
    </row>
    <row r="28" spans="1:30" ht="12.75" customHeight="1">
      <c r="A28" s="120">
        <v>2004</v>
      </c>
      <c r="B28" s="19">
        <f>1000*('6d'!B28/'1'!B38)</f>
        <v>37913.450494094774</v>
      </c>
      <c r="C28" s="19">
        <f>1000*('6d'!C28/'1'!C38)</f>
        <v>33249.370919229514</v>
      </c>
      <c r="D28" s="19">
        <f>1000*('6d'!D28/'1'!D38)</f>
        <v>28170.070388681481</v>
      </c>
      <c r="E28" s="19">
        <f>1000*('6d'!E28/'1'!E38)</f>
        <v>29507.527286886445</v>
      </c>
      <c r="F28" s="19">
        <f>1000*('6d'!F28/'1'!F38)</f>
        <v>29857.508270707633</v>
      </c>
      <c r="G28" s="19">
        <f>1000*('6d'!G28/'1'!G38)</f>
        <v>33302.545186644573</v>
      </c>
      <c r="H28" s="19">
        <f>1000*('6d'!H28/'1'!H38)</f>
        <v>40089.538649228642</v>
      </c>
      <c r="I28" s="19">
        <f>1000*('6d'!I28/'1'!I38)</f>
        <v>32256.590677676493</v>
      </c>
      <c r="J28" s="19">
        <f>1000*('6d'!J28/'1'!J38)</f>
        <v>37835.725040811813</v>
      </c>
      <c r="K28" s="19">
        <f>1000*('6d'!K28/'1'!K38)</f>
        <v>50493.290949089511</v>
      </c>
      <c r="L28" s="19">
        <f>1000*('6d'!L28/'1'!L38)</f>
        <v>35266.452176257364</v>
      </c>
      <c r="M28" s="1">
        <f>B28*'1'!B38</f>
        <v>1210981238.273921</v>
      </c>
      <c r="N28" s="19">
        <f t="shared" si="0"/>
        <v>47550574.184091255</v>
      </c>
      <c r="O28" s="19">
        <f t="shared" si="1"/>
        <v>6895.6924368834243</v>
      </c>
      <c r="P28" s="19">
        <f t="shared" si="2"/>
        <v>39079048.537395023</v>
      </c>
      <c r="Q28" s="19">
        <f t="shared" si="3"/>
        <v>6251.3237428080001</v>
      </c>
      <c r="T28" s="19"/>
      <c r="U28" s="19"/>
      <c r="V28" s="19"/>
      <c r="W28" s="19"/>
      <c r="X28" s="19"/>
      <c r="Y28" s="19"/>
      <c r="Z28" s="19"/>
      <c r="AA28" s="19"/>
      <c r="AB28" s="19"/>
      <c r="AC28" s="19"/>
      <c r="AD28" s="19"/>
    </row>
    <row r="29" spans="1:30" ht="12.75" customHeight="1">
      <c r="A29" s="120">
        <v>2005</v>
      </c>
      <c r="B29" s="19">
        <f>1000*('6d'!B29/'1'!B39)</f>
        <v>38628.285289960084</v>
      </c>
      <c r="C29" s="19">
        <f>1000*('6d'!C29/'1'!C39)</f>
        <v>34094.929580449927</v>
      </c>
      <c r="D29" s="19">
        <f>1000*('6d'!D29/'1'!D39)</f>
        <v>28635.930124467297</v>
      </c>
      <c r="E29" s="19">
        <f>1000*('6d'!E29/'1'!E39)</f>
        <v>29932.059994885043</v>
      </c>
      <c r="F29" s="19">
        <f>1000*('6d'!F29/'1'!F39)</f>
        <v>30383.223942432254</v>
      </c>
      <c r="G29" s="19">
        <f>1000*('6d'!G29/'1'!G39)</f>
        <v>33600.32836683526</v>
      </c>
      <c r="H29" s="19">
        <f>1000*('6d'!H29/'1'!H39)</f>
        <v>40770.590683902265</v>
      </c>
      <c r="I29" s="19">
        <f>1000*('6d'!I29/'1'!I39)</f>
        <v>32929.560935142428</v>
      </c>
      <c r="J29" s="19">
        <f>1000*('6d'!J29/'1'!J39)</f>
        <v>39213.772179351065</v>
      </c>
      <c r="K29" s="19">
        <f>1000*('6d'!K29/'1'!K39)</f>
        <v>51591.990654696485</v>
      </c>
      <c r="L29" s="19">
        <f>1000*('6d'!L29/'1'!L39)</f>
        <v>36442.891428133691</v>
      </c>
      <c r="M29" s="1">
        <f>B29*'1'!B39</f>
        <v>1245577132.4863884</v>
      </c>
      <c r="N29" s="19">
        <f t="shared" si="0"/>
        <v>49952552.725605622</v>
      </c>
      <c r="O29" s="19">
        <f t="shared" si="1"/>
        <v>7067.7119866053981</v>
      </c>
      <c r="P29" s="19">
        <f t="shared" si="2"/>
        <v>41722783.126460575</v>
      </c>
      <c r="Q29" s="19">
        <f t="shared" si="3"/>
        <v>6459.3175433988827</v>
      </c>
      <c r="T29" s="19"/>
      <c r="U29" s="19"/>
      <c r="V29" s="19"/>
      <c r="W29" s="19"/>
      <c r="X29" s="19"/>
      <c r="Y29" s="19"/>
      <c r="Z29" s="19"/>
      <c r="AA29" s="19"/>
      <c r="AB29" s="19"/>
      <c r="AC29" s="19"/>
      <c r="AD29" s="19"/>
    </row>
    <row r="30" spans="1:30" ht="12.75" customHeight="1">
      <c r="A30" s="120">
        <v>2006</v>
      </c>
      <c r="B30" s="19">
        <f>1000*('6d'!B30/'1'!B40)</f>
        <v>39438.651250977819</v>
      </c>
      <c r="C30" s="19">
        <f>1000*('6d'!C30/'1'!C40)</f>
        <v>35397.752530319362</v>
      </c>
      <c r="D30" s="19">
        <f>1000*('6d'!D30/'1'!D40)</f>
        <v>29362.470834592728</v>
      </c>
      <c r="E30" s="19">
        <f>1000*('6d'!E30/'1'!E40)</f>
        <v>30209.280437156474</v>
      </c>
      <c r="F30" s="19">
        <f>1000*('6d'!F30/'1'!F40)</f>
        <v>31229.122666404866</v>
      </c>
      <c r="G30" s="19">
        <f>1000*('6d'!G30/'1'!G40)</f>
        <v>33936.60430297564</v>
      </c>
      <c r="H30" s="19">
        <f>1000*('6d'!H30/'1'!H40)</f>
        <v>41383.528260487336</v>
      </c>
      <c r="I30" s="19">
        <f>1000*('6d'!I30/'1'!I40)</f>
        <v>34079.599930462166</v>
      </c>
      <c r="J30" s="19">
        <f>1000*('6d'!J30/'1'!J40)</f>
        <v>39183.267722920507</v>
      </c>
      <c r="K30" s="19">
        <f>1000*('6d'!K30/'1'!K40)</f>
        <v>53132.127966070751</v>
      </c>
      <c r="L30" s="19">
        <f>1000*('6d'!L30/'1'!L40)</f>
        <v>37642.835675393086</v>
      </c>
      <c r="N30" s="19"/>
      <c r="O30" s="19"/>
      <c r="P30" s="19"/>
      <c r="Q30" s="19"/>
      <c r="T30" s="19"/>
      <c r="U30" s="19"/>
      <c r="V30" s="19"/>
      <c r="W30" s="19"/>
      <c r="X30" s="19"/>
      <c r="Y30" s="19"/>
      <c r="Z30" s="19"/>
      <c r="AA30" s="19"/>
      <c r="AB30" s="19"/>
      <c r="AC30" s="19"/>
      <c r="AD30" s="19"/>
    </row>
    <row r="31" spans="1:30" ht="12.75" customHeight="1">
      <c r="A31" s="120">
        <v>2007</v>
      </c>
      <c r="B31" s="19">
        <f>1000*('6d'!B31/'1'!B41)</f>
        <v>40066.468260954418</v>
      </c>
      <c r="C31" s="19">
        <f>1000*('6d'!C31/'1'!C41)</f>
        <v>38889.22340827607</v>
      </c>
      <c r="D31" s="19">
        <f>1000*('6d'!D31/'1'!D41)</f>
        <v>30050.735206529742</v>
      </c>
      <c r="E31" s="19">
        <f>1000*('6d'!E31/'1'!E41)</f>
        <v>30772.796349099783</v>
      </c>
      <c r="F31" s="19">
        <f>1000*('6d'!F31/'1'!F41)</f>
        <v>31768.466483648925</v>
      </c>
      <c r="G31" s="19">
        <f>1000*('6d'!G31/'1'!G41)</f>
        <v>34589.088239608252</v>
      </c>
      <c r="H31" s="19">
        <f>1000*('6d'!H31/'1'!H41)</f>
        <v>41909.007339109819</v>
      </c>
      <c r="I31" s="19">
        <f>1000*('6d'!I31/'1'!I41)</f>
        <v>34916.189817120336</v>
      </c>
      <c r="J31" s="19">
        <f>1000*('6d'!J31/'1'!J41)</f>
        <v>39848.493846721969</v>
      </c>
      <c r="K31" s="19">
        <f>1000*('6d'!K31/'1'!K41)</f>
        <v>53404.922119665767</v>
      </c>
      <c r="L31" s="19">
        <f>1000*('6d'!L31/'1'!L41)</f>
        <v>38176.845061740678</v>
      </c>
      <c r="N31" s="19"/>
      <c r="O31" s="19"/>
      <c r="P31" s="19"/>
      <c r="Q31" s="19"/>
      <c r="T31" s="19"/>
      <c r="U31" s="19"/>
      <c r="V31" s="19"/>
      <c r="W31" s="19"/>
      <c r="X31" s="19"/>
      <c r="Y31" s="19"/>
      <c r="Z31" s="19"/>
      <c r="AA31" s="19"/>
      <c r="AB31" s="19"/>
      <c r="AC31" s="19"/>
      <c r="AD31" s="19"/>
    </row>
    <row r="32" spans="1:30" ht="12.75" customHeight="1">
      <c r="A32" s="120">
        <v>2008</v>
      </c>
      <c r="B32" s="19">
        <f>1000*('6d'!B32/'1'!B42)</f>
        <v>39789.817659443856</v>
      </c>
      <c r="C32" s="19">
        <f>1000*('6d'!C32/'1'!C42)</f>
        <v>38759.698996154846</v>
      </c>
      <c r="D32" s="19">
        <f>1000*('6d'!D32/'1'!D42)</f>
        <v>29955.206676062793</v>
      </c>
      <c r="E32" s="19">
        <f>1000*('6d'!E32/'1'!E42)</f>
        <v>31321.391925623684</v>
      </c>
      <c r="F32" s="19">
        <f>1000*('6d'!F32/'1'!F42)</f>
        <v>31669.86809557967</v>
      </c>
      <c r="G32" s="19">
        <f>1000*('6d'!G32/'1'!G42)</f>
        <v>34668.437170352649</v>
      </c>
      <c r="H32" s="19">
        <f>1000*('6d'!H32/'1'!H42)</f>
        <v>41300.473780702712</v>
      </c>
      <c r="I32" s="19">
        <f>1000*('6d'!I32/'1'!I42)</f>
        <v>35310.647062111588</v>
      </c>
      <c r="J32" s="19">
        <f>1000*('6d'!J32/'1'!J42)</f>
        <v>40924.999404875067</v>
      </c>
      <c r="K32" s="19">
        <f>1000*('6d'!K32/'1'!K42)</f>
        <v>52182.799272548502</v>
      </c>
      <c r="L32" s="19">
        <f>1000*('6d'!L32/'1'!L42)</f>
        <v>37451.407473708001</v>
      </c>
      <c r="N32" s="19"/>
      <c r="O32" s="19"/>
      <c r="P32" s="19"/>
      <c r="Q32" s="19"/>
      <c r="T32" s="19"/>
      <c r="U32" s="19"/>
      <c r="V32" s="19"/>
      <c r="W32" s="19"/>
      <c r="X32" s="19"/>
      <c r="Y32" s="19"/>
      <c r="Z32" s="19"/>
      <c r="AA32" s="19"/>
      <c r="AB32" s="19"/>
      <c r="AC32" s="19"/>
      <c r="AD32" s="19"/>
    </row>
    <row r="33" spans="1:30" ht="12.75" customHeight="1">
      <c r="A33" s="120"/>
      <c r="B33" s="23"/>
      <c r="C33" s="644"/>
      <c r="D33" s="666" t="s">
        <v>802</v>
      </c>
      <c r="E33" s="644"/>
      <c r="F33" s="644"/>
      <c r="G33" s="644"/>
      <c r="H33" s="644"/>
      <c r="I33" s="644"/>
      <c r="J33" s="644"/>
      <c r="K33" s="644"/>
      <c r="L33" s="644"/>
    </row>
    <row r="34" spans="1:30" ht="12.75" customHeight="1">
      <c r="A34" s="448" t="s">
        <v>603</v>
      </c>
      <c r="B34" s="23">
        <f>((((B13/B5))^(1/8))-1)*100</f>
        <v>1.8601788753041415</v>
      </c>
      <c r="C34" s="23">
        <f t="shared" ref="C34:L34" si="4">((((C13/C5))^(1/8))-1)*100</f>
        <v>2.7324243679134552</v>
      </c>
      <c r="D34" s="23">
        <f t="shared" si="4"/>
        <v>2.3034138139906624</v>
      </c>
      <c r="E34" s="23">
        <f t="shared" si="4"/>
        <v>2.5407264110981487</v>
      </c>
      <c r="F34" s="23">
        <f t="shared" si="4"/>
        <v>2.9114609129326174</v>
      </c>
      <c r="G34" s="23">
        <f t="shared" si="4"/>
        <v>1.4245690328736016</v>
      </c>
      <c r="H34" s="23">
        <f t="shared" si="4"/>
        <v>2.1556921616960878</v>
      </c>
      <c r="I34" s="23">
        <f t="shared" si="4"/>
        <v>1.2137959923395281</v>
      </c>
      <c r="J34" s="23">
        <f t="shared" si="4"/>
        <v>0.77276639901953104</v>
      </c>
      <c r="K34" s="23">
        <f t="shared" si="4"/>
        <v>0.95913740274022885</v>
      </c>
      <c r="L34" s="23">
        <f t="shared" si="4"/>
        <v>0.56565054897705913</v>
      </c>
      <c r="M34" s="23" t="e">
        <f>((((M13/M5))^(1/8))-1)*100</f>
        <v>#DIV/0!</v>
      </c>
      <c r="N34" s="23">
        <f>((((N13/N5))^(1/8))-1)*100</f>
        <v>0.54593717411197673</v>
      </c>
      <c r="O34" s="23">
        <f>((((O13/O5))^(1/8))-1)*100</f>
        <v>0.27259704132129858</v>
      </c>
      <c r="P34" s="23">
        <f>((((P13/P5))^(1/8))-1)*100</f>
        <v>-1.2712262197745017</v>
      </c>
      <c r="Q34" s="23">
        <f>((((Q13/Q5))^(1/8))-1)*100</f>
        <v>-0.63764607245584415</v>
      </c>
    </row>
    <row r="35" spans="1:30">
      <c r="A35" s="448" t="s">
        <v>808</v>
      </c>
      <c r="B35" s="23">
        <f t="shared" ref="B35:L35" si="5">((((B29/B5))^(1/24))-1)*100</f>
        <v>1.651105856273194</v>
      </c>
      <c r="C35" s="23">
        <f t="shared" si="5"/>
        <v>3.12568149057324</v>
      </c>
      <c r="D35" s="23">
        <f t="shared" si="5"/>
        <v>2.1712064386508079</v>
      </c>
      <c r="E35" s="23">
        <f t="shared" si="5"/>
        <v>1.9831234428334676</v>
      </c>
      <c r="F35" s="23">
        <f t="shared" si="5"/>
        <v>2.4131671321256043</v>
      </c>
      <c r="G35" s="23">
        <f t="shared" si="5"/>
        <v>1.4670755400411073</v>
      </c>
      <c r="H35" s="23">
        <f t="shared" si="5"/>
        <v>1.4961523706876756</v>
      </c>
      <c r="I35" s="23">
        <f t="shared" si="5"/>
        <v>1.363355927172849</v>
      </c>
      <c r="J35" s="23">
        <f t="shared" si="5"/>
        <v>2.0737862076891211</v>
      </c>
      <c r="K35" s="23">
        <f t="shared" si="5"/>
        <v>1.5346246319367207</v>
      </c>
      <c r="L35" s="23">
        <f t="shared" si="5"/>
        <v>0.82868870179517717</v>
      </c>
      <c r="M35" s="23" t="e">
        <f>((((M28/M5))^(1/23))-1)*100</f>
        <v>#DIV/0!</v>
      </c>
      <c r="N35" s="23">
        <f>((((N28/N5))^(1/23))-1)*100</f>
        <v>0.32544283220827808</v>
      </c>
      <c r="O35" s="23">
        <f>((((O28/O5))^(1/23))-1)*100</f>
        <v>0.16258923979963757</v>
      </c>
      <c r="P35" s="23">
        <f>((((P28/P5))^(1/23))-1)*100</f>
        <v>0.1858140286796095</v>
      </c>
      <c r="Q35" s="23">
        <f>((((Q28/Q5))^(1/23))-1)*100</f>
        <v>9.2863895824057963E-2</v>
      </c>
    </row>
    <row r="36" spans="1:30">
      <c r="A36" s="448" t="s">
        <v>819</v>
      </c>
      <c r="B36" s="23">
        <f t="shared" ref="B36:L36" si="6">((((B30/B5))^(1/25))-1)*100</f>
        <v>1.66893828843373</v>
      </c>
      <c r="C36" s="23">
        <f t="shared" si="6"/>
        <v>3.1534111047430979</v>
      </c>
      <c r="D36" s="23">
        <f t="shared" si="6"/>
        <v>2.1858196605193836</v>
      </c>
      <c r="E36" s="23">
        <f t="shared" si="6"/>
        <v>1.9406333701456946</v>
      </c>
      <c r="F36" s="23">
        <f t="shared" si="6"/>
        <v>2.4279786321562469</v>
      </c>
      <c r="G36" s="23">
        <f t="shared" si="6"/>
        <v>1.4483837151239909</v>
      </c>
      <c r="H36" s="23">
        <f t="shared" si="6"/>
        <v>1.4964415317432644</v>
      </c>
      <c r="I36" s="23">
        <f t="shared" si="6"/>
        <v>1.4476715294261089</v>
      </c>
      <c r="J36" s="23">
        <f t="shared" si="6"/>
        <v>1.9868402069630031</v>
      </c>
      <c r="K36" s="23">
        <f t="shared" si="6"/>
        <v>1.5922544375338132</v>
      </c>
      <c r="L36" s="23">
        <f t="shared" si="6"/>
        <v>0.92611000342139871</v>
      </c>
      <c r="M36" s="23" t="e">
        <f>((((M29/M5))^(1/24))-1)*100</f>
        <v>#DIV/0!</v>
      </c>
      <c r="N36" s="23">
        <f>((((N29/N5))^(1/24))-1)*100</f>
        <v>0.51804582495904583</v>
      </c>
      <c r="O36" s="23">
        <f>((((O29/O5))^(1/24))-1)*100</f>
        <v>0.25868831425985839</v>
      </c>
      <c r="P36" s="23">
        <f>((((P29/P5))^(1/24))-1)*100</f>
        <v>0.45167711253368825</v>
      </c>
      <c r="Q36" s="23">
        <f>((((Q29/Q5))^(1/24))-1)*100</f>
        <v>0.22558411530146927</v>
      </c>
    </row>
    <row r="37" spans="1:30">
      <c r="A37" s="448" t="s">
        <v>447</v>
      </c>
      <c r="B37" s="23">
        <f>((((B31/B5))^(1/26))-1)*100</f>
        <v>1.6659735260162511</v>
      </c>
      <c r="C37" s="23">
        <f t="shared" ref="C37:L37" si="7">((((C31/C5))^(1/26))-1)*100</f>
        <v>3.4037492292331661</v>
      </c>
      <c r="D37" s="23">
        <f t="shared" si="7"/>
        <v>2.191900050228468</v>
      </c>
      <c r="E37" s="23">
        <f t="shared" si="7"/>
        <v>1.9377377318676281</v>
      </c>
      <c r="F37" s="23">
        <f t="shared" si="7"/>
        <v>2.4009309016300495</v>
      </c>
      <c r="G37" s="23">
        <f t="shared" si="7"/>
        <v>1.4665840576326472</v>
      </c>
      <c r="H37" s="23">
        <f t="shared" si="7"/>
        <v>1.4877143430566786</v>
      </c>
      <c r="I37" s="23">
        <f t="shared" si="7"/>
        <v>1.4862239830714774</v>
      </c>
      <c r="J37" s="23">
        <f t="shared" si="7"/>
        <v>1.9757054040332012</v>
      </c>
      <c r="K37" s="23">
        <f t="shared" si="7"/>
        <v>1.5505477133688883</v>
      </c>
      <c r="L37" s="23">
        <f t="shared" si="7"/>
        <v>0.94500845535945288</v>
      </c>
      <c r="M37" s="23"/>
      <c r="N37" s="23"/>
      <c r="O37" s="23"/>
      <c r="P37" s="23"/>
      <c r="Q37" s="23"/>
      <c r="T37" s="23"/>
      <c r="U37" s="23"/>
      <c r="V37" s="23"/>
      <c r="W37" s="23"/>
      <c r="X37" s="23"/>
      <c r="Y37" s="23"/>
      <c r="Z37" s="23"/>
      <c r="AA37" s="23"/>
      <c r="AB37" s="23"/>
      <c r="AC37" s="23"/>
      <c r="AD37" s="23"/>
    </row>
    <row r="38" spans="1:30">
      <c r="A38" s="448" t="s">
        <v>1408</v>
      </c>
      <c r="B38" s="23">
        <f>((((B32/B5))^(1/27))-1)*100</f>
        <v>1.5777084745677294</v>
      </c>
      <c r="C38" s="23">
        <f t="shared" ref="C38:L38" si="8">((((C32/C5))^(1/27))-1)*100</f>
        <v>3.2628822409381586</v>
      </c>
      <c r="D38" s="23">
        <f t="shared" si="8"/>
        <v>2.0978276467715551</v>
      </c>
      <c r="E38" s="23">
        <f t="shared" si="8"/>
        <v>1.9319924616446826</v>
      </c>
      <c r="F38" s="23">
        <f t="shared" si="8"/>
        <v>2.2992097254152633</v>
      </c>
      <c r="G38" s="23">
        <f t="shared" si="8"/>
        <v>1.4204914237476052</v>
      </c>
      <c r="H38" s="23">
        <f t="shared" si="8"/>
        <v>1.3772867864057847</v>
      </c>
      <c r="I38" s="23">
        <f t="shared" si="8"/>
        <v>1.4729979677007066</v>
      </c>
      <c r="J38" s="23">
        <f t="shared" si="8"/>
        <v>2.0024948549195232</v>
      </c>
      <c r="K38" s="23">
        <f t="shared" si="8"/>
        <v>1.405710308097663</v>
      </c>
      <c r="L38" s="23">
        <f t="shared" si="8"/>
        <v>0.83817323336277116</v>
      </c>
      <c r="M38" s="23"/>
      <c r="N38" s="23"/>
      <c r="O38" s="23"/>
      <c r="P38" s="23"/>
      <c r="Q38" s="23"/>
      <c r="T38" s="23"/>
      <c r="U38" s="23"/>
      <c r="V38" s="23"/>
      <c r="W38" s="23"/>
      <c r="X38" s="23"/>
      <c r="Y38" s="23"/>
      <c r="Z38" s="23"/>
      <c r="AA38" s="23"/>
      <c r="AB38" s="23"/>
      <c r="AC38" s="23"/>
      <c r="AD38" s="23"/>
    </row>
    <row r="39" spans="1:30">
      <c r="A39" s="448" t="s">
        <v>604</v>
      </c>
      <c r="B39" s="23">
        <f>((((B24/B13))^(1/11))-1)*100</f>
        <v>1.5721151707197345</v>
      </c>
      <c r="C39" s="23">
        <f t="shared" ref="C39:L39" si="9">((((C24/C13))^(1/11))-1)*100</f>
        <v>2.5043048406235391</v>
      </c>
      <c r="D39" s="23">
        <f t="shared" si="9"/>
        <v>2.2311870952873125</v>
      </c>
      <c r="E39" s="23">
        <f t="shared" si="9"/>
        <v>1.5434558961706424</v>
      </c>
      <c r="F39" s="23">
        <f t="shared" si="9"/>
        <v>1.907040743642896</v>
      </c>
      <c r="G39" s="23">
        <f t="shared" si="9"/>
        <v>1.5990231001454358</v>
      </c>
      <c r="H39" s="23">
        <f t="shared" si="9"/>
        <v>1.2872588628398685</v>
      </c>
      <c r="I39" s="23">
        <f t="shared" si="9"/>
        <v>1.5741675766456797</v>
      </c>
      <c r="J39" s="23">
        <f t="shared" si="9"/>
        <v>2.8036590433671682</v>
      </c>
      <c r="K39" s="23">
        <f t="shared" si="9"/>
        <v>2.0391299204612023</v>
      </c>
      <c r="L39" s="23">
        <f t="shared" si="9"/>
        <v>0.43656411575998533</v>
      </c>
      <c r="M39" s="23" t="e">
        <f>((((M24/M13))^(1/11))-1)*100</f>
        <v>#DIV/0!</v>
      </c>
      <c r="N39" s="23">
        <f>((((N24/N13))^(1/11))-1)*100</f>
        <v>1.8153791276047659</v>
      </c>
      <c r="O39" s="23">
        <f>((((O24/O13))^(1/11))-1)*100</f>
        <v>0.90360703542997634</v>
      </c>
      <c r="P39" s="23">
        <f>((((P24/P13))^(1/11))-1)*100</f>
        <v>2.3800008404873063</v>
      </c>
      <c r="Q39" s="23">
        <f>((((Q24/Q13))^(1/11))-1)*100</f>
        <v>1.1830029404579889</v>
      </c>
      <c r="T39" s="114"/>
      <c r="U39" s="114"/>
      <c r="V39" s="114"/>
      <c r="W39" s="114"/>
      <c r="X39" s="114"/>
      <c r="Y39" s="114"/>
      <c r="Z39" s="114"/>
      <c r="AA39" s="114"/>
      <c r="AB39" s="114"/>
      <c r="AC39" s="114"/>
      <c r="AD39" s="114"/>
    </row>
    <row r="40" spans="1:30">
      <c r="A40" s="448" t="s">
        <v>809</v>
      </c>
      <c r="B40" s="644">
        <f t="shared" ref="B40:L40" si="10">((((B29/B24))^(1/5))-1)*100</f>
        <v>1.490905998736225</v>
      </c>
      <c r="C40" s="644">
        <f t="shared" si="10"/>
        <v>5.1468100794923588</v>
      </c>
      <c r="D40" s="644">
        <f t="shared" si="10"/>
        <v>1.8284688055164589</v>
      </c>
      <c r="E40" s="644">
        <f t="shared" si="10"/>
        <v>2.0627795811613225</v>
      </c>
      <c r="F40" s="644">
        <f t="shared" si="10"/>
        <v>2.7345722263277583</v>
      </c>
      <c r="G40" s="644">
        <f t="shared" si="10"/>
        <v>1.2452469841086611</v>
      </c>
      <c r="H40" s="644">
        <f t="shared" si="10"/>
        <v>0.90606389631149309</v>
      </c>
      <c r="I40" s="644">
        <f t="shared" si="10"/>
        <v>1.1397714720390972</v>
      </c>
      <c r="J40" s="644">
        <f t="shared" si="10"/>
        <v>2.5699933737491243</v>
      </c>
      <c r="K40" s="644">
        <f t="shared" si="10"/>
        <v>1.3510264641751979</v>
      </c>
      <c r="L40" s="644">
        <f t="shared" si="10"/>
        <v>2.1226885997363665</v>
      </c>
      <c r="M40" s="644" t="e">
        <f>((((M28/M24))^(1/4))-1)*100</f>
        <v>#DIV/0!</v>
      </c>
      <c r="N40" s="644">
        <f>((((N28/N24))^(1/4))-1)*100</f>
        <v>-4.0824923693157373</v>
      </c>
      <c r="O40" s="644">
        <f>((((O28/O24))^(1/4))-1)*100</f>
        <v>-2.0625160468759729</v>
      </c>
      <c r="P40" s="644">
        <f>((((P28/P24))^(1/4))-1)*100</f>
        <v>-2.8021318850663168</v>
      </c>
      <c r="Q40" s="644">
        <f>((((Q28/Q24))^(1/4))-1)*100</f>
        <v>-1.4110208416104553</v>
      </c>
    </row>
    <row r="41" spans="1:30">
      <c r="A41" s="448" t="s">
        <v>818</v>
      </c>
      <c r="B41" s="644">
        <f t="shared" ref="B41:L41" si="11">((((B30/B24))^(1/6))-1)*100</f>
        <v>1.5918132513345951</v>
      </c>
      <c r="C41" s="644">
        <f t="shared" si="11"/>
        <v>4.9246992946517132</v>
      </c>
      <c r="D41" s="644">
        <f t="shared" si="11"/>
        <v>1.9462437155594703</v>
      </c>
      <c r="E41" s="644">
        <f t="shared" si="11"/>
        <v>1.8724588727599523</v>
      </c>
      <c r="F41" s="644">
        <f t="shared" si="11"/>
        <v>2.7428248610632533</v>
      </c>
      <c r="G41" s="644">
        <f t="shared" si="11"/>
        <v>1.2044666873030518</v>
      </c>
      <c r="H41" s="644">
        <f t="shared" si="11"/>
        <v>1.0053721938569238</v>
      </c>
      <c r="I41" s="644">
        <f t="shared" si="11"/>
        <v>1.5281325165232174</v>
      </c>
      <c r="J41" s="644">
        <f t="shared" si="11"/>
        <v>2.1238732468299437</v>
      </c>
      <c r="K41" s="644">
        <f t="shared" si="11"/>
        <v>1.6215809477716947</v>
      </c>
      <c r="L41" s="644">
        <f t="shared" si="11"/>
        <v>2.3167611709804525</v>
      </c>
      <c r="M41" s="644"/>
      <c r="N41" s="644"/>
      <c r="O41" s="644"/>
      <c r="P41" s="644"/>
      <c r="Q41" s="644"/>
    </row>
    <row r="42" spans="1:30">
      <c r="A42" s="448" t="s">
        <v>449</v>
      </c>
      <c r="B42" s="644">
        <f>((((B31/B24))^(1/7))-1)*100</f>
        <v>1.591823152139682</v>
      </c>
      <c r="C42" s="644">
        <f t="shared" ref="C42:L42" si="12">((((C31/C24))^(1/7))-1)*100</f>
        <v>5.6164159765022648</v>
      </c>
      <c r="D42" s="644">
        <f t="shared" si="12"/>
        <v>2.0029751628760861</v>
      </c>
      <c r="E42" s="644">
        <f t="shared" si="12"/>
        <v>1.8714466465392876</v>
      </c>
      <c r="F42" s="644">
        <f t="shared" si="12"/>
        <v>2.5970961062905751</v>
      </c>
      <c r="G42" s="644">
        <f t="shared" si="12"/>
        <v>1.306754396400045</v>
      </c>
      <c r="H42" s="644">
        <f t="shared" si="12"/>
        <v>1.0431021927704176</v>
      </c>
      <c r="I42" s="644">
        <f t="shared" si="12"/>
        <v>1.6600002718234919</v>
      </c>
      <c r="J42" s="644">
        <f t="shared" si="12"/>
        <v>2.0628864998056162</v>
      </c>
      <c r="K42" s="644">
        <f t="shared" si="12"/>
        <v>1.4625282188661659</v>
      </c>
      <c r="L42" s="644">
        <f t="shared" si="12"/>
        <v>2.1879701866336587</v>
      </c>
      <c r="M42" s="644" t="e">
        <f>((((M29/M24))^(1/5))-1)*100</f>
        <v>#DIV/0!</v>
      </c>
      <c r="N42" s="644">
        <f>((((N29/N24))^(1/5))-1)*100</f>
        <v>-2.3215650500042262</v>
      </c>
      <c r="O42" s="644">
        <f>((((O29/O24))^(1/5))-1)*100</f>
        <v>-1.1675989616786842</v>
      </c>
      <c r="P42" s="644">
        <f>((((P29/P24))^(1/5))-1)*100</f>
        <v>-0.95985913479470497</v>
      </c>
      <c r="Q42" s="644">
        <f>((((Q29/Q24))^(1/5))-1)*100</f>
        <v>-0.48108678989440268</v>
      </c>
    </row>
    <row r="43" spans="1:30">
      <c r="A43" s="448" t="s">
        <v>1410</v>
      </c>
      <c r="B43" s="644">
        <f>((((B32/B24))^(1/8))-1)*100</f>
        <v>1.3036913647114678</v>
      </c>
      <c r="C43" s="644">
        <f t="shared" ref="C43:L43" si="13">((((C32/C24))^(1/8))-1)*100</f>
        <v>4.8537309428270392</v>
      </c>
      <c r="D43" s="644">
        <f t="shared" si="13"/>
        <v>1.7099373087569703</v>
      </c>
      <c r="E43" s="644">
        <f t="shared" si="13"/>
        <v>1.8603527179758883</v>
      </c>
      <c r="F43" s="644">
        <f t="shared" si="13"/>
        <v>2.2290760311527658</v>
      </c>
      <c r="G43" s="644">
        <f t="shared" si="13"/>
        <v>1.1714549040915845</v>
      </c>
      <c r="H43" s="644">
        <f t="shared" si="13"/>
        <v>0.72778752965190208</v>
      </c>
      <c r="I43" s="644">
        <f t="shared" si="13"/>
        <v>1.5935642169934594</v>
      </c>
      <c r="J43" s="644">
        <f t="shared" si="13"/>
        <v>2.1424950465024128</v>
      </c>
      <c r="K43" s="644">
        <f t="shared" si="13"/>
        <v>0.98589773861155194</v>
      </c>
      <c r="L43" s="644">
        <f t="shared" si="13"/>
        <v>1.6677739361878441</v>
      </c>
      <c r="M43" s="644"/>
      <c r="N43" s="644"/>
      <c r="O43" s="644"/>
      <c r="P43" s="644"/>
      <c r="Q43" s="644"/>
    </row>
    <row r="44" spans="1:30">
      <c r="A44" s="2"/>
      <c r="D44" s="27" t="s">
        <v>276</v>
      </c>
      <c r="N44" s="10"/>
      <c r="O44" s="10"/>
      <c r="P44" s="10"/>
      <c r="Q44" s="10"/>
    </row>
    <row r="45" spans="1:30">
      <c r="A45" s="448" t="s">
        <v>1408</v>
      </c>
      <c r="B45" s="10">
        <f>(B32/B5-1)*100</f>
        <v>52.600902691285235</v>
      </c>
      <c r="C45" s="10">
        <f t="shared" ref="C45:Q45" si="14">(C32/C5-1)*100</f>
        <v>137.9548465956002</v>
      </c>
      <c r="D45" s="10">
        <f t="shared" si="14"/>
        <v>75.164278230298805</v>
      </c>
      <c r="E45" s="10">
        <f t="shared" si="14"/>
        <v>67.64239734991304</v>
      </c>
      <c r="F45" s="10">
        <f t="shared" si="14"/>
        <v>84.73599586381151</v>
      </c>
      <c r="G45" s="10">
        <f t="shared" si="14"/>
        <v>46.350491361209038</v>
      </c>
      <c r="H45" s="10">
        <f t="shared" si="14"/>
        <v>44.676476202648274</v>
      </c>
      <c r="I45" s="10">
        <f t="shared" si="14"/>
        <v>48.410036686970194</v>
      </c>
      <c r="J45" s="10">
        <f t="shared" si="14"/>
        <v>70.801406770428656</v>
      </c>
      <c r="K45" s="10">
        <f t="shared" si="14"/>
        <v>45.775691247758886</v>
      </c>
      <c r="L45" s="10">
        <f t="shared" si="14"/>
        <v>25.277816623108862</v>
      </c>
      <c r="M45" s="10" t="e">
        <f t="shared" si="14"/>
        <v>#DIV/0!</v>
      </c>
      <c r="N45" s="10">
        <f t="shared" si="14"/>
        <v>-100</v>
      </c>
      <c r="O45" s="10">
        <f t="shared" si="14"/>
        <v>-100</v>
      </c>
      <c r="P45" s="10">
        <f t="shared" si="14"/>
        <v>-100</v>
      </c>
      <c r="Q45" s="10">
        <f t="shared" si="14"/>
        <v>-100</v>
      </c>
    </row>
    <row r="46" spans="1:30">
      <c r="M46" s="10"/>
      <c r="N46" s="10"/>
      <c r="O46" s="10"/>
      <c r="P46" s="10"/>
      <c r="Q46" s="10"/>
    </row>
    <row r="47" spans="1:30">
      <c r="A47" s="1170" t="s">
        <v>1721</v>
      </c>
      <c r="B47" s="1170"/>
      <c r="C47" s="1170"/>
      <c r="D47" s="1170"/>
      <c r="E47" s="1170"/>
      <c r="F47" s="1170"/>
      <c r="G47" s="1170"/>
      <c r="H47" s="1170"/>
      <c r="I47" s="1170"/>
      <c r="J47" s="1170"/>
      <c r="K47" s="1170"/>
      <c r="L47" s="1170"/>
    </row>
    <row r="48" spans="1:30">
      <c r="A48" s="4" t="s">
        <v>1718</v>
      </c>
    </row>
    <row r="49" spans="1:12">
      <c r="A49" s="1" t="s">
        <v>388</v>
      </c>
    </row>
    <row r="51" spans="1:12" ht="12.75" hidden="1" customHeight="1">
      <c r="B51" s="1" t="s">
        <v>278</v>
      </c>
    </row>
    <row r="52" spans="1:12" hidden="1">
      <c r="B52" s="1" t="s">
        <v>279</v>
      </c>
    </row>
    <row r="53" spans="1:12" hidden="1">
      <c r="B53" s="1">
        <v>1981</v>
      </c>
      <c r="C53" s="300">
        <f>C5-$B5</f>
        <v>-9785.7532767148332</v>
      </c>
      <c r="D53" s="300">
        <f t="shared" ref="D53:L53" si="15">D5-$B5</f>
        <v>-8973.2238869703142</v>
      </c>
      <c r="E53" s="300">
        <f t="shared" si="15"/>
        <v>-7390.9763479700669</v>
      </c>
      <c r="F53" s="300">
        <f t="shared" si="15"/>
        <v>-8931.1194092385595</v>
      </c>
      <c r="G53" s="300">
        <f t="shared" si="15"/>
        <v>-2385.7940231750981</v>
      </c>
      <c r="H53" s="300">
        <f t="shared" si="15"/>
        <v>2472.3475179115048</v>
      </c>
      <c r="I53" s="300">
        <f t="shared" si="15"/>
        <v>-2281.8039752248915</v>
      </c>
      <c r="J53" s="300">
        <f t="shared" si="15"/>
        <v>-2113.8562439265042</v>
      </c>
      <c r="K53" s="300">
        <f t="shared" si="15"/>
        <v>9722.2085289145689</v>
      </c>
      <c r="L53" s="300">
        <f t="shared" si="15"/>
        <v>3820.252676302156</v>
      </c>
    </row>
    <row r="54" spans="1:12" hidden="1">
      <c r="B54" s="1">
        <v>1982</v>
      </c>
      <c r="C54" s="300">
        <f t="shared" ref="C54:L69" si="16">C6-$B6</f>
        <v>-8554.6682759834621</v>
      </c>
      <c r="D54" s="300">
        <f t="shared" si="16"/>
        <v>-7794.396514883425</v>
      </c>
      <c r="E54" s="300">
        <f t="shared" si="16"/>
        <v>-5737.01184157424</v>
      </c>
      <c r="F54" s="300">
        <f t="shared" si="16"/>
        <v>-7612.3572583746864</v>
      </c>
      <c r="G54" s="300">
        <f t="shared" si="16"/>
        <v>-2320.1143281554469</v>
      </c>
      <c r="H54" s="300">
        <f t="shared" si="16"/>
        <v>2391.978381233228</v>
      </c>
      <c r="I54" s="300">
        <f t="shared" si="16"/>
        <v>-2095.4741457906166</v>
      </c>
      <c r="J54" s="300">
        <f t="shared" si="16"/>
        <v>-1778.9837917446312</v>
      </c>
      <c r="K54" s="300">
        <f t="shared" si="16"/>
        <v>8437.5201287589734</v>
      </c>
      <c r="L54" s="300">
        <f t="shared" si="16"/>
        <v>2517.7387369358257</v>
      </c>
    </row>
    <row r="55" spans="1:12" hidden="1">
      <c r="B55" s="1">
        <v>1983</v>
      </c>
      <c r="C55" s="300">
        <f t="shared" si="16"/>
        <v>-8620.7010309595425</v>
      </c>
      <c r="D55" s="300">
        <f t="shared" si="16"/>
        <v>-6803.4959288732243</v>
      </c>
      <c r="E55" s="300">
        <f t="shared" si="16"/>
        <v>-5892.1224312979102</v>
      </c>
      <c r="F55" s="300">
        <f t="shared" si="16"/>
        <v>-7007.66985997546</v>
      </c>
      <c r="G55" s="300">
        <f t="shared" si="16"/>
        <v>-2395.4025264465345</v>
      </c>
      <c r="H55" s="300">
        <f t="shared" si="16"/>
        <v>2824.2164027983235</v>
      </c>
      <c r="I55" s="300">
        <f t="shared" si="16"/>
        <v>-2652.6836850826512</v>
      </c>
      <c r="J55" s="300">
        <f t="shared" si="16"/>
        <v>-1866.2160430966615</v>
      </c>
      <c r="K55" s="300">
        <f t="shared" si="16"/>
        <v>7332.5070754344124</v>
      </c>
      <c r="L55" s="300">
        <f t="shared" si="16"/>
        <v>1984.3995461589293</v>
      </c>
    </row>
    <row r="56" spans="1:12" hidden="1">
      <c r="B56" s="1">
        <v>1984</v>
      </c>
      <c r="C56" s="300">
        <f t="shared" si="16"/>
        <v>-9407.6245521678356</v>
      </c>
      <c r="D56" s="300">
        <f t="shared" si="16"/>
        <v>-7825.3140876971374</v>
      </c>
      <c r="E56" s="300">
        <f t="shared" si="16"/>
        <v>-6123.8728290720901</v>
      </c>
      <c r="F56" s="300">
        <f t="shared" si="16"/>
        <v>-7996.9250637285513</v>
      </c>
      <c r="G56" s="300">
        <f t="shared" si="16"/>
        <v>-2713.6639927420874</v>
      </c>
      <c r="H56" s="300">
        <f t="shared" si="16"/>
        <v>3435.5973649476255</v>
      </c>
      <c r="I56" s="300">
        <f t="shared" si="16"/>
        <v>-2283.6110408170462</v>
      </c>
      <c r="J56" s="300">
        <f t="shared" si="16"/>
        <v>-2940.1918610813518</v>
      </c>
      <c r="K56" s="300">
        <f t="shared" si="16"/>
        <v>7460.5822711035653</v>
      </c>
      <c r="L56" s="300">
        <f t="shared" si="16"/>
        <v>593.61828569407953</v>
      </c>
    </row>
    <row r="57" spans="1:12" hidden="1">
      <c r="B57" s="1">
        <v>1985</v>
      </c>
      <c r="C57" s="300">
        <f t="shared" si="16"/>
        <v>-10176.49650460952</v>
      </c>
      <c r="D57" s="300">
        <f t="shared" si="16"/>
        <v>-9098.9218481605458</v>
      </c>
      <c r="E57" s="300">
        <f t="shared" si="16"/>
        <v>-6363.13596234328</v>
      </c>
      <c r="F57" s="300">
        <f t="shared" si="16"/>
        <v>-8523.528913870472</v>
      </c>
      <c r="G57" s="300">
        <f t="shared" si="16"/>
        <v>-3087.7329341197292</v>
      </c>
      <c r="H57" s="300">
        <f t="shared" si="16"/>
        <v>3201.6825636648464</v>
      </c>
      <c r="I57" s="300">
        <f t="shared" si="16"/>
        <v>-2011.0733787380086</v>
      </c>
      <c r="J57" s="300">
        <f t="shared" si="16"/>
        <v>-3597.7408674938015</v>
      </c>
      <c r="K57" s="300">
        <f t="shared" si="16"/>
        <v>9017.6863737268759</v>
      </c>
      <c r="L57" s="300">
        <f t="shared" si="16"/>
        <v>1210.3373837309409</v>
      </c>
    </row>
    <row r="58" spans="1:12" hidden="1">
      <c r="B58" s="1">
        <v>1986</v>
      </c>
      <c r="C58" s="300">
        <f t="shared" si="16"/>
        <v>-10439.440582512154</v>
      </c>
      <c r="D58" s="300">
        <f t="shared" si="16"/>
        <v>-8776.7169307660442</v>
      </c>
      <c r="E58" s="300">
        <f t="shared" si="16"/>
        <v>-6371.6055325046909</v>
      </c>
      <c r="F58" s="300">
        <f t="shared" si="16"/>
        <v>-7625.4915686315289</v>
      </c>
      <c r="G58" s="300">
        <f t="shared" si="16"/>
        <v>-3143.9955683479457</v>
      </c>
      <c r="H58" s="300">
        <f t="shared" si="16"/>
        <v>3597.7286270051845</v>
      </c>
      <c r="I58" s="300">
        <f t="shared" si="16"/>
        <v>-2521.6432315775965</v>
      </c>
      <c r="J58" s="300">
        <f t="shared" si="16"/>
        <v>-2687.811277745157</v>
      </c>
      <c r="K58" s="300">
        <f t="shared" si="16"/>
        <v>7410.9979947302709</v>
      </c>
      <c r="L58" s="300">
        <f t="shared" si="16"/>
        <v>605.06311775383438</v>
      </c>
    </row>
    <row r="59" spans="1:12" hidden="1">
      <c r="B59" s="1">
        <v>1987</v>
      </c>
      <c r="C59" s="300">
        <f t="shared" si="16"/>
        <v>-10626.288136233241</v>
      </c>
      <c r="D59" s="300">
        <f t="shared" si="16"/>
        <v>-9343.3321692772442</v>
      </c>
      <c r="E59" s="300">
        <f t="shared" si="16"/>
        <v>-6605.4167466544386</v>
      </c>
      <c r="F59" s="300">
        <f t="shared" si="16"/>
        <v>-7454.05696652806</v>
      </c>
      <c r="G59" s="300">
        <f t="shared" si="16"/>
        <v>-3181.3173161184568</v>
      </c>
      <c r="H59" s="300">
        <f t="shared" si="16"/>
        <v>3665.4120017884234</v>
      </c>
      <c r="I59" s="300">
        <f t="shared" si="16"/>
        <v>-3135.6907065825762</v>
      </c>
      <c r="J59" s="300">
        <f t="shared" si="16"/>
        <v>-3490.8453086602567</v>
      </c>
      <c r="K59" s="300">
        <f t="shared" si="16"/>
        <v>7172.6009731199374</v>
      </c>
      <c r="L59" s="300">
        <f t="shared" si="16"/>
        <v>1110.6666989370497</v>
      </c>
    </row>
    <row r="60" spans="1:12" hidden="1">
      <c r="B60" s="1">
        <v>1988</v>
      </c>
      <c r="C60" s="300">
        <f t="shared" si="16"/>
        <v>-10525.455896334774</v>
      </c>
      <c r="D60" s="300">
        <f t="shared" si="16"/>
        <v>-9842.486059310515</v>
      </c>
      <c r="E60" s="300">
        <f t="shared" si="16"/>
        <v>-7464.2631291008656</v>
      </c>
      <c r="F60" s="300">
        <f t="shared" si="16"/>
        <v>-8422.492034593768</v>
      </c>
      <c r="G60" s="300">
        <f t="shared" si="16"/>
        <v>-3268.3044267850237</v>
      </c>
      <c r="H60" s="300">
        <f t="shared" si="16"/>
        <v>3679.4408896363384</v>
      </c>
      <c r="I60" s="300">
        <f t="shared" si="16"/>
        <v>-4408.3978167962887</v>
      </c>
      <c r="J60" s="300">
        <f t="shared" si="16"/>
        <v>-5278.7664295820068</v>
      </c>
      <c r="K60" s="300">
        <f t="shared" si="16"/>
        <v>8776.7938172024733</v>
      </c>
      <c r="L60" s="300">
        <f t="shared" si="16"/>
        <v>1126.4283113430538</v>
      </c>
    </row>
    <row r="61" spans="1:12" hidden="1">
      <c r="B61" s="1">
        <v>1989</v>
      </c>
      <c r="C61" s="300">
        <f t="shared" si="16"/>
        <v>-10007.867742614788</v>
      </c>
      <c r="D61" s="300">
        <f t="shared" si="16"/>
        <v>-9698.3260196737101</v>
      </c>
      <c r="E61" s="300">
        <f t="shared" si="16"/>
        <v>-7380.4937825924972</v>
      </c>
      <c r="F61" s="300">
        <f t="shared" si="16"/>
        <v>-8649.1870708011375</v>
      </c>
      <c r="G61" s="300">
        <f t="shared" si="16"/>
        <v>-3690.0931713437931</v>
      </c>
      <c r="H61" s="300">
        <f t="shared" si="16"/>
        <v>3640.7886381958015</v>
      </c>
      <c r="I61" s="300">
        <f t="shared" si="16"/>
        <v>-4013.3802641653783</v>
      </c>
      <c r="J61" s="300">
        <f t="shared" si="16"/>
        <v>-4734.3905677426665</v>
      </c>
      <c r="K61" s="300">
        <f t="shared" si="16"/>
        <v>8420.419467815329</v>
      </c>
      <c r="L61" s="300">
        <f t="shared" si="16"/>
        <v>1057.638214939212</v>
      </c>
    </row>
    <row r="62" spans="1:12" hidden="1">
      <c r="B62" s="1">
        <v>1990</v>
      </c>
      <c r="C62" s="300">
        <f t="shared" si="16"/>
        <v>-9612.0257222688597</v>
      </c>
      <c r="D62" s="300">
        <f t="shared" si="16"/>
        <v>-9187.415927502454</v>
      </c>
      <c r="E62" s="300">
        <f t="shared" si="16"/>
        <v>-7202.1309077616788</v>
      </c>
      <c r="F62" s="300">
        <f t="shared" si="16"/>
        <v>-8482.1044863866628</v>
      </c>
      <c r="G62" s="300">
        <f t="shared" si="16"/>
        <v>-3459.6208993327782</v>
      </c>
      <c r="H62" s="300">
        <f t="shared" si="16"/>
        <v>2866.1333930315086</v>
      </c>
      <c r="I62" s="300">
        <f t="shared" si="16"/>
        <v>-3010.2485190178122</v>
      </c>
      <c r="J62" s="300">
        <f t="shared" si="16"/>
        <v>-2227.237663534328</v>
      </c>
      <c r="K62" s="300">
        <f t="shared" si="16"/>
        <v>8952.6847227631115</v>
      </c>
      <c r="L62" s="300">
        <f t="shared" si="16"/>
        <v>1024.1191570525771</v>
      </c>
    </row>
    <row r="63" spans="1:12" hidden="1">
      <c r="B63" s="1">
        <v>1991</v>
      </c>
      <c r="C63" s="300">
        <f t="shared" si="16"/>
        <v>-8606.9343574192317</v>
      </c>
      <c r="D63" s="300">
        <f t="shared" si="16"/>
        <v>-8259.0762585181583</v>
      </c>
      <c r="E63" s="300">
        <f t="shared" si="16"/>
        <v>-6525.4343703723061</v>
      </c>
      <c r="F63" s="300">
        <f t="shared" si="16"/>
        <v>-7665.4124871534732</v>
      </c>
      <c r="G63" s="300">
        <f t="shared" si="16"/>
        <v>-3446.2425733886666</v>
      </c>
      <c r="H63" s="300">
        <f t="shared" si="16"/>
        <v>2154.105362387847</v>
      </c>
      <c r="I63" s="300">
        <f t="shared" si="16"/>
        <v>-3015.2727215133236</v>
      </c>
      <c r="J63" s="300">
        <f t="shared" si="16"/>
        <v>-790.69128037265546</v>
      </c>
      <c r="K63" s="300">
        <f t="shared" si="16"/>
        <v>9430.2647667999227</v>
      </c>
      <c r="L63" s="300">
        <f t="shared" si="16"/>
        <v>1273.2708808394273</v>
      </c>
    </row>
    <row r="64" spans="1:12" hidden="1">
      <c r="B64" s="1">
        <v>1992</v>
      </c>
      <c r="C64" s="300">
        <f t="shared" si="16"/>
        <v>-8838.3462570006814</v>
      </c>
      <c r="D64" s="300">
        <f t="shared" si="16"/>
        <v>-7704.3883208370717</v>
      </c>
      <c r="E64" s="300">
        <f t="shared" si="16"/>
        <v>-6252.0174927206936</v>
      </c>
      <c r="F64" s="300">
        <f t="shared" si="16"/>
        <v>-7321.9727245375871</v>
      </c>
      <c r="G64" s="300">
        <f t="shared" si="16"/>
        <v>-3403.315867171943</v>
      </c>
      <c r="H64" s="300">
        <f t="shared" si="16"/>
        <v>2086.5519354407952</v>
      </c>
      <c r="I64" s="300">
        <f t="shared" si="16"/>
        <v>-2754.9831650479791</v>
      </c>
      <c r="J64" s="300">
        <f t="shared" si="16"/>
        <v>-1818.1724348923344</v>
      </c>
      <c r="K64" s="300">
        <f t="shared" si="16"/>
        <v>9260.0225909191067</v>
      </c>
      <c r="L64" s="300">
        <f t="shared" si="16"/>
        <v>1305.8939834955127</v>
      </c>
    </row>
    <row r="65" spans="2:12" hidden="1">
      <c r="B65" s="1">
        <v>1993</v>
      </c>
      <c r="C65" s="300">
        <f t="shared" si="16"/>
        <v>-9015.8956404218625</v>
      </c>
      <c r="D65" s="300">
        <f t="shared" si="16"/>
        <v>-7995.8648540527247</v>
      </c>
      <c r="E65" s="300">
        <f t="shared" si="16"/>
        <v>-6460.1016348751982</v>
      </c>
      <c r="F65" s="300">
        <f t="shared" si="16"/>
        <v>-7049.9463760645922</v>
      </c>
      <c r="G65" s="300">
        <f t="shared" si="16"/>
        <v>-3399.8045239914063</v>
      </c>
      <c r="H65" s="300">
        <f t="shared" si="16"/>
        <v>1697.6005928962077</v>
      </c>
      <c r="I65" s="300">
        <f t="shared" si="16"/>
        <v>-3095.5441629865491</v>
      </c>
      <c r="J65" s="300">
        <f t="shared" si="16"/>
        <v>-465.47536859067986</v>
      </c>
      <c r="K65" s="300">
        <f t="shared" si="16"/>
        <v>11132.630063770634</v>
      </c>
      <c r="L65" s="300">
        <f t="shared" si="16"/>
        <v>1447.0537146693387</v>
      </c>
    </row>
    <row r="66" spans="2:12" hidden="1">
      <c r="B66" s="1">
        <v>1994</v>
      </c>
      <c r="C66" s="300">
        <f t="shared" si="16"/>
        <v>-9018.0192913468491</v>
      </c>
      <c r="D66" s="300">
        <f t="shared" si="16"/>
        <v>-8245.4203154661627</v>
      </c>
      <c r="E66" s="300">
        <f t="shared" si="16"/>
        <v>-7508.4445836594132</v>
      </c>
      <c r="F66" s="300">
        <f t="shared" si="16"/>
        <v>-7696.5705751570677</v>
      </c>
      <c r="G66" s="300">
        <f t="shared" si="16"/>
        <v>-3475.447140187247</v>
      </c>
      <c r="H66" s="300">
        <f t="shared" si="16"/>
        <v>2062.1261622596357</v>
      </c>
      <c r="I66" s="300">
        <f t="shared" si="16"/>
        <v>-3265.1843389352071</v>
      </c>
      <c r="J66" s="300">
        <f t="shared" si="16"/>
        <v>-385.50247283656063</v>
      </c>
      <c r="K66" s="300">
        <f t="shared" si="16"/>
        <v>12036.509171566016</v>
      </c>
      <c r="L66" s="300">
        <f t="shared" si="16"/>
        <v>310.45338159288076</v>
      </c>
    </row>
    <row r="67" spans="2:12" hidden="1">
      <c r="B67" s="1">
        <v>1995</v>
      </c>
      <c r="C67" s="300">
        <f t="shared" si="16"/>
        <v>-8781.8364866240299</v>
      </c>
      <c r="D67" s="300">
        <f t="shared" si="16"/>
        <v>-7526.4078890051751</v>
      </c>
      <c r="E67" s="300">
        <f t="shared" si="16"/>
        <v>-7689.4816754768981</v>
      </c>
      <c r="F67" s="300">
        <f t="shared" si="16"/>
        <v>-7506.7168963420008</v>
      </c>
      <c r="G67" s="300">
        <f t="shared" si="16"/>
        <v>-3639.5025059978398</v>
      </c>
      <c r="H67" s="300">
        <f t="shared" si="16"/>
        <v>2277.7552693101788</v>
      </c>
      <c r="I67" s="300">
        <f t="shared" si="16"/>
        <v>-3859.0826205478115</v>
      </c>
      <c r="J67" s="300">
        <f t="shared" si="16"/>
        <v>-713.63468846272008</v>
      </c>
      <c r="K67" s="300">
        <f t="shared" si="16"/>
        <v>12322.495682643024</v>
      </c>
      <c r="L67" s="300">
        <f t="shared" si="16"/>
        <v>-321.3809632198936</v>
      </c>
    </row>
    <row r="68" spans="2:12" hidden="1">
      <c r="B68" s="1">
        <v>1996</v>
      </c>
      <c r="C68" s="300">
        <f t="shared" si="16"/>
        <v>-9704.6512278735572</v>
      </c>
      <c r="D68" s="300">
        <f t="shared" si="16"/>
        <v>-7274.4365191371908</v>
      </c>
      <c r="E68" s="300">
        <f t="shared" si="16"/>
        <v>-7806.3190466473752</v>
      </c>
      <c r="F68" s="300">
        <f t="shared" si="16"/>
        <v>-7590.0645284491693</v>
      </c>
      <c r="G68" s="300">
        <f t="shared" si="16"/>
        <v>-3688.9103345739204</v>
      </c>
      <c r="H68" s="300">
        <f t="shared" si="16"/>
        <v>2061.4447970699366</v>
      </c>
      <c r="I68" s="300">
        <f t="shared" si="16"/>
        <v>-3365.6987372506846</v>
      </c>
      <c r="J68" s="300">
        <f t="shared" si="16"/>
        <v>-178.58469653651628</v>
      </c>
      <c r="K68" s="300">
        <f t="shared" si="16"/>
        <v>12331.552956377902</v>
      </c>
      <c r="L68" s="300">
        <f t="shared" si="16"/>
        <v>-542.53374250964771</v>
      </c>
    </row>
    <row r="69" spans="2:12" hidden="1">
      <c r="B69" s="1">
        <v>1997</v>
      </c>
      <c r="C69" s="300">
        <f t="shared" si="16"/>
        <v>-10090.265621350132</v>
      </c>
      <c r="D69" s="300">
        <f t="shared" si="16"/>
        <v>-8220.4238468381009</v>
      </c>
      <c r="E69" s="300">
        <f t="shared" si="16"/>
        <v>-7836.2772988682955</v>
      </c>
      <c r="F69" s="300">
        <f t="shared" si="16"/>
        <v>-8302.954356370974</v>
      </c>
      <c r="G69" s="300">
        <f t="shared" si="16"/>
        <v>-3900.0861284942875</v>
      </c>
      <c r="H69" s="300">
        <f t="shared" si="16"/>
        <v>2099.2981455022527</v>
      </c>
      <c r="I69" s="300">
        <f t="shared" si="16"/>
        <v>-3378.0122427190581</v>
      </c>
      <c r="J69" s="300">
        <f t="shared" si="16"/>
        <v>56.392773934996512</v>
      </c>
      <c r="K69" s="300">
        <f t="shared" si="16"/>
        <v>13407.626672917431</v>
      </c>
      <c r="L69" s="300">
        <f t="shared" si="16"/>
        <v>-1154.8318954685965</v>
      </c>
    </row>
    <row r="70" spans="2:12" hidden="1">
      <c r="B70" s="1">
        <v>1998</v>
      </c>
      <c r="C70" s="300">
        <f t="shared" ref="C70:L77" si="17">C22-$B22</f>
        <v>-9480.9630968392084</v>
      </c>
      <c r="D70" s="300">
        <f t="shared" si="17"/>
        <v>-8126.2253752710894</v>
      </c>
      <c r="E70" s="300">
        <f t="shared" si="17"/>
        <v>-7963.9871362687081</v>
      </c>
      <c r="F70" s="300">
        <f t="shared" si="17"/>
        <v>-8400.4262305709635</v>
      </c>
      <c r="G70" s="300">
        <f t="shared" si="17"/>
        <v>-4134.4817982194909</v>
      </c>
      <c r="H70" s="300">
        <f t="shared" si="17"/>
        <v>2272.795318756609</v>
      </c>
      <c r="I70" s="300">
        <f t="shared" si="17"/>
        <v>-3245.1233948440313</v>
      </c>
      <c r="J70" s="300">
        <f t="shared" si="17"/>
        <v>398.71501745116257</v>
      </c>
      <c r="K70" s="300">
        <f t="shared" si="17"/>
        <v>13625.795838703882</v>
      </c>
      <c r="L70" s="300">
        <f t="shared" si="17"/>
        <v>-2053.0071075199121</v>
      </c>
    </row>
    <row r="71" spans="2:12" hidden="1">
      <c r="B71" s="1">
        <v>1999</v>
      </c>
      <c r="C71" s="300">
        <f t="shared" si="17"/>
        <v>-9447.6757350390726</v>
      </c>
      <c r="D71" s="300">
        <f t="shared" si="17"/>
        <v>-8716.5915897067534</v>
      </c>
      <c r="E71" s="300">
        <f t="shared" si="17"/>
        <v>-8200.4975667614162</v>
      </c>
      <c r="F71" s="300">
        <f t="shared" si="17"/>
        <v>-8423.6244571727257</v>
      </c>
      <c r="G71" s="300">
        <f t="shared" si="17"/>
        <v>-4017.7707705440953</v>
      </c>
      <c r="H71" s="300">
        <f t="shared" si="17"/>
        <v>2929.7024871061949</v>
      </c>
      <c r="I71" s="300">
        <f t="shared" si="17"/>
        <v>-4425.5237190909174</v>
      </c>
      <c r="J71" s="300">
        <f t="shared" si="17"/>
        <v>-967.04331488420576</v>
      </c>
      <c r="K71" s="300">
        <f t="shared" si="17"/>
        <v>11853.229768718062</v>
      </c>
      <c r="L71" s="300">
        <f t="shared" si="17"/>
        <v>-2817.0555436352042</v>
      </c>
    </row>
    <row r="72" spans="2:12" hidden="1">
      <c r="B72" s="1">
        <v>2000</v>
      </c>
      <c r="C72" s="300">
        <f t="shared" si="17"/>
        <v>-9344.8802641036091</v>
      </c>
      <c r="D72" s="300">
        <f t="shared" si="17"/>
        <v>-9717.5397293543647</v>
      </c>
      <c r="E72" s="300">
        <f t="shared" si="17"/>
        <v>-8846.0598379183357</v>
      </c>
      <c r="F72" s="300">
        <f t="shared" si="17"/>
        <v>-9324.0131731021756</v>
      </c>
      <c r="G72" s="300">
        <f t="shared" si="17"/>
        <v>-4288.9417427092849</v>
      </c>
      <c r="H72" s="300">
        <f t="shared" si="17"/>
        <v>3099.5439299674908</v>
      </c>
      <c r="I72" s="300">
        <f t="shared" si="17"/>
        <v>-4757.7212768372701</v>
      </c>
      <c r="J72" s="300">
        <f t="shared" si="17"/>
        <v>-1332.0070493185631</v>
      </c>
      <c r="K72" s="300">
        <f t="shared" si="17"/>
        <v>12370.629880610031</v>
      </c>
      <c r="L72" s="300">
        <f t="shared" si="17"/>
        <v>-3063.5200384236887</v>
      </c>
    </row>
    <row r="73" spans="2:12" hidden="1">
      <c r="B73" s="1">
        <v>2001</v>
      </c>
      <c r="C73" s="300">
        <f t="shared" si="17"/>
        <v>-8848.6756188614017</v>
      </c>
      <c r="D73" s="300">
        <f t="shared" si="17"/>
        <v>-10263.517617245649</v>
      </c>
      <c r="E73" s="300">
        <f t="shared" si="17"/>
        <v>-8193.4262700198742</v>
      </c>
      <c r="F73" s="300">
        <f t="shared" si="17"/>
        <v>-9126.7159237194828</v>
      </c>
      <c r="G73" s="300">
        <f t="shared" si="17"/>
        <v>-4228.7855945019255</v>
      </c>
      <c r="H73" s="300">
        <f t="shared" si="17"/>
        <v>2836.0067153849304</v>
      </c>
      <c r="I73" s="300">
        <f t="shared" si="17"/>
        <v>-4866.9829240901672</v>
      </c>
      <c r="J73" s="300">
        <f t="shared" si="17"/>
        <v>-1655.1070991590313</v>
      </c>
      <c r="K73" s="300">
        <f t="shared" si="17"/>
        <v>12095.555164557147</v>
      </c>
      <c r="L73" s="300">
        <f t="shared" si="17"/>
        <v>-3397.5838652146376</v>
      </c>
    </row>
    <row r="74" spans="2:12" hidden="1">
      <c r="B74" s="1">
        <v>2002</v>
      </c>
      <c r="C74" s="300">
        <f t="shared" si="17"/>
        <v>-5094.3440954501712</v>
      </c>
      <c r="D74" s="300">
        <f t="shared" si="17"/>
        <v>-9731.9190566330581</v>
      </c>
      <c r="E74" s="300">
        <f t="shared" si="17"/>
        <v>-7806.7497019136863</v>
      </c>
      <c r="F74" s="300">
        <f t="shared" si="17"/>
        <v>-8520.4581086966573</v>
      </c>
      <c r="G74" s="300">
        <f t="shared" si="17"/>
        <v>-4322.9954929775922</v>
      </c>
      <c r="H74" s="300">
        <f t="shared" si="17"/>
        <v>2742.8502950614347</v>
      </c>
      <c r="I74" s="300">
        <f t="shared" si="17"/>
        <v>-5162.3197368745023</v>
      </c>
      <c r="J74" s="300">
        <f t="shared" si="17"/>
        <v>-2317.775079831219</v>
      </c>
      <c r="K74" s="300">
        <f t="shared" si="17"/>
        <v>11367.269208444581</v>
      </c>
      <c r="L74" s="300">
        <f t="shared" si="17"/>
        <v>-3050.3960578235638</v>
      </c>
    </row>
    <row r="75" spans="2:12" hidden="1">
      <c r="B75" s="1">
        <v>2003</v>
      </c>
      <c r="C75" s="300">
        <f t="shared" si="17"/>
        <v>-3518.8676752054889</v>
      </c>
      <c r="D75" s="300">
        <f t="shared" si="17"/>
        <v>-9578.2877037199723</v>
      </c>
      <c r="E75" s="300">
        <f t="shared" si="17"/>
        <v>-7837.2188794233698</v>
      </c>
      <c r="F75" s="300">
        <f t="shared" si="17"/>
        <v>-8085.8345158011361</v>
      </c>
      <c r="G75" s="300">
        <f t="shared" si="17"/>
        <v>-4470.5627206530189</v>
      </c>
      <c r="H75" s="300">
        <f t="shared" si="17"/>
        <v>2446.1847571366379</v>
      </c>
      <c r="I75" s="300">
        <f t="shared" si="17"/>
        <v>-5289.2852491033846</v>
      </c>
      <c r="J75" s="300">
        <f t="shared" si="17"/>
        <v>-1057.4248745779769</v>
      </c>
      <c r="K75" s="300">
        <f t="shared" si="17"/>
        <v>11682.883480578348</v>
      </c>
      <c r="L75" s="300">
        <f t="shared" si="17"/>
        <v>-2818.1248205067459</v>
      </c>
    </row>
    <row r="76" spans="2:12" hidden="1">
      <c r="B76" s="1">
        <v>2004</v>
      </c>
      <c r="C76" s="300">
        <f t="shared" si="17"/>
        <v>-4664.0795748652599</v>
      </c>
      <c r="D76" s="300">
        <f t="shared" si="17"/>
        <v>-9743.3801054132928</v>
      </c>
      <c r="E76" s="300">
        <f t="shared" si="17"/>
        <v>-8405.9232072083287</v>
      </c>
      <c r="F76" s="300">
        <f t="shared" si="17"/>
        <v>-8055.942223387141</v>
      </c>
      <c r="G76" s="300">
        <f t="shared" si="17"/>
        <v>-4610.9053074502008</v>
      </c>
      <c r="H76" s="300">
        <f t="shared" si="17"/>
        <v>2176.088155133868</v>
      </c>
      <c r="I76" s="300">
        <f t="shared" si="17"/>
        <v>-5656.8598164182804</v>
      </c>
      <c r="J76" s="300">
        <f t="shared" si="17"/>
        <v>-77.725453282961098</v>
      </c>
      <c r="K76" s="300">
        <f t="shared" si="17"/>
        <v>12579.840454994737</v>
      </c>
      <c r="L76" s="300">
        <f t="shared" si="17"/>
        <v>-2646.9983178374096</v>
      </c>
    </row>
    <row r="77" spans="2:12" hidden="1">
      <c r="B77" s="1">
        <v>2005</v>
      </c>
      <c r="C77" s="300">
        <f t="shared" si="17"/>
        <v>-4533.3557095101569</v>
      </c>
      <c r="D77" s="300">
        <f t="shared" si="17"/>
        <v>-9992.3551654927869</v>
      </c>
      <c r="E77" s="300">
        <f t="shared" si="17"/>
        <v>-8696.2252950750408</v>
      </c>
      <c r="F77" s="300">
        <f t="shared" si="17"/>
        <v>-8245.0613475278296</v>
      </c>
      <c r="G77" s="300">
        <f t="shared" si="17"/>
        <v>-5027.9569231248242</v>
      </c>
      <c r="H77" s="300">
        <f t="shared" si="17"/>
        <v>2142.3053939421807</v>
      </c>
      <c r="I77" s="300">
        <f t="shared" si="17"/>
        <v>-5698.7243548176557</v>
      </c>
      <c r="J77" s="300">
        <f t="shared" si="17"/>
        <v>585.48688939098065</v>
      </c>
      <c r="K77" s="300">
        <f t="shared" si="17"/>
        <v>12963.705364736401</v>
      </c>
      <c r="L77" s="300">
        <f t="shared" si="17"/>
        <v>-2185.3938618263928</v>
      </c>
    </row>
    <row r="78" spans="2:12" hidden="1"/>
    <row r="79" spans="2:12" hidden="1">
      <c r="B79" s="1" t="s">
        <v>280</v>
      </c>
    </row>
    <row r="80" spans="2:12" hidden="1">
      <c r="B80" s="1">
        <v>1981</v>
      </c>
      <c r="C80" s="300">
        <f>C53^2</f>
        <v>95760967.192735091</v>
      </c>
      <c r="D80" s="300">
        <f t="shared" ref="D80:L80" si="18">D53^2</f>
        <v>80518746.92569463</v>
      </c>
      <c r="E80" s="300">
        <f t="shared" si="18"/>
        <v>54626531.376252949</v>
      </c>
      <c r="F80" s="300">
        <f t="shared" si="18"/>
        <v>79764893.90207772</v>
      </c>
      <c r="G80" s="300">
        <f t="shared" si="18"/>
        <v>5692013.1210180204</v>
      </c>
      <c r="H80" s="300">
        <f t="shared" si="18"/>
        <v>6112502.249323179</v>
      </c>
      <c r="I80" s="300">
        <f t="shared" si="18"/>
        <v>5206629.3813521173</v>
      </c>
      <c r="J80" s="300">
        <f t="shared" si="18"/>
        <v>4468388.2199870683</v>
      </c>
      <c r="K80" s="300">
        <f t="shared" si="18"/>
        <v>94521338.679699183</v>
      </c>
      <c r="L80" s="300">
        <f t="shared" si="18"/>
        <v>14594330.510793786</v>
      </c>
    </row>
    <row r="81" spans="2:12" hidden="1">
      <c r="B81" s="1">
        <v>1982</v>
      </c>
      <c r="C81" s="300">
        <f t="shared" ref="C81:L96" si="19">C54^2</f>
        <v>73182349.31211786</v>
      </c>
      <c r="D81" s="300">
        <f t="shared" si="19"/>
        <v>60752617.031226881</v>
      </c>
      <c r="E81" s="300">
        <f t="shared" si="19"/>
        <v>32913304.870363053</v>
      </c>
      <c r="F81" s="300">
        <f t="shared" si="19"/>
        <v>57947983.029129773</v>
      </c>
      <c r="G81" s="300">
        <f t="shared" si="19"/>
        <v>5382930.4957122002</v>
      </c>
      <c r="H81" s="300">
        <f t="shared" si="19"/>
        <v>5721560.5762871336</v>
      </c>
      <c r="I81" s="300">
        <f t="shared" si="19"/>
        <v>4391011.8956769146</v>
      </c>
      <c r="J81" s="300">
        <f t="shared" si="19"/>
        <v>3164783.3312901054</v>
      </c>
      <c r="K81" s="300">
        <f t="shared" si="19"/>
        <v>71191745.923212841</v>
      </c>
      <c r="L81" s="300">
        <f t="shared" si="19"/>
        <v>6339008.3474672073</v>
      </c>
    </row>
    <row r="82" spans="2:12" hidden="1">
      <c r="B82" s="1">
        <v>1983</v>
      </c>
      <c r="C82" s="300">
        <f t="shared" si="19"/>
        <v>74316486.265186921</v>
      </c>
      <c r="D82" s="300">
        <f t="shared" si="19"/>
        <v>46287556.854194537</v>
      </c>
      <c r="E82" s="300">
        <f t="shared" si="19"/>
        <v>34717106.745403998</v>
      </c>
      <c r="F82" s="300">
        <f t="shared" si="19"/>
        <v>49107436.866408482</v>
      </c>
      <c r="G82" s="300">
        <f t="shared" si="19"/>
        <v>5737953.2637064401</v>
      </c>
      <c r="H82" s="300">
        <f t="shared" si="19"/>
        <v>7976198.2898351029</v>
      </c>
      <c r="I82" s="300">
        <f t="shared" si="19"/>
        <v>7036730.7331036739</v>
      </c>
      <c r="J82" s="300">
        <f t="shared" si="19"/>
        <v>3482762.31951136</v>
      </c>
      <c r="K82" s="300">
        <f t="shared" si="19"/>
        <v>53765660.011295721</v>
      </c>
      <c r="L82" s="300">
        <f t="shared" si="19"/>
        <v>3937841.5587957646</v>
      </c>
    </row>
    <row r="83" spans="2:12" hidden="1">
      <c r="B83" s="1">
        <v>1984</v>
      </c>
      <c r="C83" s="300">
        <f t="shared" si="19"/>
        <v>88503399.714551076</v>
      </c>
      <c r="D83" s="300">
        <f t="shared" si="19"/>
        <v>61235540.571111284</v>
      </c>
      <c r="E83" s="300">
        <f t="shared" si="19"/>
        <v>37501818.426647402</v>
      </c>
      <c r="F83" s="300">
        <f t="shared" si="19"/>
        <v>63950810.474889897</v>
      </c>
      <c r="G83" s="300">
        <f t="shared" si="19"/>
        <v>7363972.2655049283</v>
      </c>
      <c r="H83" s="300">
        <f t="shared" si="19"/>
        <v>11803329.254035067</v>
      </c>
      <c r="I83" s="300">
        <f t="shared" si="19"/>
        <v>5214879.3857415132</v>
      </c>
      <c r="J83" s="300">
        <f t="shared" si="19"/>
        <v>8644728.1799690239</v>
      </c>
      <c r="K83" s="300">
        <f t="shared" si="19"/>
        <v>55660287.823904835</v>
      </c>
      <c r="L83" s="300">
        <f t="shared" si="19"/>
        <v>352382.66911037784</v>
      </c>
    </row>
    <row r="84" spans="2:12" hidden="1">
      <c r="B84" s="1">
        <v>1985</v>
      </c>
      <c r="C84" s="300">
        <f t="shared" si="19"/>
        <v>103561081.10832979</v>
      </c>
      <c r="D84" s="300">
        <f t="shared" si="19"/>
        <v>82790378.798933327</v>
      </c>
      <c r="E84" s="300">
        <f t="shared" si="19"/>
        <v>40489499.275266342</v>
      </c>
      <c r="F84" s="300">
        <f t="shared" si="19"/>
        <v>72650545.145585954</v>
      </c>
      <c r="G84" s="300">
        <f t="shared" si="19"/>
        <v>9534094.6724476311</v>
      </c>
      <c r="H84" s="300">
        <f t="shared" si="19"/>
        <v>10250771.238475503</v>
      </c>
      <c r="I84" s="300">
        <f t="shared" si="19"/>
        <v>4044416.1346687097</v>
      </c>
      <c r="J84" s="300">
        <f t="shared" si="19"/>
        <v>12943739.349635052</v>
      </c>
      <c r="K84" s="300">
        <f t="shared" si="19"/>
        <v>81318667.534899369</v>
      </c>
      <c r="L84" s="300">
        <f t="shared" si="19"/>
        <v>1464916.5824566591</v>
      </c>
    </row>
    <row r="85" spans="2:12" hidden="1">
      <c r="B85" s="1">
        <v>1986</v>
      </c>
      <c r="C85" s="300">
        <f t="shared" si="19"/>
        <v>108981919.67580169</v>
      </c>
      <c r="D85" s="300">
        <f t="shared" si="19"/>
        <v>77030760.082795337</v>
      </c>
      <c r="E85" s="300">
        <f t="shared" si="19"/>
        <v>40597357.061844386</v>
      </c>
      <c r="F85" s="300">
        <f t="shared" si="19"/>
        <v>58148121.663270533</v>
      </c>
      <c r="G85" s="300">
        <f t="shared" si="19"/>
        <v>9884708.1337915212</v>
      </c>
      <c r="H85" s="300">
        <f t="shared" si="19"/>
        <v>12943651.273572611</v>
      </c>
      <c r="I85" s="300">
        <f t="shared" si="19"/>
        <v>6358684.5873611039</v>
      </c>
      <c r="J85" s="300">
        <f t="shared" si="19"/>
        <v>7224329.4647740535</v>
      </c>
      <c r="K85" s="300">
        <f t="shared" si="19"/>
        <v>54922891.277896099</v>
      </c>
      <c r="L85" s="300">
        <f t="shared" si="19"/>
        <v>366101.37646599044</v>
      </c>
    </row>
    <row r="86" spans="2:12" hidden="1">
      <c r="B86" s="1">
        <v>1987</v>
      </c>
      <c r="C86" s="300">
        <f t="shared" si="19"/>
        <v>112917999.55425133</v>
      </c>
      <c r="D86" s="300">
        <f t="shared" si="19"/>
        <v>87297856.025451019</v>
      </c>
      <c r="E86" s="300">
        <f t="shared" si="19"/>
        <v>43631530.396982908</v>
      </c>
      <c r="F86" s="300">
        <f t="shared" si="19"/>
        <v>55562965.260245502</v>
      </c>
      <c r="G86" s="300">
        <f t="shared" si="19"/>
        <v>10120779.865835141</v>
      </c>
      <c r="H86" s="300">
        <f t="shared" si="19"/>
        <v>13435245.142854616</v>
      </c>
      <c r="I86" s="300">
        <f t="shared" si="19"/>
        <v>9832556.2073483355</v>
      </c>
      <c r="J86" s="300">
        <f t="shared" si="19"/>
        <v>12186000.968995323</v>
      </c>
      <c r="K86" s="300">
        <f t="shared" si="19"/>
        <v>51446204.719601072</v>
      </c>
      <c r="L86" s="300">
        <f t="shared" si="19"/>
        <v>1233580.5161277228</v>
      </c>
    </row>
    <row r="87" spans="2:12" hidden="1">
      <c r="B87" s="1">
        <v>1988</v>
      </c>
      <c r="C87" s="300">
        <f t="shared" si="19"/>
        <v>110785221.82568845</v>
      </c>
      <c r="D87" s="300">
        <f t="shared" si="19"/>
        <v>96874531.827721834</v>
      </c>
      <c r="E87" s="300">
        <f t="shared" si="19"/>
        <v>55715224.060454644</v>
      </c>
      <c r="F87" s="300">
        <f t="shared" si="19"/>
        <v>70938372.072795466</v>
      </c>
      <c r="G87" s="300">
        <f t="shared" si="19"/>
        <v>10681813.826142583</v>
      </c>
      <c r="H87" s="300">
        <f t="shared" si="19"/>
        <v>13538285.26032785</v>
      </c>
      <c r="I87" s="300">
        <f t="shared" si="19"/>
        <v>19433971.311134286</v>
      </c>
      <c r="J87" s="300">
        <f t="shared" si="19"/>
        <v>27865375.018081967</v>
      </c>
      <c r="K87" s="300">
        <f t="shared" si="19"/>
        <v>77032109.709683567</v>
      </c>
      <c r="L87" s="300">
        <f t="shared" si="19"/>
        <v>1268840.7405951638</v>
      </c>
    </row>
    <row r="88" spans="2:12" hidden="1">
      <c r="B88" s="1">
        <v>1989</v>
      </c>
      <c r="C88" s="300">
        <f t="shared" si="19"/>
        <v>100157416.7536696</v>
      </c>
      <c r="D88" s="300">
        <f t="shared" si="19"/>
        <v>94057527.583880112</v>
      </c>
      <c r="E88" s="300">
        <f t="shared" si="19"/>
        <v>54471688.474886507</v>
      </c>
      <c r="F88" s="300">
        <f t="shared" si="19"/>
        <v>74808436.985713556</v>
      </c>
      <c r="G88" s="300">
        <f t="shared" si="19"/>
        <v>13616787.613198092</v>
      </c>
      <c r="H88" s="300">
        <f t="shared" si="19"/>
        <v>13255341.908015639</v>
      </c>
      <c r="I88" s="300">
        <f t="shared" si="19"/>
        <v>16107221.144792162</v>
      </c>
      <c r="J88" s="300">
        <f t="shared" si="19"/>
        <v>22414454.047930729</v>
      </c>
      <c r="K88" s="300">
        <f t="shared" si="19"/>
        <v>70903464.013963386</v>
      </c>
      <c r="L88" s="300">
        <f t="shared" si="19"/>
        <v>1118598.5936998029</v>
      </c>
    </row>
    <row r="89" spans="2:12" hidden="1">
      <c r="B89" s="1">
        <v>1990</v>
      </c>
      <c r="C89" s="300">
        <f t="shared" si="19"/>
        <v>92391038.485558197</v>
      </c>
      <c r="D89" s="300">
        <f t="shared" si="19"/>
        <v>84408611.424925774</v>
      </c>
      <c r="E89" s="300">
        <f t="shared" si="19"/>
        <v>51870689.612536065</v>
      </c>
      <c r="F89" s="300">
        <f t="shared" si="19"/>
        <v>71946096.517980754</v>
      </c>
      <c r="G89" s="300">
        <f t="shared" si="19"/>
        <v>11968976.76710014</v>
      </c>
      <c r="H89" s="300">
        <f t="shared" si="19"/>
        <v>8214720.6266503083</v>
      </c>
      <c r="I89" s="300">
        <f t="shared" si="19"/>
        <v>9061596.1462489311</v>
      </c>
      <c r="J89" s="300">
        <f t="shared" si="19"/>
        <v>4960587.6098658526</v>
      </c>
      <c r="K89" s="300">
        <f t="shared" si="19"/>
        <v>80150563.745196015</v>
      </c>
      <c r="L89" s="300">
        <f t="shared" si="19"/>
        <v>1048820.0478420809</v>
      </c>
    </row>
    <row r="90" spans="2:12" hidden="1">
      <c r="B90" s="1">
        <v>1991</v>
      </c>
      <c r="C90" s="300">
        <f t="shared" si="19"/>
        <v>74079319.032923609</v>
      </c>
      <c r="D90" s="300">
        <f t="shared" si="19"/>
        <v>68212340.644018307</v>
      </c>
      <c r="E90" s="300">
        <f t="shared" si="19"/>
        <v>42581293.722036213</v>
      </c>
      <c r="F90" s="300">
        <f t="shared" si="19"/>
        <v>58758548.598208398</v>
      </c>
      <c r="G90" s="300">
        <f t="shared" si="19"/>
        <v>11876587.87463654</v>
      </c>
      <c r="H90" s="300">
        <f t="shared" si="19"/>
        <v>4640169.912268078</v>
      </c>
      <c r="I90" s="300">
        <f t="shared" si="19"/>
        <v>9091869.5851023644</v>
      </c>
      <c r="J90" s="300">
        <f t="shared" si="19"/>
        <v>625192.70085734921</v>
      </c>
      <c r="K90" s="300">
        <f t="shared" si="19"/>
        <v>88929893.571948007</v>
      </c>
      <c r="L90" s="300">
        <f t="shared" si="19"/>
        <v>1621218.7359936109</v>
      </c>
    </row>
    <row r="91" spans="2:12" hidden="1">
      <c r="B91" s="1">
        <v>1992</v>
      </c>
      <c r="C91" s="300">
        <f t="shared" si="19"/>
        <v>78116364.558637947</v>
      </c>
      <c r="D91" s="300">
        <f t="shared" si="19"/>
        <v>59357599.398250669</v>
      </c>
      <c r="E91" s="300">
        <f t="shared" si="19"/>
        <v>39087722.729285546</v>
      </c>
      <c r="F91" s="300">
        <f t="shared" si="19"/>
        <v>53611284.578872375</v>
      </c>
      <c r="G91" s="300">
        <f t="shared" si="19"/>
        <v>11582558.891744314</v>
      </c>
      <c r="H91" s="300">
        <f t="shared" si="19"/>
        <v>4353698.9792917287</v>
      </c>
      <c r="I91" s="300">
        <f t="shared" si="19"/>
        <v>7589932.2396977805</v>
      </c>
      <c r="J91" s="300">
        <f t="shared" si="19"/>
        <v>3305751.00300232</v>
      </c>
      <c r="K91" s="300">
        <f t="shared" si="19"/>
        <v>85748018.38433221</v>
      </c>
      <c r="L91" s="300">
        <f t="shared" si="19"/>
        <v>1705359.0961297783</v>
      </c>
    </row>
    <row r="92" spans="2:12" hidden="1">
      <c r="B92" s="1">
        <v>1993</v>
      </c>
      <c r="C92" s="300">
        <f t="shared" si="19"/>
        <v>81286374.198977947</v>
      </c>
      <c r="D92" s="300">
        <f t="shared" si="19"/>
        <v>63933854.764275603</v>
      </c>
      <c r="E92" s="300">
        <f t="shared" si="19"/>
        <v>41732913.13291721</v>
      </c>
      <c r="F92" s="300">
        <f t="shared" si="19"/>
        <v>49701743.905386277</v>
      </c>
      <c r="G92" s="300">
        <f t="shared" si="19"/>
        <v>11558670.801352432</v>
      </c>
      <c r="H92" s="300">
        <f t="shared" si="19"/>
        <v>2881847.7730015558</v>
      </c>
      <c r="I92" s="300">
        <f t="shared" si="19"/>
        <v>9582393.6650000941</v>
      </c>
      <c r="J92" s="300">
        <f t="shared" si="19"/>
        <v>216667.31876462928</v>
      </c>
      <c r="K92" s="300">
        <f t="shared" si="19"/>
        <v>123935452.13676974</v>
      </c>
      <c r="L92" s="300">
        <f t="shared" si="19"/>
        <v>2093964.4531383319</v>
      </c>
    </row>
    <row r="93" spans="2:12" hidden="1">
      <c r="B93" s="1">
        <v>1994</v>
      </c>
      <c r="C93" s="300">
        <f t="shared" si="19"/>
        <v>81324671.939103931</v>
      </c>
      <c r="D93" s="300">
        <f t="shared" si="19"/>
        <v>67986956.178702116</v>
      </c>
      <c r="E93" s="300">
        <f t="shared" si="19"/>
        <v>56376740.065884382</v>
      </c>
      <c r="F93" s="300">
        <f t="shared" si="19"/>
        <v>59237198.618373595</v>
      </c>
      <c r="G93" s="300">
        <f t="shared" si="19"/>
        <v>12078732.824235713</v>
      </c>
      <c r="H93" s="300">
        <f t="shared" si="19"/>
        <v>4252364.3090756536</v>
      </c>
      <c r="I93" s="300">
        <f t="shared" si="19"/>
        <v>10661428.767227745</v>
      </c>
      <c r="J93" s="300">
        <f t="shared" si="19"/>
        <v>148612.15656310317</v>
      </c>
      <c r="K93" s="300">
        <f t="shared" si="19"/>
        <v>144877553.03719282</v>
      </c>
      <c r="L93" s="300">
        <f t="shared" si="19"/>
        <v>96381.302142454835</v>
      </c>
    </row>
    <row r="94" spans="2:12" hidden="1">
      <c r="B94" s="1">
        <v>1995</v>
      </c>
      <c r="C94" s="300">
        <f t="shared" si="19"/>
        <v>77120652.077801079</v>
      </c>
      <c r="D94" s="300">
        <f t="shared" si="19"/>
        <v>56646815.711679339</v>
      </c>
      <c r="E94" s="300">
        <f t="shared" si="19"/>
        <v>59128128.437495001</v>
      </c>
      <c r="F94" s="300">
        <f t="shared" si="19"/>
        <v>56350798.561826482</v>
      </c>
      <c r="G94" s="300">
        <f t="shared" si="19"/>
        <v>13245978.491164556</v>
      </c>
      <c r="H94" s="300">
        <f t="shared" si="19"/>
        <v>5188169.0668702852</v>
      </c>
      <c r="I94" s="300">
        <f t="shared" si="19"/>
        <v>14892518.672214163</v>
      </c>
      <c r="J94" s="300">
        <f t="shared" si="19"/>
        <v>509274.46857728355</v>
      </c>
      <c r="K94" s="300">
        <f t="shared" si="19"/>
        <v>151843899.84875599</v>
      </c>
      <c r="L94" s="300">
        <f t="shared" si="19"/>
        <v>103285.72352014661</v>
      </c>
    </row>
    <row r="95" spans="2:12" hidden="1">
      <c r="B95" s="1">
        <v>1996</v>
      </c>
      <c r="C95" s="300">
        <f t="shared" si="19"/>
        <v>94180255.454667747</v>
      </c>
      <c r="D95" s="300">
        <f t="shared" si="19"/>
        <v>52917426.670956805</v>
      </c>
      <c r="E95" s="300">
        <f t="shared" si="19"/>
        <v>60938617.058049582</v>
      </c>
      <c r="F95" s="300">
        <f t="shared" si="19"/>
        <v>57609079.546022311</v>
      </c>
      <c r="G95" s="300">
        <f t="shared" si="19"/>
        <v>13608059.456526274</v>
      </c>
      <c r="H95" s="300">
        <f t="shared" si="19"/>
        <v>4249554.6513667125</v>
      </c>
      <c r="I95" s="300">
        <f t="shared" si="19"/>
        <v>11327927.989930853</v>
      </c>
      <c r="J95" s="300">
        <f t="shared" si="19"/>
        <v>31892.493837039608</v>
      </c>
      <c r="K95" s="300">
        <f t="shared" si="19"/>
        <v>152067198.31595257</v>
      </c>
      <c r="L95" s="300">
        <f t="shared" si="19"/>
        <v>294342.86176152475</v>
      </c>
    </row>
    <row r="96" spans="2:12" hidden="1">
      <c r="B96" s="1">
        <v>1997</v>
      </c>
      <c r="C96" s="300">
        <f t="shared" si="19"/>
        <v>101813460.30940036</v>
      </c>
      <c r="D96" s="300">
        <f t="shared" si="19"/>
        <v>67575368.221664518</v>
      </c>
      <c r="E96" s="300">
        <f t="shared" si="19"/>
        <v>61407241.904758587</v>
      </c>
      <c r="F96" s="300">
        <f t="shared" si="19"/>
        <v>68939051.043979734</v>
      </c>
      <c r="G96" s="300">
        <f t="shared" si="19"/>
        <v>15210671.809673561</v>
      </c>
      <c r="H96" s="300">
        <f t="shared" si="19"/>
        <v>4407052.7037091972</v>
      </c>
      <c r="I96" s="300">
        <f t="shared" si="19"/>
        <v>11410966.711959841</v>
      </c>
      <c r="J96" s="300">
        <f t="shared" si="19"/>
        <v>3180.1449520836222</v>
      </c>
      <c r="K96" s="300">
        <f t="shared" si="19"/>
        <v>179764453.00032696</v>
      </c>
      <c r="L96" s="300">
        <f t="shared" si="19"/>
        <v>1333636.7067915914</v>
      </c>
    </row>
    <row r="97" spans="2:12" hidden="1">
      <c r="B97" s="1">
        <v>1998</v>
      </c>
      <c r="C97" s="300">
        <f t="shared" ref="C97:L104" si="20">C70^2</f>
        <v>89888661.243626907</v>
      </c>
      <c r="D97" s="300">
        <f t="shared" si="20"/>
        <v>66035538.849699758</v>
      </c>
      <c r="E97" s="300">
        <f t="shared" si="20"/>
        <v>63425091.106653459</v>
      </c>
      <c r="F97" s="300">
        <f t="shared" si="20"/>
        <v>70567160.855264693</v>
      </c>
      <c r="G97" s="300">
        <f t="shared" si="20"/>
        <v>17093939.739808276</v>
      </c>
      <c r="H97" s="300">
        <f t="shared" si="20"/>
        <v>5165598.5609619562</v>
      </c>
      <c r="I97" s="300">
        <f t="shared" si="20"/>
        <v>10530825.847764051</v>
      </c>
      <c r="J97" s="300">
        <f t="shared" si="20"/>
        <v>158973.66514108086</v>
      </c>
      <c r="K97" s="300">
        <f t="shared" si="20"/>
        <v>185662312.23804003</v>
      </c>
      <c r="L97" s="300">
        <f t="shared" si="20"/>
        <v>4214838.1835272759</v>
      </c>
    </row>
    <row r="98" spans="2:12" hidden="1">
      <c r="B98" s="1">
        <v>1999</v>
      </c>
      <c r="C98" s="300">
        <f t="shared" si="20"/>
        <v>89258576.794446081</v>
      </c>
      <c r="D98" s="300">
        <f t="shared" si="20"/>
        <v>75978968.941746503</v>
      </c>
      <c r="E98" s="300">
        <f t="shared" si="20"/>
        <v>67248160.342459902</v>
      </c>
      <c r="F98" s="300">
        <f t="shared" si="20"/>
        <v>70957448.995478496</v>
      </c>
      <c r="G98" s="300">
        <f t="shared" si="20"/>
        <v>16142481.964638494</v>
      </c>
      <c r="H98" s="300">
        <f t="shared" si="20"/>
        <v>8583156.6629562248</v>
      </c>
      <c r="I98" s="300">
        <f t="shared" si="20"/>
        <v>19585260.188236307</v>
      </c>
      <c r="J98" s="300">
        <f t="shared" si="20"/>
        <v>935172.77286223311</v>
      </c>
      <c r="K98" s="300">
        <f t="shared" si="20"/>
        <v>140499055.95002404</v>
      </c>
      <c r="L98" s="300">
        <f t="shared" si="20"/>
        <v>7935801.9359258357</v>
      </c>
    </row>
    <row r="99" spans="2:12" hidden="1">
      <c r="B99" s="1">
        <v>2000</v>
      </c>
      <c r="C99" s="300">
        <f t="shared" si="20"/>
        <v>87326787.150433138</v>
      </c>
      <c r="D99" s="300">
        <f t="shared" si="20"/>
        <v>94430578.391580492</v>
      </c>
      <c r="E99" s="300">
        <f t="shared" si="20"/>
        <v>78252774.656031772</v>
      </c>
      <c r="F99" s="300">
        <f t="shared" si="20"/>
        <v>86937221.652182907</v>
      </c>
      <c r="G99" s="300">
        <f t="shared" si="20"/>
        <v>18395021.272354156</v>
      </c>
      <c r="H99" s="300">
        <f t="shared" si="20"/>
        <v>9607172.5737983175</v>
      </c>
      <c r="I99" s="300">
        <f t="shared" si="20"/>
        <v>22635911.748070065</v>
      </c>
      <c r="J99" s="300">
        <f t="shared" si="20"/>
        <v>1774242.779434345</v>
      </c>
      <c r="K99" s="300">
        <f t="shared" si="20"/>
        <v>153032483.64304176</v>
      </c>
      <c r="L99" s="300">
        <f t="shared" si="20"/>
        <v>9385155.0258234795</v>
      </c>
    </row>
    <row r="100" spans="2:12" hidden="1">
      <c r="B100" s="1">
        <v>2001</v>
      </c>
      <c r="C100" s="300">
        <f t="shared" si="20"/>
        <v>78299060.207832217</v>
      </c>
      <c r="D100" s="300">
        <f t="shared" si="20"/>
        <v>105339793.87951179</v>
      </c>
      <c r="E100" s="300">
        <f t="shared" si="20"/>
        <v>67132234.042251796</v>
      </c>
      <c r="F100" s="300">
        <f t="shared" si="20"/>
        <v>83296943.552274778</v>
      </c>
      <c r="G100" s="300">
        <f t="shared" si="20"/>
        <v>17882627.604267005</v>
      </c>
      <c r="H100" s="300">
        <f t="shared" si="20"/>
        <v>8042934.0897084214</v>
      </c>
      <c r="I100" s="300">
        <f t="shared" si="20"/>
        <v>23687522.783385273</v>
      </c>
      <c r="J100" s="300">
        <f t="shared" si="20"/>
        <v>2739379.5096866237</v>
      </c>
      <c r="K100" s="300">
        <f t="shared" si="20"/>
        <v>146302454.73884508</v>
      </c>
      <c r="L100" s="300">
        <f t="shared" si="20"/>
        <v>11543576.121166836</v>
      </c>
    </row>
    <row r="101" spans="2:12" hidden="1">
      <c r="B101" s="1">
        <v>2002</v>
      </c>
      <c r="C101" s="300">
        <f t="shared" si="20"/>
        <v>25952341.762848023</v>
      </c>
      <c r="D101" s="300">
        <f t="shared" si="20"/>
        <v>94710248.52485767</v>
      </c>
      <c r="E101" s="300">
        <f t="shared" si="20"/>
        <v>60945340.908329427</v>
      </c>
      <c r="F101" s="300">
        <f t="shared" si="20"/>
        <v>72598206.382054612</v>
      </c>
      <c r="G101" s="300">
        <f t="shared" si="20"/>
        <v>18688290.032304574</v>
      </c>
      <c r="H101" s="300">
        <f t="shared" si="20"/>
        <v>7523227.7411185997</v>
      </c>
      <c r="I101" s="300">
        <f t="shared" si="20"/>
        <v>26649545.06572403</v>
      </c>
      <c r="J101" s="300">
        <f t="shared" si="20"/>
        <v>5372081.3206866141</v>
      </c>
      <c r="K101" s="300">
        <f t="shared" si="20"/>
        <v>129214809.25725229</v>
      </c>
      <c r="L101" s="300">
        <f t="shared" si="20"/>
        <v>9304916.1095855385</v>
      </c>
    </row>
    <row r="102" spans="2:12" hidden="1">
      <c r="B102" s="1">
        <v>2003</v>
      </c>
      <c r="C102" s="300">
        <f t="shared" si="20"/>
        <v>12382429.715606082</v>
      </c>
      <c r="D102" s="300">
        <f t="shared" si="20"/>
        <v>91743595.335233226</v>
      </c>
      <c r="E102" s="300">
        <f t="shared" si="20"/>
        <v>61421999.763990097</v>
      </c>
      <c r="F102" s="300">
        <f t="shared" si="20"/>
        <v>65380719.816920996</v>
      </c>
      <c r="G102" s="300">
        <f t="shared" si="20"/>
        <v>19985931.039292522</v>
      </c>
      <c r="H102" s="300">
        <f t="shared" si="20"/>
        <v>5983819.8660476319</v>
      </c>
      <c r="I102" s="300">
        <f t="shared" si="20"/>
        <v>27976538.446382653</v>
      </c>
      <c r="J102" s="300">
        <f t="shared" si="20"/>
        <v>1118147.3653762501</v>
      </c>
      <c r="K102" s="300">
        <f t="shared" si="20"/>
        <v>136489766.42077047</v>
      </c>
      <c r="L102" s="300">
        <f t="shared" si="20"/>
        <v>7941827.5039561791</v>
      </c>
    </row>
    <row r="103" spans="2:12" hidden="1">
      <c r="B103" s="1">
        <v>2004</v>
      </c>
      <c r="C103" s="300">
        <f t="shared" si="20"/>
        <v>21753638.280675303</v>
      </c>
      <c r="D103" s="300">
        <f t="shared" si="20"/>
        <v>94933455.878563553</v>
      </c>
      <c r="E103" s="300">
        <f t="shared" si="20"/>
        <v>70659544.965483561</v>
      </c>
      <c r="F103" s="300">
        <f t="shared" si="20"/>
        <v>64898205.106551751</v>
      </c>
      <c r="G103" s="300">
        <f t="shared" si="20"/>
        <v>21260447.754272431</v>
      </c>
      <c r="H103" s="300">
        <f t="shared" si="20"/>
        <v>4735359.6589139216</v>
      </c>
      <c r="I103" s="300">
        <f t="shared" si="20"/>
        <v>32000062.98260786</v>
      </c>
      <c r="J103" s="300">
        <f t="shared" si="20"/>
        <v>6041.2460880417684</v>
      </c>
      <c r="K103" s="300">
        <f t="shared" si="20"/>
        <v>158252385.87312219</v>
      </c>
      <c r="L103" s="300">
        <f t="shared" si="20"/>
        <v>7006600.0946340756</v>
      </c>
    </row>
    <row r="104" spans="2:12" hidden="1">
      <c r="B104" s="1">
        <v>2005</v>
      </c>
      <c r="C104" s="300">
        <f t="shared" si="20"/>
        <v>20551313.988948338</v>
      </c>
      <c r="D104" s="300">
        <f t="shared" si="20"/>
        <v>99847161.753350377</v>
      </c>
      <c r="E104" s="300">
        <f t="shared" si="20"/>
        <v>75624334.382702976</v>
      </c>
      <c r="F104" s="300">
        <f t="shared" si="20"/>
        <v>67981036.624497429</v>
      </c>
      <c r="G104" s="300">
        <f t="shared" si="20"/>
        <v>25280350.820798852</v>
      </c>
      <c r="H104" s="300">
        <f t="shared" si="20"/>
        <v>4589472.4009137619</v>
      </c>
      <c r="I104" s="300">
        <f t="shared" si="20"/>
        <v>32475459.272191904</v>
      </c>
      <c r="J104" s="300">
        <f t="shared" si="20"/>
        <v>342794.89764872642</v>
      </c>
      <c r="K104" s="300">
        <f t="shared" si="20"/>
        <v>168057656.78369534</v>
      </c>
      <c r="L104" s="300">
        <f t="shared" si="20"/>
        <v>4775946.3313084748</v>
      </c>
    </row>
  </sheetData>
  <mergeCells count="12">
    <mergeCell ref="A47:L47"/>
    <mergeCell ref="F3:F4"/>
    <mergeCell ref="G3:G4"/>
    <mergeCell ref="H3:H4"/>
    <mergeCell ref="I3:I4"/>
    <mergeCell ref="B3:B4"/>
    <mergeCell ref="C3:C4"/>
    <mergeCell ref="D3:D4"/>
    <mergeCell ref="E3:E4"/>
    <mergeCell ref="J3:J4"/>
    <mergeCell ref="K3:K4"/>
    <mergeCell ref="L3:L4"/>
  </mergeCells>
  <phoneticPr fontId="35" type="noConversion"/>
  <pageMargins left="0.74803149606299213" right="0.74803149606299213" top="0.98425196850393704" bottom="0.98425196850393704" header="0.51181102362204722" footer="0.51181102362204722"/>
  <pageSetup scale="73" orientation="landscape" horizontalDpi="300" verticalDpi="300" r:id="rId1"/>
  <headerFooter alignWithMargins="0"/>
</worksheet>
</file>

<file path=xl/worksheets/sheet170.xml><?xml version="1.0" encoding="utf-8"?>
<worksheet xmlns="http://schemas.openxmlformats.org/spreadsheetml/2006/main" xmlns:r="http://schemas.openxmlformats.org/officeDocument/2006/relationships">
  <sheetPr codeName="Sheet150">
    <pageSetUpPr fitToPage="1"/>
  </sheetPr>
  <dimension ref="A1:S73"/>
  <sheetViews>
    <sheetView view="pageBreakPreview" zoomScale="85" zoomScaleSheetLayoutView="85" workbookViewId="0">
      <pane xSplit="1" ySplit="3" topLeftCell="B13"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275" customWidth="1"/>
    <col min="2" max="2" width="14" style="275" customWidth="1"/>
    <col min="3" max="6" width="12.85546875" style="275" customWidth="1"/>
    <col min="7" max="8" width="13.28515625" style="275" customWidth="1"/>
    <col min="9" max="9" width="13.7109375" style="275" customWidth="1"/>
    <col min="10" max="10" width="14.28515625" style="275" customWidth="1"/>
    <col min="11" max="15" width="12.85546875" style="275" customWidth="1"/>
    <col min="16" max="16384" width="9.140625" style="275"/>
  </cols>
  <sheetData>
    <row r="1" spans="1:15" ht="15.75">
      <c r="A1" s="339" t="s">
        <v>2221</v>
      </c>
      <c r="B1" s="340"/>
      <c r="C1" s="340"/>
      <c r="D1" s="340"/>
      <c r="E1" s="340"/>
      <c r="F1" s="340"/>
      <c r="G1" s="340"/>
      <c r="H1" s="340"/>
      <c r="I1" s="340"/>
      <c r="J1" s="340"/>
    </row>
    <row r="3" spans="1:15" ht="25.5">
      <c r="A3" s="341"/>
      <c r="B3" s="268" t="s">
        <v>1235</v>
      </c>
      <c r="C3" s="280" t="s">
        <v>1236</v>
      </c>
      <c r="D3" s="280" t="s">
        <v>1237</v>
      </c>
      <c r="E3" s="280" t="s">
        <v>1238</v>
      </c>
      <c r="F3" s="280" t="s">
        <v>1239</v>
      </c>
      <c r="G3" s="280" t="s">
        <v>1240</v>
      </c>
      <c r="H3" s="280" t="s">
        <v>1241</v>
      </c>
      <c r="I3" s="280" t="s">
        <v>1242</v>
      </c>
      <c r="J3" s="269" t="s">
        <v>1243</v>
      </c>
      <c r="K3" s="280" t="s">
        <v>1244</v>
      </c>
      <c r="L3" s="280" t="s">
        <v>1245</v>
      </c>
      <c r="M3" s="280" t="s">
        <v>1246</v>
      </c>
      <c r="N3" s="280" t="s">
        <v>1247</v>
      </c>
      <c r="O3" s="269" t="s">
        <v>1248</v>
      </c>
    </row>
    <row r="4" spans="1:15" ht="29.25" customHeight="1">
      <c r="A4" s="342"/>
      <c r="B4" s="270" t="s">
        <v>1249</v>
      </c>
      <c r="C4" s="271" t="s">
        <v>585</v>
      </c>
      <c r="D4" s="271" t="s">
        <v>587</v>
      </c>
      <c r="E4" s="271" t="s">
        <v>588</v>
      </c>
      <c r="F4" s="271" t="s">
        <v>592</v>
      </c>
      <c r="G4" s="271" t="s">
        <v>593</v>
      </c>
      <c r="H4" s="271" t="s">
        <v>595</v>
      </c>
      <c r="I4" s="271" t="s">
        <v>1250</v>
      </c>
      <c r="J4" s="271" t="s">
        <v>1251</v>
      </c>
      <c r="K4" s="271" t="s">
        <v>1252</v>
      </c>
      <c r="L4" s="271" t="s">
        <v>1253</v>
      </c>
      <c r="M4" s="271" t="s">
        <v>1254</v>
      </c>
      <c r="N4" s="271" t="s">
        <v>1255</v>
      </c>
      <c r="O4" s="272" t="s">
        <v>1256</v>
      </c>
    </row>
    <row r="5" spans="1:15">
      <c r="A5" s="343">
        <v>1981</v>
      </c>
      <c r="B5" s="19">
        <v>1142222</v>
      </c>
      <c r="C5" s="19">
        <v>241845</v>
      </c>
      <c r="D5" s="19">
        <v>109058</v>
      </c>
      <c r="E5" s="19">
        <v>189022</v>
      </c>
      <c r="F5" s="19">
        <v>115007</v>
      </c>
      <c r="G5" s="19">
        <v>106296</v>
      </c>
      <c r="H5" s="19">
        <v>146117</v>
      </c>
      <c r="I5" s="344">
        <f t="shared" ref="I5:I28" si="0">B5-SUM(C5:H5)</f>
        <v>234877</v>
      </c>
      <c r="J5" s="19">
        <v>189316</v>
      </c>
      <c r="K5" s="19">
        <v>46867</v>
      </c>
      <c r="L5" s="19">
        <v>13002</v>
      </c>
      <c r="M5" s="19">
        <v>114612</v>
      </c>
      <c r="N5" s="344">
        <f>J5-K5-L5-M5</f>
        <v>14835</v>
      </c>
      <c r="O5" s="345">
        <f t="shared" ref="O5:O31" si="1">B5-J5</f>
        <v>952906</v>
      </c>
    </row>
    <row r="6" spans="1:15">
      <c r="A6" s="343">
        <v>1982</v>
      </c>
      <c r="B6" s="19">
        <v>1222342</v>
      </c>
      <c r="C6" s="19">
        <v>259268</v>
      </c>
      <c r="D6" s="19">
        <v>111930</v>
      </c>
      <c r="E6" s="19">
        <v>186077</v>
      </c>
      <c r="F6" s="19">
        <v>123487</v>
      </c>
      <c r="G6" s="19">
        <v>104379</v>
      </c>
      <c r="H6" s="19">
        <v>166207</v>
      </c>
      <c r="I6" s="344">
        <f t="shared" si="0"/>
        <v>270994</v>
      </c>
      <c r="J6" s="19">
        <v>188170</v>
      </c>
      <c r="K6" s="19">
        <v>46043</v>
      </c>
      <c r="L6" s="19">
        <v>12335</v>
      </c>
      <c r="M6" s="19">
        <v>116496</v>
      </c>
      <c r="N6" s="344">
        <f t="shared" ref="N6:N31" si="2">J6-K6-L6-M6</f>
        <v>13296</v>
      </c>
      <c r="O6" s="345">
        <f t="shared" si="1"/>
        <v>1034172</v>
      </c>
    </row>
    <row r="7" spans="1:15">
      <c r="A7" s="343">
        <v>1983</v>
      </c>
      <c r="B7" s="19">
        <v>1322388</v>
      </c>
      <c r="C7" s="19">
        <v>278203</v>
      </c>
      <c r="D7" s="19">
        <v>117755</v>
      </c>
      <c r="E7" s="19">
        <v>193011</v>
      </c>
      <c r="F7" s="19">
        <v>140318</v>
      </c>
      <c r="G7" s="19">
        <v>100904</v>
      </c>
      <c r="H7" s="19">
        <v>189654</v>
      </c>
      <c r="I7" s="344">
        <f t="shared" si="0"/>
        <v>302543</v>
      </c>
      <c r="J7" s="19">
        <v>202308</v>
      </c>
      <c r="K7" s="19">
        <v>47842</v>
      </c>
      <c r="L7" s="19">
        <v>11815</v>
      </c>
      <c r="M7" s="19">
        <v>127254</v>
      </c>
      <c r="N7" s="344">
        <f t="shared" si="2"/>
        <v>15397</v>
      </c>
      <c r="O7" s="345">
        <f t="shared" si="1"/>
        <v>1120080</v>
      </c>
    </row>
    <row r="8" spans="1:15">
      <c r="A8" s="343">
        <v>1984</v>
      </c>
      <c r="B8" s="19">
        <v>1414891</v>
      </c>
      <c r="C8" s="19">
        <v>295950</v>
      </c>
      <c r="D8" s="19">
        <v>124990</v>
      </c>
      <c r="E8" s="19">
        <v>201438</v>
      </c>
      <c r="F8" s="19">
        <v>149351</v>
      </c>
      <c r="G8" s="19">
        <v>125058</v>
      </c>
      <c r="H8" s="19">
        <v>213643</v>
      </c>
      <c r="I8" s="344">
        <f t="shared" si="0"/>
        <v>304461</v>
      </c>
      <c r="J8" s="19">
        <v>213027</v>
      </c>
      <c r="K8" s="19">
        <v>52122</v>
      </c>
      <c r="L8" s="19">
        <v>11911</v>
      </c>
      <c r="M8" s="19">
        <v>134938</v>
      </c>
      <c r="N8" s="344">
        <f t="shared" si="2"/>
        <v>14056</v>
      </c>
      <c r="O8" s="345">
        <f t="shared" si="1"/>
        <v>1201864</v>
      </c>
    </row>
    <row r="9" spans="1:15">
      <c r="A9" s="343">
        <v>1985</v>
      </c>
      <c r="B9" s="19">
        <v>1524299</v>
      </c>
      <c r="C9" s="19">
        <v>319358</v>
      </c>
      <c r="D9" s="19">
        <v>135966</v>
      </c>
      <c r="E9" s="19">
        <v>200521</v>
      </c>
      <c r="F9" s="19">
        <v>165413</v>
      </c>
      <c r="G9" s="19">
        <v>131423</v>
      </c>
      <c r="H9" s="19">
        <v>242862</v>
      </c>
      <c r="I9" s="344">
        <f t="shared" si="0"/>
        <v>328756</v>
      </c>
      <c r="J9" s="19">
        <v>235296</v>
      </c>
      <c r="K9" s="19">
        <v>59194</v>
      </c>
      <c r="L9" s="19">
        <v>12326</v>
      </c>
      <c r="M9" s="19">
        <v>148103</v>
      </c>
      <c r="N9" s="344">
        <f t="shared" si="2"/>
        <v>15673</v>
      </c>
      <c r="O9" s="345">
        <f t="shared" si="1"/>
        <v>1289003</v>
      </c>
    </row>
    <row r="10" spans="1:15">
      <c r="A10" s="343">
        <v>1986</v>
      </c>
      <c r="B10" s="19">
        <v>1677114</v>
      </c>
      <c r="C10" s="19">
        <v>357430</v>
      </c>
      <c r="D10" s="19">
        <v>153430</v>
      </c>
      <c r="E10" s="19">
        <v>219981</v>
      </c>
      <c r="F10" s="19">
        <v>180783</v>
      </c>
      <c r="G10" s="19">
        <v>141912</v>
      </c>
      <c r="H10" s="19">
        <v>275865</v>
      </c>
      <c r="I10" s="344">
        <f t="shared" si="0"/>
        <v>347713</v>
      </c>
      <c r="J10" s="19">
        <v>268555</v>
      </c>
      <c r="K10" s="19">
        <v>65110</v>
      </c>
      <c r="L10" s="19">
        <v>12979</v>
      </c>
      <c r="M10" s="19">
        <v>168843</v>
      </c>
      <c r="N10" s="344">
        <f t="shared" si="2"/>
        <v>21623</v>
      </c>
      <c r="O10" s="345">
        <f t="shared" si="1"/>
        <v>1408559</v>
      </c>
    </row>
    <row r="11" spans="1:15">
      <c r="A11" s="343">
        <v>1987</v>
      </c>
      <c r="B11" s="19">
        <v>1834865</v>
      </c>
      <c r="C11" s="19">
        <v>403816</v>
      </c>
      <c r="D11" s="19">
        <v>166916</v>
      </c>
      <c r="E11" s="19">
        <v>249089</v>
      </c>
      <c r="F11" s="19">
        <v>200494</v>
      </c>
      <c r="G11" s="19">
        <v>150713</v>
      </c>
      <c r="H11" s="19">
        <v>308145</v>
      </c>
      <c r="I11" s="344">
        <f t="shared" si="0"/>
        <v>355692</v>
      </c>
      <c r="J11" s="19">
        <v>311508</v>
      </c>
      <c r="K11" s="19">
        <v>74624</v>
      </c>
      <c r="L11" s="19">
        <v>14120</v>
      </c>
      <c r="M11" s="19">
        <v>194477</v>
      </c>
      <c r="N11" s="344">
        <f t="shared" si="2"/>
        <v>28287</v>
      </c>
      <c r="O11" s="345">
        <f t="shared" si="1"/>
        <v>1523357</v>
      </c>
    </row>
    <row r="12" spans="1:15">
      <c r="A12" s="343">
        <v>1988</v>
      </c>
      <c r="B12" s="19">
        <v>2016587</v>
      </c>
      <c r="C12" s="19">
        <v>446882</v>
      </c>
      <c r="D12" s="19">
        <v>184807</v>
      </c>
      <c r="E12" s="19">
        <v>280114</v>
      </c>
      <c r="F12" s="19">
        <v>209095</v>
      </c>
      <c r="G12" s="19">
        <v>172629</v>
      </c>
      <c r="H12" s="19">
        <v>340607</v>
      </c>
      <c r="I12" s="344">
        <f t="shared" si="0"/>
        <v>382453</v>
      </c>
      <c r="J12" s="19">
        <v>351229</v>
      </c>
      <c r="K12" s="19">
        <v>84045</v>
      </c>
      <c r="L12" s="19">
        <v>16724</v>
      </c>
      <c r="M12" s="19">
        <v>220558</v>
      </c>
      <c r="N12" s="344">
        <f t="shared" si="2"/>
        <v>29902</v>
      </c>
      <c r="O12" s="345">
        <f t="shared" si="1"/>
        <v>1665358</v>
      </c>
    </row>
    <row r="13" spans="1:15">
      <c r="A13" s="343">
        <v>1989</v>
      </c>
      <c r="B13" s="19">
        <v>2225734</v>
      </c>
      <c r="C13" s="19">
        <v>484871</v>
      </c>
      <c r="D13" s="19">
        <v>200751</v>
      </c>
      <c r="E13" s="19">
        <v>323986</v>
      </c>
      <c r="F13" s="19">
        <v>221418</v>
      </c>
      <c r="G13" s="19">
        <v>201590</v>
      </c>
      <c r="H13" s="19">
        <v>374101</v>
      </c>
      <c r="I13" s="344">
        <f t="shared" si="0"/>
        <v>419017</v>
      </c>
      <c r="J13" s="19">
        <v>392443</v>
      </c>
      <c r="K13" s="19">
        <v>92379</v>
      </c>
      <c r="L13" s="19">
        <v>16512</v>
      </c>
      <c r="M13" s="19">
        <v>250314</v>
      </c>
      <c r="N13" s="344">
        <f t="shared" si="2"/>
        <v>33238</v>
      </c>
      <c r="O13" s="345">
        <f t="shared" si="1"/>
        <v>1833291</v>
      </c>
    </row>
    <row r="14" spans="1:15">
      <c r="A14" s="343">
        <v>1990</v>
      </c>
      <c r="B14" s="19">
        <v>2324403</v>
      </c>
      <c r="C14" s="19">
        <v>510213</v>
      </c>
      <c r="D14" s="19">
        <v>207707</v>
      </c>
      <c r="E14" s="19">
        <v>321705</v>
      </c>
      <c r="F14" s="19">
        <v>219484</v>
      </c>
      <c r="G14" s="19">
        <v>216817</v>
      </c>
      <c r="H14" s="19">
        <v>401156</v>
      </c>
      <c r="I14" s="344">
        <f t="shared" si="0"/>
        <v>447321</v>
      </c>
      <c r="J14" s="19">
        <v>425137</v>
      </c>
      <c r="K14" s="19">
        <v>97233</v>
      </c>
      <c r="L14" s="19">
        <v>18636</v>
      </c>
      <c r="M14" s="19">
        <v>270656</v>
      </c>
      <c r="N14" s="344">
        <f t="shared" si="2"/>
        <v>38612</v>
      </c>
      <c r="O14" s="345">
        <f t="shared" si="1"/>
        <v>1899266</v>
      </c>
    </row>
    <row r="15" spans="1:15">
      <c r="A15" s="343">
        <v>1991</v>
      </c>
      <c r="B15" s="19">
        <v>2462057</v>
      </c>
      <c r="C15" s="19">
        <v>540225</v>
      </c>
      <c r="D15" s="19">
        <v>210181</v>
      </c>
      <c r="E15" s="19">
        <v>348940</v>
      </c>
      <c r="F15" s="19">
        <v>231839</v>
      </c>
      <c r="G15" s="19">
        <v>230141</v>
      </c>
      <c r="H15" s="19">
        <v>438819</v>
      </c>
      <c r="I15" s="344">
        <f t="shared" si="0"/>
        <v>461912</v>
      </c>
      <c r="J15" s="19">
        <v>443113</v>
      </c>
      <c r="K15" s="19">
        <v>99170</v>
      </c>
      <c r="L15" s="19">
        <v>18239</v>
      </c>
      <c r="M15" s="19">
        <v>291110</v>
      </c>
      <c r="N15" s="344">
        <f t="shared" si="2"/>
        <v>34594</v>
      </c>
      <c r="O15" s="345">
        <f t="shared" si="1"/>
        <v>2018944</v>
      </c>
    </row>
    <row r="16" spans="1:15">
      <c r="A16" s="343">
        <v>1992</v>
      </c>
      <c r="B16" s="19">
        <v>2592801</v>
      </c>
      <c r="C16" s="19">
        <v>567865</v>
      </c>
      <c r="D16" s="19">
        <v>212657</v>
      </c>
      <c r="E16" s="19">
        <v>369273</v>
      </c>
      <c r="F16" s="19">
        <v>243609</v>
      </c>
      <c r="G16" s="19">
        <v>246676</v>
      </c>
      <c r="H16" s="19">
        <v>470799</v>
      </c>
      <c r="I16" s="344">
        <f t="shared" si="0"/>
        <v>481922</v>
      </c>
      <c r="J16" s="19">
        <v>467266</v>
      </c>
      <c r="K16" s="19">
        <v>99752</v>
      </c>
      <c r="L16" s="19">
        <v>18808</v>
      </c>
      <c r="M16" s="19">
        <v>312309</v>
      </c>
      <c r="N16" s="344">
        <f t="shared" si="2"/>
        <v>36397</v>
      </c>
      <c r="O16" s="345">
        <f t="shared" si="1"/>
        <v>2125535</v>
      </c>
    </row>
    <row r="17" spans="1:15">
      <c r="A17" s="343">
        <v>1993</v>
      </c>
      <c r="B17" s="19">
        <v>2748154</v>
      </c>
      <c r="C17" s="19">
        <v>601899</v>
      </c>
      <c r="D17" s="19">
        <v>218930</v>
      </c>
      <c r="E17" s="19">
        <v>395167</v>
      </c>
      <c r="F17" s="19">
        <v>277941</v>
      </c>
      <c r="G17" s="19">
        <v>279040</v>
      </c>
      <c r="H17" s="19">
        <v>526636</v>
      </c>
      <c r="I17" s="344">
        <f t="shared" si="0"/>
        <v>448541</v>
      </c>
      <c r="J17" s="19">
        <v>492642</v>
      </c>
      <c r="K17" s="19">
        <v>104551</v>
      </c>
      <c r="L17" s="19">
        <v>20737</v>
      </c>
      <c r="M17" s="19">
        <v>329111</v>
      </c>
      <c r="N17" s="344">
        <f t="shared" si="2"/>
        <v>38243</v>
      </c>
      <c r="O17" s="345">
        <f t="shared" si="1"/>
        <v>2255512</v>
      </c>
    </row>
    <row r="18" spans="1:15">
      <c r="A18" s="343">
        <v>1994</v>
      </c>
      <c r="B18" s="19">
        <v>2900395</v>
      </c>
      <c r="C18" s="19">
        <v>628315</v>
      </c>
      <c r="D18" s="19">
        <v>227097</v>
      </c>
      <c r="E18" s="19">
        <v>422465</v>
      </c>
      <c r="F18" s="19">
        <v>307655</v>
      </c>
      <c r="G18" s="19">
        <v>293082</v>
      </c>
      <c r="H18" s="19">
        <v>562116</v>
      </c>
      <c r="I18" s="344">
        <f t="shared" si="0"/>
        <v>459665</v>
      </c>
      <c r="J18" s="19">
        <v>517172</v>
      </c>
      <c r="K18" s="19">
        <v>111166</v>
      </c>
      <c r="L18" s="19">
        <v>20304</v>
      </c>
      <c r="M18" s="19">
        <v>343868</v>
      </c>
      <c r="N18" s="344">
        <f t="shared" si="2"/>
        <v>41834</v>
      </c>
      <c r="O18" s="345">
        <f t="shared" si="1"/>
        <v>2383223</v>
      </c>
    </row>
    <row r="19" spans="1:15">
      <c r="A19" s="343">
        <v>1995</v>
      </c>
      <c r="B19" s="19">
        <v>3013549</v>
      </c>
      <c r="C19" s="19">
        <v>636815</v>
      </c>
      <c r="D19" s="19">
        <v>231167</v>
      </c>
      <c r="E19" s="19">
        <v>419155</v>
      </c>
      <c r="F19" s="19">
        <v>314525</v>
      </c>
      <c r="G19" s="19">
        <v>312302</v>
      </c>
      <c r="H19" s="19">
        <v>606231</v>
      </c>
      <c r="I19" s="344">
        <f t="shared" si="0"/>
        <v>493354</v>
      </c>
      <c r="J19" s="19">
        <v>537454</v>
      </c>
      <c r="K19" s="19">
        <v>116713</v>
      </c>
      <c r="L19" s="19">
        <v>21410</v>
      </c>
      <c r="M19" s="19">
        <v>357446</v>
      </c>
      <c r="N19" s="344">
        <f t="shared" si="2"/>
        <v>41885</v>
      </c>
      <c r="O19" s="345">
        <f t="shared" si="1"/>
        <v>2476095</v>
      </c>
    </row>
    <row r="20" spans="1:15">
      <c r="A20" s="343">
        <v>1996</v>
      </c>
      <c r="B20" s="19">
        <v>3167469</v>
      </c>
      <c r="C20" s="19">
        <v>653960</v>
      </c>
      <c r="D20" s="19">
        <v>236360</v>
      </c>
      <c r="E20" s="19">
        <v>434492</v>
      </c>
      <c r="F20" s="19">
        <v>352529</v>
      </c>
      <c r="G20" s="19">
        <v>315309</v>
      </c>
      <c r="H20" s="19">
        <v>655736</v>
      </c>
      <c r="I20" s="344">
        <f t="shared" si="0"/>
        <v>519083</v>
      </c>
      <c r="J20" s="19">
        <v>563873</v>
      </c>
      <c r="K20" s="19">
        <v>124054</v>
      </c>
      <c r="L20" s="19">
        <v>22462</v>
      </c>
      <c r="M20" s="19">
        <v>373514</v>
      </c>
      <c r="N20" s="344">
        <f t="shared" si="2"/>
        <v>43843</v>
      </c>
      <c r="O20" s="345">
        <f t="shared" si="1"/>
        <v>2603596</v>
      </c>
    </row>
    <row r="21" spans="1:15">
      <c r="A21" s="343">
        <v>1997</v>
      </c>
      <c r="B21" s="19">
        <v>3335907</v>
      </c>
      <c r="C21" s="19">
        <v>679461</v>
      </c>
      <c r="D21" s="19">
        <v>246692</v>
      </c>
      <c r="E21" s="19">
        <v>461012</v>
      </c>
      <c r="F21" s="19">
        <v>404900</v>
      </c>
      <c r="G21" s="19">
        <v>317988</v>
      </c>
      <c r="H21" s="19">
        <v>716423</v>
      </c>
      <c r="I21" s="344">
        <f t="shared" si="0"/>
        <v>509431</v>
      </c>
      <c r="J21" s="19">
        <v>598459</v>
      </c>
      <c r="K21" s="19">
        <v>132826</v>
      </c>
      <c r="L21" s="19">
        <v>25402</v>
      </c>
      <c r="M21" s="19">
        <v>390927</v>
      </c>
      <c r="N21" s="344">
        <f t="shared" si="2"/>
        <v>49304</v>
      </c>
      <c r="O21" s="345">
        <f t="shared" si="1"/>
        <v>2737448</v>
      </c>
    </row>
    <row r="22" spans="1:15">
      <c r="A22" s="343">
        <v>1998</v>
      </c>
      <c r="B22" s="19">
        <v>3471294</v>
      </c>
      <c r="C22" s="19">
        <v>708241</v>
      </c>
      <c r="D22" s="19">
        <v>258923</v>
      </c>
      <c r="E22" s="19">
        <v>483868</v>
      </c>
      <c r="F22" s="19">
        <v>452139</v>
      </c>
      <c r="G22" s="19">
        <v>308992</v>
      </c>
      <c r="H22" s="19">
        <v>788892</v>
      </c>
      <c r="I22" s="344">
        <f t="shared" si="0"/>
        <v>470239</v>
      </c>
      <c r="J22" s="19">
        <v>636784</v>
      </c>
      <c r="K22" s="19">
        <v>144189</v>
      </c>
      <c r="L22" s="19">
        <v>27983</v>
      </c>
      <c r="M22" s="19">
        <v>408219</v>
      </c>
      <c r="N22" s="344">
        <f t="shared" si="2"/>
        <v>56393</v>
      </c>
      <c r="O22" s="345">
        <f t="shared" si="1"/>
        <v>2834510</v>
      </c>
    </row>
    <row r="23" spans="1:15">
      <c r="A23" s="343">
        <v>1999</v>
      </c>
      <c r="B23" s="19">
        <v>3702843</v>
      </c>
      <c r="C23" s="19">
        <v>745043</v>
      </c>
      <c r="D23" s="19">
        <v>277357</v>
      </c>
      <c r="E23" s="19">
        <v>517396</v>
      </c>
      <c r="F23" s="19">
        <v>483515</v>
      </c>
      <c r="G23" s="19">
        <v>324982</v>
      </c>
      <c r="H23" s="19">
        <v>861409</v>
      </c>
      <c r="I23" s="344">
        <f t="shared" si="0"/>
        <v>493141</v>
      </c>
      <c r="J23" s="19">
        <v>680017</v>
      </c>
      <c r="K23" s="19">
        <v>158245</v>
      </c>
      <c r="L23" s="19">
        <v>29452</v>
      </c>
      <c r="M23" s="19">
        <v>427958</v>
      </c>
      <c r="N23" s="344">
        <f t="shared" si="2"/>
        <v>64362</v>
      </c>
      <c r="O23" s="345">
        <f t="shared" si="1"/>
        <v>3022826</v>
      </c>
    </row>
    <row r="24" spans="1:15">
      <c r="A24" s="343">
        <v>2000</v>
      </c>
      <c r="B24" s="19">
        <v>3931907</v>
      </c>
      <c r="C24" s="19">
        <v>775822</v>
      </c>
      <c r="D24" s="19">
        <v>292519</v>
      </c>
      <c r="E24" s="19">
        <v>547820</v>
      </c>
      <c r="F24" s="19">
        <v>538985</v>
      </c>
      <c r="G24" s="19">
        <v>387317</v>
      </c>
      <c r="H24" s="19">
        <v>940531</v>
      </c>
      <c r="I24" s="344">
        <f t="shared" si="0"/>
        <v>448913</v>
      </c>
      <c r="J24" s="19">
        <v>720315</v>
      </c>
      <c r="K24" s="19">
        <v>172093</v>
      </c>
      <c r="L24" s="19">
        <v>32195</v>
      </c>
      <c r="M24" s="19">
        <v>445250</v>
      </c>
      <c r="N24" s="344">
        <f t="shared" si="2"/>
        <v>70777</v>
      </c>
      <c r="O24" s="345">
        <f t="shared" si="1"/>
        <v>3211592</v>
      </c>
    </row>
    <row r="25" spans="1:15">
      <c r="A25" s="343">
        <v>2001</v>
      </c>
      <c r="B25" s="19">
        <v>4130868</v>
      </c>
      <c r="C25" s="19">
        <v>822422</v>
      </c>
      <c r="D25" s="19">
        <v>308021</v>
      </c>
      <c r="E25" s="19">
        <v>599956</v>
      </c>
      <c r="F25" s="19">
        <v>563278</v>
      </c>
      <c r="G25" s="19">
        <v>393860</v>
      </c>
      <c r="H25" s="19">
        <v>955577</v>
      </c>
      <c r="I25" s="344">
        <f t="shared" si="0"/>
        <v>487754</v>
      </c>
      <c r="J25" s="19">
        <v>763693</v>
      </c>
      <c r="K25" s="19">
        <v>187131</v>
      </c>
      <c r="L25" s="19">
        <v>30603</v>
      </c>
      <c r="M25" s="19">
        <v>465790</v>
      </c>
      <c r="N25" s="344">
        <f t="shared" si="2"/>
        <v>80169</v>
      </c>
      <c r="O25" s="345">
        <f t="shared" si="1"/>
        <v>3367175</v>
      </c>
    </row>
    <row r="26" spans="1:15">
      <c r="A26" s="343">
        <v>2002</v>
      </c>
      <c r="B26" s="19">
        <v>4370955</v>
      </c>
      <c r="C26" s="19">
        <v>886292</v>
      </c>
      <c r="D26" s="19">
        <v>330846</v>
      </c>
      <c r="E26" s="19">
        <v>673746</v>
      </c>
      <c r="F26" s="19">
        <v>579954</v>
      </c>
      <c r="G26" s="19">
        <v>414651</v>
      </c>
      <c r="H26" s="19">
        <v>979100</v>
      </c>
      <c r="I26" s="344">
        <f t="shared" si="0"/>
        <v>506366</v>
      </c>
      <c r="J26" s="19">
        <v>812668</v>
      </c>
      <c r="K26" s="19">
        <v>204792</v>
      </c>
      <c r="L26" s="19">
        <v>30576</v>
      </c>
      <c r="M26" s="19">
        <v>494072</v>
      </c>
      <c r="N26" s="344">
        <f t="shared" si="2"/>
        <v>83228</v>
      </c>
      <c r="O26" s="345">
        <f t="shared" si="1"/>
        <v>3558287</v>
      </c>
    </row>
    <row r="27" spans="1:15">
      <c r="A27" s="343">
        <v>2003</v>
      </c>
      <c r="B27" s="19">
        <v>4590376</v>
      </c>
      <c r="C27" s="19">
        <v>967357</v>
      </c>
      <c r="D27" s="19">
        <v>345088</v>
      </c>
      <c r="E27" s="19">
        <v>735559</v>
      </c>
      <c r="F27" s="19">
        <v>583701</v>
      </c>
      <c r="G27" s="19">
        <v>434854</v>
      </c>
      <c r="H27" s="19">
        <v>1012979</v>
      </c>
      <c r="I27" s="344">
        <f t="shared" si="0"/>
        <v>510838</v>
      </c>
      <c r="J27" s="19">
        <v>869694</v>
      </c>
      <c r="K27" s="19">
        <v>225221</v>
      </c>
      <c r="L27" s="19">
        <v>31331</v>
      </c>
      <c r="M27" s="19">
        <v>527809</v>
      </c>
      <c r="N27" s="344">
        <f t="shared" si="2"/>
        <v>85333</v>
      </c>
      <c r="O27" s="345">
        <f t="shared" si="1"/>
        <v>3720682</v>
      </c>
    </row>
    <row r="28" spans="1:15">
      <c r="A28" s="343">
        <v>2004</v>
      </c>
      <c r="B28" s="19">
        <v>4884981</v>
      </c>
      <c r="C28" s="19">
        <v>1050558</v>
      </c>
      <c r="D28" s="19">
        <v>359267</v>
      </c>
      <c r="E28" s="19">
        <v>838172</v>
      </c>
      <c r="F28" s="19">
        <v>603669</v>
      </c>
      <c r="G28" s="19">
        <v>459435</v>
      </c>
      <c r="H28" s="19">
        <v>1080425</v>
      </c>
      <c r="I28" s="344">
        <f t="shared" si="0"/>
        <v>493455</v>
      </c>
      <c r="J28" s="19">
        <v>945073</v>
      </c>
      <c r="K28" s="19">
        <v>254419</v>
      </c>
      <c r="L28" s="19">
        <v>29717</v>
      </c>
      <c r="M28" s="19">
        <v>576933</v>
      </c>
      <c r="N28" s="344">
        <f t="shared" si="2"/>
        <v>84004</v>
      </c>
      <c r="O28" s="345">
        <f t="shared" si="1"/>
        <v>3939908</v>
      </c>
    </row>
    <row r="29" spans="1:15">
      <c r="A29" s="343">
        <v>2005</v>
      </c>
      <c r="B29" s="19">
        <v>5272504</v>
      </c>
      <c r="C29" s="19">
        <v>1140802</v>
      </c>
      <c r="D29" s="19">
        <v>374606</v>
      </c>
      <c r="E29" s="19">
        <v>948936</v>
      </c>
      <c r="F29" s="19">
        <v>630346</v>
      </c>
      <c r="G29" s="19">
        <v>476196</v>
      </c>
      <c r="H29" s="19">
        <v>1164378</v>
      </c>
      <c r="I29" s="344">
        <f>B29-SUM(C29:H29)</f>
        <v>537240</v>
      </c>
      <c r="J29" s="19">
        <v>1027529</v>
      </c>
      <c r="K29" s="19">
        <v>282716</v>
      </c>
      <c r="L29" s="19">
        <v>31801</v>
      </c>
      <c r="M29" s="19">
        <v>628620</v>
      </c>
      <c r="N29" s="344">
        <f t="shared" si="2"/>
        <v>84392</v>
      </c>
      <c r="O29" s="345">
        <f t="shared" si="1"/>
        <v>4244975</v>
      </c>
    </row>
    <row r="30" spans="1:15">
      <c r="A30" s="343">
        <v>2006</v>
      </c>
      <c r="B30" s="19">
        <v>5777535</v>
      </c>
      <c r="C30" s="19">
        <v>1275656</v>
      </c>
      <c r="D30" s="19">
        <v>386852</v>
      </c>
      <c r="E30" s="19">
        <v>1070248</v>
      </c>
      <c r="F30" s="19">
        <v>739085</v>
      </c>
      <c r="G30" s="19">
        <v>508662</v>
      </c>
      <c r="H30" s="19">
        <v>1261329</v>
      </c>
      <c r="I30" s="344">
        <f>B30-SUM(C30:H30)</f>
        <v>535703</v>
      </c>
      <c r="J30" s="19">
        <v>1123184</v>
      </c>
      <c r="K30" s="19">
        <v>309929</v>
      </c>
      <c r="L30" s="19">
        <v>32712</v>
      </c>
      <c r="M30" s="19">
        <v>690517</v>
      </c>
      <c r="N30" s="344">
        <f t="shared" si="2"/>
        <v>90026</v>
      </c>
      <c r="O30" s="345">
        <f t="shared" si="1"/>
        <v>4654351</v>
      </c>
    </row>
    <row r="31" spans="1:15">
      <c r="A31" s="343">
        <v>2007</v>
      </c>
      <c r="B31" s="19">
        <v>6169395</v>
      </c>
      <c r="C31" s="19">
        <v>1380176</v>
      </c>
      <c r="D31" s="19">
        <v>398226</v>
      </c>
      <c r="E31" s="19">
        <v>1196595</v>
      </c>
      <c r="F31" s="19">
        <v>777891</v>
      </c>
      <c r="G31" s="19">
        <v>542935</v>
      </c>
      <c r="H31" s="19">
        <v>1365568</v>
      </c>
      <c r="I31" s="344">
        <f>B31-SUM(C31:H31)</f>
        <v>508004</v>
      </c>
      <c r="J31" s="19">
        <v>1234700</v>
      </c>
      <c r="K31" s="19">
        <v>345571</v>
      </c>
      <c r="L31" s="19">
        <v>32848</v>
      </c>
      <c r="M31" s="19">
        <v>766765</v>
      </c>
      <c r="N31" s="344">
        <f t="shared" si="2"/>
        <v>89516</v>
      </c>
      <c r="O31" s="345">
        <f t="shared" si="1"/>
        <v>4934695</v>
      </c>
    </row>
    <row r="32" spans="1:15">
      <c r="A32" s="343">
        <v>2008</v>
      </c>
      <c r="B32" s="19">
        <v>6523870</v>
      </c>
      <c r="C32" s="19">
        <v>1444513</v>
      </c>
      <c r="D32" s="19">
        <v>399969</v>
      </c>
      <c r="E32" s="19">
        <v>1265082</v>
      </c>
      <c r="F32" s="19">
        <v>896751</v>
      </c>
      <c r="G32" s="19">
        <v>609705</v>
      </c>
      <c r="H32" s="19">
        <v>1367295</v>
      </c>
      <c r="I32" s="344">
        <f>B32-SUM(C32:H32)</f>
        <v>540555</v>
      </c>
      <c r="J32" s="19">
        <v>1346353</v>
      </c>
      <c r="K32" s="19">
        <v>374505</v>
      </c>
      <c r="L32" s="19">
        <v>35184</v>
      </c>
      <c r="M32" s="19">
        <v>839182</v>
      </c>
      <c r="N32" s="344">
        <f>J32-K32-L32-M32</f>
        <v>97482</v>
      </c>
      <c r="O32" s="345">
        <f>B32-J32</f>
        <v>5177517</v>
      </c>
    </row>
    <row r="33" spans="1:19">
      <c r="A33" s="1119"/>
      <c r="B33" s="1280" t="s">
        <v>802</v>
      </c>
      <c r="C33" s="1280"/>
      <c r="D33" s="1280"/>
      <c r="E33" s="1280"/>
      <c r="F33" s="1280"/>
      <c r="G33" s="1280"/>
      <c r="H33" s="1280"/>
      <c r="I33" s="1280"/>
      <c r="J33" s="1280"/>
      <c r="K33" s="1280"/>
      <c r="L33" s="1280"/>
      <c r="M33" s="1280"/>
      <c r="N33" s="1280"/>
      <c r="O33" s="1280"/>
      <c r="P33" s="671"/>
      <c r="Q33" s="671"/>
      <c r="R33" s="671"/>
      <c r="S33" s="671"/>
    </row>
    <row r="34" spans="1:19">
      <c r="A34" s="448" t="s">
        <v>1408</v>
      </c>
      <c r="B34" s="273">
        <f>((((B32/B5))^(1/27))-1)*100</f>
        <v>6.6664778244913236</v>
      </c>
      <c r="C34" s="273">
        <f t="shared" ref="C34:O34" si="3">((((C32/C5))^(1/27))-1)*100</f>
        <v>6.8433676244957553</v>
      </c>
      <c r="D34" s="273">
        <f t="shared" si="3"/>
        <v>4.9306947298295656</v>
      </c>
      <c r="E34" s="273">
        <f t="shared" si="3"/>
        <v>7.2946362956155752</v>
      </c>
      <c r="F34" s="273">
        <f t="shared" si="3"/>
        <v>7.9033917340385784</v>
      </c>
      <c r="G34" s="273">
        <f t="shared" si="3"/>
        <v>6.6832902142569095</v>
      </c>
      <c r="H34" s="273">
        <f t="shared" si="3"/>
        <v>8.6347936236486298</v>
      </c>
      <c r="I34" s="273">
        <f t="shared" si="3"/>
        <v>3.1353116124929858</v>
      </c>
      <c r="J34" s="273">
        <f t="shared" si="3"/>
        <v>7.5361551241030611</v>
      </c>
      <c r="K34" s="273">
        <f t="shared" si="3"/>
        <v>8.0013729698023219</v>
      </c>
      <c r="L34" s="273">
        <f t="shared" si="3"/>
        <v>3.7558061958171463</v>
      </c>
      <c r="M34" s="273">
        <f t="shared" si="3"/>
        <v>7.6522689502457775</v>
      </c>
      <c r="N34" s="273">
        <f t="shared" si="3"/>
        <v>7.221739188933185</v>
      </c>
      <c r="O34" s="273">
        <f t="shared" si="3"/>
        <v>6.4694153695596501</v>
      </c>
      <c r="P34" s="671"/>
      <c r="Q34" s="671"/>
      <c r="R34" s="671"/>
      <c r="S34" s="671"/>
    </row>
    <row r="35" spans="1:19">
      <c r="A35" s="448" t="s">
        <v>603</v>
      </c>
      <c r="B35" s="273">
        <f>((((B13/B5))^(1/8))-1)*100</f>
        <v>8.6964455084254091</v>
      </c>
      <c r="C35" s="273">
        <f t="shared" ref="C35:O35" si="4">((((C13/C5))^(1/8))-1)*100</f>
        <v>9.0840206971663626</v>
      </c>
      <c r="D35" s="273">
        <f t="shared" si="4"/>
        <v>7.9257371263064647</v>
      </c>
      <c r="E35" s="273">
        <f t="shared" si="4"/>
        <v>6.9674730232613502</v>
      </c>
      <c r="F35" s="273">
        <f t="shared" si="4"/>
        <v>8.5328184243296015</v>
      </c>
      <c r="G35" s="273">
        <f t="shared" si="4"/>
        <v>8.3288188404165631</v>
      </c>
      <c r="H35" s="273">
        <f t="shared" si="4"/>
        <v>12.469823933469026</v>
      </c>
      <c r="I35" s="273">
        <f t="shared" si="4"/>
        <v>7.5038193599551217</v>
      </c>
      <c r="J35" s="273">
        <f t="shared" si="4"/>
        <v>9.5402325021885623</v>
      </c>
      <c r="K35" s="273">
        <f t="shared" si="4"/>
        <v>8.8524636230118414</v>
      </c>
      <c r="L35" s="273">
        <f t="shared" si="4"/>
        <v>3.0323699975743024</v>
      </c>
      <c r="M35" s="273">
        <f t="shared" si="4"/>
        <v>10.257180157589563</v>
      </c>
      <c r="N35" s="273">
        <f t="shared" si="4"/>
        <v>10.609751494921049</v>
      </c>
      <c r="O35" s="273">
        <f t="shared" si="4"/>
        <v>8.5232192128758868</v>
      </c>
      <c r="P35" s="273"/>
      <c r="Q35" s="273"/>
      <c r="R35" s="273"/>
      <c r="S35" s="273"/>
    </row>
    <row r="36" spans="1:19">
      <c r="A36" s="448" t="s">
        <v>604</v>
      </c>
      <c r="B36" s="273">
        <f>((((B24/B13))^(1/11))-1)*100</f>
        <v>5.309211629443511</v>
      </c>
      <c r="C36" s="273">
        <f t="shared" ref="C36:O36" si="5">((((C24/C13))^(1/11))-1)*100</f>
        <v>4.3657040860766383</v>
      </c>
      <c r="D36" s="273">
        <f t="shared" si="5"/>
        <v>3.481640670208952</v>
      </c>
      <c r="E36" s="273">
        <f t="shared" si="5"/>
        <v>4.8908057968315655</v>
      </c>
      <c r="F36" s="273">
        <f t="shared" si="5"/>
        <v>8.4236386080686962</v>
      </c>
      <c r="G36" s="273">
        <f t="shared" si="5"/>
        <v>6.1161775424327436</v>
      </c>
      <c r="H36" s="273">
        <f t="shared" si="5"/>
        <v>8.7423133389000984</v>
      </c>
      <c r="I36" s="273">
        <f t="shared" si="5"/>
        <v>0.62849052132261107</v>
      </c>
      <c r="J36" s="273">
        <f t="shared" si="5"/>
        <v>5.6761292632618421</v>
      </c>
      <c r="K36" s="273">
        <f t="shared" si="5"/>
        <v>5.8187732830529804</v>
      </c>
      <c r="L36" s="273">
        <f t="shared" si="5"/>
        <v>6.2582388643417142</v>
      </c>
      <c r="M36" s="273">
        <f t="shared" si="5"/>
        <v>5.3751174332461904</v>
      </c>
      <c r="N36" s="273">
        <f t="shared" si="5"/>
        <v>7.1128487138866214</v>
      </c>
      <c r="O36" s="273">
        <f t="shared" si="5"/>
        <v>5.2289798436172541</v>
      </c>
      <c r="P36" s="273"/>
      <c r="Q36" s="273"/>
      <c r="R36" s="273"/>
      <c r="S36" s="273"/>
    </row>
    <row r="37" spans="1:19">
      <c r="A37" s="448" t="s">
        <v>1410</v>
      </c>
      <c r="B37" s="671">
        <f>((((B32/B24))^(1/8))-1)*100</f>
        <v>6.5338832375488209</v>
      </c>
      <c r="C37" s="671">
        <f t="shared" ref="C37:O37" si="6">((((C32/C24))^(1/8))-1)*100</f>
        <v>8.0798965915489305</v>
      </c>
      <c r="D37" s="671">
        <f t="shared" si="6"/>
        <v>3.9881929919349801</v>
      </c>
      <c r="E37" s="671">
        <f t="shared" si="6"/>
        <v>11.028660191488115</v>
      </c>
      <c r="F37" s="671">
        <f t="shared" si="6"/>
        <v>6.5704743492326356</v>
      </c>
      <c r="G37" s="671">
        <f t="shared" si="6"/>
        <v>5.835569152822262</v>
      </c>
      <c r="H37" s="671">
        <f t="shared" si="6"/>
        <v>4.7879004628392119</v>
      </c>
      <c r="I37" s="671">
        <f t="shared" si="6"/>
        <v>2.3492614902607567</v>
      </c>
      <c r="J37" s="671">
        <f t="shared" si="6"/>
        <v>8.1320808504265365</v>
      </c>
      <c r="K37" s="671">
        <f t="shared" si="6"/>
        <v>10.207665224731821</v>
      </c>
      <c r="L37" s="671">
        <f t="shared" si="6"/>
        <v>1.1159340154358377</v>
      </c>
      <c r="M37" s="671">
        <f t="shared" si="6"/>
        <v>8.2446720461933243</v>
      </c>
      <c r="N37" s="671">
        <f t="shared" si="6"/>
        <v>4.0828163216735769</v>
      </c>
      <c r="O37" s="671">
        <f t="shared" si="6"/>
        <v>6.1512580982601595</v>
      </c>
      <c r="P37" s="273"/>
      <c r="Q37" s="273"/>
      <c r="R37" s="273"/>
      <c r="S37" s="273"/>
    </row>
    <row r="38" spans="1:19">
      <c r="A38" s="140"/>
      <c r="B38" s="671"/>
      <c r="C38" s="671"/>
      <c r="D38" s="671"/>
      <c r="E38" s="671"/>
      <c r="F38" s="671"/>
      <c r="G38" s="671"/>
      <c r="H38" s="671"/>
      <c r="I38" s="671"/>
      <c r="J38" s="671"/>
      <c r="K38" s="671"/>
      <c r="L38" s="671"/>
      <c r="M38" s="671"/>
      <c r="N38" s="671"/>
      <c r="O38" s="671"/>
      <c r="P38" s="671"/>
      <c r="Q38" s="671"/>
      <c r="R38" s="671"/>
      <c r="S38" s="671"/>
    </row>
    <row r="39" spans="1:19">
      <c r="A39" s="274"/>
      <c r="B39" s="671"/>
      <c r="C39" s="671"/>
      <c r="D39" s="671"/>
      <c r="E39" s="671"/>
      <c r="F39" s="671"/>
      <c r="G39" s="671"/>
      <c r="H39" s="671"/>
      <c r="I39" s="671"/>
      <c r="J39" s="671"/>
      <c r="K39" s="671"/>
      <c r="L39" s="671"/>
      <c r="M39" s="671"/>
      <c r="N39" s="671"/>
      <c r="O39" s="671"/>
      <c r="P39" s="671"/>
      <c r="Q39" s="671"/>
      <c r="R39" s="671"/>
      <c r="S39" s="671"/>
    </row>
    <row r="40" spans="1:19">
      <c r="A40" s="275" t="s">
        <v>1257</v>
      </c>
      <c r="P40" s="671"/>
      <c r="Q40" s="671"/>
      <c r="R40" s="671"/>
      <c r="S40" s="671"/>
    </row>
    <row r="41" spans="1:19">
      <c r="A41" s="275" t="s">
        <v>833</v>
      </c>
      <c r="P41" s="671"/>
      <c r="Q41" s="671"/>
      <c r="R41" s="671"/>
      <c r="S41" s="671"/>
    </row>
    <row r="42" spans="1:19" ht="26.25" customHeight="1">
      <c r="A42" s="1168" t="s">
        <v>726</v>
      </c>
      <c r="B42" s="1168"/>
      <c r="C42" s="1168"/>
      <c r="D42" s="1168"/>
      <c r="E42" s="1168"/>
      <c r="F42" s="1168"/>
      <c r="G42" s="1168"/>
      <c r="H42" s="1168"/>
      <c r="I42" s="1168"/>
      <c r="J42" s="1168"/>
      <c r="K42" s="1168"/>
      <c r="L42" s="1168"/>
      <c r="M42" s="1168"/>
      <c r="N42" s="1168"/>
      <c r="O42" s="1168"/>
    </row>
    <row r="43" spans="1:19">
      <c r="A43" s="1281" t="s">
        <v>727</v>
      </c>
      <c r="B43" s="1281"/>
      <c r="C43" s="1281"/>
      <c r="D43" s="1281"/>
      <c r="E43" s="1281"/>
      <c r="F43" s="1281"/>
      <c r="G43" s="1281"/>
      <c r="H43" s="1281"/>
      <c r="I43" s="1281"/>
      <c r="J43" s="1281"/>
      <c r="K43" s="1281"/>
      <c r="L43" s="1281"/>
      <c r="M43" s="1281"/>
      <c r="N43" s="1281"/>
      <c r="O43" s="1281"/>
      <c r="P43" s="276"/>
      <c r="Q43" s="276"/>
      <c r="R43" s="276"/>
      <c r="S43" s="276"/>
    </row>
    <row r="44" spans="1:19">
      <c r="A44" s="149" t="s">
        <v>1830</v>
      </c>
    </row>
    <row r="46" spans="1:19">
      <c r="A46" s="652">
        <v>1981</v>
      </c>
      <c r="B46" s="19">
        <v>1142222</v>
      </c>
      <c r="C46" s="19">
        <v>241845</v>
      </c>
      <c r="D46" s="19">
        <v>109058</v>
      </c>
      <c r="E46" s="19">
        <v>189022</v>
      </c>
      <c r="F46" s="19">
        <v>115007</v>
      </c>
      <c r="G46" s="19">
        <v>106296</v>
      </c>
      <c r="H46" s="19">
        <v>146117</v>
      </c>
      <c r="J46" s="19">
        <v>189316</v>
      </c>
      <c r="K46" s="19">
        <v>46867</v>
      </c>
      <c r="L46" s="19">
        <v>13002</v>
      </c>
      <c r="M46" s="19">
        <v>114612</v>
      </c>
    </row>
    <row r="47" spans="1:19">
      <c r="A47" s="652">
        <v>1982</v>
      </c>
      <c r="B47" s="19">
        <v>1222342</v>
      </c>
      <c r="C47" s="19">
        <v>259268</v>
      </c>
      <c r="D47" s="19">
        <v>111930</v>
      </c>
      <c r="E47" s="19">
        <v>186077</v>
      </c>
      <c r="F47" s="19">
        <v>123487</v>
      </c>
      <c r="G47" s="19">
        <v>104379</v>
      </c>
      <c r="H47" s="19">
        <v>166207</v>
      </c>
      <c r="J47" s="19">
        <v>188170</v>
      </c>
      <c r="K47" s="19">
        <v>46043</v>
      </c>
      <c r="L47" s="19">
        <v>12335</v>
      </c>
      <c r="M47" s="19">
        <v>116496</v>
      </c>
    </row>
    <row r="48" spans="1:19">
      <c r="A48" s="652">
        <v>1983</v>
      </c>
      <c r="B48" s="19">
        <v>1322388</v>
      </c>
      <c r="C48" s="19">
        <v>278203</v>
      </c>
      <c r="D48" s="19">
        <v>117755</v>
      </c>
      <c r="E48" s="19">
        <v>193011</v>
      </c>
      <c r="F48" s="19">
        <v>140318</v>
      </c>
      <c r="G48" s="19">
        <v>100904</v>
      </c>
      <c r="H48" s="19">
        <v>189654</v>
      </c>
      <c r="J48" s="19">
        <v>202308</v>
      </c>
      <c r="K48" s="19">
        <v>47842</v>
      </c>
      <c r="L48" s="19">
        <v>11815</v>
      </c>
      <c r="M48" s="19">
        <v>127254</v>
      </c>
    </row>
    <row r="49" spans="1:13">
      <c r="A49" s="652">
        <v>1984</v>
      </c>
      <c r="B49" s="19">
        <v>1414891</v>
      </c>
      <c r="C49" s="19">
        <v>295950</v>
      </c>
      <c r="D49" s="19">
        <v>124990</v>
      </c>
      <c r="E49" s="19">
        <v>201438</v>
      </c>
      <c r="F49" s="19">
        <v>149351</v>
      </c>
      <c r="G49" s="19">
        <v>125058</v>
      </c>
      <c r="H49" s="19">
        <v>213643</v>
      </c>
      <c r="J49" s="19">
        <v>213027</v>
      </c>
      <c r="K49" s="19">
        <v>52122</v>
      </c>
      <c r="L49" s="19">
        <v>11911</v>
      </c>
      <c r="M49" s="19">
        <v>134938</v>
      </c>
    </row>
    <row r="50" spans="1:13">
      <c r="A50" s="652">
        <v>1985</v>
      </c>
      <c r="B50" s="19">
        <v>1524299</v>
      </c>
      <c r="C50" s="19">
        <v>319358</v>
      </c>
      <c r="D50" s="19">
        <v>135966</v>
      </c>
      <c r="E50" s="19">
        <v>200521</v>
      </c>
      <c r="F50" s="19">
        <v>165413</v>
      </c>
      <c r="G50" s="19">
        <v>131423</v>
      </c>
      <c r="H50" s="19">
        <v>242862</v>
      </c>
      <c r="J50" s="19">
        <v>235296</v>
      </c>
      <c r="K50" s="19">
        <v>59194</v>
      </c>
      <c r="L50" s="19">
        <v>12326</v>
      </c>
      <c r="M50" s="19">
        <v>148103</v>
      </c>
    </row>
    <row r="51" spans="1:13">
      <c r="A51" s="652">
        <v>1986</v>
      </c>
      <c r="B51" s="19">
        <v>1677114</v>
      </c>
      <c r="C51" s="19">
        <v>357430</v>
      </c>
      <c r="D51" s="19">
        <v>153430</v>
      </c>
      <c r="E51" s="19">
        <v>219981</v>
      </c>
      <c r="F51" s="19">
        <v>180783</v>
      </c>
      <c r="G51" s="19">
        <v>141912</v>
      </c>
      <c r="H51" s="19">
        <v>275865</v>
      </c>
      <c r="J51" s="19">
        <v>268555</v>
      </c>
      <c r="K51" s="19">
        <v>65110</v>
      </c>
      <c r="L51" s="19">
        <v>12979</v>
      </c>
      <c r="M51" s="19">
        <v>168843</v>
      </c>
    </row>
    <row r="52" spans="1:13">
      <c r="A52" s="652">
        <v>1987</v>
      </c>
      <c r="B52" s="19">
        <v>1834865</v>
      </c>
      <c r="C52" s="19">
        <v>403816</v>
      </c>
      <c r="D52" s="19">
        <v>166916</v>
      </c>
      <c r="E52" s="19">
        <v>249089</v>
      </c>
      <c r="F52" s="19">
        <v>200494</v>
      </c>
      <c r="G52" s="19">
        <v>150713</v>
      </c>
      <c r="H52" s="19">
        <v>308145</v>
      </c>
      <c r="J52" s="19">
        <v>311508</v>
      </c>
      <c r="K52" s="19">
        <v>74624</v>
      </c>
      <c r="L52" s="19">
        <v>14120</v>
      </c>
      <c r="M52" s="19">
        <v>194477</v>
      </c>
    </row>
    <row r="53" spans="1:13">
      <c r="A53" s="652">
        <v>1988</v>
      </c>
      <c r="B53" s="19">
        <v>2016587</v>
      </c>
      <c r="C53" s="19">
        <v>446882</v>
      </c>
      <c r="D53" s="19">
        <v>184807</v>
      </c>
      <c r="E53" s="19">
        <v>280114</v>
      </c>
      <c r="F53" s="19">
        <v>209095</v>
      </c>
      <c r="G53" s="19">
        <v>172629</v>
      </c>
      <c r="H53" s="19">
        <v>340607</v>
      </c>
      <c r="J53" s="19">
        <v>351229</v>
      </c>
      <c r="K53" s="19">
        <v>84045</v>
      </c>
      <c r="L53" s="19">
        <v>16724</v>
      </c>
      <c r="M53" s="19">
        <v>220558</v>
      </c>
    </row>
    <row r="54" spans="1:13">
      <c r="A54" s="652">
        <v>1989</v>
      </c>
      <c r="B54" s="19">
        <v>2225734</v>
      </c>
      <c r="C54" s="19">
        <v>484871</v>
      </c>
      <c r="D54" s="19">
        <v>200751</v>
      </c>
      <c r="E54" s="19">
        <v>323986</v>
      </c>
      <c r="F54" s="19">
        <v>221418</v>
      </c>
      <c r="G54" s="19">
        <v>201590</v>
      </c>
      <c r="H54" s="19">
        <v>374101</v>
      </c>
      <c r="J54" s="19">
        <v>392443</v>
      </c>
      <c r="K54" s="19">
        <v>92379</v>
      </c>
      <c r="L54" s="19">
        <v>16512</v>
      </c>
      <c r="M54" s="19">
        <v>250314</v>
      </c>
    </row>
    <row r="55" spans="1:13">
      <c r="A55" s="652">
        <v>1990</v>
      </c>
      <c r="B55" s="19">
        <v>2324403</v>
      </c>
      <c r="C55" s="19">
        <v>510213</v>
      </c>
      <c r="D55" s="19">
        <v>207707</v>
      </c>
      <c r="E55" s="19">
        <v>321705</v>
      </c>
      <c r="F55" s="19">
        <v>219484</v>
      </c>
      <c r="G55" s="19">
        <v>216817</v>
      </c>
      <c r="H55" s="19">
        <v>401156</v>
      </c>
      <c r="J55" s="19">
        <v>425137</v>
      </c>
      <c r="K55" s="19">
        <v>97233</v>
      </c>
      <c r="L55" s="19">
        <v>18636</v>
      </c>
      <c r="M55" s="19">
        <v>270656</v>
      </c>
    </row>
    <row r="56" spans="1:13">
      <c r="A56" s="652">
        <v>1991</v>
      </c>
      <c r="B56" s="19">
        <v>2462057</v>
      </c>
      <c r="C56" s="19">
        <v>540225</v>
      </c>
      <c r="D56" s="19">
        <v>210181</v>
      </c>
      <c r="E56" s="19">
        <v>348940</v>
      </c>
      <c r="F56" s="19">
        <v>231839</v>
      </c>
      <c r="G56" s="19">
        <v>230141</v>
      </c>
      <c r="H56" s="19">
        <v>438819</v>
      </c>
      <c r="J56" s="19">
        <v>443113</v>
      </c>
      <c r="K56" s="19">
        <v>99170</v>
      </c>
      <c r="L56" s="19">
        <v>18239</v>
      </c>
      <c r="M56" s="19">
        <v>291110</v>
      </c>
    </row>
    <row r="57" spans="1:13">
      <c r="A57" s="652">
        <v>1992</v>
      </c>
      <c r="B57" s="19">
        <v>2592801</v>
      </c>
      <c r="C57" s="19">
        <v>567865</v>
      </c>
      <c r="D57" s="19">
        <v>212657</v>
      </c>
      <c r="E57" s="19">
        <v>369273</v>
      </c>
      <c r="F57" s="19">
        <v>243609</v>
      </c>
      <c r="G57" s="19">
        <v>246676</v>
      </c>
      <c r="H57" s="19">
        <v>470799</v>
      </c>
      <c r="J57" s="19">
        <v>467266</v>
      </c>
      <c r="K57" s="19">
        <v>99752</v>
      </c>
      <c r="L57" s="19">
        <v>18808</v>
      </c>
      <c r="M57" s="19">
        <v>312309</v>
      </c>
    </row>
    <row r="58" spans="1:13">
      <c r="A58" s="652">
        <v>1993</v>
      </c>
      <c r="B58" s="19">
        <v>2748154</v>
      </c>
      <c r="C58" s="19">
        <v>601899</v>
      </c>
      <c r="D58" s="19">
        <v>218930</v>
      </c>
      <c r="E58" s="19">
        <v>395167</v>
      </c>
      <c r="F58" s="19">
        <v>277941</v>
      </c>
      <c r="G58" s="19">
        <v>279040</v>
      </c>
      <c r="H58" s="19">
        <v>526636</v>
      </c>
      <c r="J58" s="19">
        <v>492642</v>
      </c>
      <c r="K58" s="19">
        <v>104551</v>
      </c>
      <c r="L58" s="19">
        <v>20737</v>
      </c>
      <c r="M58" s="19">
        <v>329111</v>
      </c>
    </row>
    <row r="59" spans="1:13">
      <c r="A59" s="652">
        <v>1994</v>
      </c>
      <c r="B59" s="19">
        <v>2900395</v>
      </c>
      <c r="C59" s="19">
        <v>628315</v>
      </c>
      <c r="D59" s="19">
        <v>227097</v>
      </c>
      <c r="E59" s="19">
        <v>422465</v>
      </c>
      <c r="F59" s="19">
        <v>307655</v>
      </c>
      <c r="G59" s="19">
        <v>293082</v>
      </c>
      <c r="H59" s="19">
        <v>562116</v>
      </c>
      <c r="J59" s="19">
        <v>517172</v>
      </c>
      <c r="K59" s="19">
        <v>111166</v>
      </c>
      <c r="L59" s="19">
        <v>20304</v>
      </c>
      <c r="M59" s="19">
        <v>343868</v>
      </c>
    </row>
    <row r="60" spans="1:13">
      <c r="A60" s="652">
        <v>1995</v>
      </c>
      <c r="B60" s="19">
        <v>3013549</v>
      </c>
      <c r="C60" s="19">
        <v>636815</v>
      </c>
      <c r="D60" s="19">
        <v>231167</v>
      </c>
      <c r="E60" s="19">
        <v>419155</v>
      </c>
      <c r="F60" s="19">
        <v>314525</v>
      </c>
      <c r="G60" s="19">
        <v>312302</v>
      </c>
      <c r="H60" s="19">
        <v>606231</v>
      </c>
      <c r="J60" s="19">
        <v>537454</v>
      </c>
      <c r="K60" s="19">
        <v>116713</v>
      </c>
      <c r="L60" s="19">
        <v>21410</v>
      </c>
      <c r="M60" s="19">
        <v>357446</v>
      </c>
    </row>
    <row r="61" spans="1:13">
      <c r="A61" s="652">
        <v>1996</v>
      </c>
      <c r="B61" s="19">
        <v>3167469</v>
      </c>
      <c r="C61" s="19">
        <v>653960</v>
      </c>
      <c r="D61" s="19">
        <v>236360</v>
      </c>
      <c r="E61" s="19">
        <v>434492</v>
      </c>
      <c r="F61" s="19">
        <v>352529</v>
      </c>
      <c r="G61" s="19">
        <v>315309</v>
      </c>
      <c r="H61" s="19">
        <v>655736</v>
      </c>
      <c r="J61" s="19">
        <v>563873</v>
      </c>
      <c r="K61" s="19">
        <v>124054</v>
      </c>
      <c r="L61" s="19">
        <v>22462</v>
      </c>
      <c r="M61" s="19">
        <v>373514</v>
      </c>
    </row>
    <row r="62" spans="1:13">
      <c r="A62" s="652">
        <v>1997</v>
      </c>
      <c r="B62" s="19">
        <v>3335907</v>
      </c>
      <c r="C62" s="19">
        <v>679461</v>
      </c>
      <c r="D62" s="19">
        <v>246692</v>
      </c>
      <c r="E62" s="19">
        <v>461012</v>
      </c>
      <c r="F62" s="19">
        <v>404900</v>
      </c>
      <c r="G62" s="19">
        <v>317988</v>
      </c>
      <c r="H62" s="19">
        <v>716423</v>
      </c>
      <c r="J62" s="19">
        <v>598459</v>
      </c>
      <c r="K62" s="19">
        <v>132826</v>
      </c>
      <c r="L62" s="19">
        <v>25402</v>
      </c>
      <c r="M62" s="19">
        <v>390927</v>
      </c>
    </row>
    <row r="63" spans="1:13">
      <c r="A63" s="652">
        <v>1998</v>
      </c>
      <c r="B63" s="19">
        <v>3471294</v>
      </c>
      <c r="C63" s="19">
        <v>708241</v>
      </c>
      <c r="D63" s="19">
        <v>258923</v>
      </c>
      <c r="E63" s="19">
        <v>483868</v>
      </c>
      <c r="F63" s="19">
        <v>452139</v>
      </c>
      <c r="G63" s="19">
        <v>308992</v>
      </c>
      <c r="H63" s="19">
        <v>788892</v>
      </c>
      <c r="J63" s="19">
        <v>636784</v>
      </c>
      <c r="K63" s="19">
        <v>144189</v>
      </c>
      <c r="L63" s="19">
        <v>27983</v>
      </c>
      <c r="M63" s="19">
        <v>408219</v>
      </c>
    </row>
    <row r="64" spans="1:13">
      <c r="A64" s="652">
        <v>1999</v>
      </c>
      <c r="B64" s="19">
        <v>3702843</v>
      </c>
      <c r="C64" s="19">
        <v>745043</v>
      </c>
      <c r="D64" s="19">
        <v>277357</v>
      </c>
      <c r="E64" s="19">
        <v>517396</v>
      </c>
      <c r="F64" s="19">
        <v>483515</v>
      </c>
      <c r="G64" s="19">
        <v>324982</v>
      </c>
      <c r="H64" s="19">
        <v>861409</v>
      </c>
      <c r="J64" s="19">
        <v>680017</v>
      </c>
      <c r="K64" s="19">
        <v>158245</v>
      </c>
      <c r="L64" s="19">
        <v>29452</v>
      </c>
      <c r="M64" s="19">
        <v>427958</v>
      </c>
    </row>
    <row r="65" spans="1:13">
      <c r="A65" s="652">
        <v>2000</v>
      </c>
      <c r="B65" s="19">
        <v>3931907</v>
      </c>
      <c r="C65" s="19">
        <v>775822</v>
      </c>
      <c r="D65" s="19">
        <v>292519</v>
      </c>
      <c r="E65" s="19">
        <v>547820</v>
      </c>
      <c r="F65" s="19">
        <v>538985</v>
      </c>
      <c r="G65" s="19">
        <v>387317</v>
      </c>
      <c r="H65" s="19">
        <v>940531</v>
      </c>
      <c r="J65" s="19">
        <v>720315</v>
      </c>
      <c r="K65" s="19">
        <v>172093</v>
      </c>
      <c r="L65" s="19">
        <v>32195</v>
      </c>
      <c r="M65" s="19">
        <v>445250</v>
      </c>
    </row>
    <row r="66" spans="1:13">
      <c r="A66" s="652">
        <v>2001</v>
      </c>
      <c r="B66" s="19">
        <v>4130868</v>
      </c>
      <c r="C66" s="19">
        <v>822422</v>
      </c>
      <c r="D66" s="19">
        <v>308021</v>
      </c>
      <c r="E66" s="19">
        <v>599956</v>
      </c>
      <c r="F66" s="19">
        <v>563278</v>
      </c>
      <c r="G66" s="19">
        <v>393860</v>
      </c>
      <c r="H66" s="19">
        <v>955577</v>
      </c>
      <c r="J66" s="19">
        <v>763693</v>
      </c>
      <c r="K66" s="19">
        <v>187131</v>
      </c>
      <c r="L66" s="19">
        <v>30603</v>
      </c>
      <c r="M66" s="19">
        <v>465790</v>
      </c>
    </row>
    <row r="67" spans="1:13">
      <c r="A67" s="652">
        <v>2002</v>
      </c>
      <c r="B67" s="19">
        <v>4370955</v>
      </c>
      <c r="C67" s="19">
        <v>886292</v>
      </c>
      <c r="D67" s="19">
        <v>330846</v>
      </c>
      <c r="E67" s="19">
        <v>673746</v>
      </c>
      <c r="F67" s="19">
        <v>579954</v>
      </c>
      <c r="G67" s="19">
        <v>414651</v>
      </c>
      <c r="H67" s="19">
        <v>979100</v>
      </c>
      <c r="J67" s="19">
        <v>812668</v>
      </c>
      <c r="K67" s="19">
        <v>204792</v>
      </c>
      <c r="L67" s="19">
        <v>30576</v>
      </c>
      <c r="M67" s="19">
        <v>494072</v>
      </c>
    </row>
    <row r="68" spans="1:13">
      <c r="A68" s="652">
        <v>2003</v>
      </c>
      <c r="B68" s="19">
        <v>4590376</v>
      </c>
      <c r="C68" s="19">
        <v>967357</v>
      </c>
      <c r="D68" s="19">
        <v>345088</v>
      </c>
      <c r="E68" s="19">
        <v>735559</v>
      </c>
      <c r="F68" s="19">
        <v>583701</v>
      </c>
      <c r="G68" s="19">
        <v>434854</v>
      </c>
      <c r="H68" s="19">
        <v>1012979</v>
      </c>
      <c r="J68" s="19">
        <v>869694</v>
      </c>
      <c r="K68" s="19">
        <v>225221</v>
      </c>
      <c r="L68" s="19">
        <v>31331</v>
      </c>
      <c r="M68" s="19">
        <v>527809</v>
      </c>
    </row>
    <row r="69" spans="1:13">
      <c r="A69" s="652">
        <v>2004</v>
      </c>
      <c r="B69" s="19">
        <v>4884981</v>
      </c>
      <c r="C69" s="19">
        <v>1050558</v>
      </c>
      <c r="D69" s="19">
        <v>359267</v>
      </c>
      <c r="E69" s="19">
        <v>838172</v>
      </c>
      <c r="F69" s="19">
        <v>603669</v>
      </c>
      <c r="G69" s="19">
        <v>459435</v>
      </c>
      <c r="H69" s="19">
        <v>1080425</v>
      </c>
      <c r="J69" s="19">
        <v>945073</v>
      </c>
      <c r="K69" s="19">
        <v>254419</v>
      </c>
      <c r="L69" s="19">
        <v>29717</v>
      </c>
      <c r="M69" s="19">
        <v>576933</v>
      </c>
    </row>
    <row r="70" spans="1:13">
      <c r="A70" s="652">
        <v>2005</v>
      </c>
      <c r="B70" s="19">
        <v>5273030</v>
      </c>
      <c r="C70" s="19">
        <v>1138554</v>
      </c>
      <c r="D70" s="19">
        <v>374606</v>
      </c>
      <c r="E70" s="19">
        <v>942036</v>
      </c>
      <c r="F70" s="19">
        <v>671476</v>
      </c>
      <c r="G70" s="19">
        <v>474331</v>
      </c>
      <c r="H70" s="19">
        <v>1166149</v>
      </c>
      <c r="J70" s="19">
        <v>1029461</v>
      </c>
      <c r="K70" s="19">
        <v>282686</v>
      </c>
      <c r="L70" s="19">
        <v>29371</v>
      </c>
      <c r="M70" s="19">
        <v>631954</v>
      </c>
    </row>
    <row r="71" spans="1:13">
      <c r="A71" s="652">
        <v>2006</v>
      </c>
      <c r="B71" s="19">
        <v>5774090</v>
      </c>
      <c r="C71" s="19">
        <v>1274131</v>
      </c>
      <c r="D71" s="19">
        <v>386852</v>
      </c>
      <c r="E71" s="19">
        <v>1060774</v>
      </c>
      <c r="F71" s="19">
        <v>778229</v>
      </c>
      <c r="G71" s="19">
        <v>508477</v>
      </c>
      <c r="H71" s="19">
        <v>1265483</v>
      </c>
      <c r="J71" s="19">
        <v>1129696</v>
      </c>
      <c r="K71" s="19">
        <v>312732</v>
      </c>
      <c r="L71" s="19">
        <v>28094</v>
      </c>
      <c r="M71" s="19">
        <v>698031</v>
      </c>
    </row>
    <row r="72" spans="1:13">
      <c r="A72" s="652">
        <v>2007</v>
      </c>
      <c r="B72" s="19">
        <v>6179994</v>
      </c>
      <c r="C72" s="19">
        <v>1380004</v>
      </c>
      <c r="D72" s="19">
        <v>398226</v>
      </c>
      <c r="E72" s="19">
        <v>1183616</v>
      </c>
      <c r="F72" s="19">
        <v>825766</v>
      </c>
      <c r="G72" s="19">
        <v>544141</v>
      </c>
      <c r="H72" s="19">
        <v>1365874</v>
      </c>
      <c r="J72" s="19">
        <v>1246394</v>
      </c>
      <c r="K72" s="19">
        <v>348583</v>
      </c>
      <c r="L72" s="19">
        <v>26984</v>
      </c>
      <c r="M72" s="19">
        <v>777466</v>
      </c>
    </row>
    <row r="73" spans="1:13">
      <c r="A73" s="275">
        <v>2008</v>
      </c>
      <c r="B73" s="19">
        <v>6536418</v>
      </c>
      <c r="C73" s="19">
        <v>1455707</v>
      </c>
      <c r="D73" s="19">
        <v>399969</v>
      </c>
      <c r="E73" s="19">
        <v>1260023</v>
      </c>
      <c r="F73" s="19">
        <v>919584</v>
      </c>
      <c r="G73" s="19">
        <v>609220</v>
      </c>
      <c r="H73" s="19">
        <v>1398842</v>
      </c>
      <c r="J73" s="19">
        <v>1355799</v>
      </c>
      <c r="K73" s="19">
        <v>379519</v>
      </c>
      <c r="L73" s="19">
        <v>27803</v>
      </c>
      <c r="M73" s="19">
        <v>850308</v>
      </c>
    </row>
  </sheetData>
  <mergeCells count="3">
    <mergeCell ref="B33:O33"/>
    <mergeCell ref="A42:O42"/>
    <mergeCell ref="A43:O43"/>
  </mergeCells>
  <phoneticPr fontId="36" type="noConversion"/>
  <pageMargins left="0.75" right="0.75" top="1" bottom="1" header="0.5" footer="0.5"/>
  <pageSetup scale="64" orientation="landscape" verticalDpi="0" r:id="rId1"/>
  <headerFooter alignWithMargins="0"/>
</worksheet>
</file>

<file path=xl/worksheets/sheet171.xml><?xml version="1.0" encoding="utf-8"?>
<worksheet xmlns="http://schemas.openxmlformats.org/spreadsheetml/2006/main" xmlns:r="http://schemas.openxmlformats.org/officeDocument/2006/relationships">
  <sheetPr codeName="Sheet151">
    <pageSetUpPr fitToPage="1"/>
  </sheetPr>
  <dimension ref="A1:Q72"/>
  <sheetViews>
    <sheetView view="pageBreakPreview" zoomScale="85" zoomScaleSheetLayoutView="85" workbookViewId="0">
      <pane xSplit="1" ySplit="3" topLeftCell="E4"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8" style="275" customWidth="1"/>
    <col min="2" max="7" width="12.85546875" style="275" customWidth="1"/>
    <col min="8" max="8" width="14.140625" style="275" customWidth="1"/>
    <col min="9" max="11" width="12.85546875" style="275" customWidth="1"/>
    <col min="12" max="15" width="13.140625" style="275" customWidth="1"/>
    <col min="16" max="16384" width="8" style="275"/>
  </cols>
  <sheetData>
    <row r="1" spans="1:16" ht="15.75">
      <c r="A1" s="339" t="s">
        <v>2222</v>
      </c>
      <c r="B1" s="340"/>
      <c r="C1" s="340"/>
      <c r="D1" s="340"/>
      <c r="E1" s="340"/>
      <c r="F1" s="340"/>
      <c r="G1" s="340"/>
      <c r="H1" s="340"/>
    </row>
    <row r="3" spans="1:16" ht="25.5">
      <c r="A3" s="341"/>
      <c r="B3" s="268" t="s">
        <v>1235</v>
      </c>
      <c r="C3" s="280" t="s">
        <v>1236</v>
      </c>
      <c r="D3" s="280" t="s">
        <v>1237</v>
      </c>
      <c r="E3" s="280" t="s">
        <v>1238</v>
      </c>
      <c r="F3" s="280" t="s">
        <v>1239</v>
      </c>
      <c r="G3" s="280" t="s">
        <v>1240</v>
      </c>
      <c r="H3" s="280" t="s">
        <v>1241</v>
      </c>
      <c r="I3" s="280" t="s">
        <v>1242</v>
      </c>
      <c r="J3" s="269" t="s">
        <v>1243</v>
      </c>
      <c r="K3" s="280" t="s">
        <v>1244</v>
      </c>
      <c r="L3" s="280" t="s">
        <v>1245</v>
      </c>
      <c r="M3" s="280" t="s">
        <v>1246</v>
      </c>
      <c r="N3" s="280" t="s">
        <v>1247</v>
      </c>
      <c r="O3" s="269" t="s">
        <v>1248</v>
      </c>
    </row>
    <row r="4" spans="1:16" ht="33.75" customHeight="1">
      <c r="A4" s="342"/>
      <c r="B4" s="270" t="s">
        <v>1249</v>
      </c>
      <c r="C4" s="271" t="s">
        <v>585</v>
      </c>
      <c r="D4" s="271" t="s">
        <v>587</v>
      </c>
      <c r="E4" s="271" t="s">
        <v>588</v>
      </c>
      <c r="F4" s="271" t="s">
        <v>592</v>
      </c>
      <c r="G4" s="271" t="s">
        <v>593</v>
      </c>
      <c r="H4" s="271" t="s">
        <v>595</v>
      </c>
      <c r="I4" s="271" t="s">
        <v>1250</v>
      </c>
      <c r="J4" s="271" t="s">
        <v>1251</v>
      </c>
      <c r="K4" s="271" t="s">
        <v>1252</v>
      </c>
      <c r="L4" s="271" t="s">
        <v>1253</v>
      </c>
      <c r="M4" s="271" t="s">
        <v>1254</v>
      </c>
      <c r="N4" s="271" t="s">
        <v>1255</v>
      </c>
      <c r="O4" s="272" t="s">
        <v>1256</v>
      </c>
    </row>
    <row r="5" spans="1:16">
      <c r="A5" s="275">
        <v>1981</v>
      </c>
      <c r="B5" s="278">
        <f>'47'!B5/'47a'!$C45*100</f>
        <v>2256753.76969697</v>
      </c>
      <c r="C5" s="344">
        <f>'47'!C5/'47a'!$C45*100</f>
        <v>477827.09090909094</v>
      </c>
      <c r="D5" s="344">
        <f>'47'!D5/'47a'!$C45*100</f>
        <v>215472.16969696974</v>
      </c>
      <c r="E5" s="344">
        <f>'47'!E5/'47a'!$C45*100</f>
        <v>373461.6484848485</v>
      </c>
      <c r="F5" s="344">
        <f>'47'!F5/'47a'!$C45*100</f>
        <v>227225.95151515151</v>
      </c>
      <c r="G5" s="344">
        <f>'47'!G5/'47a'!$C45*100</f>
        <v>210015.12727272729</v>
      </c>
      <c r="H5" s="344">
        <f>'47'!H5/'47a'!$C45*100</f>
        <v>288691.76969696971</v>
      </c>
      <c r="I5" s="344">
        <f>'47'!I5/'47a'!$C45*100</f>
        <v>464060.0121212122</v>
      </c>
      <c r="J5" s="344">
        <f>'47'!J5/'47a'!$C45*100</f>
        <v>374042.52121212124</v>
      </c>
      <c r="K5" s="344">
        <f>'47'!K5/'47a'!$C45*100</f>
        <v>92597.830303030307</v>
      </c>
      <c r="L5" s="344">
        <f>'47'!L5/'47a'!$C45*100</f>
        <v>25688.800000000003</v>
      </c>
      <c r="M5" s="344">
        <f>'47'!M5/'47a'!$C45*100</f>
        <v>226445.52727272731</v>
      </c>
      <c r="N5" s="344">
        <f>'47'!N5/'47a'!$C45*100</f>
        <v>29310.36363636364</v>
      </c>
      <c r="O5" s="344">
        <f>'47'!O5/'47a'!$C45*100</f>
        <v>1882711.2484848488</v>
      </c>
      <c r="P5" s="275">
        <f>1000*O5/'1'!B15</f>
        <v>75854.862858508932</v>
      </c>
    </row>
    <row r="6" spans="1:16">
      <c r="A6" s="275">
        <v>1982</v>
      </c>
      <c r="B6" s="278">
        <f>'47'!B6/'47a'!$C46*100</f>
        <v>2177505.4207650274</v>
      </c>
      <c r="C6" s="344">
        <f>'47'!C6/'47a'!$C46*100</f>
        <v>461865.39890710381</v>
      </c>
      <c r="D6" s="344">
        <f>'47'!D6/'47a'!$C46*100</f>
        <v>199394.42622950822</v>
      </c>
      <c r="E6" s="344">
        <f>'47'!E6/'47a'!$C46*100</f>
        <v>331481.43169398909</v>
      </c>
      <c r="F6" s="344">
        <f>'47'!F6/'47a'!$C46*100</f>
        <v>219982.30601092897</v>
      </c>
      <c r="G6" s="344">
        <f>'47'!G6/'47a'!$C46*100</f>
        <v>185942.9180327869</v>
      </c>
      <c r="H6" s="344">
        <f>'47'!H6/'47a'!$C46*100</f>
        <v>296084.60109289619</v>
      </c>
      <c r="I6" s="344">
        <f>'47'!I6/'47a'!$C46*100</f>
        <v>482754.33879781421</v>
      </c>
      <c r="J6" s="344">
        <f>'47'!J6/'47a'!$C46*100</f>
        <v>335209.94535519124</v>
      </c>
      <c r="K6" s="344">
        <f>'47'!K6/'47a'!$C46*100</f>
        <v>82021.956284153013</v>
      </c>
      <c r="L6" s="344">
        <f>'47'!L6/'47a'!$C46*100</f>
        <v>21973.825136612024</v>
      </c>
      <c r="M6" s="344">
        <f>'47'!M6/'47a'!$C46*100</f>
        <v>207528.39344262297</v>
      </c>
      <c r="N6" s="344">
        <f>'47'!N6/'47a'!$C46*100</f>
        <v>23685.77049180328</v>
      </c>
      <c r="O6" s="344">
        <f>'47'!O6/'47a'!$C46*100</f>
        <v>1842295.4754098363</v>
      </c>
      <c r="P6" s="275">
        <f>1000*O6/'1'!B16</f>
        <v>73348.717188972936</v>
      </c>
    </row>
    <row r="7" spans="1:16">
      <c r="A7" s="275">
        <v>1983</v>
      </c>
      <c r="B7" s="278">
        <f>'47'!B7/'47a'!$C47*100</f>
        <v>2225981.8657487091</v>
      </c>
      <c r="C7" s="344">
        <f>'47'!C7/'47a'!$C47*100</f>
        <v>468300.40275387256</v>
      </c>
      <c r="D7" s="344">
        <f>'47'!D7/'47a'!$C47*100</f>
        <v>198217.53872633388</v>
      </c>
      <c r="E7" s="344">
        <f>'47'!E7/'47a'!$C47*100</f>
        <v>324896.31325301196</v>
      </c>
      <c r="F7" s="344">
        <f>'47'!F7/'47a'!$C47*100</f>
        <v>236197.9414802065</v>
      </c>
      <c r="G7" s="344">
        <f>'47'!G7/'47a'!$C47*100</f>
        <v>169852.17211703956</v>
      </c>
      <c r="H7" s="344">
        <f>'47'!H7/'47a'!$C47*100</f>
        <v>319245.45955249562</v>
      </c>
      <c r="I7" s="344">
        <f>'47'!I7/'47a'!$C47*100</f>
        <v>509272.03786574863</v>
      </c>
      <c r="J7" s="344">
        <f>'47'!J7/'47a'!$C47*100</f>
        <v>340545.99655765912</v>
      </c>
      <c r="K7" s="344">
        <f>'47'!K7/'47a'!$C47*100</f>
        <v>80532.660929431993</v>
      </c>
      <c r="L7" s="344">
        <f>'47'!L7/'47a'!$C47*100</f>
        <v>19888.244406196209</v>
      </c>
      <c r="M7" s="344">
        <f>'47'!M7/'47a'!$C47*100</f>
        <v>214207.24956970735</v>
      </c>
      <c r="N7" s="344">
        <f>'47'!N7/'47a'!$C47*100</f>
        <v>25917.841652323576</v>
      </c>
      <c r="O7" s="344">
        <f>'47'!O7/'47a'!$C47*100</f>
        <v>1885435.8691910496</v>
      </c>
      <c r="P7" s="275">
        <f>1000*O7/'1'!B17</f>
        <v>74327.932953295254</v>
      </c>
    </row>
    <row r="8" spans="1:16">
      <c r="A8" s="275">
        <v>1984</v>
      </c>
      <c r="B8" s="278">
        <f>'47'!B8/'47a'!$C48*100</f>
        <v>2283437.9504950494</v>
      </c>
      <c r="C8" s="344">
        <f>'47'!C8/'47a'!$C48*100</f>
        <v>477622.27722772269</v>
      </c>
      <c r="D8" s="344">
        <f>'47'!D8/'47a'!$C48*100</f>
        <v>201716.53465346529</v>
      </c>
      <c r="E8" s="344">
        <f>'47'!E8/'47a'!$C48*100</f>
        <v>325093.00990099006</v>
      </c>
      <c r="F8" s="344">
        <f>'47'!F8/'47a'!$C48*100</f>
        <v>241031.81188118807</v>
      </c>
      <c r="G8" s="344">
        <f>'47'!G8/'47a'!$C48*100</f>
        <v>201826.27722772275</v>
      </c>
      <c r="H8" s="344">
        <f>'47'!H8/'47a'!$C48*100</f>
        <v>344790.18811881181</v>
      </c>
      <c r="I8" s="344">
        <f>'47'!I8/'47a'!$C48*100</f>
        <v>491357.85148514842</v>
      </c>
      <c r="J8" s="344">
        <f>'47'!J8/'47a'!$C48*100</f>
        <v>343796.04950495047</v>
      </c>
      <c r="K8" s="344">
        <f>'47'!K8/'47a'!$C48*100</f>
        <v>84117.683168316813</v>
      </c>
      <c r="L8" s="344">
        <f>'47'!L8/'47a'!$C48*100</f>
        <v>19222.702970297029</v>
      </c>
      <c r="M8" s="344">
        <f>'47'!M8/'47a'!$C48*100</f>
        <v>217771.22772277225</v>
      </c>
      <c r="N8" s="344">
        <f>'47'!N8/'47a'!$C48*100</f>
        <v>22684.435643564353</v>
      </c>
      <c r="O8" s="344">
        <f>'47'!O8/'47a'!$C48*100</f>
        <v>1939641.9009900987</v>
      </c>
      <c r="P8" s="275">
        <f>1000*O8/'1'!B18</f>
        <v>75746.393034376058</v>
      </c>
    </row>
    <row r="9" spans="1:16">
      <c r="A9" s="275">
        <v>1985</v>
      </c>
      <c r="B9" s="278">
        <f>'47'!B9/'47a'!$C49*100</f>
        <v>2366292.7333333329</v>
      </c>
      <c r="C9" s="344">
        <f>'47'!C9/'47a'!$C49*100</f>
        <v>495765.27619047608</v>
      </c>
      <c r="D9" s="344">
        <f>'47'!D9/'47a'!$C49*100</f>
        <v>211071.02857142856</v>
      </c>
      <c r="E9" s="344">
        <f>'47'!E9/'47a'!$C49*100</f>
        <v>311284.98095238092</v>
      </c>
      <c r="F9" s="344">
        <f>'47'!F9/'47a'!$C49*100</f>
        <v>256783.99047619046</v>
      </c>
      <c r="G9" s="344">
        <f>'47'!G9/'47a'!$C49*100</f>
        <v>204018.56190476188</v>
      </c>
      <c r="H9" s="344">
        <f>'47'!H9/'47a'!$C49*100</f>
        <v>377014.34285714279</v>
      </c>
      <c r="I9" s="344">
        <f>'47'!I9/'47a'!$C49*100</f>
        <v>510354.55238095229</v>
      </c>
      <c r="J9" s="344">
        <f>'47'!J9/'47a'!$C49*100</f>
        <v>365269.0285714285</v>
      </c>
      <c r="K9" s="344">
        <f>'47'!K9/'47a'!$C49*100</f>
        <v>91891.638095238086</v>
      </c>
      <c r="L9" s="344">
        <f>'47'!L9/'47a'!$C49*100</f>
        <v>19134.647619047617</v>
      </c>
      <c r="M9" s="344">
        <f>'47'!M9/'47a'!$C49*100</f>
        <v>229912.27619047617</v>
      </c>
      <c r="N9" s="344">
        <f>'47'!N9/'47a'!$C49*100</f>
        <v>24330.466666666664</v>
      </c>
      <c r="O9" s="344">
        <f>'47'!O9/'47a'!$C49*100</f>
        <v>2001023.7047619044</v>
      </c>
      <c r="P9" s="275">
        <f>1000*O9/'1'!B19</f>
        <v>77432.65701469277</v>
      </c>
    </row>
    <row r="10" spans="1:16">
      <c r="A10" s="275">
        <v>1986</v>
      </c>
      <c r="B10" s="278">
        <f>'47'!B10/'47a'!$C50*100</f>
        <v>2500331.5426829266</v>
      </c>
      <c r="C10" s="344">
        <f>'47'!C10/'47a'!$C50*100</f>
        <v>532875.82317073166</v>
      </c>
      <c r="D10" s="344">
        <f>'47'!D10/'47a'!$C50*100</f>
        <v>228741.67682926828</v>
      </c>
      <c r="E10" s="344">
        <f>'47'!E10/'47a'!$C50*100</f>
        <v>327959.47865853657</v>
      </c>
      <c r="F10" s="344">
        <f>'47'!F10/'47a'!$C50*100</f>
        <v>269520.99695121951</v>
      </c>
      <c r="G10" s="344">
        <f>'47'!G10/'47a'!$C50*100</f>
        <v>211570.0243902439</v>
      </c>
      <c r="H10" s="344">
        <f>'47'!H10/'47a'!$C50*100</f>
        <v>411274.34451219515</v>
      </c>
      <c r="I10" s="344">
        <f>'47'!I10/'47a'!$C50*100</f>
        <v>518389.19817073172</v>
      </c>
      <c r="J10" s="344">
        <f>'47'!J10/'47a'!$C50*100</f>
        <v>400376.20426829264</v>
      </c>
      <c r="K10" s="344">
        <f>'47'!K10/'47a'!$C50*100</f>
        <v>97069.481707317071</v>
      </c>
      <c r="L10" s="344">
        <f>'47'!L10/'47a'!$C50*100</f>
        <v>19349.789634146342</v>
      </c>
      <c r="M10" s="344">
        <f>'47'!M10/'47a'!$C50*100</f>
        <v>251720.20426829267</v>
      </c>
      <c r="N10" s="344">
        <f>'47'!N10/'47a'!$C50*100</f>
        <v>32236.728658536584</v>
      </c>
      <c r="O10" s="344">
        <f>'47'!O10/'47a'!$C50*100</f>
        <v>2099955.3384146341</v>
      </c>
      <c r="P10" s="275">
        <f>1000*O10/'1'!B20</f>
        <v>80457.2019659957</v>
      </c>
    </row>
    <row r="11" spans="1:16">
      <c r="A11" s="275">
        <v>1987</v>
      </c>
      <c r="B11" s="278">
        <f>'47'!B11/'47a'!$C51*100</f>
        <v>2619705.0656934311</v>
      </c>
      <c r="C11" s="344">
        <f>'47'!C11/'47a'!$C51*100</f>
        <v>576543.13576642331</v>
      </c>
      <c r="D11" s="344">
        <f>'47'!D11/'47a'!$C51*100</f>
        <v>238312.18686131388</v>
      </c>
      <c r="E11" s="344">
        <f>'47'!E11/'47a'!$C51*100</f>
        <v>355633.63795620442</v>
      </c>
      <c r="F11" s="344">
        <f>'47'!F11/'47a'!$C51*100</f>
        <v>286252.74744525552</v>
      </c>
      <c r="G11" s="344">
        <f>'47'!G11/'47a'!$C51*100</f>
        <v>215178.56058394164</v>
      </c>
      <c r="H11" s="344">
        <f>'47'!H11/'47a'!$C51*100</f>
        <v>439950.08759124094</v>
      </c>
      <c r="I11" s="344">
        <f>'47'!I11/'47a'!$C51*100</f>
        <v>507834.70948905114</v>
      </c>
      <c r="J11" s="344">
        <f>'47'!J11/'47a'!$C51*100</f>
        <v>444751.56788321171</v>
      </c>
      <c r="K11" s="344">
        <f>'47'!K11/'47a'!$C51*100</f>
        <v>106543.46277372263</v>
      </c>
      <c r="L11" s="344">
        <f>'47'!L11/'47a'!$C51*100</f>
        <v>20159.649635036494</v>
      </c>
      <c r="M11" s="344">
        <f>'47'!M11/'47a'!$C51*100</f>
        <v>277662.05255474459</v>
      </c>
      <c r="N11" s="344">
        <f>'47'!N11/'47a'!$C51*100</f>
        <v>40386.402919708031</v>
      </c>
      <c r="O11" s="344">
        <f>'47'!O11/'47a'!$C51*100</f>
        <v>2174953.4978102189</v>
      </c>
      <c r="P11" s="275">
        <f>1000*O11/'1'!B21</f>
        <v>82239.434013097518</v>
      </c>
    </row>
    <row r="12" spans="1:16">
      <c r="A12" s="275">
        <v>1988</v>
      </c>
      <c r="B12" s="278">
        <f>'47'!B12/'47a'!$C52*100</f>
        <v>2769974.83988764</v>
      </c>
      <c r="C12" s="344">
        <f>'47'!C12/'47a'!$C52*100</f>
        <v>613835.10674157296</v>
      </c>
      <c r="D12" s="344">
        <f>'47'!D12/'47a'!$C52*100</f>
        <v>253850.06460674154</v>
      </c>
      <c r="E12" s="344">
        <f>'47'!E12/'47a'!$C52*100</f>
        <v>384763.33146067412</v>
      </c>
      <c r="F12" s="344">
        <f>'47'!F12/'47a'!$C52*100</f>
        <v>287211.95224719099</v>
      </c>
      <c r="G12" s="344">
        <f>'47'!G12/'47a'!$C52*100</f>
        <v>237122.41853932582</v>
      </c>
      <c r="H12" s="344">
        <f>'47'!H12/'47a'!$C52*100</f>
        <v>467856.24438202241</v>
      </c>
      <c r="I12" s="344">
        <f>'47'!I12/'47a'!$C52*100</f>
        <v>525335.7219101123</v>
      </c>
      <c r="J12" s="344">
        <f>'47'!J12/'47a'!$C52*100</f>
        <v>482446.57584269653</v>
      </c>
      <c r="K12" s="344">
        <f>'47'!K12/'47a'!$C52*100</f>
        <v>115443.8342696629</v>
      </c>
      <c r="L12" s="344">
        <f>'47'!L12/'47a'!$C52*100</f>
        <v>22972.011235955055</v>
      </c>
      <c r="M12" s="344">
        <f>'47'!M12/'47a'!$C52*100</f>
        <v>302957.47752808983</v>
      </c>
      <c r="N12" s="344">
        <f>'47'!N12/'47a'!$C52*100</f>
        <v>41073.252808988756</v>
      </c>
      <c r="O12" s="344">
        <f>'47'!O12/'47a'!$C52*100</f>
        <v>2287528.2640449437</v>
      </c>
      <c r="P12" s="275">
        <f>1000*O12/'1'!B22</f>
        <v>85381.825382456169</v>
      </c>
    </row>
    <row r="13" spans="1:16">
      <c r="A13" s="275">
        <v>1989</v>
      </c>
      <c r="B13" s="278">
        <f>'47'!B13/'47a'!$C53*100</f>
        <v>2910117.4491978614</v>
      </c>
      <c r="C13" s="344">
        <f>'47'!C13/'47a'!$C53*100</f>
        <v>633962.35026737978</v>
      </c>
      <c r="D13" s="344">
        <f>'47'!D13/'47a'!$C53*100</f>
        <v>262479.24866310164</v>
      </c>
      <c r="E13" s="344">
        <f>'47'!E13/'47a'!$C53*100</f>
        <v>423607.36363636371</v>
      </c>
      <c r="F13" s="344">
        <f>'47'!F13/'47a'!$C53*100</f>
        <v>289501.07486631017</v>
      </c>
      <c r="G13" s="344">
        <f>'47'!G13/'47a'!$C53*100</f>
        <v>263576.22994652414</v>
      </c>
      <c r="H13" s="344">
        <f>'47'!H13/'47a'!$C53*100</f>
        <v>489132.05614973267</v>
      </c>
      <c r="I13" s="344">
        <f>'47'!I13/'47a'!$C53*100</f>
        <v>547859.12566844933</v>
      </c>
      <c r="J13" s="344">
        <f>'47'!J13/'47a'!$C53*100</f>
        <v>513113.97593582899</v>
      </c>
      <c r="K13" s="344">
        <f>'47'!K13/'47a'!$C53*100</f>
        <v>120784.30748663103</v>
      </c>
      <c r="L13" s="344">
        <f>'47'!L13/'47a'!$C53*100</f>
        <v>21589.219251336901</v>
      </c>
      <c r="M13" s="344">
        <f>'47'!M13/'47a'!$C53*100</f>
        <v>327282.2085561498</v>
      </c>
      <c r="N13" s="344">
        <f>'47'!N13/'47a'!$C53*100</f>
        <v>43458.240641711236</v>
      </c>
      <c r="O13" s="344">
        <f>'47'!O13/'47a'!$C53*100</f>
        <v>2397003.4732620325</v>
      </c>
      <c r="P13" s="275">
        <f>1000*O13/'1'!B23</f>
        <v>87877.065598834131</v>
      </c>
    </row>
    <row r="14" spans="1:16">
      <c r="A14" s="275">
        <v>1990</v>
      </c>
      <c r="B14" s="278">
        <f>'47'!B14/'47a'!$C54*100</f>
        <v>2899574.150510204</v>
      </c>
      <c r="C14" s="344">
        <f>'47'!C14/'47a'!$C54*100</f>
        <v>636464.68622448971</v>
      </c>
      <c r="D14" s="344">
        <f>'47'!D14/'47a'!$C54*100</f>
        <v>259103.88520408166</v>
      </c>
      <c r="E14" s="344">
        <f>'47'!E14/'47a'!$C54*100</f>
        <v>401310.57397959183</v>
      </c>
      <c r="F14" s="344">
        <f>'47'!F14/'47a'!$C54*100</f>
        <v>273795.09183673467</v>
      </c>
      <c r="G14" s="344">
        <f>'47'!G14/'47a'!$C54*100</f>
        <v>270468.14540816325</v>
      </c>
      <c r="H14" s="344">
        <f>'47'!H14/'47a'!$C54*100</f>
        <v>500421.6428571429</v>
      </c>
      <c r="I14" s="344">
        <f>'47'!I14/'47a'!$C54*100</f>
        <v>558010.125</v>
      </c>
      <c r="J14" s="344">
        <f>'47'!J14/'47a'!$C54*100</f>
        <v>530336.71683673467</v>
      </c>
      <c r="K14" s="344">
        <f>'47'!K14/'47a'!$C54*100</f>
        <v>121293.20663265305</v>
      </c>
      <c r="L14" s="344">
        <f>'47'!L14/'47a'!$C54*100</f>
        <v>23247.459183673469</v>
      </c>
      <c r="M14" s="344">
        <f>'47'!M14/'47a'!$C54*100</f>
        <v>337629.55102040817</v>
      </c>
      <c r="N14" s="344">
        <f>'47'!N14/'47a'!$C54*100</f>
        <v>48166.5</v>
      </c>
      <c r="O14" s="344">
        <f>'47'!O14/'47a'!$C54*100</f>
        <v>2369237.4336734693</v>
      </c>
      <c r="P14" s="275">
        <f>1000*O14/'1'!B24</f>
        <v>85559.41015040515</v>
      </c>
    </row>
    <row r="15" spans="1:16">
      <c r="A15" s="275">
        <v>1991</v>
      </c>
      <c r="B15" s="278">
        <f>'47'!B15/'47a'!$C55*100</f>
        <v>2908081.8188405796</v>
      </c>
      <c r="C15" s="344">
        <f>'47'!C15/'47a'!$C55*100</f>
        <v>638091.84782608692</v>
      </c>
      <c r="D15" s="344">
        <f>'47'!D15/'47a'!$C55*100</f>
        <v>248257.26811594199</v>
      </c>
      <c r="E15" s="344">
        <f>'47'!E15/'47a'!$C55*100</f>
        <v>412153.76811594196</v>
      </c>
      <c r="F15" s="344">
        <f>'47'!F15/'47a'!$C55*100</f>
        <v>273838.81884057971</v>
      </c>
      <c r="G15" s="344">
        <f>'47'!G15/'47a'!$C55*100</f>
        <v>271833.21014492755</v>
      </c>
      <c r="H15" s="344">
        <f>'47'!H15/'47a'!$C55*100</f>
        <v>518315.19565217383</v>
      </c>
      <c r="I15" s="344">
        <f>'47'!I15/'47a'!$C55*100</f>
        <v>545591.71014492749</v>
      </c>
      <c r="J15" s="344">
        <f>'47'!J15/'47a'!$C55*100</f>
        <v>523387.0942028985</v>
      </c>
      <c r="K15" s="344">
        <f>'47'!K15/'47a'!$C55*100</f>
        <v>117135.57971014493</v>
      </c>
      <c r="L15" s="344">
        <f>'47'!L15/'47a'!$C55*100</f>
        <v>21543.166666666664</v>
      </c>
      <c r="M15" s="344">
        <f>'47'!M15/'47a'!$C55*100</f>
        <v>343847.31884057971</v>
      </c>
      <c r="N15" s="344">
        <f>'47'!N15/'47a'!$C55*100</f>
        <v>40861.028985507241</v>
      </c>
      <c r="O15" s="344">
        <f>'47'!O15/'47a'!$C55*100</f>
        <v>2384694.7246376812</v>
      </c>
      <c r="P15" s="275">
        <f>1000*O15/'1'!B25</f>
        <v>85054.000141157114</v>
      </c>
    </row>
    <row r="16" spans="1:16">
      <c r="A16" s="275">
        <v>1992</v>
      </c>
      <c r="B16" s="278">
        <f>'47'!B16/'47a'!$C56*100</f>
        <v>3018761.1642857138</v>
      </c>
      <c r="C16" s="344">
        <f>'47'!C16/'47a'!$C56*100</f>
        <v>661157.10714285704</v>
      </c>
      <c r="D16" s="344">
        <f>'47'!D16/'47a'!$C56*100</f>
        <v>247593.5071428571</v>
      </c>
      <c r="E16" s="344">
        <f>'47'!E16/'47a'!$C56*100</f>
        <v>429939.27857142856</v>
      </c>
      <c r="F16" s="344">
        <f>'47'!F16/'47a'!$C56*100</f>
        <v>283630.47857142857</v>
      </c>
      <c r="G16" s="344">
        <f>'47'!G16/'47a'!$C56*100</f>
        <v>287201.34285714285</v>
      </c>
      <c r="H16" s="344">
        <f>'47'!H16/'47a'!$C56*100</f>
        <v>548144.54999999993</v>
      </c>
      <c r="I16" s="344">
        <f>'47'!I16/'47a'!$C56*100</f>
        <v>561094.89999999991</v>
      </c>
      <c r="J16" s="344">
        <f>'47'!J16/'47a'!$C56*100</f>
        <v>544031.12857142847</v>
      </c>
      <c r="K16" s="344">
        <f>'47'!K16/'47a'!$C56*100</f>
        <v>116139.82857142854</v>
      </c>
      <c r="L16" s="344">
        <f>'47'!L16/'47a'!$C56*100</f>
        <v>21897.885714285712</v>
      </c>
      <c r="M16" s="344">
        <f>'47'!M16/'47a'!$C56*100</f>
        <v>363616.90714285709</v>
      </c>
      <c r="N16" s="344">
        <f>'47'!N16/'47a'!$C56*100</f>
        <v>42376.507142857139</v>
      </c>
      <c r="O16" s="344">
        <f>'47'!O16/'47a'!$C56*100</f>
        <v>2474730.0357142854</v>
      </c>
      <c r="P16" s="275">
        <f>1000*O16/'1'!B26</f>
        <v>87226.640156543101</v>
      </c>
    </row>
    <row r="17" spans="1:17">
      <c r="A17" s="275">
        <v>1993</v>
      </c>
      <c r="B17" s="278">
        <f>'47'!B17/'47a'!$C57*100</f>
        <v>3139830.1542056077</v>
      </c>
      <c r="C17" s="344">
        <f>'47'!C17/'47a'!$C57*100</f>
        <v>687683.67056074762</v>
      </c>
      <c r="D17" s="344">
        <f>'47'!D17/'47a'!$C57*100</f>
        <v>250132.64018691587</v>
      </c>
      <c r="E17" s="344">
        <f>'47'!E17/'47a'!$C57*100</f>
        <v>451487.53037383175</v>
      </c>
      <c r="F17" s="344">
        <f>'47'!F17/'47a'!$C57*100</f>
        <v>317554.08644859819</v>
      </c>
      <c r="G17" s="344">
        <f>'47'!G17/'47a'!$C57*100</f>
        <v>318809.71962616825</v>
      </c>
      <c r="H17" s="344">
        <f>'47'!H17/'47a'!$C57*100</f>
        <v>601693.93457943923</v>
      </c>
      <c r="I17" s="344">
        <f>'47'!I17/'47a'!$C57*100</f>
        <v>512468.57242990652</v>
      </c>
      <c r="J17" s="344">
        <f>'47'!J17/'47a'!$C57*100</f>
        <v>562854.99532710284</v>
      </c>
      <c r="K17" s="344">
        <f>'47'!K17/'47a'!$C57*100</f>
        <v>119451.96028037382</v>
      </c>
      <c r="L17" s="344">
        <f>'47'!L17/'47a'!$C57*100</f>
        <v>23692.507009345794</v>
      </c>
      <c r="M17" s="344">
        <f>'47'!M17/'47a'!$C57*100</f>
        <v>376017.00700934581</v>
      </c>
      <c r="N17" s="344">
        <f>'47'!N17/'47a'!$C57*100</f>
        <v>43693.521028037387</v>
      </c>
      <c r="O17" s="344">
        <f>'47'!O17/'47a'!$C57*100</f>
        <v>2576975.1588785048</v>
      </c>
      <c r="P17" s="275">
        <f>1000*O17/'1'!B27</f>
        <v>89837.767494914893</v>
      </c>
    </row>
    <row r="18" spans="1:17">
      <c r="A18" s="275">
        <v>1994</v>
      </c>
      <c r="B18" s="278">
        <f>'47'!B18/'47a'!$C58*100</f>
        <v>3309902.3453908986</v>
      </c>
      <c r="C18" s="344">
        <f>'47'!C18/'47a'!$C58*100</f>
        <v>717026.91948658112</v>
      </c>
      <c r="D18" s="344">
        <f>'47'!D18/'47a'!$C58*100</f>
        <v>259160.87047841307</v>
      </c>
      <c r="E18" s="344">
        <f>'47'!E18/'47a'!$C58*100</f>
        <v>482112.9171528588</v>
      </c>
      <c r="F18" s="344">
        <f>'47'!F18/'47a'!$C58*100</f>
        <v>351092.87047841307</v>
      </c>
      <c r="G18" s="344">
        <f>'47'!G18/'47a'!$C58*100</f>
        <v>334462.3057176196</v>
      </c>
      <c r="H18" s="344">
        <f>'47'!H18/'47a'!$C58*100</f>
        <v>641481.26954492414</v>
      </c>
      <c r="I18" s="344">
        <f>'47'!I18/'47a'!$C58*100</f>
        <v>524565.19253208872</v>
      </c>
      <c r="J18" s="344">
        <f>'47'!J18/'47a'!$C58*100</f>
        <v>590191.61726954486</v>
      </c>
      <c r="K18" s="344">
        <f>'47'!K18/'47a'!$C58*100</f>
        <v>126861.5495915986</v>
      </c>
      <c r="L18" s="344">
        <f>'47'!L18/'47a'!$C58*100</f>
        <v>23170.725787631272</v>
      </c>
      <c r="M18" s="344">
        <f>'47'!M18/'47a'!$C58*100</f>
        <v>392418.79113185534</v>
      </c>
      <c r="N18" s="344">
        <f>'47'!N18/'47a'!$C58*100</f>
        <v>47740.550758459744</v>
      </c>
      <c r="O18" s="344">
        <f>'47'!O18/'47a'!$C58*100</f>
        <v>2719710.7281213533</v>
      </c>
      <c r="P18" s="275">
        <f>1000*O18/'1'!B28</f>
        <v>93780.984528572779</v>
      </c>
    </row>
    <row r="19" spans="1:17">
      <c r="A19" s="275">
        <v>1995</v>
      </c>
      <c r="B19" s="278">
        <f>'47'!B19/'47a'!$C59*100</f>
        <v>3364441.6917808224</v>
      </c>
      <c r="C19" s="344">
        <f>'47'!C19/'47a'!$C59*100</f>
        <v>710964.691780822</v>
      </c>
      <c r="D19" s="344">
        <f>'47'!D19/'47a'!$C59*100</f>
        <v>258083.7054794521</v>
      </c>
      <c r="E19" s="344">
        <f>'47'!E19/'47a'!$C59*100</f>
        <v>467960.71917808219</v>
      </c>
      <c r="F19" s="344">
        <f>'47'!F19/'47a'!$C59*100</f>
        <v>351147.77397260279</v>
      </c>
      <c r="G19" s="344">
        <f>'47'!G19/'47a'!$C59*100</f>
        <v>348665.93150684936</v>
      </c>
      <c r="H19" s="344">
        <f>'47'!H19/'47a'!$C59*100</f>
        <v>676819.54109589045</v>
      </c>
      <c r="I19" s="344">
        <f>'47'!I19/'47a'!$C59*100</f>
        <v>550799.3287671234</v>
      </c>
      <c r="J19" s="344">
        <f>'47'!J19/'47a'!$C59*100</f>
        <v>600034.26027397264</v>
      </c>
      <c r="K19" s="344">
        <f>'47'!K19/'47a'!$C59*100</f>
        <v>130302.86986301371</v>
      </c>
      <c r="L19" s="344">
        <f>'47'!L19/'47a'!$C59*100</f>
        <v>23902.945205479453</v>
      </c>
      <c r="M19" s="344">
        <f>'47'!M19/'47a'!$C59*100</f>
        <v>399066.42465753428</v>
      </c>
      <c r="N19" s="344">
        <f>'47'!N19/'47a'!$C59*100</f>
        <v>46762.020547945212</v>
      </c>
      <c r="O19" s="344">
        <f>'47'!O19/'47a'!$C59*100</f>
        <v>2764407.4315068498</v>
      </c>
      <c r="P19" s="275">
        <f>1000*O19/'1'!B29</f>
        <v>94340.935481397682</v>
      </c>
    </row>
    <row r="20" spans="1:17">
      <c r="A20" s="275">
        <v>1996</v>
      </c>
      <c r="B20" s="278">
        <f>'47'!B20/'47a'!$C60*100</f>
        <v>3484572.1957255336</v>
      </c>
      <c r="C20" s="344">
        <f>'47'!C20/'47a'!$C60*100</f>
        <v>719429.56130483677</v>
      </c>
      <c r="D20" s="344">
        <f>'47'!D20/'47a'!$C60*100</f>
        <v>260022.58717660289</v>
      </c>
      <c r="E20" s="344">
        <f>'47'!E20/'47a'!$C60*100</f>
        <v>477990.07424071978</v>
      </c>
      <c r="F20" s="344">
        <f>'47'!F20/'47a'!$C60*100</f>
        <v>387821.55455568049</v>
      </c>
      <c r="G20" s="344">
        <f>'47'!G20/'47a'!$C60*100</f>
        <v>346875.3678290213</v>
      </c>
      <c r="H20" s="344">
        <f>'47'!H20/'47a'!$C60*100</f>
        <v>721383.3610798649</v>
      </c>
      <c r="I20" s="344">
        <f>'47'!I20/'47a'!$C60*100</f>
        <v>571049.68953880749</v>
      </c>
      <c r="J20" s="344">
        <f>'47'!J20/'47a'!$C60*100</f>
        <v>620323.72778402688</v>
      </c>
      <c r="K20" s="344">
        <f>'47'!K20/'47a'!$C60*100</f>
        <v>136473.35433070865</v>
      </c>
      <c r="L20" s="344">
        <f>'47'!L20/'47a'!$C60*100</f>
        <v>24710.726659167598</v>
      </c>
      <c r="M20" s="344">
        <f>'47'!M20/'47a'!$C60*100</f>
        <v>410907.41507311579</v>
      </c>
      <c r="N20" s="344">
        <f>'47'!N20/'47a'!$C60*100</f>
        <v>48232.231721034863</v>
      </c>
      <c r="O20" s="344">
        <f>'47'!O20/'47a'!$C60*100</f>
        <v>2864248.4679415068</v>
      </c>
      <c r="P20" s="275">
        <f>1000*O20/'1'!B30</f>
        <v>96731.75887936748</v>
      </c>
    </row>
    <row r="21" spans="1:17">
      <c r="A21" s="275">
        <v>1997</v>
      </c>
      <c r="B21" s="278">
        <f>'47'!B21/'47a'!$C61*100</f>
        <v>3608979.0331858406</v>
      </c>
      <c r="C21" s="344">
        <f>'47'!C21/'47a'!$C61*100</f>
        <v>735080.59513274324</v>
      </c>
      <c r="D21" s="344">
        <f>'47'!D21/'47a'!$C61*100</f>
        <v>266885.81415929203</v>
      </c>
      <c r="E21" s="344">
        <f>'47'!E21/'47a'!$C61*100</f>
        <v>498749.70796460175</v>
      </c>
      <c r="F21" s="344">
        <f>'47'!F21/'47a'!$C61*100</f>
        <v>438044.46902654861</v>
      </c>
      <c r="G21" s="344">
        <f>'47'!G21/'47a'!$C61*100</f>
        <v>344017.99115044245</v>
      </c>
      <c r="H21" s="344">
        <f>'47'!H21/'47a'!$C61*100</f>
        <v>775068.24557522114</v>
      </c>
      <c r="I21" s="344">
        <f>'47'!I21/'47a'!$C61*100</f>
        <v>551132.21017699107</v>
      </c>
      <c r="J21" s="344">
        <f>'47'!J21/'47a'!$C61*100</f>
        <v>647447.90044247778</v>
      </c>
      <c r="K21" s="344">
        <f>'47'!K21/'47a'!$C61*100</f>
        <v>143698.92477876105</v>
      </c>
      <c r="L21" s="344">
        <f>'47'!L21/'47a'!$C61*100</f>
        <v>27481.367256637168</v>
      </c>
      <c r="M21" s="344">
        <f>'47'!M21/'47a'!$C61*100</f>
        <v>422927.66150442476</v>
      </c>
      <c r="N21" s="344">
        <f>'47'!N21/'47a'!$C61*100</f>
        <v>53339.946902654869</v>
      </c>
      <c r="O21" s="344">
        <f>'47'!O21/'47a'!$C61*100</f>
        <v>2961531.1327433623</v>
      </c>
      <c r="P21" s="275">
        <f>1000*O21/'1'!B31</f>
        <v>99028.164321805234</v>
      </c>
    </row>
    <row r="22" spans="1:17">
      <c r="A22" s="275">
        <v>1998</v>
      </c>
      <c r="B22" s="278">
        <f>'47'!B22/'47a'!$C62*100</f>
        <v>3718428.8411829141</v>
      </c>
      <c r="C22" s="344">
        <f>'47'!C22/'47a'!$C62*100</f>
        <v>758663.41511500545</v>
      </c>
      <c r="D22" s="344">
        <f>'47'!D22/'47a'!$C62*100</f>
        <v>277356.72946330777</v>
      </c>
      <c r="E22" s="344">
        <f>'47'!E22/'47a'!$C62*100</f>
        <v>518316.43373493978</v>
      </c>
      <c r="F22" s="344">
        <f>'47'!F22/'47a'!$C62*100</f>
        <v>484328.52354874049</v>
      </c>
      <c r="G22" s="344">
        <f>'47'!G22/'47a'!$C62*100</f>
        <v>330990.33515881712</v>
      </c>
      <c r="H22" s="344">
        <f>'47'!H22/'47a'!$C62*100</f>
        <v>845056.27163198264</v>
      </c>
      <c r="I22" s="344">
        <f>'47'!I22/'47a'!$C62*100</f>
        <v>503717.13253012049</v>
      </c>
      <c r="J22" s="344">
        <f>'47'!J22/'47a'!$C62*100</f>
        <v>682119.11500547652</v>
      </c>
      <c r="K22" s="344">
        <f>'47'!K22/'47a'!$C62*100</f>
        <v>154454.37239868566</v>
      </c>
      <c r="L22" s="344">
        <f>'47'!L22/'47a'!$C62*100</f>
        <v>29975.217962760133</v>
      </c>
      <c r="M22" s="344">
        <f>'47'!M22/'47a'!$C62*100</f>
        <v>437281.68893756846</v>
      </c>
      <c r="N22" s="344">
        <f>'47'!N22/'47a'!$C62*100</f>
        <v>60407.835706462218</v>
      </c>
      <c r="O22" s="344">
        <f>'47'!O22/'47a'!$C62*100</f>
        <v>3036309.7261774372</v>
      </c>
      <c r="P22" s="275">
        <f>1000*O22/'1'!B32</f>
        <v>100689.51440528753</v>
      </c>
    </row>
    <row r="23" spans="1:17">
      <c r="A23" s="275">
        <v>1999</v>
      </c>
      <c r="B23" s="278">
        <f>'47'!B23/'47a'!$C63*100</f>
        <v>3898149.0355220665</v>
      </c>
      <c r="C23" s="344">
        <f>'47'!C23/'47a'!$C63*100</f>
        <v>784340.20882669534</v>
      </c>
      <c r="D23" s="344">
        <f>'47'!D23/'47a'!$C63*100</f>
        <v>291986.16361679224</v>
      </c>
      <c r="E23" s="344">
        <f>'47'!E23/'47a'!$C63*100</f>
        <v>544685.99354144232</v>
      </c>
      <c r="F23" s="344">
        <f>'47'!F23/'47a'!$C63*100</f>
        <v>509017.94402583421</v>
      </c>
      <c r="G23" s="344">
        <f>'47'!G23/'47a'!$C63*100</f>
        <v>342123.13885898812</v>
      </c>
      <c r="H23" s="344">
        <f>'47'!H23/'47a'!$C63*100</f>
        <v>906843.92034445633</v>
      </c>
      <c r="I23" s="344">
        <f>'47'!I23/'47a'!$C63*100</f>
        <v>519151.6663078579</v>
      </c>
      <c r="J23" s="344">
        <f>'47'!J23/'47a'!$C63*100</f>
        <v>715884.41980624315</v>
      </c>
      <c r="K23" s="344">
        <f>'47'!K23/'47a'!$C63*100</f>
        <v>166591.61463939719</v>
      </c>
      <c r="L23" s="344">
        <f>'47'!L23/'47a'!$C63*100</f>
        <v>31005.442411194832</v>
      </c>
      <c r="M23" s="344">
        <f>'47'!M23/'47a'!$C63*100</f>
        <v>450530.59634015063</v>
      </c>
      <c r="N23" s="344">
        <f>'47'!N23/'47a'!$C63*100</f>
        <v>67756.766415500533</v>
      </c>
      <c r="O23" s="344">
        <f>'47'!O23/'47a'!$C63*100</f>
        <v>3182264.6157158231</v>
      </c>
      <c r="P23" s="275">
        <f>1000*O23/'1'!B33</f>
        <v>104675.32905403485</v>
      </c>
    </row>
    <row r="24" spans="1:17">
      <c r="A24" s="275">
        <v>2000</v>
      </c>
      <c r="B24" s="278">
        <f>'47'!B24/'47a'!$C64*100</f>
        <v>4030822.8993710685</v>
      </c>
      <c r="C24" s="344">
        <f>'47'!C24/'47a'!$C64*100</f>
        <v>795339.53459119471</v>
      </c>
      <c r="D24" s="344">
        <f>'47'!D24/'47a'!$C64*100</f>
        <v>299877.96855345904</v>
      </c>
      <c r="E24" s="344">
        <f>'47'!E24/'47a'!$C64*100</f>
        <v>561601.63522012567</v>
      </c>
      <c r="F24" s="344">
        <f>'47'!F24/'47a'!$C64*100</f>
        <v>552544.37106918229</v>
      </c>
      <c r="G24" s="344">
        <f>'47'!G24/'47a'!$C64*100</f>
        <v>397060.82389937097</v>
      </c>
      <c r="H24" s="344">
        <f>'47'!H24/'47a'!$C64*100</f>
        <v>964192.15723270422</v>
      </c>
      <c r="I24" s="344">
        <f>'47'!I24/'47a'!$C64*100</f>
        <v>460206.40880503133</v>
      </c>
      <c r="J24" s="344">
        <f>'47'!J24/'47a'!$C64*100</f>
        <v>738436.13207547145</v>
      </c>
      <c r="K24" s="344">
        <f>'47'!K24/'47a'!$C64*100</f>
        <v>176422.38364779871</v>
      </c>
      <c r="L24" s="344">
        <f>'47'!L24/'47a'!$C64*100</f>
        <v>33004.937106918231</v>
      </c>
      <c r="M24" s="344">
        <f>'47'!M24/'47a'!$C64*100</f>
        <v>456451.25786163507</v>
      </c>
      <c r="N24" s="344">
        <f>'47'!N24/'47a'!$C64*100</f>
        <v>72557.553459119488</v>
      </c>
      <c r="O24" s="344">
        <f>'47'!O24/'47a'!$C64*100</f>
        <v>3292386.7672955967</v>
      </c>
      <c r="P24" s="275">
        <f>1000*O24/'1'!B34</f>
        <v>107293.7410091139</v>
      </c>
    </row>
    <row r="25" spans="1:17">
      <c r="A25" s="275">
        <v>2001</v>
      </c>
      <c r="B25" s="278">
        <f>'47'!B25/'47a'!$C65*100</f>
        <v>4130868</v>
      </c>
      <c r="C25" s="344">
        <f>'47'!C25/'47a'!$C65*100</f>
        <v>822421.99999999988</v>
      </c>
      <c r="D25" s="344">
        <f>'47'!D25/'47a'!$C65*100</f>
        <v>308021</v>
      </c>
      <c r="E25" s="344">
        <f>'47'!E25/'47a'!$C65*100</f>
        <v>599956</v>
      </c>
      <c r="F25" s="344">
        <f>'47'!F25/'47a'!$C65*100</f>
        <v>563278</v>
      </c>
      <c r="G25" s="344">
        <f>'47'!G25/'47a'!$C65*100</f>
        <v>393860</v>
      </c>
      <c r="H25" s="344">
        <f>'47'!H25/'47a'!$C65*100</f>
        <v>955577</v>
      </c>
      <c r="I25" s="344">
        <f>'47'!I25/'47a'!$C65*100</f>
        <v>487754</v>
      </c>
      <c r="J25" s="344">
        <f>'47'!J25/'47a'!$C65*100</f>
        <v>763693</v>
      </c>
      <c r="K25" s="344">
        <f>'47'!K25/'47a'!$C65*100</f>
        <v>187131</v>
      </c>
      <c r="L25" s="344">
        <f>'47'!L25/'47a'!$C65*100</f>
        <v>30602.999999999996</v>
      </c>
      <c r="M25" s="344">
        <f>'47'!M25/'47a'!$C65*100</f>
        <v>465789.99999999994</v>
      </c>
      <c r="N25" s="344">
        <f>'47'!N25/'47a'!$C65*100</f>
        <v>80169</v>
      </c>
      <c r="O25" s="344">
        <f>'47'!O25/'47a'!$C65*100</f>
        <v>3367175</v>
      </c>
      <c r="P25" s="275">
        <f>1000*O25/'1'!B35</f>
        <v>108551.94651539603</v>
      </c>
    </row>
    <row r="26" spans="1:17">
      <c r="A26" s="275">
        <v>2002</v>
      </c>
      <c r="B26" s="278">
        <f>'47'!B26/'47a'!$C66*100</f>
        <v>4274793.99</v>
      </c>
      <c r="C26" s="344">
        <f>'47'!C26/'47a'!$C66*100</f>
        <v>866793.576</v>
      </c>
      <c r="D26" s="344">
        <f>'47'!D26/'47a'!$C66*100</f>
        <v>323567.38800000004</v>
      </c>
      <c r="E26" s="344">
        <f>'47'!E26/'47a'!$C66*100</f>
        <v>658923.58799999999</v>
      </c>
      <c r="F26" s="344">
        <f>'47'!F26/'47a'!$C66*100</f>
        <v>567195.01199999999</v>
      </c>
      <c r="G26" s="344">
        <f>'47'!G26/'47a'!$C66*100</f>
        <v>405528.67800000001</v>
      </c>
      <c r="H26" s="344">
        <f>'47'!H26/'47a'!$C66*100</f>
        <v>957559.8</v>
      </c>
      <c r="I26" s="344">
        <f>'47'!I26/'47a'!$C66*100</f>
        <v>495225.94800000009</v>
      </c>
      <c r="J26" s="344">
        <f>'47'!J26/'47a'!$C66*100</f>
        <v>794789.30400000012</v>
      </c>
      <c r="K26" s="344">
        <f>'47'!K26/'47a'!$C66*100</f>
        <v>200286.576</v>
      </c>
      <c r="L26" s="344">
        <f>'47'!L26/'47a'!$C66*100</f>
        <v>29903.327999999998</v>
      </c>
      <c r="M26" s="344">
        <f>'47'!M26/'47a'!$C66*100</f>
        <v>483202.41599999997</v>
      </c>
      <c r="N26" s="344">
        <f>'47'!N26/'47a'!$C66*100</f>
        <v>81396.984000000011</v>
      </c>
      <c r="O26" s="344">
        <f>'47'!O26/'47a'!$C66*100</f>
        <v>3480004.6860000002</v>
      </c>
      <c r="P26" s="275">
        <f>1000*O26/'1'!B36</f>
        <v>110991.99040775342</v>
      </c>
    </row>
    <row r="27" spans="1:17">
      <c r="A27" s="275">
        <v>2003</v>
      </c>
      <c r="B27" s="278">
        <f>'47'!B27/'47a'!$C67*100</f>
        <v>4367108.6848249026</v>
      </c>
      <c r="C27" s="344">
        <f>'47'!C27/'47a'!$C67*100</f>
        <v>920306.56225680944</v>
      </c>
      <c r="D27" s="344">
        <f>'47'!D27/'47a'!$C67*100</f>
        <v>328303.56420233467</v>
      </c>
      <c r="E27" s="344">
        <f>'47'!E27/'47a'!$C67*100</f>
        <v>699782.78404669266</v>
      </c>
      <c r="F27" s="344">
        <f>'47'!F27/'47a'!$C67*100</f>
        <v>555310.87354085606</v>
      </c>
      <c r="G27" s="344">
        <f>'47'!G27/'47a'!$C67*100</f>
        <v>413703.51361867704</v>
      </c>
      <c r="H27" s="344">
        <f>'47'!H27/'47a'!$C67*100</f>
        <v>963709.5933852141</v>
      </c>
      <c r="I27" s="344">
        <f>'47'!I27/'47a'!$C67*100</f>
        <v>485991.79377431911</v>
      </c>
      <c r="J27" s="344">
        <f>'47'!J27/'47a'!$C67*100</f>
        <v>827393.70817120618</v>
      </c>
      <c r="K27" s="344">
        <f>'47'!K27/'47a'!$C67*100</f>
        <v>214266.6712062257</v>
      </c>
      <c r="L27" s="344">
        <f>'47'!L27/'47a'!$C67*100</f>
        <v>29807.118677042803</v>
      </c>
      <c r="M27" s="344">
        <f>'47'!M27/'47a'!$C67*100</f>
        <v>502137.35603112844</v>
      </c>
      <c r="N27" s="344">
        <f>'47'!N27/'47a'!$C67*100</f>
        <v>81182.562256809339</v>
      </c>
      <c r="O27" s="344">
        <f>'47'!O27/'47a'!$C67*100</f>
        <v>3539714.976653697</v>
      </c>
      <c r="P27" s="275">
        <f>1000*O27/'1'!B37</f>
        <v>111875.85005323056</v>
      </c>
    </row>
    <row r="28" spans="1:17">
      <c r="A28" s="275">
        <v>2004</v>
      </c>
      <c r="B28" s="278">
        <f>'47'!B28/'47a'!$C68*100</f>
        <v>4563048.1547277933</v>
      </c>
      <c r="C28" s="344">
        <f>'47'!C28/'47a'!$C68*100</f>
        <v>981323.51862464182</v>
      </c>
      <c r="D28" s="344">
        <f>'47'!D28/'47a'!$C68*100</f>
        <v>335590.37822349567</v>
      </c>
      <c r="E28" s="344">
        <f>'47'!E28/'47a'!$C68*100</f>
        <v>782934.30372492829</v>
      </c>
      <c r="F28" s="344">
        <f>'47'!F28/'47a'!$C68*100</f>
        <v>563885.65616045846</v>
      </c>
      <c r="G28" s="344">
        <f>'47'!G28/'47a'!$C68*100</f>
        <v>429157.0487106017</v>
      </c>
      <c r="H28" s="344">
        <f>'47'!H28/'47a'!$C68*100</f>
        <v>1009222.2063037249</v>
      </c>
      <c r="I28" s="344">
        <f>'47'!I28/'47a'!$C68*100</f>
        <v>460935.04297994269</v>
      </c>
      <c r="J28" s="344">
        <f>'47'!J28/'47a'!$C68*100</f>
        <v>882790.25214899704</v>
      </c>
      <c r="K28" s="344">
        <f>'47'!K28/'47a'!$C68*100</f>
        <v>237652.13180515758</v>
      </c>
      <c r="L28" s="344">
        <f>'47'!L28/'47a'!$C68*100</f>
        <v>27758.573065902579</v>
      </c>
      <c r="M28" s="344">
        <f>'47'!M28/'47a'!$C68*100</f>
        <v>538911.62750716333</v>
      </c>
      <c r="N28" s="344">
        <f>'47'!N28/'47a'!$C68*100</f>
        <v>78467.919770773646</v>
      </c>
      <c r="O28" s="344">
        <f>'47'!O28/'47a'!$C68*100</f>
        <v>3680257.9025787963</v>
      </c>
      <c r="P28" s="275">
        <f>1000*O28/'1'!B38</f>
        <v>115221.66602168334</v>
      </c>
    </row>
    <row r="29" spans="1:17">
      <c r="A29" s="343">
        <v>2005</v>
      </c>
      <c r="B29" s="278">
        <f>'47'!B29/'47a'!$C69*100</f>
        <v>4819167.2074766355</v>
      </c>
      <c r="C29" s="344">
        <f>'47'!C29/'47a'!$C69*100</f>
        <v>1042714.3514018691</v>
      </c>
      <c r="D29" s="344">
        <f>'47'!D29/'47a'!$C69*100</f>
        <v>342396.88598130835</v>
      </c>
      <c r="E29" s="344">
        <f>'47'!E29/'47a'!$C69*100</f>
        <v>867345.24112149538</v>
      </c>
      <c r="F29" s="344">
        <f>'47'!F29/'47a'!$C69*100</f>
        <v>576148.02616822429</v>
      </c>
      <c r="G29" s="344">
        <f>'47'!G29/'47a'!$C69*100</f>
        <v>435252.04485981306</v>
      </c>
      <c r="H29" s="344">
        <f>'47'!H29/'47a'!$C69*100</f>
        <v>1064263.2560747664</v>
      </c>
      <c r="I29" s="344">
        <f>'47'!I29/'47a'!$C69*100</f>
        <v>491047.4018691589</v>
      </c>
      <c r="J29" s="344">
        <f>'47'!J29/'47a'!$C69*100</f>
        <v>939180.71214953274</v>
      </c>
      <c r="K29" s="344">
        <f>'47'!K29/'47a'!$C69*100</f>
        <v>258407.70841121493</v>
      </c>
      <c r="L29" s="344">
        <f>'47'!L29/'47a'!$C69*100</f>
        <v>29066.70841121495</v>
      </c>
      <c r="M29" s="344">
        <f>'47'!M29/'47a'!$C69*100</f>
        <v>574570.42990654195</v>
      </c>
      <c r="N29" s="344">
        <f>'47'!N29/'47a'!$C69*100</f>
        <v>77135.865420560745</v>
      </c>
      <c r="O29" s="344">
        <f>'47'!O29/'47a'!$C69*100</f>
        <v>3879986.4953271025</v>
      </c>
      <c r="P29" s="275">
        <f>1000*O29/'1'!B39</f>
        <v>120327.53440447859</v>
      </c>
      <c r="Q29" s="275">
        <f>100*(P29/P5-1)</f>
        <v>58.62863614811873</v>
      </c>
    </row>
    <row r="30" spans="1:17">
      <c r="A30" s="342">
        <v>2006</v>
      </c>
      <c r="B30" s="278">
        <f>'47'!B30/'47a'!$C70*100</f>
        <v>5179128.5334555451</v>
      </c>
      <c r="C30" s="344">
        <f>'47'!C30/'47a'!$C70*100</f>
        <v>1143530.3098075159</v>
      </c>
      <c r="D30" s="344">
        <f>'47'!D30/'47a'!$C70*100</f>
        <v>346783.91934005497</v>
      </c>
      <c r="E30" s="344">
        <f>'47'!E30/'47a'!$C70*100</f>
        <v>959397.38221814844</v>
      </c>
      <c r="F30" s="344">
        <f>'47'!F30/'47a'!$C70*100</f>
        <v>662534.49129239225</v>
      </c>
      <c r="G30" s="344">
        <f>'47'!G30/'47a'!$C70*100</f>
        <v>455977.48487626034</v>
      </c>
      <c r="H30" s="344">
        <f>'47'!H30/'47a'!$C70*100</f>
        <v>1130687.2245646194</v>
      </c>
      <c r="I30" s="344">
        <f>'47'!I30/'47a'!$C70*100</f>
        <v>480217.72135655355</v>
      </c>
      <c r="J30" s="344">
        <f>'47'!J30/'47a'!$C70*100</f>
        <v>1006850.5517873509</v>
      </c>
      <c r="K30" s="344">
        <f>'47'!K30/'47a'!$C70*100</f>
        <v>277828.19615032081</v>
      </c>
      <c r="L30" s="344">
        <f>'47'!L30/'47a'!$C70*100</f>
        <v>29323.864344637946</v>
      </c>
      <c r="M30" s="344">
        <f>'47'!M30/'47a'!$C70*100</f>
        <v>618996.90742438124</v>
      </c>
      <c r="N30" s="344">
        <f>'47'!N30/'47a'!$C70*100</f>
        <v>80701.583868010988</v>
      </c>
      <c r="O30" s="344">
        <f>'47'!O30/'47a'!$C70*100</f>
        <v>4172277.9816681943</v>
      </c>
      <c r="P30" s="275">
        <f>1000*O30/'1'!B40</f>
        <v>128077.98698112591</v>
      </c>
      <c r="Q30" s="275">
        <f>100*(P30/P5-1)</f>
        <v>68.846112371237282</v>
      </c>
    </row>
    <row r="31" spans="1:17">
      <c r="A31" s="342">
        <v>2007</v>
      </c>
      <c r="B31" s="278">
        <f>'47'!B31/'47a'!$C71*100</f>
        <v>5411361.7130044838</v>
      </c>
      <c r="C31" s="344">
        <f>'47'!C31/'47a'!$C71*100</f>
        <v>1210593.8367713005</v>
      </c>
      <c r="D31" s="344">
        <f>'47'!D31/'47a'!$C71*100</f>
        <v>349295.98923766817</v>
      </c>
      <c r="E31" s="344">
        <f>'47'!E31/'47a'!$C71*100</f>
        <v>1049569.4260089686</v>
      </c>
      <c r="F31" s="344">
        <f>'47'!F31/'47a'!$C71*100</f>
        <v>682311.56771300454</v>
      </c>
      <c r="G31" s="344">
        <f>'47'!G31/'47a'!$C71*100</f>
        <v>476224.600896861</v>
      </c>
      <c r="H31" s="344">
        <f>'47'!H31/'47a'!$C71*100</f>
        <v>1197780.7210762333</v>
      </c>
      <c r="I31" s="344">
        <f>'47'!I31/'47a'!$C71*100</f>
        <v>445585.57130044844</v>
      </c>
      <c r="J31" s="344">
        <f>'47'!J31/'47a'!$C71*100</f>
        <v>1082992.4663677129</v>
      </c>
      <c r="K31" s="344">
        <f>'47'!K31/'47a'!$C71*100</f>
        <v>303110.7067264574</v>
      </c>
      <c r="L31" s="344">
        <f>'47'!L31/'47a'!$C71*100</f>
        <v>28811.967713004487</v>
      </c>
      <c r="M31" s="344">
        <f>'47'!M31/'47a'!$C71*100</f>
        <v>672552.61883408076</v>
      </c>
      <c r="N31" s="344">
        <f>'47'!N31/'47a'!$C71*100</f>
        <v>78517.173094170401</v>
      </c>
      <c r="O31" s="344">
        <f>'47'!O31/'47a'!$C71*100</f>
        <v>4328369.2466367716</v>
      </c>
      <c r="P31" s="275">
        <f>1000*O31/'1'!B41</f>
        <v>131452.01040146087</v>
      </c>
      <c r="Q31" s="275">
        <f>100*(P31/P5-1)</f>
        <v>73.294111211639205</v>
      </c>
    </row>
    <row r="32" spans="1:17">
      <c r="A32" s="343">
        <v>2008</v>
      </c>
      <c r="B32" s="344">
        <f>'47'!B32/'47a'!$C72*100</f>
        <v>5591888.5714285709</v>
      </c>
      <c r="C32" s="344">
        <f>'47'!C32/'47a'!$C72*100</f>
        <v>1238154</v>
      </c>
      <c r="D32" s="344">
        <f>'47'!D32/'47a'!$C72*100</f>
        <v>342830.57142857142</v>
      </c>
      <c r="E32" s="344">
        <f>'47'!E32/'47a'!$C72*100</f>
        <v>1084356</v>
      </c>
      <c r="F32" s="344">
        <f>'47'!F32/'47a'!$C72*100</f>
        <v>768643.7142857142</v>
      </c>
      <c r="G32" s="344">
        <f>'47'!G32/'47a'!$C72*100</f>
        <v>522604.28571428568</v>
      </c>
      <c r="H32" s="344">
        <f>'47'!H32/'47a'!$C72*100</f>
        <v>1171967.1428571427</v>
      </c>
      <c r="I32" s="344">
        <f>'47'!I32/'47a'!$C72*100</f>
        <v>463332.8571428571</v>
      </c>
      <c r="J32" s="344">
        <f>'47'!J32/'47a'!$C72*100</f>
        <v>1154016.857142857</v>
      </c>
      <c r="K32" s="344">
        <f>'47'!K32/'47a'!$C72*100</f>
        <v>321004.28571428568</v>
      </c>
      <c r="L32" s="344">
        <f>'47'!L32/'47a'!$C72*100</f>
        <v>30157.714285714286</v>
      </c>
      <c r="M32" s="344">
        <f>'47'!M32/'47a'!$C72*100</f>
        <v>719298.85714285716</v>
      </c>
      <c r="N32" s="344">
        <f>'47'!N32/'47a'!$C72*100</f>
        <v>83556</v>
      </c>
      <c r="O32" s="344">
        <f>'47'!O32/'47a'!$C72*100</f>
        <v>4437871.7142857136</v>
      </c>
      <c r="P32" s="275">
        <f>1000*O32/'1'!B42</f>
        <v>133223.8566901462</v>
      </c>
      <c r="Q32" s="275">
        <f>100*(P32/P6-1)</f>
        <v>81.630793006117841</v>
      </c>
    </row>
    <row r="33" spans="1:17">
      <c r="A33" s="1119"/>
      <c r="B33" s="1280" t="s">
        <v>802</v>
      </c>
      <c r="C33" s="1280"/>
      <c r="D33" s="1280"/>
      <c r="E33" s="1280"/>
      <c r="F33" s="1280"/>
      <c r="G33" s="1280"/>
      <c r="H33" s="1280"/>
      <c r="I33" s="1280"/>
      <c r="J33" s="1280"/>
      <c r="K33" s="1280"/>
      <c r="L33" s="1280"/>
      <c r="M33" s="1280"/>
      <c r="N33" s="671"/>
      <c r="O33" s="671"/>
      <c r="P33" s="671"/>
      <c r="Q33" s="671"/>
    </row>
    <row r="34" spans="1:17">
      <c r="A34" s="448" t="s">
        <v>1408</v>
      </c>
      <c r="B34" s="273">
        <f>((((B32/B5))^(1/27))-1)*100</f>
        <v>3.4178121011990914</v>
      </c>
      <c r="C34" s="273">
        <f t="shared" ref="C34:O34" si="0">((((C32/C5))^(1/27))-1)*100</f>
        <v>3.5893144932587218</v>
      </c>
      <c r="D34" s="273">
        <f t="shared" si="0"/>
        <v>1.7348945286554951</v>
      </c>
      <c r="E34" s="273">
        <f t="shared" si="0"/>
        <v>4.0268391925725622</v>
      </c>
      <c r="F34" s="273">
        <f t="shared" si="0"/>
        <v>4.6170541957341049</v>
      </c>
      <c r="G34" s="273">
        <f t="shared" si="0"/>
        <v>3.4341124478610263</v>
      </c>
      <c r="H34" s="273">
        <f t="shared" si="0"/>
        <v>5.3261802935753888</v>
      </c>
      <c r="I34" s="273">
        <f t="shared" si="0"/>
        <v>-5.8078706858255558E-3</v>
      </c>
      <c r="J34" s="273">
        <f t="shared" si="0"/>
        <v>4.2610022523533297</v>
      </c>
      <c r="K34" s="273">
        <f t="shared" si="0"/>
        <v>4.712051286069574</v>
      </c>
      <c r="L34" s="273">
        <f t="shared" si="0"/>
        <v>0.59578874651582403</v>
      </c>
      <c r="M34" s="273">
        <f t="shared" si="0"/>
        <v>4.3735796815446815</v>
      </c>
      <c r="N34" s="273">
        <f t="shared" si="0"/>
        <v>3.9561622616814285</v>
      </c>
      <c r="O34" s="273">
        <f t="shared" si="0"/>
        <v>3.2267514385431184</v>
      </c>
      <c r="P34" s="671"/>
      <c r="Q34" s="671"/>
    </row>
    <row r="35" spans="1:17">
      <c r="A35" s="448" t="s">
        <v>603</v>
      </c>
      <c r="B35" s="273">
        <f>((((B13/B5))^(1/8))-1)*100</f>
        <v>3.2293737235342457</v>
      </c>
      <c r="C35" s="273">
        <f t="shared" ref="C35:O35" si="1">((((C13/C5))^(1/8))-1)*100</f>
        <v>3.5974551618680017</v>
      </c>
      <c r="D35" s="273">
        <f t="shared" si="1"/>
        <v>2.4974294245511564</v>
      </c>
      <c r="E35" s="273">
        <f t="shared" si="1"/>
        <v>1.5873628372180759</v>
      </c>
      <c r="F35" s="273">
        <f t="shared" si="1"/>
        <v>3.0739765407063135</v>
      </c>
      <c r="G35" s="273">
        <f t="shared" si="1"/>
        <v>2.8802374613031034</v>
      </c>
      <c r="H35" s="273">
        <f t="shared" si="1"/>
        <v>6.8129636911469005</v>
      </c>
      <c r="I35" s="273">
        <f t="shared" si="1"/>
        <v>2.096732726700945</v>
      </c>
      <c r="J35" s="273">
        <f t="shared" si="1"/>
        <v>4.030721021643302</v>
      </c>
      <c r="K35" s="273">
        <f t="shared" si="1"/>
        <v>3.3775446428587097</v>
      </c>
      <c r="L35" s="273">
        <f t="shared" si="1"/>
        <v>-2.1498175183969015</v>
      </c>
      <c r="M35" s="273">
        <f t="shared" si="1"/>
        <v>4.7116085806929053</v>
      </c>
      <c r="N35" s="273">
        <f t="shared" si="1"/>
        <v>5.0464467455966222</v>
      </c>
      <c r="O35" s="273">
        <f t="shared" si="1"/>
        <v>3.0648601378472362</v>
      </c>
      <c r="P35" s="273"/>
      <c r="Q35" s="273"/>
    </row>
    <row r="36" spans="1:17">
      <c r="A36" s="448" t="s">
        <v>604</v>
      </c>
      <c r="B36" s="273">
        <f>((((B24/B13))^(1/11))-1)*100</f>
        <v>3.0059019092580908</v>
      </c>
      <c r="C36" s="273">
        <f t="shared" ref="C36:O36" si="2">((((C24/C13))^(1/11))-1)*100</f>
        <v>2.0830306432128021</v>
      </c>
      <c r="D36" s="273">
        <f t="shared" si="2"/>
        <v>1.2183033502494833</v>
      </c>
      <c r="E36" s="273">
        <f t="shared" si="2"/>
        <v>2.5966473959497804</v>
      </c>
      <c r="F36" s="273">
        <f t="shared" si="2"/>
        <v>6.0522105360156342</v>
      </c>
      <c r="G36" s="273">
        <f t="shared" si="2"/>
        <v>3.7952179661474794</v>
      </c>
      <c r="H36" s="273">
        <f t="shared" si="2"/>
        <v>6.3639152535524435</v>
      </c>
      <c r="I36" s="273">
        <f t="shared" si="2"/>
        <v>-1.5724430604510453</v>
      </c>
      <c r="J36" s="273">
        <f t="shared" si="2"/>
        <v>3.3647943671264002</v>
      </c>
      <c r="K36" s="273">
        <f t="shared" si="2"/>
        <v>3.504318495008496</v>
      </c>
      <c r="L36" s="273">
        <f t="shared" si="2"/>
        <v>3.9341721408415742</v>
      </c>
      <c r="M36" s="273">
        <f t="shared" si="2"/>
        <v>3.0703662296789336</v>
      </c>
      <c r="N36" s="273">
        <f t="shared" si="2"/>
        <v>4.770090072149058</v>
      </c>
      <c r="O36" s="273">
        <f t="shared" si="2"/>
        <v>2.927424942875434</v>
      </c>
      <c r="P36" s="273"/>
      <c r="Q36" s="273"/>
    </row>
    <row r="37" spans="1:17">
      <c r="A37" s="448" t="s">
        <v>1410</v>
      </c>
      <c r="B37" s="671">
        <f>((((B32/B24))^(1/8))-1)*100</f>
        <v>4.1767006608310009</v>
      </c>
      <c r="C37" s="671">
        <f t="shared" ref="C37:O37" si="3">((((C32/C24))^(1/8))-1)*100</f>
        <v>5.6885067219898833</v>
      </c>
      <c r="D37" s="671">
        <f t="shared" si="3"/>
        <v>1.6873366891717367</v>
      </c>
      <c r="E37" s="671">
        <f t="shared" si="3"/>
        <v>8.5720255944357504</v>
      </c>
      <c r="F37" s="671">
        <f t="shared" si="3"/>
        <v>4.2124821528116696</v>
      </c>
      <c r="G37" s="671">
        <f t="shared" si="3"/>
        <v>3.4938375644995912</v>
      </c>
      <c r="H37" s="671">
        <f t="shared" si="3"/>
        <v>2.4693497284115962</v>
      </c>
      <c r="I37" s="671">
        <f t="shared" si="3"/>
        <v>8.4668399376930381E-2</v>
      </c>
      <c r="J37" s="671">
        <f t="shared" si="3"/>
        <v>5.7395363451584691</v>
      </c>
      <c r="K37" s="671">
        <f t="shared" si="3"/>
        <v>7.769196069249773</v>
      </c>
      <c r="L37" s="671">
        <f t="shared" si="3"/>
        <v>-1.1213703110972029</v>
      </c>
      <c r="M37" s="671">
        <f t="shared" si="3"/>
        <v>5.8496363334625379</v>
      </c>
      <c r="N37" s="671">
        <f t="shared" si="3"/>
        <v>1.7798663707916829</v>
      </c>
      <c r="O37" s="671">
        <f t="shared" si="3"/>
        <v>3.8025415352117564</v>
      </c>
      <c r="P37" s="273"/>
      <c r="Q37" s="273"/>
    </row>
    <row r="38" spans="1:17">
      <c r="A38" s="140"/>
      <c r="B38" s="671"/>
      <c r="C38" s="671"/>
      <c r="D38" s="671"/>
      <c r="E38" s="671"/>
      <c r="F38" s="671"/>
      <c r="G38" s="671"/>
      <c r="H38" s="671"/>
      <c r="I38" s="671"/>
      <c r="J38" s="671"/>
      <c r="K38" s="671"/>
      <c r="L38" s="671"/>
      <c r="M38" s="671"/>
      <c r="N38" s="671"/>
      <c r="O38" s="671"/>
      <c r="P38" s="671"/>
      <c r="Q38" s="671"/>
    </row>
    <row r="39" spans="1:17">
      <c r="A39" s="274"/>
      <c r="B39" s="671"/>
      <c r="C39" s="671"/>
      <c r="D39" s="671"/>
      <c r="E39" s="671"/>
      <c r="F39" s="671"/>
      <c r="G39" s="671"/>
      <c r="H39" s="671"/>
      <c r="I39" s="671"/>
      <c r="J39" s="671"/>
      <c r="K39" s="671"/>
      <c r="L39" s="671"/>
      <c r="M39" s="671"/>
      <c r="N39" s="671"/>
      <c r="O39" s="671"/>
      <c r="P39" s="671"/>
      <c r="Q39" s="671"/>
    </row>
    <row r="40" spans="1:17">
      <c r="A40" s="275" t="s">
        <v>834</v>
      </c>
      <c r="N40" s="671"/>
      <c r="O40" s="671"/>
      <c r="P40" s="671"/>
      <c r="Q40" s="671"/>
    </row>
    <row r="41" spans="1:17">
      <c r="A41" s="275" t="s">
        <v>388</v>
      </c>
      <c r="N41" s="671"/>
      <c r="O41" s="671"/>
      <c r="P41" s="671"/>
      <c r="Q41" s="671"/>
    </row>
    <row r="42" spans="1:17" ht="29.25" customHeight="1">
      <c r="A42" s="1168" t="s">
        <v>726</v>
      </c>
      <c r="B42" s="1168"/>
      <c r="C42" s="1168"/>
      <c r="D42" s="1168"/>
      <c r="E42" s="1168"/>
      <c r="F42" s="1168"/>
      <c r="G42" s="1168"/>
      <c r="H42" s="1168"/>
      <c r="I42" s="1168"/>
      <c r="J42" s="1168"/>
      <c r="K42" s="1168"/>
      <c r="L42" s="1168"/>
      <c r="M42" s="1168"/>
      <c r="N42" s="1168"/>
      <c r="O42" s="1168"/>
    </row>
    <row r="43" spans="1:17">
      <c r="A43" s="1281" t="s">
        <v>727</v>
      </c>
      <c r="B43" s="1281"/>
      <c r="C43" s="1281"/>
      <c r="D43" s="1281"/>
      <c r="E43" s="1281"/>
      <c r="F43" s="1281"/>
      <c r="G43" s="1281"/>
      <c r="H43" s="1281"/>
      <c r="I43" s="1281"/>
      <c r="J43" s="1281"/>
      <c r="K43" s="1281"/>
      <c r="L43" s="1281"/>
      <c r="M43" s="1281"/>
      <c r="N43" s="1281"/>
      <c r="O43" s="1281"/>
      <c r="P43" s="276"/>
      <c r="Q43" s="276"/>
    </row>
    <row r="44" spans="1:17">
      <c r="A44" s="1281" t="s">
        <v>1830</v>
      </c>
      <c r="B44" s="1281"/>
      <c r="C44" s="1281"/>
      <c r="D44" s="1023"/>
      <c r="E44" s="1023"/>
      <c r="F44" s="1023"/>
      <c r="G44" s="1023"/>
      <c r="H44" s="1023"/>
      <c r="I44" s="1023"/>
      <c r="J44" s="1023"/>
      <c r="K44" s="1023"/>
      <c r="L44" s="1023"/>
      <c r="M44" s="1023"/>
      <c r="N44" s="1023"/>
      <c r="O44" s="1023"/>
      <c r="P44" s="276"/>
      <c r="Q44" s="276"/>
    </row>
    <row r="45" spans="1:17">
      <c r="A45" s="275">
        <v>1981</v>
      </c>
      <c r="B45" s="277">
        <f>'4'!B5</f>
        <v>49.5</v>
      </c>
      <c r="C45" s="821">
        <f>B45/B$65*100</f>
        <v>50.613496932515332</v>
      </c>
    </row>
    <row r="46" spans="1:17">
      <c r="A46" s="275">
        <v>1982</v>
      </c>
      <c r="B46" s="277">
        <f>'4'!B6</f>
        <v>54.9</v>
      </c>
      <c r="C46" s="821">
        <f t="shared" ref="C46:C70" si="4">B46/B$65*100</f>
        <v>56.134969325153371</v>
      </c>
    </row>
    <row r="47" spans="1:17">
      <c r="A47" s="275">
        <v>1983</v>
      </c>
      <c r="B47" s="277">
        <f>'4'!B7</f>
        <v>58.1</v>
      </c>
      <c r="C47" s="821">
        <f t="shared" si="4"/>
        <v>59.406952965235185</v>
      </c>
    </row>
    <row r="48" spans="1:17">
      <c r="A48" s="275">
        <v>1984</v>
      </c>
      <c r="B48" s="277">
        <f>'4'!B8</f>
        <v>60.6</v>
      </c>
      <c r="C48" s="821">
        <f t="shared" si="4"/>
        <v>61.96319018404909</v>
      </c>
    </row>
    <row r="49" spans="1:3">
      <c r="A49" s="275">
        <v>1985</v>
      </c>
      <c r="B49" s="277">
        <f>'4'!B9</f>
        <v>63</v>
      </c>
      <c r="C49" s="821">
        <f t="shared" si="4"/>
        <v>64.417177914110439</v>
      </c>
    </row>
    <row r="50" spans="1:3">
      <c r="A50" s="275">
        <v>1986</v>
      </c>
      <c r="B50" s="277">
        <f>'4'!B10</f>
        <v>65.599999999999994</v>
      </c>
      <c r="C50" s="821">
        <f t="shared" si="4"/>
        <v>67.075664621676893</v>
      </c>
    </row>
    <row r="51" spans="1:3">
      <c r="A51" s="275">
        <v>1987</v>
      </c>
      <c r="B51" s="277">
        <f>'4'!B11</f>
        <v>68.5</v>
      </c>
      <c r="C51" s="821">
        <f t="shared" si="4"/>
        <v>70.040899795501019</v>
      </c>
    </row>
    <row r="52" spans="1:3">
      <c r="A52" s="275">
        <v>1988</v>
      </c>
      <c r="B52" s="277">
        <f>'4'!B12</f>
        <v>71.2</v>
      </c>
      <c r="C52" s="821">
        <f t="shared" si="4"/>
        <v>72.801635991820049</v>
      </c>
    </row>
    <row r="53" spans="1:3">
      <c r="A53" s="275">
        <v>1989</v>
      </c>
      <c r="B53" s="277">
        <f>'4'!B13</f>
        <v>74.8</v>
      </c>
      <c r="C53" s="821">
        <f t="shared" si="4"/>
        <v>76.482617586912056</v>
      </c>
    </row>
    <row r="54" spans="1:3">
      <c r="A54" s="275">
        <v>1990</v>
      </c>
      <c r="B54" s="277">
        <f>'4'!B14</f>
        <v>78.400000000000006</v>
      </c>
      <c r="C54" s="821">
        <f t="shared" si="4"/>
        <v>80.163599182004091</v>
      </c>
    </row>
    <row r="55" spans="1:3">
      <c r="A55" s="275">
        <v>1991</v>
      </c>
      <c r="B55" s="277">
        <f>'4'!B15</f>
        <v>82.8</v>
      </c>
      <c r="C55" s="821">
        <f t="shared" si="4"/>
        <v>84.662576687116569</v>
      </c>
    </row>
    <row r="56" spans="1:3">
      <c r="A56" s="275">
        <v>1992</v>
      </c>
      <c r="B56" s="277">
        <f>'4'!B16</f>
        <v>84</v>
      </c>
      <c r="C56" s="821">
        <f t="shared" si="4"/>
        <v>85.889570552147248</v>
      </c>
    </row>
    <row r="57" spans="1:3">
      <c r="A57" s="275">
        <v>1993</v>
      </c>
      <c r="B57" s="277">
        <f>'4'!B17</f>
        <v>85.6</v>
      </c>
      <c r="C57" s="821">
        <f t="shared" si="4"/>
        <v>87.525562372188134</v>
      </c>
    </row>
    <row r="58" spans="1:3">
      <c r="A58" s="275">
        <v>1994</v>
      </c>
      <c r="B58" s="277">
        <f>'4'!B18</f>
        <v>85.7</v>
      </c>
      <c r="C58" s="821">
        <f t="shared" si="4"/>
        <v>87.627811860940696</v>
      </c>
    </row>
    <row r="59" spans="1:3">
      <c r="A59" s="275">
        <v>1995</v>
      </c>
      <c r="B59" s="277">
        <f>'4'!B19</f>
        <v>87.6</v>
      </c>
      <c r="C59" s="821">
        <f t="shared" si="4"/>
        <v>89.570552147239255</v>
      </c>
    </row>
    <row r="60" spans="1:3">
      <c r="A60" s="275">
        <v>1996</v>
      </c>
      <c r="B60" s="277">
        <f>'4'!B20</f>
        <v>88.9</v>
      </c>
      <c r="C60" s="821">
        <f t="shared" si="4"/>
        <v>90.89979550102251</v>
      </c>
    </row>
    <row r="61" spans="1:3">
      <c r="A61" s="275">
        <v>1997</v>
      </c>
      <c r="B61" s="277">
        <f>'4'!B21</f>
        <v>90.4</v>
      </c>
      <c r="C61" s="821">
        <f t="shared" si="4"/>
        <v>92.433537832310847</v>
      </c>
    </row>
    <row r="62" spans="1:3">
      <c r="A62" s="275">
        <v>1998</v>
      </c>
      <c r="B62" s="277">
        <f>'4'!B22</f>
        <v>91.3</v>
      </c>
      <c r="C62" s="821">
        <f t="shared" si="4"/>
        <v>93.353783231083838</v>
      </c>
    </row>
    <row r="63" spans="1:3">
      <c r="A63" s="275">
        <v>1999</v>
      </c>
      <c r="B63" s="277">
        <f>'4'!B23</f>
        <v>92.9</v>
      </c>
      <c r="C63" s="821">
        <f t="shared" si="4"/>
        <v>94.989775051124752</v>
      </c>
    </row>
    <row r="64" spans="1:3">
      <c r="A64" s="275">
        <v>2000</v>
      </c>
      <c r="B64" s="277">
        <f>'4'!B24</f>
        <v>95.4</v>
      </c>
      <c r="C64" s="821">
        <f t="shared" si="4"/>
        <v>97.546012269938672</v>
      </c>
    </row>
    <row r="65" spans="1:3">
      <c r="A65" s="275">
        <v>2001</v>
      </c>
      <c r="B65" s="277">
        <f>'4'!B25</f>
        <v>97.8</v>
      </c>
      <c r="C65" s="821">
        <f>B65/B$65*100</f>
        <v>100</v>
      </c>
    </row>
    <row r="66" spans="1:3">
      <c r="A66" s="275">
        <v>2002</v>
      </c>
      <c r="B66" s="277">
        <f>'4'!B26</f>
        <v>100</v>
      </c>
      <c r="C66" s="821">
        <f t="shared" si="4"/>
        <v>102.24948875255623</v>
      </c>
    </row>
    <row r="67" spans="1:3">
      <c r="A67" s="275">
        <v>2003</v>
      </c>
      <c r="B67" s="277">
        <f>'4'!B27</f>
        <v>102.8</v>
      </c>
      <c r="C67" s="821">
        <f t="shared" si="4"/>
        <v>105.11247443762781</v>
      </c>
    </row>
    <row r="68" spans="1:3">
      <c r="A68" s="275">
        <v>2004</v>
      </c>
      <c r="B68" s="277">
        <f>'4'!B28</f>
        <v>104.7</v>
      </c>
      <c r="C68" s="821">
        <f t="shared" si="4"/>
        <v>107.05521472392638</v>
      </c>
    </row>
    <row r="69" spans="1:3">
      <c r="A69" s="343">
        <v>2005</v>
      </c>
      <c r="B69" s="277">
        <f>'4'!B29</f>
        <v>107</v>
      </c>
      <c r="C69" s="821">
        <f t="shared" si="4"/>
        <v>109.40695296523518</v>
      </c>
    </row>
    <row r="70" spans="1:3">
      <c r="A70" s="342">
        <v>2006</v>
      </c>
      <c r="B70" s="277">
        <f>'4'!B30</f>
        <v>109.1</v>
      </c>
      <c r="C70" s="821">
        <f t="shared" si="4"/>
        <v>111.55419222903886</v>
      </c>
    </row>
    <row r="71" spans="1:3">
      <c r="A71" s="342">
        <v>2007</v>
      </c>
      <c r="B71" s="277">
        <f>'4'!B31</f>
        <v>111.5</v>
      </c>
      <c r="C71" s="821">
        <f>B71/B$65*100</f>
        <v>114.0081799591002</v>
      </c>
    </row>
    <row r="72" spans="1:3">
      <c r="A72" s="275">
        <v>2008</v>
      </c>
      <c r="B72" s="277">
        <f>'4'!B32</f>
        <v>114.1</v>
      </c>
      <c r="C72" s="821">
        <f>B72/B$65*100</f>
        <v>116.66666666666667</v>
      </c>
    </row>
  </sheetData>
  <mergeCells count="4">
    <mergeCell ref="B33:M33"/>
    <mergeCell ref="A42:O42"/>
    <mergeCell ref="A43:O43"/>
    <mergeCell ref="A44:C44"/>
  </mergeCells>
  <phoneticPr fontId="36" type="noConversion"/>
  <pageMargins left="0.75" right="0.75" top="1" bottom="1" header="0.5" footer="0.5"/>
  <pageSetup scale="64" orientation="landscape" verticalDpi="0" r:id="rId1"/>
  <headerFooter alignWithMargins="0"/>
</worksheet>
</file>

<file path=xl/worksheets/sheet172.xml><?xml version="1.0" encoding="utf-8"?>
<worksheet xmlns="http://schemas.openxmlformats.org/spreadsheetml/2006/main" xmlns:r="http://schemas.openxmlformats.org/officeDocument/2006/relationships">
  <sheetPr codeName="Sheet152">
    <pageSetUpPr fitToPage="1"/>
  </sheetPr>
  <dimension ref="A1:Q72"/>
  <sheetViews>
    <sheetView view="pageBreakPreview" zoomScale="85" zoomScaleSheetLayoutView="85" workbookViewId="0">
      <pane xSplit="1" ySplit="3" topLeftCell="B19"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8" style="275" customWidth="1"/>
    <col min="2" max="7" width="12.85546875" style="275" customWidth="1"/>
    <col min="8" max="8" width="14.5703125" style="275" customWidth="1"/>
    <col min="9" max="12" width="12.85546875" style="275" customWidth="1"/>
    <col min="13" max="13" width="11.28515625" style="275" bestFit="1" customWidth="1"/>
    <col min="14" max="14" width="12.28515625" style="275" bestFit="1" customWidth="1"/>
    <col min="15" max="15" width="12.7109375" style="275" bestFit="1" customWidth="1"/>
    <col min="16" max="16384" width="8" style="275"/>
  </cols>
  <sheetData>
    <row r="1" spans="1:15" ht="15.75">
      <c r="A1" s="339" t="s">
        <v>2223</v>
      </c>
      <c r="B1" s="340"/>
      <c r="C1" s="340"/>
      <c r="D1" s="340"/>
      <c r="E1" s="340"/>
      <c r="F1" s="340"/>
      <c r="G1" s="340"/>
      <c r="H1" s="340"/>
      <c r="L1" s="828"/>
    </row>
    <row r="2" spans="1:15">
      <c r="B2" s="828"/>
      <c r="C2" s="828"/>
      <c r="D2" s="828"/>
      <c r="E2" s="828"/>
      <c r="F2" s="828"/>
      <c r="G2" s="828"/>
      <c r="H2" s="828"/>
      <c r="I2" s="828"/>
      <c r="J2" s="828"/>
    </row>
    <row r="3" spans="1:15" ht="25.5">
      <c r="A3" s="341"/>
      <c r="B3" s="268" t="s">
        <v>1235</v>
      </c>
      <c r="C3" s="280" t="s">
        <v>1236</v>
      </c>
      <c r="D3" s="280" t="s">
        <v>1237</v>
      </c>
      <c r="E3" s="280" t="s">
        <v>1238</v>
      </c>
      <c r="F3" s="280" t="s">
        <v>1239</v>
      </c>
      <c r="G3" s="280" t="s">
        <v>1240</v>
      </c>
      <c r="H3" s="280" t="s">
        <v>1241</v>
      </c>
      <c r="I3" s="280" t="s">
        <v>1242</v>
      </c>
      <c r="J3" s="269" t="s">
        <v>1243</v>
      </c>
      <c r="K3" s="280" t="s">
        <v>1244</v>
      </c>
      <c r="L3" s="280" t="s">
        <v>1245</v>
      </c>
      <c r="M3" s="280" t="s">
        <v>1246</v>
      </c>
      <c r="N3" s="280" t="s">
        <v>1247</v>
      </c>
      <c r="O3" s="269" t="s">
        <v>1248</v>
      </c>
    </row>
    <row r="4" spans="1:15" ht="25.5" customHeight="1">
      <c r="A4" s="342"/>
      <c r="B4" s="270" t="s">
        <v>1249</v>
      </c>
      <c r="C4" s="271" t="s">
        <v>585</v>
      </c>
      <c r="D4" s="271" t="s">
        <v>587</v>
      </c>
      <c r="E4" s="271" t="s">
        <v>588</v>
      </c>
      <c r="F4" s="271" t="s">
        <v>592</v>
      </c>
      <c r="G4" s="271" t="s">
        <v>593</v>
      </c>
      <c r="H4" s="271" t="s">
        <v>595</v>
      </c>
      <c r="I4" s="271" t="s">
        <v>1250</v>
      </c>
      <c r="J4" s="271" t="s">
        <v>1251</v>
      </c>
      <c r="K4" s="271" t="s">
        <v>1252</v>
      </c>
      <c r="L4" s="271" t="s">
        <v>1253</v>
      </c>
      <c r="M4" s="271" t="s">
        <v>1254</v>
      </c>
      <c r="N4" s="271" t="s">
        <v>1255</v>
      </c>
      <c r="O4" s="272" t="s">
        <v>1256</v>
      </c>
    </row>
    <row r="5" spans="1:15">
      <c r="A5" s="275">
        <v>1981</v>
      </c>
      <c r="B5" s="278">
        <f>'47a'!B5/'47b'!$B45*1000</f>
        <v>247125.90557347459</v>
      </c>
      <c r="C5" s="344">
        <f>'47a'!C5/'47b'!$B45*1000</f>
        <v>52324.473380320953</v>
      </c>
      <c r="D5" s="344">
        <f>'47a'!D5/'47b'!$B45*1000</f>
        <v>23595.287965064577</v>
      </c>
      <c r="E5" s="344">
        <f>'47a'!E5/'47b'!$B45*1000</f>
        <v>40895.931721950117</v>
      </c>
      <c r="F5" s="344">
        <f>'47a'!F5/'47b'!$B45*1000</f>
        <v>24882.386280678002</v>
      </c>
      <c r="G5" s="344">
        <f>'47a'!G5/'47b'!$B45*1000</f>
        <v>22997.714331222873</v>
      </c>
      <c r="H5" s="344">
        <f>'47a'!H5/'47b'!$B45*1000</f>
        <v>31613.202989155685</v>
      </c>
      <c r="I5" s="344">
        <f>'47a'!I5/'47b'!$B45*1000</f>
        <v>50816.908905082375</v>
      </c>
      <c r="J5" s="344">
        <f>'47a'!J5/'47b'!$B45*1000</f>
        <v>40959.540211577005</v>
      </c>
      <c r="K5" s="344">
        <f>'47a'!K5/'47b'!$B45*1000</f>
        <v>10139.928854909143</v>
      </c>
      <c r="L5" s="344">
        <f>'47a'!L5/'47b'!$B45*1000</f>
        <v>2813.0530004380203</v>
      </c>
      <c r="M5" s="344">
        <f>'47a'!M5/'47b'!$B45*1000</f>
        <v>24796.925894954806</v>
      </c>
      <c r="N5" s="344">
        <f>'47a'!N5/'47b'!$B45*1000</f>
        <v>3209.6324612750373</v>
      </c>
      <c r="O5" s="344">
        <f>'47a'!O5/'47b'!$B45*1000</f>
        <v>206166.36536189759</v>
      </c>
    </row>
    <row r="6" spans="1:15">
      <c r="A6" s="275">
        <v>1982</v>
      </c>
      <c r="B6" s="278">
        <f>'47a'!B6/'47b'!$B46*1000</f>
        <v>234190.73142235182</v>
      </c>
      <c r="C6" s="344">
        <f>'47a'!C6/'47b'!$B46*1000</f>
        <v>49673.628619821873</v>
      </c>
      <c r="D6" s="344">
        <f>'47a'!D6/'47b'!$B46*1000</f>
        <v>21444.872685470877</v>
      </c>
      <c r="E6" s="344">
        <f>'47a'!E6/'47b'!$B46*1000</f>
        <v>35650.831543771681</v>
      </c>
      <c r="F6" s="344">
        <f>'47a'!F6/'47b'!$B46*1000</f>
        <v>23659.099377385348</v>
      </c>
      <c r="G6" s="344">
        <f>'47a'!G6/'47b'!$B46*1000</f>
        <v>19998.162834242514</v>
      </c>
      <c r="H6" s="344">
        <f>'47a'!H6/'47b'!$B46*1000</f>
        <v>31843.902031931189</v>
      </c>
      <c r="I6" s="344">
        <f>'47a'!I6/'47b'!$B46*1000</f>
        <v>51920.234329728351</v>
      </c>
      <c r="J6" s="344">
        <f>'47a'!J6/'47b'!$B46*1000</f>
        <v>36051.833228134143</v>
      </c>
      <c r="K6" s="344">
        <f>'47a'!K6/'47b'!$B46*1000</f>
        <v>8821.462280506883</v>
      </c>
      <c r="L6" s="344">
        <f>'47a'!L6/'47b'!$B46*1000</f>
        <v>2363.2851297711363</v>
      </c>
      <c r="M6" s="344">
        <f>'47a'!M6/'47b'!$B46*1000</f>
        <v>22319.680946722194</v>
      </c>
      <c r="N6" s="344">
        <f>'47a'!N6/'47b'!$B46*1000</f>
        <v>2547.4048711339296</v>
      </c>
      <c r="O6" s="344">
        <f>'47a'!O6/'47b'!$B46*1000</f>
        <v>198138.89819421771</v>
      </c>
    </row>
    <row r="7" spans="1:15">
      <c r="A7" s="275">
        <v>1983</v>
      </c>
      <c r="B7" s="278">
        <f>'47a'!B7/'47b'!$B47*1000</f>
        <v>234808.21368657268</v>
      </c>
      <c r="C7" s="344">
        <f>'47a'!C7/'47b'!$B47*1000</f>
        <v>49398.776661800905</v>
      </c>
      <c r="D7" s="344">
        <f>'47a'!D7/'47b'!$B47*1000</f>
        <v>20909.023072398089</v>
      </c>
      <c r="E7" s="344">
        <f>'47a'!E7/'47b'!$B47*1000</f>
        <v>34271.763001372572</v>
      </c>
      <c r="F7" s="344">
        <f>'47a'!F7/'47b'!$B47*1000</f>
        <v>24915.394670907859</v>
      </c>
      <c r="G7" s="344">
        <f>'47a'!G7/'47b'!$B47*1000</f>
        <v>17916.895792936662</v>
      </c>
      <c r="H7" s="344">
        <f>'47a'!H7/'47b'!$B47*1000</f>
        <v>33675.681387394048</v>
      </c>
      <c r="I7" s="344">
        <f>'47a'!I7/'47b'!$B47*1000</f>
        <v>53720.679099762514</v>
      </c>
      <c r="J7" s="344">
        <f>'47a'!J7/'47b'!$B47*1000</f>
        <v>35922.57347654632</v>
      </c>
      <c r="K7" s="344">
        <f>'47a'!K7/'47b'!$B47*1000</f>
        <v>8495.0064271552728</v>
      </c>
      <c r="L7" s="344">
        <f>'47a'!L7/'47b'!$B47*1000</f>
        <v>2097.9160766029754</v>
      </c>
      <c r="M7" s="344">
        <f>'47a'!M7/'47b'!$B47*1000</f>
        <v>22595.70143140373</v>
      </c>
      <c r="N7" s="344">
        <f>'47a'!N7/'47b'!$B47*1000</f>
        <v>2733.9495413843433</v>
      </c>
      <c r="O7" s="344">
        <f>'47a'!O7/'47b'!$B47*1000</f>
        <v>198885.64021002635</v>
      </c>
    </row>
    <row r="8" spans="1:15">
      <c r="A8" s="275">
        <v>1984</v>
      </c>
      <c r="B8" s="278">
        <f>'47a'!B8/'47b'!$B48*1000</f>
        <v>236478.66098747402</v>
      </c>
      <c r="C8" s="344">
        <f>'47a'!C8/'47b'!$B48*1000</f>
        <v>49463.781817286945</v>
      </c>
      <c r="D8" s="344">
        <f>'47a'!D8/'47b'!$B48*1000</f>
        <v>20890.279065189032</v>
      </c>
      <c r="E8" s="344">
        <f>'47a'!E8/'47b'!$B48*1000</f>
        <v>33667.461671602119</v>
      </c>
      <c r="F8" s="344">
        <f>'47a'!F8/'47b'!$B48*1000</f>
        <v>24961.869498880289</v>
      </c>
      <c r="G8" s="344">
        <f>'47a'!G8/'47b'!$B48*1000</f>
        <v>20901.644286218179</v>
      </c>
      <c r="H8" s="344">
        <f>'47a'!H8/'47b'!$B48*1000</f>
        <v>35707.351710730298</v>
      </c>
      <c r="I8" s="344">
        <f>'47a'!I8/'47b'!$B48*1000</f>
        <v>50886.272937567148</v>
      </c>
      <c r="J8" s="344">
        <f>'47a'!J8/'47b'!$B48*1000</f>
        <v>35604.396179054522</v>
      </c>
      <c r="K8" s="344">
        <f>'47a'!K8/'47b'!$B48*1000</f>
        <v>8711.4419188397696</v>
      </c>
      <c r="L8" s="344">
        <f>'47a'!L8/'47b'!$B48*1000</f>
        <v>1990.7521717374718</v>
      </c>
      <c r="M8" s="344">
        <f>'47a'!M8/'47b'!$B48*1000</f>
        <v>22552.944047511628</v>
      </c>
      <c r="N8" s="344">
        <f>'47a'!N8/'47b'!$B48*1000</f>
        <v>2349.2580409656539</v>
      </c>
      <c r="O8" s="344">
        <f>'47a'!O8/'47b'!$B48*1000</f>
        <v>200874.26480841951</v>
      </c>
    </row>
    <row r="9" spans="1:15">
      <c r="A9" s="275">
        <v>1985</v>
      </c>
      <c r="B9" s="278">
        <f>'47a'!B9/'47b'!$B49*1000</f>
        <v>240550.24228253867</v>
      </c>
      <c r="C9" s="344">
        <f>'47a'!C9/'47b'!$B49*1000</f>
        <v>50398.015267914612</v>
      </c>
      <c r="D9" s="344">
        <f>'47a'!D9/'47b'!$B49*1000</f>
        <v>21456.849504059017</v>
      </c>
      <c r="E9" s="344">
        <f>'47a'!E9/'47b'!$B49*1000</f>
        <v>31644.300188307505</v>
      </c>
      <c r="F9" s="344">
        <f>'47a'!F9/'47b'!$B49*1000</f>
        <v>26103.892495292312</v>
      </c>
      <c r="G9" s="344">
        <f>'47a'!G9/'47b'!$B49*1000</f>
        <v>20739.916834884811</v>
      </c>
      <c r="H9" s="344">
        <f>'47a'!H9/'47b'!$B49*1000</f>
        <v>38326.150539508264</v>
      </c>
      <c r="I9" s="344">
        <f>'47a'!I9/'47b'!$B49*1000</f>
        <v>51881.117452572158</v>
      </c>
      <c r="J9" s="344">
        <f>'47a'!J9/'47b'!$B49*1000</f>
        <v>37132.157016511999</v>
      </c>
      <c r="K9" s="344">
        <f>'47a'!K9/'47b'!$B49*1000</f>
        <v>9341.4291039176678</v>
      </c>
      <c r="L9" s="344">
        <f>'47a'!L9/'47b'!$B49*1000</f>
        <v>1945.1710500200891</v>
      </c>
      <c r="M9" s="344">
        <f>'47a'!M9/'47b'!$B49*1000</f>
        <v>23372.194387564923</v>
      </c>
      <c r="N9" s="344">
        <f>'47a'!N9/'47b'!$B49*1000</f>
        <v>2473.3624750093186</v>
      </c>
      <c r="O9" s="344">
        <f>'47a'!O9/'47b'!$B49*1000</f>
        <v>203418.08526602667</v>
      </c>
    </row>
    <row r="10" spans="1:15">
      <c r="A10" s="275">
        <v>1986</v>
      </c>
      <c r="B10" s="278">
        <f>'47a'!B10/'47b'!$B50*1000</f>
        <v>249908.20016820857</v>
      </c>
      <c r="C10" s="344">
        <f>'47a'!C10/'47b'!$B50*1000</f>
        <v>53260.951841152593</v>
      </c>
      <c r="D10" s="344">
        <f>'47a'!D10/'47b'!$B50*1000</f>
        <v>22862.736314769441</v>
      </c>
      <c r="E10" s="344">
        <f>'47a'!E10/'47b'!$B50*1000</f>
        <v>32779.558086810255</v>
      </c>
      <c r="F10" s="344">
        <f>'47a'!F10/'47b'!$B50*1000</f>
        <v>26938.630379931987</v>
      </c>
      <c r="G10" s="344">
        <f>'47a'!G10/'47b'!$B50*1000</f>
        <v>21146.429224412183</v>
      </c>
      <c r="H10" s="344">
        <f>'47a'!H10/'47b'!$B50*1000</f>
        <v>41106.881010714162</v>
      </c>
      <c r="I10" s="344">
        <f>'47a'!I10/'47b'!$B50*1000</f>
        <v>51813.013310417962</v>
      </c>
      <c r="J10" s="344">
        <f>'47a'!J10/'47b'!$B50*1000</f>
        <v>40017.611621018754</v>
      </c>
      <c r="K10" s="344">
        <f>'47a'!K10/'47b'!$B50*1000</f>
        <v>9702.0971221706222</v>
      </c>
      <c r="L10" s="344">
        <f>'47a'!L10/'47b'!$B50*1000</f>
        <v>1934.0119574359162</v>
      </c>
      <c r="M10" s="344">
        <f>'47a'!M10/'47b'!$B50*1000</f>
        <v>25159.440706476031</v>
      </c>
      <c r="N10" s="344">
        <f>'47a'!N10/'47b'!$B50*1000</f>
        <v>3222.0618349361903</v>
      </c>
      <c r="O10" s="344">
        <f>'47a'!O10/'47b'!$B50*1000</f>
        <v>209890.58854718981</v>
      </c>
    </row>
    <row r="11" spans="1:15">
      <c r="A11" s="275">
        <v>1987</v>
      </c>
      <c r="B11" s="278">
        <f>'47a'!B11/'47b'!$B51*1000</f>
        <v>256707.99271861158</v>
      </c>
      <c r="C11" s="344">
        <f>'47a'!C11/'47b'!$B51*1000</f>
        <v>56496.142652270777</v>
      </c>
      <c r="D11" s="344">
        <f>'47a'!D11/'47b'!$B51*1000</f>
        <v>23352.492588075835</v>
      </c>
      <c r="E11" s="344">
        <f>'47a'!E11/'47b'!$B51*1000</f>
        <v>34848.960113297835</v>
      </c>
      <c r="F11" s="344">
        <f>'47a'!F11/'47b'!$B51*1000</f>
        <v>28050.244727609555</v>
      </c>
      <c r="G11" s="344">
        <f>'47a'!G11/'47b'!$B51*1000</f>
        <v>21085.601233115303</v>
      </c>
      <c r="H11" s="344">
        <f>'47a'!H11/'47b'!$B51*1000</f>
        <v>43111.228573370005</v>
      </c>
      <c r="I11" s="344">
        <f>'47a'!I11/'47b'!$B51*1000</f>
        <v>49763.322830872232</v>
      </c>
      <c r="J11" s="344">
        <f>'47a'!J11/'47b'!$B51*1000</f>
        <v>43581.731296738042</v>
      </c>
      <c r="K11" s="344">
        <f>'47a'!K11/'47b'!$B51*1000</f>
        <v>10440.319723049743</v>
      </c>
      <c r="L11" s="344">
        <f>'47a'!L11/'47b'!$B51*1000</f>
        <v>1975.467872125085</v>
      </c>
      <c r="M11" s="344">
        <f>'47a'!M11/'47b'!$B51*1000</f>
        <v>27208.43239144974</v>
      </c>
      <c r="N11" s="344">
        <f>'47a'!N11/'47b'!$B51*1000</f>
        <v>3957.5113101134771</v>
      </c>
      <c r="O11" s="344">
        <f>'47a'!O11/'47b'!$B51*1000</f>
        <v>213126.2614218735</v>
      </c>
    </row>
    <row r="12" spans="1:15">
      <c r="A12" s="275">
        <v>1988</v>
      </c>
      <c r="B12" s="278">
        <f>'47a'!B12/'47b'!$B52*1000</f>
        <v>264967.93953392387</v>
      </c>
      <c r="C12" s="344">
        <f>'47a'!C12/'47b'!$B52*1000</f>
        <v>58717.725917502677</v>
      </c>
      <c r="D12" s="344">
        <f>'47a'!D12/'47b'!$B52*1000</f>
        <v>24282.577444685434</v>
      </c>
      <c r="E12" s="344">
        <f>'47a'!E12/'47b'!$B52*1000</f>
        <v>36805.369376379771</v>
      </c>
      <c r="F12" s="344">
        <f>'47a'!F12/'47b'!$B52*1000</f>
        <v>27473.881026132676</v>
      </c>
      <c r="G12" s="344">
        <f>'47a'!G12/'47b'!$B52*1000</f>
        <v>22682.458249409396</v>
      </c>
      <c r="H12" s="344">
        <f>'47a'!H12/'47b'!$B52*1000</f>
        <v>44753.80183489788</v>
      </c>
      <c r="I12" s="344">
        <f>'47a'!I12/'47b'!$B52*1000</f>
        <v>50252.125684916042</v>
      </c>
      <c r="J12" s="344">
        <f>'47a'!J12/'47b'!$B52*1000</f>
        <v>46149.471574774871</v>
      </c>
      <c r="K12" s="344">
        <f>'47a'!K12/'47b'!$B52*1000</f>
        <v>11043.029870830582</v>
      </c>
      <c r="L12" s="344">
        <f>'47a'!L12/'47b'!$B52*1000</f>
        <v>2197.4374627850634</v>
      </c>
      <c r="M12" s="344">
        <f>'47a'!M12/'47b'!$B52*1000</f>
        <v>28980.053331556326</v>
      </c>
      <c r="N12" s="344">
        <f>'47a'!N12/'47b'!$B52*1000</f>
        <v>3928.9509096029037</v>
      </c>
      <c r="O12" s="344">
        <f>'47a'!O12/'47b'!$B52*1000</f>
        <v>218818.46795914901</v>
      </c>
    </row>
    <row r="13" spans="1:15">
      <c r="A13" s="275">
        <v>1989</v>
      </c>
      <c r="B13" s="278">
        <f>'47a'!B13/'47b'!$B53*1000</f>
        <v>273019.74380315799</v>
      </c>
      <c r="C13" s="344">
        <f>'47a'!C13/'47b'!$B53*1000</f>
        <v>59476.719229513066</v>
      </c>
      <c r="D13" s="344">
        <f>'47a'!D13/'47b'!$B53*1000</f>
        <v>24625.128873543639</v>
      </c>
      <c r="E13" s="344">
        <f>'47a'!E13/'47b'!$B53*1000</f>
        <v>39741.754727119216</v>
      </c>
      <c r="F13" s="344">
        <f>'47a'!F13/'47b'!$B53*1000</f>
        <v>27160.247196388984</v>
      </c>
      <c r="G13" s="344">
        <f>'47a'!G13/'47b'!$B53*1000</f>
        <v>24728.044839715181</v>
      </c>
      <c r="H13" s="344">
        <f>'47a'!H13/'47b'!$B53*1000</f>
        <v>45889.113064052224</v>
      </c>
      <c r="I13" s="344">
        <f>'47a'!I13/'47b'!$B53*1000</f>
        <v>51398.735872825717</v>
      </c>
      <c r="J13" s="344">
        <f>'47a'!J13/'47b'!$B53*1000</f>
        <v>48139.035175516372</v>
      </c>
      <c r="K13" s="344">
        <f>'47a'!K13/'47b'!$B53*1000</f>
        <v>11331.673467176193</v>
      </c>
      <c r="L13" s="344">
        <f>'47a'!L13/'47b'!$B53*1000</f>
        <v>2025.4450934737686</v>
      </c>
      <c r="M13" s="344">
        <f>'47a'!M13/'47b'!$B53*1000</f>
        <v>30704.776109968083</v>
      </c>
      <c r="N13" s="344">
        <f>'47a'!N13/'47b'!$B53*1000</f>
        <v>4077.1405048983243</v>
      </c>
      <c r="O13" s="344">
        <f>'47a'!O13/'47b'!$B53*1000</f>
        <v>224880.70862764167</v>
      </c>
    </row>
    <row r="14" spans="1:15">
      <c r="A14" s="275">
        <v>1990</v>
      </c>
      <c r="B14" s="278">
        <f>'47a'!B14/'47b'!$B54*1000</f>
        <v>266089.2126741492</v>
      </c>
      <c r="C14" s="344">
        <f>'47a'!C14/'47b'!$B54*1000</f>
        <v>58407.331029135516</v>
      </c>
      <c r="D14" s="344">
        <f>'47a'!D14/'47b'!$B54*1000</f>
        <v>23777.54292044431</v>
      </c>
      <c r="E14" s="344">
        <f>'47a'!E14/'47b'!$B54*1000</f>
        <v>36827.619893511226</v>
      </c>
      <c r="F14" s="344">
        <f>'47a'!F14/'47b'!$B54*1000</f>
        <v>25125.731103673919</v>
      </c>
      <c r="G14" s="344">
        <f>'47a'!G14/'47b'!$B54*1000</f>
        <v>24820.422630830803</v>
      </c>
      <c r="H14" s="344">
        <f>'47a'!H14/'47b'!$B54*1000</f>
        <v>45922.881789221152</v>
      </c>
      <c r="I14" s="344">
        <f>'47a'!I14/'47b'!$B54*1000</f>
        <v>51207.683307332292</v>
      </c>
      <c r="J14" s="344">
        <f>'47a'!J14/'47b'!$B54*1000</f>
        <v>48668.139564718236</v>
      </c>
      <c r="K14" s="344">
        <f>'47a'!K14/'47b'!$B54*1000</f>
        <v>11130.880667399564</v>
      </c>
      <c r="L14" s="344">
        <f>'47a'!L14/'47b'!$B54*1000</f>
        <v>2133.3815897653913</v>
      </c>
      <c r="M14" s="344">
        <f>'47a'!M14/'47b'!$B54*1000</f>
        <v>30983.715795210439</v>
      </c>
      <c r="N14" s="344">
        <f>'47a'!N14/'47b'!$B54*1000</f>
        <v>4420.1615123428464</v>
      </c>
      <c r="O14" s="344">
        <f>'47a'!O14/'47b'!$B54*1000</f>
        <v>217421.07310943099</v>
      </c>
    </row>
    <row r="15" spans="1:15">
      <c r="A15" s="275">
        <v>1991</v>
      </c>
      <c r="B15" s="278">
        <f>'47a'!B15/'47b'!$B55*1000</f>
        <v>262889.33455438254</v>
      </c>
      <c r="C15" s="344">
        <f>'47a'!C15/'47b'!$B55*1000</f>
        <v>57683.226163992673</v>
      </c>
      <c r="D15" s="344">
        <f>'47a'!D15/'47b'!$B55*1000</f>
        <v>22442.349314404444</v>
      </c>
      <c r="E15" s="344">
        <f>'47a'!E15/'47b'!$B55*1000</f>
        <v>37258.521796776527</v>
      </c>
      <c r="F15" s="344">
        <f>'47a'!F15/'47b'!$B55*1000</f>
        <v>24754.910399618489</v>
      </c>
      <c r="G15" s="344">
        <f>'47a'!G15/'47b'!$B55*1000</f>
        <v>24573.604243801081</v>
      </c>
      <c r="H15" s="344">
        <f>'47a'!H15/'47b'!$B55*1000</f>
        <v>46855.468780706367</v>
      </c>
      <c r="I15" s="344">
        <f>'47a'!I15/'47b'!$B55*1000</f>
        <v>49321.253855082941</v>
      </c>
      <c r="J15" s="344">
        <f>'47a'!J15/'47b'!$B55*1000</f>
        <v>47313.966208904218</v>
      </c>
      <c r="K15" s="344">
        <f>'47a'!K15/'47b'!$B55*1000</f>
        <v>10589.005578570324</v>
      </c>
      <c r="L15" s="344">
        <f>'47a'!L15/'47b'!$B55*1000</f>
        <v>1947.4929187006567</v>
      </c>
      <c r="M15" s="344">
        <f>'47a'!M15/'47b'!$B55*1000</f>
        <v>31083.648421675982</v>
      </c>
      <c r="N15" s="344">
        <f>'47a'!N15/'47b'!$B55*1000</f>
        <v>3693.8192899572628</v>
      </c>
      <c r="O15" s="344">
        <f>'47a'!O15/'47b'!$B55*1000</f>
        <v>215575.36834547832</v>
      </c>
    </row>
    <row r="16" spans="1:15">
      <c r="A16" s="275">
        <v>1992</v>
      </c>
      <c r="B16" s="278">
        <f>'47a'!B16/'47b'!$B56*1000</f>
        <v>268167.4659576898</v>
      </c>
      <c r="C16" s="344">
        <f>'47a'!C16/'47b'!$B56*1000</f>
        <v>58732.975672280096</v>
      </c>
      <c r="D16" s="344">
        <f>'47a'!D16/'47b'!$B56*1000</f>
        <v>21994.62620084011</v>
      </c>
      <c r="E16" s="344">
        <f>'47a'!E16/'47b'!$B56*1000</f>
        <v>38193.06019111917</v>
      </c>
      <c r="F16" s="344">
        <f>'47a'!F16/'47b'!$B56*1000</f>
        <v>25195.920633510577</v>
      </c>
      <c r="G16" s="344">
        <f>'47a'!G16/'47b'!$B56*1000</f>
        <v>25513.133415398672</v>
      </c>
      <c r="H16" s="344">
        <f>'47a'!H16/'47b'!$B56*1000</f>
        <v>48693.661721595447</v>
      </c>
      <c r="I16" s="344">
        <f>'47a'!I16/'47b'!$B56*1000</f>
        <v>49844.088122945715</v>
      </c>
      <c r="J16" s="344">
        <f>'47a'!J16/'47b'!$B56*1000</f>
        <v>48328.251627558711</v>
      </c>
      <c r="K16" s="344">
        <f>'47a'!K16/'47b'!$B56*1000</f>
        <v>10317.120775644358</v>
      </c>
      <c r="L16" s="344">
        <f>'47a'!L16/'47b'!$B56*1000</f>
        <v>1945.2683409687938</v>
      </c>
      <c r="M16" s="344">
        <f>'47a'!M16/'47b'!$B56*1000</f>
        <v>32301.404205637118</v>
      </c>
      <c r="N16" s="344">
        <f>'47a'!N16/'47b'!$B56*1000</f>
        <v>3764.458305308443</v>
      </c>
      <c r="O16" s="344">
        <f>'47a'!O16/'47b'!$B56*1000</f>
        <v>219839.21433013104</v>
      </c>
    </row>
    <row r="17" spans="1:15">
      <c r="A17" s="275">
        <v>1993</v>
      </c>
      <c r="B17" s="278">
        <f>'47a'!B17/'47b'!$B57*1000</f>
        <v>275544.55061040877</v>
      </c>
      <c r="C17" s="344">
        <f>'47a'!C17/'47b'!$B57*1000</f>
        <v>60349.598118538626</v>
      </c>
      <c r="D17" s="344">
        <f>'47a'!D17/'47b'!$B57*1000</f>
        <v>21951.087335402884</v>
      </c>
      <c r="E17" s="344">
        <f>'47a'!E17/'47b'!$B57*1000</f>
        <v>39621.54720261797</v>
      </c>
      <c r="F17" s="344">
        <f>'47a'!F17/'47b'!$B57*1000</f>
        <v>27867.844357051181</v>
      </c>
      <c r="G17" s="344">
        <f>'47a'!G17/'47b'!$B57*1000</f>
        <v>27978.035947886638</v>
      </c>
      <c r="H17" s="344">
        <f>'47a'!H17/'47b'!$B57*1000</f>
        <v>52803.329054799404</v>
      </c>
      <c r="I17" s="344">
        <f>'47a'!I17/'47b'!$B57*1000</f>
        <v>44973.108594112025</v>
      </c>
      <c r="J17" s="344">
        <f>'47a'!J17/'47b'!$B57*1000</f>
        <v>49394.909638183664</v>
      </c>
      <c r="K17" s="344">
        <f>'47a'!K17/'47b'!$B57*1000</f>
        <v>10482.839866640967</v>
      </c>
      <c r="L17" s="344">
        <f>'47a'!L17/'47b'!$B57*1000</f>
        <v>2079.2020192493019</v>
      </c>
      <c r="M17" s="344">
        <f>'47a'!M17/'47b'!$B57*1000</f>
        <v>32998.420974931621</v>
      </c>
      <c r="N17" s="344">
        <f>'47a'!N17/'47b'!$B57*1000</f>
        <v>3834.4467773617716</v>
      </c>
      <c r="O17" s="344">
        <f>'47a'!O17/'47b'!$B57*1000</f>
        <v>226149.64097222508</v>
      </c>
    </row>
    <row r="18" spans="1:15">
      <c r="A18" s="275">
        <v>1994</v>
      </c>
      <c r="B18" s="278">
        <f>'47a'!B18/'47b'!$B58*1000</f>
        <v>287018.93387017847</v>
      </c>
      <c r="C18" s="344">
        <f>'47a'!C18/'47b'!$B58*1000</f>
        <v>62177.152227417711</v>
      </c>
      <c r="D18" s="344">
        <f>'47a'!D18/'47b'!$B58*1000</f>
        <v>22473.19376330325</v>
      </c>
      <c r="E18" s="344">
        <f>'47a'!E18/'47b'!$B58*1000</f>
        <v>41806.531144021748</v>
      </c>
      <c r="F18" s="344">
        <f>'47a'!F18/'47b'!$B58*1000</f>
        <v>30445.098029692428</v>
      </c>
      <c r="G18" s="344">
        <f>'47a'!G18/'47b'!$B58*1000</f>
        <v>29002.974828097431</v>
      </c>
      <c r="H18" s="344">
        <f>'47a'!H18/'47b'!$B58*1000</f>
        <v>55626.194029216458</v>
      </c>
      <c r="I18" s="344">
        <f>'47a'!I18/'47b'!$B58*1000</f>
        <v>45487.789848429478</v>
      </c>
      <c r="J18" s="344">
        <f>'47a'!J18/'47b'!$B58*1000</f>
        <v>51178.600179461049</v>
      </c>
      <c r="K18" s="344">
        <f>'47a'!K18/'47b'!$B58*1000</f>
        <v>11000.828095005081</v>
      </c>
      <c r="L18" s="344">
        <f>'47a'!L18/'47b'!$B58*1000</f>
        <v>2009.254750921893</v>
      </c>
      <c r="M18" s="344">
        <f>'47a'!M18/'47b'!$B58*1000</f>
        <v>34028.684628152558</v>
      </c>
      <c r="N18" s="344">
        <f>'47a'!N18/'47b'!$B58*1000</f>
        <v>4139.8327053815246</v>
      </c>
      <c r="O18" s="344">
        <f>'47a'!O18/'47b'!$B58*1000</f>
        <v>235840.33369071741</v>
      </c>
    </row>
    <row r="19" spans="1:15">
      <c r="A19" s="275">
        <v>1995</v>
      </c>
      <c r="B19" s="278">
        <f>'47a'!B19/'47b'!$B59*1000</f>
        <v>287387.17790901358</v>
      </c>
      <c r="C19" s="344">
        <f>'47a'!C19/'47b'!$B59*1000</f>
        <v>60729.878857164258</v>
      </c>
      <c r="D19" s="344">
        <f>'47a'!D19/'47b'!$B59*1000</f>
        <v>22045.246901806793</v>
      </c>
      <c r="E19" s="344">
        <f>'47a'!E19/'47b'!$B59*1000</f>
        <v>39972.727357827127</v>
      </c>
      <c r="F19" s="344">
        <f>'47a'!F19/'47b'!$B59*1000</f>
        <v>29994.684716204218</v>
      </c>
      <c r="G19" s="344">
        <f>'47a'!G19/'47b'!$B59*1000</f>
        <v>29782.688264017201</v>
      </c>
      <c r="H19" s="344">
        <f>'47a'!H19/'47b'!$B59*1000</f>
        <v>57813.234910386134</v>
      </c>
      <c r="I19" s="344">
        <f>'47a'!I19/'47b'!$B59*1000</f>
        <v>47048.716901607877</v>
      </c>
      <c r="J19" s="344">
        <f>'47a'!J19/'47b'!$B59*1000</f>
        <v>51254.314536087179</v>
      </c>
      <c r="K19" s="344">
        <f>'47a'!K19/'47b'!$B59*1000</f>
        <v>11130.338247459957</v>
      </c>
      <c r="L19" s="344">
        <f>'47a'!L19/'47b'!$B59*1000</f>
        <v>2041.7652007755578</v>
      </c>
      <c r="M19" s="344">
        <f>'47a'!M19/'47b'!$B59*1000</f>
        <v>34087.846985353572</v>
      </c>
      <c r="N19" s="344">
        <f>'47a'!N19/'47b'!$B59*1000</f>
        <v>3994.3641024980961</v>
      </c>
      <c r="O19" s="344">
        <f>'47a'!O19/'47b'!$B59*1000</f>
        <v>236132.86337292643</v>
      </c>
    </row>
    <row r="20" spans="1:15">
      <c r="A20" s="275">
        <v>1996</v>
      </c>
      <c r="B20" s="278">
        <f>'47a'!B20/'47b'!$B60*1000</f>
        <v>294031.912558057</v>
      </c>
      <c r="C20" s="344">
        <f>'47a'!C20/'47b'!$B60*1000</f>
        <v>60706.232495556222</v>
      </c>
      <c r="D20" s="344">
        <f>'47a'!D20/'47b'!$B60*1000</f>
        <v>21940.982801164701</v>
      </c>
      <c r="E20" s="344">
        <f>'47a'!E20/'47b'!$B60*1000</f>
        <v>40333.3114708227</v>
      </c>
      <c r="F20" s="344">
        <f>'47a'!F20/'47b'!$B60*1000</f>
        <v>32724.795760330813</v>
      </c>
      <c r="G20" s="344">
        <f>'47a'!G20/'47b'!$B60*1000</f>
        <v>29269.712921189883</v>
      </c>
      <c r="H20" s="344">
        <f>'47a'!H20/'47b'!$B60*1000</f>
        <v>60871.096201153057</v>
      </c>
      <c r="I20" s="344">
        <f>'47a'!I20/'47b'!$B60*1000</f>
        <v>48185.780907839639</v>
      </c>
      <c r="J20" s="344">
        <f>'47a'!J20/'47b'!$B60*1000</f>
        <v>52343.576726354477</v>
      </c>
      <c r="K20" s="344">
        <f>'47a'!K20/'47b'!$B60*1000</f>
        <v>11515.766967404325</v>
      </c>
      <c r="L20" s="344">
        <f>'47a'!L20/'47b'!$B60*1000</f>
        <v>2085.1174296825247</v>
      </c>
      <c r="M20" s="344">
        <f>'47a'!M20/'47b'!$B60*1000</f>
        <v>34672.805254671825</v>
      </c>
      <c r="N20" s="344">
        <f>'47a'!N20/'47b'!$B60*1000</f>
        <v>4069.8870745958029</v>
      </c>
      <c r="O20" s="344">
        <f>'47a'!O20/'47b'!$B60*1000</f>
        <v>241688.33583170254</v>
      </c>
    </row>
    <row r="21" spans="1:15">
      <c r="A21" s="275">
        <v>1997</v>
      </c>
      <c r="B21" s="278">
        <f>'47a'!B21/'47b'!$B61*1000</f>
        <v>300322.79547190154</v>
      </c>
      <c r="C21" s="344">
        <f>'47a'!C21/'47b'!$B61*1000</f>
        <v>61170.05867793486</v>
      </c>
      <c r="D21" s="344">
        <f>'47a'!D21/'47b'!$B61*1000</f>
        <v>22209.021732486646</v>
      </c>
      <c r="E21" s="344">
        <f>'47a'!E21/'47b'!$B61*1000</f>
        <v>41503.678785437442</v>
      </c>
      <c r="F21" s="344">
        <f>'47a'!F21/'47b'!$B61*1000</f>
        <v>36452.06532633341</v>
      </c>
      <c r="G21" s="344">
        <f>'47a'!G21/'47b'!$B61*1000</f>
        <v>28627.610148160311</v>
      </c>
      <c r="H21" s="344">
        <f>'47a'!H21/'47b'!$B61*1000</f>
        <v>64497.648795474845</v>
      </c>
      <c r="I21" s="344">
        <f>'47a'!I21/'47b'!$B61*1000</f>
        <v>45862.712006073984</v>
      </c>
      <c r="J21" s="344">
        <f>'47a'!J21/'47b'!$B61*1000</f>
        <v>53877.665011440273</v>
      </c>
      <c r="K21" s="344">
        <f>'47a'!K21/'47b'!$B61*1000</f>
        <v>11957.969940813933</v>
      </c>
      <c r="L21" s="344">
        <f>'47a'!L21/'47b'!$B61*1000</f>
        <v>2286.8741996036588</v>
      </c>
      <c r="M21" s="344">
        <f>'47a'!M21/'47b'!$B61*1000</f>
        <v>35194.113464627175</v>
      </c>
      <c r="N21" s="344">
        <f>'47a'!N21/'47b'!$B61*1000</f>
        <v>4438.7074063955115</v>
      </c>
      <c r="O21" s="344">
        <f>'47a'!O21/'47b'!$B61*1000</f>
        <v>246445.13046046119</v>
      </c>
    </row>
    <row r="22" spans="1:15">
      <c r="A22" s="275">
        <v>1998</v>
      </c>
      <c r="B22" s="278">
        <f>'47a'!B22/'47b'!$B62*1000</f>
        <v>306447.0777305846</v>
      </c>
      <c r="C22" s="344">
        <f>'47a'!C22/'47b'!$B62*1000</f>
        <v>62523.769170513056</v>
      </c>
      <c r="D22" s="344">
        <f>'47a'!D22/'47b'!$B62*1000</f>
        <v>22857.815185701977</v>
      </c>
      <c r="E22" s="344">
        <f>'47a'!E22/'47b'!$B62*1000</f>
        <v>42716.04036055215</v>
      </c>
      <c r="F22" s="344">
        <f>'47a'!F22/'47b'!$B62*1000</f>
        <v>39914.992875287659</v>
      </c>
      <c r="G22" s="344">
        <f>'47a'!G22/'47b'!$B62*1000</f>
        <v>27277.924440317878</v>
      </c>
      <c r="H22" s="344">
        <f>'47a'!H22/'47b'!$B62*1000</f>
        <v>69643.668339540352</v>
      </c>
      <c r="I22" s="344">
        <f>'47a'!I22/'47b'!$B62*1000</f>
        <v>41512.867358671545</v>
      </c>
      <c r="J22" s="344">
        <f>'47a'!J22/'47b'!$B62*1000</f>
        <v>56215.519614758246</v>
      </c>
      <c r="K22" s="344">
        <f>'47a'!K22/'47b'!$B62*1000</f>
        <v>12729.056568212103</v>
      </c>
      <c r="L22" s="344">
        <f>'47a'!L22/'47b'!$B62*1000</f>
        <v>2470.3492634547661</v>
      </c>
      <c r="M22" s="344">
        <f>'47a'!M22/'47b'!$B62*1000</f>
        <v>36037.719543231287</v>
      </c>
      <c r="N22" s="344">
        <f>'47a'!N22/'47b'!$B62*1000</f>
        <v>4978.3942398600811</v>
      </c>
      <c r="O22" s="344">
        <f>'47a'!O22/'47b'!$B62*1000</f>
        <v>250231.55811582637</v>
      </c>
    </row>
    <row r="23" spans="1:15">
      <c r="A23" s="275">
        <v>1999</v>
      </c>
      <c r="B23" s="278">
        <f>'47a'!B23/'47b'!$B63*1000</f>
        <v>317232.18062516814</v>
      </c>
      <c r="C23" s="344">
        <f>'47a'!C23/'47b'!$B63*1000</f>
        <v>63829.76959852664</v>
      </c>
      <c r="D23" s="344">
        <f>'47a'!D23/'47b'!$B63*1000</f>
        <v>23761.894825585307</v>
      </c>
      <c r="E23" s="344">
        <f>'47a'!E23/'47b'!$B63*1000</f>
        <v>44326.659630651229</v>
      </c>
      <c r="F23" s="344">
        <f>'47a'!F23/'47b'!$B63*1000</f>
        <v>41423.986330227395</v>
      </c>
      <c r="G23" s="344">
        <f>'47a'!G23/'47b'!$B63*1000</f>
        <v>27842.052315998382</v>
      </c>
      <c r="H23" s="344">
        <f>'47a'!H23/'47b'!$B63*1000</f>
        <v>73799.147163448593</v>
      </c>
      <c r="I23" s="344">
        <f>'47a'!I23/'47b'!$B63*1000</f>
        <v>42248.670760730623</v>
      </c>
      <c r="J23" s="344">
        <f>'47a'!J23/'47b'!$B63*1000</f>
        <v>58258.823226419532</v>
      </c>
      <c r="K23" s="344">
        <f>'47a'!K23/'47b'!$B63*1000</f>
        <v>13557.260305940526</v>
      </c>
      <c r="L23" s="344">
        <f>'47a'!L23/'47b'!$B63*1000</f>
        <v>2523.2293628902044</v>
      </c>
      <c r="M23" s="344">
        <f>'47a'!M23/'47b'!$B63*1000</f>
        <v>36664.273790702362</v>
      </c>
      <c r="N23" s="344">
        <f>'47a'!N23/'47b'!$B63*1000</f>
        <v>5514.0597668864366</v>
      </c>
      <c r="O23" s="344">
        <f>'47a'!O23/'47b'!$B63*1000</f>
        <v>258973.35739874866</v>
      </c>
    </row>
    <row r="24" spans="1:15">
      <c r="A24" s="275">
        <v>2000</v>
      </c>
      <c r="B24" s="278">
        <f>'47a'!B24/'47b'!$B64*1000</f>
        <v>323371.27150991326</v>
      </c>
      <c r="C24" s="344">
        <f>'47a'!C24/'47b'!$B64*1000</f>
        <v>63805.819060665439</v>
      </c>
      <c r="D24" s="344">
        <f>'47a'!D24/'47b'!$B64*1000</f>
        <v>24057.598760806981</v>
      </c>
      <c r="E24" s="344">
        <f>'47a'!E24/'47b'!$B64*1000</f>
        <v>45054.282809476586</v>
      </c>
      <c r="F24" s="344">
        <f>'47a'!F24/'47b'!$B64*1000</f>
        <v>44327.667153564558</v>
      </c>
      <c r="G24" s="344">
        <f>'47a'!G24/'47b'!$B64*1000</f>
        <v>31854.057272312151</v>
      </c>
      <c r="H24" s="344">
        <f>'47a'!H24/'47b'!$B64*1000</f>
        <v>77351.958061187659</v>
      </c>
      <c r="I24" s="344">
        <f>'47a'!I24/'47b'!$B64*1000</f>
        <v>36919.888391899825</v>
      </c>
      <c r="J24" s="344">
        <f>'47a'!J24/'47b'!$B64*1000</f>
        <v>59240.764707217924</v>
      </c>
      <c r="K24" s="344">
        <f>'47a'!K24/'47b'!$B64*1000</f>
        <v>14153.420268575908</v>
      </c>
      <c r="L24" s="344">
        <f>'47a'!L24/'47b'!$B64*1000</f>
        <v>2647.808833286661</v>
      </c>
      <c r="M24" s="344">
        <f>'47a'!M24/'47b'!$B64*1000</f>
        <v>36618.632800772968</v>
      </c>
      <c r="N24" s="344">
        <f>'47a'!N24/'47b'!$B64*1000</f>
        <v>5820.9028045823898</v>
      </c>
      <c r="O24" s="344">
        <f>'47a'!O24/'47b'!$B64*1000</f>
        <v>264130.50680269528</v>
      </c>
    </row>
    <row r="25" spans="1:15">
      <c r="A25" s="275">
        <v>2001</v>
      </c>
      <c r="B25" s="278">
        <f>'47a'!B25/'47b'!$B65*1000</f>
        <v>326525.01778515533</v>
      </c>
      <c r="C25" s="344">
        <f>'47a'!C25/'47b'!$B65*1000</f>
        <v>65008.457829420593</v>
      </c>
      <c r="D25" s="344">
        <f>'47a'!D25/'47b'!$B65*1000</f>
        <v>24347.561457592285</v>
      </c>
      <c r="E25" s="344">
        <f>'47a'!E25/'47b'!$B65*1000</f>
        <v>47423.602877242905</v>
      </c>
      <c r="F25" s="344">
        <f>'47a'!F25/'47b'!$B65*1000</f>
        <v>44524.385424077147</v>
      </c>
      <c r="G25" s="344">
        <f>'47a'!G25/'47b'!$B65*1000</f>
        <v>31132.716781282114</v>
      </c>
      <c r="H25" s="344">
        <f>'47a'!H25/'47b'!$B65*1000</f>
        <v>75533.712749980245</v>
      </c>
      <c r="I25" s="344">
        <f>'47a'!I25/'47b'!$B65*1000</f>
        <v>38554.580665560032</v>
      </c>
      <c r="J25" s="344">
        <f>'47a'!J25/'47b'!$B65*1000</f>
        <v>60366.216109398461</v>
      </c>
      <c r="K25" s="344">
        <f>'47a'!K25/'47b'!$B65*1000</f>
        <v>14791.795115010671</v>
      </c>
      <c r="L25" s="344">
        <f>'47a'!L25/'47b'!$B65*1000</f>
        <v>2419.0182594261319</v>
      </c>
      <c r="M25" s="344">
        <f>'47a'!M25/'47b'!$B65*1000</f>
        <v>36818.433325428814</v>
      </c>
      <c r="N25" s="344">
        <f>'47a'!N25/'47b'!$B65*1000</f>
        <v>6336.9694095328432</v>
      </c>
      <c r="O25" s="344">
        <f>'47a'!O25/'47b'!$B65*1000</f>
        <v>266158.80167575687</v>
      </c>
    </row>
    <row r="26" spans="1:15">
      <c r="A26" s="275">
        <v>2002</v>
      </c>
      <c r="B26" s="278">
        <f>'47a'!B26/'47b'!$B66*1000</f>
        <v>332435.95847266505</v>
      </c>
      <c r="C26" s="344">
        <f>'47a'!C26/'47b'!$B66*1000</f>
        <v>67407.541488451665</v>
      </c>
      <c r="D26" s="344">
        <f>'47a'!D26/'47b'!$B66*1000</f>
        <v>25162.717785208806</v>
      </c>
      <c r="E26" s="344">
        <f>'47a'!E26/'47b'!$B66*1000</f>
        <v>51242.210747336496</v>
      </c>
      <c r="F26" s="344">
        <f>'47a'!F26/'47b'!$B66*1000</f>
        <v>44108.796329419085</v>
      </c>
      <c r="G26" s="344">
        <f>'47a'!G26/'47b'!$B66*1000</f>
        <v>31536.564118516213</v>
      </c>
      <c r="H26" s="344">
        <f>'47a'!H26/'47b'!$B66*1000</f>
        <v>74466.117116416528</v>
      </c>
      <c r="I26" s="344">
        <f>'47a'!I26/'47b'!$B66*1000</f>
        <v>38512.01088731629</v>
      </c>
      <c r="J26" s="344">
        <f>'47a'!J26/'47b'!$B66*1000</f>
        <v>61808.018041838412</v>
      </c>
      <c r="K26" s="344">
        <f>'47a'!K26/'47b'!$B66*1000</f>
        <v>15575.594991834512</v>
      </c>
      <c r="L26" s="344">
        <f>'47a'!L26/'47b'!$B66*1000</f>
        <v>2325.4784975503539</v>
      </c>
      <c r="M26" s="344">
        <f>'47a'!M26/'47b'!$B66*1000</f>
        <v>37576.982346994322</v>
      </c>
      <c r="N26" s="344">
        <f>'47a'!N26/'47b'!$B66*1000</f>
        <v>6329.9622054592128</v>
      </c>
      <c r="O26" s="344">
        <f>'47a'!O26/'47b'!$B66*1000</f>
        <v>270627.94043082668</v>
      </c>
    </row>
    <row r="27" spans="1:15">
      <c r="A27" s="275">
        <v>2003</v>
      </c>
      <c r="B27" s="278">
        <f>'47a'!B27/'47b'!$B67*1000</f>
        <v>335080.84745069459</v>
      </c>
      <c r="C27" s="344">
        <f>'47a'!C27/'47b'!$B67*1000</f>
        <v>70613.562668365645</v>
      </c>
      <c r="D27" s="344">
        <f>'47a'!D27/'47b'!$B67*1000</f>
        <v>25190.176030256629</v>
      </c>
      <c r="E27" s="344">
        <f>'47a'!E27/'47b'!$B67*1000</f>
        <v>53693.14693828686</v>
      </c>
      <c r="F27" s="344">
        <f>'47a'!F27/'47b'!$B67*1000</f>
        <v>42608.062114697772</v>
      </c>
      <c r="G27" s="344">
        <f>'47a'!G27/'47b'!$B67*1000</f>
        <v>31742.769402184993</v>
      </c>
      <c r="H27" s="344">
        <f>'47a'!H27/'47b'!$B67*1000</f>
        <v>73943.803681824153</v>
      </c>
      <c r="I27" s="344">
        <f>'47a'!I27/'47b'!$B67*1000</f>
        <v>37289.326615078578</v>
      </c>
      <c r="J27" s="344">
        <f>'47a'!J27/'47b'!$B67*1000</f>
        <v>63484.516854999318</v>
      </c>
      <c r="K27" s="344">
        <f>'47a'!K27/'47b'!$B67*1000</f>
        <v>16440.318515017701</v>
      </c>
      <c r="L27" s="344">
        <f>'47a'!L27/'47b'!$B67*1000</f>
        <v>2287.0496951617283</v>
      </c>
      <c r="M27" s="344">
        <f>'47a'!M27/'47b'!$B67*1000</f>
        <v>38528.148241473828</v>
      </c>
      <c r="N27" s="344">
        <f>'47a'!N27/'47b'!$B67*1000</f>
        <v>6229.00040334607</v>
      </c>
      <c r="O27" s="344">
        <f>'47a'!O27/'47b'!$B67*1000</f>
        <v>271596.3305956953</v>
      </c>
    </row>
    <row r="28" spans="1:15">
      <c r="A28" s="275">
        <v>2004</v>
      </c>
      <c r="B28" s="278">
        <f>'47a'!B28/'47b'!$B68*1000</f>
        <v>344953.74619956099</v>
      </c>
      <c r="C28" s="344">
        <f>'47a'!C28/'47b'!$B68*1000</f>
        <v>74185.327987952958</v>
      </c>
      <c r="D28" s="344">
        <f>'47a'!D28/'47b'!$B68*1000</f>
        <v>25369.698988773485</v>
      </c>
      <c r="E28" s="344">
        <f>'47a'!E28/'47b'!$B68*1000</f>
        <v>59187.655255891164</v>
      </c>
      <c r="F28" s="344">
        <f>'47a'!F28/'47b'!$B68*1000</f>
        <v>42628.186888453165</v>
      </c>
      <c r="G28" s="344">
        <f>'47a'!G28/'47b'!$B68*1000</f>
        <v>32443.078977215129</v>
      </c>
      <c r="H28" s="344">
        <f>'47a'!H28/'47b'!$B68*1000</f>
        <v>76294.3911629668</v>
      </c>
      <c r="I28" s="344">
        <f>'47a'!I28/'47b'!$B68*1000</f>
        <v>34845.406938308333</v>
      </c>
      <c r="J28" s="344">
        <f>'47a'!J28/'47b'!$B68*1000</f>
        <v>66736.487159736702</v>
      </c>
      <c r="K28" s="344">
        <f>'47a'!K28/'47b'!$B68*1000</f>
        <v>17965.84002155712</v>
      </c>
      <c r="L28" s="344">
        <f>'47a'!L28/'47b'!$B68*1000</f>
        <v>2098.4709000531134</v>
      </c>
      <c r="M28" s="344">
        <f>'47a'!M28/'47b'!$B68*1000</f>
        <v>40740.219799452927</v>
      </c>
      <c r="N28" s="344">
        <f>'47a'!N28/'47b'!$B68*1000</f>
        <v>5931.9564386735437</v>
      </c>
      <c r="O28" s="344">
        <f>'47a'!O28/'47b'!$B68*1000</f>
        <v>278217.25903982436</v>
      </c>
    </row>
    <row r="29" spans="1:15">
      <c r="A29" s="343">
        <v>2005</v>
      </c>
      <c r="B29" s="278">
        <f>'47a'!B29/'47b'!$B69*1000</f>
        <v>358062.79868315888</v>
      </c>
      <c r="C29" s="344">
        <f>'47a'!C29/'47b'!$B69*1000</f>
        <v>77473.389657617139</v>
      </c>
      <c r="D29" s="344">
        <f>'47a'!D29/'47b'!$B69*1000</f>
        <v>25439.99450043156</v>
      </c>
      <c r="E29" s="344">
        <f>'47a'!E29/'47b'!$B69*1000</f>
        <v>64443.512974329096</v>
      </c>
      <c r="F29" s="344">
        <f>'47a'!F29/'47b'!$B69*1000</f>
        <v>42807.639956031227</v>
      </c>
      <c r="G29" s="344">
        <f>'47a'!G29/'47b'!$B69*1000</f>
        <v>32339.107278387182</v>
      </c>
      <c r="H29" s="344">
        <f>'47a'!H29/'47b'!$B69*1000</f>
        <v>79074.467350825944</v>
      </c>
      <c r="I29" s="344">
        <f>'47a'!I29/'47b'!$B69*1000</f>
        <v>36484.686965536734</v>
      </c>
      <c r="J29" s="344">
        <f>'47a'!J29/'47b'!$B69*1000</f>
        <v>69780.868723495994</v>
      </c>
      <c r="K29" s="344">
        <f>'47a'!K29/'47b'!$B69*1000</f>
        <v>19199.621696352991</v>
      </c>
      <c r="L29" s="344">
        <f>'47a'!L29/'47b'!$B69*1000</f>
        <v>2159.6484442540273</v>
      </c>
      <c r="M29" s="344">
        <f>'47a'!M29/'47b'!$B69*1000</f>
        <v>42690.42498748361</v>
      </c>
      <c r="N29" s="344">
        <f>'47a'!N29/'47b'!$B69*1000</f>
        <v>5731.1735954053611</v>
      </c>
      <c r="O29" s="344">
        <f>'47a'!O29/'47b'!$B69*1000</f>
        <v>288281.9299596629</v>
      </c>
    </row>
    <row r="30" spans="1:15">
      <c r="A30" s="342">
        <v>2006</v>
      </c>
      <c r="B30" s="278">
        <f>'47a'!B30/'47b'!$B70*1000</f>
        <v>379367.75076586177</v>
      </c>
      <c r="C30" s="344">
        <f>'47a'!C30/'47b'!$B70*1000</f>
        <v>83762.841327828603</v>
      </c>
      <c r="D30" s="344">
        <f>'47a'!D30/'47b'!$B70*1000</f>
        <v>25401.693476417739</v>
      </c>
      <c r="E30" s="344">
        <f>'47a'!E30/'47b'!$B70*1000</f>
        <v>70275.225770447432</v>
      </c>
      <c r="F30" s="344">
        <f>'47a'!F30/'47b'!$B70*1000</f>
        <v>48530.214715235299</v>
      </c>
      <c r="G30" s="344">
        <f>'47a'!G30/'47b'!$B70*1000</f>
        <v>33400.050166734567</v>
      </c>
      <c r="H30" s="344">
        <f>'47a'!H30/'47b'!$B70*1000</f>
        <v>82822.093800514165</v>
      </c>
      <c r="I30" s="344">
        <f>'47a'!I30/'47b'!$B70*1000</f>
        <v>35175.631508683968</v>
      </c>
      <c r="J30" s="344">
        <f>'47a'!J30/'47b'!$B70*1000</f>
        <v>73751.139158171034</v>
      </c>
      <c r="K30" s="344">
        <f>'47a'!K30/'47b'!$B70*1000</f>
        <v>20350.732211421095</v>
      </c>
      <c r="L30" s="344">
        <f>'47a'!L30/'47b'!$B70*1000</f>
        <v>2147.953731661145</v>
      </c>
      <c r="M30" s="344">
        <f>'47a'!M30/'47b'!$B70*1000</f>
        <v>45341.115398797338</v>
      </c>
      <c r="N30" s="344">
        <f>'47a'!N30/'47b'!$B70*1000</f>
        <v>5911.3378162914578</v>
      </c>
      <c r="O30" s="344">
        <f>'47a'!O30/'47b'!$B70*1000</f>
        <v>305616.61160769075</v>
      </c>
    </row>
    <row r="31" spans="1:15">
      <c r="A31" s="342">
        <v>2007</v>
      </c>
      <c r="B31" s="278">
        <f>'47a'!B31/'47b'!$B71*1000</f>
        <v>391079.1149096252</v>
      </c>
      <c r="C31" s="344">
        <f>'47a'!C31/'47b'!$B71*1000</f>
        <v>87489.617458358072</v>
      </c>
      <c r="D31" s="344">
        <f>'47a'!D31/'47b'!$B71*1000</f>
        <v>25243.62139464249</v>
      </c>
      <c r="E31" s="344">
        <f>'47a'!E31/'47b'!$B71*1000</f>
        <v>75852.383176191986</v>
      </c>
      <c r="F31" s="344">
        <f>'47a'!F31/'47b'!$B71*1000</f>
        <v>49310.657491725418</v>
      </c>
      <c r="G31" s="344">
        <f>'47a'!G31/'47b'!$B71*1000</f>
        <v>34416.752250983671</v>
      </c>
      <c r="H31" s="344">
        <f>'47a'!H31/'47b'!$B71*1000</f>
        <v>86563.613577815515</v>
      </c>
      <c r="I31" s="344">
        <f>'47a'!I31/'47b'!$B71*1000</f>
        <v>32202.469559908102</v>
      </c>
      <c r="J31" s="344">
        <f>'47a'!J31/'47b'!$B71*1000</f>
        <v>78267.86632707328</v>
      </c>
      <c r="K31" s="344">
        <f>'47a'!K31/'47b'!$B71*1000</f>
        <v>21905.810994179188</v>
      </c>
      <c r="L31" s="344">
        <f>'47a'!L31/'47b'!$B71*1000</f>
        <v>2082.2409274412435</v>
      </c>
      <c r="M31" s="344">
        <f>'47a'!M31/'47b'!$B71*1000</f>
        <v>48605.3782491928</v>
      </c>
      <c r="N31" s="344">
        <f>'47a'!N31/'47b'!$B71*1000</f>
        <v>5674.4361562600561</v>
      </c>
      <c r="O31" s="344">
        <f>'47a'!O31/'47b'!$B71*1000</f>
        <v>312811.24858255195</v>
      </c>
    </row>
    <row r="32" spans="1:15">
      <c r="A32" s="343">
        <v>2008</v>
      </c>
      <c r="B32" s="344">
        <f>'47a'!B32/'47b'!$B72*1000</f>
        <v>398722.64942367328</v>
      </c>
      <c r="C32" s="344">
        <f>'47a'!C32/'47b'!$B72*1000</f>
        <v>88285.02874627155</v>
      </c>
      <c r="D32" s="344">
        <f>'47a'!D32/'47b'!$B72*1000</f>
        <v>24445.106871739805</v>
      </c>
      <c r="E32" s="344">
        <f>'47a'!E32/'47b'!$B72*1000</f>
        <v>77318.65392446499</v>
      </c>
      <c r="F32" s="344">
        <f>'47a'!F32/'47b'!$B72*1000</f>
        <v>54807.182637503262</v>
      </c>
      <c r="G32" s="344">
        <f>'47a'!G32/'47b'!$B72*1000</f>
        <v>37263.647645777841</v>
      </c>
      <c r="H32" s="344">
        <f>'47a'!H32/'47b'!$B72*1000</f>
        <v>83565.657338932448</v>
      </c>
      <c r="I32" s="344">
        <f>'47a'!I32/'47b'!$B72*1000</f>
        <v>33037.372258983349</v>
      </c>
      <c r="J32" s="344">
        <f>'47a'!J32/'47b'!$B72*1000</f>
        <v>82285.73457464829</v>
      </c>
      <c r="K32" s="344">
        <f>'47a'!K32/'47b'!$B72*1000</f>
        <v>22888.810755335828</v>
      </c>
      <c r="L32" s="344">
        <f>'47a'!L32/'47b'!$B72*1000</f>
        <v>2150.3582532028568</v>
      </c>
      <c r="M32" s="344">
        <f>'47a'!M32/'47b'!$B72*1000</f>
        <v>51288.709062053204</v>
      </c>
      <c r="N32" s="344">
        <f>'47a'!N32/'47b'!$B72*1000</f>
        <v>5957.8565040564135</v>
      </c>
      <c r="O32" s="344">
        <f>'47a'!O32/'47b'!$B72*1000</f>
        <v>316436.91484902491</v>
      </c>
    </row>
    <row r="33" spans="1:17">
      <c r="A33" s="1119"/>
      <c r="B33" s="1280" t="s">
        <v>802</v>
      </c>
      <c r="C33" s="1280"/>
      <c r="D33" s="1280"/>
      <c r="E33" s="1280"/>
      <c r="F33" s="1280"/>
      <c r="G33" s="1280"/>
      <c r="H33" s="1280"/>
      <c r="I33" s="1280"/>
      <c r="J33" s="1280"/>
      <c r="K33" s="1280"/>
      <c r="L33" s="1280"/>
      <c r="M33" s="1280"/>
      <c r="N33" s="671"/>
      <c r="O33" s="671"/>
      <c r="P33" s="671"/>
      <c r="Q33" s="671"/>
    </row>
    <row r="34" spans="1:17">
      <c r="A34" s="448" t="s">
        <v>1408</v>
      </c>
      <c r="B34" s="273">
        <f>((((B32/B5))^(1/27))-1)*100</f>
        <v>1.787522066406444</v>
      </c>
      <c r="C34" s="273">
        <f t="shared" ref="C34:O34" si="0">((((C32/C5))^(1/27))-1)*100</f>
        <v>1.9563208754465045</v>
      </c>
      <c r="D34" s="273">
        <f t="shared" si="0"/>
        <v>0.13113419597268194</v>
      </c>
      <c r="E34" s="273">
        <f t="shared" si="0"/>
        <v>2.386948386135157</v>
      </c>
      <c r="F34" s="273">
        <f t="shared" si="0"/>
        <v>2.9678591735287529</v>
      </c>
      <c r="G34" s="273">
        <f t="shared" si="0"/>
        <v>1.8035654525681899</v>
      </c>
      <c r="H34" s="273">
        <f t="shared" si="0"/>
        <v>3.6658065277161533</v>
      </c>
      <c r="I34" s="273">
        <f t="shared" si="0"/>
        <v>-1.5821275747426089</v>
      </c>
      <c r="J34" s="273">
        <f t="shared" si="0"/>
        <v>2.6174200730748165</v>
      </c>
      <c r="K34" s="273">
        <f t="shared" si="0"/>
        <v>3.0613587190355007</v>
      </c>
      <c r="L34" s="273">
        <f t="shared" si="0"/>
        <v>-0.99001459435420491</v>
      </c>
      <c r="M34" s="273">
        <f t="shared" si="0"/>
        <v>2.7282228189962066</v>
      </c>
      <c r="N34" s="273">
        <f t="shared" si="0"/>
        <v>2.3173856143408056</v>
      </c>
      <c r="O34" s="273">
        <f t="shared" si="0"/>
        <v>1.5994733055499699</v>
      </c>
      <c r="P34" s="671"/>
      <c r="Q34" s="671"/>
    </row>
    <row r="35" spans="1:17">
      <c r="A35" s="448" t="s">
        <v>603</v>
      </c>
      <c r="B35" s="273">
        <f>((((B13/B5))^(1/8))-1)*100</f>
        <v>1.2533667233396439</v>
      </c>
      <c r="C35" s="273">
        <f t="shared" ref="C35:O35" si="1">((((C13/C5))^(1/8))-1)*100</f>
        <v>1.6144023812665775</v>
      </c>
      <c r="D35" s="273">
        <f t="shared" si="1"/>
        <v>0.53543323355138561</v>
      </c>
      <c r="E35" s="273">
        <f t="shared" si="1"/>
        <v>-0.35721294443166185</v>
      </c>
      <c r="F35" s="273">
        <f t="shared" si="1"/>
        <v>1.1009441388261321</v>
      </c>
      <c r="G35" s="273">
        <f t="shared" si="1"/>
        <v>0.91091359472932343</v>
      </c>
      <c r="H35" s="273">
        <f t="shared" si="1"/>
        <v>4.7683599475409011</v>
      </c>
      <c r="I35" s="273">
        <f t="shared" si="1"/>
        <v>0.14240663434990086</v>
      </c>
      <c r="J35" s="273">
        <f t="shared" si="1"/>
        <v>2.0393747065469814</v>
      </c>
      <c r="K35" s="273">
        <f t="shared" si="1"/>
        <v>1.3987013688086192</v>
      </c>
      <c r="L35" s="273">
        <f t="shared" si="1"/>
        <v>-4.0228565438180874</v>
      </c>
      <c r="M35" s="273">
        <f t="shared" si="1"/>
        <v>2.7072287797340389</v>
      </c>
      <c r="N35" s="273">
        <f t="shared" si="1"/>
        <v>3.0356575038563482</v>
      </c>
      <c r="O35" s="273">
        <f t="shared" si="1"/>
        <v>1.0920022412964636</v>
      </c>
      <c r="P35" s="273"/>
      <c r="Q35" s="273"/>
    </row>
    <row r="36" spans="1:17">
      <c r="A36" s="448" t="s">
        <v>604</v>
      </c>
      <c r="B36" s="273">
        <f>((((B24/B13))^(1/11))-1)*100</f>
        <v>1.5505989058008929</v>
      </c>
      <c r="C36" s="273">
        <f t="shared" ref="C36:O36" si="2">((((C24/C13))^(1/11))-1)*100</f>
        <v>0.64076628414768688</v>
      </c>
      <c r="D36" s="273">
        <f t="shared" si="2"/>
        <v>-0.21174384258247914</v>
      </c>
      <c r="E36" s="273">
        <f t="shared" si="2"/>
        <v>1.1471264817841442</v>
      </c>
      <c r="F36" s="273">
        <f t="shared" si="2"/>
        <v>4.5538682308116085</v>
      </c>
      <c r="G36" s="273">
        <f t="shared" si="2"/>
        <v>2.3287632324789476</v>
      </c>
      <c r="H36" s="273">
        <f t="shared" si="2"/>
        <v>4.8611690763059823</v>
      </c>
      <c r="I36" s="273">
        <f t="shared" si="2"/>
        <v>-2.9630616229026074</v>
      </c>
      <c r="J36" s="273">
        <f t="shared" si="2"/>
        <v>1.9044208069130208</v>
      </c>
      <c r="K36" s="273">
        <f t="shared" si="2"/>
        <v>2.0419736896664542</v>
      </c>
      <c r="L36" s="273">
        <f t="shared" si="2"/>
        <v>2.4657542145401168</v>
      </c>
      <c r="M36" s="273">
        <f t="shared" si="2"/>
        <v>1.6141524520099315</v>
      </c>
      <c r="N36" s="273">
        <f t="shared" si="2"/>
        <v>3.2898620082387309</v>
      </c>
      <c r="O36" s="273">
        <f t="shared" si="2"/>
        <v>1.4732306891380498</v>
      </c>
      <c r="P36" s="273"/>
      <c r="Q36" s="273"/>
    </row>
    <row r="37" spans="1:17">
      <c r="A37" s="448" t="s">
        <v>1410</v>
      </c>
      <c r="B37" s="671">
        <f>((((B32/B24))^(1/8))-1)*100</f>
        <v>2.6528908011243191</v>
      </c>
      <c r="C37" s="671">
        <f t="shared" ref="C37:O37" si="3">((((C32/C24))^(1/8))-1)*100</f>
        <v>4.1425834245629956</v>
      </c>
      <c r="D37" s="671">
        <f t="shared" si="3"/>
        <v>0.19993916869589512</v>
      </c>
      <c r="E37" s="671">
        <f t="shared" si="3"/>
        <v>6.9839245887438839</v>
      </c>
      <c r="F37" s="671">
        <f t="shared" si="3"/>
        <v>2.6881489112937862</v>
      </c>
      <c r="G37" s="671">
        <f t="shared" si="3"/>
        <v>1.9800160564340974</v>
      </c>
      <c r="H37" s="671">
        <f t="shared" si="3"/>
        <v>0.97051357365329771</v>
      </c>
      <c r="I37" s="671">
        <f t="shared" si="3"/>
        <v>-1.379286626507148</v>
      </c>
      <c r="J37" s="671">
        <f t="shared" si="3"/>
        <v>4.1928666289793526</v>
      </c>
      <c r="K37" s="671">
        <f t="shared" si="3"/>
        <v>6.1928381840290037</v>
      </c>
      <c r="L37" s="671">
        <f t="shared" si="3"/>
        <v>-2.567684408956572</v>
      </c>
      <c r="M37" s="671">
        <f t="shared" si="3"/>
        <v>4.3013561665140365</v>
      </c>
      <c r="N37" s="671">
        <f t="shared" si="3"/>
        <v>0.29111540333324193</v>
      </c>
      <c r="O37" s="671">
        <f t="shared" si="3"/>
        <v>2.28420456302314</v>
      </c>
      <c r="P37" s="273"/>
      <c r="Q37" s="273"/>
    </row>
    <row r="38" spans="1:17">
      <c r="A38" s="140"/>
      <c r="B38" s="671"/>
      <c r="C38" s="672"/>
      <c r="D38" s="671"/>
      <c r="E38" s="672"/>
      <c r="F38" s="672"/>
      <c r="G38" s="671"/>
      <c r="H38" s="671"/>
      <c r="I38" s="672"/>
      <c r="J38" s="671"/>
      <c r="K38" s="671"/>
      <c r="L38" s="671"/>
      <c r="M38" s="671"/>
      <c r="N38" s="671"/>
      <c r="O38" s="671"/>
      <c r="P38" s="671"/>
      <c r="Q38" s="671"/>
    </row>
    <row r="39" spans="1:17">
      <c r="A39" s="275" t="s">
        <v>835</v>
      </c>
      <c r="N39" s="671"/>
      <c r="O39" s="671"/>
      <c r="P39" s="671"/>
      <c r="Q39" s="671"/>
    </row>
    <row r="40" spans="1:17">
      <c r="A40" s="275" t="s">
        <v>389</v>
      </c>
      <c r="N40" s="671"/>
      <c r="O40" s="671"/>
      <c r="P40" s="671"/>
      <c r="Q40" s="671"/>
    </row>
    <row r="41" spans="1:17" ht="24.75" customHeight="1">
      <c r="A41" s="1282" t="s">
        <v>2259</v>
      </c>
      <c r="B41" s="1282"/>
      <c r="C41" s="1282"/>
      <c r="D41" s="1282"/>
      <c r="E41" s="1282"/>
      <c r="F41" s="1282"/>
      <c r="G41" s="1282"/>
      <c r="H41" s="1282"/>
      <c r="I41" s="1282"/>
      <c r="J41" s="1282"/>
      <c r="K41" s="1282"/>
      <c r="L41" s="1282"/>
      <c r="M41" s="1282"/>
      <c r="N41" s="644"/>
      <c r="O41" s="644"/>
      <c r="P41" s="671"/>
      <c r="Q41" s="671"/>
    </row>
    <row r="42" spans="1:17" ht="27.75" customHeight="1">
      <c r="A42" s="1168" t="s">
        <v>726</v>
      </c>
      <c r="B42" s="1168"/>
      <c r="C42" s="1168"/>
      <c r="D42" s="1168"/>
      <c r="E42" s="1168"/>
      <c r="F42" s="1168"/>
      <c r="G42" s="1168"/>
      <c r="H42" s="1168"/>
      <c r="I42" s="1168"/>
      <c r="J42" s="1168"/>
      <c r="K42" s="1168"/>
      <c r="L42" s="1168"/>
      <c r="M42" s="1168"/>
      <c r="N42" s="1168"/>
      <c r="O42" s="1168"/>
    </row>
    <row r="43" spans="1:17">
      <c r="A43" s="1281" t="s">
        <v>727</v>
      </c>
      <c r="B43" s="1281"/>
      <c r="C43" s="1281"/>
      <c r="D43" s="1281"/>
      <c r="E43" s="1281"/>
      <c r="F43" s="1281"/>
      <c r="G43" s="1281"/>
      <c r="H43" s="1281"/>
      <c r="I43" s="1281"/>
      <c r="J43" s="1281"/>
      <c r="K43" s="1281"/>
      <c r="L43" s="1281"/>
      <c r="M43" s="1281"/>
      <c r="N43" s="1281"/>
      <c r="O43" s="1281"/>
      <c r="P43" s="276"/>
      <c r="Q43" s="276"/>
    </row>
    <row r="44" spans="1:17">
      <c r="A44" s="1281" t="s">
        <v>1830</v>
      </c>
      <c r="B44" s="1281"/>
      <c r="C44" s="1281"/>
      <c r="D44" s="1023"/>
      <c r="E44" s="1023"/>
      <c r="F44" s="1023"/>
      <c r="G44" s="1023"/>
      <c r="H44" s="1023"/>
      <c r="I44" s="1023"/>
      <c r="J44" s="1023"/>
      <c r="K44" s="1023"/>
      <c r="L44" s="1023"/>
      <c r="M44" s="1023"/>
      <c r="N44" s="1023"/>
      <c r="O44" s="1023"/>
      <c r="P44" s="276"/>
      <c r="Q44" s="276"/>
    </row>
    <row r="45" spans="1:17">
      <c r="A45" s="275">
        <v>1981</v>
      </c>
      <c r="B45" s="278">
        <f>'2a'!B5</f>
        <v>9132</v>
      </c>
      <c r="C45" s="821"/>
    </row>
    <row r="46" spans="1:17">
      <c r="A46" s="275">
        <v>1982</v>
      </c>
      <c r="B46" s="278">
        <f>'2a'!B6</f>
        <v>9298</v>
      </c>
      <c r="C46" s="821">
        <f t="shared" ref="C46:C69" si="4">(B46/B45-1)*100</f>
        <v>1.8177836180464313</v>
      </c>
    </row>
    <row r="47" spans="1:17">
      <c r="A47" s="275">
        <v>1983</v>
      </c>
      <c r="B47" s="278">
        <f>'2a'!B7</f>
        <v>9480</v>
      </c>
      <c r="C47" s="821">
        <f t="shared" si="4"/>
        <v>1.9574101957410273</v>
      </c>
    </row>
    <row r="48" spans="1:17">
      <c r="A48" s="275">
        <v>1984</v>
      </c>
      <c r="B48" s="278">
        <f>'2a'!B8</f>
        <v>9656</v>
      </c>
      <c r="C48" s="821">
        <f t="shared" si="4"/>
        <v>1.8565400843881807</v>
      </c>
    </row>
    <row r="49" spans="1:3">
      <c r="A49" s="275">
        <v>1985</v>
      </c>
      <c r="B49" s="278">
        <f>'2a'!B9</f>
        <v>9837</v>
      </c>
      <c r="C49" s="821">
        <f t="shared" si="4"/>
        <v>1.8744821872410888</v>
      </c>
    </row>
    <row r="50" spans="1:3">
      <c r="A50" s="275">
        <v>1986</v>
      </c>
      <c r="B50" s="278">
        <f>'2a'!B10</f>
        <v>10005</v>
      </c>
      <c r="C50" s="821">
        <f t="shared" si="4"/>
        <v>1.7078377554132329</v>
      </c>
    </row>
    <row r="51" spans="1:3">
      <c r="A51" s="275">
        <v>1987</v>
      </c>
      <c r="B51" s="278">
        <f>'2a'!B11</f>
        <v>10205</v>
      </c>
      <c r="C51" s="821">
        <f t="shared" si="4"/>
        <v>1.9990004997501254</v>
      </c>
    </row>
    <row r="52" spans="1:3">
      <c r="A52" s="275">
        <v>1988</v>
      </c>
      <c r="B52" s="278">
        <f>'2a'!B12</f>
        <v>10454</v>
      </c>
      <c r="C52" s="821">
        <f t="shared" si="4"/>
        <v>2.4399804017638305</v>
      </c>
    </row>
    <row r="53" spans="1:3">
      <c r="A53" s="275">
        <v>1989</v>
      </c>
      <c r="B53" s="278">
        <f>'2a'!B13</f>
        <v>10659</v>
      </c>
      <c r="C53" s="821">
        <f t="shared" si="4"/>
        <v>1.9609718767935824</v>
      </c>
    </row>
    <row r="54" spans="1:3">
      <c r="A54" s="275">
        <v>1990</v>
      </c>
      <c r="B54" s="278">
        <f>'2a'!B14</f>
        <v>10897</v>
      </c>
      <c r="C54" s="821">
        <f t="shared" si="4"/>
        <v>2.2328548644338087</v>
      </c>
    </row>
    <row r="55" spans="1:3">
      <c r="A55" s="275">
        <v>1991</v>
      </c>
      <c r="B55" s="278">
        <f>'2a'!B15</f>
        <v>11062</v>
      </c>
      <c r="C55" s="821">
        <f t="shared" si="4"/>
        <v>1.5141782141874005</v>
      </c>
    </row>
    <row r="56" spans="1:3">
      <c r="A56" s="275">
        <v>1992</v>
      </c>
      <c r="B56" s="278">
        <f>'2a'!B16</f>
        <v>11257</v>
      </c>
      <c r="C56" s="821">
        <f t="shared" si="4"/>
        <v>1.7627915386006165</v>
      </c>
    </row>
    <row r="57" spans="1:3">
      <c r="A57" s="275">
        <v>1993</v>
      </c>
      <c r="B57" s="278">
        <f>'2a'!B17</f>
        <v>11395</v>
      </c>
      <c r="C57" s="821">
        <f t="shared" si="4"/>
        <v>1.2259038820289669</v>
      </c>
    </row>
    <row r="58" spans="1:3">
      <c r="A58" s="275">
        <v>1994</v>
      </c>
      <c r="B58" s="278">
        <f>'2a'!B18</f>
        <v>11532</v>
      </c>
      <c r="C58" s="821">
        <f t="shared" si="4"/>
        <v>1.2022817025010957</v>
      </c>
    </row>
    <row r="59" spans="1:3">
      <c r="A59" s="275">
        <v>1995</v>
      </c>
      <c r="B59" s="278">
        <f>'2a'!B19</f>
        <v>11707</v>
      </c>
      <c r="C59" s="821">
        <f t="shared" si="4"/>
        <v>1.517516475893177</v>
      </c>
    </row>
    <row r="60" spans="1:3">
      <c r="A60" s="275">
        <v>1996</v>
      </c>
      <c r="B60" s="278">
        <f>'2a'!B20</f>
        <v>11851</v>
      </c>
      <c r="C60" s="821">
        <f t="shared" si="4"/>
        <v>1.2300333134022345</v>
      </c>
    </row>
    <row r="61" spans="1:3">
      <c r="A61" s="275">
        <v>1997</v>
      </c>
      <c r="B61" s="278">
        <f>'2a'!B21</f>
        <v>12017</v>
      </c>
      <c r="C61" s="821">
        <f t="shared" si="4"/>
        <v>1.4007256771580545</v>
      </c>
    </row>
    <row r="62" spans="1:3">
      <c r="A62" s="275">
        <v>1998</v>
      </c>
      <c r="B62" s="278">
        <f>'2a'!B22</f>
        <v>12134</v>
      </c>
      <c r="C62" s="821">
        <f t="shared" si="4"/>
        <v>0.97362070400266454</v>
      </c>
    </row>
    <row r="63" spans="1:3">
      <c r="A63" s="275">
        <v>1999</v>
      </c>
      <c r="B63" s="278">
        <f>'2a'!B23</f>
        <v>12288</v>
      </c>
      <c r="C63" s="821">
        <f t="shared" si="4"/>
        <v>1.2691610351079685</v>
      </c>
    </row>
    <row r="64" spans="1:3">
      <c r="A64" s="275">
        <v>2000</v>
      </c>
      <c r="B64" s="278">
        <f>'2a'!B24</f>
        <v>12465</v>
      </c>
      <c r="C64" s="821">
        <f t="shared" si="4"/>
        <v>1.4404296875</v>
      </c>
    </row>
    <row r="65" spans="1:4">
      <c r="A65" s="275">
        <v>2001</v>
      </c>
      <c r="B65" s="278">
        <f>'2a'!B25</f>
        <v>12651</v>
      </c>
      <c r="C65" s="821">
        <f t="shared" si="4"/>
        <v>1.4921780986763</v>
      </c>
    </row>
    <row r="66" spans="1:4">
      <c r="A66" s="275">
        <v>2002</v>
      </c>
      <c r="B66" s="278">
        <f>'2a'!B26</f>
        <v>12859</v>
      </c>
      <c r="C66" s="821">
        <f t="shared" si="4"/>
        <v>1.6441388032566673</v>
      </c>
    </row>
    <row r="67" spans="1:4">
      <c r="A67" s="275">
        <v>2003</v>
      </c>
      <c r="B67" s="278">
        <f>'2a'!B27</f>
        <v>13033</v>
      </c>
      <c r="C67" s="821">
        <f t="shared" si="4"/>
        <v>1.3531378800839988</v>
      </c>
      <c r="D67" s="821">
        <f>AVERAGE(C64:C71)</f>
        <v>1.4951849566217783</v>
      </c>
    </row>
    <row r="68" spans="1:4">
      <c r="A68" s="275">
        <v>2004</v>
      </c>
      <c r="B68" s="278">
        <f>'2a'!B28</f>
        <v>13228</v>
      </c>
      <c r="C68" s="821">
        <f t="shared" si="4"/>
        <v>1.4962019488989453</v>
      </c>
    </row>
    <row r="69" spans="1:4">
      <c r="A69" s="275">
        <v>2005</v>
      </c>
      <c r="B69" s="278">
        <f>'2a'!B29</f>
        <v>13459</v>
      </c>
      <c r="C69" s="821">
        <f t="shared" si="4"/>
        <v>1.7462957363169052</v>
      </c>
    </row>
    <row r="70" spans="1:4">
      <c r="A70" s="275">
        <v>2006</v>
      </c>
      <c r="B70" s="278">
        <f>'2a'!B30</f>
        <v>13652</v>
      </c>
      <c r="C70" s="821">
        <f>(B70/B69-1)*100</f>
        <v>1.4339846942566403</v>
      </c>
    </row>
    <row r="71" spans="1:4">
      <c r="B71" s="278">
        <f>'2a'!B31</f>
        <v>13837</v>
      </c>
      <c r="C71" s="821">
        <f>(B71/B70-1)*100</f>
        <v>1.3551128039847704</v>
      </c>
    </row>
    <row r="72" spans="1:4">
      <c r="B72" s="278">
        <f>B71*(100+C$71)/100</f>
        <v>14024.506958687372</v>
      </c>
      <c r="C72" s="821">
        <f>(B72/B71-1)*100</f>
        <v>1.3551128039847704</v>
      </c>
    </row>
  </sheetData>
  <mergeCells count="5">
    <mergeCell ref="B33:M33"/>
    <mergeCell ref="A41:M41"/>
    <mergeCell ref="A42:O42"/>
    <mergeCell ref="A43:O43"/>
    <mergeCell ref="A44:C44"/>
  </mergeCells>
  <phoneticPr fontId="36" type="noConversion"/>
  <pageMargins left="0.75" right="0.75" top="1" bottom="1" header="0.5" footer="0.5"/>
  <pageSetup scale="65" orientation="landscape" verticalDpi="0" r:id="rId1"/>
  <headerFooter alignWithMargins="0"/>
</worksheet>
</file>

<file path=xl/worksheets/sheet173.xml><?xml version="1.0" encoding="utf-8"?>
<worksheet xmlns="http://schemas.openxmlformats.org/spreadsheetml/2006/main" xmlns:r="http://schemas.openxmlformats.org/officeDocument/2006/relationships">
  <sheetPr codeName="Sheet153">
    <pageSetUpPr fitToPage="1"/>
  </sheetPr>
  <dimension ref="A1:R42"/>
  <sheetViews>
    <sheetView view="pageBreakPreview" zoomScale="85" zoomScaleSheetLayoutView="85"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8" style="275" customWidth="1"/>
    <col min="2" max="2" width="14" style="275" customWidth="1"/>
    <col min="3" max="6" width="12.85546875" style="275" customWidth="1"/>
    <col min="7" max="8" width="13.28515625" style="275" customWidth="1"/>
    <col min="9" max="9" width="13.7109375" style="275" customWidth="1"/>
    <col min="10" max="10" width="14.28515625" style="275" customWidth="1"/>
    <col min="11" max="14" width="12.85546875" style="275" customWidth="1"/>
    <col min="15" max="16384" width="8" style="275"/>
  </cols>
  <sheetData>
    <row r="1" spans="1:14" ht="15.75">
      <c r="A1" s="339" t="s">
        <v>2224</v>
      </c>
      <c r="B1" s="340"/>
      <c r="C1" s="340"/>
      <c r="D1" s="340"/>
      <c r="E1" s="340"/>
      <c r="F1" s="340"/>
      <c r="G1" s="340"/>
      <c r="H1" s="340"/>
      <c r="I1" s="340"/>
      <c r="J1" s="340"/>
    </row>
    <row r="3" spans="1:14" ht="25.5">
      <c r="A3" s="341"/>
      <c r="B3" s="268" t="s">
        <v>1235</v>
      </c>
      <c r="C3" s="280" t="s">
        <v>1236</v>
      </c>
      <c r="D3" s="280" t="s">
        <v>1237</v>
      </c>
      <c r="E3" s="280" t="s">
        <v>1238</v>
      </c>
      <c r="F3" s="280" t="s">
        <v>1239</v>
      </c>
      <c r="G3" s="280" t="s">
        <v>1240</v>
      </c>
      <c r="H3" s="280" t="s">
        <v>1241</v>
      </c>
      <c r="I3" s="280" t="s">
        <v>1242</v>
      </c>
      <c r="J3" s="269" t="s">
        <v>1243</v>
      </c>
      <c r="K3" s="280" t="s">
        <v>1244</v>
      </c>
      <c r="L3" s="280" t="s">
        <v>1245</v>
      </c>
      <c r="M3" s="280" t="s">
        <v>1246</v>
      </c>
      <c r="N3" s="280" t="s">
        <v>1247</v>
      </c>
    </row>
    <row r="4" spans="1:14" ht="29.25" customHeight="1">
      <c r="A4" s="342"/>
      <c r="B4" s="270" t="s">
        <v>1249</v>
      </c>
      <c r="C4" s="271" t="s">
        <v>585</v>
      </c>
      <c r="D4" s="271" t="s">
        <v>587</v>
      </c>
      <c r="E4" s="271" t="s">
        <v>588</v>
      </c>
      <c r="F4" s="271" t="s">
        <v>592</v>
      </c>
      <c r="G4" s="271" t="s">
        <v>593</v>
      </c>
      <c r="H4" s="271" t="s">
        <v>595</v>
      </c>
      <c r="I4" s="271" t="s">
        <v>1250</v>
      </c>
      <c r="J4" s="271" t="s">
        <v>1251</v>
      </c>
      <c r="K4" s="271" t="s">
        <v>1252</v>
      </c>
      <c r="L4" s="271" t="s">
        <v>1253</v>
      </c>
      <c r="M4" s="271" t="s">
        <v>1254</v>
      </c>
      <c r="N4" s="271" t="s">
        <v>1255</v>
      </c>
    </row>
    <row r="5" spans="1:14">
      <c r="A5" s="275">
        <v>1981</v>
      </c>
      <c r="B5" s="278">
        <f>'47'!B5/'47'!$B5*100</f>
        <v>100</v>
      </c>
      <c r="C5" s="827">
        <f>'47'!C5/'47'!$B5*100</f>
        <v>21.173204508405547</v>
      </c>
      <c r="D5" s="827">
        <f>'47'!D5/'47'!$B5*100</f>
        <v>9.5478812349963498</v>
      </c>
      <c r="E5" s="827">
        <f>'47'!E5/'47'!$B5*100</f>
        <v>16.548621896619046</v>
      </c>
      <c r="F5" s="827">
        <f>'47'!F5/'47'!$B5*100</f>
        <v>10.068708184573577</v>
      </c>
      <c r="G5" s="827">
        <f>'47'!G5/'47'!$B5*100</f>
        <v>9.306071849430321</v>
      </c>
      <c r="H5" s="827">
        <f>'47'!H5/'47'!$B5*100</f>
        <v>12.792346846760086</v>
      </c>
      <c r="I5" s="827">
        <f>'47'!I5/'47'!$B5*100</f>
        <v>20.563165479215073</v>
      </c>
      <c r="J5" s="344">
        <f>'47'!J5/'47'!$J5*100</f>
        <v>100</v>
      </c>
      <c r="K5" s="827">
        <f>'47'!K5/'47'!$J5*100</f>
        <v>24.755963574130028</v>
      </c>
      <c r="L5" s="827">
        <f>'47'!L5/'47'!$J5*100</f>
        <v>6.8678822709121263</v>
      </c>
      <c r="M5" s="827">
        <f>'47'!M5/'47'!$J5*100</f>
        <v>60.540049441146017</v>
      </c>
      <c r="N5" s="827">
        <f>'47'!N5/'47'!$J5*100</f>
        <v>7.836104713811828</v>
      </c>
    </row>
    <row r="6" spans="1:14">
      <c r="A6" s="275">
        <v>1982</v>
      </c>
      <c r="B6" s="278">
        <f>'47'!B6/'47'!$B6*100</f>
        <v>100</v>
      </c>
      <c r="C6" s="827">
        <f>'47'!C6/'47'!$B6*100</f>
        <v>21.210757709380847</v>
      </c>
      <c r="D6" s="827">
        <f>'47'!D6/'47'!$B6*100</f>
        <v>9.1570117037621213</v>
      </c>
      <c r="E6" s="827">
        <f>'47'!E6/'47'!$B6*100</f>
        <v>15.222989965165231</v>
      </c>
      <c r="F6" s="827">
        <f>'47'!F6/'47'!$B6*100</f>
        <v>10.102491773987968</v>
      </c>
      <c r="G6" s="827">
        <f>'47'!G6/'47'!$B6*100</f>
        <v>8.5392631522110829</v>
      </c>
      <c r="H6" s="827">
        <f>'47'!H6/'47'!$B6*100</f>
        <v>13.597421998098733</v>
      </c>
      <c r="I6" s="827">
        <f>'47'!I6/'47'!$B6*100</f>
        <v>22.170063697394017</v>
      </c>
      <c r="J6" s="344">
        <f>'47'!J6/'47'!$J6*100</f>
        <v>100</v>
      </c>
      <c r="K6" s="827">
        <f>'47'!K6/'47'!$J6*100</f>
        <v>24.468831375883511</v>
      </c>
      <c r="L6" s="827">
        <f>'47'!L6/'47'!$J6*100</f>
        <v>6.5552425997767978</v>
      </c>
      <c r="M6" s="827">
        <f>'47'!M6/'47'!$J6*100</f>
        <v>61.909975022585961</v>
      </c>
      <c r="N6" s="827">
        <f>'47'!N6/'47'!$J6*100</f>
        <v>7.0659510017537324</v>
      </c>
    </row>
    <row r="7" spans="1:14">
      <c r="A7" s="275">
        <v>1983</v>
      </c>
      <c r="B7" s="278">
        <f>'47'!B7/'47'!$B7*100</f>
        <v>100</v>
      </c>
      <c r="C7" s="827">
        <f>'47'!C7/'47'!$B7*100</f>
        <v>21.037925329025974</v>
      </c>
      <c r="D7" s="827">
        <f>'47'!D7/'47'!$B7*100</f>
        <v>8.904723878317105</v>
      </c>
      <c r="E7" s="827">
        <f>'47'!E7/'47'!$B7*100</f>
        <v>14.595640613798674</v>
      </c>
      <c r="F7" s="827">
        <f>'47'!F7/'47'!$B7*100</f>
        <v>10.610955332323039</v>
      </c>
      <c r="G7" s="827">
        <f>'47'!G7/'47'!$B7*100</f>
        <v>7.6304382677398763</v>
      </c>
      <c r="H7" s="827">
        <f>'47'!H7/'47'!$B7*100</f>
        <v>14.341781685859218</v>
      </c>
      <c r="I7" s="827">
        <f>'47'!I7/'47'!$B7*100</f>
        <v>22.878534892936113</v>
      </c>
      <c r="J7" s="344">
        <f>'47'!J7/'47'!$J7*100</f>
        <v>100</v>
      </c>
      <c r="K7" s="827">
        <f>'47'!K7/'47'!$J7*100</f>
        <v>23.648100915435872</v>
      </c>
      <c r="L7" s="827">
        <f>'47'!L7/'47'!$J7*100</f>
        <v>5.8401051861518081</v>
      </c>
      <c r="M7" s="827">
        <f>'47'!M7/'47'!$J7*100</f>
        <v>62.90112106293374</v>
      </c>
      <c r="N7" s="827">
        <f>'47'!N7/'47'!$J7*100</f>
        <v>7.6106728354785771</v>
      </c>
    </row>
    <row r="8" spans="1:14">
      <c r="A8" s="275">
        <v>1984</v>
      </c>
      <c r="B8" s="278">
        <f>'47'!B8/'47'!$B8*100</f>
        <v>100</v>
      </c>
      <c r="C8" s="827">
        <f>'47'!C8/'47'!$B8*100</f>
        <v>20.916805605520143</v>
      </c>
      <c r="D8" s="827">
        <f>'47'!D8/'47'!$B8*100</f>
        <v>8.8338960386347782</v>
      </c>
      <c r="E8" s="827">
        <f>'47'!E8/'47'!$B8*100</f>
        <v>14.236997761665032</v>
      </c>
      <c r="F8" s="827">
        <f>'47'!F8/'47'!$B8*100</f>
        <v>10.555654110457979</v>
      </c>
      <c r="G8" s="827">
        <f>'47'!G8/'47'!$B8*100</f>
        <v>8.8387020625617101</v>
      </c>
      <c r="H8" s="827">
        <f>'47'!H8/'47'!$B8*100</f>
        <v>15.099608379726778</v>
      </c>
      <c r="I8" s="827">
        <f>'47'!I8/'47'!$B8*100</f>
        <v>21.518336041433582</v>
      </c>
      <c r="J8" s="344">
        <f>'47'!J8/'47'!$J8*100</f>
        <v>100</v>
      </c>
      <c r="K8" s="827">
        <f>'47'!K8/'47'!$J8*100</f>
        <v>24.467321043811349</v>
      </c>
      <c r="L8" s="827">
        <f>'47'!L8/'47'!$J8*100</f>
        <v>5.5913100217343334</v>
      </c>
      <c r="M8" s="827">
        <f>'47'!M8/'47'!$J8*100</f>
        <v>63.343144296262906</v>
      </c>
      <c r="N8" s="827">
        <f>'47'!N8/'47'!$J8*100</f>
        <v>6.5982246381914038</v>
      </c>
    </row>
    <row r="9" spans="1:14">
      <c r="A9" s="275">
        <v>1985</v>
      </c>
      <c r="B9" s="278">
        <f>'47'!B9/'47'!$B9*100</f>
        <v>100</v>
      </c>
      <c r="C9" s="827">
        <f>'47'!C9/'47'!$B9*100</f>
        <v>20.951138851367087</v>
      </c>
      <c r="D9" s="827">
        <f>'47'!D9/'47'!$B9*100</f>
        <v>8.9199035097444792</v>
      </c>
      <c r="E9" s="827">
        <f>'47'!E9/'47'!$B9*100</f>
        <v>13.154965003585254</v>
      </c>
      <c r="F9" s="827">
        <f>'47'!F9/'47'!$B9*100</f>
        <v>10.851742341889615</v>
      </c>
      <c r="G9" s="827">
        <f>'47'!G9/'47'!$B9*100</f>
        <v>8.6218648703436784</v>
      </c>
      <c r="H9" s="827">
        <f>'47'!H9/'47'!$B9*100</f>
        <v>15.93270086774314</v>
      </c>
      <c r="I9" s="827">
        <f>'47'!I9/'47'!$B9*100</f>
        <v>21.567684555326743</v>
      </c>
      <c r="J9" s="344">
        <f>'47'!J9/'47'!$J9*100</f>
        <v>100</v>
      </c>
      <c r="K9" s="827">
        <f>'47'!K9/'47'!$J9*100</f>
        <v>25.157248742010061</v>
      </c>
      <c r="L9" s="827">
        <f>'47'!L9/'47'!$J9*100</f>
        <v>5.2385080919352642</v>
      </c>
      <c r="M9" s="827">
        <f>'47'!M9/'47'!$J9*100</f>
        <v>62.943271453828366</v>
      </c>
      <c r="N9" s="827">
        <f>'47'!N9/'47'!$J9*100</f>
        <v>6.6609717122263019</v>
      </c>
    </row>
    <row r="10" spans="1:14">
      <c r="A10" s="275">
        <v>1986</v>
      </c>
      <c r="B10" s="278">
        <f>'47'!B10/'47'!$B10*100</f>
        <v>100</v>
      </c>
      <c r="C10" s="827">
        <f>'47'!C10/'47'!$B10*100</f>
        <v>21.312206564371891</v>
      </c>
      <c r="D10" s="827">
        <f>'47'!D10/'47'!$B10*100</f>
        <v>9.1484538319994932</v>
      </c>
      <c r="E10" s="827">
        <f>'47'!E10/'47'!$B10*100</f>
        <v>13.116639655980453</v>
      </c>
      <c r="F10" s="827">
        <f>'47'!F10/'47'!$B10*100</f>
        <v>10.779410344198427</v>
      </c>
      <c r="G10" s="827">
        <f>'47'!G10/'47'!$B10*100</f>
        <v>8.4616788125315274</v>
      </c>
      <c r="H10" s="827">
        <f>'47'!H10/'47'!$B10*100</f>
        <v>16.448792389783879</v>
      </c>
      <c r="I10" s="827">
        <f>'47'!I10/'47'!$B10*100</f>
        <v>20.732818401134328</v>
      </c>
      <c r="J10" s="344">
        <f>'47'!J10/'47'!$J10*100</f>
        <v>100</v>
      </c>
      <c r="K10" s="827">
        <f>'47'!K10/'47'!$J10*100</f>
        <v>24.24456815177524</v>
      </c>
      <c r="L10" s="827">
        <f>'47'!L10/'47'!$J10*100</f>
        <v>4.8329020126231121</v>
      </c>
      <c r="M10" s="827">
        <f>'47'!M10/'47'!$J10*100</f>
        <v>62.870920295656383</v>
      </c>
      <c r="N10" s="827">
        <f>'47'!N10/'47'!$J10*100</f>
        <v>8.0516095399452627</v>
      </c>
    </row>
    <row r="11" spans="1:14">
      <c r="A11" s="275">
        <v>1987</v>
      </c>
      <c r="B11" s="278">
        <f>'47'!B11/'47'!$B11*100</f>
        <v>100</v>
      </c>
      <c r="C11" s="827">
        <f>'47'!C11/'47'!$B11*100</f>
        <v>22.007940638684591</v>
      </c>
      <c r="D11" s="827">
        <f>'47'!D11/'47'!$B11*100</f>
        <v>9.0969090369046235</v>
      </c>
      <c r="E11" s="827">
        <f>'47'!E11/'47'!$B11*100</f>
        <v>13.575331155153103</v>
      </c>
      <c r="F11" s="827">
        <f>'47'!F11/'47'!$B11*100</f>
        <v>10.926907429156914</v>
      </c>
      <c r="G11" s="827">
        <f>'47'!G11/'47'!$B11*100</f>
        <v>8.2138467952683154</v>
      </c>
      <c r="H11" s="827">
        <f>'47'!H11/'47'!$B11*100</f>
        <v>16.793878568723038</v>
      </c>
      <c r="I11" s="827">
        <f>'47'!I11/'47'!$B11*100</f>
        <v>19.385186376109413</v>
      </c>
      <c r="J11" s="344">
        <f>'47'!J11/'47'!$J11*100</f>
        <v>100</v>
      </c>
      <c r="K11" s="827">
        <f>'47'!K11/'47'!$J11*100</f>
        <v>23.95572505361018</v>
      </c>
      <c r="L11" s="827">
        <f>'47'!L11/'47'!$J11*100</f>
        <v>4.5327888850366609</v>
      </c>
      <c r="M11" s="827">
        <f>'47'!M11/'47'!$J11*100</f>
        <v>62.430820396265908</v>
      </c>
      <c r="N11" s="827">
        <f>'47'!N11/'47'!$J11*100</f>
        <v>9.0806656650872544</v>
      </c>
    </row>
    <row r="12" spans="1:14">
      <c r="A12" s="275">
        <v>1988</v>
      </c>
      <c r="B12" s="278">
        <f>'47'!B12/'47'!$B12*100</f>
        <v>100</v>
      </c>
      <c r="C12" s="827">
        <f>'47'!C12/'47'!$B12*100</f>
        <v>22.160313440481367</v>
      </c>
      <c r="D12" s="827">
        <f>'47'!D12/'47'!$B12*100</f>
        <v>9.1643455005908496</v>
      </c>
      <c r="E12" s="827">
        <f>'47'!E12/'47'!$B12*100</f>
        <v>13.89049914533814</v>
      </c>
      <c r="F12" s="827">
        <f>'47'!F12/'47'!$B12*100</f>
        <v>10.368756716174406</v>
      </c>
      <c r="G12" s="827">
        <f>'47'!G12/'47'!$B12*100</f>
        <v>8.5604538757812083</v>
      </c>
      <c r="H12" s="827">
        <f>'47'!H12/'47'!$B12*100</f>
        <v>16.890270541266013</v>
      </c>
      <c r="I12" s="827">
        <f>'47'!I12/'47'!$B12*100</f>
        <v>18.96536078036802</v>
      </c>
      <c r="J12" s="344">
        <f>'47'!J12/'47'!$J12*100</f>
        <v>100</v>
      </c>
      <c r="K12" s="827">
        <f>'47'!K12/'47'!$J12*100</f>
        <v>23.928832755837359</v>
      </c>
      <c r="L12" s="827">
        <f>'47'!L12/'47'!$J12*100</f>
        <v>4.7615658160345529</v>
      </c>
      <c r="M12" s="827">
        <f>'47'!M12/'47'!$J12*100</f>
        <v>62.79606752289817</v>
      </c>
      <c r="N12" s="827">
        <f>'47'!N12/'47'!$J12*100</f>
        <v>8.5135339052299219</v>
      </c>
    </row>
    <row r="13" spans="1:14">
      <c r="A13" s="275">
        <v>1989</v>
      </c>
      <c r="B13" s="278">
        <f>'47'!B13/'47'!$B13*100</f>
        <v>100</v>
      </c>
      <c r="C13" s="827">
        <f>'47'!C13/'47'!$B13*100</f>
        <v>21.784768530291579</v>
      </c>
      <c r="D13" s="827">
        <f>'47'!D13/'47'!$B13*100</f>
        <v>9.0195414186960345</v>
      </c>
      <c r="E13" s="827">
        <f>'47'!E13/'47'!$B13*100</f>
        <v>14.55636657390326</v>
      </c>
      <c r="F13" s="827">
        <f>'47'!F13/'47'!$B13*100</f>
        <v>9.9480890348981497</v>
      </c>
      <c r="G13" s="827">
        <f>'47'!G13/'47'!$B13*100</f>
        <v>9.0572368486081434</v>
      </c>
      <c r="H13" s="827">
        <f>'47'!H13/'47'!$B13*100</f>
        <v>16.807983343921602</v>
      </c>
      <c r="I13" s="827">
        <f>'47'!I13/'47'!$B13*100</f>
        <v>18.826014249681229</v>
      </c>
      <c r="J13" s="344">
        <f>'47'!J13/'47'!$J13*100</f>
        <v>100</v>
      </c>
      <c r="K13" s="827">
        <f>'47'!K13/'47'!$J13*100</f>
        <v>23.539469426133223</v>
      </c>
      <c r="L13" s="827">
        <f>'47'!L13/'47'!$J13*100</f>
        <v>4.2074900049179114</v>
      </c>
      <c r="M13" s="827">
        <f>'47'!M13/'47'!$J13*100</f>
        <v>63.783530347082248</v>
      </c>
      <c r="N13" s="827">
        <f>'47'!N13/'47'!$J13*100</f>
        <v>8.4695102218666154</v>
      </c>
    </row>
    <row r="14" spans="1:14">
      <c r="A14" s="275">
        <v>1990</v>
      </c>
      <c r="B14" s="278">
        <f>'47'!B14/'47'!$B14*100</f>
        <v>100</v>
      </c>
      <c r="C14" s="827">
        <f>'47'!C14/'47'!$B14*100</f>
        <v>21.950281427101928</v>
      </c>
      <c r="D14" s="827">
        <f>'47'!D14/'47'!$B14*100</f>
        <v>8.9359289245453564</v>
      </c>
      <c r="E14" s="827">
        <f>'47'!E14/'47'!$B14*100</f>
        <v>13.840328032617407</v>
      </c>
      <c r="F14" s="827">
        <f>'47'!F14/'47'!$B14*100</f>
        <v>9.4425966581526524</v>
      </c>
      <c r="G14" s="827">
        <f>'47'!G14/'47'!$B14*100</f>
        <v>9.3278575186832935</v>
      </c>
      <c r="H14" s="827">
        <f>'47'!H14/'47'!$B14*100</f>
        <v>17.258453030735204</v>
      </c>
      <c r="I14" s="827">
        <f>'47'!I14/'47'!$B14*100</f>
        <v>19.244554408164159</v>
      </c>
      <c r="J14" s="344">
        <f>'47'!J14/'47'!$J14*100</f>
        <v>100</v>
      </c>
      <c r="K14" s="827">
        <f>'47'!K14/'47'!$J14*100</f>
        <v>22.870980413372628</v>
      </c>
      <c r="L14" s="827">
        <f>'47'!L14/'47'!$J14*100</f>
        <v>4.383528133284095</v>
      </c>
      <c r="M14" s="827">
        <f>'47'!M14/'47'!$J14*100</f>
        <v>63.663242672362088</v>
      </c>
      <c r="N14" s="827">
        <f>'47'!N14/'47'!$J14*100</f>
        <v>9.0822487809811889</v>
      </c>
    </row>
    <row r="15" spans="1:14">
      <c r="A15" s="275">
        <v>1991</v>
      </c>
      <c r="B15" s="278">
        <f>'47'!B15/'47'!$B15*100</f>
        <v>100</v>
      </c>
      <c r="C15" s="827">
        <f>'47'!C15/'47'!$B15*100</f>
        <v>21.94201840168607</v>
      </c>
      <c r="D15" s="827">
        <f>'47'!D15/'47'!$B15*100</f>
        <v>8.5368047937151736</v>
      </c>
      <c r="E15" s="827">
        <f>'47'!E15/'47'!$B15*100</f>
        <v>14.172701931758688</v>
      </c>
      <c r="F15" s="827">
        <f>'47'!F15/'47'!$B15*100</f>
        <v>9.4164757355333357</v>
      </c>
      <c r="G15" s="827">
        <f>'47'!G15/'47'!$B15*100</f>
        <v>9.3475090138043093</v>
      </c>
      <c r="H15" s="827">
        <f>'47'!H15/'47'!$B15*100</f>
        <v>17.823267292349446</v>
      </c>
      <c r="I15" s="827">
        <f>'47'!I15/'47'!$B15*100</f>
        <v>18.761222831152974</v>
      </c>
      <c r="J15" s="344">
        <f>'47'!J15/'47'!$J15*100</f>
        <v>100</v>
      </c>
      <c r="K15" s="827">
        <f>'47'!K15/'47'!$J15*100</f>
        <v>22.38029577105614</v>
      </c>
      <c r="L15" s="827">
        <f>'47'!L15/'47'!$J15*100</f>
        <v>4.1161058240223145</v>
      </c>
      <c r="M15" s="827">
        <f>'47'!M15/'47'!$J15*100</f>
        <v>65.696560471031091</v>
      </c>
      <c r="N15" s="827">
        <f>'47'!N15/'47'!$J15*100</f>
        <v>7.8070379338904523</v>
      </c>
    </row>
    <row r="16" spans="1:14">
      <c r="A16" s="275">
        <v>1992</v>
      </c>
      <c r="B16" s="278">
        <f>'47'!B16/'47'!$B16*100</f>
        <v>100</v>
      </c>
      <c r="C16" s="827">
        <f>'47'!C16/'47'!$B16*100</f>
        <v>21.901603709656079</v>
      </c>
      <c r="D16" s="827">
        <f>'47'!D16/'47'!$B16*100</f>
        <v>8.2018249761551303</v>
      </c>
      <c r="E16" s="827">
        <f>'47'!E16/'47'!$B16*100</f>
        <v>14.242242270039235</v>
      </c>
      <c r="F16" s="827">
        <f>'47'!F16/'47'!$B16*100</f>
        <v>9.3955918714934157</v>
      </c>
      <c r="G16" s="827">
        <f>'47'!G16/'47'!$B16*100</f>
        <v>9.5138809341711905</v>
      </c>
      <c r="H16" s="827">
        <f>'47'!H16/'47'!$B16*100</f>
        <v>18.157930361797916</v>
      </c>
      <c r="I16" s="827">
        <f>'47'!I16/'47'!$B16*100</f>
        <v>18.586925876687026</v>
      </c>
      <c r="J16" s="344">
        <f>'47'!J16/'47'!$J16*100</f>
        <v>100</v>
      </c>
      <c r="K16" s="827">
        <f>'47'!K16/'47'!$J16*100</f>
        <v>21.348011625070086</v>
      </c>
      <c r="L16" s="827">
        <f>'47'!L16/'47'!$J16*100</f>
        <v>4.0251163149041442</v>
      </c>
      <c r="M16" s="827">
        <f>'47'!M16/'47'!$J16*100</f>
        <v>66.837518672447814</v>
      </c>
      <c r="N16" s="827">
        <f>'47'!N16/'47'!$J16*100</f>
        <v>7.789353387577953</v>
      </c>
    </row>
    <row r="17" spans="1:14">
      <c r="A17" s="275">
        <v>1993</v>
      </c>
      <c r="B17" s="278">
        <f>'47'!B17/'47'!$B17*100</f>
        <v>100</v>
      </c>
      <c r="C17" s="827">
        <f>'47'!C17/'47'!$B17*100</f>
        <v>21.901938537651091</v>
      </c>
      <c r="D17" s="827">
        <f>'47'!D17/'47'!$B17*100</f>
        <v>7.9664385620310947</v>
      </c>
      <c r="E17" s="827">
        <f>'47'!E17/'47'!$B17*100</f>
        <v>14.379361564162707</v>
      </c>
      <c r="F17" s="827">
        <f>'47'!F17/'47'!$B17*100</f>
        <v>10.11373452870545</v>
      </c>
      <c r="G17" s="827">
        <f>'47'!G17/'47'!$B17*100</f>
        <v>10.153725009588255</v>
      </c>
      <c r="H17" s="827">
        <f>'47'!H17/'47'!$B17*100</f>
        <v>19.163263776338589</v>
      </c>
      <c r="I17" s="827">
        <f>'47'!I17/'47'!$B17*100</f>
        <v>16.321538021522812</v>
      </c>
      <c r="J17" s="344">
        <f>'47'!J17/'47'!$J17*100</f>
        <v>100</v>
      </c>
      <c r="K17" s="827">
        <f>'47'!K17/'47'!$J17*100</f>
        <v>21.222510463988048</v>
      </c>
      <c r="L17" s="827">
        <f>'47'!L17/'47'!$J17*100</f>
        <v>4.2093447168532121</v>
      </c>
      <c r="M17" s="827">
        <f>'47'!M17/'47'!$J17*100</f>
        <v>66.805306896285742</v>
      </c>
      <c r="N17" s="827">
        <f>'47'!N17/'47'!$J17*100</f>
        <v>7.7628379228729987</v>
      </c>
    </row>
    <row r="18" spans="1:14">
      <c r="A18" s="275">
        <v>1994</v>
      </c>
      <c r="B18" s="278">
        <f>'47'!B18/'47'!$B18*100</f>
        <v>100</v>
      </c>
      <c r="C18" s="827">
        <f>'47'!C18/'47'!$B18*100</f>
        <v>21.663083821341576</v>
      </c>
      <c r="D18" s="827">
        <f>'47'!D18/'47'!$B18*100</f>
        <v>7.8298645529315838</v>
      </c>
      <c r="E18" s="827">
        <f>'47'!E18/'47'!$B18*100</f>
        <v>14.56577466172711</v>
      </c>
      <c r="F18" s="827">
        <f>'47'!F18/'47'!$B18*100</f>
        <v>10.607348309454402</v>
      </c>
      <c r="G18" s="827">
        <f>'47'!G18/'47'!$B18*100</f>
        <v>10.104899505067413</v>
      </c>
      <c r="H18" s="827">
        <f>'47'!H18/'47'!$B18*100</f>
        <v>19.380670563836993</v>
      </c>
      <c r="I18" s="827">
        <f>'47'!I18/'47'!$B18*100</f>
        <v>15.84835858564092</v>
      </c>
      <c r="J18" s="344">
        <f>'47'!J18/'47'!$J18*100</f>
        <v>100</v>
      </c>
      <c r="K18" s="827">
        <f>'47'!K18/'47'!$J18*100</f>
        <v>21.494976526184711</v>
      </c>
      <c r="L18" s="827">
        <f>'47'!L18/'47'!$J18*100</f>
        <v>3.9259666029870139</v>
      </c>
      <c r="M18" s="827">
        <f>'47'!M18/'47'!$J18*100</f>
        <v>66.49006520074559</v>
      </c>
      <c r="N18" s="827">
        <f>'47'!N18/'47'!$J18*100</f>
        <v>8.0889916700826809</v>
      </c>
    </row>
    <row r="19" spans="1:14">
      <c r="A19" s="275">
        <v>1995</v>
      </c>
      <c r="B19" s="278">
        <f>'47'!B19/'47'!$B19*100</f>
        <v>100</v>
      </c>
      <c r="C19" s="827">
        <f>'47'!C19/'47'!$B19*100</f>
        <v>21.131728735786275</v>
      </c>
      <c r="D19" s="827">
        <f>'47'!D19/'47'!$B19*100</f>
        <v>7.6709222249248308</v>
      </c>
      <c r="E19" s="827">
        <f>'47'!E19/'47'!$B19*100</f>
        <v>13.909015582623677</v>
      </c>
      <c r="F19" s="827">
        <f>'47'!F19/'47'!$B19*100</f>
        <v>10.437029562154125</v>
      </c>
      <c r="G19" s="827">
        <f>'47'!G19/'47'!$B19*100</f>
        <v>10.363262717812121</v>
      </c>
      <c r="H19" s="827">
        <f>'47'!H19/'47'!$B19*100</f>
        <v>20.116845619566831</v>
      </c>
      <c r="I19" s="827">
        <f>'47'!I19/'47'!$B19*100</f>
        <v>16.37119555713214</v>
      </c>
      <c r="J19" s="344">
        <f>'47'!J19/'47'!$J19*100</f>
        <v>100</v>
      </c>
      <c r="K19" s="827">
        <f>'47'!K19/'47'!$J19*100</f>
        <v>21.715904989078137</v>
      </c>
      <c r="L19" s="827">
        <f>'47'!L19/'47'!$J19*100</f>
        <v>3.9835967357206381</v>
      </c>
      <c r="M19" s="827">
        <f>'47'!M19/'47'!$J19*100</f>
        <v>66.507273180588484</v>
      </c>
      <c r="N19" s="827">
        <f>'47'!N19/'47'!$J19*100</f>
        <v>7.7932250946127475</v>
      </c>
    </row>
    <row r="20" spans="1:14">
      <c r="A20" s="275">
        <v>1996</v>
      </c>
      <c r="B20" s="278">
        <f>'47'!B20/'47'!$B20*100</f>
        <v>100</v>
      </c>
      <c r="C20" s="827">
        <f>'47'!C20/'47'!$B20*100</f>
        <v>20.646137341833494</v>
      </c>
      <c r="D20" s="827">
        <f>'47'!D20/'47'!$B20*100</f>
        <v>7.4621093371395277</v>
      </c>
      <c r="E20" s="827">
        <f>'47'!E20/'47'!$B20*100</f>
        <v>13.717324463159702</v>
      </c>
      <c r="F20" s="827">
        <f>'47'!F20/'47'!$B20*100</f>
        <v>11.129674828703926</v>
      </c>
      <c r="G20" s="827">
        <f>'47'!G20/'47'!$B20*100</f>
        <v>9.9546041334579751</v>
      </c>
      <c r="H20" s="827">
        <f>'47'!H20/'47'!$B20*100</f>
        <v>20.70220734599139</v>
      </c>
      <c r="I20" s="827">
        <f>'47'!I20/'47'!$B20*100</f>
        <v>16.387942549713983</v>
      </c>
      <c r="J20" s="344">
        <f>'47'!J20/'47'!$J20*100</f>
        <v>100</v>
      </c>
      <c r="K20" s="827">
        <f>'47'!K20/'47'!$J20*100</f>
        <v>22.000344049103255</v>
      </c>
      <c r="L20" s="827">
        <f>'47'!L20/'47'!$J20*100</f>
        <v>3.9835211120234519</v>
      </c>
      <c r="M20" s="827">
        <f>'47'!M20/'47'!$J20*100</f>
        <v>66.240802450197123</v>
      </c>
      <c r="N20" s="827">
        <f>'47'!N20/'47'!$J20*100</f>
        <v>7.7753323886761736</v>
      </c>
    </row>
    <row r="21" spans="1:14">
      <c r="A21" s="275">
        <v>1997</v>
      </c>
      <c r="B21" s="278">
        <f>'47'!B21/'47'!$B21*100</f>
        <v>100</v>
      </c>
      <c r="C21" s="827">
        <f>'47'!C21/'47'!$B21*100</f>
        <v>20.368103787066005</v>
      </c>
      <c r="D21" s="827">
        <f>'47'!D21/'47'!$B21*100</f>
        <v>7.3950502816775163</v>
      </c>
      <c r="E21" s="827">
        <f>'47'!E21/'47'!$B21*100</f>
        <v>13.819689817491914</v>
      </c>
      <c r="F21" s="827">
        <f>'47'!F21/'47'!$B21*100</f>
        <v>12.137628537006577</v>
      </c>
      <c r="G21" s="827">
        <f>'47'!G21/'47'!$B21*100</f>
        <v>9.5322801265143191</v>
      </c>
      <c r="H21" s="827">
        <f>'47'!H21/'47'!$B21*100</f>
        <v>21.476108296784052</v>
      </c>
      <c r="I21" s="827">
        <f>'47'!I21/'47'!$B21*100</f>
        <v>15.271139153459615</v>
      </c>
      <c r="J21" s="344">
        <f>'47'!J21/'47'!$J21*100</f>
        <v>100</v>
      </c>
      <c r="K21" s="827">
        <f>'47'!K21/'47'!$J21*100</f>
        <v>22.194669977391936</v>
      </c>
      <c r="L21" s="827">
        <f>'47'!L21/'47'!$J21*100</f>
        <v>4.2445681324869371</v>
      </c>
      <c r="M21" s="827">
        <f>'47'!M21/'47'!$J21*100</f>
        <v>65.32226936181091</v>
      </c>
      <c r="N21" s="827">
        <f>'47'!N21/'47'!$J21*100</f>
        <v>8.2384925283102088</v>
      </c>
    </row>
    <row r="22" spans="1:14">
      <c r="A22" s="275">
        <v>1998</v>
      </c>
      <c r="B22" s="278">
        <f>'47'!B22/'47'!$B22*100</f>
        <v>100</v>
      </c>
      <c r="C22" s="827">
        <f>'47'!C22/'47'!$B22*100</f>
        <v>20.402795038392025</v>
      </c>
      <c r="D22" s="827">
        <f>'47'!D22/'47'!$B22*100</f>
        <v>7.4589763932412527</v>
      </c>
      <c r="E22" s="827">
        <f>'47'!E22/'47'!$B22*100</f>
        <v>13.939124718332701</v>
      </c>
      <c r="F22" s="827">
        <f>'47'!F22/'47'!$B22*100</f>
        <v>13.025085169968317</v>
      </c>
      <c r="G22" s="827">
        <f>'47'!G22/'47'!$B22*100</f>
        <v>8.9013491798735576</v>
      </c>
      <c r="H22" s="827">
        <f>'47'!H22/'47'!$B22*100</f>
        <v>22.726164940221139</v>
      </c>
      <c r="I22" s="827">
        <f>'47'!I22/'47'!$B22*100</f>
        <v>13.546504559971007</v>
      </c>
      <c r="J22" s="344">
        <f>'47'!J22/'47'!$J22*100</f>
        <v>100</v>
      </c>
      <c r="K22" s="827">
        <f>'47'!K22/'47'!$J22*100</f>
        <v>22.643313902359356</v>
      </c>
      <c r="L22" s="827">
        <f>'47'!L22/'47'!$J22*100</f>
        <v>4.3944257393401847</v>
      </c>
      <c r="M22" s="827">
        <f>'47'!M22/'47'!$J22*100</f>
        <v>64.106353174702875</v>
      </c>
      <c r="N22" s="827">
        <f>'47'!N22/'47'!$J22*100</f>
        <v>8.8559071835975782</v>
      </c>
    </row>
    <row r="23" spans="1:14">
      <c r="A23" s="275">
        <v>1999</v>
      </c>
      <c r="B23" s="278">
        <f>'47'!B23/'47'!$B23*100</f>
        <v>100</v>
      </c>
      <c r="C23" s="827">
        <f>'47'!C23/'47'!$B23*100</f>
        <v>20.120836881282841</v>
      </c>
      <c r="D23" s="827">
        <f>'47'!D23/'47'!$B23*100</f>
        <v>7.4903796893360051</v>
      </c>
      <c r="E23" s="827">
        <f>'47'!E23/'47'!$B23*100</f>
        <v>13.972939171334026</v>
      </c>
      <c r="F23" s="827">
        <f>'47'!F23/'47'!$B23*100</f>
        <v>13.057939534568439</v>
      </c>
      <c r="G23" s="827">
        <f>'47'!G23/'47'!$B23*100</f>
        <v>8.776553583287221</v>
      </c>
      <c r="H23" s="827">
        <f>'47'!H23/'47'!$B23*100</f>
        <v>23.263449192957953</v>
      </c>
      <c r="I23" s="827">
        <f>'47'!I23/'47'!$B23*100</f>
        <v>13.317901947233517</v>
      </c>
      <c r="J23" s="344">
        <f>'47'!J23/'47'!$J23*100</f>
        <v>100</v>
      </c>
      <c r="K23" s="827">
        <f>'47'!K23/'47'!$J23*100</f>
        <v>23.270741760867743</v>
      </c>
      <c r="L23" s="827">
        <f>'47'!L23/'47'!$J23*100</f>
        <v>4.3310681938833886</v>
      </c>
      <c r="M23" s="827">
        <f>'47'!M23/'47'!$J23*100</f>
        <v>62.933426664333389</v>
      </c>
      <c r="N23" s="827">
        <f>'47'!N23/'47'!$J23*100</f>
        <v>9.4647633809154765</v>
      </c>
    </row>
    <row r="24" spans="1:14">
      <c r="A24" s="275">
        <v>2000</v>
      </c>
      <c r="B24" s="278">
        <f>'47'!B24/'47'!$B24*100</f>
        <v>100</v>
      </c>
      <c r="C24" s="827">
        <f>'47'!C24/'47'!$B24*100</f>
        <v>19.731443292020895</v>
      </c>
      <c r="D24" s="827">
        <f>'47'!D24/'47'!$B24*100</f>
        <v>7.4396215373354462</v>
      </c>
      <c r="E24" s="827">
        <f>'47'!E24/'47'!$B24*100</f>
        <v>13.932679486061089</v>
      </c>
      <c r="F24" s="827">
        <f>'47'!F24/'47'!$B24*100</f>
        <v>13.707979359633887</v>
      </c>
      <c r="G24" s="827">
        <f>'47'!G24/'47'!$B24*100</f>
        <v>9.8506144728245086</v>
      </c>
      <c r="H24" s="827">
        <f>'47'!H24/'47'!$B24*100</f>
        <v>23.920479299230628</v>
      </c>
      <c r="I24" s="827">
        <f>'47'!I24/'47'!$B24*100</f>
        <v>11.417182552893546</v>
      </c>
      <c r="J24" s="344">
        <f>'47'!J24/'47'!$J24*100</f>
        <v>100</v>
      </c>
      <c r="K24" s="827">
        <f>'47'!K24/'47'!$J24*100</f>
        <v>23.891353088579301</v>
      </c>
      <c r="L24" s="827">
        <f>'47'!L24/'47'!$J24*100</f>
        <v>4.4695723398790808</v>
      </c>
      <c r="M24" s="827">
        <f>'47'!M24/'47'!$J24*100</f>
        <v>61.813234487689414</v>
      </c>
      <c r="N24" s="827">
        <f>'47'!N24/'47'!$J24*100</f>
        <v>9.8258400838522046</v>
      </c>
    </row>
    <row r="25" spans="1:14">
      <c r="A25" s="275">
        <v>2001</v>
      </c>
      <c r="B25" s="278">
        <f>'47'!B25/'47'!$B25*100</f>
        <v>100</v>
      </c>
      <c r="C25" s="827">
        <f>'47'!C25/'47'!$B25*100</f>
        <v>19.909181314919771</v>
      </c>
      <c r="D25" s="827">
        <f>'47'!D25/'47'!$B25*100</f>
        <v>7.456568450020673</v>
      </c>
      <c r="E25" s="827">
        <f>'47'!E25/'47'!$B25*100</f>
        <v>14.523727216652771</v>
      </c>
      <c r="F25" s="827">
        <f>'47'!F25/'47'!$B25*100</f>
        <v>13.635826659191242</v>
      </c>
      <c r="G25" s="827">
        <f>'47'!G25/'47'!$B25*100</f>
        <v>9.5345578701619118</v>
      </c>
      <c r="H25" s="827">
        <f>'47'!H25/'47'!$B25*100</f>
        <v>23.132595861208831</v>
      </c>
      <c r="I25" s="827">
        <f>'47'!I25/'47'!$B25*100</f>
        <v>11.807542627844802</v>
      </c>
      <c r="J25" s="344">
        <f>'47'!J25/'47'!$J25*100</f>
        <v>100</v>
      </c>
      <c r="K25" s="827">
        <f>'47'!K25/'47'!$J25*100</f>
        <v>24.503432662077561</v>
      </c>
      <c r="L25" s="827">
        <f>'47'!L25/'47'!$J25*100</f>
        <v>4.0072385107628321</v>
      </c>
      <c r="M25" s="827">
        <f>'47'!M25/'47'!$J25*100</f>
        <v>60.991785966350356</v>
      </c>
      <c r="N25" s="827">
        <f>'47'!N25/'47'!$J25*100</f>
        <v>10.497542860809252</v>
      </c>
    </row>
    <row r="26" spans="1:14">
      <c r="A26" s="275">
        <v>2002</v>
      </c>
      <c r="B26" s="278">
        <f>'47'!B26/'47'!$B26*100</f>
        <v>100</v>
      </c>
      <c r="C26" s="827">
        <f>'47'!C26/'47'!$B26*100</f>
        <v>20.276850253548709</v>
      </c>
      <c r="D26" s="827">
        <f>'47'!D26/'47'!$B26*100</f>
        <v>7.5691925448786366</v>
      </c>
      <c r="E26" s="827">
        <f>'47'!E26/'47'!$B26*100</f>
        <v>15.414160063418636</v>
      </c>
      <c r="F26" s="827">
        <f>'47'!F26/'47'!$B26*100</f>
        <v>13.268358974182986</v>
      </c>
      <c r="G26" s="827">
        <f>'47'!G26/'47'!$B26*100</f>
        <v>9.4865080972007263</v>
      </c>
      <c r="H26" s="827">
        <f>'47'!H26/'47'!$B26*100</f>
        <v>22.40013910003649</v>
      </c>
      <c r="I26" s="827">
        <f>'47'!I26/'47'!$B26*100</f>
        <v>11.584790966733815</v>
      </c>
      <c r="J26" s="344">
        <f>'47'!J26/'47'!$J26*100</f>
        <v>100</v>
      </c>
      <c r="K26" s="827">
        <f>'47'!K26/'47'!$J26*100</f>
        <v>25.19995865470278</v>
      </c>
      <c r="L26" s="827">
        <f>'47'!L26/'47'!$J26*100</f>
        <v>3.762422046887536</v>
      </c>
      <c r="M26" s="827">
        <f>'47'!M26/'47'!$J26*100</f>
        <v>60.79629073619239</v>
      </c>
      <c r="N26" s="827">
        <f>'47'!N26/'47'!$J26*100</f>
        <v>10.241328562217289</v>
      </c>
    </row>
    <row r="27" spans="1:14">
      <c r="A27" s="275">
        <v>2003</v>
      </c>
      <c r="B27" s="278">
        <f>'47'!B27/'47'!$B27*100</f>
        <v>100</v>
      </c>
      <c r="C27" s="827">
        <f>'47'!C27/'47'!$B27*100</f>
        <v>21.073589614445527</v>
      </c>
      <c r="D27" s="827">
        <f>'47'!D27/'47'!$B27*100</f>
        <v>7.5176412564025252</v>
      </c>
      <c r="E27" s="827">
        <f>'47'!E27/'47'!$B27*100</f>
        <v>16.023937908354348</v>
      </c>
      <c r="F27" s="827">
        <f>'47'!F27/'47'!$B27*100</f>
        <v>12.715755746370233</v>
      </c>
      <c r="G27" s="827">
        <f>'47'!G27/'47'!$B27*100</f>
        <v>9.4731673396689065</v>
      </c>
      <c r="H27" s="827">
        <f>'47'!H27/'47'!$B27*100</f>
        <v>22.067451555166723</v>
      </c>
      <c r="I27" s="827">
        <f>'47'!I27/'47'!$B27*100</f>
        <v>11.128456579591738</v>
      </c>
      <c r="J27" s="344">
        <f>'47'!J27/'47'!$J27*100</f>
        <v>100</v>
      </c>
      <c r="K27" s="827">
        <f>'47'!K27/'47'!$J27*100</f>
        <v>25.896579716543982</v>
      </c>
      <c r="L27" s="827">
        <f>'47'!L27/'47'!$J27*100</f>
        <v>3.6025314650900206</v>
      </c>
      <c r="M27" s="827">
        <f>'47'!M27/'47'!$J27*100</f>
        <v>60.689046952146384</v>
      </c>
      <c r="N27" s="827">
        <f>'47'!N27/'47'!$J27*100</f>
        <v>9.8118418662196127</v>
      </c>
    </row>
    <row r="28" spans="1:14">
      <c r="A28" s="275">
        <v>2004</v>
      </c>
      <c r="B28" s="278">
        <f>'47'!B28/'47'!$B28*100</f>
        <v>100</v>
      </c>
      <c r="C28" s="827">
        <f>'47'!C28/'47'!$B28*100</f>
        <v>21.505876890821067</v>
      </c>
      <c r="D28" s="827">
        <f>'47'!D28/'47'!$B28*100</f>
        <v>7.3545219520812877</v>
      </c>
      <c r="E28" s="827">
        <f>'47'!E28/'47'!$B28*100</f>
        <v>17.158142477933897</v>
      </c>
      <c r="F28" s="827">
        <f>'47'!F28/'47'!$B28*100</f>
        <v>12.357652977565317</v>
      </c>
      <c r="G28" s="827">
        <f>'47'!G28/'47'!$B28*100</f>
        <v>9.4050519336717997</v>
      </c>
      <c r="H28" s="827">
        <f>'47'!H28/'47'!$B28*100</f>
        <v>22.117281520644603</v>
      </c>
      <c r="I28" s="827">
        <f>'47'!I28/'47'!$B28*100</f>
        <v>10.101472247282025</v>
      </c>
      <c r="J28" s="344">
        <f>'47'!J28/'47'!$J28*100</f>
        <v>100</v>
      </c>
      <c r="K28" s="827">
        <f>'47'!K28/'47'!$J28*100</f>
        <v>26.920565924537048</v>
      </c>
      <c r="L28" s="827">
        <f>'47'!L28/'47'!$J28*100</f>
        <v>3.1444131828969821</v>
      </c>
      <c r="M28" s="827">
        <f>'47'!M28/'47'!$J28*100</f>
        <v>61.046395357818916</v>
      </c>
      <c r="N28" s="827">
        <f>'47'!N28/'47'!$J28*100</f>
        <v>8.8886255347470513</v>
      </c>
    </row>
    <row r="29" spans="1:14">
      <c r="A29" s="343">
        <v>2005</v>
      </c>
      <c r="B29" s="278">
        <f>'47'!B29/'47'!$B29*100</f>
        <v>100</v>
      </c>
      <c r="C29" s="827">
        <f>'47'!C29/'47'!$B29*100</f>
        <v>21.636816207251812</v>
      </c>
      <c r="D29" s="827">
        <f>'47'!D29/'47'!$B29*100</f>
        <v>7.1048974073798714</v>
      </c>
      <c r="E29" s="827">
        <f>'47'!E29/'47'!$B29*100</f>
        <v>17.997824183727502</v>
      </c>
      <c r="F29" s="827">
        <f>'47'!F29/'47'!$B29*100</f>
        <v>11.955344178022436</v>
      </c>
      <c r="G29" s="827">
        <f>'47'!G29/'47'!$B29*100</f>
        <v>9.0316858934578335</v>
      </c>
      <c r="H29" s="827">
        <f>'47'!H29/'47'!$B29*100</f>
        <v>22.083966176222912</v>
      </c>
      <c r="I29" s="827">
        <f>'47'!I29/'47'!$B29*100</f>
        <v>10.189465953937637</v>
      </c>
      <c r="J29" s="344">
        <f>'47'!J29/'47'!$J29*100</f>
        <v>100</v>
      </c>
      <c r="K29" s="827">
        <f>'47'!K29/'47'!$J29*100</f>
        <v>27.514162617308124</v>
      </c>
      <c r="L29" s="827">
        <f>'47'!L29/'47'!$J29*100</f>
        <v>3.094900484560533</v>
      </c>
      <c r="M29" s="827">
        <f>'47'!M29/'47'!$J29*100</f>
        <v>61.177835370096609</v>
      </c>
      <c r="N29" s="827">
        <f>'47'!N29/'47'!$J29*100</f>
        <v>8.2131015280347324</v>
      </c>
    </row>
    <row r="30" spans="1:14">
      <c r="A30" s="342">
        <v>2006</v>
      </c>
      <c r="B30" s="278">
        <f>'47'!B30/'47'!$B30*100</f>
        <v>100</v>
      </c>
      <c r="C30" s="827">
        <f>'47'!C30/'47'!$B30*100</f>
        <v>22.079589305819869</v>
      </c>
      <c r="D30" s="827">
        <f>'47'!D30/'47'!$B30*100</f>
        <v>6.6957967368436542</v>
      </c>
      <c r="E30" s="827">
        <f>'47'!E30/'47'!$B30*100</f>
        <v>18.524301453820705</v>
      </c>
      <c r="F30" s="827">
        <f>'47'!F30/'47'!$B30*100</f>
        <v>12.792393295756755</v>
      </c>
      <c r="G30" s="827">
        <f>'47'!G30/'47'!$B30*100</f>
        <v>8.8041353276094387</v>
      </c>
      <c r="H30" s="827">
        <f>'47'!H30/'47'!$B30*100</f>
        <v>21.831611578294201</v>
      </c>
      <c r="I30" s="827">
        <f>'47'!I30/'47'!$B30*100</f>
        <v>9.2721723018553757</v>
      </c>
      <c r="J30" s="344">
        <f>'47'!J30/'47'!$J30*100</f>
        <v>100</v>
      </c>
      <c r="K30" s="827">
        <f>'47'!K30/'47'!$J30*100</f>
        <v>27.593786948532028</v>
      </c>
      <c r="L30" s="827">
        <f>'47'!L30/'47'!$J30*100</f>
        <v>2.9124346500662401</v>
      </c>
      <c r="M30" s="827">
        <f>'47'!M30/'47'!$J30*100</f>
        <v>61.478528896423022</v>
      </c>
      <c r="N30" s="827">
        <f>'47'!N30/'47'!$J30*100</f>
        <v>8.0152495049787031</v>
      </c>
    </row>
    <row r="31" spans="1:14">
      <c r="A31" s="342">
        <v>2007</v>
      </c>
      <c r="B31" s="278">
        <f>'47'!B31/'47'!$B31*100</f>
        <v>100</v>
      </c>
      <c r="C31" s="827">
        <f>'47'!C31/'47'!$B31*100</f>
        <v>22.371334628436014</v>
      </c>
      <c r="D31" s="827">
        <f>'47'!D31/'47'!$B31*100</f>
        <v>6.4548630781462366</v>
      </c>
      <c r="E31" s="827">
        <f>'47'!E31/'47'!$B31*100</f>
        <v>19.395661973337742</v>
      </c>
      <c r="F31" s="827">
        <f>'47'!F31/'47'!$B31*100</f>
        <v>12.608870075590881</v>
      </c>
      <c r="G31" s="827">
        <f>'47'!G31/'47'!$B31*100</f>
        <v>8.8004577434254099</v>
      </c>
      <c r="H31" s="827">
        <f>'47'!H31/'47'!$B31*100</f>
        <v>22.134552901864772</v>
      </c>
      <c r="I31" s="827">
        <f>'47'!I31/'47'!$B31*100</f>
        <v>8.2342595991989498</v>
      </c>
      <c r="J31" s="344">
        <f>'47'!J31/'47'!$J31*100</f>
        <v>100</v>
      </c>
      <c r="K31" s="827">
        <f>'47'!K31/'47'!$J31*100</f>
        <v>27.988256256580545</v>
      </c>
      <c r="L31" s="827">
        <f>'47'!L31/'47'!$J31*100</f>
        <v>2.6604033368429576</v>
      </c>
      <c r="M31" s="827">
        <f>'47'!M31/'47'!$J31*100</f>
        <v>62.101320158743015</v>
      </c>
      <c r="N31" s="827">
        <f>'47'!N31/'47'!$J31*100</f>
        <v>7.2500202478334819</v>
      </c>
    </row>
    <row r="32" spans="1:14">
      <c r="A32" s="343">
        <v>2008</v>
      </c>
      <c r="B32" s="344">
        <f>'47'!B32/'47'!$B32*100</f>
        <v>100</v>
      </c>
      <c r="C32" s="827">
        <f>'47'!C32/'47'!$B32*100</f>
        <v>22.141964815362662</v>
      </c>
      <c r="D32" s="827">
        <f>'47'!D32/'47'!$B32*100</f>
        <v>6.1308548453601928</v>
      </c>
      <c r="E32" s="827">
        <f>'47'!E32/'47'!$B32*100</f>
        <v>19.391588121774344</v>
      </c>
      <c r="F32" s="827">
        <f>'47'!F32/'47'!$B32*100</f>
        <v>13.745690824617904</v>
      </c>
      <c r="G32" s="827">
        <f>'47'!G32/'47'!$B32*100</f>
        <v>9.3457564298491551</v>
      </c>
      <c r="H32" s="827">
        <f>'47'!H32/'47'!$B32*100</f>
        <v>20.958342210988263</v>
      </c>
      <c r="I32" s="827">
        <f>'47'!I32/'47'!$B32*100</f>
        <v>8.2858027520474824</v>
      </c>
      <c r="J32" s="344">
        <f>'47'!J32/'47'!$J32*100</f>
        <v>100</v>
      </c>
      <c r="K32" s="827">
        <f>'47'!K32/'47'!$J32*100</f>
        <v>27.816256212152386</v>
      </c>
      <c r="L32" s="827">
        <f>'47'!L32/'47'!$J32*100</f>
        <v>2.6132819550296245</v>
      </c>
      <c r="M32" s="827">
        <f>'47'!M32/'47'!$J32*100</f>
        <v>62.330013005504505</v>
      </c>
      <c r="N32" s="827">
        <f>'47'!N32/'47'!$J32*100</f>
        <v>7.2404488273134904</v>
      </c>
    </row>
    <row r="33" spans="1:18">
      <c r="A33" s="1119"/>
      <c r="B33" s="1280" t="s">
        <v>802</v>
      </c>
      <c r="C33" s="1280"/>
      <c r="D33" s="1280"/>
      <c r="E33" s="1280"/>
      <c r="F33" s="1280"/>
      <c r="G33" s="1280"/>
      <c r="H33" s="1280"/>
      <c r="I33" s="1280"/>
      <c r="J33" s="1280"/>
      <c r="K33" s="1280"/>
      <c r="L33" s="1280"/>
      <c r="M33" s="1280"/>
      <c r="N33" s="671"/>
      <c r="O33" s="671"/>
      <c r="P33" s="671"/>
      <c r="Q33" s="671"/>
      <c r="R33" s="671"/>
    </row>
    <row r="34" spans="1:18">
      <c r="A34" s="448" t="s">
        <v>1408</v>
      </c>
      <c r="B34" s="273">
        <f>((((B32/B5))^(1/27))-1)*100</f>
        <v>0</v>
      </c>
      <c r="C34" s="273">
        <f t="shared" ref="C34:N34" si="0">((((C32/C5))^(1/27))-1)*100</f>
        <v>0.16583448109674936</v>
      </c>
      <c r="D34" s="273">
        <f t="shared" si="0"/>
        <v>-1.6272995322089923</v>
      </c>
      <c r="E34" s="273">
        <f t="shared" si="0"/>
        <v>0.58889960926413742</v>
      </c>
      <c r="F34" s="273">
        <f t="shared" si="0"/>
        <v>1.159608843166704</v>
      </c>
      <c r="G34" s="273">
        <f t="shared" si="0"/>
        <v>1.5761643309564199E-2</v>
      </c>
      <c r="H34" s="273">
        <f t="shared" si="0"/>
        <v>1.8452993286194097</v>
      </c>
      <c r="I34" s="273">
        <f t="shared" si="0"/>
        <v>-3.3104741845966901</v>
      </c>
      <c r="J34" s="273">
        <f t="shared" si="0"/>
        <v>0</v>
      </c>
      <c r="K34" s="273">
        <f t="shared" si="0"/>
        <v>0.43261528660976101</v>
      </c>
      <c r="L34" s="273">
        <f t="shared" si="0"/>
        <v>-3.5154213240404353</v>
      </c>
      <c r="M34" s="273">
        <f t="shared" si="0"/>
        <v>0.10797654612879626</v>
      </c>
      <c r="N34" s="273">
        <f t="shared" si="0"/>
        <v>-0.29238160394244872</v>
      </c>
      <c r="O34" s="273"/>
      <c r="P34" s="671"/>
      <c r="Q34" s="671"/>
      <c r="R34" s="671"/>
    </row>
    <row r="35" spans="1:18">
      <c r="A35" s="448" t="s">
        <v>603</v>
      </c>
      <c r="B35" s="273">
        <f>((((B13/B5))^(1/8))-1)*100</f>
        <v>0</v>
      </c>
      <c r="C35" s="273">
        <f t="shared" ref="C35:N35" si="1">((((C13/C5))^(1/8))-1)*100</f>
        <v>0.35656657117724144</v>
      </c>
      <c r="D35" s="273">
        <f t="shared" si="1"/>
        <v>-0.70904653644743298</v>
      </c>
      <c r="E35" s="273">
        <f t="shared" si="1"/>
        <v>-1.5906430767600899</v>
      </c>
      <c r="F35" s="273">
        <f t="shared" si="1"/>
        <v>-0.15053581865576149</v>
      </c>
      <c r="G35" s="273">
        <f t="shared" si="1"/>
        <v>-0.3382140660527555</v>
      </c>
      <c r="H35" s="273">
        <f t="shared" si="1"/>
        <v>3.471482813806559</v>
      </c>
      <c r="I35" s="273">
        <f t="shared" si="1"/>
        <v>-1.0972080484249691</v>
      </c>
      <c r="J35" s="273">
        <f t="shared" si="1"/>
        <v>0</v>
      </c>
      <c r="K35" s="273">
        <f t="shared" si="1"/>
        <v>-0.62786874143523352</v>
      </c>
      <c r="L35" s="273">
        <f t="shared" si="1"/>
        <v>-5.9410705600649987</v>
      </c>
      <c r="M35" s="273">
        <f t="shared" si="1"/>
        <v>0.65450623850618062</v>
      </c>
      <c r="N35" s="273">
        <f t="shared" si="1"/>
        <v>0.97637093541051989</v>
      </c>
      <c r="O35" s="273"/>
      <c r="P35" s="273"/>
      <c r="Q35" s="273"/>
      <c r="R35" s="273"/>
    </row>
    <row r="36" spans="1:18">
      <c r="A36" s="448" t="s">
        <v>604</v>
      </c>
      <c r="B36" s="273">
        <f>((((B24/B13))^(1/11))-1)*100</f>
        <v>0</v>
      </c>
      <c r="C36" s="273">
        <f t="shared" ref="C36:N36" si="2">((((C24/C13))^(1/11))-1)*100</f>
        <v>-0.89594018297929345</v>
      </c>
      <c r="D36" s="273">
        <f t="shared" si="2"/>
        <v>-1.7354331410867729</v>
      </c>
      <c r="E36" s="273">
        <f t="shared" si="2"/>
        <v>-0.39731171294322687</v>
      </c>
      <c r="F36" s="273">
        <f t="shared" si="2"/>
        <v>2.9574117310687376</v>
      </c>
      <c r="G36" s="273">
        <f t="shared" si="2"/>
        <v>0.76628236077651568</v>
      </c>
      <c r="H36" s="273">
        <f t="shared" si="2"/>
        <v>3.2600203309248732</v>
      </c>
      <c r="I36" s="273">
        <f t="shared" si="2"/>
        <v>-4.4447404321961699</v>
      </c>
      <c r="J36" s="273">
        <f t="shared" si="2"/>
        <v>0</v>
      </c>
      <c r="K36" s="273">
        <f t="shared" si="2"/>
        <v>0.13498225264834129</v>
      </c>
      <c r="L36" s="273">
        <f t="shared" si="2"/>
        <v>0.55084303819428193</v>
      </c>
      <c r="M36" s="273">
        <f t="shared" si="2"/>
        <v>-0.28484373161110632</v>
      </c>
      <c r="N36" s="273">
        <f t="shared" si="2"/>
        <v>1.3595496548190145</v>
      </c>
      <c r="O36" s="273"/>
      <c r="P36" s="273"/>
      <c r="Q36" s="273"/>
      <c r="R36" s="273"/>
    </row>
    <row r="37" spans="1:18">
      <c r="A37" s="448" t="s">
        <v>1410</v>
      </c>
      <c r="B37" s="671">
        <f>((((B32/B24))^(1/8))-1)*100</f>
        <v>0</v>
      </c>
      <c r="C37" s="671">
        <f t="shared" ref="C37:N37" si="3">((((C32/C24))^(1/8))-1)*100</f>
        <v>1.4511940304971604</v>
      </c>
      <c r="D37" s="671">
        <f t="shared" si="3"/>
        <v>-2.3895592352880413</v>
      </c>
      <c r="E37" s="671">
        <f t="shared" si="3"/>
        <v>4.2191055252504661</v>
      </c>
      <c r="F37" s="671">
        <f t="shared" si="3"/>
        <v>3.4346923787853534E-2</v>
      </c>
      <c r="G37" s="671">
        <f t="shared" si="3"/>
        <v>-0.65548543196295439</v>
      </c>
      <c r="H37" s="671">
        <f t="shared" si="3"/>
        <v>-1.6388990259713077</v>
      </c>
      <c r="I37" s="671">
        <f t="shared" si="3"/>
        <v>-3.9279726037557361</v>
      </c>
      <c r="J37" s="671">
        <f t="shared" si="3"/>
        <v>0</v>
      </c>
      <c r="K37" s="671">
        <f t="shared" si="3"/>
        <v>1.919489903441618</v>
      </c>
      <c r="L37" s="671">
        <f t="shared" si="3"/>
        <v>-6.488497011997552</v>
      </c>
      <c r="M37" s="671">
        <f t="shared" si="3"/>
        <v>0.10412376686113056</v>
      </c>
      <c r="N37" s="671">
        <f t="shared" si="3"/>
        <v>-3.7447393011460828</v>
      </c>
      <c r="O37" s="671"/>
      <c r="P37" s="273"/>
      <c r="Q37" s="273"/>
      <c r="R37" s="273"/>
    </row>
    <row r="38" spans="1:18">
      <c r="A38" s="140"/>
      <c r="B38" s="671"/>
      <c r="C38" s="671"/>
      <c r="D38" s="671"/>
      <c r="E38" s="671"/>
      <c r="F38" s="671"/>
      <c r="G38" s="671"/>
      <c r="H38" s="671"/>
      <c r="I38" s="671"/>
      <c r="J38" s="671"/>
      <c r="K38" s="671"/>
      <c r="L38" s="671"/>
      <c r="M38" s="671"/>
      <c r="N38" s="671"/>
      <c r="O38" s="671"/>
      <c r="P38" s="671"/>
      <c r="Q38" s="671"/>
      <c r="R38" s="671"/>
    </row>
    <row r="39" spans="1:18">
      <c r="A39" s="275" t="s">
        <v>197</v>
      </c>
      <c r="O39" s="671"/>
      <c r="P39" s="671"/>
      <c r="Q39" s="671"/>
      <c r="R39" s="671"/>
    </row>
    <row r="40" spans="1:18" ht="26.25" customHeight="1">
      <c r="A40" s="1168" t="s">
        <v>726</v>
      </c>
      <c r="B40" s="1168"/>
      <c r="C40" s="1168"/>
      <c r="D40" s="1168"/>
      <c r="E40" s="1168"/>
      <c r="F40" s="1168"/>
      <c r="G40" s="1168"/>
      <c r="H40" s="1168"/>
      <c r="I40" s="1168"/>
      <c r="J40" s="1168"/>
      <c r="K40" s="1168"/>
      <c r="L40" s="1168"/>
      <c r="M40" s="1168"/>
      <c r="N40" s="1168"/>
      <c r="O40" s="641"/>
    </row>
    <row r="41" spans="1:18" ht="12.75" customHeight="1">
      <c r="A41" s="1281" t="s">
        <v>727</v>
      </c>
      <c r="B41" s="1281"/>
      <c r="C41" s="1281"/>
      <c r="D41" s="1281"/>
      <c r="E41" s="1281"/>
      <c r="F41" s="1281"/>
      <c r="G41" s="1281"/>
      <c r="H41" s="1281"/>
      <c r="I41" s="1281"/>
      <c r="J41" s="1281"/>
      <c r="K41" s="1281"/>
      <c r="L41" s="1281"/>
      <c r="M41" s="1281"/>
      <c r="N41" s="1281"/>
      <c r="O41" s="276"/>
      <c r="P41" s="276"/>
      <c r="Q41" s="276"/>
      <c r="R41" s="276"/>
    </row>
    <row r="42" spans="1:18">
      <c r="A42" s="275" t="s">
        <v>1830</v>
      </c>
    </row>
  </sheetData>
  <mergeCells count="3">
    <mergeCell ref="A41:N41"/>
    <mergeCell ref="B33:M33"/>
    <mergeCell ref="A40:N40"/>
  </mergeCells>
  <phoneticPr fontId="36" type="noConversion"/>
  <pageMargins left="0.75" right="0.75" top="1" bottom="1" header="0.5" footer="0.5"/>
  <pageSetup scale="67" orientation="landscape" horizontalDpi="4294967293" verticalDpi="0" r:id="rId1"/>
  <headerFooter alignWithMargins="0"/>
</worksheet>
</file>

<file path=xl/worksheets/sheet174.xml><?xml version="1.0" encoding="utf-8"?>
<worksheet xmlns="http://schemas.openxmlformats.org/spreadsheetml/2006/main" xmlns:r="http://schemas.openxmlformats.org/officeDocument/2006/relationships">
  <sheetPr codeName="Sheet154">
    <pageSetUpPr fitToPage="1"/>
  </sheetPr>
  <dimension ref="A1:K73"/>
  <sheetViews>
    <sheetView view="pageBreakPreview"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275" customWidth="1"/>
    <col min="2" max="2" width="12.85546875" style="275" customWidth="1"/>
    <col min="3" max="6" width="14.5703125" style="275" customWidth="1"/>
    <col min="7" max="7" width="13.7109375" style="275" customWidth="1"/>
    <col min="8" max="8" width="14.28515625" style="275" customWidth="1"/>
    <col min="9" max="16384" width="9.140625" style="275"/>
  </cols>
  <sheetData>
    <row r="1" spans="1:7" ht="15.75">
      <c r="A1" s="339" t="s">
        <v>2225</v>
      </c>
    </row>
    <row r="3" spans="1:7" ht="38.25">
      <c r="A3" s="341"/>
      <c r="B3" s="279" t="s">
        <v>332</v>
      </c>
      <c r="C3" s="280" t="s">
        <v>333</v>
      </c>
      <c r="D3" s="280" t="s">
        <v>334</v>
      </c>
      <c r="E3" s="280" t="s">
        <v>335</v>
      </c>
      <c r="F3" s="280" t="s">
        <v>336</v>
      </c>
      <c r="G3" s="280" t="s">
        <v>337</v>
      </c>
    </row>
    <row r="4" spans="1:7">
      <c r="A4" s="826">
        <v>1981</v>
      </c>
      <c r="B4" s="1140">
        <v>238606</v>
      </c>
      <c r="C4" s="1140">
        <v>41583</v>
      </c>
      <c r="D4" s="370">
        <f>'47'!B5/'47d'!B4</f>
        <v>4.787063192040435</v>
      </c>
      <c r="E4" s="671">
        <f>'47'!J5/'47d'!B4</f>
        <v>0.79342514438027545</v>
      </c>
      <c r="F4" s="671">
        <f>'47'!O5/'47d'!B4</f>
        <v>3.9936380476601596</v>
      </c>
      <c r="G4" s="276">
        <f t="shared" ref="G4:G26" si="0">C4/B4*100</f>
        <v>17.427474581527708</v>
      </c>
    </row>
    <row r="5" spans="1:7">
      <c r="A5" s="343">
        <v>1982</v>
      </c>
      <c r="B5" s="1140">
        <v>263452</v>
      </c>
      <c r="C5" s="1140">
        <v>53148</v>
      </c>
      <c r="D5" s="370">
        <f>'47'!B6/'47d'!B5</f>
        <v>4.6397142553482231</v>
      </c>
      <c r="E5" s="671">
        <f>'47'!J6/'47d'!B5</f>
        <v>0.71424775670710416</v>
      </c>
      <c r="F5" s="671">
        <f>'47'!O6/'47d'!B5</f>
        <v>3.9254664986411187</v>
      </c>
      <c r="G5" s="276">
        <f t="shared" si="0"/>
        <v>20.173693879720027</v>
      </c>
    </row>
    <row r="6" spans="1:7">
      <c r="A6" s="343">
        <v>1983</v>
      </c>
      <c r="B6" s="1140">
        <v>275529</v>
      </c>
      <c r="C6" s="1140">
        <v>46505</v>
      </c>
      <c r="D6" s="370">
        <f>'47'!B7/'47d'!B6</f>
        <v>4.7994512374378013</v>
      </c>
      <c r="E6" s="671">
        <f>'47'!J7/'47d'!B6</f>
        <v>0.73425301873849935</v>
      </c>
      <c r="F6" s="671">
        <f>'47'!O7/'47d'!B6</f>
        <v>4.0651982186993019</v>
      </c>
      <c r="G6" s="276">
        <f t="shared" si="0"/>
        <v>16.878441107832572</v>
      </c>
    </row>
    <row r="7" spans="1:7">
      <c r="A7" s="343">
        <v>1984</v>
      </c>
      <c r="B7" s="1140">
        <v>299169</v>
      </c>
      <c r="C7" s="1140">
        <v>49940</v>
      </c>
      <c r="D7" s="370">
        <f>'47'!B8/'47d'!B7</f>
        <v>4.7294037818089443</v>
      </c>
      <c r="E7" s="671">
        <f>'47'!J8/'47d'!B7</f>
        <v>0.71206241288368777</v>
      </c>
      <c r="F7" s="671">
        <f>'47'!O8/'47d'!B7</f>
        <v>4.0173413689252566</v>
      </c>
      <c r="G7" s="276">
        <f t="shared" si="0"/>
        <v>16.692906016331907</v>
      </c>
    </row>
    <row r="8" spans="1:7">
      <c r="A8" s="343">
        <v>1985</v>
      </c>
      <c r="B8" s="1140">
        <v>322989</v>
      </c>
      <c r="C8" s="1140">
        <v>50886</v>
      </c>
      <c r="D8" s="370">
        <f>'47'!B9/'47d'!B8</f>
        <v>4.7193526714532075</v>
      </c>
      <c r="E8" s="671">
        <f>'47'!J9/'47d'!B8</f>
        <v>0.72849539767608185</v>
      </c>
      <c r="F8" s="671">
        <f>'47'!O9/'47d'!B8</f>
        <v>3.9908572737771255</v>
      </c>
      <c r="G8" s="276">
        <f t="shared" si="0"/>
        <v>15.75471610488283</v>
      </c>
    </row>
    <row r="9" spans="1:7">
      <c r="A9" s="343">
        <v>1986</v>
      </c>
      <c r="B9" s="1140">
        <v>340403</v>
      </c>
      <c r="C9" s="1140">
        <v>45761</v>
      </c>
      <c r="D9" s="370">
        <f>'47'!B10/'47d'!B9</f>
        <v>4.9268484707831597</v>
      </c>
      <c r="E9" s="671">
        <f>'47'!J10/'47d'!B9</f>
        <v>0.7889325299718275</v>
      </c>
      <c r="F9" s="671">
        <f>'47'!O10/'47d'!B9</f>
        <v>4.1379159408113324</v>
      </c>
      <c r="G9" s="276">
        <f t="shared" si="0"/>
        <v>13.443183520709276</v>
      </c>
    </row>
    <row r="10" spans="1:7">
      <c r="A10" s="343">
        <v>1987</v>
      </c>
      <c r="B10" s="1140">
        <v>362185</v>
      </c>
      <c r="C10" s="1140">
        <v>43073</v>
      </c>
      <c r="D10" s="370">
        <f>'47'!B11/'47d'!B10</f>
        <v>5.0660988169029642</v>
      </c>
      <c r="E10" s="671">
        <f>'47'!J11/'47d'!B10</f>
        <v>0.86007979347570995</v>
      </c>
      <c r="F10" s="671">
        <f>'47'!O11/'47d'!B10</f>
        <v>4.2060190234272543</v>
      </c>
      <c r="G10" s="276">
        <f t="shared" si="0"/>
        <v>11.892541104684071</v>
      </c>
    </row>
    <row r="11" spans="1:7">
      <c r="A11" s="343">
        <v>1988</v>
      </c>
      <c r="B11" s="1140">
        <v>395217</v>
      </c>
      <c r="C11" s="1140">
        <v>48691</v>
      </c>
      <c r="D11" s="370">
        <f>'47'!B12/'47d'!B11</f>
        <v>5.1024804094965548</v>
      </c>
      <c r="E11" s="671">
        <f>'47'!J12/'47d'!B11</f>
        <v>0.88869911972410098</v>
      </c>
      <c r="F11" s="671">
        <f>'47'!O12/'47d'!B11</f>
        <v>4.213781289772454</v>
      </c>
      <c r="G11" s="276">
        <f t="shared" si="0"/>
        <v>12.320067203586889</v>
      </c>
    </row>
    <row r="12" spans="1:7">
      <c r="A12" s="343">
        <v>1989</v>
      </c>
      <c r="B12" s="1140">
        <v>432772</v>
      </c>
      <c r="C12" s="1140">
        <v>56281</v>
      </c>
      <c r="D12" s="370">
        <f>'47'!B13/'47d'!B12</f>
        <v>5.1429713567421187</v>
      </c>
      <c r="E12" s="671">
        <f>'47'!J13/'47d'!B12</f>
        <v>0.90681236309188207</v>
      </c>
      <c r="F12" s="671">
        <f>'47'!O13/'47d'!B12</f>
        <v>4.2361589936502364</v>
      </c>
      <c r="G12" s="276">
        <f t="shared" si="0"/>
        <v>13.004769254942556</v>
      </c>
    </row>
    <row r="13" spans="1:7">
      <c r="A13" s="343">
        <v>1990</v>
      </c>
      <c r="B13" s="1140">
        <v>457400</v>
      </c>
      <c r="C13" s="1140">
        <v>59286</v>
      </c>
      <c r="D13" s="370">
        <f>'47'!B14/'47d'!B13</f>
        <v>5.0817730651508528</v>
      </c>
      <c r="E13" s="671">
        <f>'47'!J14/'47d'!B13</f>
        <v>0.92946436379536512</v>
      </c>
      <c r="F13" s="671">
        <f>'47'!O14/'47d'!B13</f>
        <v>4.1523087013554871</v>
      </c>
      <c r="G13" s="276">
        <f t="shared" si="0"/>
        <v>12.961521644075209</v>
      </c>
    </row>
    <row r="14" spans="1:7">
      <c r="A14" s="343">
        <v>1991</v>
      </c>
      <c r="B14" s="1140">
        <v>472509</v>
      </c>
      <c r="C14" s="1140">
        <v>62670</v>
      </c>
      <c r="D14" s="370">
        <f>'47'!B15/'47d'!B14</f>
        <v>5.210603395914152</v>
      </c>
      <c r="E14" s="671">
        <f>'47'!J15/'47d'!B14</f>
        <v>0.93778742838760742</v>
      </c>
      <c r="F14" s="671">
        <f>'47'!O15/'47d'!B14</f>
        <v>4.2728159675265447</v>
      </c>
      <c r="G14" s="276">
        <f t="shared" si="0"/>
        <v>13.263239430360057</v>
      </c>
    </row>
    <row r="15" spans="1:7">
      <c r="A15" s="343">
        <v>1992</v>
      </c>
      <c r="B15" s="1140">
        <v>483370</v>
      </c>
      <c r="C15" s="1140">
        <v>62879</v>
      </c>
      <c r="D15" s="370">
        <f>'47'!B16/'47d'!B15</f>
        <v>5.3640089372530362</v>
      </c>
      <c r="E15" s="671">
        <f>'47'!J16/'47d'!B15</f>
        <v>0.96668390673810956</v>
      </c>
      <c r="F15" s="671">
        <f>'47'!O16/'47d'!B15</f>
        <v>4.3973250305149261</v>
      </c>
      <c r="G15" s="276">
        <f t="shared" si="0"/>
        <v>13.008461427064152</v>
      </c>
    </row>
    <row r="16" spans="1:7">
      <c r="A16" s="343">
        <v>1993</v>
      </c>
      <c r="B16" s="1140">
        <v>494944</v>
      </c>
      <c r="C16" s="1140">
        <v>58674</v>
      </c>
      <c r="D16" s="370">
        <f>'47'!B17/'47d'!B16</f>
        <v>5.5524544190857954</v>
      </c>
      <c r="E16" s="671">
        <f>'47'!J17/'47d'!B16</f>
        <v>0.99534896877222478</v>
      </c>
      <c r="F16" s="671">
        <f>'47'!O17/'47d'!B16</f>
        <v>4.5571054503135704</v>
      </c>
      <c r="G16" s="276">
        <f t="shared" si="0"/>
        <v>11.854674468222667</v>
      </c>
    </row>
    <row r="17" spans="1:8">
      <c r="A17" s="343">
        <v>1994</v>
      </c>
      <c r="B17" s="1140">
        <v>501678</v>
      </c>
      <c r="C17" s="1140">
        <v>47427</v>
      </c>
      <c r="D17" s="370">
        <f>'47'!B18/'47d'!B17</f>
        <v>5.7813876630029624</v>
      </c>
      <c r="E17" s="671">
        <f>'47'!J18/'47d'!B17</f>
        <v>1.0308843521143043</v>
      </c>
      <c r="F17" s="671">
        <f>'47'!O18/'47d'!B17</f>
        <v>4.7505033108886581</v>
      </c>
      <c r="G17" s="276">
        <f t="shared" si="0"/>
        <v>9.4536734718285427</v>
      </c>
    </row>
    <row r="18" spans="1:8">
      <c r="A18" s="343">
        <v>1995</v>
      </c>
      <c r="B18" s="1140">
        <v>519588</v>
      </c>
      <c r="C18" s="1140">
        <v>47859</v>
      </c>
      <c r="D18" s="370">
        <f>'47'!B19/'47d'!B18</f>
        <v>5.7998818294494869</v>
      </c>
      <c r="E18" s="671">
        <f>'47'!J19/'47d'!B18</f>
        <v>1.034384935756792</v>
      </c>
      <c r="F18" s="671">
        <f>'47'!O19/'47d'!B18</f>
        <v>4.7654968936926947</v>
      </c>
      <c r="G18" s="276">
        <f t="shared" si="0"/>
        <v>9.21095175408208</v>
      </c>
    </row>
    <row r="19" spans="1:8">
      <c r="A19" s="343">
        <v>1996</v>
      </c>
      <c r="B19" s="1140">
        <v>527783</v>
      </c>
      <c r="C19" s="1140">
        <v>37041</v>
      </c>
      <c r="D19" s="370">
        <f>'47'!B20/'47d'!B19</f>
        <v>6.0014608276507584</v>
      </c>
      <c r="E19" s="671">
        <f>'47'!J20/'47d'!B19</f>
        <v>1.0683803760257531</v>
      </c>
      <c r="F19" s="671">
        <f>'47'!O20/'47d'!B19</f>
        <v>4.9330804516250053</v>
      </c>
      <c r="G19" s="276">
        <f t="shared" si="0"/>
        <v>7.0182252933497296</v>
      </c>
    </row>
    <row r="20" spans="1:8">
      <c r="A20" s="343">
        <v>1997</v>
      </c>
      <c r="B20" s="1140">
        <v>546166</v>
      </c>
      <c r="C20" s="1140">
        <v>26607</v>
      </c>
      <c r="D20" s="370">
        <f>'47'!B21/'47d'!B20</f>
        <v>6.1078628109402633</v>
      </c>
      <c r="E20" s="671">
        <f>'47'!J21/'47d'!B20</f>
        <v>1.0957456158017893</v>
      </c>
      <c r="F20" s="671">
        <f>'47'!O21/'47d'!B20</f>
        <v>5.0121171951384742</v>
      </c>
      <c r="G20" s="276">
        <f t="shared" si="0"/>
        <v>4.8715958151917187</v>
      </c>
    </row>
    <row r="21" spans="1:8">
      <c r="A21" s="343">
        <v>1998</v>
      </c>
      <c r="B21" s="1140">
        <v>568766</v>
      </c>
      <c r="C21" s="1140">
        <v>27610</v>
      </c>
      <c r="D21" s="370">
        <f>'47'!B22/'47d'!B21</f>
        <v>6.1032023714497701</v>
      </c>
      <c r="E21" s="671">
        <f>'47'!J22/'47d'!B21</f>
        <v>1.1195887236578839</v>
      </c>
      <c r="F21" s="671">
        <f>'47'!O22/'47d'!B21</f>
        <v>4.983613647791886</v>
      </c>
      <c r="G21" s="276">
        <f t="shared" si="0"/>
        <v>4.8543689320388346</v>
      </c>
    </row>
    <row r="22" spans="1:8">
      <c r="A22" s="343">
        <v>1999</v>
      </c>
      <c r="B22" s="1140">
        <v>596227</v>
      </c>
      <c r="C22" s="1140">
        <v>23937</v>
      </c>
      <c r="D22" s="370">
        <f>'47'!B23/'47d'!B22</f>
        <v>6.21045843277812</v>
      </c>
      <c r="E22" s="671">
        <f>'47'!J23/'47d'!B22</f>
        <v>1.1405337228941326</v>
      </c>
      <c r="F22" s="671">
        <f>'47'!O23/'47d'!B22</f>
        <v>5.0699247098839875</v>
      </c>
      <c r="G22" s="276">
        <f t="shared" si="0"/>
        <v>4.0147460614832946</v>
      </c>
    </row>
    <row r="23" spans="1:8">
      <c r="A23" s="343">
        <v>2000</v>
      </c>
      <c r="B23" s="1140">
        <v>639567</v>
      </c>
      <c r="C23" s="1140">
        <v>29919</v>
      </c>
      <c r="D23" s="370">
        <f>'47'!B24/'47d'!B23</f>
        <v>6.1477640341043234</v>
      </c>
      <c r="E23" s="671">
        <f>'47'!J24/'47d'!B23</f>
        <v>1.1262541688361032</v>
      </c>
      <c r="F23" s="671">
        <f>'47'!O24/'47d'!B23</f>
        <v>5.0215098652682206</v>
      </c>
      <c r="G23" s="276">
        <f t="shared" si="0"/>
        <v>4.6780087152714254</v>
      </c>
    </row>
    <row r="24" spans="1:8">
      <c r="A24" s="343">
        <v>2001</v>
      </c>
      <c r="B24" s="1140">
        <v>669196</v>
      </c>
      <c r="C24" s="1140">
        <v>34475</v>
      </c>
      <c r="D24" s="370">
        <f>'47'!B25/'47d'!B24</f>
        <v>6.172882085368113</v>
      </c>
      <c r="E24" s="671">
        <f>'47'!J25/'47d'!B24</f>
        <v>1.1412097502077119</v>
      </c>
      <c r="F24" s="671">
        <f>'47'!O25/'47d'!B24</f>
        <v>5.0316723351604011</v>
      </c>
      <c r="G24" s="276">
        <f t="shared" si="0"/>
        <v>5.1517044333797575</v>
      </c>
      <c r="H24" s="305"/>
    </row>
    <row r="25" spans="1:8">
      <c r="A25" s="343">
        <v>2002</v>
      </c>
      <c r="B25" s="1140">
        <v>694010</v>
      </c>
      <c r="C25" s="1140">
        <v>23996</v>
      </c>
      <c r="D25" s="370">
        <f>'47'!B26/'47d'!B25</f>
        <v>6.2981153009322632</v>
      </c>
      <c r="E25" s="671">
        <f>'47'!J26/'47d'!B25</f>
        <v>1.1709744816357113</v>
      </c>
      <c r="F25" s="671">
        <f>'47'!O26/'47d'!B25</f>
        <v>5.1271408192965522</v>
      </c>
      <c r="G25" s="276">
        <f t="shared" si="0"/>
        <v>3.4575870664687827</v>
      </c>
      <c r="H25" s="305"/>
    </row>
    <row r="26" spans="1:8">
      <c r="A26" s="343">
        <v>2003</v>
      </c>
      <c r="B26" s="1140">
        <v>720855</v>
      </c>
      <c r="C26" s="1140">
        <v>19056</v>
      </c>
      <c r="D26" s="370">
        <f>'47'!B27/'47d'!B26</f>
        <v>6.3679602694023067</v>
      </c>
      <c r="E26" s="671">
        <f>'47'!J27/'47d'!B26</f>
        <v>1.2064756435066692</v>
      </c>
      <c r="F26" s="671">
        <f>'47'!O27/'47d'!B26</f>
        <v>5.1614846258956382</v>
      </c>
      <c r="G26" s="276">
        <f t="shared" si="0"/>
        <v>2.6435274777867948</v>
      </c>
      <c r="H26" s="305"/>
    </row>
    <row r="27" spans="1:8">
      <c r="A27" s="343">
        <v>2004</v>
      </c>
      <c r="B27" s="1140">
        <v>760462</v>
      </c>
      <c r="C27" s="1140">
        <v>24079</v>
      </c>
      <c r="D27" s="370">
        <f>'47'!B28/'47d'!B27</f>
        <v>6.4237016445266164</v>
      </c>
      <c r="E27" s="671">
        <f>'47'!J28/'47d'!B27</f>
        <v>1.2427616370048733</v>
      </c>
      <c r="F27" s="671">
        <f>'47'!O28/'47d'!B27</f>
        <v>5.1809400075217438</v>
      </c>
      <c r="G27" s="276">
        <f>C27/B27*100</f>
        <v>3.1663646572741309</v>
      </c>
      <c r="H27" s="305"/>
    </row>
    <row r="28" spans="1:8">
      <c r="A28" s="343">
        <v>2005</v>
      </c>
      <c r="B28" s="1140">
        <v>794269</v>
      </c>
      <c r="C28" s="1140">
        <v>16878</v>
      </c>
      <c r="D28" s="370">
        <f>'47'!B29/'47d'!B28</f>
        <v>6.6381842927270229</v>
      </c>
      <c r="E28" s="671">
        <f>'47'!J29/'47d'!B28</f>
        <v>1.2936788418029661</v>
      </c>
      <c r="F28" s="671">
        <f>'47'!O29/'47d'!B28</f>
        <v>5.344505450924057</v>
      </c>
      <c r="G28" s="276">
        <f>C28/B28*100</f>
        <v>2.1249727737076483</v>
      </c>
      <c r="H28" s="305"/>
    </row>
    <row r="29" spans="1:8">
      <c r="A29" s="343">
        <v>2006</v>
      </c>
      <c r="B29" s="1140">
        <v>852639</v>
      </c>
      <c r="C29" s="1140">
        <v>30172</v>
      </c>
      <c r="D29" s="370">
        <f>'47'!B30/'47d'!B29</f>
        <v>6.7760623194575897</v>
      </c>
      <c r="E29" s="671">
        <f>'47'!J30/'47d'!B29</f>
        <v>1.3173031024853425</v>
      </c>
      <c r="F29" s="671">
        <f>'47'!O30/'47d'!B29</f>
        <v>5.458759216972247</v>
      </c>
      <c r="G29" s="276">
        <f>C29/B29*100</f>
        <v>3.5386605585716815</v>
      </c>
      <c r="H29" s="305"/>
    </row>
    <row r="30" spans="1:8">
      <c r="A30" s="343">
        <v>2007</v>
      </c>
      <c r="B30" s="1140">
        <v>897562</v>
      </c>
      <c r="C30" s="1140">
        <v>22447</v>
      </c>
      <c r="D30" s="370">
        <f>'47'!B31/'47d'!B30</f>
        <v>6.8735028889369199</v>
      </c>
      <c r="E30" s="671">
        <f>'47'!J31/'47d'!B30</f>
        <v>1.3756152778303894</v>
      </c>
      <c r="F30" s="671">
        <f>'47'!O31/'47d'!B30</f>
        <v>5.4978876111065311</v>
      </c>
      <c r="G30" s="276">
        <f>C30/B30*100</f>
        <v>2.5008857326847616</v>
      </c>
      <c r="H30" s="305"/>
    </row>
    <row r="31" spans="1:8">
      <c r="A31" s="343">
        <v>2008</v>
      </c>
      <c r="B31" s="1140">
        <v>950948</v>
      </c>
      <c r="C31" s="1140">
        <v>35039</v>
      </c>
      <c r="D31" s="370">
        <f>'47'!B32/'47d'!B31</f>
        <v>6.8603856362282691</v>
      </c>
      <c r="E31" s="671">
        <f>'47'!J32/'47d'!B31</f>
        <v>1.4158008639799442</v>
      </c>
      <c r="F31" s="671">
        <f>'47'!O32/'47d'!B31</f>
        <v>5.4445847722483247</v>
      </c>
      <c r="G31" s="276">
        <f>C31/B31*100</f>
        <v>3.6846389077005264</v>
      </c>
      <c r="H31" s="305"/>
    </row>
    <row r="32" spans="1:8">
      <c r="A32" s="343"/>
      <c r="B32" s="19"/>
      <c r="C32" s="19" t="s">
        <v>1281</v>
      </c>
      <c r="D32" s="370">
        <f>100*(D31-D4)/D4</f>
        <v>43.310947882100187</v>
      </c>
      <c r="E32" s="370">
        <f>100*(E31-E4)/E4</f>
        <v>78.441643046968338</v>
      </c>
      <c r="F32" s="370">
        <f>100*(F31-F4)/F4</f>
        <v>36.331452857583407</v>
      </c>
      <c r="G32" s="370">
        <f>100*(G31-G4)/G4</f>
        <v>-78.857298626583187</v>
      </c>
      <c r="H32" s="305"/>
    </row>
    <row r="33" spans="1:11">
      <c r="A33" s="343"/>
      <c r="B33" s="19"/>
      <c r="C33" s="19" t="s">
        <v>729</v>
      </c>
      <c r="D33" s="370">
        <f>D31-D4</f>
        <v>2.0733224441878342</v>
      </c>
      <c r="E33" s="370">
        <f>E31-E4</f>
        <v>0.62237571959966875</v>
      </c>
      <c r="F33" s="370">
        <f>F31-F4</f>
        <v>1.4509467245881651</v>
      </c>
      <c r="G33" s="370">
        <f>G31-G4</f>
        <v>-13.742835673827182</v>
      </c>
      <c r="H33" s="305"/>
    </row>
    <row r="34" spans="1:11">
      <c r="A34" s="343"/>
      <c r="B34" s="1120" t="s">
        <v>802</v>
      </c>
      <c r="C34" s="1120"/>
      <c r="D34" s="1283" t="s">
        <v>1233</v>
      </c>
      <c r="E34" s="1283"/>
      <c r="F34" s="1283"/>
      <c r="G34" s="1283"/>
      <c r="H34" s="671"/>
      <c r="I34" s="671"/>
      <c r="J34" s="671"/>
      <c r="K34" s="671"/>
    </row>
    <row r="35" spans="1:11">
      <c r="A35" s="448" t="s">
        <v>1408</v>
      </c>
      <c r="B35" s="273">
        <f>((((B31/B4))^(1/27))-1)*100</f>
        <v>5.254295801003761</v>
      </c>
      <c r="C35" s="273">
        <f>((((C31/C4))^(1/27))-1)*100</f>
        <v>-0.63217738240849419</v>
      </c>
      <c r="D35" s="671">
        <f>(D31-D4)/26</f>
        <v>7.974317093030131E-2</v>
      </c>
      <c r="E35" s="671">
        <f>(E31-E4)/26</f>
        <v>2.3937527676910337E-2</v>
      </c>
      <c r="F35" s="671">
        <f>(F31-F4)/26</f>
        <v>5.5805643253390963E-2</v>
      </c>
      <c r="G35" s="671">
        <f>(G31-G4)/26</f>
        <v>-0.52857060283950696</v>
      </c>
      <c r="H35" s="671"/>
      <c r="I35" s="671"/>
      <c r="J35" s="671"/>
      <c r="K35" s="671"/>
    </row>
    <row r="36" spans="1:11">
      <c r="A36" s="448" t="s">
        <v>603</v>
      </c>
      <c r="B36" s="273">
        <f>((((B12/B4))^(1/8))-1)*100</f>
        <v>7.7264192092415085</v>
      </c>
      <c r="C36" s="273">
        <f>((((C12/C4))^(1/8))-1)*100</f>
        <v>3.8557983127030848</v>
      </c>
      <c r="D36" s="671">
        <f>(D12-D4)/8</f>
        <v>4.4488520587710467E-2</v>
      </c>
      <c r="E36" s="671">
        <f>(E12-E4)/8</f>
        <v>1.4173402338950827E-2</v>
      </c>
      <c r="F36" s="671">
        <f>(F12-F4)/8</f>
        <v>3.0315118248759598E-2</v>
      </c>
      <c r="G36" s="671">
        <f>(G12-G4)/8</f>
        <v>-0.55283816582314405</v>
      </c>
      <c r="H36" s="273"/>
      <c r="I36" s="273"/>
      <c r="J36" s="273"/>
      <c r="K36" s="273"/>
    </row>
    <row r="37" spans="1:11">
      <c r="A37" s="448" t="s">
        <v>604</v>
      </c>
      <c r="B37" s="273">
        <f>((((B23/B12))^(1/11))-1)*100</f>
        <v>3.6145217089593507</v>
      </c>
      <c r="C37" s="273">
        <f>((((C23/C12))^(1/11))-1)*100</f>
        <v>-5.5823457991279968</v>
      </c>
      <c r="D37" s="671">
        <f>(D23-D12)/11</f>
        <v>9.1344788851109512E-2</v>
      </c>
      <c r="E37" s="671">
        <f>(E23-E12)/11</f>
        <v>1.9949255067656466E-2</v>
      </c>
      <c r="F37" s="671">
        <f>(F23-F12)/11</f>
        <v>7.1395533783453105E-2</v>
      </c>
      <c r="G37" s="671">
        <f>(G23-G12)/11</f>
        <v>-0.75697823087919369</v>
      </c>
      <c r="H37" s="273"/>
      <c r="I37" s="273"/>
      <c r="J37" s="273"/>
      <c r="K37" s="273"/>
    </row>
    <row r="38" spans="1:11">
      <c r="A38" s="448" t="s">
        <v>1410</v>
      </c>
      <c r="B38" s="671">
        <f>((((B31/B23))^(1/8))-1)*100</f>
        <v>5.0833332725532587</v>
      </c>
      <c r="C38" s="671">
        <f>((((C31/C23))^(1/8))-1)*100</f>
        <v>1.9942241380222603</v>
      </c>
      <c r="D38" s="671">
        <f>(D31-D23)/7</f>
        <v>0.10180308601770653</v>
      </c>
      <c r="E38" s="671">
        <f>(E31-E23)/7</f>
        <v>4.1363813591977286E-2</v>
      </c>
      <c r="F38" s="671">
        <f>(F31-F23)/7</f>
        <v>6.0439272425729156E-2</v>
      </c>
      <c r="G38" s="671">
        <f>(G31-G23)/7</f>
        <v>-0.14190997251012843</v>
      </c>
      <c r="H38" s="273"/>
      <c r="I38" s="273"/>
      <c r="J38" s="273"/>
      <c r="K38" s="273"/>
    </row>
    <row r="39" spans="1:11">
      <c r="A39" s="140"/>
      <c r="B39" s="671"/>
      <c r="C39" s="671"/>
      <c r="D39" s="671"/>
      <c r="H39" s="671"/>
      <c r="I39" s="671"/>
      <c r="J39" s="671"/>
      <c r="K39" s="671"/>
    </row>
    <row r="40" spans="1:11" ht="26.25" customHeight="1">
      <c r="A40" s="1284" t="s">
        <v>836</v>
      </c>
      <c r="B40" s="1188"/>
      <c r="C40" s="1188"/>
      <c r="D40" s="1188"/>
      <c r="E40" s="1188"/>
      <c r="F40" s="1188"/>
      <c r="G40" s="1188"/>
      <c r="H40" s="671"/>
      <c r="I40" s="671"/>
      <c r="J40" s="671"/>
      <c r="K40" s="671"/>
    </row>
    <row r="41" spans="1:11">
      <c r="A41" s="275" t="s">
        <v>1830</v>
      </c>
    </row>
    <row r="46" spans="1:11">
      <c r="A46" s="1"/>
    </row>
    <row r="47" spans="1:11">
      <c r="A47" s="1"/>
    </row>
    <row r="48" spans="1: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sheetData>
  <mergeCells count="2">
    <mergeCell ref="D34:G34"/>
    <mergeCell ref="A40:G40"/>
  </mergeCells>
  <phoneticPr fontId="36" type="noConversion"/>
  <pageMargins left="0.75" right="0.75" top="1" bottom="1" header="0.5" footer="0.5"/>
  <pageSetup scale="83" orientation="landscape" verticalDpi="0" r:id="rId1"/>
  <headerFooter alignWithMargins="0"/>
</worksheet>
</file>

<file path=xl/worksheets/sheet175.xml><?xml version="1.0" encoding="utf-8"?>
<worksheet xmlns="http://schemas.openxmlformats.org/spreadsheetml/2006/main" xmlns:r="http://schemas.openxmlformats.org/officeDocument/2006/relationships">
  <sheetPr codeName="Sheet155">
    <pageSetUpPr fitToPage="1"/>
  </sheetPr>
  <dimension ref="A1:V41"/>
  <sheetViews>
    <sheetView view="pageBreakPreview" zoomScaleSheetLayoutView="100" workbookViewId="0">
      <selection activeCell="H62" sqref="H62"/>
    </sheetView>
  </sheetViews>
  <sheetFormatPr defaultColWidth="8" defaultRowHeight="12.75"/>
  <cols>
    <col min="1" max="1" width="2.85546875" style="275" customWidth="1"/>
    <col min="2" max="2" width="2.42578125" style="275" customWidth="1"/>
    <col min="3" max="3" width="26.28515625" style="275" customWidth="1"/>
    <col min="4" max="7" width="14.42578125" style="275" customWidth="1"/>
    <col min="8" max="13" width="8" style="275" customWidth="1"/>
    <col min="14" max="14" width="21" style="275" customWidth="1"/>
    <col min="15" max="16384" width="8" style="275"/>
  </cols>
  <sheetData>
    <row r="1" spans="1:21" ht="15.75">
      <c r="A1" s="339" t="s">
        <v>2226</v>
      </c>
    </row>
    <row r="2" spans="1:21" ht="15.75">
      <c r="A2" s="339"/>
    </row>
    <row r="3" spans="1:21">
      <c r="C3" s="343"/>
      <c r="D3" s="1280">
        <v>1999</v>
      </c>
      <c r="E3" s="1286"/>
      <c r="F3" s="1285">
        <v>2005</v>
      </c>
      <c r="G3" s="1286"/>
    </row>
    <row r="4" spans="1:21" ht="25.5">
      <c r="C4" s="343"/>
      <c r="D4" s="279" t="s">
        <v>1273</v>
      </c>
      <c r="E4" s="820" t="s">
        <v>338</v>
      </c>
      <c r="F4" s="279" t="s">
        <v>1273</v>
      </c>
      <c r="G4" s="820" t="s">
        <v>338</v>
      </c>
    </row>
    <row r="5" spans="1:21">
      <c r="A5" s="281" t="s">
        <v>339</v>
      </c>
      <c r="C5" s="343"/>
      <c r="D5" s="39">
        <v>3948000</v>
      </c>
      <c r="E5" s="371">
        <v>100</v>
      </c>
      <c r="F5" s="20">
        <v>5623000</v>
      </c>
      <c r="G5" s="371">
        <v>100</v>
      </c>
    </row>
    <row r="6" spans="1:21" ht="15.75">
      <c r="B6" s="275" t="s">
        <v>441</v>
      </c>
      <c r="C6" s="343"/>
      <c r="D6" s="39">
        <v>1152000</v>
      </c>
      <c r="E6" s="371">
        <v>29.2</v>
      </c>
      <c r="F6" s="20">
        <v>1632000</v>
      </c>
      <c r="G6" s="371">
        <v>29</v>
      </c>
    </row>
    <row r="7" spans="1:21" ht="12.75" customHeight="1">
      <c r="C7" s="343" t="s">
        <v>1274</v>
      </c>
      <c r="D7" s="39">
        <v>472000</v>
      </c>
      <c r="E7" s="371">
        <v>11.9</v>
      </c>
      <c r="F7" s="20">
        <v>593000</v>
      </c>
      <c r="G7" s="371">
        <v>10.5</v>
      </c>
    </row>
    <row r="8" spans="1:21" ht="12.75" customHeight="1">
      <c r="C8" s="343" t="s">
        <v>442</v>
      </c>
      <c r="D8" s="39">
        <v>680000</v>
      </c>
      <c r="E8" s="371">
        <v>17.2</v>
      </c>
      <c r="F8" s="20">
        <v>1039000</v>
      </c>
      <c r="G8" s="371">
        <v>18.5</v>
      </c>
    </row>
    <row r="9" spans="1:21" ht="12.75" customHeight="1">
      <c r="B9" s="275" t="s">
        <v>340</v>
      </c>
      <c r="C9" s="343"/>
      <c r="D9" s="39">
        <v>487000</v>
      </c>
      <c r="E9" s="371">
        <v>12.3</v>
      </c>
      <c r="F9" s="20">
        <v>585000</v>
      </c>
      <c r="G9" s="371">
        <v>10.4</v>
      </c>
    </row>
    <row r="10" spans="1:21" ht="12.75" customHeight="1">
      <c r="C10" s="343" t="s">
        <v>341</v>
      </c>
      <c r="D10" s="39">
        <v>182000</v>
      </c>
      <c r="E10" s="371">
        <v>4.5999999999999996</v>
      </c>
      <c r="F10" s="20">
        <v>237000</v>
      </c>
      <c r="G10" s="371">
        <v>4.2</v>
      </c>
    </row>
    <row r="11" spans="1:21" ht="12.75" customHeight="1">
      <c r="C11" s="343" t="s">
        <v>342</v>
      </c>
      <c r="D11" s="39">
        <v>91000</v>
      </c>
      <c r="E11" s="371">
        <v>2.2999999999999998</v>
      </c>
      <c r="F11" s="20">
        <v>134000</v>
      </c>
      <c r="G11" s="371">
        <v>2.4</v>
      </c>
    </row>
    <row r="12" spans="1:21" ht="12.75" customHeight="1">
      <c r="C12" s="343" t="s">
        <v>343</v>
      </c>
      <c r="D12" s="39">
        <v>104000</v>
      </c>
      <c r="E12" s="371">
        <v>2.6</v>
      </c>
      <c r="F12" s="20">
        <v>103000</v>
      </c>
      <c r="G12" s="371">
        <v>1.8</v>
      </c>
      <c r="U12" s="821"/>
    </row>
    <row r="13" spans="1:21">
      <c r="C13" s="343" t="s">
        <v>344</v>
      </c>
      <c r="D13" s="39">
        <v>29000</v>
      </c>
      <c r="E13" s="371">
        <v>0.7</v>
      </c>
      <c r="F13" s="20">
        <v>35000</v>
      </c>
      <c r="G13" s="371">
        <v>0.6</v>
      </c>
      <c r="U13" s="822"/>
    </row>
    <row r="14" spans="1:21" ht="12.75" customHeight="1">
      <c r="C14" s="343" t="s">
        <v>453</v>
      </c>
      <c r="D14" s="39">
        <v>81000</v>
      </c>
      <c r="E14" s="371">
        <v>2.1</v>
      </c>
      <c r="F14" s="20">
        <v>76000</v>
      </c>
      <c r="G14" s="371">
        <v>1.3</v>
      </c>
      <c r="U14" s="822"/>
    </row>
    <row r="15" spans="1:21" ht="12.75" customHeight="1">
      <c r="B15" s="275" t="s">
        <v>345</v>
      </c>
      <c r="C15" s="343"/>
      <c r="D15" s="39">
        <v>1914000</v>
      </c>
      <c r="E15" s="371">
        <v>48.5</v>
      </c>
      <c r="F15" s="20">
        <v>2816000</v>
      </c>
      <c r="G15" s="371">
        <v>50.1</v>
      </c>
      <c r="U15" s="822"/>
    </row>
    <row r="16" spans="1:21" ht="12.75" customHeight="1">
      <c r="C16" s="343" t="s">
        <v>346</v>
      </c>
      <c r="D16" s="39">
        <v>1248000</v>
      </c>
      <c r="E16" s="371">
        <v>31.6</v>
      </c>
      <c r="F16" s="20">
        <v>1880000</v>
      </c>
      <c r="G16" s="371">
        <v>33.4</v>
      </c>
      <c r="U16" s="822"/>
    </row>
    <row r="17" spans="1:22" ht="12.75" customHeight="1">
      <c r="C17" s="343" t="s">
        <v>347</v>
      </c>
      <c r="D17" s="39">
        <v>266000</v>
      </c>
      <c r="E17" s="371">
        <v>6.7</v>
      </c>
      <c r="F17" s="20">
        <v>481000</v>
      </c>
      <c r="G17" s="371">
        <v>8.6</v>
      </c>
    </row>
    <row r="18" spans="1:22" ht="12.75" customHeight="1">
      <c r="C18" s="343" t="s">
        <v>348</v>
      </c>
      <c r="D18" s="39">
        <v>142000</v>
      </c>
      <c r="E18" s="371">
        <v>3.6</v>
      </c>
      <c r="F18" s="20">
        <v>171000</v>
      </c>
      <c r="G18" s="371">
        <v>3</v>
      </c>
      <c r="P18" s="822"/>
    </row>
    <row r="19" spans="1:22" ht="15.75">
      <c r="C19" s="343" t="s">
        <v>454</v>
      </c>
      <c r="D19" s="39">
        <v>258000</v>
      </c>
      <c r="E19" s="371">
        <v>6.5</v>
      </c>
      <c r="F19" s="20">
        <v>285000</v>
      </c>
      <c r="G19" s="371">
        <v>5.0999999999999996</v>
      </c>
      <c r="P19" s="822"/>
      <c r="S19" s="822"/>
      <c r="T19" s="822"/>
      <c r="U19" s="822"/>
      <c r="V19" s="822"/>
    </row>
    <row r="20" spans="1:22" ht="12.75" customHeight="1">
      <c r="B20" s="275" t="s">
        <v>349</v>
      </c>
      <c r="C20" s="343"/>
      <c r="D20" s="39">
        <v>395000</v>
      </c>
      <c r="E20" s="371">
        <v>10</v>
      </c>
      <c r="F20" s="20">
        <v>590000</v>
      </c>
      <c r="G20" s="371">
        <v>10.5</v>
      </c>
      <c r="P20" s="822"/>
    </row>
    <row r="21" spans="1:22" ht="12.75" customHeight="1">
      <c r="C21" s="343"/>
      <c r="D21" s="342"/>
      <c r="E21" s="343"/>
      <c r="F21" s="278"/>
      <c r="G21" s="823"/>
      <c r="P21" s="822"/>
    </row>
    <row r="22" spans="1:22" ht="12.75" customHeight="1">
      <c r="A22" s="281" t="s">
        <v>350</v>
      </c>
      <c r="C22" s="343"/>
      <c r="D22" s="39">
        <v>515000</v>
      </c>
      <c r="E22" s="824">
        <f>100*D22/3948000</f>
        <v>13.044579533941237</v>
      </c>
      <c r="F22" s="20">
        <v>760000</v>
      </c>
      <c r="G22" s="824">
        <f>100*F22/5623000</f>
        <v>13.515916770407255</v>
      </c>
    </row>
    <row r="23" spans="1:22">
      <c r="B23" s="275" t="s">
        <v>1246</v>
      </c>
      <c r="C23" s="343"/>
      <c r="D23" s="39">
        <v>399000</v>
      </c>
      <c r="E23" s="824">
        <f t="shared" ref="E23:E30" si="0">100*D23/3948000</f>
        <v>10.106382978723405</v>
      </c>
      <c r="F23" s="20">
        <v>572000</v>
      </c>
      <c r="G23" s="824">
        <f t="shared" ref="G23:G30" si="1">100*F23/5623000</f>
        <v>10.172505779832829</v>
      </c>
      <c r="N23" s="822"/>
    </row>
    <row r="24" spans="1:22">
      <c r="C24" s="343" t="s">
        <v>346</v>
      </c>
      <c r="D24" s="39">
        <v>341000</v>
      </c>
      <c r="E24" s="824">
        <f t="shared" si="0"/>
        <v>8.6372847011144884</v>
      </c>
      <c r="F24" s="20">
        <v>486000</v>
      </c>
      <c r="G24" s="824">
        <f t="shared" si="1"/>
        <v>8.6430730926551664</v>
      </c>
      <c r="N24" s="822"/>
      <c r="Q24" s="822"/>
      <c r="R24" s="822"/>
      <c r="S24" s="822"/>
      <c r="T24" s="822"/>
    </row>
    <row r="25" spans="1:22" ht="12.75" customHeight="1">
      <c r="C25" s="343" t="s">
        <v>347</v>
      </c>
      <c r="D25" s="39">
        <v>58000</v>
      </c>
      <c r="E25" s="824">
        <f t="shared" si="0"/>
        <v>1.4690982776089159</v>
      </c>
      <c r="F25" s="20">
        <v>86000</v>
      </c>
      <c r="G25" s="824">
        <f t="shared" si="1"/>
        <v>1.5294326871776631</v>
      </c>
      <c r="N25" s="822"/>
    </row>
    <row r="26" spans="1:22" ht="12.75" customHeight="1">
      <c r="B26" s="275" t="s">
        <v>351</v>
      </c>
      <c r="C26" s="343"/>
      <c r="D26" s="39">
        <v>29000</v>
      </c>
      <c r="E26" s="824">
        <f t="shared" si="0"/>
        <v>0.73454913880445794</v>
      </c>
      <c r="F26" s="20">
        <v>68000</v>
      </c>
      <c r="G26" s="824">
        <f t="shared" si="1"/>
        <v>1.2093188689311756</v>
      </c>
    </row>
    <row r="27" spans="1:22" ht="12.75" customHeight="1">
      <c r="B27" s="275" t="s">
        <v>455</v>
      </c>
      <c r="C27" s="343"/>
      <c r="D27" s="39">
        <v>16000</v>
      </c>
      <c r="E27" s="824">
        <f t="shared" si="0"/>
        <v>0.40526849037487334</v>
      </c>
      <c r="F27" s="20">
        <v>26000</v>
      </c>
      <c r="G27" s="824">
        <f t="shared" si="1"/>
        <v>0.46238662635603772</v>
      </c>
    </row>
    <row r="28" spans="1:22" ht="12.75" customHeight="1">
      <c r="B28" s="275" t="s">
        <v>352</v>
      </c>
      <c r="C28" s="343"/>
      <c r="D28" s="39">
        <v>17000</v>
      </c>
      <c r="E28" s="824">
        <f t="shared" si="0"/>
        <v>0.43059777102330293</v>
      </c>
      <c r="F28" s="20">
        <v>20000</v>
      </c>
      <c r="G28" s="824">
        <f t="shared" si="1"/>
        <v>0.35568202027387513</v>
      </c>
    </row>
    <row r="29" spans="1:22" ht="12.75" customHeight="1">
      <c r="B29" s="275" t="s">
        <v>353</v>
      </c>
      <c r="C29" s="343"/>
      <c r="D29" s="39">
        <v>33000</v>
      </c>
      <c r="E29" s="824">
        <f t="shared" si="0"/>
        <v>0.83586626139817632</v>
      </c>
      <c r="F29" s="20">
        <v>46000</v>
      </c>
      <c r="G29" s="824">
        <f t="shared" si="1"/>
        <v>0.81806864662991285</v>
      </c>
      <c r="N29" s="822"/>
      <c r="O29" s="822" t="s">
        <v>354</v>
      </c>
      <c r="P29" s="822" t="s">
        <v>355</v>
      </c>
      <c r="S29" s="822"/>
      <c r="T29" s="822" t="s">
        <v>354</v>
      </c>
      <c r="U29" s="822" t="s">
        <v>355</v>
      </c>
    </row>
    <row r="30" spans="1:22" ht="12.75" customHeight="1">
      <c r="B30" s="275" t="s">
        <v>356</v>
      </c>
      <c r="C30" s="343"/>
      <c r="D30" s="39">
        <v>21000</v>
      </c>
      <c r="E30" s="824">
        <f t="shared" si="0"/>
        <v>0.53191489361702127</v>
      </c>
      <c r="F30" s="20">
        <v>28000</v>
      </c>
      <c r="G30" s="824">
        <f t="shared" si="1"/>
        <v>0.4979548283834252</v>
      </c>
      <c r="N30" s="275" t="s">
        <v>1246</v>
      </c>
      <c r="P30" s="821">
        <f>G23</f>
        <v>10.172505779832829</v>
      </c>
      <c r="S30" s="275" t="s">
        <v>1246</v>
      </c>
    </row>
    <row r="31" spans="1:22" ht="12.75" customHeight="1">
      <c r="C31" s="343"/>
      <c r="D31" s="342"/>
      <c r="E31" s="825"/>
      <c r="F31" s="278"/>
      <c r="G31" s="824"/>
      <c r="N31" s="275" t="s">
        <v>357</v>
      </c>
      <c r="P31" s="821">
        <f>SUM(G26:G30)</f>
        <v>3.3434109905744265</v>
      </c>
      <c r="S31" s="275" t="s">
        <v>357</v>
      </c>
    </row>
    <row r="32" spans="1:22">
      <c r="A32" s="281" t="s">
        <v>358</v>
      </c>
      <c r="C32" s="343"/>
      <c r="D32" s="344">
        <v>3432000</v>
      </c>
      <c r="E32" s="824">
        <f>D32/D5*100</f>
        <v>86.930091185410333</v>
      </c>
      <c r="F32" s="278">
        <v>4862000</v>
      </c>
      <c r="G32" s="824">
        <f>F32/F5*100</f>
        <v>86.466299128579053</v>
      </c>
      <c r="N32" s="275" t="s">
        <v>359</v>
      </c>
      <c r="O32" s="276">
        <f>G6</f>
        <v>29</v>
      </c>
      <c r="S32" s="275" t="s">
        <v>359</v>
      </c>
      <c r="T32" s="822"/>
    </row>
    <row r="33" spans="1:20" ht="12.75" customHeight="1">
      <c r="N33" s="275" t="s">
        <v>360</v>
      </c>
      <c r="O33" s="276">
        <f>G9</f>
        <v>10.4</v>
      </c>
      <c r="S33" s="275" t="s">
        <v>360</v>
      </c>
      <c r="T33" s="822"/>
    </row>
    <row r="34" spans="1:20" ht="26.25" customHeight="1">
      <c r="A34" s="1287" t="s">
        <v>461</v>
      </c>
      <c r="B34" s="1287"/>
      <c r="C34" s="1287"/>
      <c r="D34" s="1287"/>
      <c r="E34" s="1287"/>
      <c r="F34" s="1287"/>
      <c r="G34" s="1287"/>
      <c r="H34" s="1287"/>
      <c r="I34" s="1287"/>
      <c r="N34" s="275" t="s">
        <v>462</v>
      </c>
      <c r="O34" s="276">
        <f>G16</f>
        <v>33.4</v>
      </c>
      <c r="S34" s="275" t="s">
        <v>462</v>
      </c>
      <c r="T34" s="822"/>
    </row>
    <row r="35" spans="1:20" ht="24" customHeight="1">
      <c r="A35" s="1287" t="s">
        <v>1279</v>
      </c>
      <c r="B35" s="1287"/>
      <c r="C35" s="1287"/>
      <c r="D35" s="1287"/>
      <c r="E35" s="1287"/>
      <c r="F35" s="1287"/>
      <c r="G35" s="1287"/>
      <c r="H35" s="1287"/>
      <c r="I35" s="1287"/>
      <c r="N35" s="275" t="s">
        <v>463</v>
      </c>
      <c r="O35" s="276">
        <f>SUM(G17:G19)</f>
        <v>16.7</v>
      </c>
      <c r="S35" s="275" t="s">
        <v>463</v>
      </c>
      <c r="T35" s="822"/>
    </row>
    <row r="36" spans="1:20" ht="24" customHeight="1">
      <c r="A36" s="1287" t="s">
        <v>464</v>
      </c>
      <c r="B36" s="1287"/>
      <c r="C36" s="1287"/>
      <c r="D36" s="1287"/>
      <c r="E36" s="1287"/>
      <c r="F36" s="1287"/>
      <c r="G36" s="1287"/>
      <c r="H36" s="1287"/>
      <c r="I36" s="1287"/>
      <c r="N36" s="275" t="s">
        <v>349</v>
      </c>
      <c r="O36" s="276">
        <f>G20</f>
        <v>10.5</v>
      </c>
      <c r="S36" s="275" t="s">
        <v>349</v>
      </c>
      <c r="T36" s="822"/>
    </row>
    <row r="37" spans="1:20" ht="12.75" customHeight="1">
      <c r="A37" s="1287" t="s">
        <v>465</v>
      </c>
      <c r="B37" s="1287"/>
      <c r="C37" s="1287"/>
      <c r="D37" s="1287"/>
      <c r="E37" s="1287"/>
      <c r="F37" s="1287"/>
      <c r="G37" s="1287"/>
      <c r="H37" s="1287"/>
      <c r="I37" s="1287"/>
    </row>
    <row r="38" spans="1:20" ht="24.75" customHeight="1">
      <c r="A38" s="1287" t="s">
        <v>1046</v>
      </c>
      <c r="B38" s="1287"/>
      <c r="C38" s="1287"/>
      <c r="D38" s="1287"/>
      <c r="E38" s="1287"/>
      <c r="F38" s="1287"/>
      <c r="G38" s="1287"/>
      <c r="H38" s="1287"/>
      <c r="I38" s="1287"/>
      <c r="O38" s="821">
        <f>SUM(O32:O37)</f>
        <v>100</v>
      </c>
    </row>
    <row r="39" spans="1:20" ht="12.75" customHeight="1">
      <c r="A39" s="1287" t="s">
        <v>1047</v>
      </c>
      <c r="B39" s="1287"/>
      <c r="C39" s="1287"/>
      <c r="D39" s="1287"/>
      <c r="E39" s="1287"/>
      <c r="F39" s="1287"/>
      <c r="G39" s="1287"/>
      <c r="H39" s="1287"/>
      <c r="I39" s="1287"/>
    </row>
    <row r="40" spans="1:20" ht="21.75" customHeight="1">
      <c r="A40" s="1287" t="s">
        <v>1048</v>
      </c>
      <c r="B40" s="1287"/>
      <c r="C40" s="1287"/>
      <c r="D40" s="1287"/>
      <c r="E40" s="1287"/>
      <c r="F40" s="1287"/>
      <c r="G40" s="1287"/>
      <c r="H40" s="1287"/>
      <c r="I40" s="1287"/>
    </row>
    <row r="41" spans="1:20" ht="24" customHeight="1">
      <c r="A41" s="1288" t="s">
        <v>1769</v>
      </c>
      <c r="B41" s="1188"/>
      <c r="C41" s="1188"/>
      <c r="D41" s="1188"/>
      <c r="E41" s="1188"/>
      <c r="F41" s="1188"/>
      <c r="G41" s="1188"/>
      <c r="H41" s="1188"/>
      <c r="I41" s="1188"/>
    </row>
  </sheetData>
  <mergeCells count="10">
    <mergeCell ref="A37:I37"/>
    <mergeCell ref="A41:I41"/>
    <mergeCell ref="A38:I38"/>
    <mergeCell ref="A39:I39"/>
    <mergeCell ref="A40:I40"/>
    <mergeCell ref="F3:G3"/>
    <mergeCell ref="D3:E3"/>
    <mergeCell ref="A34:I34"/>
    <mergeCell ref="A35:I35"/>
    <mergeCell ref="A36:I36"/>
  </mergeCells>
  <phoneticPr fontId="36" type="noConversion"/>
  <pageMargins left="0.75" right="0.75" top="1" bottom="1" header="0.5" footer="0.5"/>
  <pageSetup scale="80" orientation="portrait" verticalDpi="0" r:id="rId1"/>
  <headerFooter alignWithMargins="0"/>
</worksheet>
</file>

<file path=xl/worksheets/sheet176.xml><?xml version="1.0" encoding="utf-8"?>
<worksheet xmlns="http://schemas.openxmlformats.org/spreadsheetml/2006/main" xmlns:r="http://schemas.openxmlformats.org/officeDocument/2006/relationships">
  <sheetPr codeName="Sheet156">
    <pageSetUpPr fitToPage="1"/>
  </sheetPr>
  <dimension ref="A1:K42"/>
  <sheetViews>
    <sheetView view="pageBreakPreview" zoomScaleSheetLayoutView="100" workbookViewId="0">
      <selection activeCell="H62" sqref="H62"/>
    </sheetView>
  </sheetViews>
  <sheetFormatPr defaultColWidth="8" defaultRowHeight="12.75"/>
  <cols>
    <col min="1" max="1" width="2.85546875" style="275" customWidth="1"/>
    <col min="2" max="2" width="2.42578125" style="275" customWidth="1"/>
    <col min="3" max="3" width="39.28515625" style="275" customWidth="1"/>
    <col min="4" max="4" width="14.42578125" style="275" customWidth="1"/>
    <col min="5" max="9" width="14" style="275" customWidth="1"/>
    <col min="10" max="10" width="8" style="275" customWidth="1"/>
    <col min="11" max="11" width="9.5703125" style="275" customWidth="1"/>
    <col min="12" max="16384" width="8" style="275"/>
  </cols>
  <sheetData>
    <row r="1" spans="1:9" ht="15.75">
      <c r="A1" s="339" t="s">
        <v>2227</v>
      </c>
    </row>
    <row r="2" spans="1:9" ht="15.75">
      <c r="A2" s="339"/>
    </row>
    <row r="3" spans="1:9">
      <c r="C3" s="343"/>
      <c r="D3" s="1285">
        <v>1999</v>
      </c>
      <c r="E3" s="1280"/>
      <c r="F3" s="1286"/>
      <c r="G3" s="1285">
        <v>2005</v>
      </c>
      <c r="H3" s="1280"/>
      <c r="I3" s="1286"/>
    </row>
    <row r="4" spans="1:9" ht="38.25">
      <c r="C4" s="343"/>
      <c r="D4" s="279" t="s">
        <v>1049</v>
      </c>
      <c r="E4" s="280" t="s">
        <v>1278</v>
      </c>
      <c r="F4" s="820" t="s">
        <v>1277</v>
      </c>
      <c r="G4" s="280" t="s">
        <v>1049</v>
      </c>
      <c r="H4" s="280" t="s">
        <v>1278</v>
      </c>
      <c r="I4" s="820" t="s">
        <v>1277</v>
      </c>
    </row>
    <row r="5" spans="1:9">
      <c r="A5" s="281" t="s">
        <v>339</v>
      </c>
      <c r="C5" s="343"/>
      <c r="D5" s="11">
        <v>100</v>
      </c>
      <c r="E5" s="39">
        <v>184600</v>
      </c>
      <c r="F5" s="355">
        <v>323200</v>
      </c>
      <c r="G5" s="10">
        <v>100</v>
      </c>
      <c r="H5" s="19">
        <v>229900</v>
      </c>
      <c r="I5" s="355">
        <v>421200</v>
      </c>
    </row>
    <row r="6" spans="1:9" ht="15.75">
      <c r="B6" s="275" t="s">
        <v>456</v>
      </c>
      <c r="C6" s="343"/>
      <c r="D6" s="11">
        <v>69.7</v>
      </c>
      <c r="E6" s="39">
        <v>57600</v>
      </c>
      <c r="F6" s="355">
        <v>135300</v>
      </c>
      <c r="G6" s="10">
        <v>70.599999999999994</v>
      </c>
      <c r="H6" s="19">
        <v>68000</v>
      </c>
      <c r="I6" s="355">
        <v>173300</v>
      </c>
    </row>
    <row r="7" spans="1:9" ht="12.75" customHeight="1">
      <c r="C7" s="343" t="s">
        <v>1275</v>
      </c>
      <c r="D7" s="11">
        <v>58.9</v>
      </c>
      <c r="E7" s="39">
        <v>23000</v>
      </c>
      <c r="F7" s="355">
        <v>65500</v>
      </c>
      <c r="G7" s="10">
        <v>58</v>
      </c>
      <c r="H7" s="19">
        <v>30000</v>
      </c>
      <c r="I7" s="355">
        <v>76600</v>
      </c>
    </row>
    <row r="8" spans="1:9" ht="12.75" customHeight="1">
      <c r="C8" s="343" t="s">
        <v>457</v>
      </c>
      <c r="D8" s="11">
        <v>45.9</v>
      </c>
      <c r="E8" s="39">
        <v>56200</v>
      </c>
      <c r="F8" s="355">
        <v>121200</v>
      </c>
      <c r="G8" s="10">
        <v>48.6</v>
      </c>
      <c r="H8" s="19">
        <v>68300</v>
      </c>
      <c r="I8" s="355">
        <v>160000</v>
      </c>
    </row>
    <row r="9" spans="1:9" ht="12.75" customHeight="1">
      <c r="B9" s="275" t="s">
        <v>340</v>
      </c>
      <c r="C9" s="343"/>
      <c r="D9" s="11">
        <v>89.8</v>
      </c>
      <c r="E9" s="39">
        <v>5300</v>
      </c>
      <c r="F9" s="355">
        <v>44400</v>
      </c>
      <c r="G9" s="10">
        <v>89.4</v>
      </c>
      <c r="H9" s="19">
        <v>6100</v>
      </c>
      <c r="I9" s="355">
        <v>49000</v>
      </c>
    </row>
    <row r="10" spans="1:9" ht="12.75" customHeight="1">
      <c r="C10" s="343" t="s">
        <v>341</v>
      </c>
      <c r="D10" s="11">
        <v>87.5</v>
      </c>
      <c r="E10" s="39">
        <v>2900</v>
      </c>
      <c r="F10" s="355">
        <v>17100</v>
      </c>
      <c r="G10" s="10">
        <v>87</v>
      </c>
      <c r="H10" s="19">
        <v>3600</v>
      </c>
      <c r="I10" s="355">
        <v>20400</v>
      </c>
    </row>
    <row r="11" spans="1:9" ht="12.75" customHeight="1">
      <c r="C11" s="343" t="s">
        <v>1276</v>
      </c>
      <c r="D11" s="11">
        <v>14</v>
      </c>
      <c r="E11" s="39">
        <v>15000</v>
      </c>
      <c r="F11" s="355">
        <v>53100</v>
      </c>
      <c r="G11" s="10">
        <v>12.3</v>
      </c>
      <c r="H11" s="19">
        <v>24200</v>
      </c>
      <c r="I11" s="355">
        <v>81500</v>
      </c>
    </row>
    <row r="12" spans="1:9" ht="12.75" customHeight="1">
      <c r="C12" s="343" t="s">
        <v>343</v>
      </c>
      <c r="D12" s="11">
        <v>9.9</v>
      </c>
      <c r="E12" s="39">
        <v>10400</v>
      </c>
      <c r="F12" s="355">
        <v>85900</v>
      </c>
      <c r="G12" s="10">
        <v>9.9</v>
      </c>
      <c r="H12" s="19">
        <v>11600</v>
      </c>
      <c r="I12" s="355">
        <v>78000</v>
      </c>
    </row>
    <row r="13" spans="1:9">
      <c r="C13" s="343" t="s">
        <v>344</v>
      </c>
      <c r="D13" s="11">
        <v>14</v>
      </c>
      <c r="E13" s="39">
        <v>2900</v>
      </c>
      <c r="F13" s="355">
        <v>17000</v>
      </c>
      <c r="G13" s="10">
        <v>10.4</v>
      </c>
      <c r="H13" s="19">
        <v>2500</v>
      </c>
      <c r="I13" s="355">
        <v>24800</v>
      </c>
    </row>
    <row r="14" spans="1:9" ht="12.75" customHeight="1">
      <c r="C14" s="343" t="s">
        <v>458</v>
      </c>
      <c r="D14" s="11">
        <v>13.2</v>
      </c>
      <c r="E14" s="39">
        <v>5500</v>
      </c>
      <c r="F14" s="355">
        <v>50400</v>
      </c>
      <c r="G14" s="10">
        <v>17.5</v>
      </c>
      <c r="H14" s="19">
        <v>6000</v>
      </c>
      <c r="I14" s="355">
        <v>32600</v>
      </c>
    </row>
    <row r="15" spans="1:9" ht="12.75" customHeight="1">
      <c r="B15" s="275" t="s">
        <v>345</v>
      </c>
      <c r="C15" s="343"/>
      <c r="D15" s="11">
        <v>100</v>
      </c>
      <c r="E15" s="39">
        <v>115200</v>
      </c>
      <c r="F15" s="355">
        <v>156700</v>
      </c>
      <c r="G15" s="10">
        <v>100</v>
      </c>
      <c r="H15" s="19">
        <v>141700</v>
      </c>
      <c r="I15" s="355">
        <v>211000</v>
      </c>
    </row>
    <row r="16" spans="1:9" ht="12.75" customHeight="1">
      <c r="C16" s="343" t="s">
        <v>346</v>
      </c>
      <c r="D16" s="11">
        <v>59.6</v>
      </c>
      <c r="E16" s="39">
        <v>144000</v>
      </c>
      <c r="F16" s="355">
        <v>171500</v>
      </c>
      <c r="G16" s="10">
        <v>61.9</v>
      </c>
      <c r="H16" s="19">
        <v>180000</v>
      </c>
      <c r="I16" s="355">
        <v>227400</v>
      </c>
    </row>
    <row r="17" spans="1:11" ht="12.75" customHeight="1">
      <c r="C17" s="343" t="s">
        <v>347</v>
      </c>
      <c r="D17" s="11">
        <v>16.3</v>
      </c>
      <c r="E17" s="39">
        <v>72600</v>
      </c>
      <c r="F17" s="355">
        <v>134100</v>
      </c>
      <c r="G17" s="10">
        <v>16.100000000000001</v>
      </c>
      <c r="H17" s="19">
        <v>85000</v>
      </c>
      <c r="I17" s="355">
        <v>224400</v>
      </c>
    </row>
    <row r="18" spans="1:11" ht="12.75" customHeight="1">
      <c r="C18" s="343" t="s">
        <v>348</v>
      </c>
      <c r="D18" s="11">
        <v>76.5</v>
      </c>
      <c r="E18" s="39">
        <v>10400</v>
      </c>
      <c r="F18" s="355">
        <v>15200</v>
      </c>
      <c r="G18" s="10">
        <v>75.400000000000006</v>
      </c>
      <c r="H18" s="19">
        <v>11500</v>
      </c>
      <c r="I18" s="355">
        <v>17000</v>
      </c>
    </row>
    <row r="19" spans="1:11" ht="15.75">
      <c r="C19" s="343" t="s">
        <v>459</v>
      </c>
      <c r="D19" s="11">
        <v>100</v>
      </c>
      <c r="E19" s="39">
        <v>11500</v>
      </c>
      <c r="F19" s="355">
        <v>21100</v>
      </c>
      <c r="G19" s="10">
        <v>100</v>
      </c>
      <c r="H19" s="19">
        <v>10000</v>
      </c>
      <c r="I19" s="355">
        <v>21300</v>
      </c>
    </row>
    <row r="20" spans="1:11" ht="12.75" customHeight="1">
      <c r="B20" s="275" t="s">
        <v>349</v>
      </c>
      <c r="C20" s="343"/>
      <c r="D20" s="11">
        <v>19</v>
      </c>
      <c r="E20" s="39">
        <v>10400</v>
      </c>
      <c r="F20" s="355">
        <v>169800</v>
      </c>
      <c r="G20" s="10">
        <v>16.600000000000001</v>
      </c>
      <c r="H20" s="19">
        <v>15800</v>
      </c>
      <c r="I20" s="355">
        <v>265600</v>
      </c>
    </row>
    <row r="21" spans="1:11" ht="12.75" customHeight="1">
      <c r="C21" s="343"/>
      <c r="D21" s="850"/>
      <c r="E21" s="851"/>
      <c r="F21" s="852"/>
      <c r="I21" s="343"/>
    </row>
    <row r="22" spans="1:11" ht="12.75" customHeight="1">
      <c r="A22" s="281" t="s">
        <v>350</v>
      </c>
      <c r="C22" s="343"/>
      <c r="D22" s="11">
        <v>67.3</v>
      </c>
      <c r="E22" s="39">
        <v>32300</v>
      </c>
      <c r="F22" s="355">
        <v>62700</v>
      </c>
      <c r="G22" s="10">
        <v>69.400000000000006</v>
      </c>
      <c r="H22" s="19">
        <v>44500</v>
      </c>
      <c r="I22" s="355">
        <v>82100</v>
      </c>
    </row>
    <row r="23" spans="1:11">
      <c r="B23" s="275" t="s">
        <v>1246</v>
      </c>
      <c r="C23" s="343"/>
      <c r="D23" s="11">
        <v>34.299999999999997</v>
      </c>
      <c r="E23" s="39">
        <v>79500</v>
      </c>
      <c r="F23" s="355">
        <v>95200</v>
      </c>
      <c r="G23" s="10">
        <v>36.5</v>
      </c>
      <c r="H23" s="19">
        <v>93000</v>
      </c>
      <c r="I23" s="355">
        <v>117500</v>
      </c>
    </row>
    <row r="24" spans="1:11">
      <c r="C24" s="343" t="s">
        <v>346</v>
      </c>
      <c r="D24" s="11">
        <v>32</v>
      </c>
      <c r="E24" s="39">
        <v>76600</v>
      </c>
      <c r="F24" s="355">
        <v>87300</v>
      </c>
      <c r="G24" s="10">
        <v>34.1</v>
      </c>
      <c r="H24" s="19">
        <v>90000</v>
      </c>
      <c r="I24" s="355">
        <v>106700</v>
      </c>
    </row>
    <row r="25" spans="1:11" ht="12.75" customHeight="1">
      <c r="C25" s="343" t="s">
        <v>347</v>
      </c>
      <c r="D25" s="11">
        <v>4.5999999999999996</v>
      </c>
      <c r="E25" s="39">
        <v>69100</v>
      </c>
      <c r="F25" s="355">
        <v>102100</v>
      </c>
      <c r="G25" s="10">
        <v>4.7</v>
      </c>
      <c r="H25" s="19">
        <v>90000</v>
      </c>
      <c r="I25" s="355">
        <v>137900</v>
      </c>
    </row>
    <row r="26" spans="1:11" ht="12.75" customHeight="1">
      <c r="B26" s="275" t="s">
        <v>351</v>
      </c>
      <c r="C26" s="343"/>
      <c r="D26" s="11">
        <v>15.4</v>
      </c>
      <c r="E26" s="39">
        <v>5800</v>
      </c>
      <c r="F26" s="355">
        <v>15500</v>
      </c>
      <c r="G26" s="10">
        <v>24.9</v>
      </c>
      <c r="H26" s="19">
        <v>9000</v>
      </c>
      <c r="I26" s="355">
        <v>20500</v>
      </c>
    </row>
    <row r="27" spans="1:11" ht="12.75" customHeight="1">
      <c r="B27" s="275" t="s">
        <v>460</v>
      </c>
      <c r="C27" s="343"/>
      <c r="D27" s="11">
        <v>38</v>
      </c>
      <c r="E27" s="39">
        <v>2100</v>
      </c>
      <c r="F27" s="355">
        <v>3500</v>
      </c>
      <c r="G27" s="10">
        <v>39.299999999999997</v>
      </c>
      <c r="H27" s="19">
        <v>2400</v>
      </c>
      <c r="I27" s="355">
        <v>4900</v>
      </c>
    </row>
    <row r="28" spans="1:11" ht="12.75" customHeight="1">
      <c r="B28" s="275" t="s">
        <v>352</v>
      </c>
      <c r="C28" s="343"/>
      <c r="D28" s="11">
        <v>11.7</v>
      </c>
      <c r="E28" s="39">
        <v>8300</v>
      </c>
      <c r="F28" s="355">
        <v>12000</v>
      </c>
      <c r="G28" s="10">
        <v>11.8</v>
      </c>
      <c r="H28" s="19">
        <v>9000</v>
      </c>
      <c r="I28" s="355">
        <v>12700</v>
      </c>
    </row>
    <row r="29" spans="1:11" ht="12.75" customHeight="1">
      <c r="B29" s="275" t="s">
        <v>353</v>
      </c>
      <c r="C29" s="343"/>
      <c r="D29" s="11">
        <v>20.8</v>
      </c>
      <c r="E29" s="39">
        <v>10400</v>
      </c>
      <c r="F29" s="355">
        <v>12800</v>
      </c>
      <c r="G29" s="10">
        <v>25.8</v>
      </c>
      <c r="H29" s="19">
        <v>11000</v>
      </c>
      <c r="I29" s="355">
        <v>13400</v>
      </c>
    </row>
    <row r="30" spans="1:11" ht="12.75" customHeight="1">
      <c r="B30" s="275" t="s">
        <v>356</v>
      </c>
      <c r="C30" s="343"/>
      <c r="D30" s="11">
        <v>16.2</v>
      </c>
      <c r="E30" s="39">
        <v>4600</v>
      </c>
      <c r="F30" s="355">
        <v>10700</v>
      </c>
      <c r="G30" s="10">
        <v>14.1</v>
      </c>
      <c r="H30" s="19">
        <v>6000</v>
      </c>
      <c r="I30" s="355">
        <v>14900</v>
      </c>
    </row>
    <row r="31" spans="1:11" ht="12.75" customHeight="1">
      <c r="C31" s="343"/>
      <c r="D31" s="850"/>
      <c r="E31" s="851"/>
      <c r="F31" s="852"/>
      <c r="I31" s="343"/>
    </row>
    <row r="32" spans="1:11">
      <c r="A32" s="281" t="s">
        <v>358</v>
      </c>
      <c r="C32" s="343"/>
      <c r="D32" s="278">
        <v>100</v>
      </c>
      <c r="E32" s="670">
        <v>120500</v>
      </c>
      <c r="F32" s="852">
        <v>281000</v>
      </c>
      <c r="G32" s="822"/>
      <c r="H32" s="822">
        <v>148400</v>
      </c>
      <c r="I32" s="823">
        <v>364300</v>
      </c>
      <c r="J32" s="491">
        <f>100*(H32-E32)/E32</f>
        <v>23.153526970954356</v>
      </c>
      <c r="K32" s="491">
        <f>100*(I32-F32)/F32</f>
        <v>29.644128113879002</v>
      </c>
    </row>
    <row r="33" spans="1:9" ht="12.75" customHeight="1"/>
    <row r="34" spans="1:9" ht="12.75" customHeight="1">
      <c r="A34" s="1289" t="s">
        <v>1050</v>
      </c>
      <c r="B34" s="1289"/>
      <c r="C34" s="1289"/>
      <c r="D34" s="1289"/>
      <c r="E34" s="1289"/>
      <c r="F34" s="1289"/>
      <c r="G34" s="1289"/>
      <c r="H34" s="1289"/>
      <c r="I34" s="1289"/>
    </row>
    <row r="35" spans="1:9" ht="39" customHeight="1">
      <c r="A35" s="1168" t="s">
        <v>189</v>
      </c>
      <c r="B35" s="1168"/>
      <c r="C35" s="1168"/>
      <c r="D35" s="1168"/>
      <c r="E35" s="1168"/>
      <c r="F35" s="1168"/>
      <c r="G35" s="1168"/>
      <c r="H35" s="1168"/>
      <c r="I35" s="1168"/>
    </row>
    <row r="36" spans="1:9" ht="26.25" customHeight="1">
      <c r="A36" s="1168" t="s">
        <v>1280</v>
      </c>
      <c r="B36" s="1168"/>
      <c r="C36" s="1168"/>
      <c r="D36" s="1168"/>
      <c r="E36" s="1168"/>
      <c r="F36" s="1168"/>
      <c r="G36" s="1168"/>
      <c r="H36" s="1168"/>
      <c r="I36" s="1168"/>
    </row>
    <row r="37" spans="1:9" ht="35.25" customHeight="1">
      <c r="A37" s="1168" t="s">
        <v>190</v>
      </c>
      <c r="B37" s="1168"/>
      <c r="C37" s="1168"/>
      <c r="D37" s="1168"/>
      <c r="E37" s="1168"/>
      <c r="F37" s="1168"/>
      <c r="G37" s="1168"/>
      <c r="H37" s="1168"/>
      <c r="I37" s="1168"/>
    </row>
    <row r="38" spans="1:9" ht="15" customHeight="1">
      <c r="A38" s="1168" t="s">
        <v>191</v>
      </c>
      <c r="B38" s="1168"/>
      <c r="C38" s="1168"/>
      <c r="D38" s="1168"/>
      <c r="E38" s="1168"/>
      <c r="F38" s="1168"/>
      <c r="G38" s="1168"/>
      <c r="H38" s="1168"/>
      <c r="I38" s="1168"/>
    </row>
    <row r="39" spans="1:9" ht="36" customHeight="1">
      <c r="A39" s="1168" t="s">
        <v>662</v>
      </c>
      <c r="B39" s="1168"/>
      <c r="C39" s="1168"/>
      <c r="D39" s="1168"/>
      <c r="E39" s="1168"/>
      <c r="F39" s="1168"/>
      <c r="G39" s="1168"/>
      <c r="H39" s="1168"/>
      <c r="I39" s="1168"/>
    </row>
    <row r="40" spans="1:9" ht="27.75" customHeight="1">
      <c r="A40" s="1168" t="s">
        <v>663</v>
      </c>
      <c r="B40" s="1168"/>
      <c r="C40" s="1168"/>
      <c r="D40" s="1168"/>
      <c r="E40" s="1168"/>
      <c r="F40" s="1168"/>
      <c r="G40" s="1168"/>
      <c r="H40" s="1168"/>
      <c r="I40" s="1168"/>
    </row>
    <row r="41" spans="1:9" ht="40.5" customHeight="1">
      <c r="A41" s="1168" t="s">
        <v>433</v>
      </c>
      <c r="B41" s="1168"/>
      <c r="C41" s="1168"/>
      <c r="D41" s="1168"/>
      <c r="E41" s="1168"/>
      <c r="F41" s="1168"/>
      <c r="G41" s="1168"/>
      <c r="H41" s="1168"/>
      <c r="I41" s="1168"/>
    </row>
    <row r="42" spans="1:9">
      <c r="A42" s="1" t="s">
        <v>434</v>
      </c>
      <c r="B42" s="128"/>
      <c r="C42" s="1"/>
      <c r="D42" s="1"/>
      <c r="E42" s="1"/>
      <c r="F42" s="1"/>
      <c r="G42" s="1"/>
      <c r="H42" s="1"/>
      <c r="I42" s="1"/>
    </row>
  </sheetData>
  <mergeCells count="10">
    <mergeCell ref="A41:I41"/>
    <mergeCell ref="A35:I35"/>
    <mergeCell ref="A36:I36"/>
    <mergeCell ref="A37:I37"/>
    <mergeCell ref="A38:I38"/>
    <mergeCell ref="G3:I3"/>
    <mergeCell ref="D3:F3"/>
    <mergeCell ref="A34:I34"/>
    <mergeCell ref="A39:I39"/>
    <mergeCell ref="A40:I40"/>
  </mergeCells>
  <phoneticPr fontId="36" type="noConversion"/>
  <pageMargins left="0.75" right="0.75" top="1" bottom="1" header="0.5" footer="0.5"/>
  <pageSetup scale="70" orientation="portrait" horizontalDpi="4294967293" verticalDpi="0" r:id="rId1"/>
  <headerFooter alignWithMargins="0"/>
</worksheet>
</file>

<file path=xl/worksheets/sheet177.xml><?xml version="1.0" encoding="utf-8"?>
<worksheet xmlns="http://schemas.openxmlformats.org/spreadsheetml/2006/main" xmlns:r="http://schemas.openxmlformats.org/officeDocument/2006/relationships">
  <sheetPr codeName="Sheet157">
    <pageSetUpPr fitToPage="1"/>
  </sheetPr>
  <dimension ref="A1:Y93"/>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3" width="11" style="1" customWidth="1"/>
    <col min="4" max="11" width="9.28515625" style="1" bestFit="1" customWidth="1"/>
    <col min="12" max="12" width="8" style="1" customWidth="1"/>
    <col min="13" max="13" width="9.28515625" style="1" bestFit="1" customWidth="1"/>
    <col min="14" max="16384" width="8.85546875" style="1"/>
  </cols>
  <sheetData>
    <row r="1" spans="1:25" ht="15.75">
      <c r="A1" s="4"/>
      <c r="B1" s="3" t="s">
        <v>2087</v>
      </c>
      <c r="C1" s="3"/>
    </row>
    <row r="2" spans="1:25">
      <c r="A2" s="4"/>
      <c r="B2" s="4"/>
      <c r="C2" s="4"/>
    </row>
    <row r="3" spans="1:25">
      <c r="B3" s="1179" t="s">
        <v>435</v>
      </c>
      <c r="C3" s="1172" t="s">
        <v>436</v>
      </c>
      <c r="D3" s="1164" t="s">
        <v>377</v>
      </c>
      <c r="E3" s="1164" t="s">
        <v>386</v>
      </c>
      <c r="F3" s="1164" t="s">
        <v>378</v>
      </c>
      <c r="G3" s="1164" t="s">
        <v>379</v>
      </c>
      <c r="H3" s="1164" t="s">
        <v>380</v>
      </c>
      <c r="I3" s="1164" t="s">
        <v>381</v>
      </c>
      <c r="J3" s="1164" t="s">
        <v>382</v>
      </c>
      <c r="K3" s="1164" t="s">
        <v>383</v>
      </c>
      <c r="L3" s="1164" t="s">
        <v>384</v>
      </c>
      <c r="M3" s="1164" t="s">
        <v>385</v>
      </c>
    </row>
    <row r="4" spans="1:25" s="4" customFormat="1">
      <c r="A4" s="7"/>
      <c r="B4" s="1180"/>
      <c r="C4" s="1173"/>
      <c r="D4" s="1165"/>
      <c r="E4" s="1165"/>
      <c r="F4" s="1165"/>
      <c r="G4" s="1165"/>
      <c r="H4" s="1165"/>
      <c r="I4" s="1165"/>
      <c r="J4" s="1165"/>
      <c r="K4" s="1165"/>
      <c r="L4" s="1165"/>
      <c r="M4" s="1165"/>
    </row>
    <row r="5" spans="1:25" s="4" customFormat="1">
      <c r="A5" s="2">
        <v>1970</v>
      </c>
      <c r="B5" s="10">
        <v>100</v>
      </c>
      <c r="C5" s="10">
        <v>100</v>
      </c>
      <c r="D5" s="10">
        <v>100</v>
      </c>
      <c r="E5" s="10">
        <v>100</v>
      </c>
      <c r="F5" s="10">
        <v>100</v>
      </c>
      <c r="G5" s="10">
        <v>100</v>
      </c>
      <c r="H5" s="10">
        <v>100</v>
      </c>
      <c r="I5" s="10">
        <v>100</v>
      </c>
      <c r="J5" s="10">
        <v>100</v>
      </c>
      <c r="K5" s="10">
        <v>100</v>
      </c>
      <c r="L5" s="10">
        <v>100</v>
      </c>
      <c r="M5" s="10">
        <v>100</v>
      </c>
    </row>
    <row r="6" spans="1:25">
      <c r="A6" s="2">
        <v>1971</v>
      </c>
      <c r="B6" s="10">
        <v>167.36020784166951</v>
      </c>
      <c r="C6" s="10">
        <v>159.11551544751151</v>
      </c>
      <c r="D6" s="10">
        <v>192.67610932170871</v>
      </c>
      <c r="E6" s="10">
        <v>171.97246269974264</v>
      </c>
      <c r="F6" s="10">
        <v>171.97246269974264</v>
      </c>
      <c r="G6" s="10">
        <v>171.97246269974264</v>
      </c>
      <c r="H6" s="10">
        <v>179.65246581189399</v>
      </c>
      <c r="I6" s="10">
        <v>159.11551544751151</v>
      </c>
      <c r="J6" s="10">
        <v>159.11551544751151</v>
      </c>
      <c r="K6" s="10">
        <v>159.11551544751151</v>
      </c>
      <c r="L6" s="10">
        <v>159.11551544751151</v>
      </c>
      <c r="M6" s="10">
        <v>162.56962067945418</v>
      </c>
      <c r="O6" s="6"/>
      <c r="P6" s="6"/>
      <c r="Q6" s="6"/>
      <c r="R6" s="6"/>
      <c r="S6" s="6"/>
      <c r="T6" s="6"/>
      <c r="U6" s="6"/>
      <c r="V6" s="6"/>
      <c r="W6" s="6"/>
      <c r="X6" s="6"/>
      <c r="Y6" s="6"/>
    </row>
    <row r="7" spans="1:25">
      <c r="A7" s="2">
        <v>1972</v>
      </c>
      <c r="B7" s="10">
        <v>264.74508381584297</v>
      </c>
      <c r="C7" s="10">
        <v>246.99516833311012</v>
      </c>
      <c r="D7" s="10">
        <v>319.10619623379068</v>
      </c>
      <c r="E7" s="10">
        <v>274.76121933685732</v>
      </c>
      <c r="F7" s="10">
        <v>274.76121933685732</v>
      </c>
      <c r="G7" s="10">
        <v>274.76121933685732</v>
      </c>
      <c r="H7" s="10">
        <v>291.2109572402947</v>
      </c>
      <c r="I7" s="10">
        <v>246.99516833311012</v>
      </c>
      <c r="J7" s="10">
        <v>246.99516833311012</v>
      </c>
      <c r="K7" s="10">
        <v>246.99516833311012</v>
      </c>
      <c r="L7" s="10">
        <v>246.99516833311012</v>
      </c>
      <c r="M7" s="10">
        <v>254.45470442366911</v>
      </c>
      <c r="O7" s="6"/>
      <c r="P7" s="6"/>
      <c r="Q7" s="6"/>
      <c r="R7" s="6"/>
      <c r="S7" s="6"/>
      <c r="T7" s="6"/>
      <c r="U7" s="6"/>
      <c r="V7" s="6"/>
      <c r="W7" s="6"/>
      <c r="X7" s="6"/>
      <c r="Y7" s="6"/>
    </row>
    <row r="8" spans="1:25">
      <c r="A8" s="2">
        <v>1973</v>
      </c>
      <c r="B8" s="10">
        <v>264.22963947617274</v>
      </c>
      <c r="C8" s="10">
        <v>246.49954705733157</v>
      </c>
      <c r="D8" s="10">
        <v>318.53181368824119</v>
      </c>
      <c r="E8" s="10">
        <v>274.23350417897188</v>
      </c>
      <c r="F8" s="10">
        <v>274.23350417897188</v>
      </c>
      <c r="G8" s="10">
        <v>274.23350417897188</v>
      </c>
      <c r="H8" s="10">
        <v>290.66593084786979</v>
      </c>
      <c r="I8" s="10">
        <v>246.49954705733157</v>
      </c>
      <c r="J8" s="10">
        <v>246.49954705733157</v>
      </c>
      <c r="K8" s="10">
        <v>246.49954705733157</v>
      </c>
      <c r="L8" s="10">
        <v>246.49954705733157</v>
      </c>
      <c r="M8" s="10">
        <v>253.9504609109066</v>
      </c>
      <c r="O8" s="6"/>
      <c r="P8" s="6"/>
      <c r="Q8" s="6"/>
      <c r="R8" s="6"/>
      <c r="S8" s="6"/>
      <c r="T8" s="6"/>
      <c r="U8" s="6"/>
      <c r="V8" s="6"/>
      <c r="W8" s="6"/>
      <c r="X8" s="6"/>
      <c r="Y8" s="6"/>
    </row>
    <row r="9" spans="1:25">
      <c r="A9" s="2">
        <v>1974</v>
      </c>
      <c r="B9" s="10">
        <v>259.32799075132272</v>
      </c>
      <c r="C9" s="10">
        <v>243.59949941833614</v>
      </c>
      <c r="D9" s="10">
        <v>315.15572414449809</v>
      </c>
      <c r="E9" s="10">
        <v>311.45582246601197</v>
      </c>
      <c r="F9" s="10">
        <v>271.14841410162086</v>
      </c>
      <c r="G9" s="10">
        <v>311.45582246601197</v>
      </c>
      <c r="H9" s="10">
        <v>275.56371887376082</v>
      </c>
      <c r="I9" s="10">
        <v>243.59949941833614</v>
      </c>
      <c r="J9" s="10">
        <v>243.59949941833614</v>
      </c>
      <c r="K9" s="10">
        <v>243.59949941833614</v>
      </c>
      <c r="L9" s="10">
        <v>243.59949941833614</v>
      </c>
      <c r="M9" s="10">
        <v>251.00070037802459</v>
      </c>
      <c r="O9" s="6"/>
      <c r="P9" s="6"/>
      <c r="Q9" s="6"/>
      <c r="R9" s="6"/>
      <c r="S9" s="6"/>
      <c r="T9" s="6"/>
      <c r="U9" s="6"/>
      <c r="V9" s="6"/>
      <c r="W9" s="6"/>
      <c r="X9" s="6"/>
      <c r="Y9" s="6"/>
    </row>
    <row r="10" spans="1:25">
      <c r="A10" s="2">
        <v>1975</v>
      </c>
      <c r="B10" s="10">
        <v>257.28950330715253</v>
      </c>
      <c r="C10" s="10">
        <v>240.15998556005744</v>
      </c>
      <c r="D10" s="10">
        <v>311.14098727454638</v>
      </c>
      <c r="E10" s="10">
        <v>311.14098727454638</v>
      </c>
      <c r="F10" s="10">
        <v>253.88151922501856</v>
      </c>
      <c r="G10" s="10">
        <v>311.14098727454638</v>
      </c>
      <c r="H10" s="10">
        <v>275.47498070013904</v>
      </c>
      <c r="I10" s="10">
        <v>240.15998556005752</v>
      </c>
      <c r="J10" s="10">
        <v>240.15998556005744</v>
      </c>
      <c r="K10" s="10">
        <v>240.15998556005744</v>
      </c>
      <c r="L10" s="10">
        <v>240.15998556005744</v>
      </c>
      <c r="M10" s="10">
        <v>257.49239348232459</v>
      </c>
      <c r="O10" s="6"/>
      <c r="P10" s="6"/>
      <c r="Q10" s="6"/>
      <c r="R10" s="6"/>
      <c r="S10" s="6"/>
      <c r="T10" s="6"/>
      <c r="U10" s="6"/>
      <c r="V10" s="6"/>
      <c r="W10" s="6"/>
      <c r="X10" s="6"/>
      <c r="Y10" s="6"/>
    </row>
    <row r="11" spans="1:25">
      <c r="A11" s="2">
        <v>1976</v>
      </c>
      <c r="B11" s="10">
        <v>253.00340969461877</v>
      </c>
      <c r="C11" s="10">
        <v>236.18905975451355</v>
      </c>
      <c r="D11" s="10">
        <v>304.41305544650862</v>
      </c>
      <c r="E11" s="10">
        <v>304.41305544650862</v>
      </c>
      <c r="F11" s="10">
        <v>257.44033878071338</v>
      </c>
      <c r="G11" s="10">
        <v>304.41305544650862</v>
      </c>
      <c r="H11" s="10">
        <v>267.15694739700194</v>
      </c>
      <c r="I11" s="10">
        <v>236.18905975451355</v>
      </c>
      <c r="J11" s="10">
        <v>236.18905975451355</v>
      </c>
      <c r="K11" s="10">
        <v>236.18905975451355</v>
      </c>
      <c r="L11" s="10">
        <v>236.18905975451355</v>
      </c>
      <c r="M11" s="10">
        <v>262.23629811081378</v>
      </c>
      <c r="O11" s="6"/>
      <c r="P11" s="6"/>
      <c r="Q11" s="6"/>
      <c r="R11" s="6"/>
      <c r="S11" s="6"/>
      <c r="T11" s="6"/>
      <c r="U11" s="6"/>
      <c r="V11" s="6"/>
      <c r="W11" s="6"/>
      <c r="X11" s="6"/>
      <c r="Y11" s="6"/>
    </row>
    <row r="12" spans="1:25">
      <c r="A12" s="2">
        <v>1977</v>
      </c>
      <c r="B12" s="10">
        <v>244.82900653846718</v>
      </c>
      <c r="C12" s="10">
        <v>227.19086319377843</v>
      </c>
      <c r="D12" s="10">
        <v>298.837654884968</v>
      </c>
      <c r="E12" s="10">
        <v>298.837654884968</v>
      </c>
      <c r="F12" s="10">
        <v>284.82382590359481</v>
      </c>
      <c r="G12" s="10">
        <v>298.837654884968</v>
      </c>
      <c r="H12" s="10">
        <v>270.10418222977415</v>
      </c>
      <c r="I12" s="10">
        <v>227.54469396180374</v>
      </c>
      <c r="J12" s="10">
        <v>216.81647330124659</v>
      </c>
      <c r="K12" s="10">
        <v>205.8149131606971</v>
      </c>
      <c r="L12" s="10">
        <v>205.8149131606971</v>
      </c>
      <c r="M12" s="10">
        <v>243.5842731718684</v>
      </c>
      <c r="O12" s="6"/>
      <c r="P12" s="6"/>
      <c r="Q12" s="6"/>
      <c r="R12" s="6"/>
      <c r="S12" s="6"/>
      <c r="T12" s="6"/>
      <c r="U12" s="6"/>
      <c r="V12" s="6"/>
      <c r="W12" s="6"/>
      <c r="X12" s="6"/>
      <c r="Y12" s="6"/>
    </row>
    <row r="13" spans="1:25">
      <c r="A13" s="2">
        <v>1978</v>
      </c>
      <c r="B13" s="10">
        <v>212.502541166063</v>
      </c>
      <c r="C13" s="10">
        <v>190.44642900009512</v>
      </c>
      <c r="D13" s="10">
        <v>272.7963192145765</v>
      </c>
      <c r="E13" s="10">
        <v>268.91874975303489</v>
      </c>
      <c r="F13" s="10">
        <v>255.76498418238302</v>
      </c>
      <c r="G13" s="10">
        <v>271.37698813020825</v>
      </c>
      <c r="H13" s="10">
        <v>258.42141620752972</v>
      </c>
      <c r="I13" s="10">
        <v>190.8282578707325</v>
      </c>
      <c r="J13" s="10">
        <v>178.36877287298003</v>
      </c>
      <c r="K13" s="10">
        <v>147.03593212922289</v>
      </c>
      <c r="L13" s="10">
        <v>137.52716353493307</v>
      </c>
      <c r="M13" s="10">
        <v>213.24587241211324</v>
      </c>
      <c r="O13" s="6"/>
      <c r="P13" s="6"/>
      <c r="Q13" s="6"/>
      <c r="R13" s="6"/>
      <c r="S13" s="6"/>
      <c r="T13" s="6"/>
      <c r="U13" s="6"/>
      <c r="V13" s="6"/>
      <c r="W13" s="6"/>
      <c r="X13" s="6"/>
      <c r="Y13" s="6"/>
    </row>
    <row r="14" spans="1:25">
      <c r="A14" s="2">
        <v>1979</v>
      </c>
      <c r="B14" s="10">
        <v>174.98111497987546</v>
      </c>
      <c r="C14" s="10">
        <v>171.92663944080729</v>
      </c>
      <c r="D14" s="10">
        <v>252.52950773447427</v>
      </c>
      <c r="E14" s="10">
        <v>234.26417766213862</v>
      </c>
      <c r="F14" s="10">
        <v>204.40862258671314</v>
      </c>
      <c r="G14" s="10">
        <v>218.9147869423538</v>
      </c>
      <c r="H14" s="10">
        <v>209.38219486926175</v>
      </c>
      <c r="I14" s="10">
        <v>157.05164114399378</v>
      </c>
      <c r="J14" s="10">
        <v>145.15803791313078</v>
      </c>
      <c r="K14" s="10">
        <v>132.98408967182795</v>
      </c>
      <c r="L14" s="10">
        <v>115.95044240588112</v>
      </c>
      <c r="M14" s="10">
        <v>185.49086625368523</v>
      </c>
      <c r="O14" s="6"/>
      <c r="P14" s="6"/>
      <c r="Q14" s="6"/>
      <c r="R14" s="6"/>
      <c r="S14" s="6"/>
      <c r="T14" s="6"/>
      <c r="U14" s="6"/>
      <c r="V14" s="6"/>
      <c r="W14" s="6"/>
      <c r="X14" s="6"/>
      <c r="Y14" s="6"/>
    </row>
    <row r="15" spans="1:25">
      <c r="A15" s="2">
        <v>1980</v>
      </c>
      <c r="B15" s="10">
        <v>166.95016371719447</v>
      </c>
      <c r="C15" s="10">
        <v>170.08117483494422</v>
      </c>
      <c r="D15" s="10">
        <v>250.28411858736965</v>
      </c>
      <c r="E15" s="10">
        <v>205.96686040141648</v>
      </c>
      <c r="F15" s="10">
        <v>193.80808121812154</v>
      </c>
      <c r="G15" s="10">
        <v>210.56944473948315</v>
      </c>
      <c r="H15" s="10">
        <v>194.85007874586699</v>
      </c>
      <c r="I15" s="10">
        <v>157.33310469700862</v>
      </c>
      <c r="J15" s="10">
        <v>141.76583478690981</v>
      </c>
      <c r="K15" s="10">
        <v>135.4297392526563</v>
      </c>
      <c r="L15" s="10">
        <v>110.68432404242179</v>
      </c>
      <c r="M15" s="10">
        <v>160.16788302466026</v>
      </c>
      <c r="O15" s="6"/>
      <c r="P15" s="6"/>
      <c r="Q15" s="6"/>
      <c r="R15" s="6"/>
      <c r="S15" s="6"/>
      <c r="T15" s="6"/>
      <c r="U15" s="6"/>
      <c r="V15" s="6"/>
      <c r="W15" s="6"/>
      <c r="X15" s="6"/>
      <c r="Y15" s="6"/>
    </row>
    <row r="16" spans="1:25">
      <c r="A16" s="2">
        <v>1981</v>
      </c>
      <c r="B16" s="10">
        <v>163.4618983633568</v>
      </c>
      <c r="C16" s="10">
        <v>168.37240678926241</v>
      </c>
      <c r="D16" s="10">
        <v>235.93712349622731</v>
      </c>
      <c r="E16" s="10">
        <v>237.42156705479508</v>
      </c>
      <c r="F16" s="10">
        <v>193.76284701383815</v>
      </c>
      <c r="G16" s="10">
        <v>221.77539146510989</v>
      </c>
      <c r="H16" s="10">
        <v>197.90725222118363</v>
      </c>
      <c r="I16" s="10">
        <v>148.75096716928343</v>
      </c>
      <c r="J16" s="10">
        <v>147.98560314201521</v>
      </c>
      <c r="K16" s="10">
        <v>141.44245742804483</v>
      </c>
      <c r="L16" s="10">
        <v>110.18468461678572</v>
      </c>
      <c r="M16" s="10">
        <v>149.43276101622678</v>
      </c>
      <c r="O16" s="6"/>
      <c r="P16" s="6"/>
      <c r="Q16" s="6"/>
      <c r="R16" s="6"/>
      <c r="S16" s="6"/>
      <c r="T16" s="6"/>
      <c r="U16" s="6"/>
      <c r="V16" s="6"/>
      <c r="W16" s="6"/>
      <c r="X16" s="6"/>
      <c r="Y16" s="6"/>
    </row>
    <row r="17" spans="1:25">
      <c r="A17" s="2">
        <v>1982</v>
      </c>
      <c r="B17" s="10">
        <v>201.76309922388373</v>
      </c>
      <c r="C17" s="10">
        <v>168.96435498522985</v>
      </c>
      <c r="D17" s="10">
        <v>250.68335130320995</v>
      </c>
      <c r="E17" s="10">
        <v>242.83727803546321</v>
      </c>
      <c r="F17" s="10">
        <v>225.87159992779107</v>
      </c>
      <c r="G17" s="10">
        <v>243.68482548934563</v>
      </c>
      <c r="H17" s="10">
        <v>235.81912843870273</v>
      </c>
      <c r="I17" s="10">
        <v>183.71356659278695</v>
      </c>
      <c r="J17" s="10">
        <v>177.71286421587556</v>
      </c>
      <c r="K17" s="10">
        <v>165.44495324021673</v>
      </c>
      <c r="L17" s="10">
        <v>156.89641520557026</v>
      </c>
      <c r="M17" s="10">
        <v>214.40664706513542</v>
      </c>
      <c r="O17" s="6"/>
      <c r="P17" s="6"/>
      <c r="Q17" s="6"/>
      <c r="R17" s="6"/>
      <c r="S17" s="6"/>
      <c r="T17" s="6"/>
      <c r="U17" s="6"/>
      <c r="V17" s="6"/>
      <c r="W17" s="6"/>
      <c r="X17" s="6"/>
      <c r="Y17" s="6"/>
    </row>
    <row r="18" spans="1:25">
      <c r="A18" s="2">
        <v>1983</v>
      </c>
      <c r="B18" s="10">
        <v>226.42509185859117</v>
      </c>
      <c r="C18" s="10">
        <v>170.33287719419414</v>
      </c>
      <c r="D18" s="10">
        <v>252.43456487204421</v>
      </c>
      <c r="E18" s="10">
        <v>248.09048126413867</v>
      </c>
      <c r="F18" s="10">
        <v>232.84661832775461</v>
      </c>
      <c r="G18" s="10">
        <v>251.45603866490239</v>
      </c>
      <c r="H18" s="10">
        <v>251.9204017647136</v>
      </c>
      <c r="I18" s="10">
        <v>207.33543500782764</v>
      </c>
      <c r="J18" s="10">
        <v>204.36563017327467</v>
      </c>
      <c r="K18" s="10">
        <v>185.00914486673923</v>
      </c>
      <c r="L18" s="10">
        <v>212.1603620396921</v>
      </c>
      <c r="M18" s="10">
        <v>252.43456487204423</v>
      </c>
      <c r="O18" s="6"/>
      <c r="P18" s="6"/>
      <c r="Q18" s="6"/>
      <c r="R18" s="6"/>
      <c r="S18" s="6"/>
      <c r="T18" s="6"/>
      <c r="U18" s="6"/>
      <c r="V18" s="6"/>
      <c r="W18" s="6"/>
      <c r="X18" s="6"/>
      <c r="Y18" s="6"/>
    </row>
    <row r="19" spans="1:25">
      <c r="A19" s="2">
        <v>1984</v>
      </c>
      <c r="B19" s="10">
        <v>221.54701294969354</v>
      </c>
      <c r="C19" s="10">
        <v>173.35985749869917</v>
      </c>
      <c r="D19" s="10">
        <v>256.28242653694031</v>
      </c>
      <c r="E19" s="10">
        <v>247.89204946079153</v>
      </c>
      <c r="F19" s="10">
        <v>231.64151723939983</v>
      </c>
      <c r="G19" s="10">
        <v>256.28242653694025</v>
      </c>
      <c r="H19" s="10">
        <v>247.46832282264268</v>
      </c>
      <c r="I19" s="10">
        <v>190.50863239888838</v>
      </c>
      <c r="J19" s="10">
        <v>189.90154102586965</v>
      </c>
      <c r="K19" s="10">
        <v>195.25065650611097</v>
      </c>
      <c r="L19" s="10">
        <v>235.99028925442647</v>
      </c>
      <c r="M19" s="10">
        <v>256.28242653694031</v>
      </c>
      <c r="O19" s="6"/>
      <c r="P19" s="6"/>
      <c r="Q19" s="6"/>
      <c r="R19" s="6"/>
      <c r="S19" s="6"/>
      <c r="T19" s="6"/>
      <c r="U19" s="6"/>
      <c r="V19" s="6"/>
      <c r="W19" s="6"/>
      <c r="X19" s="6"/>
      <c r="Y19" s="6"/>
    </row>
    <row r="20" spans="1:25">
      <c r="A20" s="2">
        <v>1985</v>
      </c>
      <c r="B20" s="10">
        <v>214.80233903928186</v>
      </c>
      <c r="C20" s="10">
        <v>175.42750997132279</v>
      </c>
      <c r="D20" s="10">
        <v>258.88228604734564</v>
      </c>
      <c r="E20" s="10">
        <v>258.88228604734564</v>
      </c>
      <c r="F20" s="10">
        <v>234.18996859924698</v>
      </c>
      <c r="G20" s="10">
        <v>258.88228604734564</v>
      </c>
      <c r="H20" s="10">
        <v>239.39350889054535</v>
      </c>
      <c r="I20" s="10">
        <v>182.9363914449109</v>
      </c>
      <c r="J20" s="10">
        <v>189.59978033998519</v>
      </c>
      <c r="K20" s="10">
        <v>194.54087117877597</v>
      </c>
      <c r="L20" s="10">
        <v>214.00967841675518</v>
      </c>
      <c r="M20" s="10">
        <v>258.63727266222168</v>
      </c>
      <c r="O20" s="6"/>
      <c r="P20" s="6"/>
      <c r="Q20" s="6"/>
      <c r="R20" s="6"/>
      <c r="S20" s="6"/>
      <c r="T20" s="6"/>
      <c r="U20" s="6"/>
      <c r="V20" s="6"/>
      <c r="W20" s="6"/>
      <c r="X20" s="6"/>
      <c r="Y20" s="6"/>
    </row>
    <row r="21" spans="1:25">
      <c r="A21" s="2">
        <v>1986</v>
      </c>
      <c r="B21" s="10">
        <v>199.74697953097055</v>
      </c>
      <c r="C21" s="10">
        <v>177.25303372738267</v>
      </c>
      <c r="D21" s="10">
        <v>261.15211431960603</v>
      </c>
      <c r="E21" s="10">
        <v>261.15211431960603</v>
      </c>
      <c r="F21" s="10">
        <v>222.50591409791809</v>
      </c>
      <c r="G21" s="10">
        <v>257.61179912932238</v>
      </c>
      <c r="H21" s="10">
        <v>219.29322711192046</v>
      </c>
      <c r="I21" s="10">
        <v>166.89130456949866</v>
      </c>
      <c r="J21" s="10">
        <v>181.72226033091502</v>
      </c>
      <c r="K21" s="10">
        <v>194.69873567692832</v>
      </c>
      <c r="L21" s="10">
        <v>205.18770047951452</v>
      </c>
      <c r="M21" s="10">
        <v>236.277361610881</v>
      </c>
      <c r="O21" s="6"/>
      <c r="P21" s="6"/>
      <c r="Q21" s="6"/>
      <c r="R21" s="6"/>
      <c r="S21" s="6"/>
      <c r="T21" s="6"/>
      <c r="U21" s="6"/>
      <c r="V21" s="6"/>
      <c r="W21" s="6"/>
      <c r="X21" s="6"/>
      <c r="Y21" s="6"/>
    </row>
    <row r="22" spans="1:25">
      <c r="A22" s="2">
        <v>1987</v>
      </c>
      <c r="B22" s="10">
        <v>194.98947662975993</v>
      </c>
      <c r="C22" s="10">
        <v>178.42349039350634</v>
      </c>
      <c r="D22" s="10">
        <v>262.58775376640261</v>
      </c>
      <c r="E22" s="10">
        <v>262.58775376640261</v>
      </c>
      <c r="F22" s="10">
        <v>230.11020844042318</v>
      </c>
      <c r="G22" s="10">
        <v>257.50404551959588</v>
      </c>
      <c r="H22" s="10">
        <v>212.42580623329528</v>
      </c>
      <c r="I22" s="10">
        <v>155.54152048861485</v>
      </c>
      <c r="J22" s="10">
        <v>184.3268399301696</v>
      </c>
      <c r="K22" s="10">
        <v>189.39861061077019</v>
      </c>
      <c r="L22" s="10">
        <v>204.69680183190576</v>
      </c>
      <c r="M22" s="10">
        <v>246.3081306868813</v>
      </c>
      <c r="O22" s="6"/>
      <c r="P22" s="6"/>
      <c r="Q22" s="6"/>
      <c r="R22" s="6"/>
      <c r="S22" s="6"/>
      <c r="T22" s="6"/>
      <c r="U22" s="6"/>
      <c r="V22" s="6"/>
      <c r="W22" s="6"/>
      <c r="X22" s="6"/>
      <c r="Y22" s="6"/>
    </row>
    <row r="23" spans="1:25">
      <c r="A23" s="2">
        <v>1988</v>
      </c>
      <c r="B23" s="10">
        <v>179.63371698319804</v>
      </c>
      <c r="C23" s="10">
        <v>179.14294811528134</v>
      </c>
      <c r="D23" s="10">
        <v>263.46250594297101</v>
      </c>
      <c r="E23" s="10">
        <v>263.46250594297101</v>
      </c>
      <c r="F23" s="10">
        <v>211.86037807671303</v>
      </c>
      <c r="G23" s="10">
        <v>247.12939440062155</v>
      </c>
      <c r="H23" s="10">
        <v>200.57218117405856</v>
      </c>
      <c r="I23" s="10">
        <v>135.92307898289431</v>
      </c>
      <c r="J23" s="10">
        <v>190.51502861162353</v>
      </c>
      <c r="K23" s="10">
        <v>189.8856062484266</v>
      </c>
      <c r="L23" s="10">
        <v>188.65576480740387</v>
      </c>
      <c r="M23" s="10">
        <v>219.66984263474038</v>
      </c>
      <c r="O23" s="6"/>
      <c r="P23" s="6"/>
      <c r="Q23" s="6"/>
      <c r="R23" s="6"/>
      <c r="S23" s="6"/>
      <c r="T23" s="6"/>
      <c r="U23" s="6"/>
      <c r="V23" s="6"/>
      <c r="W23" s="6"/>
      <c r="X23" s="6"/>
      <c r="Y23" s="6"/>
    </row>
    <row r="24" spans="1:25">
      <c r="A24" s="2">
        <v>1989</v>
      </c>
      <c r="B24" s="10">
        <v>177.12492656407755</v>
      </c>
      <c r="C24" s="10">
        <v>179.73525239785238</v>
      </c>
      <c r="D24" s="10">
        <v>260.27796244407222</v>
      </c>
      <c r="E24" s="10">
        <v>264.17374315115376</v>
      </c>
      <c r="F24" s="10">
        <v>203.24627842851325</v>
      </c>
      <c r="G24" s="10">
        <v>237.31390243422206</v>
      </c>
      <c r="H24" s="10">
        <v>200.36087528946618</v>
      </c>
      <c r="I24" s="10">
        <v>135.17251364856239</v>
      </c>
      <c r="J24" s="10">
        <v>188.34299170400175</v>
      </c>
      <c r="K24" s="10">
        <v>193.00753513372786</v>
      </c>
      <c r="L24" s="10">
        <v>183.49938098526749</v>
      </c>
      <c r="M24" s="10">
        <v>209.10175340350318</v>
      </c>
      <c r="O24" s="6"/>
      <c r="P24" s="6"/>
      <c r="Q24" s="6"/>
      <c r="R24" s="6"/>
      <c r="S24" s="6"/>
      <c r="T24" s="6"/>
      <c r="U24" s="6"/>
      <c r="V24" s="6"/>
      <c r="W24" s="6"/>
      <c r="X24" s="6"/>
      <c r="Y24" s="6"/>
    </row>
    <row r="25" spans="1:25">
      <c r="A25" s="2">
        <v>1990</v>
      </c>
      <c r="B25" s="10">
        <v>168.53148736554303</v>
      </c>
      <c r="C25" s="10">
        <v>164.42243983425183</v>
      </c>
      <c r="D25" s="10">
        <v>235.44176201579032</v>
      </c>
      <c r="E25" s="10">
        <v>236.49410388698684</v>
      </c>
      <c r="F25" s="10">
        <v>195.926360096987</v>
      </c>
      <c r="G25" s="10">
        <v>208.64994404294154</v>
      </c>
      <c r="H25" s="10">
        <v>189.21324007791733</v>
      </c>
      <c r="I25" s="10">
        <v>141.20247803233258</v>
      </c>
      <c r="J25" s="10">
        <v>172.75214160620303</v>
      </c>
      <c r="K25" s="10">
        <v>175.00273879421593</v>
      </c>
      <c r="L25" s="10">
        <v>165.51751646960366</v>
      </c>
      <c r="M25" s="10">
        <v>179.15070163038934</v>
      </c>
      <c r="O25" s="6"/>
      <c r="P25" s="6"/>
      <c r="Q25" s="6"/>
      <c r="R25" s="6"/>
      <c r="S25" s="6"/>
      <c r="T25" s="6"/>
      <c r="U25" s="6"/>
      <c r="V25" s="6"/>
      <c r="W25" s="6"/>
      <c r="X25" s="6"/>
      <c r="Y25" s="6"/>
    </row>
    <row r="26" spans="1:25">
      <c r="A26" s="2">
        <v>1991</v>
      </c>
      <c r="B26" s="10">
        <v>170.68851932987391</v>
      </c>
      <c r="C26" s="10">
        <v>121.81117362871616</v>
      </c>
      <c r="D26" s="10">
        <v>238.40055599550556</v>
      </c>
      <c r="E26" s="10">
        <v>255.26663354362651</v>
      </c>
      <c r="F26" s="10">
        <v>185.68146007017117</v>
      </c>
      <c r="G26" s="10">
        <v>204.05210450632322</v>
      </c>
      <c r="H26" s="10">
        <v>196.71853700729014</v>
      </c>
      <c r="I26" s="10">
        <v>156.307074731787</v>
      </c>
      <c r="J26" s="10">
        <v>157.82912884252525</v>
      </c>
      <c r="K26" s="10">
        <v>146.20695009440527</v>
      </c>
      <c r="L26" s="10">
        <v>141.8983989628413</v>
      </c>
      <c r="M26" s="10">
        <v>169.00417249719217</v>
      </c>
      <c r="O26" s="6"/>
      <c r="P26" s="6"/>
      <c r="Q26" s="6"/>
      <c r="R26" s="6"/>
      <c r="S26" s="6"/>
      <c r="T26" s="6"/>
      <c r="U26" s="6"/>
      <c r="V26" s="6"/>
      <c r="W26" s="6"/>
      <c r="X26" s="6"/>
      <c r="Y26" s="6"/>
    </row>
    <row r="27" spans="1:25">
      <c r="A27" s="2">
        <v>1992</v>
      </c>
      <c r="B27" s="10">
        <v>186.49232824665873</v>
      </c>
      <c r="C27" s="10">
        <v>122.01076525700086</v>
      </c>
      <c r="D27" s="10">
        <v>249.12865589274759</v>
      </c>
      <c r="E27" s="10">
        <v>255.55497212743816</v>
      </c>
      <c r="F27" s="10">
        <v>199.16427009954182</v>
      </c>
      <c r="G27" s="10">
        <v>210.22513802516463</v>
      </c>
      <c r="H27" s="10">
        <v>206.92170564451976</v>
      </c>
      <c r="I27" s="10">
        <v>177.73670743425512</v>
      </c>
      <c r="J27" s="10">
        <v>174.11826817280931</v>
      </c>
      <c r="K27" s="10">
        <v>156.40011249621401</v>
      </c>
      <c r="L27" s="10">
        <v>165.79740444656611</v>
      </c>
      <c r="M27" s="10">
        <v>178.20985442145343</v>
      </c>
      <c r="O27" s="6"/>
      <c r="P27" s="6"/>
      <c r="Q27" s="6"/>
      <c r="R27" s="6"/>
      <c r="S27" s="6"/>
      <c r="T27" s="6"/>
      <c r="U27" s="6"/>
      <c r="V27" s="6"/>
      <c r="W27" s="6"/>
      <c r="X27" s="6"/>
      <c r="Y27" s="6"/>
    </row>
    <row r="28" spans="1:25">
      <c r="A28" s="2">
        <v>1993</v>
      </c>
      <c r="B28" s="10">
        <v>182.57950963110906</v>
      </c>
      <c r="C28" s="10">
        <v>117.03417010202323</v>
      </c>
      <c r="D28" s="10">
        <v>240.08814077586052</v>
      </c>
      <c r="E28" s="10">
        <v>247.66861020396667</v>
      </c>
      <c r="F28" s="10">
        <v>202.11302705584433</v>
      </c>
      <c r="G28" s="10">
        <v>197.90980271922072</v>
      </c>
      <c r="H28" s="10">
        <v>207.02447644346162</v>
      </c>
      <c r="I28" s="10">
        <v>174.58946695893061</v>
      </c>
      <c r="J28" s="10">
        <v>163.75450596425512</v>
      </c>
      <c r="K28" s="10">
        <v>153.42152863903553</v>
      </c>
      <c r="L28" s="10">
        <v>165.96184471912488</v>
      </c>
      <c r="M28" s="10">
        <v>163.28086871376203</v>
      </c>
      <c r="O28" s="6"/>
      <c r="P28" s="6"/>
      <c r="Q28" s="6"/>
      <c r="R28" s="6"/>
      <c r="S28" s="6"/>
      <c r="T28" s="6"/>
      <c r="U28" s="6"/>
      <c r="V28" s="6"/>
      <c r="W28" s="6"/>
      <c r="X28" s="6"/>
      <c r="Y28" s="6"/>
    </row>
    <row r="29" spans="1:25">
      <c r="A29" s="2">
        <v>1994</v>
      </c>
      <c r="B29" s="10">
        <v>153.93229164480488</v>
      </c>
      <c r="C29" s="10">
        <v>106.33719248362185</v>
      </c>
      <c r="D29" s="10">
        <v>210.5622037427496</v>
      </c>
      <c r="E29" s="10">
        <v>221.13181363920293</v>
      </c>
      <c r="F29" s="10">
        <v>179.47045205786571</v>
      </c>
      <c r="G29" s="10">
        <v>179.96855498094951</v>
      </c>
      <c r="H29" s="10">
        <v>173.87938684043252</v>
      </c>
      <c r="I29" s="10">
        <v>145.13947634447842</v>
      </c>
      <c r="J29" s="10">
        <v>148.62381031204634</v>
      </c>
      <c r="K29" s="10">
        <v>126.50757254622506</v>
      </c>
      <c r="L29" s="10">
        <v>133.14057756155776</v>
      </c>
      <c r="M29" s="10">
        <v>141.03022819308867</v>
      </c>
      <c r="O29" s="6"/>
      <c r="P29" s="6"/>
      <c r="Q29" s="6"/>
      <c r="R29" s="6"/>
      <c r="S29" s="6"/>
      <c r="T29" s="6"/>
      <c r="U29" s="6"/>
      <c r="V29" s="6"/>
      <c r="W29" s="6"/>
      <c r="X29" s="6"/>
      <c r="Y29" s="6"/>
    </row>
    <row r="30" spans="1:25">
      <c r="A30" s="2">
        <v>1995</v>
      </c>
      <c r="B30" s="10">
        <v>122.56684789095512</v>
      </c>
      <c r="C30" s="10">
        <v>96.243980273302725</v>
      </c>
      <c r="D30" s="10">
        <v>183.51461952643385</v>
      </c>
      <c r="E30" s="10">
        <v>186.26027271063467</v>
      </c>
      <c r="F30" s="10">
        <v>142.5845613138309</v>
      </c>
      <c r="G30" s="10">
        <v>145.23860352488398</v>
      </c>
      <c r="H30" s="10">
        <v>144.21323202523899</v>
      </c>
      <c r="I30" s="10">
        <v>110.24331170695693</v>
      </c>
      <c r="J30" s="10">
        <v>108.46336402449482</v>
      </c>
      <c r="K30" s="10">
        <v>106.54823804363906</v>
      </c>
      <c r="L30" s="10">
        <v>104.59618067882967</v>
      </c>
      <c r="M30" s="10">
        <v>115.68646504405423</v>
      </c>
    </row>
    <row r="31" spans="1:25">
      <c r="A31" s="2">
        <v>1996</v>
      </c>
      <c r="B31" s="10">
        <v>117.14148421392197</v>
      </c>
      <c r="C31" s="10">
        <v>91.760577232337198</v>
      </c>
      <c r="D31" s="10">
        <v>176.93725385412154</v>
      </c>
      <c r="E31" s="10">
        <v>168.34470772801748</v>
      </c>
      <c r="F31" s="10">
        <v>135.92135443980791</v>
      </c>
      <c r="G31" s="10">
        <v>132.71085963605785</v>
      </c>
      <c r="H31" s="10">
        <v>135.01783807881495</v>
      </c>
      <c r="I31" s="10">
        <v>109.07527696796133</v>
      </c>
      <c r="J31" s="10">
        <v>105.26838770871404</v>
      </c>
      <c r="K31" s="10">
        <v>105.24850075084883</v>
      </c>
      <c r="L31" s="10">
        <v>95.17459258391419</v>
      </c>
      <c r="M31" s="10">
        <v>108.61923947437049</v>
      </c>
    </row>
    <row r="32" spans="1:25">
      <c r="A32" s="2">
        <v>1997</v>
      </c>
      <c r="B32" s="10">
        <v>112.27342796470685</v>
      </c>
      <c r="C32" s="10">
        <v>89.865959021795831</v>
      </c>
      <c r="D32" s="10">
        <v>172.87879554762858</v>
      </c>
      <c r="E32" s="10">
        <v>167.66977025273005</v>
      </c>
      <c r="F32" s="10">
        <v>133.44355709571371</v>
      </c>
      <c r="G32" s="10">
        <v>143.55898949511069</v>
      </c>
      <c r="H32" s="10">
        <v>132.60652524958218</v>
      </c>
      <c r="I32" s="10">
        <v>104.06618338378483</v>
      </c>
      <c r="J32" s="10">
        <v>97.420298819277662</v>
      </c>
      <c r="K32" s="10">
        <v>97.699966085129248</v>
      </c>
      <c r="L32" s="10">
        <v>83.2641425868498</v>
      </c>
      <c r="M32" s="10">
        <v>102.85511300310395</v>
      </c>
    </row>
    <row r="33" spans="1:13">
      <c r="A33" s="2">
        <v>1998</v>
      </c>
      <c r="B33" s="10">
        <v>105.10680915543054</v>
      </c>
      <c r="C33" s="10">
        <v>90.720557571554579</v>
      </c>
      <c r="D33" s="10">
        <v>167.19470844703656</v>
      </c>
      <c r="E33" s="10">
        <v>157.49659694391607</v>
      </c>
      <c r="F33" s="10">
        <v>124.21831405826133</v>
      </c>
      <c r="G33" s="10">
        <v>134.70095648400516</v>
      </c>
      <c r="H33" s="10">
        <v>120.61889390463547</v>
      </c>
      <c r="I33" s="10">
        <v>93.305687592056074</v>
      </c>
      <c r="J33" s="10">
        <v>89.096074742555132</v>
      </c>
      <c r="K33" s="10">
        <v>101.7769580835557</v>
      </c>
      <c r="L33" s="10">
        <v>81.170151156365137</v>
      </c>
      <c r="M33" s="10">
        <v>109.96756515663138</v>
      </c>
    </row>
    <row r="34" spans="1:13">
      <c r="A34" s="2">
        <v>1999</v>
      </c>
      <c r="B34" s="10">
        <v>100.01681538907729</v>
      </c>
      <c r="C34" s="10">
        <v>91.706307721250596</v>
      </c>
      <c r="D34" s="10">
        <v>158.59624260464224</v>
      </c>
      <c r="E34" s="10">
        <v>167.01184779588456</v>
      </c>
      <c r="F34" s="10">
        <v>115.13207826346458</v>
      </c>
      <c r="G34" s="10">
        <v>119.3181718854015</v>
      </c>
      <c r="H34" s="10">
        <v>114.37308324248208</v>
      </c>
      <c r="I34" s="10">
        <v>87.7465230032454</v>
      </c>
      <c r="J34" s="10">
        <v>88.503517824868553</v>
      </c>
      <c r="K34" s="10">
        <v>101.89476765405134</v>
      </c>
      <c r="L34" s="10">
        <v>83.775934431436738</v>
      </c>
      <c r="M34" s="10">
        <v>101.79766770321926</v>
      </c>
    </row>
    <row r="35" spans="1:13">
      <c r="A35" s="2">
        <v>2000</v>
      </c>
      <c r="B35" s="10">
        <v>94.239033121948694</v>
      </c>
      <c r="C35" s="10">
        <v>92.577914656066483</v>
      </c>
      <c r="D35" s="10">
        <v>159.31746766819734</v>
      </c>
      <c r="E35" s="10">
        <v>142.05928987030259</v>
      </c>
      <c r="F35" s="10">
        <v>113.01662011200968</v>
      </c>
      <c r="G35" s="10">
        <v>124.58385247995066</v>
      </c>
      <c r="H35" s="10">
        <v>104.569365628843</v>
      </c>
      <c r="I35" s="10">
        <v>81.769866884976508</v>
      </c>
      <c r="J35" s="10">
        <v>86.948872934361063</v>
      </c>
      <c r="K35" s="10">
        <v>96.611427448481194</v>
      </c>
      <c r="L35" s="10">
        <v>81.284944699137768</v>
      </c>
      <c r="M35" s="10">
        <v>97.874212147733076</v>
      </c>
    </row>
    <row r="36" spans="1:13">
      <c r="A36" s="2">
        <v>2001</v>
      </c>
      <c r="B36" s="10">
        <v>98.534670477759732</v>
      </c>
      <c r="C36" s="10">
        <v>95.193075960698522</v>
      </c>
      <c r="D36" s="10">
        <v>160.80928395135945</v>
      </c>
      <c r="E36" s="10">
        <v>140.92523060654256</v>
      </c>
      <c r="F36" s="10">
        <v>122.11494993726335</v>
      </c>
      <c r="G36" s="10">
        <v>144.57863902265697</v>
      </c>
      <c r="H36" s="10">
        <v>110.66594726565855</v>
      </c>
      <c r="I36" s="10">
        <v>85.967596130498976</v>
      </c>
      <c r="J36" s="10">
        <v>87.228355710073586</v>
      </c>
      <c r="K36" s="10">
        <v>101.32137483606202</v>
      </c>
      <c r="L36" s="10">
        <v>81.14771704915745</v>
      </c>
      <c r="M36" s="10">
        <v>101.10220511453315</v>
      </c>
    </row>
    <row r="37" spans="1:13">
      <c r="A37" s="2">
        <v>2002</v>
      </c>
      <c r="B37" s="10">
        <v>104.9775680428492</v>
      </c>
      <c r="C37" s="10">
        <v>96.747665954306626</v>
      </c>
      <c r="D37" s="10">
        <v>162.5811017099816</v>
      </c>
      <c r="E37" s="10">
        <v>150.79064090905612</v>
      </c>
      <c r="F37" s="10">
        <v>124.97481132398178</v>
      </c>
      <c r="G37" s="10">
        <v>139.87179116152609</v>
      </c>
      <c r="H37" s="10">
        <v>114.46547605722621</v>
      </c>
      <c r="I37" s="10">
        <v>93.942213349088277</v>
      </c>
      <c r="J37" s="10">
        <v>88.416494785410308</v>
      </c>
      <c r="K37" s="10">
        <v>102.82560301333399</v>
      </c>
      <c r="L37" s="10">
        <v>84.573218410944961</v>
      </c>
      <c r="M37" s="10">
        <v>116.21944867866578</v>
      </c>
    </row>
    <row r="38" spans="1:13">
      <c r="A38" s="2">
        <v>2003</v>
      </c>
      <c r="B38" s="10">
        <v>104.27754385489287</v>
      </c>
      <c r="C38" s="10">
        <v>96.375409335921518</v>
      </c>
      <c r="D38" s="10">
        <v>164.97888568607323</v>
      </c>
      <c r="E38" s="10">
        <v>136.01292403915707</v>
      </c>
      <c r="F38" s="10">
        <v>121.31921204074632</v>
      </c>
      <c r="G38" s="10">
        <v>138.18582996416899</v>
      </c>
      <c r="H38" s="10">
        <v>115.52299205278233</v>
      </c>
      <c r="I38" s="10">
        <v>93.746743420617193</v>
      </c>
      <c r="J38" s="10">
        <v>87.514814635187733</v>
      </c>
      <c r="K38" s="10">
        <v>103.72227535955714</v>
      </c>
      <c r="L38" s="10">
        <v>83.344328695599529</v>
      </c>
      <c r="M38" s="10">
        <v>111.84747115482396</v>
      </c>
    </row>
    <row r="39" spans="1:13">
      <c r="A39" s="2">
        <v>2004</v>
      </c>
      <c r="B39" s="10">
        <v>103.7261214399437</v>
      </c>
      <c r="C39" s="10">
        <v>98.096884861523392</v>
      </c>
      <c r="D39" s="10">
        <v>172.94186338423756</v>
      </c>
      <c r="E39" s="10">
        <v>148.94014960742587</v>
      </c>
      <c r="F39" s="10">
        <v>125.56951044388363</v>
      </c>
      <c r="G39" s="10">
        <v>137.58118778468392</v>
      </c>
      <c r="H39" s="10">
        <v>114.29858924616622</v>
      </c>
      <c r="I39" s="10">
        <v>93.644772592999615</v>
      </c>
      <c r="J39" s="10">
        <v>88.316838419933518</v>
      </c>
      <c r="K39" s="10">
        <v>106.32416130963804</v>
      </c>
      <c r="L39" s="10">
        <v>81.42875609937451</v>
      </c>
      <c r="M39" s="10">
        <v>108.22387985349782</v>
      </c>
    </row>
    <row r="40" spans="1:13" s="1047" customFormat="1">
      <c r="A40" s="2">
        <v>2005</v>
      </c>
      <c r="B40" s="10">
        <v>99.596959921224595</v>
      </c>
      <c r="C40" s="10">
        <v>98.724357012285665</v>
      </c>
      <c r="D40" s="10">
        <v>175.86389367797793</v>
      </c>
      <c r="E40" s="10">
        <v>150.32923400832064</v>
      </c>
      <c r="F40" s="10">
        <v>122.39953809179049</v>
      </c>
      <c r="G40" s="10">
        <v>136.563008584291</v>
      </c>
      <c r="H40" s="10">
        <v>111.58005728059619</v>
      </c>
      <c r="I40" s="10">
        <v>90.627834360630956</v>
      </c>
      <c r="J40" s="10">
        <v>89.450409526813772</v>
      </c>
      <c r="K40" s="10">
        <v>104.98260473013642</v>
      </c>
      <c r="L40" s="10">
        <v>78.998516657349811</v>
      </c>
      <c r="M40" s="10">
        <v>94.885677206354657</v>
      </c>
    </row>
    <row r="41" spans="1:13" s="1047" customFormat="1">
      <c r="A41" s="2">
        <v>2006</v>
      </c>
      <c r="B41" s="10">
        <v>94.795736736784804</v>
      </c>
      <c r="C41" s="10">
        <v>97.331843845026285</v>
      </c>
      <c r="D41" s="10">
        <v>170.53809762778928</v>
      </c>
      <c r="E41" s="10">
        <v>145.90204578736805</v>
      </c>
      <c r="F41" s="10">
        <v>120.54307251287548</v>
      </c>
      <c r="G41" s="10">
        <v>129.35722929176453</v>
      </c>
      <c r="H41" s="10">
        <v>109.04771014875428</v>
      </c>
      <c r="I41" s="10">
        <v>85.384019044446021</v>
      </c>
      <c r="J41" s="10">
        <v>88.600800679546182</v>
      </c>
      <c r="K41" s="10">
        <v>103.43917513145605</v>
      </c>
      <c r="L41" s="10">
        <v>77.834697639573477</v>
      </c>
      <c r="M41" s="10">
        <v>84.004763699850812</v>
      </c>
    </row>
    <row r="42" spans="1:13" s="1047" customFormat="1">
      <c r="A42" s="2">
        <v>2007</v>
      </c>
      <c r="B42" s="10">
        <v>91.786222273189807</v>
      </c>
      <c r="C42" s="10">
        <v>96.717153794806222</v>
      </c>
      <c r="D42" s="10">
        <v>166.04138863209258</v>
      </c>
      <c r="E42" s="10">
        <v>144.35001307109675</v>
      </c>
      <c r="F42" s="10">
        <v>118.01412404841774</v>
      </c>
      <c r="G42" s="10">
        <v>118.12118789719453</v>
      </c>
      <c r="H42" s="10">
        <v>101.41181638538728</v>
      </c>
      <c r="I42" s="10">
        <v>85.053644894268913</v>
      </c>
      <c r="J42" s="10">
        <v>88.349822616037002</v>
      </c>
      <c r="K42" s="10">
        <v>101.72797458486245</v>
      </c>
      <c r="L42" s="10">
        <v>77.04696416224165</v>
      </c>
      <c r="M42" s="10">
        <v>80.234882324884367</v>
      </c>
    </row>
    <row r="43" spans="1:13" s="1047" customFormat="1">
      <c r="A43" s="2">
        <v>2008</v>
      </c>
      <c r="B43" s="10">
        <v>92.072326465125926</v>
      </c>
      <c r="C43" s="10">
        <v>96.667015995296424</v>
      </c>
      <c r="D43" s="10">
        <v>167.00245511833393</v>
      </c>
      <c r="E43" s="10">
        <v>143.9914887544096</v>
      </c>
      <c r="F43" s="10">
        <v>114.94449002030552</v>
      </c>
      <c r="G43" s="10">
        <v>123.34796655819504</v>
      </c>
      <c r="H43" s="10">
        <v>100.47438813362128</v>
      </c>
      <c r="I43" s="10">
        <v>85.777049168785254</v>
      </c>
      <c r="J43" s="10">
        <v>88.302799345779064</v>
      </c>
      <c r="K43" s="10">
        <v>102.39122871180778</v>
      </c>
      <c r="L43" s="10">
        <v>77.163545683793345</v>
      </c>
      <c r="M43" s="10">
        <v>81.367516899889452</v>
      </c>
    </row>
    <row r="44" spans="1:13">
      <c r="B44" s="13" t="s">
        <v>437</v>
      </c>
      <c r="C44" s="13"/>
      <c r="D44" s="4"/>
      <c r="F44" s="652"/>
      <c r="G44" s="652"/>
      <c r="H44" s="652"/>
      <c r="I44" s="652"/>
      <c r="J44" s="652"/>
      <c r="K44" s="652"/>
      <c r="L44" s="652"/>
      <c r="M44" s="652"/>
    </row>
    <row r="45" spans="1:13">
      <c r="A45" s="448" t="s">
        <v>603</v>
      </c>
      <c r="B45" s="12">
        <f t="shared" ref="B45:M45" si="0">B24-B16</f>
        <v>13.66302820072076</v>
      </c>
      <c r="C45" s="12">
        <f t="shared" si="0"/>
        <v>11.362845608589964</v>
      </c>
      <c r="D45" s="12">
        <f t="shared" si="0"/>
        <v>24.340838947844901</v>
      </c>
      <c r="E45" s="12">
        <f t="shared" si="0"/>
        <v>26.752176096358681</v>
      </c>
      <c r="F45" s="12">
        <f t="shared" si="0"/>
        <v>9.4834314146750955</v>
      </c>
      <c r="G45" s="12">
        <f t="shared" si="0"/>
        <v>15.538510969112167</v>
      </c>
      <c r="H45" s="12">
        <f t="shared" si="0"/>
        <v>2.4536230682825533</v>
      </c>
      <c r="I45" s="12">
        <f t="shared" si="0"/>
        <v>-13.578453520721041</v>
      </c>
      <c r="J45" s="12">
        <f t="shared" si="0"/>
        <v>40.357388561986539</v>
      </c>
      <c r="K45" s="12">
        <f t="shared" si="0"/>
        <v>51.565077705683024</v>
      </c>
      <c r="L45" s="12">
        <f t="shared" si="0"/>
        <v>73.314696368481776</v>
      </c>
      <c r="M45" s="12">
        <f t="shared" si="0"/>
        <v>59.668992387276404</v>
      </c>
    </row>
    <row r="46" spans="1:13">
      <c r="A46" s="448" t="s">
        <v>604</v>
      </c>
      <c r="B46" s="12">
        <f t="shared" ref="B46:M46" si="1">B35-B24</f>
        <v>-82.885893442128861</v>
      </c>
      <c r="C46" s="12">
        <f t="shared" si="1"/>
        <v>-87.157337741785895</v>
      </c>
      <c r="D46" s="12">
        <f t="shared" si="1"/>
        <v>-100.96049477587488</v>
      </c>
      <c r="E46" s="12">
        <f t="shared" si="1"/>
        <v>-122.11445328085117</v>
      </c>
      <c r="F46" s="12">
        <f t="shared" si="1"/>
        <v>-90.229658316503574</v>
      </c>
      <c r="G46" s="12">
        <f t="shared" si="1"/>
        <v>-112.73004995427139</v>
      </c>
      <c r="H46" s="12">
        <f t="shared" si="1"/>
        <v>-95.791509660623177</v>
      </c>
      <c r="I46" s="12">
        <f t="shared" si="1"/>
        <v>-53.402646763585878</v>
      </c>
      <c r="J46" s="12">
        <f t="shared" si="1"/>
        <v>-101.39411876964068</v>
      </c>
      <c r="K46" s="12">
        <f t="shared" si="1"/>
        <v>-96.396107685246662</v>
      </c>
      <c r="L46" s="12">
        <f t="shared" si="1"/>
        <v>-102.21443628612973</v>
      </c>
      <c r="M46" s="12">
        <f t="shared" si="1"/>
        <v>-111.22754125577011</v>
      </c>
    </row>
    <row r="47" spans="1:13">
      <c r="A47" s="448" t="s">
        <v>1410</v>
      </c>
      <c r="B47" s="12">
        <f>B43-B35</f>
        <v>-2.1667066568227682</v>
      </c>
      <c r="C47" s="12">
        <f t="shared" ref="C47:M47" si="2">C43-C35</f>
        <v>4.0891013392299413</v>
      </c>
      <c r="D47" s="12">
        <f t="shared" si="2"/>
        <v>7.6849874501365889</v>
      </c>
      <c r="E47" s="12">
        <f t="shared" si="2"/>
        <v>1.9321988841070095</v>
      </c>
      <c r="F47" s="12">
        <f t="shared" si="2"/>
        <v>1.9278699082958468</v>
      </c>
      <c r="G47" s="12">
        <f t="shared" si="2"/>
        <v>-1.2358859217556244</v>
      </c>
      <c r="H47" s="12">
        <f t="shared" si="2"/>
        <v>-4.0949774952217268</v>
      </c>
      <c r="I47" s="12">
        <f t="shared" si="2"/>
        <v>4.0071822838087456</v>
      </c>
      <c r="J47" s="12">
        <f t="shared" si="2"/>
        <v>1.3539264114180014</v>
      </c>
      <c r="K47" s="12">
        <f t="shared" si="2"/>
        <v>5.7798012633265898</v>
      </c>
      <c r="L47" s="12">
        <f t="shared" si="2"/>
        <v>-4.1213990153444229</v>
      </c>
      <c r="M47" s="12">
        <f t="shared" si="2"/>
        <v>-16.506695247843624</v>
      </c>
    </row>
    <row r="48" spans="1:13">
      <c r="A48" s="448" t="s">
        <v>1408</v>
      </c>
      <c r="B48" s="12">
        <f>B43-B16</f>
        <v>-71.389571898230869</v>
      </c>
      <c r="C48" s="12">
        <f t="shared" ref="C48:M48" si="3">C43-C16</f>
        <v>-71.705390793965989</v>
      </c>
      <c r="D48" s="12">
        <f t="shared" si="3"/>
        <v>-68.934668377893388</v>
      </c>
      <c r="E48" s="12">
        <f t="shared" si="3"/>
        <v>-93.430078300385475</v>
      </c>
      <c r="F48" s="12">
        <f t="shared" si="3"/>
        <v>-78.818356993532632</v>
      </c>
      <c r="G48" s="12">
        <f t="shared" si="3"/>
        <v>-98.427424906914851</v>
      </c>
      <c r="H48" s="12">
        <f t="shared" si="3"/>
        <v>-97.432864087562351</v>
      </c>
      <c r="I48" s="12">
        <f t="shared" si="3"/>
        <v>-62.973918000498173</v>
      </c>
      <c r="J48" s="12">
        <f t="shared" si="3"/>
        <v>-59.682803796236144</v>
      </c>
      <c r="K48" s="12">
        <f t="shared" si="3"/>
        <v>-39.051228716237048</v>
      </c>
      <c r="L48" s="12">
        <f t="shared" si="3"/>
        <v>-33.021138932992372</v>
      </c>
      <c r="M48" s="12">
        <f t="shared" si="3"/>
        <v>-68.065244116337325</v>
      </c>
    </row>
    <row r="49" spans="1:13">
      <c r="A49" s="448" t="s">
        <v>2086</v>
      </c>
      <c r="B49" s="12">
        <f>B43-B5</f>
        <v>-7.9276735348740743</v>
      </c>
      <c r="C49" s="12">
        <f t="shared" ref="C49:M49" si="4">C43-C5</f>
        <v>-3.3329840047035759</v>
      </c>
      <c r="D49" s="12">
        <f t="shared" si="4"/>
        <v>67.002455118333927</v>
      </c>
      <c r="E49" s="12">
        <f t="shared" si="4"/>
        <v>43.991488754409602</v>
      </c>
      <c r="F49" s="12">
        <f t="shared" si="4"/>
        <v>14.944490020305523</v>
      </c>
      <c r="G49" s="12">
        <f t="shared" si="4"/>
        <v>23.34796655819504</v>
      </c>
      <c r="H49" s="12">
        <f t="shared" si="4"/>
        <v>0.47438813362127519</v>
      </c>
      <c r="I49" s="12">
        <f t="shared" si="4"/>
        <v>-14.222950831214746</v>
      </c>
      <c r="J49" s="12">
        <f t="shared" si="4"/>
        <v>-11.697200654220936</v>
      </c>
      <c r="K49" s="12">
        <f t="shared" si="4"/>
        <v>2.3912287118077842</v>
      </c>
      <c r="L49" s="12">
        <f t="shared" si="4"/>
        <v>-22.836454316206655</v>
      </c>
      <c r="M49" s="12">
        <f t="shared" si="4"/>
        <v>-18.632483100110548</v>
      </c>
    </row>
    <row r="50" spans="1:13">
      <c r="A50" s="140"/>
      <c r="B50" s="12"/>
      <c r="C50" s="12"/>
      <c r="D50" s="12"/>
      <c r="E50" s="12"/>
      <c r="F50" s="12"/>
      <c r="G50" s="12"/>
      <c r="H50" s="12"/>
      <c r="I50" s="12"/>
      <c r="J50" s="12"/>
      <c r="K50" s="12"/>
      <c r="L50" s="12"/>
      <c r="M50" s="12"/>
    </row>
    <row r="51" spans="1:13">
      <c r="A51" s="4" t="s">
        <v>438</v>
      </c>
    </row>
    <row r="52" spans="1:13">
      <c r="A52" s="4" t="s">
        <v>196</v>
      </c>
    </row>
    <row r="53" spans="1:13">
      <c r="A53" s="4" t="s">
        <v>439</v>
      </c>
    </row>
    <row r="54" spans="1:13">
      <c r="A54" s="1"/>
      <c r="B54" s="4"/>
      <c r="C54" s="4"/>
    </row>
    <row r="55" spans="1:13">
      <c r="A55" s="4"/>
      <c r="B55" s="4"/>
      <c r="C55" s="4"/>
    </row>
    <row r="56" spans="1:13">
      <c r="A56" s="4"/>
      <c r="H56" s="6"/>
      <c r="I56" s="6"/>
    </row>
    <row r="57" spans="1:13">
      <c r="A57" s="4"/>
      <c r="H57" s="6"/>
      <c r="I57" s="6"/>
    </row>
    <row r="58" spans="1:13">
      <c r="A58" s="4"/>
      <c r="D58" s="6"/>
      <c r="E58" s="6"/>
      <c r="H58" s="6"/>
      <c r="I58" s="6"/>
    </row>
    <row r="59" spans="1:13">
      <c r="A59" s="4"/>
      <c r="D59" s="10"/>
      <c r="E59" s="10"/>
      <c r="H59" s="6"/>
      <c r="I59" s="6"/>
    </row>
    <row r="60" spans="1:13">
      <c r="A60" s="4"/>
      <c r="H60" s="6"/>
      <c r="I60" s="6"/>
    </row>
    <row r="61" spans="1:13">
      <c r="A61" s="4"/>
      <c r="H61" s="6"/>
      <c r="I61" s="6"/>
    </row>
    <row r="62" spans="1:13">
      <c r="A62" s="4"/>
      <c r="H62" s="6"/>
      <c r="I62" s="6"/>
    </row>
    <row r="63" spans="1:13">
      <c r="A63" s="4"/>
      <c r="H63" s="6"/>
      <c r="I63" s="6"/>
    </row>
    <row r="64" spans="1:13">
      <c r="A64" s="4"/>
      <c r="H64" s="6"/>
      <c r="I64" s="6"/>
    </row>
    <row r="65" spans="1:9">
      <c r="A65" s="4"/>
      <c r="B65" s="4"/>
      <c r="C65" s="4"/>
      <c r="H65" s="6"/>
      <c r="I65" s="6"/>
    </row>
    <row r="66" spans="1:9">
      <c r="A66" s="4"/>
      <c r="B66" s="4"/>
      <c r="C66" s="4"/>
      <c r="H66" s="6"/>
      <c r="I66" s="6"/>
    </row>
    <row r="67" spans="1:9">
      <c r="A67" s="4"/>
      <c r="B67" s="4"/>
      <c r="C67" s="4"/>
      <c r="H67" s="6"/>
      <c r="I67" s="6"/>
    </row>
    <row r="68" spans="1:9">
      <c r="A68" s="4"/>
      <c r="B68" s="4"/>
      <c r="C68" s="4"/>
      <c r="H68" s="6"/>
      <c r="I68" s="6"/>
    </row>
    <row r="69" spans="1:9">
      <c r="A69" s="4"/>
      <c r="B69" s="4"/>
      <c r="C69" s="4"/>
      <c r="H69" s="6"/>
      <c r="I69" s="6"/>
    </row>
    <row r="70" spans="1:9">
      <c r="A70" s="4"/>
      <c r="B70" s="4"/>
      <c r="C70" s="4"/>
      <c r="H70" s="6"/>
      <c r="I70" s="6"/>
    </row>
    <row r="71" spans="1:9">
      <c r="A71" s="4"/>
      <c r="B71" s="4"/>
      <c r="C71" s="4"/>
      <c r="H71" s="6"/>
      <c r="I71" s="6"/>
    </row>
    <row r="72" spans="1:9">
      <c r="A72" s="4"/>
      <c r="B72" s="4"/>
      <c r="C72" s="4"/>
      <c r="H72" s="6"/>
      <c r="I72" s="6"/>
    </row>
    <row r="73" spans="1:9">
      <c r="A73" s="4"/>
      <c r="B73" s="4"/>
      <c r="C73" s="4"/>
      <c r="H73" s="6"/>
      <c r="I73" s="6"/>
    </row>
    <row r="74" spans="1:9">
      <c r="A74" s="4"/>
      <c r="B74" s="4"/>
      <c r="C74" s="4"/>
      <c r="H74" s="6"/>
      <c r="I74" s="6"/>
    </row>
    <row r="75" spans="1:9">
      <c r="A75" s="4"/>
      <c r="B75" s="4"/>
      <c r="C75" s="4"/>
      <c r="H75" s="6"/>
      <c r="I75" s="6"/>
    </row>
    <row r="76" spans="1:9">
      <c r="A76" s="4"/>
      <c r="B76" s="4"/>
      <c r="C76" s="4"/>
      <c r="H76" s="6"/>
      <c r="I76" s="6"/>
    </row>
    <row r="77" spans="1:9">
      <c r="A77" s="4"/>
      <c r="B77" s="4"/>
      <c r="C77" s="4"/>
      <c r="H77" s="6"/>
      <c r="I77" s="6"/>
    </row>
    <row r="78" spans="1:9">
      <c r="A78" s="4"/>
      <c r="B78" s="4"/>
      <c r="C78" s="4"/>
      <c r="H78" s="6"/>
      <c r="I78" s="6"/>
    </row>
    <row r="79" spans="1:9">
      <c r="A79" s="4"/>
      <c r="B79" s="4"/>
      <c r="C79" s="4"/>
      <c r="H79" s="6"/>
      <c r="I79" s="6"/>
    </row>
    <row r="80" spans="1:9">
      <c r="A80" s="4"/>
      <c r="B80" s="4"/>
      <c r="C80" s="4"/>
      <c r="H80" s="6"/>
      <c r="I80" s="6"/>
    </row>
    <row r="81" spans="1:9">
      <c r="A81" s="4"/>
      <c r="B81" s="4"/>
      <c r="C81" s="4"/>
      <c r="H81" s="6"/>
      <c r="I81" s="6"/>
    </row>
    <row r="82" spans="1:9">
      <c r="A82" s="4"/>
      <c r="B82" s="4"/>
      <c r="C82" s="4"/>
      <c r="H82" s="6"/>
      <c r="I82" s="6"/>
    </row>
    <row r="83" spans="1:9">
      <c r="A83" s="4"/>
      <c r="B83" s="4"/>
      <c r="C83" s="4"/>
      <c r="H83" s="6"/>
      <c r="I83" s="6"/>
    </row>
    <row r="84" spans="1:9">
      <c r="A84" s="4"/>
      <c r="B84" s="4"/>
      <c r="C84" s="4"/>
      <c r="H84" s="6"/>
      <c r="I84" s="6"/>
    </row>
    <row r="85" spans="1:9">
      <c r="A85" s="4"/>
      <c r="B85" s="4"/>
      <c r="C85" s="4"/>
    </row>
    <row r="86" spans="1:9">
      <c r="A86" s="4"/>
      <c r="B86" s="4"/>
      <c r="C86" s="4"/>
    </row>
    <row r="87" spans="1:9">
      <c r="A87" s="4"/>
      <c r="B87" s="4"/>
      <c r="C87" s="4"/>
    </row>
    <row r="88" spans="1:9">
      <c r="A88" s="4"/>
      <c r="B88" s="4"/>
      <c r="C88" s="4"/>
    </row>
    <row r="89" spans="1:9" ht="15.75">
      <c r="A89" s="3"/>
      <c r="B89" s="4"/>
      <c r="C89" s="4"/>
    </row>
    <row r="90" spans="1:9" ht="15.75">
      <c r="A90" s="3"/>
      <c r="B90" s="4"/>
      <c r="C90" s="4"/>
    </row>
    <row r="91" spans="1:9" ht="15.75">
      <c r="A91" s="3"/>
      <c r="B91" s="4"/>
      <c r="C91" s="4"/>
    </row>
    <row r="92" spans="1:9" ht="15.75">
      <c r="A92" s="3"/>
      <c r="B92" s="4"/>
      <c r="C92" s="4"/>
    </row>
    <row r="93" spans="1:9" ht="15.75">
      <c r="A93" s="40"/>
    </row>
  </sheetData>
  <mergeCells count="12">
    <mergeCell ref="L3:L4"/>
    <mergeCell ref="M3:M4"/>
    <mergeCell ref="C3:C4"/>
    <mergeCell ref="G3:G4"/>
    <mergeCell ref="H3:H4"/>
    <mergeCell ref="I3:I4"/>
    <mergeCell ref="J3:J4"/>
    <mergeCell ref="B3:B4"/>
    <mergeCell ref="D3:D4"/>
    <mergeCell ref="E3:E4"/>
    <mergeCell ref="F3:F4"/>
    <mergeCell ref="K3:K4"/>
  </mergeCells>
  <phoneticPr fontId="35" type="noConversion"/>
  <pageMargins left="0.75" right="0.75" top="1" bottom="1" header="0.5" footer="0.5"/>
  <pageSetup scale="74" orientation="portrait" verticalDpi="0" r:id="rId1"/>
  <headerFooter alignWithMargins="0"/>
</worksheet>
</file>

<file path=xl/worksheets/sheet178.xml><?xml version="1.0" encoding="utf-8"?>
<worksheet xmlns="http://schemas.openxmlformats.org/spreadsheetml/2006/main" xmlns:r="http://schemas.openxmlformats.org/officeDocument/2006/relationships">
  <sheetPr codeName="Sheet173"/>
  <dimension ref="A1:FD59"/>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0.140625" style="309" customWidth="1"/>
    <col min="2" max="7" width="14.85546875" style="309" customWidth="1"/>
    <col min="8" max="8" width="18.7109375" style="309" customWidth="1"/>
    <col min="9" max="86" width="14.85546875" style="309" customWidth="1"/>
    <col min="87" max="95" width="13.7109375" style="309" customWidth="1"/>
    <col min="96" max="16384" width="9.140625" style="309"/>
  </cols>
  <sheetData>
    <row r="1" spans="1:78" ht="15.75">
      <c r="B1" s="310" t="s">
        <v>2011</v>
      </c>
      <c r="C1" s="310"/>
      <c r="I1" s="310" t="s">
        <v>2012</v>
      </c>
      <c r="P1" s="310" t="s">
        <v>2013</v>
      </c>
      <c r="Q1" s="310"/>
      <c r="W1" s="310" t="s">
        <v>2014</v>
      </c>
      <c r="X1" s="310"/>
      <c r="AD1" s="310" t="s">
        <v>2015</v>
      </c>
      <c r="AE1" s="310"/>
      <c r="AK1" s="310" t="s">
        <v>2016</v>
      </c>
      <c r="AR1" s="310" t="s">
        <v>2017</v>
      </c>
      <c r="AS1" s="310"/>
      <c r="AY1" s="310" t="s">
        <v>2018</v>
      </c>
      <c r="BF1" s="310" t="s">
        <v>2019</v>
      </c>
      <c r="BG1" s="310"/>
      <c r="BM1" s="310" t="s">
        <v>2020</v>
      </c>
      <c r="BN1" s="310"/>
      <c r="BT1" s="310" t="s">
        <v>2021</v>
      </c>
      <c r="BU1" s="310"/>
    </row>
    <row r="3" spans="1:78" s="311" customFormat="1" ht="15">
      <c r="A3" s="1121"/>
      <c r="B3" s="311" t="s">
        <v>375</v>
      </c>
      <c r="I3" s="311" t="s">
        <v>1039</v>
      </c>
      <c r="P3" s="311" t="s">
        <v>1040</v>
      </c>
      <c r="W3" s="311" t="s">
        <v>791</v>
      </c>
      <c r="AD3" s="311" t="s">
        <v>792</v>
      </c>
      <c r="AK3" s="311" t="s">
        <v>1041</v>
      </c>
      <c r="AR3" s="311" t="s">
        <v>738</v>
      </c>
      <c r="AY3" s="311" t="s">
        <v>739</v>
      </c>
      <c r="BF3" s="311" t="s">
        <v>740</v>
      </c>
      <c r="BM3" s="311" t="s">
        <v>741</v>
      </c>
      <c r="BT3" s="311" t="s">
        <v>742</v>
      </c>
    </row>
    <row r="4" spans="1:78" s="312" customFormat="1" ht="79.150000000000006" customHeight="1">
      <c r="A4" s="1122"/>
      <c r="B4" s="1123" t="s">
        <v>125</v>
      </c>
      <c r="C4" s="1123" t="s">
        <v>126</v>
      </c>
      <c r="D4" s="1123" t="s">
        <v>127</v>
      </c>
      <c r="E4" s="1123" t="s">
        <v>128</v>
      </c>
      <c r="F4" s="1123" t="s">
        <v>129</v>
      </c>
      <c r="G4" s="1123" t="s">
        <v>130</v>
      </c>
      <c r="H4" s="1123" t="s">
        <v>131</v>
      </c>
      <c r="I4" s="1123" t="s">
        <v>125</v>
      </c>
      <c r="J4" s="1123" t="s">
        <v>126</v>
      </c>
      <c r="K4" s="1123" t="s">
        <v>127</v>
      </c>
      <c r="L4" s="1123" t="s">
        <v>128</v>
      </c>
      <c r="M4" s="1123" t="s">
        <v>129</v>
      </c>
      <c r="N4" s="1123" t="s">
        <v>130</v>
      </c>
      <c r="O4" s="1123" t="s">
        <v>131</v>
      </c>
      <c r="P4" s="1123" t="s">
        <v>125</v>
      </c>
      <c r="Q4" s="1123" t="s">
        <v>126</v>
      </c>
      <c r="R4" s="1123" t="s">
        <v>127</v>
      </c>
      <c r="S4" s="1123" t="s">
        <v>128</v>
      </c>
      <c r="T4" s="1123" t="s">
        <v>129</v>
      </c>
      <c r="U4" s="1123" t="s">
        <v>130</v>
      </c>
      <c r="V4" s="1123" t="s">
        <v>131</v>
      </c>
      <c r="W4" s="1123" t="s">
        <v>125</v>
      </c>
      <c r="X4" s="1123" t="s">
        <v>126</v>
      </c>
      <c r="Y4" s="1123" t="s">
        <v>127</v>
      </c>
      <c r="Z4" s="1123" t="s">
        <v>128</v>
      </c>
      <c r="AA4" s="1123" t="s">
        <v>129</v>
      </c>
      <c r="AB4" s="1123" t="s">
        <v>130</v>
      </c>
      <c r="AC4" s="1123" t="s">
        <v>131</v>
      </c>
      <c r="AD4" s="1123" t="s">
        <v>125</v>
      </c>
      <c r="AE4" s="1123" t="s">
        <v>126</v>
      </c>
      <c r="AF4" s="1123" t="s">
        <v>127</v>
      </c>
      <c r="AG4" s="1123" t="s">
        <v>128</v>
      </c>
      <c r="AH4" s="1123" t="s">
        <v>129</v>
      </c>
      <c r="AI4" s="1123" t="s">
        <v>130</v>
      </c>
      <c r="AJ4" s="1123" t="s">
        <v>131</v>
      </c>
      <c r="AK4" s="1123" t="s">
        <v>125</v>
      </c>
      <c r="AL4" s="1123" t="s">
        <v>126</v>
      </c>
      <c r="AM4" s="1123" t="s">
        <v>127</v>
      </c>
      <c r="AN4" s="1123" t="s">
        <v>128</v>
      </c>
      <c r="AO4" s="1123" t="s">
        <v>129</v>
      </c>
      <c r="AP4" s="1123" t="s">
        <v>130</v>
      </c>
      <c r="AQ4" s="1123" t="s">
        <v>131</v>
      </c>
      <c r="AR4" s="1123" t="s">
        <v>125</v>
      </c>
      <c r="AS4" s="1123" t="s">
        <v>126</v>
      </c>
      <c r="AT4" s="1123" t="s">
        <v>127</v>
      </c>
      <c r="AU4" s="1123" t="s">
        <v>128</v>
      </c>
      <c r="AV4" s="1123" t="s">
        <v>129</v>
      </c>
      <c r="AW4" s="1123" t="s">
        <v>130</v>
      </c>
      <c r="AX4" s="1123" t="s">
        <v>131</v>
      </c>
      <c r="AY4" s="1123" t="s">
        <v>125</v>
      </c>
      <c r="AZ4" s="1123" t="s">
        <v>126</v>
      </c>
      <c r="BA4" s="1123" t="s">
        <v>127</v>
      </c>
      <c r="BB4" s="1123" t="s">
        <v>128</v>
      </c>
      <c r="BC4" s="1123" t="s">
        <v>129</v>
      </c>
      <c r="BD4" s="1123" t="s">
        <v>130</v>
      </c>
      <c r="BE4" s="1123" t="s">
        <v>131</v>
      </c>
      <c r="BF4" s="1123" t="s">
        <v>125</v>
      </c>
      <c r="BG4" s="1123" t="s">
        <v>126</v>
      </c>
      <c r="BH4" s="1123" t="s">
        <v>127</v>
      </c>
      <c r="BI4" s="1123" t="s">
        <v>128</v>
      </c>
      <c r="BJ4" s="1123" t="s">
        <v>129</v>
      </c>
      <c r="BK4" s="1123" t="s">
        <v>130</v>
      </c>
      <c r="BL4" s="1123" t="s">
        <v>131</v>
      </c>
      <c r="BM4" s="1123" t="s">
        <v>125</v>
      </c>
      <c r="BN4" s="1123" t="s">
        <v>126</v>
      </c>
      <c r="BO4" s="1123" t="s">
        <v>127</v>
      </c>
      <c r="BP4" s="1123" t="s">
        <v>128</v>
      </c>
      <c r="BQ4" s="1123" t="s">
        <v>129</v>
      </c>
      <c r="BR4" s="1123" t="s">
        <v>130</v>
      </c>
      <c r="BS4" s="1123" t="s">
        <v>131</v>
      </c>
      <c r="BT4" s="1123" t="s">
        <v>125</v>
      </c>
      <c r="BU4" s="1123" t="s">
        <v>126</v>
      </c>
      <c r="BV4" s="1123" t="s">
        <v>127</v>
      </c>
      <c r="BW4" s="1123" t="s">
        <v>128</v>
      </c>
      <c r="BX4" s="1123" t="s">
        <v>129</v>
      </c>
      <c r="BY4" s="1123" t="s">
        <v>130</v>
      </c>
      <c r="BZ4" s="1124" t="s">
        <v>131</v>
      </c>
    </row>
    <row r="5" spans="1:78" s="312" customFormat="1">
      <c r="A5" s="605"/>
      <c r="B5" s="1050"/>
      <c r="C5" s="1050"/>
      <c r="D5" s="1050"/>
      <c r="E5" s="1050"/>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c r="BH5" s="1050"/>
      <c r="BI5" s="1050"/>
      <c r="BJ5" s="1050"/>
      <c r="BK5" s="1050"/>
      <c r="BL5" s="1050"/>
      <c r="BM5" s="1050"/>
      <c r="BN5" s="1050"/>
      <c r="BO5" s="1050"/>
      <c r="BP5" s="1050"/>
      <c r="BQ5" s="1050"/>
      <c r="BR5" s="1050"/>
      <c r="BS5" s="1050"/>
      <c r="BT5" s="1050"/>
      <c r="BU5" s="1050"/>
      <c r="BV5" s="1050"/>
      <c r="BW5" s="1050"/>
      <c r="BX5" s="1050"/>
      <c r="BY5" s="1050"/>
      <c r="BZ5" s="478"/>
    </row>
    <row r="6" spans="1:78" s="312" customFormat="1">
      <c r="A6" s="478"/>
      <c r="B6" s="653" t="s">
        <v>584</v>
      </c>
      <c r="C6" s="653" t="s">
        <v>132</v>
      </c>
      <c r="D6" s="653" t="s">
        <v>585</v>
      </c>
      <c r="E6" s="653" t="s">
        <v>587</v>
      </c>
      <c r="F6" s="653" t="s">
        <v>133</v>
      </c>
      <c r="G6" s="653" t="s">
        <v>134</v>
      </c>
      <c r="H6" s="653" t="s">
        <v>135</v>
      </c>
      <c r="I6" s="653" t="s">
        <v>584</v>
      </c>
      <c r="J6" s="653" t="s">
        <v>132</v>
      </c>
      <c r="K6" s="653" t="s">
        <v>585</v>
      </c>
      <c r="L6" s="653" t="s">
        <v>587</v>
      </c>
      <c r="M6" s="653" t="s">
        <v>133</v>
      </c>
      <c r="N6" s="653" t="s">
        <v>134</v>
      </c>
      <c r="O6" s="653" t="s">
        <v>135</v>
      </c>
      <c r="P6" s="653" t="s">
        <v>584</v>
      </c>
      <c r="Q6" s="653" t="s">
        <v>132</v>
      </c>
      <c r="R6" s="653" t="s">
        <v>585</v>
      </c>
      <c r="S6" s="653" t="s">
        <v>587</v>
      </c>
      <c r="T6" s="653" t="s">
        <v>133</v>
      </c>
      <c r="U6" s="653" t="s">
        <v>134</v>
      </c>
      <c r="V6" s="653" t="s">
        <v>135</v>
      </c>
      <c r="W6" s="653" t="s">
        <v>584</v>
      </c>
      <c r="X6" s="653" t="s">
        <v>132</v>
      </c>
      <c r="Y6" s="653" t="s">
        <v>585</v>
      </c>
      <c r="Z6" s="653" t="s">
        <v>587</v>
      </c>
      <c r="AA6" s="653" t="s">
        <v>133</v>
      </c>
      <c r="AB6" s="653" t="s">
        <v>134</v>
      </c>
      <c r="AC6" s="653" t="s">
        <v>135</v>
      </c>
      <c r="AD6" s="653" t="s">
        <v>584</v>
      </c>
      <c r="AE6" s="653" t="s">
        <v>132</v>
      </c>
      <c r="AF6" s="653" t="s">
        <v>585</v>
      </c>
      <c r="AG6" s="653" t="s">
        <v>587</v>
      </c>
      <c r="AH6" s="653" t="s">
        <v>133</v>
      </c>
      <c r="AI6" s="653" t="s">
        <v>134</v>
      </c>
      <c r="AJ6" s="653" t="s">
        <v>135</v>
      </c>
      <c r="AK6" s="653" t="s">
        <v>584</v>
      </c>
      <c r="AL6" s="653" t="s">
        <v>132</v>
      </c>
      <c r="AM6" s="653" t="s">
        <v>585</v>
      </c>
      <c r="AN6" s="653" t="s">
        <v>587</v>
      </c>
      <c r="AO6" s="653" t="s">
        <v>133</v>
      </c>
      <c r="AP6" s="653" t="s">
        <v>134</v>
      </c>
      <c r="AQ6" s="653" t="s">
        <v>135</v>
      </c>
      <c r="AR6" s="653" t="s">
        <v>584</v>
      </c>
      <c r="AS6" s="653" t="s">
        <v>132</v>
      </c>
      <c r="AT6" s="653" t="s">
        <v>585</v>
      </c>
      <c r="AU6" s="653" t="s">
        <v>587</v>
      </c>
      <c r="AV6" s="653" t="s">
        <v>133</v>
      </c>
      <c r="AW6" s="653" t="s">
        <v>134</v>
      </c>
      <c r="AX6" s="653" t="s">
        <v>135</v>
      </c>
      <c r="AY6" s="653" t="s">
        <v>584</v>
      </c>
      <c r="AZ6" s="653" t="s">
        <v>132</v>
      </c>
      <c r="BA6" s="653" t="s">
        <v>585</v>
      </c>
      <c r="BB6" s="653" t="s">
        <v>587</v>
      </c>
      <c r="BC6" s="653" t="s">
        <v>133</v>
      </c>
      <c r="BD6" s="653" t="s">
        <v>134</v>
      </c>
      <c r="BE6" s="653" t="s">
        <v>135</v>
      </c>
      <c r="BF6" s="653" t="s">
        <v>584</v>
      </c>
      <c r="BG6" s="653" t="s">
        <v>132</v>
      </c>
      <c r="BH6" s="653" t="s">
        <v>585</v>
      </c>
      <c r="BI6" s="653" t="s">
        <v>587</v>
      </c>
      <c r="BJ6" s="653" t="s">
        <v>133</v>
      </c>
      <c r="BK6" s="653" t="s">
        <v>134</v>
      </c>
      <c r="BL6" s="653" t="s">
        <v>135</v>
      </c>
      <c r="BM6" s="653" t="s">
        <v>584</v>
      </c>
      <c r="BN6" s="653" t="s">
        <v>132</v>
      </c>
      <c r="BO6" s="653" t="s">
        <v>585</v>
      </c>
      <c r="BP6" s="653" t="s">
        <v>587</v>
      </c>
      <c r="BQ6" s="653" t="s">
        <v>133</v>
      </c>
      <c r="BR6" s="653" t="s">
        <v>134</v>
      </c>
      <c r="BS6" s="653" t="s">
        <v>135</v>
      </c>
      <c r="BT6" s="653" t="s">
        <v>584</v>
      </c>
      <c r="BU6" s="653" t="s">
        <v>132</v>
      </c>
      <c r="BV6" s="653" t="s">
        <v>585</v>
      </c>
      <c r="BW6" s="653" t="s">
        <v>587</v>
      </c>
      <c r="BX6" s="653" t="s">
        <v>133</v>
      </c>
      <c r="BY6" s="653" t="s">
        <v>134</v>
      </c>
      <c r="BZ6" s="653" t="s">
        <v>135</v>
      </c>
    </row>
    <row r="7" spans="1:78" s="312" customFormat="1" hidden="1">
      <c r="A7" s="478"/>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653"/>
      <c r="BC7" s="653"/>
      <c r="BD7" s="653"/>
      <c r="BE7" s="653"/>
      <c r="BF7" s="653"/>
      <c r="BG7" s="653"/>
      <c r="BH7" s="653"/>
      <c r="BI7" s="653"/>
      <c r="BJ7" s="653"/>
      <c r="BK7" s="653"/>
      <c r="BL7" s="653"/>
      <c r="BM7" s="653"/>
      <c r="BN7" s="653"/>
      <c r="BO7" s="653"/>
      <c r="BP7" s="653"/>
      <c r="BQ7" s="653"/>
      <c r="BR7" s="653"/>
      <c r="BS7" s="653"/>
      <c r="BT7" s="653"/>
      <c r="BU7" s="653"/>
      <c r="BV7" s="653"/>
      <c r="BW7" s="653"/>
      <c r="BX7" s="653"/>
      <c r="BY7" s="653"/>
      <c r="BZ7" s="653"/>
    </row>
    <row r="8" spans="1:78" hidden="1">
      <c r="A8" s="2">
        <v>1971</v>
      </c>
      <c r="B8" s="10">
        <f>'[8]a20 (2)'!B4</f>
        <v>7.1</v>
      </c>
      <c r="C8" s="46">
        <f>($D$57-B8)/$D$59</f>
        <v>0.73313492063492058</v>
      </c>
      <c r="D8" s="10">
        <f>[8]a19!D8</f>
        <v>80.10486689970422</v>
      </c>
      <c r="E8" s="10">
        <f>[8]a23!B4</f>
        <v>29.89815965226385</v>
      </c>
      <c r="F8" s="46">
        <f>D8*E8/10000</f>
        <v>0.23949880994907025</v>
      </c>
      <c r="G8" s="46">
        <f t="shared" ref="G8:G17" si="0">(F8-$G$58)/$G$59</f>
        <v>0.2725076896227181</v>
      </c>
      <c r="H8" s="46">
        <f t="shared" ref="H8:H17" si="1">C8*0.8+G8*0.2</f>
        <v>0.64100947443248013</v>
      </c>
      <c r="I8" s="10">
        <f>'[8]a20 (2)'!C4</f>
        <v>13.4</v>
      </c>
      <c r="J8" s="46">
        <f>($D$57-I8)/$D$59</f>
        <v>0.42063492063492058</v>
      </c>
      <c r="K8" s="10">
        <f>[8]a19!G8</f>
        <v>126.59591836734694</v>
      </c>
      <c r="L8" s="10">
        <f>[8]a23!C4</f>
        <v>37.615238058599395</v>
      </c>
      <c r="M8" s="46">
        <f>K8*L8/10000</f>
        <v>0.47619356066347707</v>
      </c>
      <c r="N8" s="46">
        <f t="shared" ref="N8:N17" si="2">(M8-$G$58)/$G$59</f>
        <v>0.59088605420073026</v>
      </c>
      <c r="O8" s="46">
        <f t="shared" ref="O8:O17" si="3">J8*0.8+N8*0.2</f>
        <v>0.45468514734808252</v>
      </c>
      <c r="P8" s="10">
        <f>'[8]a20 (2)'!D4</f>
        <v>9.3000000000000007</v>
      </c>
      <c r="Q8" s="46">
        <f>($D$57-P8)/$D$59</f>
        <v>0.6240079365079364</v>
      </c>
      <c r="R8" s="10">
        <f>[8]a19!J8</f>
        <v>103.49999999999999</v>
      </c>
      <c r="S8" s="10">
        <f>[8]a23!D4</f>
        <v>45.666931792514596</v>
      </c>
      <c r="T8" s="46">
        <f>R8*S8/10000</f>
        <v>0.47265274405252605</v>
      </c>
      <c r="U8" s="46">
        <f t="shared" ref="U8:U17" si="4">(T8-$G$58)/$G$59</f>
        <v>0.58612329795682239</v>
      </c>
      <c r="V8" s="46">
        <f t="shared" ref="V8:V17" si="5">Q8*0.8+U8*0.2</f>
        <v>0.61643100879771362</v>
      </c>
      <c r="W8" s="10">
        <f>'[8]a20 (2)'!E4</f>
        <v>9.1999999999999993</v>
      </c>
      <c r="X8" s="46">
        <f>($D$57-W8)/$D$59</f>
        <v>0.62896825396825395</v>
      </c>
      <c r="Y8" s="10">
        <f>[8]a19!M8</f>
        <v>84.860465116279073</v>
      </c>
      <c r="Z8" s="10">
        <f>[8]a23!E4</f>
        <v>39.384641948100878</v>
      </c>
      <c r="AA8" s="46">
        <f>Y8*Z8/10000</f>
        <v>0.33421990341539559</v>
      </c>
      <c r="AB8" s="46">
        <f t="shared" ref="AB8:AB17" si="6">(AA8-$G$58)/$G$59</f>
        <v>0.3999171346477029</v>
      </c>
      <c r="AC8" s="46">
        <f t="shared" ref="AC8:AC17" si="7">X8*0.8+AB8*0.2</f>
        <v>0.58315803010414369</v>
      </c>
      <c r="AD8" s="10">
        <f>'[8]a20 (2)'!F4</f>
        <v>11</v>
      </c>
      <c r="AE8" s="46">
        <f>($D$57-AD8)/$D$59</f>
        <v>0.53968253968253965</v>
      </c>
      <c r="AF8" s="10">
        <f>[8]a19!P8</f>
        <v>106.28421052631579</v>
      </c>
      <c r="AG8" s="10">
        <f>[8]a23!F4</f>
        <v>39.185977454761655</v>
      </c>
      <c r="AH8" s="46">
        <f>AF8*AG8/10000</f>
        <v>0.41648506774813521</v>
      </c>
      <c r="AI8" s="46">
        <f t="shared" ref="AI8:AI17" si="8">(AH8-$G$58)/$G$59</f>
        <v>0.51057209595523667</v>
      </c>
      <c r="AJ8" s="46">
        <f t="shared" ref="AJ8:AJ17" si="9">AE8*0.8+AI8*0.2</f>
        <v>0.53386045093707912</v>
      </c>
      <c r="AK8" s="10">
        <f>'[8]a20 (2)'!G4</f>
        <v>8.6999999999999993</v>
      </c>
      <c r="AL8" s="46">
        <f>($D$57-AK8)/$D$59</f>
        <v>0.65376984126984128</v>
      </c>
      <c r="AM8" s="10">
        <f>[8]a19!S8</f>
        <v>90.155720776538629</v>
      </c>
      <c r="AN8" s="10">
        <f>[8]a23!G4</f>
        <v>37.398873078682264</v>
      </c>
      <c r="AO8" s="46">
        <f>AM8*AN8/10000</f>
        <v>0.33717223586388861</v>
      </c>
      <c r="AP8" s="46">
        <f t="shared" ref="AP8:AP17" si="10">(AO8-$G$58)/$G$59</f>
        <v>0.40388832020971793</v>
      </c>
      <c r="AQ8" s="46">
        <f t="shared" ref="AQ8:AQ17" si="11">AL8*0.8+AP8*0.2</f>
        <v>0.60379353705781669</v>
      </c>
      <c r="AR8" s="10">
        <f>'[8]a20 (2)'!H4</f>
        <v>6.1</v>
      </c>
      <c r="AS8" s="46">
        <f>($D$57-AR8)/$D$59</f>
        <v>0.78273809523809523</v>
      </c>
      <c r="AT8" s="10">
        <f>[8]a19!V8</f>
        <v>73.912785947712408</v>
      </c>
      <c r="AU8" s="10">
        <f>[8]a23!H4</f>
        <v>36.182854078733186</v>
      </c>
      <c r="AV8" s="46">
        <f>AT8*AU8/10000</f>
        <v>0.26743755484987186</v>
      </c>
      <c r="AW8" s="46">
        <f t="shared" ref="AW8:AW17" si="12">(AV8-$G$58)/$G$59</f>
        <v>0.31008812553450649</v>
      </c>
      <c r="AX8" s="46">
        <f t="shared" ref="AX8:AX17" si="13">AS8*0.8+AW8*0.2</f>
        <v>0.68820810129737753</v>
      </c>
      <c r="AY8" s="10">
        <f>'[8]a20 (2)'!I4</f>
        <v>4.7</v>
      </c>
      <c r="AZ8" s="46">
        <f>($D$57-AY8)/$D$59</f>
        <v>0.85218253968253965</v>
      </c>
      <c r="BA8" s="10">
        <f>[8]a19!Y8</f>
        <v>40.952830188679251</v>
      </c>
      <c r="BB8" s="10">
        <f>[8]a23!I4</f>
        <v>39.853943682805088</v>
      </c>
      <c r="BC8" s="46">
        <f>BA8*BB8/10000</f>
        <v>0.16321317879911029</v>
      </c>
      <c r="BD8" s="46">
        <f t="shared" ref="BD8:BD17" si="14">(BC8-$G$58)/$G$59</f>
        <v>0.16989580485121777</v>
      </c>
      <c r="BE8" s="46">
        <f t="shared" ref="BE8:BE17" si="15">AZ8*0.8+BD8*0.2</f>
        <v>0.71572519271627533</v>
      </c>
      <c r="BF8" s="10">
        <f>'[8]a20 (2)'!J4</f>
        <v>3.8</v>
      </c>
      <c r="BG8" s="46">
        <f>($D$57-BF8)/$D$59</f>
        <v>0.89682539682539675</v>
      </c>
      <c r="BH8" s="10">
        <f>[8]a19!AB8</f>
        <v>41.954248366013069</v>
      </c>
      <c r="BI8" s="10">
        <f>[8]a23!J4</f>
        <v>38.180796910218682</v>
      </c>
      <c r="BJ8" s="46">
        <f>BH8*BI8/10000</f>
        <v>0.1601846636383619</v>
      </c>
      <c r="BK8" s="46">
        <f t="shared" ref="BK8:BK17" si="16">(BJ8-$G$58)/$G$59</f>
        <v>0.16582214584074739</v>
      </c>
      <c r="BL8" s="46">
        <f t="shared" ref="BL8:BL17" si="17">BG8*0.8+BK8*0.2</f>
        <v>0.7506247466284669</v>
      </c>
      <c r="BM8" s="10">
        <f>'[8]a20 (2)'!K4</f>
        <v>3.9</v>
      </c>
      <c r="BN8" s="46">
        <f>($D$57-BM8)/$D$59</f>
        <v>0.89186507936507942</v>
      </c>
      <c r="BO8" s="10">
        <f>[8]a19!AE8</f>
        <v>34.883190883190885</v>
      </c>
      <c r="BP8" s="10">
        <f>[8]a23!K4</f>
        <v>38.403421171893214</v>
      </c>
      <c r="BQ8" s="46">
        <f>BO8*BP8/10000</f>
        <v>0.13396338713067252</v>
      </c>
      <c r="BR8" s="46">
        <f t="shared" ref="BR8:BR17" si="18">(BQ8-$G$58)/$G$59</f>
        <v>0.13055187851767125</v>
      </c>
      <c r="BS8" s="46">
        <f t="shared" ref="BS8:BS17" si="19">BN8*0.8+BR8*0.2</f>
        <v>0.73960243919559787</v>
      </c>
      <c r="BT8" s="10">
        <f>'[8]a20 (2)'!L4</f>
        <v>8.4</v>
      </c>
      <c r="BU8" s="46">
        <f>($D$57-BT8)/$D$59</f>
        <v>0.66865079365079361</v>
      </c>
      <c r="BV8" s="10">
        <f>[8]a19!AH8</f>
        <v>77.868986693961105</v>
      </c>
      <c r="BW8" s="10">
        <f>[8]a23!L4</f>
        <v>36.603731558354788</v>
      </c>
      <c r="BX8" s="46">
        <f>BV8*BW8/10000</f>
        <v>0.28502954856668528</v>
      </c>
      <c r="BY8" s="46">
        <f t="shared" ref="BY8:BY17" si="20">(BX8-$G$58)/$G$59</f>
        <v>0.33375113526463657</v>
      </c>
      <c r="BZ8" s="46">
        <f t="shared" ref="BZ8:BZ17" si="21">BU8*0.8+BY8*0.2</f>
        <v>0.60167086197356223</v>
      </c>
    </row>
    <row r="9" spans="1:78" hidden="1">
      <c r="A9" s="2">
        <v>1972</v>
      </c>
      <c r="B9" s="10">
        <f>'[8]a20 (2)'!B5</f>
        <v>7.1</v>
      </c>
      <c r="C9" s="46">
        <f t="shared" ref="C9:C17" si="22">($D$57-B9)/$D$59</f>
        <v>0.73313492063492058</v>
      </c>
      <c r="D9" s="10">
        <f>[8]a19!D9</f>
        <v>80.10486689970422</v>
      </c>
      <c r="E9" s="10">
        <f>[8]a23!B5</f>
        <v>43.311674199125022</v>
      </c>
      <c r="F9" s="46">
        <f t="shared" ref="F9:F17" si="23">D9*E9/10000</f>
        <v>0.34694758969242634</v>
      </c>
      <c r="G9" s="46">
        <f t="shared" si="0"/>
        <v>0.41703715919202589</v>
      </c>
      <c r="H9" s="46">
        <f t="shared" si="1"/>
        <v>0.66991536834634169</v>
      </c>
      <c r="I9" s="10">
        <f>'[8]a20 (2)'!C5</f>
        <v>13.4</v>
      </c>
      <c r="J9" s="46">
        <f t="shared" ref="J9:J17" si="24">($D$57-I9)/$D$59</f>
        <v>0.42063492063492058</v>
      </c>
      <c r="K9" s="10">
        <f>[8]a19!G9</f>
        <v>126.59591836734694</v>
      </c>
      <c r="L9" s="10">
        <f>[8]a23!C5</f>
        <v>40.845388737625392</v>
      </c>
      <c r="M9" s="46">
        <f t="shared" ref="M9:M17" si="25">K9*L9/10000</f>
        <v>0.51708594983109757</v>
      </c>
      <c r="N9" s="46">
        <f t="shared" si="2"/>
        <v>0.64589045099271281</v>
      </c>
      <c r="O9" s="46">
        <f t="shared" si="3"/>
        <v>0.46568602670647907</v>
      </c>
      <c r="P9" s="10">
        <f>'[8]a20 (2)'!D5</f>
        <v>9.3000000000000007</v>
      </c>
      <c r="Q9" s="46">
        <f t="shared" ref="Q9:Q17" si="26">($D$57-P9)/$D$59</f>
        <v>0.6240079365079364</v>
      </c>
      <c r="R9" s="10">
        <f>[8]a19!J9</f>
        <v>103.49999999999999</v>
      </c>
      <c r="S9" s="10">
        <f>[8]a23!D5</f>
        <v>48.020967536054215</v>
      </c>
      <c r="T9" s="46">
        <f t="shared" ref="T9:T17" si="27">R9*S9/10000</f>
        <v>0.49701701399816101</v>
      </c>
      <c r="U9" s="46">
        <f t="shared" si="4"/>
        <v>0.61889570374958136</v>
      </c>
      <c r="V9" s="46">
        <f t="shared" si="5"/>
        <v>0.62298548995626546</v>
      </c>
      <c r="W9" s="10">
        <f>'[8]a20 (2)'!E5</f>
        <v>9.1999999999999993</v>
      </c>
      <c r="X9" s="46">
        <f t="shared" ref="X9:X17" si="28">($D$57-W9)/$D$59</f>
        <v>0.62896825396825395</v>
      </c>
      <c r="Y9" s="10">
        <f>[8]a19!M9</f>
        <v>84.860465116279073</v>
      </c>
      <c r="Z9" s="10">
        <f>[8]a23!E5</f>
        <v>42.583465802887005</v>
      </c>
      <c r="AA9" s="46">
        <f t="shared" ref="AA9:AA17" si="29">Y9*Z9/10000</f>
        <v>0.36136527142961555</v>
      </c>
      <c r="AB9" s="46">
        <f t="shared" si="6"/>
        <v>0.43643039845330189</v>
      </c>
      <c r="AC9" s="46">
        <f t="shared" si="7"/>
        <v>0.59046068286526354</v>
      </c>
      <c r="AD9" s="10">
        <f>'[8]a20 (2)'!F5</f>
        <v>11</v>
      </c>
      <c r="AE9" s="46">
        <f t="shared" ref="AE9:AE17" si="30">($D$57-AD9)/$D$59</f>
        <v>0.53968253968253965</v>
      </c>
      <c r="AF9" s="10">
        <f>[8]a19!P9</f>
        <v>106.28421052631579</v>
      </c>
      <c r="AG9" s="10">
        <f>[8]a23!F5</f>
        <v>41.931593303503305</v>
      </c>
      <c r="AH9" s="46">
        <f t="shared" ref="AH9:AH17" si="31">AF9*AG9/10000</f>
        <v>0.44566662903733989</v>
      </c>
      <c r="AI9" s="46">
        <f t="shared" si="8"/>
        <v>0.54982424553205667</v>
      </c>
      <c r="AJ9" s="46">
        <f t="shared" si="9"/>
        <v>0.54171088085244312</v>
      </c>
      <c r="AK9" s="10">
        <f>'[8]a20 (2)'!G5</f>
        <v>8.6999999999999993</v>
      </c>
      <c r="AL9" s="46">
        <f t="shared" ref="AL9:AL17" si="32">($D$57-AK9)/$D$59</f>
        <v>0.65376984126984128</v>
      </c>
      <c r="AM9" s="10">
        <f>[8]a19!S9</f>
        <v>90.155720776538629</v>
      </c>
      <c r="AN9" s="10">
        <f>[8]a23!G5</f>
        <v>40.812396931843473</v>
      </c>
      <c r="AO9" s="46">
        <f t="shared" ref="AO9:AO17" si="33">AM9*AN9/10000</f>
        <v>0.36794710620085419</v>
      </c>
      <c r="AP9" s="46">
        <f t="shared" si="10"/>
        <v>0.44528363150585099</v>
      </c>
      <c r="AQ9" s="46">
        <f t="shared" si="11"/>
        <v>0.61207259931704328</v>
      </c>
      <c r="AR9" s="10">
        <f>'[8]a20 (2)'!H5</f>
        <v>6.1</v>
      </c>
      <c r="AS9" s="46">
        <f t="shared" ref="AS9:AS17" si="34">($D$57-AR9)/$D$59</f>
        <v>0.78273809523809523</v>
      </c>
      <c r="AT9" s="10">
        <f>[8]a19!V9</f>
        <v>73.912785947712408</v>
      </c>
      <c r="AU9" s="10">
        <f>[8]a23!H5</f>
        <v>39.444962709219205</v>
      </c>
      <c r="AV9" s="46">
        <f t="shared" ref="AV9:AV17" si="35">AT9*AU9/10000</f>
        <v>0.29154870854420173</v>
      </c>
      <c r="AW9" s="46">
        <f t="shared" si="12"/>
        <v>0.34252006438452426</v>
      </c>
      <c r="AX9" s="46">
        <f t="shared" si="13"/>
        <v>0.69469448906738107</v>
      </c>
      <c r="AY9" s="10">
        <f>'[8]a20 (2)'!I5</f>
        <v>4.7</v>
      </c>
      <c r="AZ9" s="46">
        <f t="shared" ref="AZ9:AZ17" si="36">($D$57-AY9)/$D$59</f>
        <v>0.85218253968253965</v>
      </c>
      <c r="BA9" s="10">
        <f>[8]a19!Y9</f>
        <v>40.952830188679251</v>
      </c>
      <c r="BB9" s="10">
        <f>[8]a23!I5</f>
        <v>42.977712994596331</v>
      </c>
      <c r="BC9" s="46">
        <f t="shared" ref="BC9:BC17" si="37">BA9*BB9/10000</f>
        <v>0.17600589821654972</v>
      </c>
      <c r="BD9" s="46">
        <f t="shared" si="14"/>
        <v>0.18710330554287483</v>
      </c>
      <c r="BE9" s="46">
        <f t="shared" si="15"/>
        <v>0.71916669285460677</v>
      </c>
      <c r="BF9" s="10">
        <f>'[8]a20 (2)'!J5</f>
        <v>3.8</v>
      </c>
      <c r="BG9" s="46">
        <f t="shared" ref="BG9:BG17" si="38">($D$57-BF9)/$D$59</f>
        <v>0.89682539682539675</v>
      </c>
      <c r="BH9" s="10">
        <f>[8]a19!AB9</f>
        <v>41.954248366013069</v>
      </c>
      <c r="BI9" s="10">
        <f>[8]a23!J5</f>
        <v>41.197508932495211</v>
      </c>
      <c r="BJ9" s="46">
        <f t="shared" ref="BJ9:BJ17" si="39">BH9*BI9/10000</f>
        <v>0.17284105218149459</v>
      </c>
      <c r="BK9" s="46">
        <f t="shared" si="16"/>
        <v>0.18284626772627433</v>
      </c>
      <c r="BL9" s="46">
        <f t="shared" si="17"/>
        <v>0.75402957100557233</v>
      </c>
      <c r="BM9" s="10">
        <f>'[8]a20 (2)'!K5</f>
        <v>3.9</v>
      </c>
      <c r="BN9" s="46">
        <f t="shared" ref="BN9:BN17" si="40">($D$57-BM9)/$D$59</f>
        <v>0.89186507936507942</v>
      </c>
      <c r="BO9" s="10">
        <f>[8]a19!AE9</f>
        <v>34.883190883190885</v>
      </c>
      <c r="BP9" s="10">
        <f>[8]a23!K5</f>
        <v>41.96797435350463</v>
      </c>
      <c r="BQ9" s="46">
        <f t="shared" ref="BQ9:BQ17" si="41">BO9*BP9/10000</f>
        <v>0.14639768603541614</v>
      </c>
      <c r="BR9" s="46">
        <f t="shared" si="18"/>
        <v>0.1472772673909678</v>
      </c>
      <c r="BS9" s="46">
        <f t="shared" si="19"/>
        <v>0.74294751697025718</v>
      </c>
      <c r="BT9" s="10">
        <f>'[8]a20 (2)'!L5</f>
        <v>8.4</v>
      </c>
      <c r="BU9" s="46">
        <f t="shared" ref="BU9:BU17" si="42">($D$57-BT9)/$D$59</f>
        <v>0.66865079365079361</v>
      </c>
      <c r="BV9" s="10">
        <f>[8]a19!AH9</f>
        <v>77.868986693961105</v>
      </c>
      <c r="BW9" s="10">
        <f>[8]a23!L5</f>
        <v>39.924497722975218</v>
      </c>
      <c r="BX9" s="46">
        <f t="shared" ref="BX9:BX17" si="43">BV9*BW9/10000</f>
        <v>0.31088801819534378</v>
      </c>
      <c r="BY9" s="46">
        <f t="shared" si="20"/>
        <v>0.36853339066326207</v>
      </c>
      <c r="BZ9" s="46">
        <f t="shared" si="21"/>
        <v>0.60862731305328732</v>
      </c>
    </row>
    <row r="10" spans="1:78" hidden="1">
      <c r="A10" s="2">
        <v>1973</v>
      </c>
      <c r="B10" s="10">
        <f>'[8]a20 (2)'!B6</f>
        <v>7.1</v>
      </c>
      <c r="C10" s="46">
        <f t="shared" si="22"/>
        <v>0.73313492063492058</v>
      </c>
      <c r="D10" s="10">
        <f>[8]a19!D10</f>
        <v>80.10486689970422</v>
      </c>
      <c r="E10" s="10">
        <f>[8]a23!B6</f>
        <v>44.62245539289183</v>
      </c>
      <c r="F10" s="46">
        <f t="shared" si="23"/>
        <v>0.35744758499855889</v>
      </c>
      <c r="G10" s="46">
        <f t="shared" si="0"/>
        <v>0.43116071420772994</v>
      </c>
      <c r="H10" s="46">
        <f t="shared" si="1"/>
        <v>0.67274007934948254</v>
      </c>
      <c r="I10" s="10">
        <f>'[8]a20 (2)'!C6</f>
        <v>13.4</v>
      </c>
      <c r="J10" s="46">
        <f t="shared" si="24"/>
        <v>0.42063492063492058</v>
      </c>
      <c r="K10" s="10">
        <f>[8]a19!G10</f>
        <v>126.59591836734694</v>
      </c>
      <c r="L10" s="10">
        <f>[8]a23!C6</f>
        <v>40.514814781882372</v>
      </c>
      <c r="M10" s="46">
        <f t="shared" si="25"/>
        <v>0.51290101847953617</v>
      </c>
      <c r="N10" s="46">
        <f t="shared" si="2"/>
        <v>0.64026129531621445</v>
      </c>
      <c r="O10" s="46">
        <f t="shared" si="3"/>
        <v>0.46456019557117934</v>
      </c>
      <c r="P10" s="10">
        <f>'[8]a20 (2)'!D6</f>
        <v>9.3000000000000007</v>
      </c>
      <c r="Q10" s="46">
        <f t="shared" si="26"/>
        <v>0.6240079365079364</v>
      </c>
      <c r="R10" s="10">
        <f>[8]a19!J10</f>
        <v>103.49999999999999</v>
      </c>
      <c r="S10" s="10">
        <f>[8]a23!D6</f>
        <v>47.942971000397996</v>
      </c>
      <c r="T10" s="46">
        <f t="shared" si="27"/>
        <v>0.4962097498541192</v>
      </c>
      <c r="U10" s="46">
        <f t="shared" si="4"/>
        <v>0.6178098518783981</v>
      </c>
      <c r="V10" s="46">
        <f t="shared" si="5"/>
        <v>0.62276831958202883</v>
      </c>
      <c r="W10" s="10">
        <f>'[8]a20 (2)'!E6</f>
        <v>9.1999999999999993</v>
      </c>
      <c r="X10" s="46">
        <f t="shared" si="28"/>
        <v>0.62896825396825395</v>
      </c>
      <c r="Y10" s="10">
        <f>[8]a19!M10</f>
        <v>84.860465116279073</v>
      </c>
      <c r="Z10" s="10">
        <f>[8]a23!E6</f>
        <v>42.874343991884906</v>
      </c>
      <c r="AA10" s="46">
        <f t="shared" si="29"/>
        <v>0.36383367727066984</v>
      </c>
      <c r="AB10" s="46">
        <f t="shared" si="6"/>
        <v>0.43975065381349754</v>
      </c>
      <c r="AC10" s="46">
        <f t="shared" si="7"/>
        <v>0.59112473393730269</v>
      </c>
      <c r="AD10" s="10">
        <f>'[8]a20 (2)'!F6</f>
        <v>11</v>
      </c>
      <c r="AE10" s="46">
        <f t="shared" si="30"/>
        <v>0.53968253968253965</v>
      </c>
      <c r="AF10" s="10">
        <f>[8]a19!P10</f>
        <v>106.28421052631579</v>
      </c>
      <c r="AG10" s="10">
        <f>[8]a23!F6</f>
        <v>43.012626120202782</v>
      </c>
      <c r="AH10" s="46">
        <f t="shared" si="31"/>
        <v>0.45715630098493421</v>
      </c>
      <c r="AI10" s="46">
        <f t="shared" si="8"/>
        <v>0.56527901566604544</v>
      </c>
      <c r="AJ10" s="46">
        <f t="shared" si="9"/>
        <v>0.54480183487924083</v>
      </c>
      <c r="AK10" s="10">
        <f>'[8]a20 (2)'!G6</f>
        <v>8.6999999999999993</v>
      </c>
      <c r="AL10" s="46">
        <f t="shared" si="32"/>
        <v>0.65376984126984128</v>
      </c>
      <c r="AM10" s="10">
        <f>[8]a19!S10</f>
        <v>90.155720776538629</v>
      </c>
      <c r="AN10" s="10">
        <f>[8]a23!G6</f>
        <v>41.51557912477336</v>
      </c>
      <c r="AO10" s="46">
        <f t="shared" si="33"/>
        <v>0.3742866959449363</v>
      </c>
      <c r="AP10" s="46">
        <f t="shared" si="10"/>
        <v>0.45381102051099104</v>
      </c>
      <c r="AQ10" s="46">
        <f t="shared" si="11"/>
        <v>0.6137780771180712</v>
      </c>
      <c r="AR10" s="10">
        <f>'[8]a20 (2)'!H6</f>
        <v>6.1</v>
      </c>
      <c r="AS10" s="46">
        <f t="shared" si="34"/>
        <v>0.78273809523809523</v>
      </c>
      <c r="AT10" s="10">
        <f>[8]a19!V10</f>
        <v>73.912785947712408</v>
      </c>
      <c r="AU10" s="10">
        <f>[8]a23!H6</f>
        <v>40.540281493912723</v>
      </c>
      <c r="AV10" s="46">
        <f t="shared" si="35"/>
        <v>0.29964451483195775</v>
      </c>
      <c r="AW10" s="46">
        <f t="shared" si="12"/>
        <v>0.35340974215750609</v>
      </c>
      <c r="AX10" s="46">
        <f t="shared" si="13"/>
        <v>0.6968724246219774</v>
      </c>
      <c r="AY10" s="10">
        <f>'[8]a20 (2)'!I6</f>
        <v>4.7</v>
      </c>
      <c r="AZ10" s="46">
        <f t="shared" si="36"/>
        <v>0.85218253968253965</v>
      </c>
      <c r="BA10" s="10">
        <f>[8]a19!Y10</f>
        <v>40.952830188679251</v>
      </c>
      <c r="BB10" s="10">
        <f>[8]a23!I6</f>
        <v>44.227935399725297</v>
      </c>
      <c r="BC10" s="46">
        <f t="shared" si="37"/>
        <v>0.18112591280208257</v>
      </c>
      <c r="BD10" s="46">
        <f t="shared" si="14"/>
        <v>0.19399024268633677</v>
      </c>
      <c r="BE10" s="46">
        <f t="shared" si="15"/>
        <v>0.72054408028329908</v>
      </c>
      <c r="BF10" s="10">
        <f>'[8]a20 (2)'!J6</f>
        <v>3.8</v>
      </c>
      <c r="BG10" s="46">
        <f t="shared" si="38"/>
        <v>0.89682539682539675</v>
      </c>
      <c r="BH10" s="10">
        <f>[8]a19!AB10</f>
        <v>41.954248366013069</v>
      </c>
      <c r="BI10" s="10">
        <f>[8]a23!J6</f>
        <v>42.368236685914809</v>
      </c>
      <c r="BJ10" s="46">
        <f t="shared" si="39"/>
        <v>0.17775275247508965</v>
      </c>
      <c r="BK10" s="46">
        <f t="shared" si="16"/>
        <v>0.18945300109088101</v>
      </c>
      <c r="BL10" s="46">
        <f t="shared" si="17"/>
        <v>0.75535091767849372</v>
      </c>
      <c r="BM10" s="10">
        <f>'[8]a20 (2)'!K6</f>
        <v>3.9</v>
      </c>
      <c r="BN10" s="46">
        <f t="shared" si="40"/>
        <v>0.89186507936507942</v>
      </c>
      <c r="BO10" s="10">
        <f>[8]a19!AE10</f>
        <v>34.883190883190885</v>
      </c>
      <c r="BP10" s="10">
        <f>[8]a23!K6</f>
        <v>42.910180373978768</v>
      </c>
      <c r="BQ10" s="46">
        <f t="shared" si="41"/>
        <v>0.14968440128176524</v>
      </c>
      <c r="BR10" s="46">
        <f t="shared" si="18"/>
        <v>0.1516982316151759</v>
      </c>
      <c r="BS10" s="46">
        <f t="shared" si="19"/>
        <v>0.74383170981509883</v>
      </c>
      <c r="BT10" s="10">
        <f>'[8]a20 (2)'!L6</f>
        <v>8.4</v>
      </c>
      <c r="BU10" s="46">
        <f t="shared" si="42"/>
        <v>0.66865079365079361</v>
      </c>
      <c r="BV10" s="10">
        <f>[8]a19!AH10</f>
        <v>77.868986693961105</v>
      </c>
      <c r="BW10" s="10">
        <f>[8]a23!L6</f>
        <v>40.630462031217505</v>
      </c>
      <c r="BX10" s="46">
        <f t="shared" si="43"/>
        <v>0.31638529072783678</v>
      </c>
      <c r="BY10" s="46">
        <f t="shared" si="20"/>
        <v>0.37592777787823894</v>
      </c>
      <c r="BZ10" s="46">
        <f t="shared" si="21"/>
        <v>0.61010619049628267</v>
      </c>
    </row>
    <row r="11" spans="1:78" hidden="1">
      <c r="A11" s="2">
        <v>1974</v>
      </c>
      <c r="B11" s="10">
        <f>'[8]a20 (2)'!B7</f>
        <v>7.1</v>
      </c>
      <c r="C11" s="46">
        <f t="shared" si="22"/>
        <v>0.73313492063492058</v>
      </c>
      <c r="D11" s="10">
        <f>[8]a19!D11</f>
        <v>80.10486689970422</v>
      </c>
      <c r="E11" s="10">
        <f>[8]a23!B7</f>
        <v>43.991003713640595</v>
      </c>
      <c r="F11" s="46">
        <f t="shared" si="23"/>
        <v>0.35238934972655739</v>
      </c>
      <c r="G11" s="46">
        <f t="shared" si="0"/>
        <v>0.42435687648555848</v>
      </c>
      <c r="H11" s="46">
        <f t="shared" si="1"/>
        <v>0.67137931180504817</v>
      </c>
      <c r="I11" s="10">
        <f>'[8]a20 (2)'!C7</f>
        <v>13.4</v>
      </c>
      <c r="J11" s="46">
        <f t="shared" si="24"/>
        <v>0.42063492063492058</v>
      </c>
      <c r="K11" s="10">
        <f>[8]a19!G11</f>
        <v>126.59591836734694</v>
      </c>
      <c r="L11" s="10">
        <f>[8]a23!C7</f>
        <v>39.206819538166243</v>
      </c>
      <c r="M11" s="46">
        <f t="shared" si="25"/>
        <v>0.49634233256969967</v>
      </c>
      <c r="N11" s="46">
        <f t="shared" si="2"/>
        <v>0.61798818903218122</v>
      </c>
      <c r="O11" s="46">
        <f t="shared" si="3"/>
        <v>0.46010557431437271</v>
      </c>
      <c r="P11" s="10">
        <f>'[8]a20 (2)'!D7</f>
        <v>9.3000000000000007</v>
      </c>
      <c r="Q11" s="46">
        <f t="shared" si="26"/>
        <v>0.6240079365079364</v>
      </c>
      <c r="R11" s="10">
        <f>[8]a19!J11</f>
        <v>103.49999999999999</v>
      </c>
      <c r="S11" s="10">
        <f>[8]a23!D7</f>
        <v>45.922981959148458</v>
      </c>
      <c r="T11" s="46">
        <f t="shared" si="27"/>
        <v>0.47530286327718652</v>
      </c>
      <c r="U11" s="46">
        <f t="shared" si="4"/>
        <v>0.58968797618537427</v>
      </c>
      <c r="V11" s="46">
        <f t="shared" si="5"/>
        <v>0.61714394444342402</v>
      </c>
      <c r="W11" s="10">
        <f>'[8]a20 (2)'!E7</f>
        <v>9.1999999999999993</v>
      </c>
      <c r="X11" s="46">
        <f t="shared" si="28"/>
        <v>0.62896825396825395</v>
      </c>
      <c r="Y11" s="10">
        <f>[8]a19!M11</f>
        <v>84.860465116279073</v>
      </c>
      <c r="Z11" s="10">
        <f>[8]a23!E7</f>
        <v>42.028146516516038</v>
      </c>
      <c r="AA11" s="46">
        <f t="shared" si="29"/>
        <v>0.3566528061366675</v>
      </c>
      <c r="AB11" s="46">
        <f t="shared" si="6"/>
        <v>0.43009165630303875</v>
      </c>
      <c r="AC11" s="46">
        <f t="shared" si="7"/>
        <v>0.58919293443521092</v>
      </c>
      <c r="AD11" s="10">
        <f>'[8]a20 (2)'!F7</f>
        <v>11</v>
      </c>
      <c r="AE11" s="46">
        <f t="shared" si="30"/>
        <v>0.53968253968253965</v>
      </c>
      <c r="AF11" s="10">
        <f>[8]a19!P11</f>
        <v>106.28421052631579</v>
      </c>
      <c r="AG11" s="10">
        <f>[8]a23!F7</f>
        <v>40.765972619788322</v>
      </c>
      <c r="AH11" s="46">
        <f t="shared" si="31"/>
        <v>0.43327792162316076</v>
      </c>
      <c r="AI11" s="46">
        <f t="shared" si="8"/>
        <v>0.53316018182191138</v>
      </c>
      <c r="AJ11" s="46">
        <f t="shared" si="9"/>
        <v>0.538378068110414</v>
      </c>
      <c r="AK11" s="10">
        <f>'[8]a20 (2)'!G7</f>
        <v>8.6999999999999993</v>
      </c>
      <c r="AL11" s="46">
        <f t="shared" si="32"/>
        <v>0.65376984126984128</v>
      </c>
      <c r="AM11" s="10">
        <f>[8]a19!S11</f>
        <v>90.155720776538629</v>
      </c>
      <c r="AN11" s="10">
        <f>[8]a23!G7</f>
        <v>40.5186294898241</v>
      </c>
      <c r="AO11" s="46">
        <f t="shared" si="33"/>
        <v>0.36529862465326057</v>
      </c>
      <c r="AP11" s="46">
        <f t="shared" si="10"/>
        <v>0.44172115611848883</v>
      </c>
      <c r="AQ11" s="46">
        <f t="shared" si="11"/>
        <v>0.61136010423957088</v>
      </c>
      <c r="AR11" s="10">
        <f>'[8]a20 (2)'!H7</f>
        <v>6.1</v>
      </c>
      <c r="AS11" s="46">
        <f t="shared" si="34"/>
        <v>0.78273809523809523</v>
      </c>
      <c r="AT11" s="10">
        <f>[8]a19!V11</f>
        <v>73.912785947712408</v>
      </c>
      <c r="AU11" s="10">
        <f>[8]a23!H7</f>
        <v>40.468006539526243</v>
      </c>
      <c r="AV11" s="46">
        <f t="shared" si="35"/>
        <v>0.29911031050866288</v>
      </c>
      <c r="AW11" s="46">
        <f t="shared" si="12"/>
        <v>0.35269118334583927</v>
      </c>
      <c r="AX11" s="46">
        <f t="shared" si="13"/>
        <v>0.69672871285964399</v>
      </c>
      <c r="AY11" s="10">
        <f>'[8]a20 (2)'!I7</f>
        <v>4.7</v>
      </c>
      <c r="AZ11" s="46">
        <f t="shared" si="36"/>
        <v>0.85218253968253965</v>
      </c>
      <c r="BA11" s="10">
        <f>[8]a19!Y11</f>
        <v>40.952830188679251</v>
      </c>
      <c r="BB11" s="10">
        <f>[8]a23!I7</f>
        <v>43.030717826699522</v>
      </c>
      <c r="BC11" s="46">
        <f t="shared" si="37"/>
        <v>0.17622296800537987</v>
      </c>
      <c r="BD11" s="46">
        <f t="shared" si="14"/>
        <v>0.18739528635004712</v>
      </c>
      <c r="BE11" s="46">
        <f t="shared" si="15"/>
        <v>0.71922508901604121</v>
      </c>
      <c r="BF11" s="10">
        <f>'[8]a20 (2)'!J7</f>
        <v>3.8</v>
      </c>
      <c r="BG11" s="46">
        <f t="shared" si="38"/>
        <v>0.89682539682539675</v>
      </c>
      <c r="BH11" s="10">
        <f>[8]a19!AB11</f>
        <v>41.954248366013069</v>
      </c>
      <c r="BI11" s="10">
        <f>[8]a23!J7</f>
        <v>40.948023201615847</v>
      </c>
      <c r="BJ11" s="46">
        <f t="shared" si="39"/>
        <v>0.17179435354978567</v>
      </c>
      <c r="BK11" s="46">
        <f t="shared" si="16"/>
        <v>0.18143835226738178</v>
      </c>
      <c r="BL11" s="46">
        <f t="shared" si="17"/>
        <v>0.75374798791379383</v>
      </c>
      <c r="BM11" s="10">
        <f>'[8]a20 (2)'!K7</f>
        <v>3.9</v>
      </c>
      <c r="BN11" s="46">
        <f t="shared" si="40"/>
        <v>0.89186507936507942</v>
      </c>
      <c r="BO11" s="10">
        <f>[8]a19!AE11</f>
        <v>34.883190883190885</v>
      </c>
      <c r="BP11" s="10">
        <f>[8]a23!K7</f>
        <v>42.304272653097428</v>
      </c>
      <c r="BQ11" s="46">
        <f t="shared" si="41"/>
        <v>0.14757080181325496</v>
      </c>
      <c r="BR11" s="46">
        <f t="shared" si="18"/>
        <v>0.14885522668952295</v>
      </c>
      <c r="BS11" s="46">
        <f t="shared" si="19"/>
        <v>0.74326310882996816</v>
      </c>
      <c r="BT11" s="10">
        <f>'[8]a20 (2)'!L7</f>
        <v>8.4</v>
      </c>
      <c r="BU11" s="46">
        <f t="shared" si="42"/>
        <v>0.66865079365079361</v>
      </c>
      <c r="BV11" s="10">
        <f>[8]a19!AH11</f>
        <v>77.868986693961105</v>
      </c>
      <c r="BW11" s="10">
        <f>[8]a23!L7</f>
        <v>39.485089699890203</v>
      </c>
      <c r="BX11" s="46">
        <f t="shared" si="43"/>
        <v>0.30746639244506108</v>
      </c>
      <c r="BY11" s="46">
        <f t="shared" si="20"/>
        <v>0.36393095817464532</v>
      </c>
      <c r="BZ11" s="46">
        <f t="shared" si="21"/>
        <v>0.60770682655556396</v>
      </c>
    </row>
    <row r="12" spans="1:78" hidden="1">
      <c r="A12" s="2">
        <v>1975</v>
      </c>
      <c r="B12" s="10">
        <f>'[8]a20 (2)'!B8</f>
        <v>7.1</v>
      </c>
      <c r="C12" s="46">
        <f t="shared" si="22"/>
        <v>0.73313492063492058</v>
      </c>
      <c r="D12" s="10">
        <f>[8]a19!D12</f>
        <v>80.104816482925528</v>
      </c>
      <c r="E12" s="10">
        <f>[8]a23!B8</f>
        <v>43.541315456615237</v>
      </c>
      <c r="F12" s="46">
        <f t="shared" si="23"/>
        <v>0.34878690840773324</v>
      </c>
      <c r="G12" s="46">
        <f t="shared" si="0"/>
        <v>0.41951122878059788</v>
      </c>
      <c r="H12" s="46">
        <f t="shared" si="1"/>
        <v>0.67041018226405613</v>
      </c>
      <c r="I12" s="10">
        <f>'[8]a20 (2)'!C8</f>
        <v>13.4</v>
      </c>
      <c r="J12" s="46">
        <f t="shared" si="24"/>
        <v>0.42063492063492058</v>
      </c>
      <c r="K12" s="10">
        <f>[8]a19!G12</f>
        <v>126.59693877551021</v>
      </c>
      <c r="L12" s="10">
        <f>[8]a23!C8</f>
        <v>38.804186196673143</v>
      </c>
      <c r="M12" s="46">
        <f t="shared" si="25"/>
        <v>0.49124911841737284</v>
      </c>
      <c r="N12" s="46">
        <f t="shared" si="2"/>
        <v>0.61113730118034215</v>
      </c>
      <c r="O12" s="46">
        <f t="shared" si="3"/>
        <v>0.45873539674400493</v>
      </c>
      <c r="P12" s="10">
        <f>'[8]a20 (2)'!D8</f>
        <v>9.3000000000000007</v>
      </c>
      <c r="Q12" s="46">
        <f t="shared" si="26"/>
        <v>0.6240079365079364</v>
      </c>
      <c r="R12" s="10">
        <f>[8]a19!J12</f>
        <v>103.50852272727272</v>
      </c>
      <c r="S12" s="10">
        <f>[8]a23!D8</f>
        <v>45.117038963675519</v>
      </c>
      <c r="T12" s="46">
        <f t="shared" si="27"/>
        <v>0.46699980529588564</v>
      </c>
      <c r="U12" s="46">
        <f t="shared" si="4"/>
        <v>0.57851952393578199</v>
      </c>
      <c r="V12" s="46">
        <f t="shared" si="5"/>
        <v>0.61491025399350552</v>
      </c>
      <c r="W12" s="10">
        <f>'[8]a20 (2)'!E8</f>
        <v>9.1999999999999993</v>
      </c>
      <c r="X12" s="46">
        <f t="shared" si="28"/>
        <v>0.62896825396825395</v>
      </c>
      <c r="Y12" s="10">
        <f>[8]a19!M12</f>
        <v>84.861295681063112</v>
      </c>
      <c r="Z12" s="10">
        <f>[8]a23!E8</f>
        <v>41.883828476181222</v>
      </c>
      <c r="AA12" s="46">
        <f t="shared" si="29"/>
        <v>0.35543159525721457</v>
      </c>
      <c r="AB12" s="46">
        <f t="shared" si="6"/>
        <v>0.42844900423140819</v>
      </c>
      <c r="AC12" s="46">
        <f t="shared" si="7"/>
        <v>0.5888644040208848</v>
      </c>
      <c r="AD12" s="10">
        <f>'[8]a20 (2)'!F8</f>
        <v>11</v>
      </c>
      <c r="AE12" s="46">
        <f t="shared" si="30"/>
        <v>0.53968253968253965</v>
      </c>
      <c r="AF12" s="10">
        <f>[8]a19!P12</f>
        <v>106.28421052631579</v>
      </c>
      <c r="AG12" s="10">
        <f>[8]a23!F8</f>
        <v>40.732383394762294</v>
      </c>
      <c r="AH12" s="46">
        <f t="shared" si="31"/>
        <v>0.43292092119675252</v>
      </c>
      <c r="AI12" s="46">
        <f t="shared" si="8"/>
        <v>0.53267998016314855</v>
      </c>
      <c r="AJ12" s="46">
        <f t="shared" si="9"/>
        <v>0.53828202777866152</v>
      </c>
      <c r="AK12" s="10">
        <f>'[8]a20 (2)'!G8</f>
        <v>8.6999999999999993</v>
      </c>
      <c r="AL12" s="46">
        <f t="shared" si="32"/>
        <v>0.65376984126984128</v>
      </c>
      <c r="AM12" s="10">
        <f>[8]a19!S12</f>
        <v>90.155875671210239</v>
      </c>
      <c r="AN12" s="10">
        <f>[8]a23!G8</f>
        <v>39.434346020972349</v>
      </c>
      <c r="AO12" s="46">
        <f t="shared" si="33"/>
        <v>0.35552379970422671</v>
      </c>
      <c r="AP12" s="46">
        <f t="shared" si="10"/>
        <v>0.42857302853257218</v>
      </c>
      <c r="AQ12" s="46">
        <f t="shared" si="11"/>
        <v>0.6087304787223875</v>
      </c>
      <c r="AR12" s="10">
        <f>'[8]a20 (2)'!H8</f>
        <v>6.1</v>
      </c>
      <c r="AS12" s="46">
        <f t="shared" si="34"/>
        <v>0.78273809523809523</v>
      </c>
      <c r="AT12" s="10">
        <f>[8]a19!V12</f>
        <v>73.912785947712408</v>
      </c>
      <c r="AU12" s="10">
        <f>[8]a23!H8</f>
        <v>40.594672114286368</v>
      </c>
      <c r="AV12" s="46">
        <f t="shared" si="35"/>
        <v>0.30004653106008183</v>
      </c>
      <c r="AW12" s="46">
        <f t="shared" si="12"/>
        <v>0.35395049461972861</v>
      </c>
      <c r="AX12" s="46">
        <f t="shared" si="13"/>
        <v>0.69698057511442191</v>
      </c>
      <c r="AY12" s="10">
        <f>'[8]a20 (2)'!I8</f>
        <v>4.7</v>
      </c>
      <c r="AZ12" s="46">
        <f t="shared" si="36"/>
        <v>0.85218253968253965</v>
      </c>
      <c r="BA12" s="10">
        <f>[8]a19!Y12</f>
        <v>40.952240566037737</v>
      </c>
      <c r="BB12" s="10">
        <f>[8]a23!I8</f>
        <v>44.521640524448728</v>
      </c>
      <c r="BC12" s="46">
        <f t="shared" si="37"/>
        <v>0.18232609331518787</v>
      </c>
      <c r="BD12" s="46">
        <f t="shared" si="14"/>
        <v>0.19560460678950151</v>
      </c>
      <c r="BE12" s="46">
        <f t="shared" si="15"/>
        <v>0.72086695310393212</v>
      </c>
      <c r="BF12" s="10">
        <f>'[8]a20 (2)'!J8</f>
        <v>3.8</v>
      </c>
      <c r="BG12" s="46">
        <f t="shared" si="38"/>
        <v>0.89682539682539675</v>
      </c>
      <c r="BH12" s="10">
        <f>[8]a19!AB12</f>
        <v>41.951797385620907</v>
      </c>
      <c r="BI12" s="10">
        <f>[8]a23!J8</f>
        <v>41.926476901576464</v>
      </c>
      <c r="BJ12" s="46">
        <f t="shared" si="39"/>
        <v>0.1758891064067851</v>
      </c>
      <c r="BK12" s="46">
        <f t="shared" si="16"/>
        <v>0.18694620875354284</v>
      </c>
      <c r="BL12" s="46">
        <f t="shared" si="17"/>
        <v>0.75484955921102603</v>
      </c>
      <c r="BM12" s="10">
        <f>'[8]a20 (2)'!K8</f>
        <v>3.9</v>
      </c>
      <c r="BN12" s="46">
        <f t="shared" si="40"/>
        <v>0.89186507936507942</v>
      </c>
      <c r="BO12" s="10">
        <f>[8]a19!AE12</f>
        <v>34.883903133903132</v>
      </c>
      <c r="BP12" s="10">
        <f>[8]a23!K8</f>
        <v>43.155538322197131</v>
      </c>
      <c r="BQ12" s="46">
        <f t="shared" si="41"/>
        <v>0.15054336185229691</v>
      </c>
      <c r="BR12" s="46">
        <f t="shared" si="18"/>
        <v>0.15285362040541081</v>
      </c>
      <c r="BS12" s="46">
        <f t="shared" si="19"/>
        <v>0.74406278757314581</v>
      </c>
      <c r="BT12" s="10">
        <f>'[8]a20 (2)'!L8</f>
        <v>8.4</v>
      </c>
      <c r="BU12" s="46">
        <f t="shared" si="42"/>
        <v>0.66865079365079361</v>
      </c>
      <c r="BV12" s="10">
        <f>[8]a19!AH12</f>
        <v>77.868858751279433</v>
      </c>
      <c r="BW12" s="10">
        <f>[8]a23!L8</f>
        <v>39.057842542767204</v>
      </c>
      <c r="BX12" s="46">
        <f t="shared" si="43"/>
        <v>0.30413896240924521</v>
      </c>
      <c r="BY12" s="46">
        <f t="shared" si="20"/>
        <v>0.3594552284431945</v>
      </c>
      <c r="BZ12" s="46">
        <f t="shared" si="21"/>
        <v>0.60681168060927382</v>
      </c>
    </row>
    <row r="13" spans="1:78" hidden="1">
      <c r="A13" s="2">
        <v>1976</v>
      </c>
      <c r="B13" s="10">
        <f>'[8]a20 (2)'!B9</f>
        <v>7.1</v>
      </c>
      <c r="C13" s="46">
        <f t="shared" si="22"/>
        <v>0.73313492063492058</v>
      </c>
      <c r="D13" s="10">
        <f>[8]a19!D13</f>
        <v>84.241765259478356</v>
      </c>
      <c r="E13" s="10">
        <f>[8]a23!B9</f>
        <v>42.603693332123079</v>
      </c>
      <c r="F13" s="46">
        <f t="shared" si="23"/>
        <v>0.35890103328715156</v>
      </c>
      <c r="G13" s="46">
        <f t="shared" si="0"/>
        <v>0.43311574906897699</v>
      </c>
      <c r="H13" s="46">
        <f t="shared" si="1"/>
        <v>0.67313108632173191</v>
      </c>
      <c r="I13" s="10">
        <f>'[8]a20 (2)'!C9</f>
        <v>13.4</v>
      </c>
      <c r="J13" s="46">
        <f t="shared" si="24"/>
        <v>0.42063492063492058</v>
      </c>
      <c r="K13" s="10">
        <f>[8]a19!G13</f>
        <v>149.67312925170066</v>
      </c>
      <c r="L13" s="10">
        <f>[8]a23!C9</f>
        <v>38.257273983319742</v>
      </c>
      <c r="M13" s="46">
        <f t="shared" si="25"/>
        <v>0.57260859137231412</v>
      </c>
      <c r="N13" s="46">
        <f t="shared" si="2"/>
        <v>0.72057401603836446</v>
      </c>
      <c r="O13" s="46">
        <f t="shared" si="3"/>
        <v>0.48062273971560937</v>
      </c>
      <c r="P13" s="10">
        <f>'[8]a20 (2)'!D9</f>
        <v>9.3000000000000007</v>
      </c>
      <c r="Q13" s="46">
        <f t="shared" si="26"/>
        <v>0.6240079365079364</v>
      </c>
      <c r="R13" s="10">
        <f>[8]a19!J13</f>
        <v>151.50378787878788</v>
      </c>
      <c r="S13" s="10">
        <f>[8]a23!D9</f>
        <v>45.012516245711964</v>
      </c>
      <c r="T13" s="46">
        <f t="shared" si="27"/>
        <v>0.68195667131808391</v>
      </c>
      <c r="U13" s="46">
        <f t="shared" si="4"/>
        <v>0.8676582363592712</v>
      </c>
      <c r="V13" s="46">
        <f t="shared" si="5"/>
        <v>0.67273799647820343</v>
      </c>
      <c r="W13" s="10">
        <f>'[8]a20 (2)'!E9</f>
        <v>9.1999999999999993</v>
      </c>
      <c r="X13" s="46">
        <f t="shared" si="28"/>
        <v>0.62896825396825395</v>
      </c>
      <c r="Y13" s="10">
        <f>[8]a19!M13</f>
        <v>100.21345514950167</v>
      </c>
      <c r="Z13" s="10">
        <f>[8]a23!E9</f>
        <v>42.24332706265718</v>
      </c>
      <c r="AA13" s="46">
        <f t="shared" si="29"/>
        <v>0.42333497619593252</v>
      </c>
      <c r="AB13" s="46">
        <f t="shared" si="6"/>
        <v>0.51978591519937456</v>
      </c>
      <c r="AC13" s="46">
        <f t="shared" si="7"/>
        <v>0.60713178621447805</v>
      </c>
      <c r="AD13" s="10">
        <f>'[8]a20 (2)'!F9</f>
        <v>11</v>
      </c>
      <c r="AE13" s="46">
        <f t="shared" si="30"/>
        <v>0.53968253968253965</v>
      </c>
      <c r="AF13" s="10">
        <f>[8]a19!P13</f>
        <v>130.13859649122807</v>
      </c>
      <c r="AG13" s="10">
        <f>[8]a23!F9</f>
        <v>41.344686796592676</v>
      </c>
      <c r="AH13" s="46">
        <f t="shared" si="31"/>
        <v>0.53805395120779798</v>
      </c>
      <c r="AI13" s="46">
        <f t="shared" si="8"/>
        <v>0.67409453226884664</v>
      </c>
      <c r="AJ13" s="46">
        <f t="shared" si="9"/>
        <v>0.56656493819980114</v>
      </c>
      <c r="AK13" s="10">
        <f>'[8]a20 (2)'!G9</f>
        <v>8.6999999999999993</v>
      </c>
      <c r="AL13" s="46">
        <f t="shared" si="32"/>
        <v>0.65376984126984128</v>
      </c>
      <c r="AM13" s="10">
        <f>[8]a19!S13</f>
        <v>100.50037863141952</v>
      </c>
      <c r="AN13" s="10">
        <f>[8]a23!G9</f>
        <v>39.416404217762626</v>
      </c>
      <c r="AO13" s="46">
        <f t="shared" si="33"/>
        <v>0.39613635481742254</v>
      </c>
      <c r="AP13" s="46">
        <f t="shared" si="10"/>
        <v>0.48320102023600903</v>
      </c>
      <c r="AQ13" s="46">
        <f t="shared" si="11"/>
        <v>0.61965607706307479</v>
      </c>
      <c r="AR13" s="10">
        <f>'[8]a20 (2)'!H9</f>
        <v>6.1</v>
      </c>
      <c r="AS13" s="46">
        <f t="shared" si="34"/>
        <v>0.78273809523809523</v>
      </c>
      <c r="AT13" s="10">
        <f>[8]a19!V13</f>
        <v>68.154479847494557</v>
      </c>
      <c r="AU13" s="10">
        <f>[8]a23!H9</f>
        <v>39.395181755953871</v>
      </c>
      <c r="AV13" s="46">
        <f t="shared" si="35"/>
        <v>0.26849581210745432</v>
      </c>
      <c r="AW13" s="46">
        <f t="shared" si="12"/>
        <v>0.31151158851353322</v>
      </c>
      <c r="AX13" s="46">
        <f t="shared" si="13"/>
        <v>0.68849279389318285</v>
      </c>
      <c r="AY13" s="10">
        <f>'[8]a20 (2)'!I9</f>
        <v>4.7</v>
      </c>
      <c r="AZ13" s="46">
        <f t="shared" si="36"/>
        <v>0.85218253968253965</v>
      </c>
      <c r="BA13" s="10">
        <f>[8]a19!Y13</f>
        <v>54.875393081761011</v>
      </c>
      <c r="BB13" s="10">
        <f>[8]a23!I9</f>
        <v>42.779220500353709</v>
      </c>
      <c r="BC13" s="46">
        <f t="shared" si="37"/>
        <v>0.23475265406882387</v>
      </c>
      <c r="BD13" s="46">
        <f t="shared" si="14"/>
        <v>0.26612363022712804</v>
      </c>
      <c r="BE13" s="46">
        <f t="shared" si="15"/>
        <v>0.73497075779145737</v>
      </c>
      <c r="BF13" s="10">
        <f>'[8]a20 (2)'!J9</f>
        <v>3.8</v>
      </c>
      <c r="BG13" s="46">
        <f t="shared" si="38"/>
        <v>0.89682539682539675</v>
      </c>
      <c r="BH13" s="10">
        <f>[8]a19!AB13</f>
        <v>56.614379084967318</v>
      </c>
      <c r="BI13" s="10">
        <f>[8]a23!J9</f>
        <v>40.633869247022517</v>
      </c>
      <c r="BJ13" s="46">
        <f t="shared" si="39"/>
        <v>0.23004612772399283</v>
      </c>
      <c r="BK13" s="46">
        <f t="shared" si="16"/>
        <v>0.25979287656238514</v>
      </c>
      <c r="BL13" s="46">
        <f t="shared" si="17"/>
        <v>0.76941889277279452</v>
      </c>
      <c r="BM13" s="10">
        <f>'[8]a20 (2)'!K9</f>
        <v>3.9</v>
      </c>
      <c r="BN13" s="46">
        <f t="shared" si="40"/>
        <v>0.89186507936507942</v>
      </c>
      <c r="BO13" s="10">
        <f>[8]a19!AE13</f>
        <v>34.927587844254511</v>
      </c>
      <c r="BP13" s="10">
        <f>[8]a23!K9</f>
        <v>42.273832774093847</v>
      </c>
      <c r="BQ13" s="46">
        <f t="shared" si="41"/>
        <v>0.14765230077304881</v>
      </c>
      <c r="BR13" s="46">
        <f t="shared" si="18"/>
        <v>0.14896485102827847</v>
      </c>
      <c r="BS13" s="46">
        <f t="shared" si="19"/>
        <v>0.74328503369771937</v>
      </c>
      <c r="BT13" s="10">
        <f>'[8]a20 (2)'!L9</f>
        <v>8.4</v>
      </c>
      <c r="BU13" s="46">
        <f t="shared" si="42"/>
        <v>0.66865079365079361</v>
      </c>
      <c r="BV13" s="10">
        <f>[8]a19!AH13</f>
        <v>72.723217331968598</v>
      </c>
      <c r="BW13" s="10">
        <f>[8]a23!L9</f>
        <v>36.861563165923805</v>
      </c>
      <c r="BX13" s="46">
        <f t="shared" si="43"/>
        <v>0.26806914693115652</v>
      </c>
      <c r="BY13" s="46">
        <f t="shared" si="20"/>
        <v>0.31093768072452616</v>
      </c>
      <c r="BZ13" s="46">
        <f t="shared" si="21"/>
        <v>0.59710817106554015</v>
      </c>
    </row>
    <row r="14" spans="1:78" hidden="1">
      <c r="A14" s="2">
        <v>1977</v>
      </c>
      <c r="B14" s="10">
        <f>'[8]a20 (2)'!B10</f>
        <v>8</v>
      </c>
      <c r="C14" s="46">
        <f t="shared" si="22"/>
        <v>0.68849206349206349</v>
      </c>
      <c r="D14" s="10">
        <f>[8]a19!D14</f>
        <v>77.012172176784546</v>
      </c>
      <c r="E14" s="10">
        <f>[8]a23!B10</f>
        <v>42.268987970177221</v>
      </c>
      <c r="F14" s="46">
        <f t="shared" si="23"/>
        <v>0.32552265792977225</v>
      </c>
      <c r="G14" s="46">
        <f t="shared" si="0"/>
        <v>0.38821846036072083</v>
      </c>
      <c r="H14" s="46">
        <f t="shared" si="1"/>
        <v>0.628437342865795</v>
      </c>
      <c r="I14" s="10">
        <f>'[8]a20 (2)'!C10</f>
        <v>15.4</v>
      </c>
      <c r="J14" s="46">
        <f t="shared" si="24"/>
        <v>0.32142857142857134</v>
      </c>
      <c r="K14" s="10">
        <f>[8]a19!G14</f>
        <v>130.37273242630386</v>
      </c>
      <c r="L14" s="10">
        <f>[8]a23!C10</f>
        <v>37.820324587298266</v>
      </c>
      <c r="M14" s="46">
        <f t="shared" si="25"/>
        <v>0.49307390576957977</v>
      </c>
      <c r="N14" s="46">
        <f t="shared" si="2"/>
        <v>0.61359182461672912</v>
      </c>
      <c r="O14" s="46">
        <f t="shared" si="3"/>
        <v>0.37986122206620287</v>
      </c>
      <c r="P14" s="10">
        <f>'[8]a20 (2)'!D10</f>
        <v>9.5</v>
      </c>
      <c r="Q14" s="46">
        <f t="shared" si="26"/>
        <v>0.61408730158730152</v>
      </c>
      <c r="R14" s="10">
        <f>[8]a19!J14</f>
        <v>152.57065217391306</v>
      </c>
      <c r="S14" s="10">
        <f>[8]a23!D10</f>
        <v>44.797315322319889</v>
      </c>
      <c r="T14" s="46">
        <f t="shared" si="27"/>
        <v>0.68347556143667731</v>
      </c>
      <c r="U14" s="46">
        <f t="shared" si="4"/>
        <v>0.86970129709666355</v>
      </c>
      <c r="V14" s="46">
        <f t="shared" si="5"/>
        <v>0.66521010068917397</v>
      </c>
      <c r="W14" s="10">
        <f>'[8]a20 (2)'!E10</f>
        <v>10.3</v>
      </c>
      <c r="X14" s="46">
        <f t="shared" si="28"/>
        <v>0.57440476190476186</v>
      </c>
      <c r="Y14" s="10">
        <f>[8]a19!M14</f>
        <v>102.14123062015506</v>
      </c>
      <c r="Z14" s="10">
        <f>[8]a23!E10</f>
        <v>41.136462600505332</v>
      </c>
      <c r="AA14" s="46">
        <f t="shared" si="29"/>
        <v>0.42017289133755986</v>
      </c>
      <c r="AB14" s="46">
        <f t="shared" si="6"/>
        <v>0.51553259144450891</v>
      </c>
      <c r="AC14" s="46">
        <f t="shared" si="7"/>
        <v>0.56263032781271127</v>
      </c>
      <c r="AD14" s="10">
        <f>'[8]a20 (2)'!F10</f>
        <v>13.3</v>
      </c>
      <c r="AE14" s="46">
        <f t="shared" si="30"/>
        <v>0.42559523809523803</v>
      </c>
      <c r="AF14" s="10">
        <f>[8]a19!P14</f>
        <v>116.35714285714286</v>
      </c>
      <c r="AG14" s="10">
        <f>[8]a23!F10</f>
        <v>41.336558010761799</v>
      </c>
      <c r="AH14" s="46">
        <f t="shared" si="31"/>
        <v>0.4809803785680784</v>
      </c>
      <c r="AI14" s="46">
        <f t="shared" si="8"/>
        <v>0.59732480812915423</v>
      </c>
      <c r="AJ14" s="46">
        <f t="shared" si="9"/>
        <v>0.4599411521020213</v>
      </c>
      <c r="AK14" s="10">
        <f>'[8]a20 (2)'!G10</f>
        <v>10.4</v>
      </c>
      <c r="AL14" s="46">
        <f t="shared" si="32"/>
        <v>0.56944444444444442</v>
      </c>
      <c r="AM14" s="10">
        <f>[8]a19!S14</f>
        <v>88.839921171171184</v>
      </c>
      <c r="AN14" s="10">
        <f>[8]a23!G10</f>
        <v>39.051274925037603</v>
      </c>
      <c r="AO14" s="46">
        <f t="shared" si="33"/>
        <v>0.34693121859740744</v>
      </c>
      <c r="AP14" s="46">
        <f t="shared" si="10"/>
        <v>0.41701513841445165</v>
      </c>
      <c r="AQ14" s="46">
        <f t="shared" si="11"/>
        <v>0.53895858323844592</v>
      </c>
      <c r="AR14" s="10">
        <f>'[8]a20 (2)'!H10</f>
        <v>6.9</v>
      </c>
      <c r="AS14" s="46">
        <f t="shared" si="34"/>
        <v>0.74305555555555547</v>
      </c>
      <c r="AT14" s="10">
        <f>[8]a19!V14</f>
        <v>59.51710309035149</v>
      </c>
      <c r="AU14" s="10">
        <f>[8]a23!H10</f>
        <v>39.182626384538338</v>
      </c>
      <c r="AV14" s="46">
        <f t="shared" si="35"/>
        <v>0.23320364138792948</v>
      </c>
      <c r="AW14" s="46">
        <f t="shared" si="12"/>
        <v>0.2640400515986826</v>
      </c>
      <c r="AX14" s="46">
        <f t="shared" si="13"/>
        <v>0.64725245476418092</v>
      </c>
      <c r="AY14" s="10">
        <f>'[8]a20 (2)'!I10</f>
        <v>5.7</v>
      </c>
      <c r="AZ14" s="46">
        <f t="shared" si="36"/>
        <v>0.80257936507936511</v>
      </c>
      <c r="BA14" s="10">
        <f>[8]a19!Y14</f>
        <v>59.049429657794676</v>
      </c>
      <c r="BB14" s="10">
        <f>[8]a23!I10</f>
        <v>43.641007826779457</v>
      </c>
      <c r="BC14" s="46">
        <f t="shared" si="37"/>
        <v>0.25769766218626805</v>
      </c>
      <c r="BD14" s="46">
        <f t="shared" si="14"/>
        <v>0.29698698540341351</v>
      </c>
      <c r="BE14" s="46">
        <f t="shared" si="15"/>
        <v>0.70146088914417482</v>
      </c>
      <c r="BF14" s="10">
        <f>'[8]a20 (2)'!J10</f>
        <v>4.4000000000000004</v>
      </c>
      <c r="BG14" s="46">
        <f t="shared" si="38"/>
        <v>0.86706349206349187</v>
      </c>
      <c r="BH14" s="10">
        <f>[8]a19!AB14</f>
        <v>61.756445672191518</v>
      </c>
      <c r="BI14" s="10">
        <f>[8]a23!J10</f>
        <v>41.192786306654071</v>
      </c>
      <c r="BJ14" s="46">
        <f t="shared" si="39"/>
        <v>0.25439200696330766</v>
      </c>
      <c r="BK14" s="46">
        <f t="shared" si="16"/>
        <v>0.2925405449962295</v>
      </c>
      <c r="BL14" s="46">
        <f t="shared" si="17"/>
        <v>0.75215890265003937</v>
      </c>
      <c r="BM14" s="10">
        <f>'[8]a20 (2)'!K10</f>
        <v>4.5</v>
      </c>
      <c r="BN14" s="46">
        <f t="shared" si="40"/>
        <v>0.86210317460317454</v>
      </c>
      <c r="BO14" s="10">
        <f>[8]a19!AE14</f>
        <v>35.695882352941176</v>
      </c>
      <c r="BP14" s="10">
        <f>[8]a23!K10</f>
        <v>43.092650966950593</v>
      </c>
      <c r="BQ14" s="46">
        <f t="shared" si="41"/>
        <v>0.1538230199192625</v>
      </c>
      <c r="BR14" s="46">
        <f t="shared" si="18"/>
        <v>0.15726509201001548</v>
      </c>
      <c r="BS14" s="46">
        <f t="shared" si="19"/>
        <v>0.72113555808454277</v>
      </c>
      <c r="BT14" s="10">
        <f>'[8]a20 (2)'!L10</f>
        <v>8.3000000000000007</v>
      </c>
      <c r="BU14" s="46">
        <f t="shared" si="42"/>
        <v>0.67361111111111105</v>
      </c>
      <c r="BV14" s="10">
        <f>[8]a19!AH14</f>
        <v>72.640961021505362</v>
      </c>
      <c r="BW14" s="10">
        <f>[8]a23!L10</f>
        <v>36.571524051924833</v>
      </c>
      <c r="BX14" s="46">
        <f t="shared" si="43"/>
        <v>0.26565906531529176</v>
      </c>
      <c r="BY14" s="46">
        <f t="shared" si="20"/>
        <v>0.30769587734256437</v>
      </c>
      <c r="BZ14" s="46">
        <f t="shared" si="21"/>
        <v>0.6004280643574017</v>
      </c>
    </row>
    <row r="15" spans="1:78" hidden="1">
      <c r="A15" s="2">
        <v>1978</v>
      </c>
      <c r="B15" s="10">
        <f>'[8]a20 (2)'!B11</f>
        <v>8.4</v>
      </c>
      <c r="C15" s="46">
        <f t="shared" si="22"/>
        <v>0.66865079365079361</v>
      </c>
      <c r="D15" s="10">
        <f>[8]a19!D15</f>
        <v>76.045354811088529</v>
      </c>
      <c r="E15" s="10">
        <f>[8]a23!B11</f>
        <v>43.244659658905555</v>
      </c>
      <c r="F15" s="46">
        <f t="shared" si="23"/>
        <v>0.32885554874462397</v>
      </c>
      <c r="G15" s="46">
        <f t="shared" si="0"/>
        <v>0.39270153539194497</v>
      </c>
      <c r="H15" s="46">
        <f t="shared" si="1"/>
        <v>0.6134609419990239</v>
      </c>
      <c r="I15" s="10">
        <f>'[8]a20 (2)'!C11</f>
        <v>15.9</v>
      </c>
      <c r="J15" s="46">
        <f t="shared" si="24"/>
        <v>0.29662698412698407</v>
      </c>
      <c r="K15" s="10">
        <f>[8]a19!G15</f>
        <v>132.34447983014863</v>
      </c>
      <c r="L15" s="10">
        <f>[8]a23!C11</f>
        <v>39.072417801848125</v>
      </c>
      <c r="M15" s="46">
        <f t="shared" si="25"/>
        <v>0.51710188096918286</v>
      </c>
      <c r="N15" s="46">
        <f t="shared" si="2"/>
        <v>0.64591187998374089</v>
      </c>
      <c r="O15" s="46">
        <f t="shared" si="3"/>
        <v>0.36648396329833544</v>
      </c>
      <c r="P15" s="10">
        <f>'[8]a20 (2)'!D11</f>
        <v>9.6999999999999993</v>
      </c>
      <c r="Q15" s="46">
        <f t="shared" si="26"/>
        <v>0.60416666666666663</v>
      </c>
      <c r="R15" s="10">
        <f>[8]a19!J15</f>
        <v>154.00347222222223</v>
      </c>
      <c r="S15" s="10">
        <f>[8]a23!D11</f>
        <v>46.515430423652951</v>
      </c>
      <c r="T15" s="46">
        <f t="shared" si="27"/>
        <v>0.71635377971537484</v>
      </c>
      <c r="U15" s="46">
        <f t="shared" si="4"/>
        <v>0.91392582397871869</v>
      </c>
      <c r="V15" s="46">
        <f t="shared" si="5"/>
        <v>0.66611849812907709</v>
      </c>
      <c r="W15" s="10">
        <f>'[8]a20 (2)'!E11</f>
        <v>10.5</v>
      </c>
      <c r="X15" s="46">
        <f t="shared" si="28"/>
        <v>0.56448412698412698</v>
      </c>
      <c r="Y15" s="10">
        <f>[8]a19!M15</f>
        <v>101.21041666666666</v>
      </c>
      <c r="Z15" s="10">
        <f>[8]a23!E11</f>
        <v>41.785807843652563</v>
      </c>
      <c r="AA15" s="46">
        <f t="shared" si="29"/>
        <v>0.4229159022609344</v>
      </c>
      <c r="AB15" s="46">
        <f t="shared" si="6"/>
        <v>0.51922221839723059</v>
      </c>
      <c r="AC15" s="46">
        <f t="shared" si="7"/>
        <v>0.55543174526674766</v>
      </c>
      <c r="AD15" s="10">
        <f>'[8]a20 (2)'!F11</f>
        <v>12.4</v>
      </c>
      <c r="AE15" s="46">
        <f t="shared" si="30"/>
        <v>0.47023809523809518</v>
      </c>
      <c r="AF15" s="10">
        <f>[8]a19!P15</f>
        <v>123.75931372549019</v>
      </c>
      <c r="AG15" s="10">
        <f>[8]a23!F11</f>
        <v>42.368310383412251</v>
      </c>
      <c r="AH15" s="46">
        <f t="shared" si="31"/>
        <v>0.52434730167596599</v>
      </c>
      <c r="AI15" s="46">
        <f t="shared" si="8"/>
        <v>0.6556577031941957</v>
      </c>
      <c r="AJ15" s="46">
        <f t="shared" si="9"/>
        <v>0.50732201682931533</v>
      </c>
      <c r="AK15" s="10">
        <f>'[8]a20 (2)'!G11</f>
        <v>11</v>
      </c>
      <c r="AL15" s="46">
        <f t="shared" si="32"/>
        <v>0.53968253968253965</v>
      </c>
      <c r="AM15" s="10">
        <f>[8]a19!S15</f>
        <v>86.720943494038366</v>
      </c>
      <c r="AN15" s="10">
        <f>[8]a23!G11</f>
        <v>39.375551691063514</v>
      </c>
      <c r="AO15" s="46">
        <f t="shared" si="33"/>
        <v>0.34146849932473061</v>
      </c>
      <c r="AP15" s="46">
        <f t="shared" si="10"/>
        <v>0.40966722882653628</v>
      </c>
      <c r="AQ15" s="46">
        <f t="shared" si="11"/>
        <v>0.51367947751133902</v>
      </c>
      <c r="AR15" s="10">
        <f>'[8]a20 (2)'!H11</f>
        <v>7.2</v>
      </c>
      <c r="AS15" s="46">
        <f t="shared" si="34"/>
        <v>0.72817460317460314</v>
      </c>
      <c r="AT15" s="10">
        <f>[8]a19!V15</f>
        <v>57.373207443897101</v>
      </c>
      <c r="AU15" s="10">
        <f>[8]a23!H11</f>
        <v>40.037341447682465</v>
      </c>
      <c r="AV15" s="46">
        <f t="shared" si="35"/>
        <v>0.22970706963800253</v>
      </c>
      <c r="AW15" s="46">
        <f t="shared" si="12"/>
        <v>0.25933680916507817</v>
      </c>
      <c r="AX15" s="46">
        <f t="shared" si="13"/>
        <v>0.63440704437269824</v>
      </c>
      <c r="AY15" s="10">
        <f>'[8]a20 (2)'!I11</f>
        <v>6.5</v>
      </c>
      <c r="AZ15" s="46">
        <f t="shared" si="36"/>
        <v>0.76289682539682535</v>
      </c>
      <c r="BA15" s="10">
        <f>[8]a19!Y15</f>
        <v>61.921236559139778</v>
      </c>
      <c r="BB15" s="10">
        <f>[8]a23!I11</f>
        <v>43.612298242341851</v>
      </c>
      <c r="BC15" s="46">
        <f t="shared" si="37"/>
        <v>0.27005274363518056</v>
      </c>
      <c r="BD15" s="46">
        <f t="shared" si="14"/>
        <v>0.31360581879139654</v>
      </c>
      <c r="BE15" s="46">
        <f t="shared" si="15"/>
        <v>0.67303862407573967</v>
      </c>
      <c r="BF15" s="10">
        <f>'[8]a20 (2)'!J11</f>
        <v>4.8</v>
      </c>
      <c r="BG15" s="46">
        <f t="shared" si="38"/>
        <v>0.8472222222222221</v>
      </c>
      <c r="BH15" s="10">
        <f>[8]a19!AB15</f>
        <v>60.510162601626021</v>
      </c>
      <c r="BI15" s="10">
        <f>[8]a23!J11</f>
        <v>42.034435110302184</v>
      </c>
      <c r="BJ15" s="46">
        <f t="shared" si="39"/>
        <v>0.25435105033918831</v>
      </c>
      <c r="BK15" s="46">
        <f t="shared" si="16"/>
        <v>0.29248545419693461</v>
      </c>
      <c r="BL15" s="46">
        <f t="shared" si="17"/>
        <v>0.73627486861716462</v>
      </c>
      <c r="BM15" s="10">
        <f>'[8]a20 (2)'!K11</f>
        <v>4.8</v>
      </c>
      <c r="BN15" s="46">
        <f t="shared" si="40"/>
        <v>0.8472222222222221</v>
      </c>
      <c r="BO15" s="10">
        <f>[8]a19!AE15</f>
        <v>35.090466249130131</v>
      </c>
      <c r="BP15" s="10">
        <f>[8]a23!K11</f>
        <v>43.756513136698466</v>
      </c>
      <c r="BQ15" s="46">
        <f t="shared" si="41"/>
        <v>0.15354364474029367</v>
      </c>
      <c r="BR15" s="46">
        <f t="shared" si="18"/>
        <v>0.15688930415534053</v>
      </c>
      <c r="BS15" s="46">
        <f t="shared" si="19"/>
        <v>0.70915563860884578</v>
      </c>
      <c r="BT15" s="10">
        <f>'[8]a20 (2)'!L11</f>
        <v>8.3000000000000007</v>
      </c>
      <c r="BU15" s="46">
        <f t="shared" si="42"/>
        <v>0.67361111111111105</v>
      </c>
      <c r="BV15" s="10">
        <f>[8]a19!AH15</f>
        <v>76.849593495934954</v>
      </c>
      <c r="BW15" s="10">
        <f>[8]a23!L11</f>
        <v>37.193396311724612</v>
      </c>
      <c r="BX15" s="46">
        <f t="shared" si="43"/>
        <v>0.28582973872892431</v>
      </c>
      <c r="BY15" s="46">
        <f t="shared" si="20"/>
        <v>0.33482747191526413</v>
      </c>
      <c r="BZ15" s="46">
        <f t="shared" si="21"/>
        <v>0.60585438327194163</v>
      </c>
    </row>
    <row r="16" spans="1:78" hidden="1">
      <c r="A16" s="2">
        <v>1979</v>
      </c>
      <c r="B16" s="10">
        <f>'[8]a20 (2)'!B12</f>
        <v>7.5</v>
      </c>
      <c r="C16" s="46">
        <f t="shared" si="22"/>
        <v>0.7132936507936507</v>
      </c>
      <c r="D16" s="10">
        <f>[8]a19!D16</f>
        <v>70.861389464793064</v>
      </c>
      <c r="E16" s="10">
        <f>[8]a23!B12</f>
        <v>39.408252342851654</v>
      </c>
      <c r="F16" s="46">
        <f t="shared" si="23"/>
        <v>0.27925235173936547</v>
      </c>
      <c r="G16" s="46">
        <f t="shared" si="0"/>
        <v>0.3259802215786517</v>
      </c>
      <c r="H16" s="46">
        <f t="shared" si="1"/>
        <v>0.63583096495065095</v>
      </c>
      <c r="I16" s="10">
        <f>'[8]a20 (2)'!C12</f>
        <v>14.8</v>
      </c>
      <c r="J16" s="46">
        <f t="shared" si="24"/>
        <v>0.35119047619047611</v>
      </c>
      <c r="K16" s="10">
        <f>[8]a19!G16</f>
        <v>124.14366883116882</v>
      </c>
      <c r="L16" s="10">
        <f>[8]a23!C12</f>
        <v>34.511971412346718</v>
      </c>
      <c r="M16" s="46">
        <f t="shared" si="25"/>
        <v>0.42844427497251364</v>
      </c>
      <c r="N16" s="46">
        <f t="shared" si="2"/>
        <v>0.52665843849665328</v>
      </c>
      <c r="O16" s="46">
        <f t="shared" si="3"/>
        <v>0.38628406865171155</v>
      </c>
      <c r="P16" s="10">
        <f>'[8]a20 (2)'!D12</f>
        <v>11.6</v>
      </c>
      <c r="Q16" s="46">
        <f t="shared" si="26"/>
        <v>0.50992063492063489</v>
      </c>
      <c r="R16" s="10">
        <f>[8]a19!J16</f>
        <v>111.14754098360656</v>
      </c>
      <c r="S16" s="10">
        <f>[8]a23!D12</f>
        <v>42.837387775038849</v>
      </c>
      <c r="T16" s="46">
        <f t="shared" si="27"/>
        <v>0.47612703133567774</v>
      </c>
      <c r="U16" s="46">
        <f t="shared" si="4"/>
        <v>0.59079656553012261</v>
      </c>
      <c r="V16" s="46">
        <f t="shared" si="5"/>
        <v>0.5260958210425325</v>
      </c>
      <c r="W16" s="10">
        <f>'[8]a20 (2)'!E12</f>
        <v>10</v>
      </c>
      <c r="X16" s="46">
        <f t="shared" si="28"/>
        <v>0.58928571428571419</v>
      </c>
      <c r="Y16" s="10">
        <f>[8]a19!M16</f>
        <v>92.804924242424235</v>
      </c>
      <c r="Z16" s="10">
        <f>[8]a23!E12</f>
        <v>36.710549484601934</v>
      </c>
      <c r="AA16" s="46">
        <f t="shared" si="29"/>
        <v>0.34069197638162485</v>
      </c>
      <c r="AB16" s="46">
        <f t="shared" si="6"/>
        <v>0.40862272697790158</v>
      </c>
      <c r="AC16" s="46">
        <f t="shared" si="7"/>
        <v>0.55315311682415169</v>
      </c>
      <c r="AD16" s="10">
        <f>'[8]a20 (2)'!F12</f>
        <v>10.9</v>
      </c>
      <c r="AE16" s="46">
        <f t="shared" si="30"/>
        <v>0.5446428571428571</v>
      </c>
      <c r="AF16" s="10">
        <f>[8]a19!P16</f>
        <v>124.94961873638344</v>
      </c>
      <c r="AG16" s="10">
        <f>[8]a23!F12</f>
        <v>37.04322630439524</v>
      </c>
      <c r="AH16" s="46">
        <f t="shared" si="31"/>
        <v>0.46285370034997558</v>
      </c>
      <c r="AI16" s="46">
        <f t="shared" si="8"/>
        <v>0.57294259369941869</v>
      </c>
      <c r="AJ16" s="46">
        <f t="shared" si="9"/>
        <v>0.55030280445416946</v>
      </c>
      <c r="AK16" s="10">
        <f>'[8]a20 (2)'!G12</f>
        <v>9.6999999999999993</v>
      </c>
      <c r="AL16" s="46">
        <f t="shared" si="32"/>
        <v>0.60416666666666663</v>
      </c>
      <c r="AM16" s="10">
        <f>[8]a19!S16</f>
        <v>84.0755333792154</v>
      </c>
      <c r="AN16" s="10">
        <f>[8]a23!G12</f>
        <v>35.796252083637654</v>
      </c>
      <c r="AO16" s="46">
        <f t="shared" si="33"/>
        <v>0.30095889869086861</v>
      </c>
      <c r="AP16" s="46">
        <f t="shared" si="10"/>
        <v>0.35517772130433856</v>
      </c>
      <c r="AQ16" s="46">
        <f t="shared" si="11"/>
        <v>0.55436887759420106</v>
      </c>
      <c r="AR16" s="10">
        <f>'[8]a20 (2)'!H12</f>
        <v>6.6</v>
      </c>
      <c r="AS16" s="46">
        <f t="shared" si="34"/>
        <v>0.75793650793650791</v>
      </c>
      <c r="AT16" s="10">
        <f>[8]a19!V16</f>
        <v>51.961325008671523</v>
      </c>
      <c r="AU16" s="10">
        <f>[8]a23!H12</f>
        <v>36.865053871627865</v>
      </c>
      <c r="AV16" s="46">
        <f t="shared" si="35"/>
        <v>0.19155570456858401</v>
      </c>
      <c r="AW16" s="46">
        <f t="shared" si="12"/>
        <v>0.20801936684513389</v>
      </c>
      <c r="AX16" s="46">
        <f t="shared" si="13"/>
        <v>0.64795307971823324</v>
      </c>
      <c r="AY16" s="10">
        <f>'[8]a20 (2)'!I12</f>
        <v>5.5</v>
      </c>
      <c r="AZ16" s="46">
        <f t="shared" si="36"/>
        <v>0.8125</v>
      </c>
      <c r="BA16" s="10">
        <f>[8]a19!Y16</f>
        <v>56.87358490566038</v>
      </c>
      <c r="BB16" s="10">
        <f>[8]a23!I12</f>
        <v>39.618098794733442</v>
      </c>
      <c r="BC16" s="46">
        <f t="shared" si="37"/>
        <v>0.22532233056031137</v>
      </c>
      <c r="BD16" s="46">
        <f t="shared" si="14"/>
        <v>0.25343889190057145</v>
      </c>
      <c r="BE16" s="46">
        <f t="shared" si="15"/>
        <v>0.70068777838011431</v>
      </c>
      <c r="BF16" s="10">
        <f>'[8]a20 (2)'!J12</f>
        <v>4.2</v>
      </c>
      <c r="BG16" s="46">
        <f t="shared" si="38"/>
        <v>0.87698412698412698</v>
      </c>
      <c r="BH16" s="10">
        <f>[8]a19!AB16</f>
        <v>53.630036630036628</v>
      </c>
      <c r="BI16" s="10">
        <f>[8]a23!J12</f>
        <v>37.221839880672775</v>
      </c>
      <c r="BJ16" s="46">
        <f t="shared" si="39"/>
        <v>0.1996208636237839</v>
      </c>
      <c r="BK16" s="46">
        <f t="shared" si="16"/>
        <v>0.21886782099253629</v>
      </c>
      <c r="BL16" s="46">
        <f t="shared" si="17"/>
        <v>0.74536086578580896</v>
      </c>
      <c r="BM16" s="10">
        <f>'[8]a20 (2)'!K12</f>
        <v>3.9</v>
      </c>
      <c r="BN16" s="46">
        <f t="shared" si="40"/>
        <v>0.89186507936507942</v>
      </c>
      <c r="BO16" s="10">
        <f>[8]a19!AE16</f>
        <v>30.422182821118994</v>
      </c>
      <c r="BP16" s="10">
        <f>[8]a23!K12</f>
        <v>38.668201749500703</v>
      </c>
      <c r="BQ16" s="46">
        <f t="shared" si="41"/>
        <v>0.11763711029872238</v>
      </c>
      <c r="BR16" s="46">
        <f t="shared" si="18"/>
        <v>0.10859138593507092</v>
      </c>
      <c r="BS16" s="46">
        <f t="shared" si="19"/>
        <v>0.73521034067907776</v>
      </c>
      <c r="BT16" s="10">
        <f>'[8]a20 (2)'!L12</f>
        <v>7.7</v>
      </c>
      <c r="BU16" s="46">
        <f t="shared" si="42"/>
        <v>0.70337301587301582</v>
      </c>
      <c r="BV16" s="10">
        <f>[8]a19!AH16</f>
        <v>65.79400937081661</v>
      </c>
      <c r="BW16" s="10">
        <f>[8]a23!L12</f>
        <v>33.673493817869321</v>
      </c>
      <c r="BX16" s="46">
        <f t="shared" si="43"/>
        <v>0.22155141678010296</v>
      </c>
      <c r="BY16" s="46">
        <f t="shared" si="20"/>
        <v>0.24836663170602222</v>
      </c>
      <c r="BZ16" s="46">
        <f t="shared" si="21"/>
        <v>0.61237173903961717</v>
      </c>
    </row>
    <row r="17" spans="1:78" hidden="1">
      <c r="A17" s="2">
        <v>1980</v>
      </c>
      <c r="B17" s="10">
        <f>'[8]a20 (2)'!B13</f>
        <v>7.5</v>
      </c>
      <c r="C17" s="46">
        <f t="shared" si="22"/>
        <v>0.7132936507936507</v>
      </c>
      <c r="D17" s="10">
        <f>[8]a19!D17</f>
        <v>67.456839420678364</v>
      </c>
      <c r="E17" s="10">
        <f>[8]a23!B13</f>
        <v>39.848403215372244</v>
      </c>
      <c r="F17" s="46">
        <f t="shared" si="23"/>
        <v>0.26880473368698088</v>
      </c>
      <c r="G17" s="46">
        <f t="shared" si="0"/>
        <v>0.31192711926347871</v>
      </c>
      <c r="H17" s="46">
        <f t="shared" si="1"/>
        <v>0.63302034448761635</v>
      </c>
      <c r="I17" s="10">
        <f>'[8]a20 (2)'!C13</f>
        <v>13.3</v>
      </c>
      <c r="J17" s="46">
        <f t="shared" si="24"/>
        <v>0.42559523809523803</v>
      </c>
      <c r="K17" s="10">
        <f>[8]a19!G17</f>
        <v>132.15089285714285</v>
      </c>
      <c r="L17" s="10">
        <f>[8]a23!C13</f>
        <v>36.556983698365428</v>
      </c>
      <c r="M17" s="46">
        <f t="shared" si="25"/>
        <v>0.48310380359030075</v>
      </c>
      <c r="N17" s="46">
        <f t="shared" si="2"/>
        <v>0.6001810294177069</v>
      </c>
      <c r="O17" s="46">
        <f t="shared" si="3"/>
        <v>0.46051239635973185</v>
      </c>
      <c r="P17" s="10">
        <f>'[8]a20 (2)'!D13</f>
        <v>10.5</v>
      </c>
      <c r="Q17" s="46">
        <f t="shared" si="26"/>
        <v>0.56448412698412698</v>
      </c>
      <c r="R17" s="10">
        <f>[8]a19!J17</f>
        <v>113.11011904761907</v>
      </c>
      <c r="S17" s="10">
        <f>[8]a23!D13</f>
        <v>43.619172656623093</v>
      </c>
      <c r="T17" s="46">
        <f t="shared" si="27"/>
        <v>0.49337698119492879</v>
      </c>
      <c r="U17" s="46">
        <f t="shared" si="4"/>
        <v>0.61399949169838253</v>
      </c>
      <c r="V17" s="46">
        <f t="shared" si="5"/>
        <v>0.57438719992697806</v>
      </c>
      <c r="W17" s="10">
        <f>'[8]a20 (2)'!E13</f>
        <v>9.6999999999999993</v>
      </c>
      <c r="X17" s="46">
        <f t="shared" si="28"/>
        <v>0.60416666666666663</v>
      </c>
      <c r="Y17" s="10">
        <f>[8]a19!M17</f>
        <v>88.696599616858251</v>
      </c>
      <c r="Z17" s="10">
        <f>[8]a23!E13</f>
        <v>38.244433533852053</v>
      </c>
      <c r="AA17" s="46">
        <f t="shared" si="29"/>
        <v>0.33921512087256228</v>
      </c>
      <c r="AB17" s="46">
        <f t="shared" si="6"/>
        <v>0.40663620703914427</v>
      </c>
      <c r="AC17" s="46">
        <f t="shared" si="7"/>
        <v>0.56466057474116216</v>
      </c>
      <c r="AD17" s="10">
        <f>'[8]a20 (2)'!F13</f>
        <v>11.1</v>
      </c>
      <c r="AE17" s="46">
        <f t="shared" si="30"/>
        <v>0.53472222222222221</v>
      </c>
      <c r="AF17" s="10">
        <f>[8]a19!P17</f>
        <v>117.12028301886792</v>
      </c>
      <c r="AG17" s="10">
        <f>[8]a23!F13</f>
        <v>38.371477602499937</v>
      </c>
      <c r="AH17" s="46">
        <f t="shared" si="31"/>
        <v>0.44940783166569442</v>
      </c>
      <c r="AI17" s="46">
        <f t="shared" si="8"/>
        <v>0.55485654122418915</v>
      </c>
      <c r="AJ17" s="46">
        <f t="shared" si="9"/>
        <v>0.53874908602261562</v>
      </c>
      <c r="AK17" s="10">
        <f>'[8]a20 (2)'!G13</f>
        <v>10</v>
      </c>
      <c r="AL17" s="46">
        <f t="shared" si="32"/>
        <v>0.58928571428571419</v>
      </c>
      <c r="AM17" s="10">
        <f>[8]a19!S17</f>
        <v>76.770765383779064</v>
      </c>
      <c r="AN17" s="10">
        <f>[8]a23!G13</f>
        <v>35.787166595925996</v>
      </c>
      <c r="AO17" s="46">
        <f t="shared" si="33"/>
        <v>0.27474081704860498</v>
      </c>
      <c r="AP17" s="46">
        <f t="shared" si="10"/>
        <v>0.31991175139819378</v>
      </c>
      <c r="AQ17" s="46">
        <f t="shared" si="11"/>
        <v>0.53541092170821014</v>
      </c>
      <c r="AR17" s="10">
        <f>'[8]a20 (2)'!H13</f>
        <v>6.9</v>
      </c>
      <c r="AS17" s="46">
        <f t="shared" si="34"/>
        <v>0.74305555555555547</v>
      </c>
      <c r="AT17" s="10">
        <f>[8]a19!V17</f>
        <v>53.132461271801539</v>
      </c>
      <c r="AU17" s="10">
        <f>[8]a23!H13</f>
        <v>37.685976833978593</v>
      </c>
      <c r="AV17" s="46">
        <f t="shared" si="35"/>
        <v>0.20023487046213775</v>
      </c>
      <c r="AW17" s="46">
        <f t="shared" si="12"/>
        <v>0.21969372225331535</v>
      </c>
      <c r="AX17" s="46">
        <f t="shared" si="13"/>
        <v>0.63838318889510748</v>
      </c>
      <c r="AY17" s="10">
        <f>'[8]a20 (2)'!I13</f>
        <v>5.5</v>
      </c>
      <c r="AZ17" s="46">
        <f t="shared" si="36"/>
        <v>0.8125</v>
      </c>
      <c r="BA17" s="10">
        <f>[8]a19!Y17</f>
        <v>54.898631840796014</v>
      </c>
      <c r="BB17" s="10">
        <f>[8]a23!I13</f>
        <v>40.638344244629245</v>
      </c>
      <c r="BC17" s="46">
        <f t="shared" si="37"/>
        <v>0.22309894993054327</v>
      </c>
      <c r="BD17" s="46">
        <f t="shared" si="14"/>
        <v>0.25044822021645746</v>
      </c>
      <c r="BE17" s="46">
        <f t="shared" si="15"/>
        <v>0.70008964404329155</v>
      </c>
      <c r="BF17" s="10">
        <f>'[8]a20 (2)'!J13</f>
        <v>4.3</v>
      </c>
      <c r="BG17" s="46">
        <f t="shared" si="38"/>
        <v>0.87202380952380942</v>
      </c>
      <c r="BH17" s="10">
        <f>[8]a19!AB17</f>
        <v>50.279824561403508</v>
      </c>
      <c r="BI17" s="10">
        <f>[8]a23!J13</f>
        <v>37.816471677316748</v>
      </c>
      <c r="BJ17" s="46">
        <f t="shared" si="39"/>
        <v>0.19014055614667708</v>
      </c>
      <c r="BK17" s="46">
        <f t="shared" si="16"/>
        <v>0.20611584917589112</v>
      </c>
      <c r="BL17" s="46">
        <f t="shared" si="17"/>
        <v>0.73884221745422585</v>
      </c>
      <c r="BM17" s="10">
        <f>'[8]a20 (2)'!K13</f>
        <v>3.9</v>
      </c>
      <c r="BN17" s="46">
        <f t="shared" si="40"/>
        <v>0.89186507936507942</v>
      </c>
      <c r="BO17" s="10">
        <f>[8]a19!AE17</f>
        <v>30.726163663663662</v>
      </c>
      <c r="BP17" s="10">
        <f>[8]a23!K13</f>
        <v>38.470487878178702</v>
      </c>
      <c r="BQ17" s="46">
        <f t="shared" si="41"/>
        <v>0.11820505067659078</v>
      </c>
      <c r="BR17" s="46">
        <f t="shared" si="18"/>
        <v>0.10935532315014558</v>
      </c>
      <c r="BS17" s="46">
        <f t="shared" si="19"/>
        <v>0.7353631281220927</v>
      </c>
      <c r="BT17" s="10">
        <f>'[8]a20 (2)'!L13</f>
        <v>6.7</v>
      </c>
      <c r="BU17" s="46">
        <f t="shared" si="42"/>
        <v>0.75297619047619047</v>
      </c>
      <c r="BV17" s="10">
        <f>[8]a19!AH17</f>
        <v>59.929988974641667</v>
      </c>
      <c r="BW17" s="10">
        <f>[8]a23!L13</f>
        <v>33.912570747897966</v>
      </c>
      <c r="BX17" s="46">
        <f t="shared" si="43"/>
        <v>0.20323799910232807</v>
      </c>
      <c r="BY17" s="46">
        <f t="shared" si="20"/>
        <v>0.22373323382759119</v>
      </c>
      <c r="BZ17" s="46">
        <f t="shared" si="21"/>
        <v>0.64712759914647067</v>
      </c>
    </row>
    <row r="18" spans="1:78">
      <c r="A18" s="2"/>
      <c r="B18" s="10"/>
      <c r="C18" s="46"/>
      <c r="D18" s="10"/>
      <c r="E18" s="10"/>
      <c r="F18" s="46"/>
      <c r="G18" s="46"/>
      <c r="H18" s="46"/>
      <c r="I18" s="10"/>
      <c r="J18" s="46"/>
      <c r="K18" s="10"/>
      <c r="L18" s="10"/>
      <c r="M18" s="46"/>
      <c r="N18" s="46"/>
      <c r="O18" s="46"/>
      <c r="P18" s="10"/>
      <c r="Q18" s="46"/>
      <c r="R18" s="10"/>
      <c r="S18" s="10"/>
      <c r="T18" s="46"/>
      <c r="U18" s="46"/>
      <c r="V18" s="46"/>
      <c r="W18" s="10"/>
      <c r="X18" s="46"/>
      <c r="Y18" s="10"/>
      <c r="Z18" s="10"/>
      <c r="AA18" s="46"/>
      <c r="AB18" s="46"/>
      <c r="AC18" s="46"/>
      <c r="AD18" s="10"/>
      <c r="AE18" s="46"/>
      <c r="AF18" s="10"/>
      <c r="AG18" s="10"/>
      <c r="AH18" s="46"/>
      <c r="AI18" s="46"/>
      <c r="AJ18" s="46"/>
      <c r="AK18" s="10"/>
      <c r="AL18" s="46"/>
      <c r="AM18" s="10"/>
      <c r="AN18" s="10"/>
      <c r="AO18" s="46"/>
      <c r="AP18" s="46"/>
      <c r="AQ18" s="46"/>
      <c r="AR18" s="10"/>
      <c r="AS18" s="46"/>
      <c r="AT18" s="10"/>
      <c r="AU18" s="10"/>
      <c r="AV18" s="46"/>
      <c r="AW18" s="46"/>
      <c r="AX18" s="46"/>
      <c r="AY18" s="10"/>
      <c r="AZ18" s="46"/>
      <c r="BA18" s="10"/>
      <c r="BB18" s="10"/>
      <c r="BC18" s="46"/>
      <c r="BD18" s="46"/>
      <c r="BE18" s="46"/>
      <c r="BF18" s="10"/>
      <c r="BG18" s="46"/>
      <c r="BH18" s="10"/>
      <c r="BI18" s="10"/>
      <c r="BJ18" s="46"/>
      <c r="BK18" s="46"/>
      <c r="BL18" s="46"/>
      <c r="BM18" s="10"/>
      <c r="BN18" s="46"/>
      <c r="BO18" s="10"/>
      <c r="BP18" s="10"/>
      <c r="BQ18" s="46"/>
      <c r="BR18" s="46"/>
      <c r="BS18" s="46"/>
      <c r="BT18" s="10"/>
      <c r="BU18" s="46"/>
      <c r="BV18" s="10"/>
      <c r="BW18" s="10"/>
      <c r="BX18" s="46"/>
      <c r="BY18" s="46"/>
      <c r="BZ18" s="46"/>
    </row>
    <row r="19" spans="1:78">
      <c r="A19" s="2">
        <v>1981</v>
      </c>
      <c r="B19" s="679">
        <v>7.6</v>
      </c>
      <c r="C19" s="680">
        <v>0.70833333333333326</v>
      </c>
      <c r="D19" s="679">
        <v>66.628312562670118</v>
      </c>
      <c r="E19" s="679">
        <v>38.422308089725213</v>
      </c>
      <c r="F19" s="680">
        <v>0.256001355278142</v>
      </c>
      <c r="G19" s="680">
        <v>0.29470528115098926</v>
      </c>
      <c r="H19" s="680">
        <v>0.6256077228968645</v>
      </c>
      <c r="I19" s="679">
        <v>13.5</v>
      </c>
      <c r="J19" s="680">
        <v>0.41567460317460314</v>
      </c>
      <c r="K19" s="679">
        <v>131.73879310344827</v>
      </c>
      <c r="L19" s="679">
        <v>34.760908941381771</v>
      </c>
      <c r="M19" s="680">
        <v>0.45793601911164988</v>
      </c>
      <c r="N19" s="680">
        <v>0.56632781535960142</v>
      </c>
      <c r="O19" s="680">
        <v>0.44580524561160284</v>
      </c>
      <c r="P19" s="679">
        <v>11.3</v>
      </c>
      <c r="Q19" s="680">
        <v>0.52480158730158721</v>
      </c>
      <c r="R19" s="679">
        <v>117.72222222222221</v>
      </c>
      <c r="S19" s="679">
        <v>42.581261659939315</v>
      </c>
      <c r="T19" s="680">
        <v>0.50127607476339675</v>
      </c>
      <c r="U19" s="680">
        <v>0.62462457098039825</v>
      </c>
      <c r="V19" s="680">
        <v>0.54476618403734944</v>
      </c>
      <c r="W19" s="679">
        <v>10</v>
      </c>
      <c r="X19" s="680">
        <v>0.58928571428571419</v>
      </c>
      <c r="Y19" s="679">
        <v>89.95077838827838</v>
      </c>
      <c r="Z19" s="679">
        <v>37.137454185035921</v>
      </c>
      <c r="AA19" s="680">
        <v>0.33405429113030077</v>
      </c>
      <c r="AB19" s="680">
        <v>0.39969436938432729</v>
      </c>
      <c r="AC19" s="680">
        <v>0.5513674453054368</v>
      </c>
      <c r="AD19" s="679">
        <v>11.6</v>
      </c>
      <c r="AE19" s="680">
        <v>0.50992063492063489</v>
      </c>
      <c r="AF19" s="679">
        <v>118.71785361028682</v>
      </c>
      <c r="AG19" s="679">
        <v>37.789860397187233</v>
      </c>
      <c r="AH19" s="680">
        <v>0.44863311145864493</v>
      </c>
      <c r="AI19" s="680">
        <v>0.55381446423776892</v>
      </c>
      <c r="AJ19" s="680">
        <v>0.51869940078406174</v>
      </c>
      <c r="AK19" s="679">
        <v>10.5</v>
      </c>
      <c r="AL19" s="680">
        <v>0.56448412698412698</v>
      </c>
      <c r="AM19" s="679">
        <v>75.687525344687757</v>
      </c>
      <c r="AN19" s="679">
        <v>34.507697891790521</v>
      </c>
      <c r="AO19" s="680">
        <v>0.26118022587717232</v>
      </c>
      <c r="AP19" s="680">
        <v>0.30167138558171191</v>
      </c>
      <c r="AQ19" s="680">
        <v>0.51192157870364396</v>
      </c>
      <c r="AR19" s="679">
        <v>6.6</v>
      </c>
      <c r="AS19" s="680">
        <v>0.75793650793650791</v>
      </c>
      <c r="AT19" s="679">
        <v>51.038470017636691</v>
      </c>
      <c r="AU19" s="679">
        <v>35.740441600834458</v>
      </c>
      <c r="AV19" s="680">
        <v>0.18241374570612845</v>
      </c>
      <c r="AW19" s="680">
        <v>0.19572250811513203</v>
      </c>
      <c r="AX19" s="680">
        <v>0.64549370797223282</v>
      </c>
      <c r="AY19" s="679">
        <v>6</v>
      </c>
      <c r="AZ19" s="680">
        <v>0.78769841269841268</v>
      </c>
      <c r="BA19" s="679">
        <v>55.348484848484844</v>
      </c>
      <c r="BB19" s="679">
        <v>39.155668633734244</v>
      </c>
      <c r="BC19" s="680">
        <v>0.21672069321065332</v>
      </c>
      <c r="BD19" s="680">
        <v>0.24186882022043688</v>
      </c>
      <c r="BE19" s="680">
        <v>0.67853249420281747</v>
      </c>
      <c r="BF19" s="679">
        <v>4.5</v>
      </c>
      <c r="BG19" s="680">
        <v>0.86210317460317454</v>
      </c>
      <c r="BH19" s="679">
        <v>52.367647058823529</v>
      </c>
      <c r="BI19" s="679">
        <v>37.08199131463973</v>
      </c>
      <c r="BJ19" s="680">
        <v>0.19418966334034127</v>
      </c>
      <c r="BK19" s="680">
        <v>0.21156230763104858</v>
      </c>
      <c r="BL19" s="680">
        <v>0.73199500120874939</v>
      </c>
      <c r="BM19" s="679">
        <v>3.9</v>
      </c>
      <c r="BN19" s="680">
        <v>0.89186507936507942</v>
      </c>
      <c r="BO19" s="679">
        <v>31.555786555786558</v>
      </c>
      <c r="BP19" s="679">
        <v>36.733337357911616</v>
      </c>
      <c r="BQ19" s="680">
        <v>0.11591493531479596</v>
      </c>
      <c r="BR19" s="680">
        <v>0.10627488650597611</v>
      </c>
      <c r="BS19" s="680">
        <v>0.73474704079325881</v>
      </c>
      <c r="BT19" s="679">
        <v>6.8</v>
      </c>
      <c r="BU19" s="680">
        <v>0.74801587301587291</v>
      </c>
      <c r="BV19" s="679">
        <v>57.300397648686022</v>
      </c>
      <c r="BW19" s="679">
        <v>33.650384659563244</v>
      </c>
      <c r="BX19" s="680">
        <v>0.1928180422024218</v>
      </c>
      <c r="BY19" s="680">
        <v>0.209717338558463</v>
      </c>
      <c r="BZ19" s="680">
        <v>0.64035616612439106</v>
      </c>
    </row>
    <row r="20" spans="1:78">
      <c r="A20" s="2">
        <v>1982</v>
      </c>
      <c r="B20" s="679">
        <v>11</v>
      </c>
      <c r="C20" s="680">
        <v>0.53968253968253965</v>
      </c>
      <c r="D20" s="679">
        <v>75.941337800029444</v>
      </c>
      <c r="E20" s="679">
        <v>37.991613847961666</v>
      </c>
      <c r="F20" s="680">
        <v>0.28851339807963333</v>
      </c>
      <c r="G20" s="680">
        <v>0.33843726500355348</v>
      </c>
      <c r="H20" s="680">
        <v>0.49943348474674248</v>
      </c>
      <c r="I20" s="679">
        <v>16.2</v>
      </c>
      <c r="J20" s="680">
        <v>0.28174603174603174</v>
      </c>
      <c r="K20" s="679">
        <v>133.59097421203438</v>
      </c>
      <c r="L20" s="679">
        <v>34.85255207921751</v>
      </c>
      <c r="M20" s="680">
        <v>0.46559863860383321</v>
      </c>
      <c r="N20" s="680">
        <v>0.5766348131064527</v>
      </c>
      <c r="O20" s="680">
        <v>0.34072378801811598</v>
      </c>
      <c r="P20" s="679">
        <v>12.6</v>
      </c>
      <c r="Q20" s="680">
        <v>0.46031746031746029</v>
      </c>
      <c r="R20" s="679">
        <v>124.95398009950247</v>
      </c>
      <c r="S20" s="679">
        <v>42.392083476073246</v>
      </c>
      <c r="T20" s="680">
        <v>0.52970595550457034</v>
      </c>
      <c r="U20" s="680">
        <v>0.66286563424100331</v>
      </c>
      <c r="V20" s="680">
        <v>0.50082709510216894</v>
      </c>
      <c r="W20" s="679">
        <v>12.8</v>
      </c>
      <c r="X20" s="680">
        <v>0.4503968253968253</v>
      </c>
      <c r="Y20" s="679">
        <v>95.79812455767869</v>
      </c>
      <c r="Z20" s="679">
        <v>36.802576941311827</v>
      </c>
      <c r="AA20" s="680">
        <v>0.35256178498673441</v>
      </c>
      <c r="AB20" s="680">
        <v>0.42458881934007908</v>
      </c>
      <c r="AC20" s="680">
        <v>0.44523522418547606</v>
      </c>
      <c r="AD20" s="679">
        <v>14</v>
      </c>
      <c r="AE20" s="680">
        <v>0.39087301587301582</v>
      </c>
      <c r="AF20" s="679">
        <v>121.84215927750408</v>
      </c>
      <c r="AG20" s="679">
        <v>37.840677061671734</v>
      </c>
      <c r="AH20" s="680">
        <v>0.46105898017168029</v>
      </c>
      <c r="AI20" s="680">
        <v>0.57052851365110258</v>
      </c>
      <c r="AJ20" s="680">
        <v>0.42680411542863322</v>
      </c>
      <c r="AK20" s="679">
        <v>14</v>
      </c>
      <c r="AL20" s="680">
        <v>0.39087301587301582</v>
      </c>
      <c r="AM20" s="679">
        <v>85.826036329762459</v>
      </c>
      <c r="AN20" s="679">
        <v>34.439524426935989</v>
      </c>
      <c r="AO20" s="680">
        <v>0.29558078746459499</v>
      </c>
      <c r="AP20" s="680">
        <v>0.34794361809093161</v>
      </c>
      <c r="AQ20" s="680">
        <v>0.38228713631659905</v>
      </c>
      <c r="AR20" s="679">
        <v>9.8000000000000007</v>
      </c>
      <c r="AS20" s="680">
        <v>0.59920634920634908</v>
      </c>
      <c r="AT20" s="679">
        <v>61.499635541949118</v>
      </c>
      <c r="AU20" s="679">
        <v>36.282012554764925</v>
      </c>
      <c r="AV20" s="680">
        <v>0.22313305488464652</v>
      </c>
      <c r="AW20" s="680">
        <v>0.25049409482702079</v>
      </c>
      <c r="AX20" s="680">
        <v>0.52946389833048346</v>
      </c>
      <c r="AY20" s="679">
        <v>8.5</v>
      </c>
      <c r="AZ20" s="680">
        <v>0.66369047619047616</v>
      </c>
      <c r="BA20" s="679">
        <v>68.641802641802641</v>
      </c>
      <c r="BB20" s="679">
        <v>39.266094805870701</v>
      </c>
      <c r="BC20" s="680">
        <v>0.26952955301788883</v>
      </c>
      <c r="BD20" s="680">
        <v>0.31290207452755825</v>
      </c>
      <c r="BE20" s="680">
        <v>0.59353279585789265</v>
      </c>
      <c r="BF20" s="679">
        <v>6.3</v>
      </c>
      <c r="BG20" s="680">
        <v>0.77281746031746024</v>
      </c>
      <c r="BH20" s="679">
        <v>66.640243902439025</v>
      </c>
      <c r="BI20" s="679">
        <v>37.135290693001224</v>
      </c>
      <c r="BJ20" s="680">
        <v>0.24747048291695756</v>
      </c>
      <c r="BK20" s="680">
        <v>0.2832303955332055</v>
      </c>
      <c r="BL20" s="680">
        <v>0.67490004736060938</v>
      </c>
      <c r="BM20" s="679">
        <v>7.7</v>
      </c>
      <c r="BN20" s="680">
        <v>0.70337301587301582</v>
      </c>
      <c r="BO20" s="679">
        <v>53.248628257887511</v>
      </c>
      <c r="BP20" s="679">
        <v>36.307740034707962</v>
      </c>
      <c r="BQ20" s="680">
        <v>0.1933337351992184</v>
      </c>
      <c r="BR20" s="680">
        <v>0.21041099776488345</v>
      </c>
      <c r="BS20" s="680">
        <v>0.60478061225138935</v>
      </c>
      <c r="BT20" s="679">
        <v>12.1</v>
      </c>
      <c r="BU20" s="680">
        <v>0.48511904761904756</v>
      </c>
      <c r="BV20" s="679">
        <v>74.603000577034038</v>
      </c>
      <c r="BW20" s="679">
        <v>33.789820066614787</v>
      </c>
      <c r="BX20" s="680">
        <v>0.25208219659275394</v>
      </c>
      <c r="BY20" s="680">
        <v>0.2894336165745276</v>
      </c>
      <c r="BZ20" s="680">
        <v>0.44598196141014357</v>
      </c>
    </row>
    <row r="21" spans="1:78">
      <c r="A21" s="2">
        <v>1983</v>
      </c>
      <c r="B21" s="679">
        <v>12</v>
      </c>
      <c r="C21" s="680">
        <v>0.490079365079365</v>
      </c>
      <c r="D21" s="679">
        <v>74.323104852993282</v>
      </c>
      <c r="E21" s="679">
        <v>38.472690039579412</v>
      </c>
      <c r="F21" s="680">
        <v>0.28594097757883707</v>
      </c>
      <c r="G21" s="680">
        <v>0.3349770994123078</v>
      </c>
      <c r="H21" s="680">
        <v>0.45905891194595355</v>
      </c>
      <c r="I21" s="679">
        <v>18.100000000000001</v>
      </c>
      <c r="J21" s="680">
        <v>0.18749999999999989</v>
      </c>
      <c r="K21" s="679">
        <v>127.67961570593148</v>
      </c>
      <c r="L21" s="679">
        <v>36.773408495730017</v>
      </c>
      <c r="M21" s="680">
        <v>0.46952146649320448</v>
      </c>
      <c r="N21" s="680">
        <v>0.58191141313315131</v>
      </c>
      <c r="O21" s="680">
        <v>0.26638228262663016</v>
      </c>
      <c r="P21" s="679">
        <v>12.2</v>
      </c>
      <c r="Q21" s="680">
        <v>0.48015873015873012</v>
      </c>
      <c r="R21" s="679">
        <v>133.37132352941177</v>
      </c>
      <c r="S21" s="679">
        <v>39.859990709867979</v>
      </c>
      <c r="T21" s="680">
        <v>0.53161797168451497</v>
      </c>
      <c r="U21" s="680">
        <v>0.66543748926769952</v>
      </c>
      <c r="V21" s="680">
        <v>0.517214481980524</v>
      </c>
      <c r="W21" s="679">
        <v>13.4</v>
      </c>
      <c r="X21" s="680">
        <v>0.42063492063492058</v>
      </c>
      <c r="Y21" s="679">
        <v>92.065972222222229</v>
      </c>
      <c r="Z21" s="679">
        <v>38.131292031380859</v>
      </c>
      <c r="AA21" s="680">
        <v>0.35105944729585542</v>
      </c>
      <c r="AB21" s="680">
        <v>0.42256802329106535</v>
      </c>
      <c r="AC21" s="680">
        <v>0.42102154116614954</v>
      </c>
      <c r="AD21" s="679">
        <v>14.9</v>
      </c>
      <c r="AE21" s="680">
        <v>0.34623015873015867</v>
      </c>
      <c r="AF21" s="679">
        <v>118.87015945330296</v>
      </c>
      <c r="AG21" s="679">
        <v>40.152405604813993</v>
      </c>
      <c r="AH21" s="680">
        <v>0.47729228566779347</v>
      </c>
      <c r="AI21" s="680">
        <v>0.59236395038955314</v>
      </c>
      <c r="AJ21" s="680">
        <v>0.39545691706203756</v>
      </c>
      <c r="AK21" s="679">
        <v>14.2</v>
      </c>
      <c r="AL21" s="680">
        <v>0.38095238095238093</v>
      </c>
      <c r="AM21" s="679">
        <v>80.358104044504586</v>
      </c>
      <c r="AN21" s="679">
        <v>37.389408404343847</v>
      </c>
      <c r="AO21" s="680">
        <v>0.30045419707187371</v>
      </c>
      <c r="AP21" s="680">
        <v>0.35449884661205883</v>
      </c>
      <c r="AQ21" s="680">
        <v>0.37566167408431655</v>
      </c>
      <c r="AR21" s="679">
        <v>10.4</v>
      </c>
      <c r="AS21" s="680">
        <v>0.56944444444444442</v>
      </c>
      <c r="AT21" s="679">
        <v>62.779625884732056</v>
      </c>
      <c r="AU21" s="679">
        <v>39.307684218045168</v>
      </c>
      <c r="AV21" s="680">
        <v>0.24677217096040621</v>
      </c>
      <c r="AW21" s="680">
        <v>0.28229109536697433</v>
      </c>
      <c r="AX21" s="680">
        <v>0.51201377462895037</v>
      </c>
      <c r="AY21" s="679">
        <v>9.5</v>
      </c>
      <c r="AZ21" s="680">
        <v>0.61408730158730152</v>
      </c>
      <c r="BA21" s="679">
        <v>69.786829599456894</v>
      </c>
      <c r="BB21" s="679">
        <v>40.145110874258407</v>
      </c>
      <c r="BC21" s="680">
        <v>0.28016000118331752</v>
      </c>
      <c r="BD21" s="680">
        <v>0.32720110182505929</v>
      </c>
      <c r="BE21" s="680">
        <v>0.55671006163485315</v>
      </c>
      <c r="BF21" s="679">
        <v>7.7</v>
      </c>
      <c r="BG21" s="680">
        <v>0.70337301587301582</v>
      </c>
      <c r="BH21" s="679">
        <v>63.500459136822776</v>
      </c>
      <c r="BI21" s="679">
        <v>40.528208055657764</v>
      </c>
      <c r="BJ21" s="680">
        <v>0.25735598195269477</v>
      </c>
      <c r="BK21" s="680">
        <v>0.29652739095256342</v>
      </c>
      <c r="BL21" s="680">
        <v>0.62200389088892538</v>
      </c>
      <c r="BM21" s="679">
        <v>11</v>
      </c>
      <c r="BN21" s="680">
        <v>0.53968253968253965</v>
      </c>
      <c r="BO21" s="679">
        <v>64.35590401520551</v>
      </c>
      <c r="BP21" s="679">
        <v>40.543690470845931</v>
      </c>
      <c r="BQ21" s="680">
        <v>0.26092258523639628</v>
      </c>
      <c r="BR21" s="680">
        <v>0.30132483287781153</v>
      </c>
      <c r="BS21" s="680">
        <v>0.49201099832159406</v>
      </c>
      <c r="BT21" s="679">
        <v>13.9</v>
      </c>
      <c r="BU21" s="680">
        <v>0.39583333333333326</v>
      </c>
      <c r="BV21" s="679">
        <v>71.131947901111673</v>
      </c>
      <c r="BW21" s="679">
        <v>37.509137855982473</v>
      </c>
      <c r="BX21" s="680">
        <v>0.2668098039787361</v>
      </c>
      <c r="BY21" s="680">
        <v>0.30924373716040277</v>
      </c>
      <c r="BZ21" s="680">
        <v>0.37851541409874723</v>
      </c>
    </row>
    <row r="22" spans="1:78">
      <c r="A22" s="2">
        <v>1984</v>
      </c>
      <c r="B22" s="679">
        <v>11.3</v>
      </c>
      <c r="C22" s="680">
        <v>0.52480158730158721</v>
      </c>
      <c r="D22" s="679">
        <v>73.725700686857508</v>
      </c>
      <c r="E22" s="679">
        <v>38.425449380889233</v>
      </c>
      <c r="F22" s="680">
        <v>0.28329431798134336</v>
      </c>
      <c r="G22" s="680">
        <v>0.33141707473199084</v>
      </c>
      <c r="H22" s="680">
        <v>0.48612468478766796</v>
      </c>
      <c r="I22" s="679">
        <v>20.100000000000001</v>
      </c>
      <c r="J22" s="680">
        <v>8.8293650793650674E-2</v>
      </c>
      <c r="K22" s="679">
        <v>119.66740576496673</v>
      </c>
      <c r="L22" s="679">
        <v>35.984013379138709</v>
      </c>
      <c r="M22" s="680">
        <v>0.43061135300933839</v>
      </c>
      <c r="N22" s="680">
        <v>0.52957337750224909</v>
      </c>
      <c r="O22" s="680">
        <v>0.17654959613537036</v>
      </c>
      <c r="P22" s="679">
        <v>12.5</v>
      </c>
      <c r="Q22" s="680">
        <v>0.46527777777777773</v>
      </c>
      <c r="R22" s="679">
        <v>146.49530516431923</v>
      </c>
      <c r="S22" s="679">
        <v>40.931049194501256</v>
      </c>
      <c r="T22" s="680">
        <v>0.59962065424442246</v>
      </c>
      <c r="U22" s="680">
        <v>0.75690797095347384</v>
      </c>
      <c r="V22" s="680">
        <v>0.52360381641291698</v>
      </c>
      <c r="W22" s="679">
        <v>13</v>
      </c>
      <c r="X22" s="680">
        <v>0.44047619047619041</v>
      </c>
      <c r="Y22" s="679">
        <v>91.173215455140792</v>
      </c>
      <c r="Z22" s="679">
        <v>37.711612197370073</v>
      </c>
      <c r="AA22" s="680">
        <v>0.34382889440315373</v>
      </c>
      <c r="AB22" s="680">
        <v>0.4128421987933738</v>
      </c>
      <c r="AC22" s="680">
        <v>0.43494939213962713</v>
      </c>
      <c r="AD22" s="679">
        <v>14.6</v>
      </c>
      <c r="AE22" s="680">
        <v>0.36111111111111105</v>
      </c>
      <c r="AF22" s="679">
        <v>126.31211773700306</v>
      </c>
      <c r="AG22" s="679">
        <v>40.036870117199022</v>
      </c>
      <c r="AH22" s="680">
        <v>0.50571418520647426</v>
      </c>
      <c r="AI22" s="680">
        <v>0.63059427812607349</v>
      </c>
      <c r="AJ22" s="680">
        <v>0.4150077445141036</v>
      </c>
      <c r="AK22" s="679">
        <v>13.1</v>
      </c>
      <c r="AL22" s="680">
        <v>0.43551587301587297</v>
      </c>
      <c r="AM22" s="679">
        <v>82.197303037589165</v>
      </c>
      <c r="AN22" s="679">
        <v>37.511625055266641</v>
      </c>
      <c r="AO22" s="680">
        <v>0.30833544121001744</v>
      </c>
      <c r="AP22" s="680">
        <v>0.36509991660608598</v>
      </c>
      <c r="AQ22" s="680">
        <v>0.42143268173391557</v>
      </c>
      <c r="AR22" s="679">
        <v>9</v>
      </c>
      <c r="AS22" s="680">
        <v>0.63888888888888884</v>
      </c>
      <c r="AT22" s="679">
        <v>60.95464135021097</v>
      </c>
      <c r="AU22" s="679">
        <v>38.662446316004633</v>
      </c>
      <c r="AV22" s="680">
        <v>0.23566555489138477</v>
      </c>
      <c r="AW22" s="680">
        <v>0.26735157410856863</v>
      </c>
      <c r="AX22" s="680">
        <v>0.56458142593282479</v>
      </c>
      <c r="AY22" s="679">
        <v>8.6</v>
      </c>
      <c r="AZ22" s="680">
        <v>0.65873015873015872</v>
      </c>
      <c r="BA22" s="679">
        <v>70.543526785714292</v>
      </c>
      <c r="BB22" s="679">
        <v>39.595578643312493</v>
      </c>
      <c r="BC22" s="680">
        <v>0.27932117626203717</v>
      </c>
      <c r="BD22" s="680">
        <v>0.3260727975183586</v>
      </c>
      <c r="BE22" s="680">
        <v>0.59219868648779872</v>
      </c>
      <c r="BF22" s="679">
        <v>8.1</v>
      </c>
      <c r="BG22" s="680">
        <v>0.68353174603174605</v>
      </c>
      <c r="BH22" s="679">
        <v>63.448157669237361</v>
      </c>
      <c r="BI22" s="679">
        <v>40.404978369091893</v>
      </c>
      <c r="BJ22" s="680">
        <v>0.25636214381842676</v>
      </c>
      <c r="BK22" s="680">
        <v>0.29519057820581474</v>
      </c>
      <c r="BL22" s="680">
        <v>0.60586351246655978</v>
      </c>
      <c r="BM22" s="679">
        <v>11.3</v>
      </c>
      <c r="BN22" s="680">
        <v>0.52480158730158721</v>
      </c>
      <c r="BO22" s="679">
        <v>60.9223406694177</v>
      </c>
      <c r="BP22" s="679">
        <v>40.924428882753674</v>
      </c>
      <c r="BQ22" s="680">
        <v>0.24932119980964768</v>
      </c>
      <c r="BR22" s="680">
        <v>0.28571979682247423</v>
      </c>
      <c r="BS22" s="680">
        <v>0.47698522920576464</v>
      </c>
      <c r="BT22" s="679">
        <v>15</v>
      </c>
      <c r="BU22" s="680">
        <v>0.34126984126984122</v>
      </c>
      <c r="BV22" s="679">
        <v>66.335191082802552</v>
      </c>
      <c r="BW22" s="679">
        <v>38.382136286539023</v>
      </c>
      <c r="BX22" s="680">
        <v>0.25460863447337356</v>
      </c>
      <c r="BY22" s="680">
        <v>0.29283193089375875</v>
      </c>
      <c r="BZ22" s="680">
        <v>0.33158225919462475</v>
      </c>
    </row>
    <row r="23" spans="1:78">
      <c r="A23" s="2">
        <v>1985</v>
      </c>
      <c r="B23" s="679">
        <v>10.6</v>
      </c>
      <c r="C23" s="680">
        <v>0.55952380952380953</v>
      </c>
      <c r="D23" s="679">
        <v>73.568815729309549</v>
      </c>
      <c r="E23" s="679">
        <v>39.209031430746862</v>
      </c>
      <c r="F23" s="680">
        <v>0.28845620082533224</v>
      </c>
      <c r="G23" s="680">
        <v>0.33836032891507761</v>
      </c>
      <c r="H23" s="680">
        <v>0.51529111340206313</v>
      </c>
      <c r="I23" s="679">
        <v>20.2</v>
      </c>
      <c r="J23" s="680">
        <v>8.3333333333333315E-2</v>
      </c>
      <c r="K23" s="679">
        <v>123.24675324675324</v>
      </c>
      <c r="L23" s="679">
        <v>37.043506522686783</v>
      </c>
      <c r="M23" s="680">
        <v>0.45654919077960721</v>
      </c>
      <c r="N23" s="680">
        <v>0.56446239107379226</v>
      </c>
      <c r="O23" s="680">
        <v>0.1795591448814251</v>
      </c>
      <c r="P23" s="679">
        <v>13.7</v>
      </c>
      <c r="Q23" s="680">
        <v>0.40575396825396826</v>
      </c>
      <c r="R23" s="679">
        <v>137.3125</v>
      </c>
      <c r="S23" s="679">
        <v>40.999751319817094</v>
      </c>
      <c r="T23" s="680">
        <v>0.56297783531023837</v>
      </c>
      <c r="U23" s="680">
        <v>0.70761967566774464</v>
      </c>
      <c r="V23" s="680">
        <v>0.46612710973672355</v>
      </c>
      <c r="W23" s="679">
        <v>13.5</v>
      </c>
      <c r="X23" s="680">
        <v>0.41567460317460314</v>
      </c>
      <c r="Y23" s="679">
        <v>88.640186915887853</v>
      </c>
      <c r="Z23" s="679">
        <v>38.632040841493406</v>
      </c>
      <c r="AA23" s="680">
        <v>0.34243513211321885</v>
      </c>
      <c r="AB23" s="680">
        <v>0.41096744763332216</v>
      </c>
      <c r="AC23" s="680">
        <v>0.41473317206634697</v>
      </c>
      <c r="AD23" s="679">
        <v>15.2</v>
      </c>
      <c r="AE23" s="680">
        <v>0.33134920634920634</v>
      </c>
      <c r="AF23" s="679">
        <v>115.95567375886523</v>
      </c>
      <c r="AG23" s="679">
        <v>40.933249142807412</v>
      </c>
      <c r="AH23" s="680">
        <v>0.47464424834937263</v>
      </c>
      <c r="AI23" s="680">
        <v>0.58880207253533068</v>
      </c>
      <c r="AJ23" s="680">
        <v>0.38283977958643123</v>
      </c>
      <c r="AK23" s="679">
        <v>12.3</v>
      </c>
      <c r="AL23" s="680">
        <v>0.47519841269841262</v>
      </c>
      <c r="AM23" s="679">
        <v>82.639724310776941</v>
      </c>
      <c r="AN23" s="679">
        <v>39.253215153688089</v>
      </c>
      <c r="AO23" s="680">
        <v>0.32438748786123955</v>
      </c>
      <c r="AP23" s="680">
        <v>0.38669154187669658</v>
      </c>
      <c r="AQ23" s="680">
        <v>0.45749703853406948</v>
      </c>
      <c r="AR23" s="679">
        <v>8</v>
      </c>
      <c r="AS23" s="680">
        <v>0.68849206349206349</v>
      </c>
      <c r="AT23" s="679">
        <v>62.074334505273733</v>
      </c>
      <c r="AU23" s="679">
        <v>39.207061820145562</v>
      </c>
      <c r="AV23" s="680">
        <v>0.2433752270392662</v>
      </c>
      <c r="AW23" s="680">
        <v>0.27772186243336894</v>
      </c>
      <c r="AX23" s="680">
        <v>0.6063380232803246</v>
      </c>
      <c r="AY23" s="679">
        <v>8.4</v>
      </c>
      <c r="AZ23" s="680">
        <v>0.66865079365079361</v>
      </c>
      <c r="BA23" s="679">
        <v>69.923393124065754</v>
      </c>
      <c r="BB23" s="679">
        <v>41.52173221083828</v>
      </c>
      <c r="BC23" s="680">
        <v>0.2903340404570629</v>
      </c>
      <c r="BD23" s="680">
        <v>0.34088621302989502</v>
      </c>
      <c r="BE23" s="680">
        <v>0.60309787752661392</v>
      </c>
      <c r="BF23" s="679">
        <v>8.4</v>
      </c>
      <c r="BG23" s="680">
        <v>0.66865079365079361</v>
      </c>
      <c r="BH23" s="679">
        <v>60.500403551251019</v>
      </c>
      <c r="BI23" s="679">
        <v>40.896887406186487</v>
      </c>
      <c r="BJ23" s="680">
        <v>0.24742781920643578</v>
      </c>
      <c r="BK23" s="680">
        <v>0.28317300853014876</v>
      </c>
      <c r="BL23" s="680">
        <v>0.59155523662666465</v>
      </c>
      <c r="BM23" s="679">
        <v>9.9</v>
      </c>
      <c r="BN23" s="680">
        <v>0.59424603174603163</v>
      </c>
      <c r="BO23" s="679">
        <v>59.1113683127572</v>
      </c>
      <c r="BP23" s="679">
        <v>40.89736618478549</v>
      </c>
      <c r="BQ23" s="680">
        <v>0.24174992755705565</v>
      </c>
      <c r="BR23" s="680">
        <v>0.27553567034616022</v>
      </c>
      <c r="BS23" s="680">
        <v>0.53050395946605733</v>
      </c>
      <c r="BT23" s="679">
        <v>14.6</v>
      </c>
      <c r="BU23" s="680">
        <v>0.36111111111111105</v>
      </c>
      <c r="BV23" s="679">
        <v>62.545531068258335</v>
      </c>
      <c r="BW23" s="679">
        <v>38.908889383227532</v>
      </c>
      <c r="BX23" s="680">
        <v>0.24335771497500847</v>
      </c>
      <c r="BY23" s="680">
        <v>0.2776983069368405</v>
      </c>
      <c r="BZ23" s="680">
        <v>0.34442855027625696</v>
      </c>
    </row>
    <row r="24" spans="1:78">
      <c r="A24" s="2">
        <v>1986</v>
      </c>
      <c r="B24" s="679">
        <v>9.6999999999999993</v>
      </c>
      <c r="C24" s="680">
        <v>0.60416666666666663</v>
      </c>
      <c r="D24" s="679">
        <v>75.623427978737183</v>
      </c>
      <c r="E24" s="679">
        <v>40.242420779916635</v>
      </c>
      <c r="F24" s="680">
        <v>0.30432698095400623</v>
      </c>
      <c r="G24" s="680">
        <v>0.35970813239062333</v>
      </c>
      <c r="H24" s="680">
        <v>0.55527495981145802</v>
      </c>
      <c r="I24" s="679">
        <v>18.899999999999999</v>
      </c>
      <c r="J24" s="680">
        <v>0.14781746031746035</v>
      </c>
      <c r="K24" s="679">
        <v>134.9750957854406</v>
      </c>
      <c r="L24" s="679">
        <v>37.984875304204323</v>
      </c>
      <c r="M24" s="680">
        <v>0.51270121825829951</v>
      </c>
      <c r="N24" s="680">
        <v>0.63999254382304582</v>
      </c>
      <c r="O24" s="680">
        <v>0.24625247701857744</v>
      </c>
      <c r="P24" s="679">
        <v>13.2</v>
      </c>
      <c r="Q24" s="680">
        <v>0.43055555555555552</v>
      </c>
      <c r="R24" s="679">
        <v>140.042194092827</v>
      </c>
      <c r="S24" s="679">
        <v>43.47603167505978</v>
      </c>
      <c r="T24" s="680">
        <v>0.6088478866224617</v>
      </c>
      <c r="U24" s="680">
        <v>0.76931953118129681</v>
      </c>
      <c r="V24" s="680">
        <v>0.49830835068070378</v>
      </c>
      <c r="W24" s="679">
        <v>13.3</v>
      </c>
      <c r="X24" s="680">
        <v>0.42559523809523803</v>
      </c>
      <c r="Y24" s="679">
        <v>86.707014276846664</v>
      </c>
      <c r="Z24" s="679">
        <v>39.252655229217403</v>
      </c>
      <c r="AA24" s="680">
        <v>0.34034805373638932</v>
      </c>
      <c r="AB24" s="680">
        <v>0.40816011625670506</v>
      </c>
      <c r="AC24" s="680">
        <v>0.42210821372753143</v>
      </c>
      <c r="AD24" s="679">
        <v>14.4</v>
      </c>
      <c r="AE24" s="680">
        <v>0.37103174603174593</v>
      </c>
      <c r="AF24" s="679">
        <v>116.29934210526315</v>
      </c>
      <c r="AG24" s="679">
        <v>41.205834071136096</v>
      </c>
      <c r="AH24" s="680">
        <v>0.47922113933717647</v>
      </c>
      <c r="AI24" s="680">
        <v>0.5949584535414606</v>
      </c>
      <c r="AJ24" s="680">
        <v>0.4158170875336889</v>
      </c>
      <c r="AK24" s="679">
        <v>11.1</v>
      </c>
      <c r="AL24" s="680">
        <v>0.53472222222222221</v>
      </c>
      <c r="AM24" s="679">
        <v>84.972853362533073</v>
      </c>
      <c r="AN24" s="679">
        <v>40.291521687855955</v>
      </c>
      <c r="AO24" s="680">
        <v>0.34236855641355052</v>
      </c>
      <c r="AP24" s="680">
        <v>0.41087789658786356</v>
      </c>
      <c r="AQ24" s="680">
        <v>0.5099533570953505</v>
      </c>
      <c r="AR24" s="679">
        <v>7</v>
      </c>
      <c r="AS24" s="680">
        <v>0.73809523809523803</v>
      </c>
      <c r="AT24" s="679">
        <v>61.614336217322531</v>
      </c>
      <c r="AU24" s="679">
        <v>39.484702584744596</v>
      </c>
      <c r="AV24" s="680">
        <v>0.24328237404974376</v>
      </c>
      <c r="AW24" s="680">
        <v>0.27759696577697457</v>
      </c>
      <c r="AX24" s="680">
        <v>0.64599558363158538</v>
      </c>
      <c r="AY24" s="679">
        <v>7.8</v>
      </c>
      <c r="AZ24" s="680">
        <v>0.69841269841269837</v>
      </c>
      <c r="BA24" s="679">
        <v>68.980601741884399</v>
      </c>
      <c r="BB24" s="679">
        <v>42.330976851227021</v>
      </c>
      <c r="BC24" s="680">
        <v>0.29200162555194187</v>
      </c>
      <c r="BD24" s="680">
        <v>0.34312928354032995</v>
      </c>
      <c r="BE24" s="680">
        <v>0.62735601543822472</v>
      </c>
      <c r="BF24" s="679">
        <v>7.9</v>
      </c>
      <c r="BG24" s="680">
        <v>0.69345238095238093</v>
      </c>
      <c r="BH24" s="679">
        <v>65.095419847328245</v>
      </c>
      <c r="BI24" s="679">
        <v>42.240319163719093</v>
      </c>
      <c r="BJ24" s="680">
        <v>0.2749651310447439</v>
      </c>
      <c r="BK24" s="680">
        <v>0.32021347639643355</v>
      </c>
      <c r="BL24" s="680">
        <v>0.61880460004119153</v>
      </c>
      <c r="BM24" s="679">
        <v>10.1</v>
      </c>
      <c r="BN24" s="680">
        <v>0.58432539682539675</v>
      </c>
      <c r="BO24" s="679">
        <v>63.050527903469082</v>
      </c>
      <c r="BP24" s="679">
        <v>43.925730096079207</v>
      </c>
      <c r="BQ24" s="680">
        <v>0.27695404711030935</v>
      </c>
      <c r="BR24" s="680">
        <v>0.32288876954225287</v>
      </c>
      <c r="BS24" s="680">
        <v>0.53203807136876802</v>
      </c>
      <c r="BT24" s="679">
        <v>12.9</v>
      </c>
      <c r="BU24" s="680">
        <v>0.44543650793650785</v>
      </c>
      <c r="BV24" s="679">
        <v>66.068289384719421</v>
      </c>
      <c r="BW24" s="679">
        <v>41.020377842883292</v>
      </c>
      <c r="BX24" s="680">
        <v>0.27101461939941457</v>
      </c>
      <c r="BY24" s="680">
        <v>0.31489963891972528</v>
      </c>
      <c r="BZ24" s="680">
        <v>0.41932913413315137</v>
      </c>
    </row>
    <row r="25" spans="1:78">
      <c r="A25" s="2">
        <v>1987</v>
      </c>
      <c r="B25" s="679">
        <v>8.8000000000000007</v>
      </c>
      <c r="C25" s="680">
        <v>0.64880952380952372</v>
      </c>
      <c r="D25" s="679">
        <v>76.198309583682601</v>
      </c>
      <c r="E25" s="679">
        <v>40.605748321412733</v>
      </c>
      <c r="F25" s="680">
        <v>0.30940893814721077</v>
      </c>
      <c r="G25" s="680">
        <v>0.36654387849460079</v>
      </c>
      <c r="H25" s="680">
        <v>0.59235639474653912</v>
      </c>
      <c r="I25" s="679">
        <v>17.8</v>
      </c>
      <c r="J25" s="680">
        <v>0.2023809523809523</v>
      </c>
      <c r="K25" s="679">
        <v>144.25948345439869</v>
      </c>
      <c r="L25" s="679">
        <v>38.668685364595426</v>
      </c>
      <c r="M25" s="680">
        <v>0.55783245765572032</v>
      </c>
      <c r="N25" s="680">
        <v>0.70069862263282401</v>
      </c>
      <c r="O25" s="680">
        <v>0.30204448643132664</v>
      </c>
      <c r="P25" s="679">
        <v>12.3</v>
      </c>
      <c r="Q25" s="680">
        <v>0.47519841269841262</v>
      </c>
      <c r="R25" s="679">
        <v>144.57777777777781</v>
      </c>
      <c r="S25" s="679">
        <v>44.530406817810395</v>
      </c>
      <c r="T25" s="680">
        <v>0.64381072612594337</v>
      </c>
      <c r="U25" s="680">
        <v>0.81634808432210149</v>
      </c>
      <c r="V25" s="680">
        <v>0.54342834702315046</v>
      </c>
      <c r="W25" s="679">
        <v>12</v>
      </c>
      <c r="X25" s="680">
        <v>0.490079365079365</v>
      </c>
      <c r="Y25" s="679">
        <v>91.914460285132378</v>
      </c>
      <c r="Z25" s="679">
        <v>40.430165712579239</v>
      </c>
      <c r="AA25" s="680">
        <v>0.37161168607101852</v>
      </c>
      <c r="AB25" s="680">
        <v>0.45021286184326637</v>
      </c>
      <c r="AC25" s="680">
        <v>0.48210606443214526</v>
      </c>
      <c r="AD25" s="679">
        <v>13.2</v>
      </c>
      <c r="AE25" s="680">
        <v>0.43055555555555552</v>
      </c>
      <c r="AF25" s="679">
        <v>122.33996877439498</v>
      </c>
      <c r="AG25" s="679">
        <v>43.551304725561273</v>
      </c>
      <c r="AH25" s="680">
        <v>0.5328065260209327</v>
      </c>
      <c r="AI25" s="680">
        <v>0.66703621498805732</v>
      </c>
      <c r="AJ25" s="680">
        <v>0.47785168744205592</v>
      </c>
      <c r="AK25" s="679">
        <v>10.199999999999999</v>
      </c>
      <c r="AL25" s="680">
        <v>0.57936507936507931</v>
      </c>
      <c r="AM25" s="679">
        <v>84.358055393017352</v>
      </c>
      <c r="AN25" s="679">
        <v>40.371697750964962</v>
      </c>
      <c r="AO25" s="680">
        <v>0.34056779151860567</v>
      </c>
      <c r="AP25" s="680">
        <v>0.40845568578465985</v>
      </c>
      <c r="AQ25" s="680">
        <v>0.54518320064899539</v>
      </c>
      <c r="AR25" s="679">
        <v>6.1</v>
      </c>
      <c r="AS25" s="680">
        <v>0.78273809523809523</v>
      </c>
      <c r="AT25" s="679">
        <v>59.737421383647799</v>
      </c>
      <c r="AU25" s="679">
        <v>40.652551378362929</v>
      </c>
      <c r="AV25" s="680">
        <v>0.24284785920096583</v>
      </c>
      <c r="AW25" s="680">
        <v>0.27701249938504474</v>
      </c>
      <c r="AX25" s="680">
        <v>0.68159297606748515</v>
      </c>
      <c r="AY25" s="679">
        <v>7.5</v>
      </c>
      <c r="AZ25" s="680">
        <v>0.7132936507936507</v>
      </c>
      <c r="BA25" s="679">
        <v>69.553644553644546</v>
      </c>
      <c r="BB25" s="679">
        <v>43.333002044807749</v>
      </c>
      <c r="BC25" s="680">
        <v>0.301396822166691</v>
      </c>
      <c r="BD25" s="680">
        <v>0.35576677264418377</v>
      </c>
      <c r="BE25" s="680">
        <v>0.64178827516375736</v>
      </c>
      <c r="BF25" s="679">
        <v>7.3</v>
      </c>
      <c r="BG25" s="680">
        <v>0.72321428571428559</v>
      </c>
      <c r="BH25" s="679">
        <v>69.214480874316934</v>
      </c>
      <c r="BI25" s="679">
        <v>42.931093524853431</v>
      </c>
      <c r="BJ25" s="680">
        <v>0.29714533516894792</v>
      </c>
      <c r="BK25" s="680">
        <v>0.35004809289619332</v>
      </c>
      <c r="BL25" s="680">
        <v>0.64858104715066722</v>
      </c>
      <c r="BM25" s="679">
        <v>9.6</v>
      </c>
      <c r="BN25" s="680">
        <v>0.60912698412698407</v>
      </c>
      <c r="BO25" s="679">
        <v>62.52047015319598</v>
      </c>
      <c r="BP25" s="679">
        <v>43.782015887377476</v>
      </c>
      <c r="BQ25" s="680">
        <v>0.27372722175335357</v>
      </c>
      <c r="BR25" s="680">
        <v>0.31854836327288855</v>
      </c>
      <c r="BS25" s="680">
        <v>0.55101125995616496</v>
      </c>
      <c r="BT25" s="679">
        <v>12.1</v>
      </c>
      <c r="BU25" s="680">
        <v>0.48511904761904756</v>
      </c>
      <c r="BV25" s="679">
        <v>67.224277660324177</v>
      </c>
      <c r="BW25" s="679">
        <v>40.753101370400621</v>
      </c>
      <c r="BX25" s="680">
        <v>0.27395978020431488</v>
      </c>
      <c r="BY25" s="680">
        <v>0.31886117789620561</v>
      </c>
      <c r="BZ25" s="680">
        <v>0.45186747367447916</v>
      </c>
    </row>
    <row r="26" spans="1:78">
      <c r="A26" s="2">
        <v>1988</v>
      </c>
      <c r="B26" s="679">
        <v>7.8</v>
      </c>
      <c r="C26" s="680">
        <v>0.69841269841269837</v>
      </c>
      <c r="D26" s="679">
        <v>82.647888421380699</v>
      </c>
      <c r="E26" s="679">
        <v>41.35343750031619</v>
      </c>
      <c r="F26" s="680">
        <v>0.34177742883666729</v>
      </c>
      <c r="G26" s="680">
        <v>0.41008277024637518</v>
      </c>
      <c r="H26" s="680">
        <v>0.64074671277943374</v>
      </c>
      <c r="I26" s="679">
        <v>16.2</v>
      </c>
      <c r="J26" s="680">
        <v>0.28174603174603174</v>
      </c>
      <c r="K26" s="679">
        <v>162.40909090909091</v>
      </c>
      <c r="L26" s="679">
        <v>39.423233525694933</v>
      </c>
      <c r="M26" s="680">
        <v>0.64026915176049093</v>
      </c>
      <c r="N26" s="680">
        <v>0.81158430882179622</v>
      </c>
      <c r="O26" s="680">
        <v>0.38771368716118465</v>
      </c>
      <c r="P26" s="679">
        <v>12.2</v>
      </c>
      <c r="Q26" s="680">
        <v>0.48015873015873012</v>
      </c>
      <c r="R26" s="679">
        <v>143.88157894736844</v>
      </c>
      <c r="S26" s="679">
        <v>45.437938441730495</v>
      </c>
      <c r="T26" s="680">
        <v>0.65376823271095141</v>
      </c>
      <c r="U26" s="680">
        <v>0.82974193717367928</v>
      </c>
      <c r="V26" s="680">
        <v>0.55007537156171993</v>
      </c>
      <c r="W26" s="679">
        <v>10.199999999999999</v>
      </c>
      <c r="X26" s="680">
        <v>0.57936507936507931</v>
      </c>
      <c r="Y26" s="679">
        <v>103.62884160756502</v>
      </c>
      <c r="Z26" s="679">
        <v>41.158825792351642</v>
      </c>
      <c r="AA26" s="680">
        <v>0.42652414387889703</v>
      </c>
      <c r="AB26" s="680">
        <v>0.52407566809082085</v>
      </c>
      <c r="AC26" s="680">
        <v>0.56830719711022759</v>
      </c>
      <c r="AD26" s="679">
        <v>11.8</v>
      </c>
      <c r="AE26" s="680">
        <v>0.49999999999999989</v>
      </c>
      <c r="AF26" s="679">
        <v>135.891323024055</v>
      </c>
      <c r="AG26" s="679">
        <v>44.275705881577771</v>
      </c>
      <c r="AH26" s="680">
        <v>0.60166842500715367</v>
      </c>
      <c r="AI26" s="680">
        <v>0.75966242961595465</v>
      </c>
      <c r="AJ26" s="680">
        <v>0.55193248592319089</v>
      </c>
      <c r="AK26" s="679">
        <v>9.5</v>
      </c>
      <c r="AL26" s="680">
        <v>0.61408730158730152</v>
      </c>
      <c r="AM26" s="679">
        <v>90.715722686474763</v>
      </c>
      <c r="AN26" s="679">
        <v>41.261948058139033</v>
      </c>
      <c r="AO26" s="680">
        <v>0.37431074375458667</v>
      </c>
      <c r="AP26" s="680">
        <v>0.45384336724569918</v>
      </c>
      <c r="AQ26" s="680">
        <v>0.58203851471898105</v>
      </c>
      <c r="AR26" s="679">
        <v>5</v>
      </c>
      <c r="AS26" s="680">
        <v>0.83730158730158721</v>
      </c>
      <c r="AT26" s="679">
        <v>64.043198415645506</v>
      </c>
      <c r="AU26" s="679">
        <v>41.812563514956231</v>
      </c>
      <c r="AV26" s="680">
        <v>0.26778103014551219</v>
      </c>
      <c r="AW26" s="680">
        <v>0.31055013452527985</v>
      </c>
      <c r="AX26" s="680">
        <v>0.73195129674632575</v>
      </c>
      <c r="AY26" s="679">
        <v>7.7</v>
      </c>
      <c r="AZ26" s="680">
        <v>0.70337301587301582</v>
      </c>
      <c r="BA26" s="679">
        <v>69.239386792452834</v>
      </c>
      <c r="BB26" s="679">
        <v>43.774818406366293</v>
      </c>
      <c r="BC26" s="680">
        <v>0.30309415834077796</v>
      </c>
      <c r="BD26" s="680">
        <v>0.35804986136336259</v>
      </c>
      <c r="BE26" s="680">
        <v>0.63430838497108522</v>
      </c>
      <c r="BF26" s="679">
        <v>7.3</v>
      </c>
      <c r="BG26" s="680">
        <v>0.72321428571428559</v>
      </c>
      <c r="BH26" s="679">
        <v>69.005449591280652</v>
      </c>
      <c r="BI26" s="679">
        <v>43.796843010700563</v>
      </c>
      <c r="BJ26" s="680">
        <v>0.30222208426321301</v>
      </c>
      <c r="BK26" s="680">
        <v>0.35687683358066785</v>
      </c>
      <c r="BL26" s="680">
        <v>0.64994679528756205</v>
      </c>
      <c r="BM26" s="679">
        <v>8</v>
      </c>
      <c r="BN26" s="680">
        <v>0.68849206349206349</v>
      </c>
      <c r="BO26" s="679">
        <v>63.839899937460913</v>
      </c>
      <c r="BP26" s="679">
        <v>44.034538847340301</v>
      </c>
      <c r="BQ26" s="680">
        <v>0.28111605538064399</v>
      </c>
      <c r="BR26" s="680">
        <v>0.32848709135745929</v>
      </c>
      <c r="BS26" s="680">
        <v>0.61649106906514273</v>
      </c>
      <c r="BT26" s="679">
        <v>10.3</v>
      </c>
      <c r="BU26" s="680">
        <v>0.57440476190476186</v>
      </c>
      <c r="BV26" s="679">
        <v>74.686865611043444</v>
      </c>
      <c r="BW26" s="679">
        <v>42.214583631497774</v>
      </c>
      <c r="BX26" s="680">
        <v>0.31528749345118284</v>
      </c>
      <c r="BY26" s="680">
        <v>0.37445112957689575</v>
      </c>
      <c r="BZ26" s="680">
        <v>0.53441403543918864</v>
      </c>
    </row>
    <row r="27" spans="1:78">
      <c r="A27" s="2">
        <v>1989</v>
      </c>
      <c r="B27" s="679">
        <v>7.5</v>
      </c>
      <c r="C27" s="680">
        <v>0.7132936507936507</v>
      </c>
      <c r="D27" s="679">
        <v>83.769246480643531</v>
      </c>
      <c r="E27" s="679">
        <v>42.000646542792794</v>
      </c>
      <c r="F27" s="680">
        <v>0.35183625125895984</v>
      </c>
      <c r="G27" s="680">
        <v>0.42361290314000344</v>
      </c>
      <c r="H27" s="680">
        <v>0.65535750126292136</v>
      </c>
      <c r="I27" s="679">
        <v>15.5</v>
      </c>
      <c r="J27" s="680">
        <v>0.3164682539682539</v>
      </c>
      <c r="K27" s="679">
        <v>175.05952380952382</v>
      </c>
      <c r="L27" s="679">
        <v>41.036980576924023</v>
      </c>
      <c r="M27" s="680">
        <v>0.71839142783769971</v>
      </c>
      <c r="N27" s="680">
        <v>0.91666666666666663</v>
      </c>
      <c r="O27" s="680">
        <v>0.43650793650793646</v>
      </c>
      <c r="P27" s="679">
        <v>13.7</v>
      </c>
      <c r="Q27" s="680">
        <v>0.40575396825396826</v>
      </c>
      <c r="R27" s="679">
        <v>133.14176245210732</v>
      </c>
      <c r="S27" s="679">
        <v>47.668206710398088</v>
      </c>
      <c r="T27" s="680">
        <v>0.63466290543537696</v>
      </c>
      <c r="U27" s="680">
        <v>0.80404334084078288</v>
      </c>
      <c r="V27" s="680">
        <v>0.4854118427713312</v>
      </c>
      <c r="W27" s="679">
        <v>9.9</v>
      </c>
      <c r="X27" s="680">
        <v>0.59424603174603163</v>
      </c>
      <c r="Y27" s="679">
        <v>108.04756195043966</v>
      </c>
      <c r="Z27" s="679">
        <v>43.080526741862023</v>
      </c>
      <c r="AA27" s="680">
        <v>0.46547458819989096</v>
      </c>
      <c r="AB27" s="680">
        <v>0.57646795277426044</v>
      </c>
      <c r="AC27" s="680">
        <v>0.59069041595167737</v>
      </c>
      <c r="AD27" s="679">
        <v>12.1</v>
      </c>
      <c r="AE27" s="680">
        <v>0.48511904761904756</v>
      </c>
      <c r="AF27" s="679">
        <v>128.53145424836603</v>
      </c>
      <c r="AG27" s="679">
        <v>44.886174307579388</v>
      </c>
      <c r="AH27" s="680">
        <v>0.57692852593988231</v>
      </c>
      <c r="AI27" s="680">
        <v>0.72638476468638113</v>
      </c>
      <c r="AJ27" s="680">
        <v>0.53337219103251432</v>
      </c>
      <c r="AK27" s="679">
        <v>9.6</v>
      </c>
      <c r="AL27" s="680">
        <v>0.60912698412698407</v>
      </c>
      <c r="AM27" s="679">
        <v>91.938929001203377</v>
      </c>
      <c r="AN27" s="679">
        <v>42.330118079019577</v>
      </c>
      <c r="AO27" s="680">
        <v>0.38917857206795364</v>
      </c>
      <c r="AP27" s="680">
        <v>0.47384209915229708</v>
      </c>
      <c r="AQ27" s="680">
        <v>0.58207000713204671</v>
      </c>
      <c r="AR27" s="679">
        <v>5</v>
      </c>
      <c r="AS27" s="680">
        <v>0.83730158730158721</v>
      </c>
      <c r="AT27" s="679">
        <v>60.959854014598541</v>
      </c>
      <c r="AU27" s="679">
        <v>42.641473199009184</v>
      </c>
      <c r="AV27" s="680">
        <v>0.25994179811790158</v>
      </c>
      <c r="AW27" s="680">
        <v>0.30000557506646153</v>
      </c>
      <c r="AX27" s="680">
        <v>0.7298423848545621</v>
      </c>
      <c r="AY27" s="679">
        <v>7.5</v>
      </c>
      <c r="AZ27" s="680">
        <v>0.7132936507936507</v>
      </c>
      <c r="BA27" s="679">
        <v>71.841787439613526</v>
      </c>
      <c r="BB27" s="679">
        <v>43.73876907067055</v>
      </c>
      <c r="BC27" s="680">
        <v>0.31422713504454558</v>
      </c>
      <c r="BD27" s="680">
        <v>0.37302484034000832</v>
      </c>
      <c r="BE27" s="680">
        <v>0.64523988870292226</v>
      </c>
      <c r="BF27" s="679">
        <v>7.3</v>
      </c>
      <c r="BG27" s="680">
        <v>0.72321428571428559</v>
      </c>
      <c r="BH27" s="679">
        <v>69.284069981583784</v>
      </c>
      <c r="BI27" s="679">
        <v>44.961434992213619</v>
      </c>
      <c r="BJ27" s="680">
        <v>0.31151112084729582</v>
      </c>
      <c r="BK27" s="680">
        <v>0.36937152671272638</v>
      </c>
      <c r="BL27" s="680">
        <v>0.65244573391397376</v>
      </c>
      <c r="BM27" s="679">
        <v>7.2</v>
      </c>
      <c r="BN27" s="680">
        <v>0.72817460317460314</v>
      </c>
      <c r="BO27" s="679">
        <v>68.975353326439162</v>
      </c>
      <c r="BP27" s="679">
        <v>44.516666778145463</v>
      </c>
      <c r="BQ27" s="680">
        <v>0.30705528199379395</v>
      </c>
      <c r="BR27" s="680">
        <v>0.36337797306306047</v>
      </c>
      <c r="BS27" s="680">
        <v>0.65521527715229466</v>
      </c>
      <c r="BT27" s="679">
        <v>9.1</v>
      </c>
      <c r="BU27" s="680">
        <v>0.6339285714285714</v>
      </c>
      <c r="BV27" s="679">
        <v>76.991169977924955</v>
      </c>
      <c r="BW27" s="679">
        <v>42.095275598620759</v>
      </c>
      <c r="BX27" s="680">
        <v>0.32409645188810077</v>
      </c>
      <c r="BY27" s="680">
        <v>0.3863000690752017</v>
      </c>
      <c r="BZ27" s="680">
        <v>0.58440287095789745</v>
      </c>
    </row>
    <row r="28" spans="1:78">
      <c r="A28" s="2">
        <v>1990</v>
      </c>
      <c r="B28" s="679">
        <v>8.1</v>
      </c>
      <c r="C28" s="680">
        <v>0.68353174603174605</v>
      </c>
      <c r="D28" s="679">
        <v>83.116132838355057</v>
      </c>
      <c r="E28" s="679">
        <v>43.488702292208451</v>
      </c>
      <c r="F28" s="680">
        <v>0.36146127566868735</v>
      </c>
      <c r="G28" s="680">
        <v>0.43655953385886531</v>
      </c>
      <c r="H28" s="680">
        <v>0.63413730359716991</v>
      </c>
      <c r="I28" s="679">
        <v>17</v>
      </c>
      <c r="J28" s="680">
        <v>0.24206349206349201</v>
      </c>
      <c r="K28" s="679">
        <v>151.96217494089836</v>
      </c>
      <c r="L28" s="679">
        <v>42.511782195574469</v>
      </c>
      <c r="M28" s="680">
        <v>0.64601828830532559</v>
      </c>
      <c r="N28" s="680">
        <v>0.81931747859153348</v>
      </c>
      <c r="O28" s="680">
        <v>0.35751428936910035</v>
      </c>
      <c r="P28" s="679">
        <v>14.4</v>
      </c>
      <c r="Q28" s="680">
        <v>0.37103174603174593</v>
      </c>
      <c r="R28" s="679">
        <v>121.22759856630822</v>
      </c>
      <c r="S28" s="679">
        <v>48.340001121222436</v>
      </c>
      <c r="T28" s="680">
        <v>0.58601422506184431</v>
      </c>
      <c r="U28" s="680">
        <v>0.73860594837874127</v>
      </c>
      <c r="V28" s="680">
        <v>0.44454658650114504</v>
      </c>
      <c r="W28" s="679">
        <v>10.7</v>
      </c>
      <c r="X28" s="680">
        <v>0.55456349206349209</v>
      </c>
      <c r="Y28" s="679">
        <v>103.39840925524221</v>
      </c>
      <c r="Z28" s="679">
        <v>43.728994619507986</v>
      </c>
      <c r="AA28" s="680">
        <v>0.45215084819881712</v>
      </c>
      <c r="AB28" s="680">
        <v>0.55854617572258913</v>
      </c>
      <c r="AC28" s="680">
        <v>0.55536002879531154</v>
      </c>
      <c r="AD28" s="679">
        <v>12.1</v>
      </c>
      <c r="AE28" s="680">
        <v>0.48511904761904756</v>
      </c>
      <c r="AF28" s="679">
        <v>127.60492332526233</v>
      </c>
      <c r="AG28" s="679">
        <v>46.122407682639512</v>
      </c>
      <c r="AH28" s="680">
        <v>0.58854462959197051</v>
      </c>
      <c r="AI28" s="680">
        <v>0.74200959824250368</v>
      </c>
      <c r="AJ28" s="680">
        <v>0.53649715774373874</v>
      </c>
      <c r="AK28" s="679">
        <v>10.4</v>
      </c>
      <c r="AL28" s="680">
        <v>0.56944444444444442</v>
      </c>
      <c r="AM28" s="679">
        <v>90.496895827627142</v>
      </c>
      <c r="AN28" s="679">
        <v>43.034726528980379</v>
      </c>
      <c r="AO28" s="680">
        <v>0.38945091636635593</v>
      </c>
      <c r="AP28" s="680">
        <v>0.47420842976193567</v>
      </c>
      <c r="AQ28" s="680">
        <v>0.55039724150794267</v>
      </c>
      <c r="AR28" s="679">
        <v>6.2</v>
      </c>
      <c r="AS28" s="680">
        <v>0.77777777777777779</v>
      </c>
      <c r="AT28" s="679">
        <v>65.823572474377741</v>
      </c>
      <c r="AU28" s="679">
        <v>44.949975957432606</v>
      </c>
      <c r="AV28" s="680">
        <v>0.29587680001556022</v>
      </c>
      <c r="AW28" s="680">
        <v>0.34834178489263051</v>
      </c>
      <c r="AX28" s="680">
        <v>0.69189057920074837</v>
      </c>
      <c r="AY28" s="679">
        <v>7.4</v>
      </c>
      <c r="AZ28" s="680">
        <v>0.71825396825396814</v>
      </c>
      <c r="BA28" s="679">
        <v>70.918907905460472</v>
      </c>
      <c r="BB28" s="679">
        <v>45.058045377889869</v>
      </c>
      <c r="BC28" s="680">
        <v>0.31954673705546305</v>
      </c>
      <c r="BD28" s="680">
        <v>0.38018024274470863</v>
      </c>
      <c r="BE28" s="680">
        <v>0.65063922315211631</v>
      </c>
      <c r="BF28" s="679">
        <v>7</v>
      </c>
      <c r="BG28" s="680">
        <v>0.73809523809523803</v>
      </c>
      <c r="BH28" s="679">
        <v>67.437015503875969</v>
      </c>
      <c r="BI28" s="679">
        <v>44.746038602886145</v>
      </c>
      <c r="BJ28" s="680">
        <v>0.30175392989998656</v>
      </c>
      <c r="BK28" s="680">
        <v>0.3562471186415565</v>
      </c>
      <c r="BL28" s="680">
        <v>0.66172561420450182</v>
      </c>
      <c r="BM28" s="679">
        <v>6.9</v>
      </c>
      <c r="BN28" s="680">
        <v>0.74305555555555547</v>
      </c>
      <c r="BO28" s="679">
        <v>67.185618136733964</v>
      </c>
      <c r="BP28" s="679">
        <v>45.251004632791805</v>
      </c>
      <c r="BQ28" s="680">
        <v>0.30402167175623301</v>
      </c>
      <c r="BR28" s="680">
        <v>0.35929746065927198</v>
      </c>
      <c r="BS28" s="680">
        <v>0.66630393657629883</v>
      </c>
      <c r="BT28" s="679">
        <v>8.4</v>
      </c>
      <c r="BU28" s="680">
        <v>0.66865079365079361</v>
      </c>
      <c r="BV28" s="679">
        <v>78.895281264528109</v>
      </c>
      <c r="BW28" s="679">
        <v>44.380888195197599</v>
      </c>
      <c r="BX28" s="680">
        <v>0.35014426569296897</v>
      </c>
      <c r="BY28" s="680">
        <v>0.42133701152954794</v>
      </c>
      <c r="BZ28" s="680">
        <v>0.61918803722654447</v>
      </c>
    </row>
    <row r="29" spans="1:78">
      <c r="A29" s="2">
        <v>1991</v>
      </c>
      <c r="B29" s="679">
        <v>10.3</v>
      </c>
      <c r="C29" s="680">
        <v>0.57440476190476186</v>
      </c>
      <c r="D29" s="679">
        <v>78.161370295244538</v>
      </c>
      <c r="E29" s="679">
        <v>44.198228328663106</v>
      </c>
      <c r="F29" s="680">
        <v>0.34545940907904044</v>
      </c>
      <c r="G29" s="680">
        <v>0.41503540584322351</v>
      </c>
      <c r="H29" s="680">
        <v>0.54253089069245419</v>
      </c>
      <c r="I29" s="679">
        <v>18</v>
      </c>
      <c r="J29" s="680">
        <v>0.19246031746031741</v>
      </c>
      <c r="K29" s="679">
        <v>154.45185185185184</v>
      </c>
      <c r="L29" s="679">
        <v>42.660039962566714</v>
      </c>
      <c r="M29" s="680">
        <v>0.65889221722924329</v>
      </c>
      <c r="N29" s="680">
        <v>0.83663421427797902</v>
      </c>
      <c r="O29" s="680">
        <v>0.32129509682384977</v>
      </c>
      <c r="P29" s="679">
        <v>16.5</v>
      </c>
      <c r="Q29" s="680">
        <v>0.26686507936507931</v>
      </c>
      <c r="R29" s="679">
        <v>120.08647798742138</v>
      </c>
      <c r="S29" s="679">
        <v>49.718127888779698</v>
      </c>
      <c r="T29" s="680">
        <v>0.59704748702917443</v>
      </c>
      <c r="U29" s="680">
        <v>0.75344680095581329</v>
      </c>
      <c r="V29" s="680">
        <v>0.36418142368322615</v>
      </c>
      <c r="W29" s="679">
        <v>12.1</v>
      </c>
      <c r="X29" s="680">
        <v>0.48511904761904756</v>
      </c>
      <c r="Y29" s="679">
        <v>101.99968132568517</v>
      </c>
      <c r="Z29" s="679">
        <v>43.647212589323246</v>
      </c>
      <c r="AA29" s="680">
        <v>0.44520017748654056</v>
      </c>
      <c r="AB29" s="680">
        <v>0.54919682104777834</v>
      </c>
      <c r="AC29" s="680">
        <v>0.49793460230479369</v>
      </c>
      <c r="AD29" s="679">
        <v>12.7</v>
      </c>
      <c r="AE29" s="680">
        <v>0.45535714285714285</v>
      </c>
      <c r="AF29" s="679">
        <v>135.29457364341084</v>
      </c>
      <c r="AG29" s="679">
        <v>45.920568139522516</v>
      </c>
      <c r="AH29" s="680">
        <v>0.62128036878998949</v>
      </c>
      <c r="AI29" s="680">
        <v>0.78604247635940405</v>
      </c>
      <c r="AJ29" s="680">
        <v>0.52149420955759518</v>
      </c>
      <c r="AK29" s="679">
        <v>12.1</v>
      </c>
      <c r="AL29" s="680">
        <v>0.48511904761904756</v>
      </c>
      <c r="AM29" s="679">
        <v>87.556271981242674</v>
      </c>
      <c r="AN29" s="679">
        <v>43.945060653283214</v>
      </c>
      <c r="AO29" s="680">
        <v>0.3847665682791071</v>
      </c>
      <c r="AP29" s="680">
        <v>0.46790750809539683</v>
      </c>
      <c r="AQ29" s="680">
        <v>0.4816767397143174</v>
      </c>
      <c r="AR29" s="679">
        <v>9.5</v>
      </c>
      <c r="AS29" s="680">
        <v>0.61408730158730152</v>
      </c>
      <c r="AT29" s="679">
        <v>60.270695624803274</v>
      </c>
      <c r="AU29" s="679">
        <v>45.12761289500952</v>
      </c>
      <c r="AV29" s="680">
        <v>0.2719872621069066</v>
      </c>
      <c r="AW29" s="680">
        <v>0.31620794167504779</v>
      </c>
      <c r="AX29" s="680">
        <v>0.55451142960485078</v>
      </c>
      <c r="AY29" s="679">
        <v>8.6</v>
      </c>
      <c r="AZ29" s="680">
        <v>0.65873015873015872</v>
      </c>
      <c r="BA29" s="679">
        <v>68.08874912648497</v>
      </c>
      <c r="BB29" s="679">
        <v>46.069326530883387</v>
      </c>
      <c r="BC29" s="680">
        <v>0.31368028165874373</v>
      </c>
      <c r="BD29" s="680">
        <v>0.37228926726071504</v>
      </c>
      <c r="BE29" s="680">
        <v>0.60144198043627006</v>
      </c>
      <c r="BF29" s="679">
        <v>7.4</v>
      </c>
      <c r="BG29" s="680">
        <v>0.71825396825396814</v>
      </c>
      <c r="BH29" s="679">
        <v>69.858796296296305</v>
      </c>
      <c r="BI29" s="679">
        <v>44.953363762651335</v>
      </c>
      <c r="BJ29" s="680">
        <v>0.31403878819283676</v>
      </c>
      <c r="BK29" s="680">
        <v>0.37277149478654975</v>
      </c>
      <c r="BL29" s="680">
        <v>0.64915747356048448</v>
      </c>
      <c r="BM29" s="679">
        <v>8.1999999999999993</v>
      </c>
      <c r="BN29" s="680">
        <v>0.6785714285714286</v>
      </c>
      <c r="BO29" s="679">
        <v>65.926892950391647</v>
      </c>
      <c r="BP29" s="679">
        <v>45.857101805486764</v>
      </c>
      <c r="BQ29" s="680">
        <v>0.30232162417455377</v>
      </c>
      <c r="BR29" s="680">
        <v>0.35701072482281521</v>
      </c>
      <c r="BS29" s="680">
        <v>0.61425928782170591</v>
      </c>
      <c r="BT29" s="679">
        <v>9.9</v>
      </c>
      <c r="BU29" s="680">
        <v>0.59424603174603163</v>
      </c>
      <c r="BV29" s="679">
        <v>76.6474321984997</v>
      </c>
      <c r="BW29" s="679">
        <v>45.516974328257071</v>
      </c>
      <c r="BX29" s="680">
        <v>0.34887592037059351</v>
      </c>
      <c r="BY29" s="680">
        <v>0.41963095886788454</v>
      </c>
      <c r="BZ29" s="680">
        <v>0.55932301717040223</v>
      </c>
    </row>
    <row r="30" spans="1:78">
      <c r="A30" s="2">
        <v>1992</v>
      </c>
      <c r="B30" s="679">
        <v>11.2</v>
      </c>
      <c r="C30" s="680">
        <v>0.52976190476190477</v>
      </c>
      <c r="D30" s="679">
        <v>71.524264889110384</v>
      </c>
      <c r="E30" s="679">
        <v>44.166622991678459</v>
      </c>
      <c r="F30" s="680">
        <v>0.31589852421142833</v>
      </c>
      <c r="G30" s="680">
        <v>0.3752730277118001</v>
      </c>
      <c r="H30" s="680">
        <v>0.4988641293518839</v>
      </c>
      <c r="I30" s="679">
        <v>20</v>
      </c>
      <c r="J30" s="680">
        <v>9.32539682539682E-2</v>
      </c>
      <c r="K30" s="679">
        <v>143.17590691307325</v>
      </c>
      <c r="L30" s="679">
        <v>43.52546151295185</v>
      </c>
      <c r="M30" s="680">
        <v>0.62317974259269471</v>
      </c>
      <c r="N30" s="680">
        <v>0.78859732611083455</v>
      </c>
      <c r="O30" s="680">
        <v>0.23232263982534149</v>
      </c>
      <c r="P30" s="679">
        <v>17.600000000000001</v>
      </c>
      <c r="Q30" s="680">
        <v>0.21230158730158719</v>
      </c>
      <c r="R30" s="679">
        <v>115.31159420289856</v>
      </c>
      <c r="S30" s="679">
        <v>50.166857765698438</v>
      </c>
      <c r="T30" s="680">
        <v>0.57848203451127478</v>
      </c>
      <c r="U30" s="680">
        <v>0.72847439074198661</v>
      </c>
      <c r="V30" s="680">
        <v>0.31553614798966712</v>
      </c>
      <c r="W30" s="679">
        <v>13.1</v>
      </c>
      <c r="X30" s="680">
        <v>0.43551587301587297</v>
      </c>
      <c r="Y30" s="679">
        <v>96.045780969479353</v>
      </c>
      <c r="Z30" s="679">
        <v>43.887383605556408</v>
      </c>
      <c r="AA30" s="680">
        <v>0.421519803310279</v>
      </c>
      <c r="AB30" s="680">
        <v>0.51734432419232257</v>
      </c>
      <c r="AC30" s="680">
        <v>0.45188156325116291</v>
      </c>
      <c r="AD30" s="679">
        <v>13</v>
      </c>
      <c r="AE30" s="680">
        <v>0.44047619047619041</v>
      </c>
      <c r="AF30" s="679">
        <v>130.4936186186186</v>
      </c>
      <c r="AG30" s="679">
        <v>46.746373268133659</v>
      </c>
      <c r="AH30" s="680">
        <v>0.61001034050554204</v>
      </c>
      <c r="AI30" s="680">
        <v>0.77088314915370815</v>
      </c>
      <c r="AJ30" s="680">
        <v>0.506557582211694</v>
      </c>
      <c r="AK30" s="679">
        <v>12.7</v>
      </c>
      <c r="AL30" s="680">
        <v>0.45535714285714285</v>
      </c>
      <c r="AM30" s="679">
        <v>83.252165725047064</v>
      </c>
      <c r="AN30" s="679">
        <v>43.934508771619882</v>
      </c>
      <c r="AO30" s="680">
        <v>0.36576430053034326</v>
      </c>
      <c r="AP30" s="680">
        <v>0.44234753724321391</v>
      </c>
      <c r="AQ30" s="680">
        <v>0.45275522173435712</v>
      </c>
      <c r="AR30" s="679">
        <v>10.8</v>
      </c>
      <c r="AS30" s="680">
        <v>0.54960317460317454</v>
      </c>
      <c r="AT30" s="679">
        <v>54.106683445190157</v>
      </c>
      <c r="AU30" s="679">
        <v>44.69929836284664</v>
      </c>
      <c r="AV30" s="680">
        <v>0.241853078674065</v>
      </c>
      <c r="AW30" s="680">
        <v>0.27567441902494882</v>
      </c>
      <c r="AX30" s="680">
        <v>0.49481742348752944</v>
      </c>
      <c r="AY30" s="679">
        <v>9.3000000000000007</v>
      </c>
      <c r="AZ30" s="680">
        <v>0.6240079365079364</v>
      </c>
      <c r="BA30" s="679">
        <v>59.443900848010429</v>
      </c>
      <c r="BB30" s="679">
        <v>45.704504223318956</v>
      </c>
      <c r="BC30" s="680">
        <v>0.2716854017358446</v>
      </c>
      <c r="BD30" s="680">
        <v>0.315801908964227</v>
      </c>
      <c r="BE30" s="680">
        <v>0.56236673099919454</v>
      </c>
      <c r="BF30" s="679">
        <v>8</v>
      </c>
      <c r="BG30" s="680">
        <v>0.68849206349206349</v>
      </c>
      <c r="BH30" s="679">
        <v>64.80884879725086</v>
      </c>
      <c r="BI30" s="679">
        <v>46.553851577648516</v>
      </c>
      <c r="BJ30" s="680">
        <v>0.30171015278254809</v>
      </c>
      <c r="BK30" s="680">
        <v>0.35618823399365479</v>
      </c>
      <c r="BL30" s="680">
        <v>0.62203129759238185</v>
      </c>
      <c r="BM30" s="679">
        <v>9.5</v>
      </c>
      <c r="BN30" s="680">
        <v>0.61408730158730152</v>
      </c>
      <c r="BO30" s="679">
        <v>58.859223300970868</v>
      </c>
      <c r="BP30" s="679">
        <v>45.966372837087825</v>
      </c>
      <c r="BQ30" s="680">
        <v>0.27055450031538342</v>
      </c>
      <c r="BR30" s="680">
        <v>0.31428073224332953</v>
      </c>
      <c r="BS30" s="680">
        <v>0.55412598771850718</v>
      </c>
      <c r="BT30" s="679">
        <v>10.1</v>
      </c>
      <c r="BU30" s="680">
        <v>0.58432539682539675</v>
      </c>
      <c r="BV30" s="679">
        <v>68.364366557137643</v>
      </c>
      <c r="BW30" s="679">
        <v>45.213053096046991</v>
      </c>
      <c r="BX30" s="680">
        <v>0.30909617350254837</v>
      </c>
      <c r="BY30" s="680">
        <v>0.36612317843359443</v>
      </c>
      <c r="BZ30" s="680">
        <v>0.54068495314703635</v>
      </c>
    </row>
    <row r="31" spans="1:78">
      <c r="A31" s="2">
        <v>1993</v>
      </c>
      <c r="B31" s="679">
        <v>11.4</v>
      </c>
      <c r="C31" s="680">
        <v>0.51984126984126977</v>
      </c>
      <c r="D31" s="679">
        <v>65.346313097485236</v>
      </c>
      <c r="E31" s="679">
        <v>43.923888116847095</v>
      </c>
      <c r="F31" s="680">
        <v>0.28702641453424016</v>
      </c>
      <c r="G31" s="680">
        <v>0.33643712183219976</v>
      </c>
      <c r="H31" s="680">
        <v>0.48316044023945581</v>
      </c>
      <c r="I31" s="679">
        <v>20.100000000000001</v>
      </c>
      <c r="J31" s="680">
        <v>8.8293650793650674E-2</v>
      </c>
      <c r="K31" s="679">
        <v>125.92213114754099</v>
      </c>
      <c r="L31" s="679">
        <v>42.621787253454336</v>
      </c>
      <c r="M31" s="680">
        <v>0.53670262842720673</v>
      </c>
      <c r="N31" s="680">
        <v>0.67227686653860508</v>
      </c>
      <c r="O31" s="680">
        <v>0.20509029394264155</v>
      </c>
      <c r="P31" s="679">
        <v>16.899999999999999</v>
      </c>
      <c r="Q31" s="680">
        <v>0.24702380952380953</v>
      </c>
      <c r="R31" s="679">
        <v>120.64564564564563</v>
      </c>
      <c r="S31" s="679">
        <v>50.243596688612946</v>
      </c>
      <c r="T31" s="680">
        <v>0.60616711620571317</v>
      </c>
      <c r="U31" s="680">
        <v>0.76571362400119491</v>
      </c>
      <c r="V31" s="680">
        <v>0.35076177241928663</v>
      </c>
      <c r="W31" s="679">
        <v>14.3</v>
      </c>
      <c r="X31" s="680">
        <v>0.37599206349206338</v>
      </c>
      <c r="Y31" s="679">
        <v>84.81948968512485</v>
      </c>
      <c r="Z31" s="679">
        <v>44.662877142623337</v>
      </c>
      <c r="AA31" s="680">
        <v>0.37882824471067389</v>
      </c>
      <c r="AB31" s="680">
        <v>0.45991986265608564</v>
      </c>
      <c r="AC31" s="680">
        <v>0.39277762332486787</v>
      </c>
      <c r="AD31" s="679">
        <v>12.6</v>
      </c>
      <c r="AE31" s="680">
        <v>0.46031746031746029</v>
      </c>
      <c r="AF31" s="679">
        <v>129.29368745188606</v>
      </c>
      <c r="AG31" s="679">
        <v>47.275250602715403</v>
      </c>
      <c r="AH31" s="680">
        <v>0.61123914756370734</v>
      </c>
      <c r="AI31" s="680">
        <v>0.77253601885352097</v>
      </c>
      <c r="AJ31" s="680">
        <v>0.52276117202467254</v>
      </c>
      <c r="AK31" s="679">
        <v>13.2</v>
      </c>
      <c r="AL31" s="680">
        <v>0.43055555555555552</v>
      </c>
      <c r="AM31" s="679">
        <v>75.57314174589456</v>
      </c>
      <c r="AN31" s="679">
        <v>44.103813398995278</v>
      </c>
      <c r="AO31" s="680">
        <v>0.33330637415367537</v>
      </c>
      <c r="AP31" s="680">
        <v>0.39868834545207099</v>
      </c>
      <c r="AQ31" s="680">
        <v>0.42418211353485863</v>
      </c>
      <c r="AR31" s="679">
        <v>10.9</v>
      </c>
      <c r="AS31" s="680">
        <v>0.5446428571428571</v>
      </c>
      <c r="AT31" s="679">
        <v>48.640568219359103</v>
      </c>
      <c r="AU31" s="679">
        <v>43.882535533409573</v>
      </c>
      <c r="AV31" s="680">
        <v>0.21344714632512582</v>
      </c>
      <c r="AW31" s="680">
        <v>0.23746556877257849</v>
      </c>
      <c r="AX31" s="680">
        <v>0.48320739946880142</v>
      </c>
      <c r="AY31" s="679">
        <v>9.3000000000000007</v>
      </c>
      <c r="AZ31" s="680">
        <v>0.6240079365079364</v>
      </c>
      <c r="BA31" s="679">
        <v>54.68629343629344</v>
      </c>
      <c r="BB31" s="679">
        <v>45.899940222526467</v>
      </c>
      <c r="BC31" s="680">
        <v>0.25100975997174108</v>
      </c>
      <c r="BD31" s="680">
        <v>0.28799108091845121</v>
      </c>
      <c r="BE31" s="680">
        <v>0.55680456539003942</v>
      </c>
      <c r="BF31" s="679">
        <v>8.3000000000000007</v>
      </c>
      <c r="BG31" s="680">
        <v>0.67361111111111105</v>
      </c>
      <c r="BH31" s="679">
        <v>57.772988505747115</v>
      </c>
      <c r="BI31" s="679">
        <v>46.420875878401993</v>
      </c>
      <c r="BJ31" s="680">
        <v>0.26818727285496319</v>
      </c>
      <c r="BK31" s="680">
        <v>0.31109657203209556</v>
      </c>
      <c r="BL31" s="680">
        <v>0.60110820329530801</v>
      </c>
      <c r="BM31" s="679">
        <v>9.6</v>
      </c>
      <c r="BN31" s="680">
        <v>0.60912698412698407</v>
      </c>
      <c r="BO31" s="679">
        <v>53.411686103012634</v>
      </c>
      <c r="BP31" s="679">
        <v>45.55617859395808</v>
      </c>
      <c r="BQ31" s="680">
        <v>0.24332323111132723</v>
      </c>
      <c r="BR31" s="680">
        <v>0.27765192265459498</v>
      </c>
      <c r="BS31" s="680">
        <v>0.54283197183250631</v>
      </c>
      <c r="BT31" s="679">
        <v>9.6999999999999993</v>
      </c>
      <c r="BU31" s="680">
        <v>0.60416666666666663</v>
      </c>
      <c r="BV31" s="679">
        <v>65.054690396737101</v>
      </c>
      <c r="BW31" s="679">
        <v>45.028925430298024</v>
      </c>
      <c r="BX31" s="680">
        <v>0.29293428027657997</v>
      </c>
      <c r="BY31" s="680">
        <v>0.34438379841676892</v>
      </c>
      <c r="BZ31" s="680">
        <v>0.55221009301668711</v>
      </c>
    </row>
    <row r="32" spans="1:78">
      <c r="A32" s="2">
        <v>1994</v>
      </c>
      <c r="B32" s="679">
        <v>10.4</v>
      </c>
      <c r="C32" s="680">
        <v>0.56944444444444442</v>
      </c>
      <c r="D32" s="679">
        <v>59.139768976897692</v>
      </c>
      <c r="E32" s="679">
        <v>42.470651733909051</v>
      </c>
      <c r="F32" s="680">
        <v>0.25117045318416609</v>
      </c>
      <c r="G32" s="680">
        <v>0.288207229531871</v>
      </c>
      <c r="H32" s="680">
        <v>0.5131970014619297</v>
      </c>
      <c r="I32" s="679">
        <v>20</v>
      </c>
      <c r="J32" s="680">
        <v>9.32539682539682E-2</v>
      </c>
      <c r="K32" s="679">
        <v>104.97066942719118</v>
      </c>
      <c r="L32" s="679">
        <v>41.638175363226829</v>
      </c>
      <c r="M32" s="680">
        <v>0.43707871416046989</v>
      </c>
      <c r="N32" s="680">
        <v>0.53827263196487574</v>
      </c>
      <c r="O32" s="680">
        <v>0.18225770099614971</v>
      </c>
      <c r="P32" s="679">
        <v>16.5</v>
      </c>
      <c r="Q32" s="680">
        <v>0.26686507936507931</v>
      </c>
      <c r="R32" s="679">
        <v>108.50757575757576</v>
      </c>
      <c r="S32" s="679">
        <v>48.190251249400973</v>
      </c>
      <c r="T32" s="680">
        <v>0.52290073382209867</v>
      </c>
      <c r="U32" s="680">
        <v>0.65371192321312166</v>
      </c>
      <c r="V32" s="680">
        <v>0.34423444813468779</v>
      </c>
      <c r="W32" s="679">
        <v>13.5</v>
      </c>
      <c r="X32" s="680">
        <v>0.41567460317460314</v>
      </c>
      <c r="Y32" s="679">
        <v>83.144004589787713</v>
      </c>
      <c r="Z32" s="679">
        <v>43.678101503759393</v>
      </c>
      <c r="AA32" s="680">
        <v>0.36315722719017846</v>
      </c>
      <c r="AB32" s="680">
        <v>0.43884076008034345</v>
      </c>
      <c r="AC32" s="680">
        <v>0.42030783455575121</v>
      </c>
      <c r="AD32" s="679">
        <v>12.5</v>
      </c>
      <c r="AE32" s="680">
        <v>0.46527777777777773</v>
      </c>
      <c r="AF32" s="679">
        <v>120.54517133956388</v>
      </c>
      <c r="AG32" s="679">
        <v>46.691971562117487</v>
      </c>
      <c r="AH32" s="680">
        <v>0.56284917121374967</v>
      </c>
      <c r="AI32" s="680">
        <v>0.70744660945272997</v>
      </c>
      <c r="AJ32" s="680">
        <v>0.5137115441127682</v>
      </c>
      <c r="AK32" s="679">
        <v>12.3</v>
      </c>
      <c r="AL32" s="680">
        <v>0.47519841269841262</v>
      </c>
      <c r="AM32" s="679">
        <v>69.037577568375085</v>
      </c>
      <c r="AN32" s="679">
        <v>42.977357244639073</v>
      </c>
      <c r="AO32" s="680">
        <v>0.29670526344605369</v>
      </c>
      <c r="AP32" s="680">
        <v>0.34945615194689383</v>
      </c>
      <c r="AQ32" s="680">
        <v>0.45004996054810892</v>
      </c>
      <c r="AR32" s="679">
        <v>9.6</v>
      </c>
      <c r="AS32" s="680">
        <v>0.60912698412698407</v>
      </c>
      <c r="AT32" s="679">
        <v>42.716517022072573</v>
      </c>
      <c r="AU32" s="679">
        <v>41.970049263175788</v>
      </c>
      <c r="AV32" s="680">
        <v>0.1792814323767673</v>
      </c>
      <c r="AW32" s="680">
        <v>0.19150923007606308</v>
      </c>
      <c r="AX32" s="680">
        <v>0.52560343331679993</v>
      </c>
      <c r="AY32" s="679">
        <v>8.8000000000000007</v>
      </c>
      <c r="AZ32" s="680">
        <v>0.64880952380952372</v>
      </c>
      <c r="BA32" s="679">
        <v>47.737850787132089</v>
      </c>
      <c r="BB32" s="679">
        <v>44.819160728424379</v>
      </c>
      <c r="BC32" s="680">
        <v>0.21395704072580132</v>
      </c>
      <c r="BD32" s="680">
        <v>0.23815142828109978</v>
      </c>
      <c r="BE32" s="680">
        <v>0.56667790470383894</v>
      </c>
      <c r="BF32" s="679">
        <v>6.9</v>
      </c>
      <c r="BG32" s="680">
        <v>0.74305555555555547</v>
      </c>
      <c r="BH32" s="679">
        <v>55.89303482587065</v>
      </c>
      <c r="BI32" s="679">
        <v>44.0530060208404</v>
      </c>
      <c r="BJ32" s="680">
        <v>0.24622561997071221</v>
      </c>
      <c r="BK32" s="680">
        <v>0.28155592904101201</v>
      </c>
      <c r="BL32" s="680">
        <v>0.65075563025264682</v>
      </c>
      <c r="BM32" s="679">
        <v>8.8000000000000007</v>
      </c>
      <c r="BN32" s="680">
        <v>0.64880952380952372</v>
      </c>
      <c r="BO32" s="679">
        <v>48.70073087966589</v>
      </c>
      <c r="BP32" s="679">
        <v>45.466589962170737</v>
      </c>
      <c r="BQ32" s="680">
        <v>0.22142561617637957</v>
      </c>
      <c r="BR32" s="680">
        <v>0.24819741717821586</v>
      </c>
      <c r="BS32" s="680">
        <v>0.56868710248326215</v>
      </c>
      <c r="BT32" s="679">
        <v>9.1</v>
      </c>
      <c r="BU32" s="680">
        <v>0.6339285714285714</v>
      </c>
      <c r="BV32" s="679">
        <v>55.539383561643838</v>
      </c>
      <c r="BW32" s="679">
        <v>43.901262250185461</v>
      </c>
      <c r="BX32" s="680">
        <v>0.24382490429533654</v>
      </c>
      <c r="BY32" s="680">
        <v>0.27832672379570794</v>
      </c>
      <c r="BZ32" s="680">
        <v>0.56280820190199865</v>
      </c>
    </row>
    <row r="33" spans="1:160">
      <c r="A33" s="2">
        <v>1995</v>
      </c>
      <c r="B33" s="679">
        <v>9.5</v>
      </c>
      <c r="C33" s="680">
        <v>0.61408730158730152</v>
      </c>
      <c r="D33" s="679">
        <v>52.84719232792844</v>
      </c>
      <c r="E33" s="679">
        <v>42.253662284731156</v>
      </c>
      <c r="F33" s="680">
        <v>0.22329874173205236</v>
      </c>
      <c r="G33" s="680">
        <v>0.25071696038424135</v>
      </c>
      <c r="H33" s="680">
        <v>0.54141323334668956</v>
      </c>
      <c r="I33" s="679">
        <v>18</v>
      </c>
      <c r="J33" s="680">
        <v>0.19246031746031741</v>
      </c>
      <c r="K33" s="679">
        <v>91.701795472287273</v>
      </c>
      <c r="L33" s="679">
        <v>43.327463945187105</v>
      </c>
      <c r="M33" s="680">
        <v>0.3973206237034449</v>
      </c>
      <c r="N33" s="680">
        <v>0.48479398159241599</v>
      </c>
      <c r="O33" s="680">
        <v>0.25092705028673712</v>
      </c>
      <c r="P33" s="679">
        <v>14.8</v>
      </c>
      <c r="Q33" s="680">
        <v>0.35119047619047611</v>
      </c>
      <c r="R33" s="679">
        <v>103.13131313131312</v>
      </c>
      <c r="S33" s="679">
        <v>47.067688481604627</v>
      </c>
      <c r="T33" s="680">
        <v>0.48541525191634666</v>
      </c>
      <c r="U33" s="680">
        <v>0.60329016105510869</v>
      </c>
      <c r="V33" s="680">
        <v>0.40161041316340262</v>
      </c>
      <c r="W33" s="679">
        <v>12.2</v>
      </c>
      <c r="X33" s="680">
        <v>0.48015873015873012</v>
      </c>
      <c r="Y33" s="679">
        <v>73.419871794871796</v>
      </c>
      <c r="Z33" s="679">
        <v>43.942374706963186</v>
      </c>
      <c r="AA33" s="680">
        <v>0.32262435173474541</v>
      </c>
      <c r="AB33" s="680">
        <v>0.38431994557053711</v>
      </c>
      <c r="AC33" s="680">
        <v>0.46099097324109151</v>
      </c>
      <c r="AD33" s="679">
        <v>11.4</v>
      </c>
      <c r="AE33" s="680">
        <v>0.51984126984126977</v>
      </c>
      <c r="AF33" s="679">
        <v>108.91897565071369</v>
      </c>
      <c r="AG33" s="679">
        <v>45.847366188925889</v>
      </c>
      <c r="AH33" s="680">
        <v>0.49936481615809736</v>
      </c>
      <c r="AI33" s="680">
        <v>0.62205373496817473</v>
      </c>
      <c r="AJ33" s="680">
        <v>0.54028376286665081</v>
      </c>
      <c r="AK33" s="679">
        <v>11.5</v>
      </c>
      <c r="AL33" s="680">
        <v>0.51488095238095233</v>
      </c>
      <c r="AM33" s="679">
        <v>62.734220907297825</v>
      </c>
      <c r="AN33" s="679">
        <v>42.707668145182168</v>
      </c>
      <c r="AO33" s="680">
        <v>0.26792322878554248</v>
      </c>
      <c r="AP33" s="680">
        <v>0.31074140606941597</v>
      </c>
      <c r="AQ33" s="680">
        <v>0.4740530431186451</v>
      </c>
      <c r="AR33" s="679">
        <v>8.6999999999999993</v>
      </c>
      <c r="AS33" s="680">
        <v>0.65376984126984128</v>
      </c>
      <c r="AT33" s="679">
        <v>36.984662576687114</v>
      </c>
      <c r="AU33" s="679">
        <v>41.651550045218414</v>
      </c>
      <c r="AV33" s="680">
        <v>0.15404685242183999</v>
      </c>
      <c r="AW33" s="680">
        <v>0.15756616935074624</v>
      </c>
      <c r="AX33" s="680">
        <v>0.5545291068860223</v>
      </c>
      <c r="AY33" s="679">
        <v>7.3</v>
      </c>
      <c r="AZ33" s="680">
        <v>0.72321428571428559</v>
      </c>
      <c r="BA33" s="679">
        <v>48.098184818481855</v>
      </c>
      <c r="BB33" s="679">
        <v>44.737081856794589</v>
      </c>
      <c r="BC33" s="680">
        <v>0.21517724313876574</v>
      </c>
      <c r="BD33" s="680">
        <v>0.2397927238633685</v>
      </c>
      <c r="BE33" s="680">
        <v>0.62652997334410221</v>
      </c>
      <c r="BF33" s="679">
        <v>6.7</v>
      </c>
      <c r="BG33" s="680">
        <v>0.75297619047619047</v>
      </c>
      <c r="BH33" s="679">
        <v>45.614300100704938</v>
      </c>
      <c r="BI33" s="679">
        <v>45.547968825436243</v>
      </c>
      <c r="BJ33" s="680">
        <v>0.20776387189810017</v>
      </c>
      <c r="BK33" s="680">
        <v>0.22982099020857094</v>
      </c>
      <c r="BL33" s="680">
        <v>0.64834515042266661</v>
      </c>
      <c r="BM33" s="679">
        <v>7.8</v>
      </c>
      <c r="BN33" s="680">
        <v>0.69841269841269837</v>
      </c>
      <c r="BO33" s="679">
        <v>44.260775862068968</v>
      </c>
      <c r="BP33" s="679">
        <v>46.025840334911244</v>
      </c>
      <c r="BQ33" s="680">
        <v>0.20371394029268799</v>
      </c>
      <c r="BR33" s="680">
        <v>0.22437342283628173</v>
      </c>
      <c r="BS33" s="680">
        <v>0.60360484329741504</v>
      </c>
      <c r="BT33" s="679">
        <v>8.5</v>
      </c>
      <c r="BU33" s="680">
        <v>0.66369047619047616</v>
      </c>
      <c r="BV33" s="679">
        <v>49.549072954453855</v>
      </c>
      <c r="BW33" s="679">
        <v>43.059075843244294</v>
      </c>
      <c r="BX33" s="680">
        <v>0.2133537290308273</v>
      </c>
      <c r="BY33" s="680">
        <v>0.23733991306922092</v>
      </c>
      <c r="BZ33" s="680">
        <v>0.57842036356622517</v>
      </c>
    </row>
    <row r="34" spans="1:160">
      <c r="A34" s="2">
        <v>1996</v>
      </c>
      <c r="B34" s="679">
        <v>9.6</v>
      </c>
      <c r="C34" s="680">
        <v>0.60912698412698407</v>
      </c>
      <c r="D34" s="679">
        <v>49.368046827724235</v>
      </c>
      <c r="E34" s="679">
        <v>41.787232069306008</v>
      </c>
      <c r="F34" s="680">
        <v>0.20629540295984788</v>
      </c>
      <c r="G34" s="680">
        <v>0.22784575105525956</v>
      </c>
      <c r="H34" s="680">
        <v>0.53287073751263925</v>
      </c>
      <c r="I34" s="679">
        <v>19.100000000000001</v>
      </c>
      <c r="J34" s="680">
        <v>0.13789682539682527</v>
      </c>
      <c r="K34" s="679">
        <v>83.59539969834087</v>
      </c>
      <c r="L34" s="679">
        <v>44.627697841726615</v>
      </c>
      <c r="M34" s="680">
        <v>0.37306702386959206</v>
      </c>
      <c r="N34" s="680">
        <v>0.45217043828642745</v>
      </c>
      <c r="O34" s="680">
        <v>0.2007515479747457</v>
      </c>
      <c r="P34" s="679">
        <v>14.7</v>
      </c>
      <c r="Q34" s="680">
        <v>0.35615079365079361</v>
      </c>
      <c r="R34" s="679">
        <v>92.334983498349843</v>
      </c>
      <c r="S34" s="679">
        <v>45.373368753756957</v>
      </c>
      <c r="T34" s="680">
        <v>0.41895492551426905</v>
      </c>
      <c r="U34" s="680">
        <v>0.51389430430142347</v>
      </c>
      <c r="V34" s="680">
        <v>0.38769949578091961</v>
      </c>
      <c r="W34" s="679">
        <v>12.4</v>
      </c>
      <c r="X34" s="680">
        <v>0.47023809523809518</v>
      </c>
      <c r="Y34" s="679">
        <v>67.155388471177943</v>
      </c>
      <c r="Z34" s="679">
        <v>43.9480140698737</v>
      </c>
      <c r="AA34" s="680">
        <v>0.29513459573991624</v>
      </c>
      <c r="AB34" s="680">
        <v>0.34734344512062831</v>
      </c>
      <c r="AC34" s="680">
        <v>0.44565916521460186</v>
      </c>
      <c r="AD34" s="679">
        <v>11.6</v>
      </c>
      <c r="AE34" s="680">
        <v>0.50992063492063489</v>
      </c>
      <c r="AF34" s="679">
        <v>101.1875</v>
      </c>
      <c r="AG34" s="679">
        <v>46.384233395406582</v>
      </c>
      <c r="AH34" s="680">
        <v>0.46935046166977035</v>
      </c>
      <c r="AI34" s="680">
        <v>0.58168139436063693</v>
      </c>
      <c r="AJ34" s="680">
        <v>0.52427278680863532</v>
      </c>
      <c r="AK34" s="679">
        <v>11.9</v>
      </c>
      <c r="AL34" s="680">
        <v>0.49503968253968245</v>
      </c>
      <c r="AM34" s="679">
        <v>58.44986963735483</v>
      </c>
      <c r="AN34" s="679">
        <v>42.522031698319445</v>
      </c>
      <c r="AO34" s="680">
        <v>0.24854072094822413</v>
      </c>
      <c r="AP34" s="680">
        <v>0.28466997386384191</v>
      </c>
      <c r="AQ34" s="680">
        <v>0.45296574080451435</v>
      </c>
      <c r="AR34" s="679">
        <v>9</v>
      </c>
      <c r="AS34" s="680">
        <v>0.63888888888888884</v>
      </c>
      <c r="AT34" s="679">
        <v>34.995777301370758</v>
      </c>
      <c r="AU34" s="679">
        <v>40.873504800041076</v>
      </c>
      <c r="AV34" s="680">
        <v>0.14304000715087462</v>
      </c>
      <c r="AW34" s="680">
        <v>0.14276084990045779</v>
      </c>
      <c r="AX34" s="680">
        <v>0.53966328109120265</v>
      </c>
      <c r="AY34" s="679">
        <v>7.3</v>
      </c>
      <c r="AZ34" s="680">
        <v>0.72321428571428559</v>
      </c>
      <c r="BA34" s="679">
        <v>43.185550082101805</v>
      </c>
      <c r="BB34" s="679">
        <v>44.55977347957117</v>
      </c>
      <c r="BC34" s="680">
        <v>0.19243383292491326</v>
      </c>
      <c r="BD34" s="680">
        <v>0.20920053824472701</v>
      </c>
      <c r="BE34" s="680">
        <v>0.62041153622037393</v>
      </c>
      <c r="BF34" s="679">
        <v>6.7</v>
      </c>
      <c r="BG34" s="680">
        <v>0.75297619047619047</v>
      </c>
      <c r="BH34" s="679">
        <v>43.193170234454627</v>
      </c>
      <c r="BI34" s="679">
        <v>45.98022181951788</v>
      </c>
      <c r="BJ34" s="680">
        <v>0.19860315484684207</v>
      </c>
      <c r="BK34" s="680">
        <v>0.21749889981857085</v>
      </c>
      <c r="BL34" s="680">
        <v>0.64588073234466659</v>
      </c>
      <c r="BM34" s="679">
        <v>6.9</v>
      </c>
      <c r="BN34" s="680">
        <v>0.74305555555555547</v>
      </c>
      <c r="BO34" s="679">
        <v>42.761813537675607</v>
      </c>
      <c r="BP34" s="679">
        <v>43.998788000647899</v>
      </c>
      <c r="BQ34" s="680">
        <v>0.18814679683674243</v>
      </c>
      <c r="BR34" s="680">
        <v>0.20343404137684498</v>
      </c>
      <c r="BS34" s="680">
        <v>0.63513125271981341</v>
      </c>
      <c r="BT34" s="679">
        <v>8.6999999999999993</v>
      </c>
      <c r="BU34" s="680">
        <v>0.65376984126984128</v>
      </c>
      <c r="BV34" s="679">
        <v>46.175872093023258</v>
      </c>
      <c r="BW34" s="679">
        <v>42.875976148034972</v>
      </c>
      <c r="BX34" s="680">
        <v>0.19798355904751788</v>
      </c>
      <c r="BY34" s="680">
        <v>0.21666548084036011</v>
      </c>
      <c r="BZ34" s="680">
        <v>0.56634896918394506</v>
      </c>
    </row>
    <row r="35" spans="1:160">
      <c r="A35" s="2">
        <v>1997</v>
      </c>
      <c r="B35" s="679">
        <v>9.1</v>
      </c>
      <c r="C35" s="680">
        <v>0.6339285714285714</v>
      </c>
      <c r="D35" s="679">
        <v>44.069077270410027</v>
      </c>
      <c r="E35" s="679">
        <v>40.055552882173359</v>
      </c>
      <c r="F35" s="680">
        <v>0.17652112550734927</v>
      </c>
      <c r="G35" s="680">
        <v>0.18779633832765613</v>
      </c>
      <c r="H35" s="680">
        <v>0.54470212480838831</v>
      </c>
      <c r="I35" s="679">
        <v>18.399999999999999</v>
      </c>
      <c r="J35" s="680">
        <v>0.17261904761904764</v>
      </c>
      <c r="K35" s="679">
        <v>79.151017214397498</v>
      </c>
      <c r="L35" s="679">
        <v>44.431408861798843</v>
      </c>
      <c r="M35" s="680">
        <v>0.35167912076801738</v>
      </c>
      <c r="N35" s="680">
        <v>0.42340154674709402</v>
      </c>
      <c r="O35" s="680">
        <v>0.22277554744465694</v>
      </c>
      <c r="P35" s="679">
        <v>15.4</v>
      </c>
      <c r="Q35" s="680">
        <v>0.32142857142857134</v>
      </c>
      <c r="R35" s="679">
        <v>86.230529595015582</v>
      </c>
      <c r="S35" s="679">
        <v>46.721266107974699</v>
      </c>
      <c r="T35" s="680">
        <v>0.40287995198403109</v>
      </c>
      <c r="U35" s="680">
        <v>0.49227184006111074</v>
      </c>
      <c r="V35" s="680">
        <v>0.35559722515507919</v>
      </c>
      <c r="W35" s="679">
        <v>12.2</v>
      </c>
      <c r="X35" s="680">
        <v>0.48015873015873012</v>
      </c>
      <c r="Y35" s="679">
        <v>59.874450721908339</v>
      </c>
      <c r="Z35" s="679">
        <v>42.05131778624299</v>
      </c>
      <c r="AA35" s="680">
        <v>0.25177995545837134</v>
      </c>
      <c r="AB35" s="680">
        <v>0.28902707169855341</v>
      </c>
      <c r="AC35" s="680">
        <v>0.4419323984666948</v>
      </c>
      <c r="AD35" s="679">
        <v>12.7</v>
      </c>
      <c r="AE35" s="680">
        <v>0.45535714285714285</v>
      </c>
      <c r="AF35" s="679">
        <v>81.974074074074082</v>
      </c>
      <c r="AG35" s="679">
        <v>43.557920698851241</v>
      </c>
      <c r="AH35" s="680">
        <v>0.35706202178802765</v>
      </c>
      <c r="AI35" s="680">
        <v>0.43064209271722426</v>
      </c>
      <c r="AJ35" s="680">
        <v>0.45041413282915921</v>
      </c>
      <c r="AK35" s="679">
        <v>11.4</v>
      </c>
      <c r="AL35" s="680">
        <v>0.51984126984126977</v>
      </c>
      <c r="AM35" s="679">
        <v>52.433878580729157</v>
      </c>
      <c r="AN35" s="679">
        <v>40.472524637242202</v>
      </c>
      <c r="AO35" s="680">
        <v>0.21221314426847271</v>
      </c>
      <c r="AP35" s="680">
        <v>0.23580571127469435</v>
      </c>
      <c r="AQ35" s="680">
        <v>0.46303415812795473</v>
      </c>
      <c r="AR35" s="679">
        <v>8.4</v>
      </c>
      <c r="AS35" s="680">
        <v>0.66865079365079361</v>
      </c>
      <c r="AT35" s="679">
        <v>31.069243986254296</v>
      </c>
      <c r="AU35" s="679">
        <v>39.643180105501138</v>
      </c>
      <c r="AV35" s="680">
        <v>0.12316836350888373</v>
      </c>
      <c r="AW35" s="680">
        <v>0.11603148059624441</v>
      </c>
      <c r="AX35" s="680">
        <v>0.55812693103988376</v>
      </c>
      <c r="AY35" s="679">
        <v>6.5</v>
      </c>
      <c r="AZ35" s="680">
        <v>0.76289682539682535</v>
      </c>
      <c r="BA35" s="679">
        <v>40.031963470319631</v>
      </c>
      <c r="BB35" s="679">
        <v>43.230908584169455</v>
      </c>
      <c r="BC35" s="680">
        <v>0.1730618153230199</v>
      </c>
      <c r="BD35" s="680">
        <v>0.18314321646614198</v>
      </c>
      <c r="BE35" s="680">
        <v>0.64694610361068872</v>
      </c>
      <c r="BF35" s="679">
        <v>6</v>
      </c>
      <c r="BG35" s="680">
        <v>0.78769841269841268</v>
      </c>
      <c r="BH35" s="679">
        <v>37.039548022598865</v>
      </c>
      <c r="BI35" s="679">
        <v>44.20247544323815</v>
      </c>
      <c r="BJ35" s="680">
        <v>0.16372397118975665</v>
      </c>
      <c r="BK35" s="680">
        <v>0.17058287224701779</v>
      </c>
      <c r="BL35" s="680">
        <v>0.66427530460813367</v>
      </c>
      <c r="BM35" s="679">
        <v>5.9</v>
      </c>
      <c r="BN35" s="680">
        <v>0.79265873015873012</v>
      </c>
      <c r="BO35" s="679">
        <v>33.606542397660824</v>
      </c>
      <c r="BP35" s="679">
        <v>41.461645881521974</v>
      </c>
      <c r="BQ35" s="680">
        <v>0.13933825601941677</v>
      </c>
      <c r="BR35" s="680">
        <v>0.13778162045936898</v>
      </c>
      <c r="BS35" s="680">
        <v>0.6616833082188579</v>
      </c>
      <c r="BT35" s="679">
        <v>8.4</v>
      </c>
      <c r="BU35" s="680">
        <v>0.66865079365079361</v>
      </c>
      <c r="BV35" s="679">
        <v>40.777973740936702</v>
      </c>
      <c r="BW35" s="679">
        <v>41.621395246892305</v>
      </c>
      <c r="BX35" s="680">
        <v>0.16972361624389221</v>
      </c>
      <c r="BY35" s="680">
        <v>0.1786530012829127</v>
      </c>
      <c r="BZ35" s="680">
        <v>0.5706512351772175</v>
      </c>
    </row>
    <row r="36" spans="1:160">
      <c r="A36" s="2">
        <v>1998</v>
      </c>
      <c r="B36" s="679">
        <v>8.3000000000000007</v>
      </c>
      <c r="C36" s="680">
        <v>0.67361111111111105</v>
      </c>
      <c r="D36" s="679">
        <v>45.447274492822096</v>
      </c>
      <c r="E36" s="679">
        <v>40.350260252033543</v>
      </c>
      <c r="F36" s="680">
        <v>0.18338093535309774</v>
      </c>
      <c r="G36" s="680">
        <v>0.19702347595286163</v>
      </c>
      <c r="H36" s="680">
        <v>0.57829358407946119</v>
      </c>
      <c r="I36" s="679">
        <v>17.899999999999999</v>
      </c>
      <c r="J36" s="680">
        <v>0.19742063492063494</v>
      </c>
      <c r="K36" s="679">
        <v>82.068416865552905</v>
      </c>
      <c r="L36" s="679">
        <v>42.802321062672227</v>
      </c>
      <c r="M36" s="680">
        <v>0.35127187277846195</v>
      </c>
      <c r="N36" s="680">
        <v>0.42285375703692513</v>
      </c>
      <c r="O36" s="680">
        <v>0.242507259343893</v>
      </c>
      <c r="P36" s="679">
        <v>13.9</v>
      </c>
      <c r="Q36" s="680">
        <v>0.39583333333333326</v>
      </c>
      <c r="R36" s="679">
        <v>96.796875</v>
      </c>
      <c r="S36" s="679">
        <v>44.92037555763045</v>
      </c>
      <c r="T36" s="680">
        <v>0.43481519778050098</v>
      </c>
      <c r="U36" s="680">
        <v>0.53522797363986041</v>
      </c>
      <c r="V36" s="680">
        <v>0.42371226139463875</v>
      </c>
      <c r="W36" s="679">
        <v>10.5</v>
      </c>
      <c r="X36" s="680">
        <v>0.56448412698412698</v>
      </c>
      <c r="Y36" s="679">
        <v>66.366237482117313</v>
      </c>
      <c r="Z36" s="679">
        <v>43.294490302908827</v>
      </c>
      <c r="AA36" s="680">
        <v>0.28732924251100722</v>
      </c>
      <c r="AB36" s="680">
        <v>0.33684445607049851</v>
      </c>
      <c r="AC36" s="680">
        <v>0.51895619280140126</v>
      </c>
      <c r="AD36" s="679">
        <v>12.2</v>
      </c>
      <c r="AE36" s="680">
        <v>0.48015873015873012</v>
      </c>
      <c r="AF36" s="679">
        <v>85.645406226271831</v>
      </c>
      <c r="AG36" s="679">
        <v>43.052790046581222</v>
      </c>
      <c r="AH36" s="680">
        <v>0.36872736927138411</v>
      </c>
      <c r="AI36" s="680">
        <v>0.44633316420391944</v>
      </c>
      <c r="AJ36" s="680">
        <v>0.47339361696776799</v>
      </c>
      <c r="AK36" s="679">
        <v>10.3</v>
      </c>
      <c r="AL36" s="680">
        <v>0.57440476190476186</v>
      </c>
      <c r="AM36" s="679">
        <v>54.236185383244212</v>
      </c>
      <c r="AN36" s="679">
        <v>40.126265561773813</v>
      </c>
      <c r="AO36" s="680">
        <v>0.21762955777456522</v>
      </c>
      <c r="AP36" s="680">
        <v>0.24309133492601359</v>
      </c>
      <c r="AQ36" s="680">
        <v>0.50814207650901222</v>
      </c>
      <c r="AR36" s="679">
        <v>7.2</v>
      </c>
      <c r="AS36" s="680">
        <v>0.72817460317460314</v>
      </c>
      <c r="AT36" s="679">
        <v>30.79127358490566</v>
      </c>
      <c r="AU36" s="679">
        <v>40.155930926465629</v>
      </c>
      <c r="AV36" s="680">
        <v>0.12364522552133773</v>
      </c>
      <c r="AW36" s="680">
        <v>0.11667290820372724</v>
      </c>
      <c r="AX36" s="680">
        <v>0.605874264180428</v>
      </c>
      <c r="AY36" s="679">
        <v>5.6</v>
      </c>
      <c r="AZ36" s="680">
        <v>0.80753968253968256</v>
      </c>
      <c r="BA36" s="679">
        <v>43.821202531645568</v>
      </c>
      <c r="BB36" s="679">
        <v>44.777701031353864</v>
      </c>
      <c r="BC36" s="680">
        <v>0.19622127057964323</v>
      </c>
      <c r="BD36" s="680">
        <v>0.21429502472072437</v>
      </c>
      <c r="BE36" s="680">
        <v>0.68889075097589092</v>
      </c>
      <c r="BF36" s="679">
        <v>5.8</v>
      </c>
      <c r="BG36" s="680">
        <v>0.79761904761904756</v>
      </c>
      <c r="BH36" s="679">
        <v>40.22126436781609</v>
      </c>
      <c r="BI36" s="679">
        <v>47.504377247775885</v>
      </c>
      <c r="BJ36" s="680">
        <v>0.19106861159112615</v>
      </c>
      <c r="BK36" s="680">
        <v>0.20736417755558523</v>
      </c>
      <c r="BL36" s="680">
        <v>0.67956807360635507</v>
      </c>
      <c r="BM36" s="679">
        <v>5.6</v>
      </c>
      <c r="BN36" s="680">
        <v>0.80753968253968256</v>
      </c>
      <c r="BO36" s="679">
        <v>36.321070234113712</v>
      </c>
      <c r="BP36" s="679">
        <v>44.803362676703252</v>
      </c>
      <c r="BQ36" s="680">
        <v>0.16273060825050076</v>
      </c>
      <c r="BR36" s="680">
        <v>0.16924669868559269</v>
      </c>
      <c r="BS36" s="680">
        <v>0.67988108576886463</v>
      </c>
      <c r="BT36" s="679">
        <v>8.8000000000000007</v>
      </c>
      <c r="BU36" s="680">
        <v>0.64880952380952372</v>
      </c>
      <c r="BV36" s="679">
        <v>39.430239021678709</v>
      </c>
      <c r="BW36" s="679">
        <v>42.75664354515952</v>
      </c>
      <c r="BX36" s="680">
        <v>0.16859046747503559</v>
      </c>
      <c r="BY36" s="680">
        <v>0.17712880165126366</v>
      </c>
      <c r="BZ36" s="680">
        <v>0.55447337937787167</v>
      </c>
    </row>
    <row r="37" spans="1:160">
      <c r="A37" s="2">
        <v>1999</v>
      </c>
      <c r="B37" s="679">
        <v>7.6</v>
      </c>
      <c r="C37" s="680">
        <v>0.70833333333333326</v>
      </c>
      <c r="D37" s="679">
        <v>44.995274768675245</v>
      </c>
      <c r="E37" s="679">
        <v>40.764074299602896</v>
      </c>
      <c r="F37" s="680">
        <v>0.18341907238013253</v>
      </c>
      <c r="G37" s="680">
        <v>0.19707477410907573</v>
      </c>
      <c r="H37" s="680">
        <v>0.60608162148848177</v>
      </c>
      <c r="I37" s="679">
        <v>16.899999999999999</v>
      </c>
      <c r="J37" s="680">
        <v>0.24702380952380953</v>
      </c>
      <c r="K37" s="679">
        <v>88.418699186991873</v>
      </c>
      <c r="L37" s="679">
        <v>41.633838909713546</v>
      </c>
      <c r="M37" s="680">
        <v>0.36812098785576397</v>
      </c>
      <c r="N37" s="680">
        <v>0.44551751990748728</v>
      </c>
      <c r="O37" s="680">
        <v>0.28672255160054511</v>
      </c>
      <c r="P37" s="679">
        <v>14.3</v>
      </c>
      <c r="Q37" s="680">
        <v>0.37599206349206338</v>
      </c>
      <c r="R37" s="679">
        <v>86.278877887788781</v>
      </c>
      <c r="S37" s="679">
        <v>44.945512507725851</v>
      </c>
      <c r="T37" s="680">
        <v>0.38778483852581619</v>
      </c>
      <c r="U37" s="680">
        <v>0.47196738666093874</v>
      </c>
      <c r="V37" s="680">
        <v>0.39518712812583845</v>
      </c>
      <c r="W37" s="679">
        <v>9.6</v>
      </c>
      <c r="X37" s="680">
        <v>0.60912698412698407</v>
      </c>
      <c r="Y37" s="679">
        <v>68.115773115773123</v>
      </c>
      <c r="Z37" s="679">
        <v>44.189797517724024</v>
      </c>
      <c r="AA37" s="680">
        <v>0.30100222217492439</v>
      </c>
      <c r="AB37" s="680">
        <v>0.35523599576948772</v>
      </c>
      <c r="AC37" s="680">
        <v>0.5583487864554848</v>
      </c>
      <c r="AD37" s="679">
        <v>10.199999999999999</v>
      </c>
      <c r="AE37" s="680">
        <v>0.57936507936507931</v>
      </c>
      <c r="AF37" s="679">
        <v>95.422312556458905</v>
      </c>
      <c r="AG37" s="679">
        <v>42.768382724189344</v>
      </c>
      <c r="AH37" s="680">
        <v>0.40810579838418531</v>
      </c>
      <c r="AI37" s="680">
        <v>0.49930113169261175</v>
      </c>
      <c r="AJ37" s="680">
        <v>0.56335228983058583</v>
      </c>
      <c r="AK37" s="679">
        <v>9.3000000000000007</v>
      </c>
      <c r="AL37" s="680">
        <v>0.6240079365079364</v>
      </c>
      <c r="AM37" s="679">
        <v>53.464271806853581</v>
      </c>
      <c r="AN37" s="679">
        <v>41.445862361189064</v>
      </c>
      <c r="AO37" s="680">
        <v>0.22158728505480543</v>
      </c>
      <c r="AP37" s="680">
        <v>0.24841487816102614</v>
      </c>
      <c r="AQ37" s="680">
        <v>0.54888932483855435</v>
      </c>
      <c r="AR37" s="679">
        <v>6.3</v>
      </c>
      <c r="AS37" s="680">
        <v>0.77281746031746024</v>
      </c>
      <c r="AT37" s="679">
        <v>28.717461565338919</v>
      </c>
      <c r="AU37" s="679">
        <v>40.482947618908291</v>
      </c>
      <c r="AV37" s="680">
        <v>0.11625674922976274</v>
      </c>
      <c r="AW37" s="680">
        <v>0.10673466077181289</v>
      </c>
      <c r="AX37" s="680">
        <v>0.63960090040833084</v>
      </c>
      <c r="AY37" s="679">
        <v>5.6</v>
      </c>
      <c r="AZ37" s="680">
        <v>0.80753968253968256</v>
      </c>
      <c r="BA37" s="679">
        <v>42.329721362229108</v>
      </c>
      <c r="BB37" s="679">
        <v>46.50351094589012</v>
      </c>
      <c r="BC37" s="680">
        <v>0.19684806607049002</v>
      </c>
      <c r="BD37" s="680">
        <v>0.21513812801177057</v>
      </c>
      <c r="BE37" s="680">
        <v>0.68905937163410014</v>
      </c>
      <c r="BF37" s="679">
        <v>6.1</v>
      </c>
      <c r="BG37" s="680">
        <v>0.78273809523809523</v>
      </c>
      <c r="BH37" s="679">
        <v>41.554276315789473</v>
      </c>
      <c r="BI37" s="679">
        <v>47.737085988099629</v>
      </c>
      <c r="BJ37" s="680">
        <v>0.19836800616600939</v>
      </c>
      <c r="BK37" s="680">
        <v>0.21718260107425894</v>
      </c>
      <c r="BL37" s="680">
        <v>0.66962699640532797</v>
      </c>
      <c r="BM37" s="679">
        <v>5.7</v>
      </c>
      <c r="BN37" s="680">
        <v>0.80257936507936511</v>
      </c>
      <c r="BO37" s="679">
        <v>38.702419067947346</v>
      </c>
      <c r="BP37" s="679">
        <v>45.110650498651793</v>
      </c>
      <c r="BQ37" s="680">
        <v>0.17458913000265297</v>
      </c>
      <c r="BR37" s="680">
        <v>0.18519760908967881</v>
      </c>
      <c r="BS37" s="680">
        <v>0.67910301388142791</v>
      </c>
      <c r="BT37" s="679">
        <v>8.3000000000000007</v>
      </c>
      <c r="BU37" s="680">
        <v>0.67361111111111105</v>
      </c>
      <c r="BV37" s="679">
        <v>37.89857198748043</v>
      </c>
      <c r="BW37" s="679">
        <v>42.418108348953687</v>
      </c>
      <c r="BX37" s="680">
        <v>0.16075857328355661</v>
      </c>
      <c r="BY37" s="680">
        <v>0.16659411232374349</v>
      </c>
      <c r="BZ37" s="680">
        <v>0.57220771135363757</v>
      </c>
    </row>
    <row r="38" spans="1:160">
      <c r="A38" s="2">
        <v>2000</v>
      </c>
      <c r="B38" s="679">
        <v>6.8</v>
      </c>
      <c r="C38" s="680">
        <v>0.74801587301587291</v>
      </c>
      <c r="D38" s="679">
        <v>44.918729220539348</v>
      </c>
      <c r="E38" s="679">
        <v>40.446444461393739</v>
      </c>
      <c r="F38" s="680">
        <v>0.18168028866949287</v>
      </c>
      <c r="G38" s="680">
        <v>0.19473593426375826</v>
      </c>
      <c r="H38" s="680">
        <v>0.63735988526545007</v>
      </c>
      <c r="I38" s="679">
        <v>16.7</v>
      </c>
      <c r="J38" s="680">
        <v>0.25694444444444442</v>
      </c>
      <c r="K38" s="679">
        <v>86.360971524288104</v>
      </c>
      <c r="L38" s="679">
        <v>41.255876445970351</v>
      </c>
      <c r="M38" s="680">
        <v>0.35628975709599936</v>
      </c>
      <c r="N38" s="680">
        <v>0.42960331864670853</v>
      </c>
      <c r="O38" s="680">
        <v>0.29147621928489725</v>
      </c>
      <c r="P38" s="679">
        <v>12.1</v>
      </c>
      <c r="Q38" s="680">
        <v>0.48511904761904756</v>
      </c>
      <c r="R38" s="679">
        <v>97.877906976744185</v>
      </c>
      <c r="S38" s="679">
        <v>45.198812734727198</v>
      </c>
      <c r="T38" s="680">
        <v>0.44239651883089093</v>
      </c>
      <c r="U38" s="680">
        <v>0.54542561676493495</v>
      </c>
      <c r="V38" s="680">
        <v>0.49718036144822503</v>
      </c>
      <c r="W38" s="679">
        <v>9.1</v>
      </c>
      <c r="X38" s="680">
        <v>0.6339285714285714</v>
      </c>
      <c r="Y38" s="679">
        <v>70.485104669887278</v>
      </c>
      <c r="Z38" s="679">
        <v>45.087628804856934</v>
      </c>
      <c r="AA38" s="680">
        <v>0.31780062356273658</v>
      </c>
      <c r="AB38" s="680">
        <v>0.37783154360159737</v>
      </c>
      <c r="AC38" s="680">
        <v>0.58270916586317656</v>
      </c>
      <c r="AD38" s="679">
        <v>10</v>
      </c>
      <c r="AE38" s="680">
        <v>0.58928571428571419</v>
      </c>
      <c r="AF38" s="679">
        <v>90.78577898550725</v>
      </c>
      <c r="AG38" s="679">
        <v>42.447854402204236</v>
      </c>
      <c r="AH38" s="680">
        <v>0.38536615281675052</v>
      </c>
      <c r="AI38" s="680">
        <v>0.4687140099039287</v>
      </c>
      <c r="AJ38" s="680">
        <v>0.56517137340935708</v>
      </c>
      <c r="AK38" s="679">
        <v>8.5</v>
      </c>
      <c r="AL38" s="680">
        <v>0.66369047619047616</v>
      </c>
      <c r="AM38" s="679">
        <v>54.088020336828727</v>
      </c>
      <c r="AN38" s="679">
        <v>41.530493576741051</v>
      </c>
      <c r="AO38" s="680">
        <v>0.22463021811773046</v>
      </c>
      <c r="AP38" s="680">
        <v>0.25250793070727112</v>
      </c>
      <c r="AQ38" s="680">
        <v>0.58145396709383523</v>
      </c>
      <c r="AR38" s="679">
        <v>5.8</v>
      </c>
      <c r="AS38" s="680">
        <v>0.79761904761904756</v>
      </c>
      <c r="AT38" s="679">
        <v>28.413713910761157</v>
      </c>
      <c r="AU38" s="679">
        <v>40.681218631848623</v>
      </c>
      <c r="AV38" s="680">
        <v>0.11559045077464732</v>
      </c>
      <c r="AW38" s="680">
        <v>0.10583842200090551</v>
      </c>
      <c r="AX38" s="680">
        <v>0.65926292249541918</v>
      </c>
      <c r="AY38" s="679">
        <v>5</v>
      </c>
      <c r="AZ38" s="680">
        <v>0.83730158730158721</v>
      </c>
      <c r="BA38" s="679">
        <v>45.865162037037031</v>
      </c>
      <c r="BB38" s="679">
        <v>45.684040016882832</v>
      </c>
      <c r="BC38" s="680">
        <v>0.20953058978808148</v>
      </c>
      <c r="BD38" s="680">
        <v>0.23219740434866165</v>
      </c>
      <c r="BE38" s="680">
        <v>0.71628075071100217</v>
      </c>
      <c r="BF38" s="679">
        <v>5.0999999999999996</v>
      </c>
      <c r="BG38" s="680">
        <v>0.83234126984126988</v>
      </c>
      <c r="BH38" s="679">
        <v>44.591439688715951</v>
      </c>
      <c r="BI38" s="679">
        <v>46.413854644454673</v>
      </c>
      <c r="BJ38" s="680">
        <v>0.20696606000990292</v>
      </c>
      <c r="BK38" s="680">
        <v>0.22874785257692309</v>
      </c>
      <c r="BL38" s="680">
        <v>0.71162258638840059</v>
      </c>
      <c r="BM38" s="679">
        <v>5</v>
      </c>
      <c r="BN38" s="680">
        <v>0.83730158730158721</v>
      </c>
      <c r="BO38" s="679">
        <v>33.348429951690825</v>
      </c>
      <c r="BP38" s="679">
        <v>43.220000301618178</v>
      </c>
      <c r="BQ38" s="680">
        <v>0.14413191525705701</v>
      </c>
      <c r="BR38" s="680">
        <v>0.14422957667224534</v>
      </c>
      <c r="BS38" s="680">
        <v>0.69868718517571882</v>
      </c>
      <c r="BT38" s="679">
        <v>7.1</v>
      </c>
      <c r="BU38" s="680">
        <v>0.73313492063492058</v>
      </c>
      <c r="BV38" s="679">
        <v>37.157357559443703</v>
      </c>
      <c r="BW38" s="679">
        <v>41.437686101722193</v>
      </c>
      <c r="BX38" s="680">
        <v>0.15397149189176823</v>
      </c>
      <c r="BY38" s="680">
        <v>0.15746480182043321</v>
      </c>
      <c r="BZ38" s="680">
        <v>0.6180008968720232</v>
      </c>
    </row>
    <row r="39" spans="1:160">
      <c r="A39" s="2">
        <v>2001</v>
      </c>
      <c r="B39" s="679">
        <v>7.2</v>
      </c>
      <c r="C39" s="680">
        <v>0.72817460317460314</v>
      </c>
      <c r="D39" s="679">
        <v>44.806061647759826</v>
      </c>
      <c r="E39" s="679">
        <v>42.016353828259746</v>
      </c>
      <c r="F39" s="680">
        <v>0.18825873398430959</v>
      </c>
      <c r="G39" s="680">
        <v>0.20358460815481699</v>
      </c>
      <c r="H39" s="680">
        <v>0.62325660417064599</v>
      </c>
      <c r="I39" s="679">
        <v>16.100000000000001</v>
      </c>
      <c r="J39" s="680">
        <v>0.28670634920634908</v>
      </c>
      <c r="K39" s="679">
        <v>88.882478632478623</v>
      </c>
      <c r="L39" s="679">
        <v>43.655937267446383</v>
      </c>
      <c r="M39" s="680">
        <v>0.38802479113546307</v>
      </c>
      <c r="N39" s="680">
        <v>0.47229014717508205</v>
      </c>
      <c r="O39" s="680">
        <v>0.32382310880009568</v>
      </c>
      <c r="P39" s="679">
        <v>11.9</v>
      </c>
      <c r="Q39" s="680">
        <v>0.49503968253968245</v>
      </c>
      <c r="R39" s="679">
        <v>94.195736434108525</v>
      </c>
      <c r="S39" s="679">
        <v>47.027937887807497</v>
      </c>
      <c r="T39" s="680">
        <v>0.44298312423195413</v>
      </c>
      <c r="U39" s="680">
        <v>0.54621466032284849</v>
      </c>
      <c r="V39" s="680">
        <v>0.50527467809631565</v>
      </c>
      <c r="W39" s="679">
        <v>9.6999999999999993</v>
      </c>
      <c r="X39" s="680">
        <v>0.60416666666666663</v>
      </c>
      <c r="Y39" s="679">
        <v>65.554315476190467</v>
      </c>
      <c r="Z39" s="679">
        <v>45.278358651757891</v>
      </c>
      <c r="AA39" s="680">
        <v>0.29681918073014346</v>
      </c>
      <c r="AB39" s="680">
        <v>0.34960938220863896</v>
      </c>
      <c r="AC39" s="680">
        <v>0.55325520977506115</v>
      </c>
      <c r="AD39" s="679">
        <v>11.1</v>
      </c>
      <c r="AE39" s="680">
        <v>0.53472222222222221</v>
      </c>
      <c r="AF39" s="679">
        <v>86.020531400966192</v>
      </c>
      <c r="AG39" s="679">
        <v>44.295926443594958</v>
      </c>
      <c r="AH39" s="680">
        <v>0.38103591315761487</v>
      </c>
      <c r="AI39" s="680">
        <v>0.46288939986612554</v>
      </c>
      <c r="AJ39" s="680">
        <v>0.5203556577510029</v>
      </c>
      <c r="AK39" s="679">
        <v>8.8000000000000007</v>
      </c>
      <c r="AL39" s="680">
        <v>0.64880952380952372</v>
      </c>
      <c r="AM39" s="679">
        <v>54.311977435277534</v>
      </c>
      <c r="AN39" s="679">
        <v>42.919416021166036</v>
      </c>
      <c r="AO39" s="680">
        <v>0.23310383544768587</v>
      </c>
      <c r="AP39" s="680">
        <v>0.26390580252077095</v>
      </c>
      <c r="AQ39" s="680">
        <v>0.57182877955177314</v>
      </c>
      <c r="AR39" s="679">
        <v>6.3</v>
      </c>
      <c r="AS39" s="680">
        <v>0.77281746031746024</v>
      </c>
      <c r="AT39" s="679">
        <v>30.563040585495678</v>
      </c>
      <c r="AU39" s="679">
        <v>42.060370229384311</v>
      </c>
      <c r="AV39" s="680">
        <v>0.12854928023616469</v>
      </c>
      <c r="AW39" s="680">
        <v>0.1232693574920834</v>
      </c>
      <c r="AX39" s="680">
        <v>0.64290783975238497</v>
      </c>
      <c r="AY39" s="679">
        <v>5.0999999999999996</v>
      </c>
      <c r="AZ39" s="680">
        <v>0.83234126984126988</v>
      </c>
      <c r="BA39" s="679">
        <v>44.889830508474574</v>
      </c>
      <c r="BB39" s="679">
        <v>45.971629890598933</v>
      </c>
      <c r="BC39" s="680">
        <v>0.20636586739873097</v>
      </c>
      <c r="BD39" s="680">
        <v>0.22794053284803187</v>
      </c>
      <c r="BE39" s="680">
        <v>0.71146112244262238</v>
      </c>
      <c r="BF39" s="679">
        <v>5.8</v>
      </c>
      <c r="BG39" s="680">
        <v>0.79761904761904756</v>
      </c>
      <c r="BH39" s="679">
        <v>39.671985815602838</v>
      </c>
      <c r="BI39" s="679">
        <v>46.816159994649013</v>
      </c>
      <c r="BJ39" s="680">
        <v>0.18572900352487087</v>
      </c>
      <c r="BK39" s="680">
        <v>0.20018186498426363</v>
      </c>
      <c r="BL39" s="680">
        <v>0.67813161109209075</v>
      </c>
      <c r="BM39" s="679">
        <v>4.5999999999999996</v>
      </c>
      <c r="BN39" s="680">
        <v>0.85714285714285721</v>
      </c>
      <c r="BO39" s="679">
        <v>32.272250209907639</v>
      </c>
      <c r="BP39" s="679">
        <v>44.58718663500445</v>
      </c>
      <c r="BQ39" s="680">
        <v>0.14389288432407132</v>
      </c>
      <c r="BR39" s="680">
        <v>0.14390805590637348</v>
      </c>
      <c r="BS39" s="680">
        <v>0.71449589689556048</v>
      </c>
      <c r="BT39" s="679">
        <v>7.7</v>
      </c>
      <c r="BU39" s="680">
        <v>0.70337301587301582</v>
      </c>
      <c r="BV39" s="679">
        <v>36.854955514173398</v>
      </c>
      <c r="BW39" s="679">
        <v>44.155115262919978</v>
      </c>
      <c r="BX39" s="680">
        <v>0.16273348087381145</v>
      </c>
      <c r="BY39" s="680">
        <v>0.16925056265430743</v>
      </c>
      <c r="BZ39" s="680">
        <v>0.59654852522927415</v>
      </c>
    </row>
    <row r="40" spans="1:160">
      <c r="A40" s="2">
        <v>2002</v>
      </c>
      <c r="B40" s="679">
        <v>7.7</v>
      </c>
      <c r="C40" s="680">
        <v>0.70337301587301582</v>
      </c>
      <c r="D40" s="679">
        <v>43.847820947277164</v>
      </c>
      <c r="E40" s="679">
        <v>42.42314887098437</v>
      </c>
      <c r="F40" s="680">
        <v>0.18601626357146062</v>
      </c>
      <c r="G40" s="680">
        <v>0.20056825878288317</v>
      </c>
      <c r="H40" s="680">
        <v>0.60281206445498936</v>
      </c>
      <c r="I40" s="679">
        <v>16.7</v>
      </c>
      <c r="J40" s="680">
        <v>0.25694444444444442</v>
      </c>
      <c r="K40" s="679">
        <v>88.381642512077292</v>
      </c>
      <c r="L40" s="679">
        <v>43.797629241863653</v>
      </c>
      <c r="M40" s="680">
        <v>0.3870906410530896</v>
      </c>
      <c r="N40" s="680">
        <v>0.47103362089133977</v>
      </c>
      <c r="O40" s="680">
        <v>0.29976227973382352</v>
      </c>
      <c r="P40" s="679">
        <v>12</v>
      </c>
      <c r="Q40" s="680">
        <v>0.490079365079365</v>
      </c>
      <c r="R40" s="679">
        <v>94.337121212121204</v>
      </c>
      <c r="S40" s="679">
        <v>47.394288902229732</v>
      </c>
      <c r="T40" s="680">
        <v>0.44710407769319371</v>
      </c>
      <c r="U40" s="680">
        <v>0.55175775927004322</v>
      </c>
      <c r="V40" s="680">
        <v>0.50241504391750069</v>
      </c>
      <c r="W40" s="679">
        <v>9.6</v>
      </c>
      <c r="X40" s="680">
        <v>0.60912698412698407</v>
      </c>
      <c r="Y40" s="679">
        <v>68.020833333333329</v>
      </c>
      <c r="Z40" s="679">
        <v>44.984861639840609</v>
      </c>
      <c r="AA40" s="680">
        <v>0.3059907776126658</v>
      </c>
      <c r="AB40" s="680">
        <v>0.36194610707141184</v>
      </c>
      <c r="AC40" s="680">
        <v>0.55969080871586963</v>
      </c>
      <c r="AD40" s="679">
        <v>10.199999999999999</v>
      </c>
      <c r="AE40" s="680">
        <v>0.57936507936507931</v>
      </c>
      <c r="AF40" s="679">
        <v>90.991859468723234</v>
      </c>
      <c r="AG40" s="679">
        <v>44.408850582246409</v>
      </c>
      <c r="AH40" s="680">
        <v>0.40408438913472933</v>
      </c>
      <c r="AI40" s="680">
        <v>0.49389192977209462</v>
      </c>
      <c r="AJ40" s="680">
        <v>0.56227044944648241</v>
      </c>
      <c r="AK40" s="679">
        <v>8.6</v>
      </c>
      <c r="AL40" s="680">
        <v>0.65873015873015872</v>
      </c>
      <c r="AM40" s="679">
        <v>54.213771332741452</v>
      </c>
      <c r="AN40" s="679">
        <v>42.96241375919341</v>
      </c>
      <c r="AO40" s="680">
        <v>0.23291544754435367</v>
      </c>
      <c r="AP40" s="680">
        <v>0.26365240174872956</v>
      </c>
      <c r="AQ40" s="680">
        <v>0.57971460733387292</v>
      </c>
      <c r="AR40" s="679">
        <v>7.1</v>
      </c>
      <c r="AS40" s="680">
        <v>0.73313492063492058</v>
      </c>
      <c r="AT40" s="679">
        <v>29.49484573241061</v>
      </c>
      <c r="AU40" s="679">
        <v>42.178021653588701</v>
      </c>
      <c r="AV40" s="680">
        <v>0.12440342419708729</v>
      </c>
      <c r="AW40" s="680">
        <v>0.11769276206056929</v>
      </c>
      <c r="AX40" s="680">
        <v>0.61004648892005042</v>
      </c>
      <c r="AY40" s="679">
        <v>5.0999999999999996</v>
      </c>
      <c r="AZ40" s="680">
        <v>0.83234126984126988</v>
      </c>
      <c r="BA40" s="679">
        <v>46.244553376906318</v>
      </c>
      <c r="BB40" s="679">
        <v>46.932913422275121</v>
      </c>
      <c r="BC40" s="680">
        <v>0.21703916198901246</v>
      </c>
      <c r="BD40" s="680">
        <v>0.24229719291783344</v>
      </c>
      <c r="BE40" s="680">
        <v>0.71433245445658267</v>
      </c>
      <c r="BF40" s="679">
        <v>5.7</v>
      </c>
      <c r="BG40" s="680">
        <v>0.80257936507936511</v>
      </c>
      <c r="BH40" s="679">
        <v>42.372931442080372</v>
      </c>
      <c r="BI40" s="679">
        <v>47.566147561630032</v>
      </c>
      <c r="BJ40" s="680">
        <v>0.20155171095928279</v>
      </c>
      <c r="BK40" s="680">
        <v>0.2214650058268873</v>
      </c>
      <c r="BL40" s="680">
        <v>0.6863564932288696</v>
      </c>
      <c r="BM40" s="679">
        <v>5.3</v>
      </c>
      <c r="BN40" s="680">
        <v>0.82242063492063489</v>
      </c>
      <c r="BO40" s="679">
        <v>34.699321912919345</v>
      </c>
      <c r="BP40" s="679">
        <v>45.903073115644297</v>
      </c>
      <c r="BQ40" s="680">
        <v>0.15928055108320149</v>
      </c>
      <c r="BR40" s="680">
        <v>0.16460602306726968</v>
      </c>
      <c r="BS40" s="680">
        <v>0.69085771254996187</v>
      </c>
      <c r="BT40" s="679">
        <v>8.5</v>
      </c>
      <c r="BU40" s="680">
        <v>0.66369047619047616</v>
      </c>
      <c r="BV40" s="679">
        <v>35.801843738590726</v>
      </c>
      <c r="BW40" s="679">
        <v>44.262557043687657</v>
      </c>
      <c r="BX40" s="680">
        <v>0.15846811507485639</v>
      </c>
      <c r="BY40" s="680">
        <v>0.16351321451583162</v>
      </c>
      <c r="BZ40" s="680">
        <v>0.56365502385554733</v>
      </c>
    </row>
    <row r="41" spans="1:160">
      <c r="A41" s="2">
        <v>2003</v>
      </c>
      <c r="B41" s="679">
        <v>7.6</v>
      </c>
      <c r="C41" s="680">
        <v>0.70833333333333326</v>
      </c>
      <c r="D41" s="679">
        <v>43.814919919141659</v>
      </c>
      <c r="E41" s="679">
        <v>42.290234603963505</v>
      </c>
      <c r="F41" s="680">
        <v>0.18529432425343745</v>
      </c>
      <c r="G41" s="680">
        <v>0.19959717742724248</v>
      </c>
      <c r="H41" s="680">
        <v>0.60658610215211517</v>
      </c>
      <c r="I41" s="679">
        <v>16.5</v>
      </c>
      <c r="J41" s="680">
        <v>0.26686507936507931</v>
      </c>
      <c r="K41" s="679">
        <v>87.812998405103684</v>
      </c>
      <c r="L41" s="679">
        <v>43.309254623059225</v>
      </c>
      <c r="M41" s="680">
        <v>0.38031155071409289</v>
      </c>
      <c r="N41" s="680">
        <v>0.46191505916176184</v>
      </c>
      <c r="O41" s="680">
        <v>0.30587507532441582</v>
      </c>
      <c r="P41" s="679">
        <v>11</v>
      </c>
      <c r="Q41" s="680">
        <v>0.53968253968253965</v>
      </c>
      <c r="R41" s="679">
        <v>99.796747967479675</v>
      </c>
      <c r="S41" s="679">
        <v>48.080287829929539</v>
      </c>
      <c r="T41" s="680">
        <v>0.47982563667673583</v>
      </c>
      <c r="U41" s="680">
        <v>0.59577156356515049</v>
      </c>
      <c r="V41" s="680">
        <v>0.55090034445906189</v>
      </c>
      <c r="W41" s="679">
        <v>9.1</v>
      </c>
      <c r="X41" s="680">
        <v>0.6339285714285714</v>
      </c>
      <c r="Y41" s="679">
        <v>69.324116743471592</v>
      </c>
      <c r="Z41" s="679">
        <v>45.03896931921863</v>
      </c>
      <c r="AA41" s="680">
        <v>0.31222867670911475</v>
      </c>
      <c r="AB41" s="680">
        <v>0.37033671187669703</v>
      </c>
      <c r="AC41" s="680">
        <v>0.58121019951819652</v>
      </c>
      <c r="AD41" s="679">
        <v>10.3</v>
      </c>
      <c r="AE41" s="680">
        <v>0.57440476190476186</v>
      </c>
      <c r="AF41" s="679">
        <v>87.514805414551617</v>
      </c>
      <c r="AG41" s="679">
        <v>43.953441782194076</v>
      </c>
      <c r="AH41" s="680">
        <v>0.38465769048685372</v>
      </c>
      <c r="AI41" s="680">
        <v>0.4677610564595584</v>
      </c>
      <c r="AJ41" s="680">
        <v>0.55307602081572116</v>
      </c>
      <c r="AK41" s="679">
        <v>9.1</v>
      </c>
      <c r="AL41" s="680">
        <v>0.6339285714285714</v>
      </c>
      <c r="AM41" s="679">
        <v>50.714285714285715</v>
      </c>
      <c r="AN41" s="679">
        <v>42.934132954886486</v>
      </c>
      <c r="AO41" s="680">
        <v>0.21773738855692432</v>
      </c>
      <c r="AP41" s="680">
        <v>0.24323637822771352</v>
      </c>
      <c r="AQ41" s="680">
        <v>0.55579013278839984</v>
      </c>
      <c r="AR41" s="679">
        <v>6.9</v>
      </c>
      <c r="AS41" s="680">
        <v>0.74305555555555547</v>
      </c>
      <c r="AT41" s="679">
        <v>30.609479594040163</v>
      </c>
      <c r="AU41" s="679">
        <v>42.161491476559966</v>
      </c>
      <c r="AV41" s="680">
        <v>0.12905413130060606</v>
      </c>
      <c r="AW41" s="680">
        <v>0.12394843320359443</v>
      </c>
      <c r="AX41" s="680">
        <v>0.61923413108516334</v>
      </c>
      <c r="AY41" s="679">
        <v>5</v>
      </c>
      <c r="AZ41" s="680">
        <v>0.83730158730158721</v>
      </c>
      <c r="BA41" s="679">
        <v>46.75</v>
      </c>
      <c r="BB41" s="679">
        <v>45.945417984907841</v>
      </c>
      <c r="BC41" s="680">
        <v>0.21479482907944417</v>
      </c>
      <c r="BD41" s="680">
        <v>0.23927833829955283</v>
      </c>
      <c r="BE41" s="680">
        <v>0.71769693750118035</v>
      </c>
      <c r="BF41" s="679">
        <v>5.6</v>
      </c>
      <c r="BG41" s="680">
        <v>0.80753968253968256</v>
      </c>
      <c r="BH41" s="679">
        <v>43.421985815602838</v>
      </c>
      <c r="BI41" s="679">
        <v>46.934059851794537</v>
      </c>
      <c r="BJ41" s="680">
        <v>0.20379700811532772</v>
      </c>
      <c r="BK41" s="680">
        <v>0.22448515745414405</v>
      </c>
      <c r="BL41" s="680">
        <v>0.69092877752257487</v>
      </c>
      <c r="BM41" s="679">
        <v>5.0999999999999996</v>
      </c>
      <c r="BN41" s="680">
        <v>0.83234126984126988</v>
      </c>
      <c r="BO41" s="679">
        <v>36.742588575560376</v>
      </c>
      <c r="BP41" s="679">
        <v>45.108358326344771</v>
      </c>
      <c r="BQ41" s="680">
        <v>0.16573978513038393</v>
      </c>
      <c r="BR41" s="680">
        <v>0.17329434575360539</v>
      </c>
      <c r="BS41" s="680">
        <v>0.70053188502373698</v>
      </c>
      <c r="BT41" s="679">
        <v>8</v>
      </c>
      <c r="BU41" s="680">
        <v>0.68849206349206349</v>
      </c>
      <c r="BV41" s="679">
        <v>37.141571969696969</v>
      </c>
      <c r="BW41" s="679">
        <v>43.706803720019579</v>
      </c>
      <c r="BX41" s="680">
        <v>0.16233393959325265</v>
      </c>
      <c r="BY41" s="680">
        <v>0.1687131392467254</v>
      </c>
      <c r="BZ41" s="680">
        <v>0.58453627864299595</v>
      </c>
    </row>
    <row r="42" spans="1:160">
      <c r="A42" s="2">
        <v>2004</v>
      </c>
      <c r="B42" s="679">
        <v>7.2</v>
      </c>
      <c r="C42" s="680">
        <v>0.72817460317460314</v>
      </c>
      <c r="D42" s="679">
        <v>43.845692004641251</v>
      </c>
      <c r="E42" s="679">
        <v>41.735339187695395</v>
      </c>
      <c r="F42" s="680">
        <v>0.18299148277329266</v>
      </c>
      <c r="G42" s="680">
        <v>0.19649962286754907</v>
      </c>
      <c r="H42" s="680">
        <v>0.62183960711319242</v>
      </c>
      <c r="I42" s="679">
        <v>15.7</v>
      </c>
      <c r="J42" s="680">
        <v>0.30654761904761901</v>
      </c>
      <c r="K42" s="679">
        <v>93.564583333333331</v>
      </c>
      <c r="L42" s="679">
        <v>42.754695636002978</v>
      </c>
      <c r="M42" s="680">
        <v>0.40003252827261038</v>
      </c>
      <c r="N42" s="680">
        <v>0.48844176735452749</v>
      </c>
      <c r="O42" s="680">
        <v>0.34292644870900074</v>
      </c>
      <c r="P42" s="679">
        <v>11.3</v>
      </c>
      <c r="Q42" s="680">
        <v>0.52480158730158721</v>
      </c>
      <c r="R42" s="679">
        <v>95.068627450980387</v>
      </c>
      <c r="S42" s="679">
        <v>47.82916615346717</v>
      </c>
      <c r="T42" s="680">
        <v>0.45470531783350104</v>
      </c>
      <c r="U42" s="680">
        <v>0.56198219558445817</v>
      </c>
      <c r="V42" s="680">
        <v>0.53223770895816147</v>
      </c>
      <c r="W42" s="679">
        <v>8.8000000000000007</v>
      </c>
      <c r="X42" s="680">
        <v>0.64880952380952372</v>
      </c>
      <c r="Y42" s="679">
        <v>70.23948598130842</v>
      </c>
      <c r="Z42" s="679">
        <v>44.209967988285527</v>
      </c>
      <c r="AA42" s="680">
        <v>0.31052854267472751</v>
      </c>
      <c r="AB42" s="680">
        <v>0.36804985975260945</v>
      </c>
      <c r="AC42" s="680">
        <v>0.59265759099814086</v>
      </c>
      <c r="AD42" s="679">
        <v>9.8000000000000007</v>
      </c>
      <c r="AE42" s="680">
        <v>0.59920634920634908</v>
      </c>
      <c r="AF42" s="679">
        <v>90.388157894736835</v>
      </c>
      <c r="AG42" s="679">
        <v>43.918244613037388</v>
      </c>
      <c r="AH42" s="680">
        <v>0.39696892285428992</v>
      </c>
      <c r="AI42" s="680">
        <v>0.48432090840073472</v>
      </c>
      <c r="AJ42" s="680">
        <v>0.5762292610452262</v>
      </c>
      <c r="AK42" s="679">
        <v>8.5</v>
      </c>
      <c r="AL42" s="680">
        <v>0.66369047619047616</v>
      </c>
      <c r="AM42" s="679">
        <v>52.236931432450788</v>
      </c>
      <c r="AN42" s="679">
        <v>42.690145972660673</v>
      </c>
      <c r="AO42" s="680">
        <v>0.22300022280151907</v>
      </c>
      <c r="AP42" s="680">
        <v>0.25031542224868109</v>
      </c>
      <c r="AQ42" s="680">
        <v>0.58101546540211713</v>
      </c>
      <c r="AR42" s="679">
        <v>6.8</v>
      </c>
      <c r="AS42" s="680">
        <v>0.74801587301587291</v>
      </c>
      <c r="AT42" s="679">
        <v>29.727609500980606</v>
      </c>
      <c r="AU42" s="679">
        <v>41.679341876200219</v>
      </c>
      <c r="AV42" s="680">
        <v>0.12390271995535483</v>
      </c>
      <c r="AW42" s="680">
        <v>0.11701926424475842</v>
      </c>
      <c r="AX42" s="680">
        <v>0.62181655126165003</v>
      </c>
      <c r="AY42" s="679">
        <v>5.3</v>
      </c>
      <c r="AZ42" s="680">
        <v>0.82242063492063489</v>
      </c>
      <c r="BA42" s="679">
        <v>41.555727554179569</v>
      </c>
      <c r="BB42" s="679">
        <v>44.622848744409502</v>
      </c>
      <c r="BC42" s="680">
        <v>0.18543349451140453</v>
      </c>
      <c r="BD42" s="680">
        <v>0.1997843754913978</v>
      </c>
      <c r="BE42" s="680">
        <v>0.69789338303478754</v>
      </c>
      <c r="BF42" s="679">
        <v>5.3</v>
      </c>
      <c r="BG42" s="680">
        <v>0.82242063492063489</v>
      </c>
      <c r="BH42" s="679">
        <v>44.836419753086425</v>
      </c>
      <c r="BI42" s="679">
        <v>45.388563658632798</v>
      </c>
      <c r="BJ42" s="680">
        <v>0.20350606921881442</v>
      </c>
      <c r="BK42" s="680">
        <v>0.22409381523052288</v>
      </c>
      <c r="BL42" s="680">
        <v>0.70275527098261248</v>
      </c>
      <c r="BM42" s="679">
        <v>4.5999999999999996</v>
      </c>
      <c r="BN42" s="680">
        <v>0.85714285714285721</v>
      </c>
      <c r="BO42" s="679">
        <v>34.237254901960789</v>
      </c>
      <c r="BP42" s="679">
        <v>44.079001849449305</v>
      </c>
      <c r="BQ42" s="680">
        <v>0.1509144022143597</v>
      </c>
      <c r="BR42" s="680">
        <v>0.15335270719677155</v>
      </c>
      <c r="BS42" s="680">
        <v>0.71638482715364016</v>
      </c>
      <c r="BT42" s="679">
        <v>7.2</v>
      </c>
      <c r="BU42" s="680">
        <v>0.72817460317460314</v>
      </c>
      <c r="BV42" s="679">
        <v>37.000104690117254</v>
      </c>
      <c r="BW42" s="679">
        <v>42.713485711538915</v>
      </c>
      <c r="BX42" s="680">
        <v>0.15804034430067673</v>
      </c>
      <c r="BY42" s="680">
        <v>0.16293781958592074</v>
      </c>
      <c r="BZ42" s="680">
        <v>0.61512724645686667</v>
      </c>
    </row>
    <row r="43" spans="1:160">
      <c r="A43" s="2">
        <v>2005</v>
      </c>
      <c r="B43" s="679">
        <v>6.8</v>
      </c>
      <c r="C43" s="680">
        <v>0.74801587301587291</v>
      </c>
      <c r="D43" s="679">
        <v>44.059728854024556</v>
      </c>
      <c r="E43" s="679">
        <v>40.754465065401838</v>
      </c>
      <c r="F43" s="680">
        <v>0.17956306803724212</v>
      </c>
      <c r="G43" s="680">
        <v>0.19188805850685076</v>
      </c>
      <c r="H43" s="680">
        <v>0.6367903101140685</v>
      </c>
      <c r="I43" s="679">
        <v>15.2</v>
      </c>
      <c r="J43" s="680">
        <v>0.33134920634920634</v>
      </c>
      <c r="K43" s="679">
        <v>98.758680555555557</v>
      </c>
      <c r="L43" s="679">
        <v>42.275861033089498</v>
      </c>
      <c r="M43" s="680">
        <v>0.4175108254977945</v>
      </c>
      <c r="N43" s="680">
        <v>0.51195184381108927</v>
      </c>
      <c r="O43" s="680">
        <v>0.36746973384158294</v>
      </c>
      <c r="P43" s="679">
        <v>10.8</v>
      </c>
      <c r="Q43" s="680">
        <v>0.54960317460317454</v>
      </c>
      <c r="R43" s="679">
        <v>98.242971887550198</v>
      </c>
      <c r="S43" s="679">
        <v>47.151663377098892</v>
      </c>
      <c r="T43" s="680">
        <v>0.46323195396075573</v>
      </c>
      <c r="U43" s="680">
        <v>0.57345138303941223</v>
      </c>
      <c r="V43" s="680">
        <v>0.55437281629042212</v>
      </c>
      <c r="W43" s="679">
        <v>8.4</v>
      </c>
      <c r="X43" s="680">
        <v>0.66865079365079361</v>
      </c>
      <c r="Y43" s="679">
        <v>72.600081699346404</v>
      </c>
      <c r="Z43" s="679">
        <v>43.111000909166044</v>
      </c>
      <c r="AA43" s="680">
        <v>0.3129862188146052</v>
      </c>
      <c r="AB43" s="680">
        <v>0.37135568258017515</v>
      </c>
      <c r="AC43" s="680">
        <v>0.60919177143666992</v>
      </c>
      <c r="AD43" s="679">
        <v>9.6999999999999993</v>
      </c>
      <c r="AE43" s="680">
        <v>0.60416666666666663</v>
      </c>
      <c r="AF43" s="679">
        <v>90.793545534924831</v>
      </c>
      <c r="AG43" s="679">
        <v>43.226607192359062</v>
      </c>
      <c r="AH43" s="680">
        <v>0.3924696928439762</v>
      </c>
      <c r="AI43" s="680">
        <v>0.47826898925922245</v>
      </c>
      <c r="AJ43" s="680">
        <v>0.57898713118517786</v>
      </c>
      <c r="AK43" s="679">
        <v>8.3000000000000007</v>
      </c>
      <c r="AL43" s="680">
        <v>0.67361111111111105</v>
      </c>
      <c r="AM43" s="679">
        <v>52.514659113496322</v>
      </c>
      <c r="AN43" s="679">
        <v>42.286351870468302</v>
      </c>
      <c r="AO43" s="680">
        <v>0.22206533536310002</v>
      </c>
      <c r="AP43" s="680">
        <v>0.24905790414652632</v>
      </c>
      <c r="AQ43" s="680">
        <v>0.58870046971819412</v>
      </c>
      <c r="AR43" s="679">
        <v>6.6</v>
      </c>
      <c r="AS43" s="680">
        <v>0.75793650793650791</v>
      </c>
      <c r="AT43" s="679">
        <v>29.233141295516653</v>
      </c>
      <c r="AU43" s="679">
        <v>40.553026040917075</v>
      </c>
      <c r="AV43" s="680">
        <v>0.11854923402148952</v>
      </c>
      <c r="AW43" s="680">
        <v>0.10981828453874043</v>
      </c>
      <c r="AX43" s="680">
        <v>0.62831286325695446</v>
      </c>
      <c r="AY43" s="679">
        <v>4.8</v>
      </c>
      <c r="AZ43" s="680">
        <v>0.8472222222222221</v>
      </c>
      <c r="BA43" s="679">
        <v>42.353951890034359</v>
      </c>
      <c r="BB43" s="679">
        <v>43.634639985380112</v>
      </c>
      <c r="BC43" s="680">
        <v>0.18480994426797587</v>
      </c>
      <c r="BD43" s="680">
        <v>0.19894563738615534</v>
      </c>
      <c r="BE43" s="680">
        <v>0.71756690525500877</v>
      </c>
      <c r="BF43" s="679">
        <v>5.0999999999999996</v>
      </c>
      <c r="BG43" s="680">
        <v>0.83234126984126988</v>
      </c>
      <c r="BH43" s="679">
        <v>42.409909909909906</v>
      </c>
      <c r="BI43" s="679">
        <v>43.557893054431759</v>
      </c>
      <c r="BJ43" s="680">
        <v>0.18472863203039414</v>
      </c>
      <c r="BK43" s="680">
        <v>0.19883626420764877</v>
      </c>
      <c r="BL43" s="680">
        <v>0.70564026871454566</v>
      </c>
      <c r="BM43" s="679">
        <v>3.9</v>
      </c>
      <c r="BN43" s="680">
        <v>0.89186507936507942</v>
      </c>
      <c r="BO43" s="679">
        <v>30.906292749658004</v>
      </c>
      <c r="BP43" s="679">
        <v>41.739689369293728</v>
      </c>
      <c r="BQ43" s="680">
        <v>0.12900190589271798</v>
      </c>
      <c r="BR43" s="680">
        <v>0.12387818475109331</v>
      </c>
      <c r="BS43" s="680">
        <v>0.73826770044228229</v>
      </c>
      <c r="BT43" s="679">
        <v>5.9</v>
      </c>
      <c r="BU43" s="680">
        <v>0.79265873015873012</v>
      </c>
      <c r="BV43" s="679">
        <v>38.137070479056931</v>
      </c>
      <c r="BW43" s="679">
        <v>41.623445195174149</v>
      </c>
      <c r="BX43" s="680">
        <v>0.158739626298952</v>
      </c>
      <c r="BY43" s="680">
        <v>0.16387842455632143</v>
      </c>
      <c r="BZ43" s="680">
        <v>0.66690266903824835</v>
      </c>
    </row>
    <row r="44" spans="1:160">
      <c r="A44" s="2">
        <v>2006</v>
      </c>
      <c r="B44" s="679">
        <v>6.3</v>
      </c>
      <c r="C44" s="680">
        <v>0.77281746031746024</v>
      </c>
      <c r="D44" s="679">
        <v>44.572657283772394</v>
      </c>
      <c r="E44" s="679">
        <v>40.939875126636224</v>
      </c>
      <c r="F44" s="680">
        <v>0.18247990232599942</v>
      </c>
      <c r="G44" s="680">
        <v>0.19581149545590304</v>
      </c>
      <c r="H44" s="680">
        <v>0.65741626734514891</v>
      </c>
      <c r="I44" s="679">
        <v>14.8</v>
      </c>
      <c r="J44" s="680">
        <v>0.35119047619047611</v>
      </c>
      <c r="K44" s="679">
        <v>100.99777777777777</v>
      </c>
      <c r="L44" s="679">
        <v>42.861479148829133</v>
      </c>
      <c r="M44" s="680">
        <v>0.43289141463003006</v>
      </c>
      <c r="N44" s="680">
        <v>0.5326402908484128</v>
      </c>
      <c r="O44" s="680">
        <v>0.38748043912206348</v>
      </c>
      <c r="P44" s="679">
        <v>11</v>
      </c>
      <c r="Q44" s="680">
        <v>0.53968253968253965</v>
      </c>
      <c r="R44" s="679">
        <v>95.205882352941174</v>
      </c>
      <c r="S44" s="679">
        <v>49.671310236811046</v>
      </c>
      <c r="T44" s="680">
        <v>0.47290009187222748</v>
      </c>
      <c r="U44" s="680">
        <v>0.58645600577598944</v>
      </c>
      <c r="V44" s="680">
        <v>0.54903723290122963</v>
      </c>
      <c r="W44" s="679">
        <v>7.9</v>
      </c>
      <c r="X44" s="680">
        <v>0.69345238095238093</v>
      </c>
      <c r="Y44" s="679">
        <v>76.183289588801387</v>
      </c>
      <c r="Z44" s="679">
        <v>44.817676315376715</v>
      </c>
      <c r="AA44" s="680">
        <v>0.34143580134315094</v>
      </c>
      <c r="AB44" s="680">
        <v>0.40962324673623252</v>
      </c>
      <c r="AC44" s="680">
        <v>0.63668655410915131</v>
      </c>
      <c r="AD44" s="679">
        <v>8.8000000000000007</v>
      </c>
      <c r="AE44" s="680">
        <v>0.64880952380952372</v>
      </c>
      <c r="AF44" s="679">
        <v>96.398635477582843</v>
      </c>
      <c r="AG44" s="679">
        <v>43.53448065063553</v>
      </c>
      <c r="AH44" s="680">
        <v>0.41966645309464984</v>
      </c>
      <c r="AI44" s="680">
        <v>0.51485138081752724</v>
      </c>
      <c r="AJ44" s="680">
        <v>0.62201789521112438</v>
      </c>
      <c r="AK44" s="679">
        <v>8</v>
      </c>
      <c r="AL44" s="680">
        <v>0.68849206349206349</v>
      </c>
      <c r="AM44" s="679">
        <v>52.800679444275438</v>
      </c>
      <c r="AN44" s="679">
        <v>42.757803988442049</v>
      </c>
      <c r="AO44" s="680">
        <v>0.22576411021348905</v>
      </c>
      <c r="AP44" s="680">
        <v>0.25403313018873808</v>
      </c>
      <c r="AQ44" s="680">
        <v>0.60160027683139849</v>
      </c>
      <c r="AR44" s="681">
        <v>6.3</v>
      </c>
      <c r="AS44" s="680">
        <v>0.77281746031746024</v>
      </c>
      <c r="AT44" s="679">
        <v>29.699915631231779</v>
      </c>
      <c r="AU44" s="679">
        <v>40.338261562794422</v>
      </c>
      <c r="AV44" s="680">
        <v>0.11980429651255541</v>
      </c>
      <c r="AW44" s="680">
        <v>0.11150647044967724</v>
      </c>
      <c r="AX44" s="680">
        <v>0.6405552623439037</v>
      </c>
      <c r="AY44" s="679">
        <v>4.3</v>
      </c>
      <c r="AZ44" s="680">
        <v>0.87202380952380942</v>
      </c>
      <c r="BA44" s="679">
        <v>41.503144654088054</v>
      </c>
      <c r="BB44" s="679">
        <v>43.758380959449774</v>
      </c>
      <c r="BC44" s="680">
        <v>0.18161104147887364</v>
      </c>
      <c r="BD44" s="680">
        <v>0.19464278979293906</v>
      </c>
      <c r="BE44" s="680">
        <v>0.73654760557763543</v>
      </c>
      <c r="BF44" s="679">
        <v>4.7</v>
      </c>
      <c r="BG44" s="680">
        <v>0.85218253968253965</v>
      </c>
      <c r="BH44" s="679">
        <v>41</v>
      </c>
      <c r="BI44" s="679">
        <v>44.460026022842278</v>
      </c>
      <c r="BJ44" s="680">
        <v>0.18228610669365333</v>
      </c>
      <c r="BK44" s="680">
        <v>0.19555082074173011</v>
      </c>
      <c r="BL44" s="680">
        <v>0.72085619589437777</v>
      </c>
      <c r="BM44" s="679">
        <v>3.4</v>
      </c>
      <c r="BN44" s="680">
        <v>0.91666666666666663</v>
      </c>
      <c r="BO44" s="679">
        <v>28.252245508982035</v>
      </c>
      <c r="BP44" s="679">
        <v>41.758098550434532</v>
      </c>
      <c r="BQ44" s="680">
        <v>0.11797600522351434</v>
      </c>
      <c r="BR44" s="680">
        <v>0.10904723386407393</v>
      </c>
      <c r="BS44" s="680">
        <v>0.75514278010614821</v>
      </c>
      <c r="BT44" s="679">
        <v>4.8</v>
      </c>
      <c r="BU44" s="680">
        <v>0.8472222222222221</v>
      </c>
      <c r="BV44" s="679">
        <v>38.073296836982976</v>
      </c>
      <c r="BW44" s="679">
        <v>41.432544450594705</v>
      </c>
      <c r="BX44" s="680">
        <v>0.15774735635789838</v>
      </c>
      <c r="BY44" s="680">
        <v>0.16254372118795754</v>
      </c>
      <c r="BZ44" s="680">
        <v>0.71028652201536924</v>
      </c>
    </row>
    <row r="45" spans="1:160">
      <c r="A45" s="2">
        <v>2007</v>
      </c>
      <c r="B45" s="679">
        <v>6</v>
      </c>
      <c r="C45" s="680">
        <v>0.78769841269841268</v>
      </c>
      <c r="D45" s="679">
        <v>44.419970971527391</v>
      </c>
      <c r="E45" s="679">
        <v>40.986114354410454</v>
      </c>
      <c r="F45" s="680">
        <v>0.18206020098586145</v>
      </c>
      <c r="G45" s="680">
        <v>0.1952469547304285</v>
      </c>
      <c r="H45" s="680">
        <v>0.66920812110481587</v>
      </c>
      <c r="I45" s="679">
        <v>13.6</v>
      </c>
      <c r="J45" s="680">
        <v>0.4107142857142857</v>
      </c>
      <c r="K45" s="679">
        <v>105.67693059628543</v>
      </c>
      <c r="L45" s="679">
        <v>42.688378926747347</v>
      </c>
      <c r="M45" s="680">
        <v>0.45111768571098126</v>
      </c>
      <c r="N45" s="680">
        <v>0.5571564677454256</v>
      </c>
      <c r="O45" s="680">
        <v>0.44000272212051372</v>
      </c>
      <c r="P45" s="679">
        <v>10.3</v>
      </c>
      <c r="Q45" s="680">
        <v>0.57440476190476186</v>
      </c>
      <c r="R45" s="679">
        <v>99.125</v>
      </c>
      <c r="S45" s="679">
        <v>50.133566544760697</v>
      </c>
      <c r="T45" s="680">
        <v>0.49694897837494045</v>
      </c>
      <c r="U45" s="680">
        <v>0.61880418895937739</v>
      </c>
      <c r="V45" s="680">
        <v>0.58328464731568497</v>
      </c>
      <c r="W45" s="679">
        <v>8</v>
      </c>
      <c r="X45" s="680">
        <v>0.68849206349206349</v>
      </c>
      <c r="Y45" s="679">
        <v>71.197783461210562</v>
      </c>
      <c r="Z45" s="679">
        <v>45.510335917312652</v>
      </c>
      <c r="AA45" s="680">
        <v>0.32402350418877801</v>
      </c>
      <c r="AB45" s="680">
        <v>0.38620194704613259</v>
      </c>
      <c r="AC45" s="680">
        <v>0.62803404020287734</v>
      </c>
      <c r="AD45" s="679">
        <v>7.5</v>
      </c>
      <c r="AE45" s="680">
        <v>0.7132936507936507</v>
      </c>
      <c r="AF45" s="679">
        <v>103.35585585585584</v>
      </c>
      <c r="AG45" s="679">
        <v>43.622015359334029</v>
      </c>
      <c r="AH45" s="680">
        <v>0.4508590731621257</v>
      </c>
      <c r="AI45" s="680">
        <v>0.55680860772691876</v>
      </c>
      <c r="AJ45" s="680">
        <v>0.68199664218030431</v>
      </c>
      <c r="AK45" s="679">
        <v>7.2</v>
      </c>
      <c r="AL45" s="680">
        <v>0.72817460317460314</v>
      </c>
      <c r="AM45" s="679">
        <v>56.790382037533519</v>
      </c>
      <c r="AN45" s="679">
        <v>42.783231534972217</v>
      </c>
      <c r="AO45" s="680">
        <v>0.24296760636713238</v>
      </c>
      <c r="AP45" s="680">
        <v>0.2771735714274618</v>
      </c>
      <c r="AQ45" s="680">
        <v>0.63797439682517498</v>
      </c>
      <c r="AR45" s="681">
        <v>6.4</v>
      </c>
      <c r="AS45" s="680">
        <v>0.76785714285714279</v>
      </c>
      <c r="AT45" s="679">
        <v>29.111074049366245</v>
      </c>
      <c r="AU45" s="679">
        <v>40.164413909839944</v>
      </c>
      <c r="AV45" s="680">
        <v>0.11692292274787462</v>
      </c>
      <c r="AW45" s="680">
        <v>0.10763073148982197</v>
      </c>
      <c r="AX45" s="680">
        <v>0.63581186058367867</v>
      </c>
      <c r="AY45" s="679">
        <v>4.4000000000000004</v>
      </c>
      <c r="AZ45" s="680">
        <v>0.86706349206349187</v>
      </c>
      <c r="BA45" s="679">
        <v>38.074817518248175</v>
      </c>
      <c r="BB45" s="679">
        <v>43.535680196030953</v>
      </c>
      <c r="BC45" s="680">
        <v>0.16576130789966895</v>
      </c>
      <c r="BD45" s="680">
        <v>0.1733232960537936</v>
      </c>
      <c r="BE45" s="680">
        <v>0.72831545286155219</v>
      </c>
      <c r="BF45" s="679">
        <v>4.2</v>
      </c>
      <c r="BG45" s="680">
        <v>0.87698412698412698</v>
      </c>
      <c r="BH45" s="679">
        <v>42.93181818181818</v>
      </c>
      <c r="BI45" s="679">
        <v>44.844826871814703</v>
      </c>
      <c r="BJ45" s="680">
        <v>0.19252699536558629</v>
      </c>
      <c r="BK45" s="680">
        <v>0.20932585114419797</v>
      </c>
      <c r="BL45" s="680">
        <v>0.74345247181614127</v>
      </c>
      <c r="BM45" s="679">
        <v>3.5</v>
      </c>
      <c r="BN45" s="680">
        <v>0.91170634920634919</v>
      </c>
      <c r="BO45" s="679">
        <v>23.730661040787624</v>
      </c>
      <c r="BP45" s="679">
        <v>41.830037980339597</v>
      </c>
      <c r="BQ45" s="680">
        <v>9.9265445263471142E-2</v>
      </c>
      <c r="BR45" s="680">
        <v>8.3879639473249945E-2</v>
      </c>
      <c r="BS45" s="680">
        <v>0.74614100725972943</v>
      </c>
      <c r="BT45" s="679">
        <v>4.2</v>
      </c>
      <c r="BU45" s="680">
        <v>0.87698412698412698</v>
      </c>
      <c r="BV45" s="679">
        <v>38.066666666666663</v>
      </c>
      <c r="BW45" s="679">
        <v>42.073582037905766</v>
      </c>
      <c r="BX45" s="680">
        <v>0.16016010229096128</v>
      </c>
      <c r="BY45" s="680">
        <v>0.16578910834585728</v>
      </c>
      <c r="BZ45" s="680">
        <v>0.73474512325647312</v>
      </c>
      <c r="CA45" s="314"/>
      <c r="CB45" s="314"/>
      <c r="CC45" s="314"/>
      <c r="CD45" s="314"/>
      <c r="CE45" s="314"/>
      <c r="CF45" s="314"/>
      <c r="CG45" s="314"/>
      <c r="CH45" s="314"/>
      <c r="CI45" s="314"/>
      <c r="CJ45" s="314"/>
      <c r="CK45" s="314"/>
      <c r="CL45" s="315"/>
      <c r="CM45" s="315"/>
      <c r="CN45" s="315"/>
      <c r="CO45" s="315"/>
      <c r="CP45" s="315"/>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15"/>
      <c r="DY45" s="315"/>
      <c r="DZ45" s="315"/>
      <c r="EA45" s="315"/>
      <c r="EB45" s="315"/>
      <c r="EC45" s="315"/>
      <c r="ED45" s="315"/>
      <c r="EE45" s="315"/>
      <c r="EF45" s="315"/>
      <c r="EG45" s="315"/>
      <c r="EH45" s="315"/>
      <c r="EI45" s="315"/>
      <c r="EJ45" s="315"/>
      <c r="EK45" s="315"/>
      <c r="EL45" s="315"/>
      <c r="EM45" s="315"/>
      <c r="EN45" s="315"/>
      <c r="EO45" s="315"/>
      <c r="EP45" s="315"/>
      <c r="EQ45" s="315"/>
      <c r="ER45" s="315"/>
      <c r="ES45" s="315"/>
      <c r="ET45" s="315"/>
      <c r="EU45" s="315"/>
      <c r="EV45" s="315"/>
      <c r="EW45" s="315"/>
      <c r="EX45" s="315"/>
      <c r="EY45" s="315"/>
      <c r="EZ45" s="315"/>
      <c r="FA45" s="315"/>
      <c r="FB45" s="315"/>
      <c r="FC45" s="315"/>
      <c r="FD45" s="315"/>
    </row>
    <row r="46" spans="1:160">
      <c r="A46" s="2">
        <v>2008</v>
      </c>
      <c r="B46" s="679">
        <v>6.1</v>
      </c>
      <c r="C46" s="680">
        <v>0.78273809523809523</v>
      </c>
      <c r="D46" s="679">
        <v>43.335641323446197</v>
      </c>
      <c r="E46" s="679">
        <v>41.552303763801362</v>
      </c>
      <c r="F46" s="680">
        <v>0.1800695732070979</v>
      </c>
      <c r="G46" s="680">
        <v>0.1925693591573395</v>
      </c>
      <c r="H46" s="680">
        <v>0.66470434802194411</v>
      </c>
      <c r="I46" s="679">
        <v>13.2</v>
      </c>
      <c r="J46" s="680">
        <v>0.43055555555555552</v>
      </c>
      <c r="K46" s="679">
        <v>106.83582089552239</v>
      </c>
      <c r="L46" s="679">
        <v>43.537619779547505</v>
      </c>
      <c r="M46" s="680">
        <v>0.46513773489850901</v>
      </c>
      <c r="N46" s="680">
        <v>0.57601485103510908</v>
      </c>
      <c r="O46" s="680">
        <v>0.45964741465146625</v>
      </c>
      <c r="P46" s="679">
        <v>10.8</v>
      </c>
      <c r="Q46" s="680">
        <v>0.54960317460317454</v>
      </c>
      <c r="R46" s="679">
        <v>92.254901960784323</v>
      </c>
      <c r="S46" s="679">
        <v>50.334864758965189</v>
      </c>
      <c r="T46" s="680">
        <v>0.46436380135476713</v>
      </c>
      <c r="U46" s="680">
        <v>0.57497383219035281</v>
      </c>
      <c r="V46" s="680">
        <v>0.55467730612061028</v>
      </c>
      <c r="W46" s="679">
        <v>7.7</v>
      </c>
      <c r="X46" s="680">
        <v>0.70337301587301582</v>
      </c>
      <c r="Y46" s="679">
        <v>72.956349206349216</v>
      </c>
      <c r="Z46" s="679">
        <v>45.967681421359622</v>
      </c>
      <c r="AA46" s="680">
        <v>0.33536342179829237</v>
      </c>
      <c r="AB46" s="680">
        <v>0.40145528245838608</v>
      </c>
      <c r="AC46" s="680">
        <v>0.64298946919008992</v>
      </c>
      <c r="AD46" s="679">
        <v>8.6</v>
      </c>
      <c r="AE46" s="680">
        <v>0.65873015873015872</v>
      </c>
      <c r="AF46" s="679">
        <v>87.301356589147304</v>
      </c>
      <c r="AG46" s="679">
        <v>43.687732173694684</v>
      </c>
      <c r="AH46" s="680">
        <v>0.3813998285066883</v>
      </c>
      <c r="AI46" s="680">
        <v>0.46337890279482641</v>
      </c>
      <c r="AJ46" s="680">
        <v>0.6196599075430923</v>
      </c>
      <c r="AK46" s="679">
        <v>7.2</v>
      </c>
      <c r="AL46" s="680">
        <v>0.72817460317460314</v>
      </c>
      <c r="AM46" s="679">
        <v>52.949774700516535</v>
      </c>
      <c r="AN46" s="679">
        <v>42.94396862764237</v>
      </c>
      <c r="AO46" s="680">
        <v>0.22738734635797136</v>
      </c>
      <c r="AP46" s="680">
        <v>0.25621654687814227</v>
      </c>
      <c r="AQ46" s="680">
        <v>0.63378299191531107</v>
      </c>
      <c r="AR46" s="681">
        <v>6.5</v>
      </c>
      <c r="AS46" s="680">
        <v>0.76289682539682535</v>
      </c>
      <c r="AT46" s="679">
        <v>30.404180936073061</v>
      </c>
      <c r="AU46" s="679">
        <v>40.965679256179584</v>
      </c>
      <c r="AV46" s="680">
        <v>0.12455279242740189</v>
      </c>
      <c r="AW46" s="680">
        <v>0.11789367742833277</v>
      </c>
      <c r="AX46" s="680">
        <v>0.63389619580312695</v>
      </c>
      <c r="AY46" s="679">
        <v>4.2</v>
      </c>
      <c r="AZ46" s="680">
        <v>0.87698412698412698</v>
      </c>
      <c r="BA46" s="679">
        <v>40.405576679340932</v>
      </c>
      <c r="BB46" s="679">
        <v>44.17504055040046</v>
      </c>
      <c r="BC46" s="680">
        <v>0.17849179882722008</v>
      </c>
      <c r="BD46" s="680">
        <v>0.19044709313655775</v>
      </c>
      <c r="BE46" s="680">
        <v>0.73967672021461317</v>
      </c>
      <c r="BF46" s="679">
        <v>4.0999999999999996</v>
      </c>
      <c r="BG46" s="680">
        <v>0.88194444444444453</v>
      </c>
      <c r="BH46" s="679">
        <v>38.564393939393938</v>
      </c>
      <c r="BI46" s="679">
        <v>45.059171638343209</v>
      </c>
      <c r="BJ46" s="680">
        <v>0.1737679645643834</v>
      </c>
      <c r="BK46" s="680">
        <v>0.18409305857263036</v>
      </c>
      <c r="BL46" s="680">
        <v>0.74237416727008176</v>
      </c>
      <c r="BM46" s="679">
        <v>3.6</v>
      </c>
      <c r="BN46" s="680">
        <v>0.90674603174603163</v>
      </c>
      <c r="BO46" s="679">
        <v>23.463680926916222</v>
      </c>
      <c r="BP46" s="679">
        <v>42.132903411515322</v>
      </c>
      <c r="BQ46" s="680">
        <v>9.8859300217237545E-2</v>
      </c>
      <c r="BR46" s="680">
        <v>8.3333333333333329E-2</v>
      </c>
      <c r="BS46" s="680">
        <v>0.74206349206349209</v>
      </c>
      <c r="BT46" s="679">
        <v>4.5999999999999996</v>
      </c>
      <c r="BU46" s="680">
        <v>0.85714285714285721</v>
      </c>
      <c r="BV46" s="679">
        <v>38.156362007168461</v>
      </c>
      <c r="BW46" s="679">
        <v>43.684627335713202</v>
      </c>
      <c r="BX46" s="680">
        <v>0.16668464547697198</v>
      </c>
      <c r="BY46" s="680">
        <v>0.17456527842529904</v>
      </c>
      <c r="BZ46" s="680">
        <v>0.72062734139934559</v>
      </c>
      <c r="CA46" s="314"/>
      <c r="CB46" s="314"/>
      <c r="CC46" s="314"/>
      <c r="CD46" s="314"/>
      <c r="CE46" s="314"/>
      <c r="CF46" s="314"/>
      <c r="CG46" s="314"/>
      <c r="CH46" s="314"/>
      <c r="CI46" s="314"/>
      <c r="CJ46" s="314"/>
      <c r="CK46" s="314"/>
      <c r="CL46" s="315"/>
      <c r="CM46" s="315"/>
      <c r="CN46" s="315"/>
      <c r="CO46" s="315"/>
      <c r="CP46" s="315"/>
      <c r="CQ46" s="315"/>
      <c r="CR46" s="315"/>
      <c r="CS46" s="315"/>
      <c r="CT46" s="315"/>
      <c r="CU46" s="315"/>
      <c r="CV46" s="315"/>
      <c r="CW46" s="315"/>
      <c r="CX46" s="315"/>
      <c r="CY46" s="315"/>
      <c r="CZ46" s="315"/>
      <c r="DA46" s="315"/>
      <c r="DB46" s="315"/>
      <c r="DC46" s="315"/>
      <c r="DD46" s="315"/>
      <c r="DE46" s="315"/>
      <c r="DF46" s="315"/>
      <c r="DG46" s="315"/>
      <c r="DH46" s="315"/>
      <c r="DI46" s="315"/>
      <c r="DJ46" s="315"/>
      <c r="DK46" s="315"/>
      <c r="DL46" s="315"/>
      <c r="DM46" s="315"/>
      <c r="DN46" s="315"/>
      <c r="DO46" s="315"/>
      <c r="DP46" s="315"/>
      <c r="DQ46" s="315"/>
      <c r="DR46" s="315"/>
      <c r="DS46" s="315"/>
      <c r="DT46" s="315"/>
      <c r="DU46" s="315"/>
      <c r="DV46" s="315"/>
      <c r="DW46" s="315"/>
      <c r="DX46" s="315"/>
      <c r="DY46" s="315"/>
      <c r="DZ46" s="315"/>
      <c r="EA46" s="315"/>
      <c r="EB46" s="315"/>
      <c r="EC46" s="315"/>
      <c r="ED46" s="315"/>
      <c r="EE46" s="315"/>
      <c r="EF46" s="315"/>
      <c r="EG46" s="315"/>
      <c r="EH46" s="315"/>
      <c r="EI46" s="315"/>
      <c r="EJ46" s="315"/>
      <c r="EK46" s="315"/>
      <c r="EL46" s="315"/>
      <c r="EM46" s="315"/>
      <c r="EN46" s="315"/>
      <c r="EO46" s="315"/>
      <c r="EP46" s="315"/>
      <c r="EQ46" s="315"/>
      <c r="ER46" s="315"/>
      <c r="ES46" s="315"/>
      <c r="ET46" s="315"/>
      <c r="EU46" s="315"/>
      <c r="EV46" s="315"/>
      <c r="EW46" s="315"/>
      <c r="EX46" s="315"/>
      <c r="EY46" s="315"/>
      <c r="EZ46" s="315"/>
      <c r="FA46" s="315"/>
      <c r="FB46" s="315"/>
      <c r="FC46" s="315"/>
      <c r="FD46" s="315"/>
    </row>
    <row r="47" spans="1:160">
      <c r="A47" s="2" t="s">
        <v>1707</v>
      </c>
      <c r="B47" s="644">
        <f>(POWER(B46/B19, 1/27)-1)*100</f>
        <v>-0.81098796016809693</v>
      </c>
      <c r="C47" s="644">
        <f>C46-C19</f>
        <v>7.4404761904761973E-2</v>
      </c>
      <c r="D47" s="644">
        <f>(POWER(D46/D19, 1/27)-1)*100</f>
        <v>-1.5805399023100075</v>
      </c>
      <c r="E47" s="644">
        <f>(POWER(E46/E19, 1/27)-1)*100</f>
        <v>0.29047563785071784</v>
      </c>
      <c r="F47" s="644">
        <f>(POWER(F46/F19, 1/27)-1)*100</f>
        <v>-1.2946553478220157</v>
      </c>
      <c r="G47" s="644">
        <f>G46-G19</f>
        <v>-0.10213592199364976</v>
      </c>
      <c r="H47" s="644">
        <f>H46-H19</f>
        <v>3.9096625125079609E-2</v>
      </c>
      <c r="I47" s="644">
        <f>(POWER(I46/I19, 1/27)-1)*100</f>
        <v>-8.3198170565745855E-2</v>
      </c>
      <c r="J47" s="644">
        <f>J46-J19</f>
        <v>1.4880952380952384E-2</v>
      </c>
      <c r="K47" s="644">
        <f>(POWER(K46/K19, 1/27)-1)*100</f>
        <v>-0.7730257425145215</v>
      </c>
      <c r="L47" s="644">
        <f>(POWER(L46/L19, 1/27)-1)*100</f>
        <v>0.83730796945866715</v>
      </c>
      <c r="M47" s="644">
        <f>(POWER(M46/M19, 1/27)-1)*100</f>
        <v>5.7809620796112071E-2</v>
      </c>
      <c r="N47" s="644">
        <f>N46-N19</f>
        <v>9.6870356755076603E-3</v>
      </c>
      <c r="O47" s="644">
        <f>O46-O19</f>
        <v>1.3842169039863406E-2</v>
      </c>
      <c r="P47" s="644">
        <f>(POWER(P46/P19, 1/27)-1)*100</f>
        <v>-0.16747660703370082</v>
      </c>
      <c r="Q47" s="644">
        <f>Q46-Q19</f>
        <v>2.4801587301587324E-2</v>
      </c>
      <c r="R47" s="644">
        <f>(POWER(R46/R19, 1/27)-1)*100</f>
        <v>-0.89879712229139486</v>
      </c>
      <c r="S47" s="644">
        <f>(POWER(S46/S19, 1/27)-1)*100</f>
        <v>0.6214924999406346</v>
      </c>
      <c r="T47" s="644">
        <f>(POWER(T46/T19, 1/27)-1)*100</f>
        <v>-0.28289057905547255</v>
      </c>
      <c r="U47" s="644">
        <f>U46-U19</f>
        <v>-4.9650738790045446E-2</v>
      </c>
      <c r="V47" s="644">
        <f>V46-V19</f>
        <v>9.9111220832608371E-3</v>
      </c>
      <c r="W47" s="644">
        <f>(POWER(W46/W19, 1/27)-1)*100</f>
        <v>-0.96334743576902415</v>
      </c>
      <c r="X47" s="644">
        <f>X46-X19</f>
        <v>0.11408730158730163</v>
      </c>
      <c r="Y47" s="644">
        <f>(POWER(Y46/Y19, 1/27)-1)*100</f>
        <v>-0.77256068909530295</v>
      </c>
      <c r="Z47" s="644">
        <f>(POWER(Z46/Z19, 1/27)-1)*100</f>
        <v>0.79317563837006944</v>
      </c>
      <c r="AA47" s="644">
        <f>(POWER(AA46/AA19, 1/27)-1)*100</f>
        <v>1.4487186097222882E-2</v>
      </c>
      <c r="AB47" s="644">
        <f>AB46-AB19</f>
        <v>1.7609130740587897E-3</v>
      </c>
      <c r="AC47" s="644">
        <f>AC46-AC19</f>
        <v>9.1622023884653125E-2</v>
      </c>
      <c r="AD47" s="644">
        <f>(POWER(AD46/AD19, 1/27)-1)*100</f>
        <v>-1.1021879227271048</v>
      </c>
      <c r="AE47" s="644">
        <f>AE46-AE19</f>
        <v>0.14880952380952384</v>
      </c>
      <c r="AF47" s="644">
        <f>(POWER(AF46/AF19, 1/27)-1)*100</f>
        <v>-1.1320022274917019</v>
      </c>
      <c r="AG47" s="644">
        <f>(POWER(AG46/AG19, 1/27)-1)*100</f>
        <v>0.53858038431746635</v>
      </c>
      <c r="AH47" s="644">
        <f>(POWER(AH46/AH19, 1/27)-1)*100</f>
        <v>-0.5995185851215501</v>
      </c>
      <c r="AI47" s="644">
        <f>AI46-AI19</f>
        <v>-9.0435561442942514E-2</v>
      </c>
      <c r="AJ47" s="644">
        <f>AJ46-AJ19</f>
        <v>0.10096050675903057</v>
      </c>
      <c r="AK47" s="644">
        <f>(POWER(AK46/AK19, 1/27)-1)*100</f>
        <v>-1.387667921734892</v>
      </c>
      <c r="AL47" s="644">
        <f>AL46-AL19</f>
        <v>0.16369047619047616</v>
      </c>
      <c r="AM47" s="644">
        <f>(POWER(AM46/AM19, 1/27)-1)*100</f>
        <v>-1.3145044391177363</v>
      </c>
      <c r="AN47" s="644">
        <f>(POWER(AN46/AN19, 1/27)-1)*100</f>
        <v>0.81334084372906013</v>
      </c>
      <c r="AO47" s="644">
        <f>(POWER(AO46/AO19, 1/27)-1)*100</f>
        <v>-0.51185499688465308</v>
      </c>
      <c r="AP47" s="644">
        <f>AP46-AP19</f>
        <v>-4.5454838703569644E-2</v>
      </c>
      <c r="AQ47" s="644">
        <f>AQ46-AQ19</f>
        <v>0.1218614132116671</v>
      </c>
      <c r="AR47" s="644">
        <f>(POWER(AR46/AR19, 1/27)-1)*100</f>
        <v>-5.6530208730221077E-2</v>
      </c>
      <c r="AS47" s="644">
        <f>AS46-AS19</f>
        <v>4.9603174603174427E-3</v>
      </c>
      <c r="AT47" s="644">
        <f>(POWER(AT46/AT19, 1/27)-1)*100</f>
        <v>-1.9002303837401424</v>
      </c>
      <c r="AU47" s="644">
        <f>(POWER(AU46/AU19, 1/27)-1)*100</f>
        <v>0.50665606909785499</v>
      </c>
      <c r="AV47" s="644">
        <f>(POWER(AV46/AV19, 1/27)-1)*100</f>
        <v>-1.4032019472083546</v>
      </c>
      <c r="AW47" s="644">
        <f>AW46-AW19</f>
        <v>-7.7828830686799258E-2</v>
      </c>
      <c r="AX47" s="644">
        <f>AX46-AX19</f>
        <v>-1.1597512169105872E-2</v>
      </c>
      <c r="AY47" s="644">
        <f>(POWER(AY46/AY19, 1/27)-1)*100</f>
        <v>-1.3123311590249043</v>
      </c>
      <c r="AZ47" s="644">
        <f>AZ46-AZ19</f>
        <v>8.9285714285714302E-2</v>
      </c>
      <c r="BA47" s="644">
        <f>(POWER(BA46/BA19, 1/27)-1)*100</f>
        <v>-1.1587214461168727</v>
      </c>
      <c r="BB47" s="644">
        <f>(POWER(BB46/BB19, 1/27)-1)*100</f>
        <v>0.44772051455026496</v>
      </c>
      <c r="BC47" s="644">
        <f>(POWER(BC46/BC19, 1/27)-1)*100</f>
        <v>-0.7161887651873533</v>
      </c>
      <c r="BD47" s="644">
        <f>BD46-BD19</f>
        <v>-5.1421727083879126E-2</v>
      </c>
      <c r="BE47" s="644">
        <f>BE46-BE19</f>
        <v>6.1144226011795699E-2</v>
      </c>
      <c r="BF47" s="644">
        <f>(POWER(BF46/BF19, 1/27)-1)*100</f>
        <v>-0.34418566319934785</v>
      </c>
      <c r="BG47" s="644">
        <f>BG46-BG19</f>
        <v>1.9841269841269993E-2</v>
      </c>
      <c r="BH47" s="644">
        <f>(POWER(BH46/BH19, 1/27)-1)*100</f>
        <v>-1.1267872294268955</v>
      </c>
      <c r="BI47" s="644">
        <f>(POWER(BI46/BI19, 1/27)-1)*100</f>
        <v>0.72425870941574821</v>
      </c>
      <c r="BJ47" s="644">
        <f>(POWER(BJ46/BJ19, 1/27)-1)*100</f>
        <v>-0.41068937465684741</v>
      </c>
      <c r="BK47" s="644">
        <f>BK46-BK19</f>
        <v>-2.7469249058418216E-2</v>
      </c>
      <c r="BL47" s="644">
        <f>BL46-BL19</f>
        <v>1.0379166061332379E-2</v>
      </c>
      <c r="BM47" s="644">
        <f>(POWER(BM46/BM19, 1/27)-1)*100</f>
        <v>-0.29601548050385285</v>
      </c>
      <c r="BN47" s="644">
        <f>BN46-BN19</f>
        <v>1.4880952380952217E-2</v>
      </c>
      <c r="BO47" s="644">
        <f>(POWER(BO46/BO19, 1/27)-1)*100</f>
        <v>-1.0914197574084961</v>
      </c>
      <c r="BP47" s="644">
        <f>(POWER(BP46/BP19, 1/27)-1)*100</f>
        <v>0.50923395749726819</v>
      </c>
      <c r="BQ47" s="644">
        <f>(POWER(BQ46/BQ19, 1/27)-1)*100</f>
        <v>-0.58774367993478238</v>
      </c>
      <c r="BR47" s="644">
        <f>BR46-BR19</f>
        <v>-2.2941553172642778E-2</v>
      </c>
      <c r="BS47" s="644">
        <f>BS46-BS19</f>
        <v>7.3164512702332818E-3</v>
      </c>
      <c r="BT47" s="644">
        <f>(POWER(BT46/BT19, 1/27)-1)*100</f>
        <v>-1.4372248807827948</v>
      </c>
      <c r="BU47" s="644">
        <f>BU46-BU19</f>
        <v>0.10912698412698429</v>
      </c>
      <c r="BV47" s="644">
        <f>(POWER(BV46/BV19, 1/27)-1)*100</f>
        <v>-1.4946984990484413</v>
      </c>
      <c r="BW47" s="644">
        <f>(POWER(BW46/BW19, 1/27)-1)*100</f>
        <v>0.97124843080065304</v>
      </c>
      <c r="BX47" s="644">
        <f>(POWER(BX46/BX19, 1/27)-1)*100</f>
        <v>-0.53796730396499237</v>
      </c>
      <c r="BY47" s="644">
        <f>BY46-BY19</f>
        <v>-3.5152060133163965E-2</v>
      </c>
      <c r="BZ47" s="644">
        <f>BZ46-BZ19</f>
        <v>8.0271175274954532E-2</v>
      </c>
      <c r="CA47" s="314"/>
      <c r="CB47" s="314"/>
      <c r="CC47" s="314"/>
      <c r="CD47" s="314"/>
      <c r="CE47" s="314"/>
      <c r="CF47" s="314"/>
      <c r="CG47" s="314"/>
      <c r="CH47" s="314"/>
      <c r="CI47" s="314"/>
      <c r="CJ47" s="314"/>
      <c r="CK47" s="314"/>
      <c r="CL47" s="315"/>
      <c r="CM47" s="315"/>
      <c r="CN47" s="315"/>
      <c r="CO47" s="315"/>
      <c r="CP47" s="315"/>
      <c r="CQ47" s="315"/>
      <c r="CR47" s="315"/>
      <c r="CS47" s="315"/>
      <c r="CT47" s="315"/>
      <c r="CU47" s="315"/>
      <c r="CV47" s="315"/>
      <c r="CW47" s="315"/>
      <c r="CX47" s="315"/>
      <c r="CY47" s="315"/>
      <c r="CZ47" s="315"/>
      <c r="DA47" s="315"/>
      <c r="DB47" s="315"/>
      <c r="DC47" s="315"/>
      <c r="DD47" s="315"/>
      <c r="DE47" s="315"/>
      <c r="DF47" s="315"/>
      <c r="DG47" s="315"/>
      <c r="DH47" s="315"/>
      <c r="DI47" s="315"/>
      <c r="DJ47" s="315"/>
      <c r="DK47" s="315"/>
      <c r="DL47" s="315"/>
      <c r="DM47" s="315"/>
      <c r="DN47" s="315"/>
      <c r="DO47" s="315"/>
      <c r="DP47" s="315"/>
      <c r="DQ47" s="315"/>
      <c r="DR47" s="315"/>
      <c r="DS47" s="315"/>
      <c r="DT47" s="315"/>
      <c r="DU47" s="315"/>
      <c r="DV47" s="315"/>
      <c r="DW47" s="315"/>
      <c r="DX47" s="315"/>
      <c r="DY47" s="315"/>
      <c r="DZ47" s="315"/>
      <c r="EA47" s="315"/>
      <c r="EB47" s="315"/>
      <c r="EC47" s="315"/>
      <c r="ED47" s="315"/>
      <c r="EE47" s="315"/>
      <c r="EF47" s="315"/>
      <c r="EG47" s="315"/>
      <c r="EH47" s="315"/>
      <c r="EI47" s="315"/>
      <c r="EJ47" s="315"/>
      <c r="EK47" s="315"/>
      <c r="EL47" s="315"/>
      <c r="EM47" s="315"/>
      <c r="EN47" s="315"/>
      <c r="EO47" s="315"/>
      <c r="EP47" s="315"/>
      <c r="EQ47" s="315"/>
      <c r="ER47" s="315"/>
      <c r="ES47" s="315"/>
      <c r="ET47" s="315"/>
      <c r="EU47" s="315"/>
      <c r="EV47" s="315"/>
      <c r="EW47" s="315"/>
      <c r="EX47" s="315"/>
      <c r="EY47" s="315"/>
      <c r="EZ47" s="315"/>
      <c r="FA47" s="315"/>
      <c r="FB47" s="315"/>
      <c r="FC47" s="315"/>
      <c r="FD47" s="315"/>
    </row>
    <row r="48" spans="1:160">
      <c r="E48" s="316"/>
      <c r="I48" s="309" t="s">
        <v>136</v>
      </c>
      <c r="P48" s="309" t="s">
        <v>136</v>
      </c>
      <c r="W48" s="309" t="s">
        <v>136</v>
      </c>
      <c r="AD48" s="309" t="s">
        <v>136</v>
      </c>
      <c r="AK48" s="309" t="s">
        <v>136</v>
      </c>
      <c r="AR48" s="309" t="s">
        <v>136</v>
      </c>
      <c r="AY48" s="309" t="s">
        <v>136</v>
      </c>
      <c r="BF48" s="309" t="s">
        <v>136</v>
      </c>
      <c r="BM48" s="309" t="s">
        <v>136</v>
      </c>
      <c r="BT48" s="309" t="s">
        <v>136</v>
      </c>
    </row>
    <row r="49" spans="2:7">
      <c r="B49" s="309" t="s">
        <v>391</v>
      </c>
      <c r="E49" s="483">
        <f>MAX(E19:E48)</f>
        <v>44.198228328663106</v>
      </c>
    </row>
    <row r="52" spans="2:7">
      <c r="B52" s="1" t="s">
        <v>137</v>
      </c>
      <c r="C52" s="1"/>
      <c r="D52" s="1"/>
      <c r="E52" s="1"/>
      <c r="F52" s="1" t="s">
        <v>138</v>
      </c>
      <c r="G52" s="1"/>
    </row>
    <row r="53" spans="2:7">
      <c r="B53" s="1" t="s">
        <v>139</v>
      </c>
      <c r="C53" s="1"/>
      <c r="D53" s="6">
        <f>MAX(B19:B46,I19:I46,P19:P46,W19:W46,AD19:AD46,AK19:AK46,AR19:AR46,AY19:AY46,BF19:BF46,BM19:BM46,BT19:BT46)</f>
        <v>20.2</v>
      </c>
      <c r="E53" s="1"/>
      <c r="F53" s="1" t="s">
        <v>139</v>
      </c>
      <c r="G53" s="361">
        <f>MAX(F19:F46,M19:M46,T19:T46,AA19:AA46,AH19:AH46,AO19:AO46,AV19:AV46,BC19:BC46,BJ19:BJ46,BQ19:BQ46,BX19:BX46)</f>
        <v>0.71839142783769971</v>
      </c>
    </row>
    <row r="54" spans="2:7">
      <c r="B54" s="1" t="s">
        <v>140</v>
      </c>
      <c r="C54" s="1"/>
      <c r="D54" s="6">
        <f>MIN(B19:B45,I19:I45,P19:P45,W19:W45,AD19:AD45,AK19:AK45,AR19:AR45,AY19:AY45,BF19:BF45,BM19:BM45,BT19:BT45)</f>
        <v>3.4</v>
      </c>
      <c r="E54" s="1"/>
      <c r="F54" s="1" t="s">
        <v>140</v>
      </c>
      <c r="G54" s="361">
        <f>MIN(F19:F46,M19:M46,T19:T46,AA19:AA46,AH19:AH46,AO19:AO46,AV19:AV46,BC19:BC46,BJ19:BJ46,BQ19:BQ46,BX19:BX46)</f>
        <v>9.8859300217237545E-2</v>
      </c>
    </row>
    <row r="55" spans="2:7">
      <c r="B55" s="1" t="s">
        <v>141</v>
      </c>
      <c r="C55" s="1"/>
      <c r="D55" s="6">
        <f>D53-D54</f>
        <v>16.8</v>
      </c>
      <c r="E55" s="1"/>
      <c r="F55" s="1" t="s">
        <v>141</v>
      </c>
      <c r="G55" s="361">
        <f>G53-G54</f>
        <v>0.61953212762046217</v>
      </c>
    </row>
    <row r="56" spans="2:7">
      <c r="B56" s="1" t="s">
        <v>142</v>
      </c>
      <c r="C56" s="1"/>
      <c r="D56" s="1">
        <f>D55/10</f>
        <v>1.6800000000000002</v>
      </c>
      <c r="E56" s="1"/>
      <c r="F56" s="1" t="s">
        <v>142</v>
      </c>
      <c r="G56" s="114">
        <f>G55/10</f>
        <v>6.1953212762046218E-2</v>
      </c>
    </row>
    <row r="57" spans="2:7">
      <c r="B57" s="1" t="s">
        <v>143</v>
      </c>
      <c r="C57" s="1"/>
      <c r="D57" s="114">
        <f>D53+D56</f>
        <v>21.88</v>
      </c>
      <c r="E57" s="1"/>
      <c r="F57" s="1" t="s">
        <v>143</v>
      </c>
      <c r="G57" s="114">
        <f>G53+G56</f>
        <v>0.78034464059974595</v>
      </c>
    </row>
    <row r="58" spans="2:7">
      <c r="B58" s="1" t="s">
        <v>144</v>
      </c>
      <c r="C58" s="1"/>
      <c r="D58" s="114">
        <f>D54-D56</f>
        <v>1.7199999999999998</v>
      </c>
      <c r="E58" s="1"/>
      <c r="F58" s="1" t="s">
        <v>144</v>
      </c>
      <c r="G58" s="114">
        <f>G54-G56</f>
        <v>3.6906087455191326E-2</v>
      </c>
    </row>
    <row r="59" spans="2:7">
      <c r="B59" s="1" t="s">
        <v>145</v>
      </c>
      <c r="C59" s="1"/>
      <c r="D59" s="114">
        <f>D57-D58</f>
        <v>20.16</v>
      </c>
      <c r="E59" s="1"/>
      <c r="F59" s="1" t="s">
        <v>145</v>
      </c>
      <c r="G59" s="114">
        <f>G57-G58</f>
        <v>0.74343855314455465</v>
      </c>
    </row>
  </sheetData>
  <phoneticPr fontId="40" type="noConversion"/>
  <pageMargins left="0.15748031496062992" right="0.15748031496062992" top="0.39370078740157483" bottom="0.39370078740157483" header="0.51181102362204722" footer="0.51181102362204722"/>
  <pageSetup scale="85" orientation="landscape" horizontalDpi="360" verticalDpi="360" r:id="rId1"/>
  <headerFooter alignWithMargins="0"/>
  <colBreaks count="10" manualBreakCount="10">
    <brk id="8" max="45" man="1"/>
    <brk id="15" max="42" man="1"/>
    <brk id="22" max="45" man="1"/>
    <brk id="29" max="42" man="1"/>
    <brk id="36" max="45" man="1"/>
    <brk id="43" max="1048575" man="1"/>
    <brk id="50" max="45" man="1"/>
    <brk id="57" max="42" man="1"/>
    <brk id="64" max="45" man="1"/>
    <brk id="71" max="42" man="1"/>
  </colBreaks>
</worksheet>
</file>

<file path=xl/worksheets/sheet179.xml><?xml version="1.0" encoding="utf-8"?>
<worksheet xmlns="http://schemas.openxmlformats.org/spreadsheetml/2006/main" xmlns:r="http://schemas.openxmlformats.org/officeDocument/2006/relationships">
  <sheetPr codeName="Sheet174"/>
  <dimension ref="A1:EH75"/>
  <sheetViews>
    <sheetView view="pageBreakPreview" zoomScale="85" zoomScaleSheetLayoutView="85" workbookViewId="0">
      <pane xSplit="1" ySplit="15" topLeftCell="B1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0.140625" style="309" customWidth="1"/>
    <col min="2" max="49" width="13.7109375" style="309" customWidth="1"/>
    <col min="50" max="16384" width="9.140625" style="309"/>
  </cols>
  <sheetData>
    <row r="1" spans="1:43" ht="15.75">
      <c r="B1" s="310" t="s">
        <v>2022</v>
      </c>
      <c r="G1" s="309" t="s">
        <v>617</v>
      </c>
      <c r="J1" s="310" t="s">
        <v>2023</v>
      </c>
      <c r="R1" s="310" t="s">
        <v>2024</v>
      </c>
    </row>
    <row r="3" spans="1:43" s="311" customFormat="1" ht="15">
      <c r="A3" s="1121"/>
      <c r="B3" s="311" t="s">
        <v>375</v>
      </c>
      <c r="D3" s="311" t="s">
        <v>1039</v>
      </c>
      <c r="F3" s="311" t="s">
        <v>1040</v>
      </c>
      <c r="H3" s="311" t="s">
        <v>791</v>
      </c>
      <c r="J3" s="311" t="s">
        <v>792</v>
      </c>
      <c r="L3" s="311" t="s">
        <v>1041</v>
      </c>
      <c r="N3" s="311" t="s">
        <v>738</v>
      </c>
      <c r="P3" s="311" t="s">
        <v>739</v>
      </c>
      <c r="R3" s="311" t="s">
        <v>740</v>
      </c>
      <c r="T3" s="311" t="s">
        <v>741</v>
      </c>
      <c r="V3" s="311" t="s">
        <v>742</v>
      </c>
    </row>
    <row r="4" spans="1:43" s="312" customFormat="1" ht="89.25">
      <c r="A4" s="367"/>
      <c r="B4" s="653" t="s">
        <v>146</v>
      </c>
      <c r="C4" s="653" t="s">
        <v>147</v>
      </c>
      <c r="D4" s="653" t="s">
        <v>146</v>
      </c>
      <c r="E4" s="653" t="s">
        <v>147</v>
      </c>
      <c r="F4" s="653" t="s">
        <v>146</v>
      </c>
      <c r="G4" s="653" t="s">
        <v>147</v>
      </c>
      <c r="H4" s="653" t="s">
        <v>146</v>
      </c>
      <c r="I4" s="653" t="s">
        <v>147</v>
      </c>
      <c r="J4" s="653" t="s">
        <v>146</v>
      </c>
      <c r="K4" s="653" t="s">
        <v>147</v>
      </c>
      <c r="L4" s="653" t="s">
        <v>146</v>
      </c>
      <c r="M4" s="653" t="s">
        <v>147</v>
      </c>
      <c r="N4" s="653" t="s">
        <v>146</v>
      </c>
      <c r="O4" s="653" t="s">
        <v>147</v>
      </c>
      <c r="P4" s="653" t="s">
        <v>146</v>
      </c>
      <c r="Q4" s="653" t="s">
        <v>147</v>
      </c>
      <c r="R4" s="653" t="s">
        <v>146</v>
      </c>
      <c r="S4" s="653" t="s">
        <v>147</v>
      </c>
      <c r="T4" s="653" t="s">
        <v>146</v>
      </c>
      <c r="U4" s="653" t="s">
        <v>147</v>
      </c>
      <c r="V4" s="653" t="s">
        <v>146</v>
      </c>
      <c r="W4" s="653" t="s">
        <v>147</v>
      </c>
    </row>
    <row r="5" spans="1:43" s="312" customFormat="1" hidden="1">
      <c r="A5" s="478"/>
      <c r="B5" s="653"/>
      <c r="C5" s="653"/>
      <c r="D5" s="653"/>
      <c r="E5" s="653"/>
      <c r="F5" s="653"/>
      <c r="G5" s="653"/>
      <c r="H5" s="653"/>
      <c r="I5" s="653"/>
      <c r="J5" s="653"/>
      <c r="K5" s="653"/>
      <c r="L5" s="653"/>
      <c r="M5" s="653"/>
      <c r="N5" s="653"/>
      <c r="O5" s="653"/>
      <c r="P5" s="653"/>
      <c r="Q5" s="653"/>
      <c r="R5" s="653"/>
      <c r="S5" s="653"/>
      <c r="T5" s="653"/>
      <c r="U5" s="653"/>
      <c r="V5" s="653"/>
      <c r="W5" s="653"/>
    </row>
    <row r="6" spans="1:43" hidden="1">
      <c r="A6" s="2">
        <v>1971</v>
      </c>
      <c r="B6" s="46">
        <f>[8]a26!B4</f>
        <v>2.8610284148125276</v>
      </c>
      <c r="C6" s="46">
        <f t="shared" ref="C6:C15" si="0">(C$54-B6)/C$56</f>
        <v>0.76482742279354865</v>
      </c>
      <c r="D6" s="46">
        <f>[8]a26!C4</f>
        <v>2.5353559667577663</v>
      </c>
      <c r="E6" s="46">
        <f t="shared" ref="E6:E15" si="1">(C$54-D6)/C$56</f>
        <v>0.82301778308382556</v>
      </c>
      <c r="F6" s="46">
        <f>[8]a26!D4</f>
        <v>3.0800636195646995</v>
      </c>
      <c r="G6" s="46">
        <f t="shared" ref="G6:G15" si="2">(C$54-F6)/C$56</f>
        <v>0.72569074556796931</v>
      </c>
      <c r="H6" s="46">
        <f>[8]a26!E4</f>
        <v>2.806840456397826</v>
      </c>
      <c r="I6" s="46">
        <f t="shared" ref="I6:I15" si="3">(C$54-H6)/C$56</f>
        <v>0.7745095953027068</v>
      </c>
      <c r="J6" s="46">
        <f>[8]a26!F4</f>
        <v>2.3246616316326589</v>
      </c>
      <c r="K6" s="46">
        <f t="shared" ref="K6:K15" si="4">(C$54-J6)/C$56</f>
        <v>0.86066413402717823</v>
      </c>
      <c r="L6" s="46">
        <f>[8]a26!G4</f>
        <v>3.247736237684657</v>
      </c>
      <c r="M6" s="46">
        <f t="shared" ref="M6:M15" si="5">(C$54-L6)/C$56</f>
        <v>0.69573141029876728</v>
      </c>
      <c r="N6" s="46">
        <f>[8]a26!H4</f>
        <v>2.5113204382812095</v>
      </c>
      <c r="O6" s="46">
        <f t="shared" ref="O6:O15" si="6">(C$54-N6)/C$56</f>
        <v>0.82731239280648416</v>
      </c>
      <c r="P6" s="46">
        <f>[8]a26!I4</f>
        <v>2.7718823894021276</v>
      </c>
      <c r="Q6" s="46">
        <f t="shared" ref="Q6:Q15" si="7">(C$54-P6)/C$56</f>
        <v>0.78075581762111801</v>
      </c>
      <c r="R6" s="46">
        <f>[8]a26!J4</f>
        <v>3.9883256744182929</v>
      </c>
      <c r="S6" s="46">
        <f t="shared" ref="S6:S15" si="8">(C$54-R6)/C$56</f>
        <v>0.56340469243205615</v>
      </c>
      <c r="T6" s="46">
        <f>[8]a26!K4</f>
        <v>2.8550854899759948</v>
      </c>
      <c r="U6" s="46">
        <f t="shared" ref="U6:U15" si="9">(C$54-T6)/C$56</f>
        <v>0.76588929013750562</v>
      </c>
      <c r="V6" s="46">
        <f>[8]a26!L4</f>
        <v>3.2828285283106475</v>
      </c>
      <c r="W6" s="46">
        <f t="shared" ref="W6:W15" si="10">(C$54-V6)/C$56</f>
        <v>0.68946120522881271</v>
      </c>
      <c r="X6" s="313"/>
      <c r="Y6" s="313"/>
      <c r="Z6" s="313"/>
      <c r="AA6" s="313"/>
      <c r="AB6" s="313"/>
      <c r="AC6" s="313"/>
      <c r="AD6" s="313"/>
      <c r="AE6" s="313"/>
      <c r="AF6" s="313"/>
      <c r="AG6" s="313"/>
      <c r="AH6" s="313"/>
      <c r="AI6" s="313"/>
      <c r="AJ6" s="313"/>
      <c r="AK6" s="313"/>
      <c r="AL6" s="313"/>
      <c r="AM6" s="313"/>
      <c r="AN6" s="313"/>
      <c r="AO6" s="313"/>
      <c r="AP6" s="313"/>
      <c r="AQ6" s="313"/>
    </row>
    <row r="7" spans="1:43" hidden="1">
      <c r="A7" s="2">
        <v>1972</v>
      </c>
      <c r="B7" s="46">
        <f>[8]a26!B5</f>
        <v>2.8532023085322757</v>
      </c>
      <c r="C7" s="46">
        <f t="shared" si="0"/>
        <v>0.76622577241396628</v>
      </c>
      <c r="D7" s="46">
        <f>[8]a26!C5</f>
        <v>2.7677557627409231</v>
      </c>
      <c r="E7" s="46">
        <f t="shared" si="1"/>
        <v>0.78149315322820812</v>
      </c>
      <c r="F7" s="46">
        <f>[8]a26!D5</f>
        <v>3.2188908744926596</v>
      </c>
      <c r="G7" s="46">
        <f t="shared" si="2"/>
        <v>0.70088542958063171</v>
      </c>
      <c r="H7" s="46">
        <f>[8]a26!E5</f>
        <v>2.7359832936529478</v>
      </c>
      <c r="I7" s="46">
        <f t="shared" si="3"/>
        <v>0.78717018066661792</v>
      </c>
      <c r="J7" s="46">
        <f>[8]a26!F5</f>
        <v>2.3960318751486911</v>
      </c>
      <c r="K7" s="46">
        <f t="shared" si="4"/>
        <v>0.84791187263998102</v>
      </c>
      <c r="L7" s="46">
        <f>[8]a26!G5</f>
        <v>3.0870590804427409</v>
      </c>
      <c r="M7" s="46">
        <f t="shared" si="5"/>
        <v>0.72444081364612212</v>
      </c>
      <c r="N7" s="46">
        <f>[8]a26!H5</f>
        <v>2.520400925587023</v>
      </c>
      <c r="O7" s="46">
        <f t="shared" si="6"/>
        <v>0.82568991343774234</v>
      </c>
      <c r="P7" s="46">
        <f>[8]a26!I5</f>
        <v>2.8124114711403139</v>
      </c>
      <c r="Q7" s="46">
        <f t="shared" si="7"/>
        <v>0.77351417994907734</v>
      </c>
      <c r="R7" s="46">
        <f>[8]a26!J5</f>
        <v>3.9982352651870605</v>
      </c>
      <c r="S7" s="46">
        <f t="shared" si="8"/>
        <v>0.56163407087469674</v>
      </c>
      <c r="T7" s="46">
        <f>[8]a26!K5</f>
        <v>2.8812002378906203</v>
      </c>
      <c r="U7" s="46">
        <f t="shared" si="9"/>
        <v>0.76122317054673716</v>
      </c>
      <c r="V7" s="46">
        <f>[8]a26!L5</f>
        <v>3.2410794662344409</v>
      </c>
      <c r="W7" s="46">
        <f t="shared" si="10"/>
        <v>0.69692082601806382</v>
      </c>
      <c r="X7" s="313"/>
      <c r="Y7" s="313"/>
      <c r="Z7" s="313"/>
      <c r="AA7" s="313"/>
      <c r="AB7" s="313"/>
      <c r="AC7" s="313"/>
      <c r="AD7" s="313"/>
      <c r="AE7" s="313"/>
      <c r="AF7" s="313"/>
      <c r="AG7" s="313"/>
      <c r="AH7" s="313"/>
      <c r="AI7" s="313"/>
      <c r="AJ7" s="313"/>
      <c r="AK7" s="313"/>
      <c r="AL7" s="313"/>
      <c r="AM7" s="313"/>
      <c r="AN7" s="313"/>
      <c r="AO7" s="313"/>
      <c r="AP7" s="313"/>
      <c r="AQ7" s="313"/>
    </row>
    <row r="8" spans="1:43" hidden="1">
      <c r="A8" s="2">
        <v>1973</v>
      </c>
      <c r="B8" s="46">
        <f>[8]a26!B6</f>
        <v>2.7724339242583746</v>
      </c>
      <c r="C8" s="46">
        <f t="shared" si="0"/>
        <v>0.78065727071550994</v>
      </c>
      <c r="D8" s="46">
        <f>[8]a26!C6</f>
        <v>2.931923827436091</v>
      </c>
      <c r="E8" s="46">
        <f t="shared" si="1"/>
        <v>0.7521600030344191</v>
      </c>
      <c r="F8" s="46">
        <f>[8]a26!D6</f>
        <v>3.182890500031653</v>
      </c>
      <c r="G8" s="46">
        <f t="shared" si="2"/>
        <v>0.70731788885983549</v>
      </c>
      <c r="H8" s="46">
        <f>[8]a26!E6</f>
        <v>2.641200156768154</v>
      </c>
      <c r="I8" s="46">
        <f t="shared" si="3"/>
        <v>0.80410580085098615</v>
      </c>
      <c r="J8" s="46">
        <f>[8]a26!F6</f>
        <v>2.4328089196139069</v>
      </c>
      <c r="K8" s="46">
        <f t="shared" si="4"/>
        <v>0.84134063985493879</v>
      </c>
      <c r="L8" s="46">
        <f>[8]a26!G6</f>
        <v>2.9396846988332976</v>
      </c>
      <c r="M8" s="46">
        <f t="shared" si="5"/>
        <v>0.75077330942411391</v>
      </c>
      <c r="N8" s="46">
        <f>[8]a26!H6</f>
        <v>2.4881807022072455</v>
      </c>
      <c r="O8" s="46">
        <f t="shared" si="6"/>
        <v>0.8314469445231204</v>
      </c>
      <c r="P8" s="46">
        <f>[8]a26!I6</f>
        <v>2.6315231387122342</v>
      </c>
      <c r="Q8" s="46">
        <f t="shared" si="7"/>
        <v>0.80583486688212547</v>
      </c>
      <c r="R8" s="46">
        <f>[8]a26!J6</f>
        <v>3.2878990407894819</v>
      </c>
      <c r="S8" s="46">
        <f t="shared" si="8"/>
        <v>0.68855521840136669</v>
      </c>
      <c r="T8" s="46">
        <f>[8]a26!K6</f>
        <v>2.7916234733548535</v>
      </c>
      <c r="U8" s="46">
        <f t="shared" si="9"/>
        <v>0.7772285287927535</v>
      </c>
      <c r="V8" s="46">
        <f>[8]a26!L6</f>
        <v>3.1214884089122106</v>
      </c>
      <c r="W8" s="46">
        <f t="shared" si="10"/>
        <v>0.71828906504056045</v>
      </c>
      <c r="X8" s="313"/>
      <c r="Y8" s="313"/>
      <c r="Z8" s="313"/>
      <c r="AA8" s="313"/>
      <c r="AB8" s="313"/>
      <c r="AC8" s="313"/>
      <c r="AD8" s="313"/>
      <c r="AE8" s="313"/>
      <c r="AF8" s="313"/>
      <c r="AG8" s="313"/>
      <c r="AH8" s="313"/>
      <c r="AI8" s="313"/>
      <c r="AJ8" s="313"/>
      <c r="AK8" s="313"/>
      <c r="AL8" s="313"/>
      <c r="AM8" s="313"/>
      <c r="AN8" s="313"/>
      <c r="AO8" s="313"/>
      <c r="AP8" s="313"/>
      <c r="AQ8" s="313"/>
    </row>
    <row r="9" spans="1:43" hidden="1">
      <c r="A9" s="2">
        <v>1974</v>
      </c>
      <c r="B9" s="46">
        <f>[8]a26!B7</f>
        <v>2.6490572964302661</v>
      </c>
      <c r="C9" s="46">
        <f t="shared" si="0"/>
        <v>0.80270190626143678</v>
      </c>
      <c r="D9" s="46">
        <f>[8]a26!C7</f>
        <v>3.0231200893385766</v>
      </c>
      <c r="E9" s="46">
        <f t="shared" si="1"/>
        <v>0.73586527694098003</v>
      </c>
      <c r="F9" s="46">
        <f>[8]a26!D7</f>
        <v>3.3005754657778033</v>
      </c>
      <c r="G9" s="46">
        <f t="shared" si="2"/>
        <v>0.68629022564048359</v>
      </c>
      <c r="H9" s="46">
        <f>[8]a26!E7</f>
        <v>2.528798809633412</v>
      </c>
      <c r="I9" s="46">
        <f t="shared" si="3"/>
        <v>0.82418939995785101</v>
      </c>
      <c r="J9" s="46">
        <f>[8]a26!F7</f>
        <v>2.4414515082820678</v>
      </c>
      <c r="K9" s="46">
        <f t="shared" si="4"/>
        <v>0.8397964031488715</v>
      </c>
      <c r="L9" s="46">
        <f>[8]a26!G7</f>
        <v>2.7182169024419052</v>
      </c>
      <c r="M9" s="46">
        <f t="shared" si="5"/>
        <v>0.7903446362025518</v>
      </c>
      <c r="N9" s="46">
        <f>[8]a26!H7</f>
        <v>2.4264000529505623</v>
      </c>
      <c r="O9" s="46">
        <f t="shared" si="6"/>
        <v>0.84248576055034885</v>
      </c>
      <c r="P9" s="46">
        <f>[8]a26!I7</f>
        <v>2.5968393138603494</v>
      </c>
      <c r="Q9" s="46">
        <f t="shared" si="7"/>
        <v>0.8120320882818205</v>
      </c>
      <c r="R9" s="46">
        <f>[8]a26!J7</f>
        <v>2.9254827915473807</v>
      </c>
      <c r="S9" s="46">
        <f t="shared" si="8"/>
        <v>0.75331087164871335</v>
      </c>
      <c r="T9" s="46">
        <f>[8]a26!K7</f>
        <v>2.6966297865186908</v>
      </c>
      <c r="U9" s="46">
        <f t="shared" si="9"/>
        <v>0.79420176952992683</v>
      </c>
      <c r="V9" s="46">
        <f>[8]a26!L7</f>
        <v>3.0269750611182085</v>
      </c>
      <c r="W9" s="46">
        <f t="shared" si="10"/>
        <v>0.73517647996688673</v>
      </c>
      <c r="X9" s="313"/>
      <c r="Y9" s="313"/>
      <c r="Z9" s="313"/>
      <c r="AA9" s="313"/>
      <c r="AB9" s="313"/>
      <c r="AC9" s="313"/>
      <c r="AD9" s="313"/>
      <c r="AE9" s="313"/>
      <c r="AF9" s="313"/>
      <c r="AG9" s="313"/>
      <c r="AH9" s="313"/>
      <c r="AI9" s="313"/>
      <c r="AJ9" s="313"/>
      <c r="AK9" s="313"/>
      <c r="AL9" s="313"/>
      <c r="AM9" s="313"/>
      <c r="AN9" s="313"/>
      <c r="AO9" s="313"/>
      <c r="AP9" s="313"/>
      <c r="AQ9" s="313"/>
    </row>
    <row r="10" spans="1:43" hidden="1">
      <c r="A10" s="2">
        <v>1975</v>
      </c>
      <c r="B10" s="46">
        <f>[8]a26!B8</f>
        <v>2.5733829506990178</v>
      </c>
      <c r="C10" s="46">
        <f t="shared" si="0"/>
        <v>0.81622321415571675</v>
      </c>
      <c r="D10" s="46">
        <f>[8]a26!C8</f>
        <v>3.1406507512024255</v>
      </c>
      <c r="E10" s="46">
        <f t="shared" si="1"/>
        <v>0.71486518436372237</v>
      </c>
      <c r="F10" s="46">
        <f>[8]a26!D8</f>
        <v>3.7246339583868493</v>
      </c>
      <c r="G10" s="46">
        <f t="shared" si="2"/>
        <v>0.61052048639338929</v>
      </c>
      <c r="H10" s="46">
        <f>[8]a26!E8</f>
        <v>2.461237487553301</v>
      </c>
      <c r="I10" s="46">
        <f t="shared" si="3"/>
        <v>0.83626109253427683</v>
      </c>
      <c r="J10" s="46">
        <f>[8]a26!F8</f>
        <v>2.4465144120425681</v>
      </c>
      <c r="K10" s="46">
        <f t="shared" si="4"/>
        <v>0.8388917758286969</v>
      </c>
      <c r="L10" s="46">
        <f>[8]a26!G8</f>
        <v>2.5181269307788368</v>
      </c>
      <c r="M10" s="46">
        <f t="shared" si="5"/>
        <v>0.82609622529487647</v>
      </c>
      <c r="N10" s="46">
        <f>[8]a26!H8</f>
        <v>2.3876125869192006</v>
      </c>
      <c r="O10" s="46">
        <f t="shared" si="6"/>
        <v>0.8494162105672084</v>
      </c>
      <c r="P10" s="46">
        <f>[8]a26!I8</f>
        <v>2.5178029238305499</v>
      </c>
      <c r="Q10" s="46">
        <f t="shared" si="7"/>
        <v>0.82615411806772232</v>
      </c>
      <c r="R10" s="46">
        <f>[8]a26!J8</f>
        <v>2.5641736315316788</v>
      </c>
      <c r="S10" s="46">
        <f t="shared" si="8"/>
        <v>0.8178687128878831</v>
      </c>
      <c r="T10" s="46">
        <f>[8]a26!K8</f>
        <v>2.562521540701979</v>
      </c>
      <c r="U10" s="46">
        <f t="shared" si="9"/>
        <v>0.81816390445593468</v>
      </c>
      <c r="V10" s="46">
        <f>[8]a26!L8</f>
        <v>2.9668427224318914</v>
      </c>
      <c r="W10" s="46">
        <f t="shared" si="10"/>
        <v>0.74592077987359962</v>
      </c>
      <c r="X10" s="313"/>
      <c r="Y10" s="313"/>
      <c r="Z10" s="313"/>
      <c r="AA10" s="313"/>
      <c r="AB10" s="313"/>
      <c r="AC10" s="313"/>
      <c r="AD10" s="313"/>
      <c r="AE10" s="313"/>
      <c r="AF10" s="313"/>
      <c r="AG10" s="313"/>
      <c r="AH10" s="313"/>
      <c r="AI10" s="313"/>
      <c r="AJ10" s="313"/>
      <c r="AK10" s="313"/>
      <c r="AL10" s="313"/>
      <c r="AM10" s="313"/>
      <c r="AN10" s="313"/>
      <c r="AO10" s="313"/>
      <c r="AP10" s="313"/>
      <c r="AQ10" s="313"/>
    </row>
    <row r="11" spans="1:43" hidden="1">
      <c r="A11" s="2">
        <v>1976</v>
      </c>
      <c r="B11" s="46">
        <f>[8]a26!B9</f>
        <v>2.5308695512491854</v>
      </c>
      <c r="C11" s="46">
        <f t="shared" si="0"/>
        <v>0.82381940488639294</v>
      </c>
      <c r="D11" s="46">
        <f>[8]a26!C9</f>
        <v>4.1102940819075764</v>
      </c>
      <c r="E11" s="46">
        <f t="shared" si="1"/>
        <v>0.54161167426848311</v>
      </c>
      <c r="F11" s="46">
        <f>[8]a26!D9</f>
        <v>3.0299782998901601</v>
      </c>
      <c r="G11" s="46">
        <f t="shared" si="2"/>
        <v>0.73463986857337937</v>
      </c>
      <c r="H11" s="46">
        <f>[8]a26!E9</f>
        <v>2.7362730958356525</v>
      </c>
      <c r="I11" s="46">
        <f t="shared" si="3"/>
        <v>0.78711839951802753</v>
      </c>
      <c r="J11" s="46">
        <f>[8]a26!F9</f>
        <v>2.3038922209119148</v>
      </c>
      <c r="K11" s="46">
        <f t="shared" si="4"/>
        <v>0.86437516177937435</v>
      </c>
      <c r="L11" s="46">
        <f>[8]a26!G9</f>
        <v>2.3048232410639922</v>
      </c>
      <c r="M11" s="46">
        <f t="shared" si="5"/>
        <v>0.86420880936482247</v>
      </c>
      <c r="N11" s="46">
        <f>[8]a26!H9</f>
        <v>2.3347988115484979</v>
      </c>
      <c r="O11" s="46">
        <f t="shared" si="6"/>
        <v>0.85885284739500101</v>
      </c>
      <c r="P11" s="46">
        <f>[8]a26!I9</f>
        <v>2.4641132302959536</v>
      </c>
      <c r="Q11" s="46">
        <f t="shared" si="7"/>
        <v>0.83574726182094305</v>
      </c>
      <c r="R11" s="46">
        <f>[8]a26!J9</f>
        <v>2.6866279311961772</v>
      </c>
      <c r="S11" s="46">
        <f t="shared" si="8"/>
        <v>0.79598887669316587</v>
      </c>
      <c r="T11" s="46">
        <f>[8]a26!K9</f>
        <v>2.4994399735199417</v>
      </c>
      <c r="U11" s="46">
        <f t="shared" si="9"/>
        <v>0.82943516533146577</v>
      </c>
      <c r="V11" s="46">
        <f>[8]a26!L9</f>
        <v>3.1602676587859575</v>
      </c>
      <c r="W11" s="46">
        <f t="shared" si="10"/>
        <v>0.71136008306674425</v>
      </c>
      <c r="X11" s="313"/>
      <c r="Y11" s="313"/>
      <c r="Z11" s="313"/>
      <c r="AA11" s="313"/>
      <c r="AB11" s="313"/>
      <c r="AC11" s="313"/>
      <c r="AD11" s="313"/>
      <c r="AE11" s="313"/>
      <c r="AF11" s="313"/>
      <c r="AG11" s="313"/>
      <c r="AH11" s="313"/>
      <c r="AI11" s="313"/>
      <c r="AJ11" s="313"/>
      <c r="AK11" s="313"/>
      <c r="AL11" s="313"/>
      <c r="AM11" s="313"/>
      <c r="AN11" s="313"/>
      <c r="AO11" s="313"/>
      <c r="AP11" s="313"/>
      <c r="AQ11" s="313"/>
    </row>
    <row r="12" spans="1:43" hidden="1">
      <c r="A12" s="2">
        <v>1977</v>
      </c>
      <c r="B12" s="46">
        <f>[8]a26!B10</f>
        <v>2.5448588271210872</v>
      </c>
      <c r="C12" s="46">
        <f t="shared" si="0"/>
        <v>0.82131983512527773</v>
      </c>
      <c r="D12" s="46">
        <f>[8]a26!C10</f>
        <v>5.0754574313479166</v>
      </c>
      <c r="E12" s="46">
        <f t="shared" si="1"/>
        <v>0.36915863632079621</v>
      </c>
      <c r="F12" s="46">
        <f>[8]a26!D10</f>
        <v>2.8851857955013598</v>
      </c>
      <c r="G12" s="46">
        <f t="shared" si="2"/>
        <v>0.76051104081420429</v>
      </c>
      <c r="H12" s="46">
        <f>[8]a26!E10</f>
        <v>2.4113335310756949</v>
      </c>
      <c r="I12" s="46">
        <f t="shared" si="3"/>
        <v>0.84517781000512027</v>
      </c>
      <c r="J12" s="46">
        <f>[8]a26!F10</f>
        <v>2.3224047179493867</v>
      </c>
      <c r="K12" s="46">
        <f t="shared" si="4"/>
        <v>0.86106739387049047</v>
      </c>
      <c r="L12" s="46">
        <f>[8]a26!G10</f>
        <v>2.1579490296510428</v>
      </c>
      <c r="M12" s="46">
        <f t="shared" si="5"/>
        <v>0.89045193594958272</v>
      </c>
      <c r="N12" s="46">
        <f>[8]a26!H10</f>
        <v>2.4179227688851777</v>
      </c>
      <c r="O12" s="46">
        <f t="shared" si="6"/>
        <v>0.84400046103236448</v>
      </c>
      <c r="P12" s="46">
        <f>[8]a26!I10</f>
        <v>2.6051709733884549</v>
      </c>
      <c r="Q12" s="46">
        <f t="shared" si="7"/>
        <v>0.8105434076376572</v>
      </c>
      <c r="R12" s="46">
        <f>[8]a26!J10</f>
        <v>3.0295149304702038</v>
      </c>
      <c r="S12" s="46">
        <f t="shared" si="8"/>
        <v>0.73472266229343719</v>
      </c>
      <c r="T12" s="46">
        <f>[8]a26!K10</f>
        <v>2.4667137670819366</v>
      </c>
      <c r="U12" s="46">
        <f t="shared" si="9"/>
        <v>0.835282604238061</v>
      </c>
      <c r="V12" s="46">
        <f>[8]a26!L10</f>
        <v>3.3193446575495971</v>
      </c>
      <c r="W12" s="46">
        <f t="shared" si="10"/>
        <v>0.68293659214129876</v>
      </c>
      <c r="X12" s="313"/>
      <c r="Y12" s="313"/>
      <c r="Z12" s="313"/>
      <c r="AA12" s="313"/>
      <c r="AB12" s="313"/>
      <c r="AC12" s="313"/>
      <c r="AD12" s="313"/>
      <c r="AE12" s="313"/>
      <c r="AF12" s="313"/>
      <c r="AG12" s="313"/>
      <c r="AH12" s="313"/>
      <c r="AI12" s="313"/>
      <c r="AJ12" s="313"/>
      <c r="AK12" s="313"/>
      <c r="AL12" s="313"/>
      <c r="AM12" s="313"/>
      <c r="AN12" s="313"/>
      <c r="AO12" s="313"/>
      <c r="AP12" s="313"/>
      <c r="AQ12" s="313"/>
    </row>
    <row r="13" spans="1:43" hidden="1">
      <c r="A13" s="2">
        <v>1978</v>
      </c>
      <c r="B13" s="46">
        <f>[8]a26!B11</f>
        <v>2.5404030928529777</v>
      </c>
      <c r="C13" s="46">
        <f t="shared" si="0"/>
        <v>0.82211597487847976</v>
      </c>
      <c r="D13" s="46">
        <f>[8]a26!C11</f>
        <v>5.5747324182385816</v>
      </c>
      <c r="E13" s="46">
        <f t="shared" si="1"/>
        <v>0.27994939696197307</v>
      </c>
      <c r="F13" s="46">
        <f>[8]a26!D11</f>
        <v>3.1659388646288207</v>
      </c>
      <c r="G13" s="46">
        <f t="shared" si="2"/>
        <v>0.71034676581117762</v>
      </c>
      <c r="H13" s="46">
        <f>[8]a26!E11</f>
        <v>2.3281604799123743</v>
      </c>
      <c r="I13" s="46">
        <f t="shared" si="3"/>
        <v>0.86003896833320026</v>
      </c>
      <c r="J13" s="46">
        <f>[8]a26!F11</f>
        <v>2.5316885946029726</v>
      </c>
      <c r="K13" s="46">
        <f t="shared" si="4"/>
        <v>0.82367306021359399</v>
      </c>
      <c r="L13" s="46">
        <f>[8]a26!G11</f>
        <v>2.1094280074041736</v>
      </c>
      <c r="M13" s="46">
        <f t="shared" si="5"/>
        <v>0.89912155409831573</v>
      </c>
      <c r="N13" s="46">
        <f>[8]a26!H11</f>
        <v>2.51784605548628</v>
      </c>
      <c r="O13" s="46">
        <f t="shared" si="6"/>
        <v>0.82614641140846434</v>
      </c>
      <c r="P13" s="46">
        <f>[8]a26!I11</f>
        <v>2.4035708457954486</v>
      </c>
      <c r="Q13" s="46">
        <f t="shared" si="7"/>
        <v>0.84656482771563168</v>
      </c>
      <c r="R13" s="46">
        <f>[8]a26!J11</f>
        <v>2.6249719254827752</v>
      </c>
      <c r="S13" s="46">
        <f t="shared" si="8"/>
        <v>0.80700542171547918</v>
      </c>
      <c r="T13" s="46">
        <f>[8]a26!K11</f>
        <v>2.3771354346839524</v>
      </c>
      <c r="U13" s="46">
        <f t="shared" si="9"/>
        <v>0.85128824262588187</v>
      </c>
      <c r="V13" s="46">
        <f>[8]a26!L11</f>
        <v>3.1611071719822323</v>
      </c>
      <c r="W13" s="46">
        <f t="shared" si="10"/>
        <v>0.71121008089231574</v>
      </c>
      <c r="X13" s="313"/>
      <c r="Y13" s="313"/>
      <c r="Z13" s="313"/>
      <c r="AA13" s="313"/>
      <c r="AB13" s="313"/>
      <c r="AC13" s="313"/>
      <c r="AD13" s="313"/>
      <c r="AE13" s="313"/>
      <c r="AF13" s="313"/>
      <c r="AG13" s="313"/>
      <c r="AH13" s="313"/>
      <c r="AI13" s="313"/>
      <c r="AJ13" s="313"/>
      <c r="AK13" s="313"/>
      <c r="AL13" s="313"/>
      <c r="AM13" s="313"/>
      <c r="AN13" s="313"/>
      <c r="AO13" s="313"/>
      <c r="AP13" s="313"/>
      <c r="AQ13" s="313"/>
    </row>
    <row r="14" spans="1:43" hidden="1">
      <c r="A14" s="2">
        <v>1979</v>
      </c>
      <c r="B14" s="46">
        <f>[8]a26!B12</f>
        <v>2.5550735637773512</v>
      </c>
      <c r="C14" s="46">
        <f t="shared" si="0"/>
        <v>0.81949469084350435</v>
      </c>
      <c r="D14" s="46">
        <f>[8]a26!C12</f>
        <v>5.5256676371570821</v>
      </c>
      <c r="E14" s="46">
        <f t="shared" si="1"/>
        <v>0.28871617261569971</v>
      </c>
      <c r="F14" s="46">
        <f>[8]a26!D12</f>
        <v>4.3836076587168291</v>
      </c>
      <c r="G14" s="46">
        <f t="shared" si="2"/>
        <v>0.49277666964420364</v>
      </c>
      <c r="H14" s="46">
        <f>[8]a26!E12</f>
        <v>2.4389841508091119</v>
      </c>
      <c r="I14" s="46">
        <f t="shared" si="3"/>
        <v>0.84023726457627734</v>
      </c>
      <c r="J14" s="46">
        <f>[8]a26!F12</f>
        <v>2.9818743783574058</v>
      </c>
      <c r="K14" s="46">
        <f t="shared" si="4"/>
        <v>0.74323496018179069</v>
      </c>
      <c r="L14" s="46">
        <f>[8]a26!G12</f>
        <v>2.0200958885351854</v>
      </c>
      <c r="M14" s="46">
        <f t="shared" si="5"/>
        <v>0.91508319965209062</v>
      </c>
      <c r="N14" s="46">
        <f>[8]a26!H12</f>
        <v>2.6404284205836124</v>
      </c>
      <c r="O14" s="46">
        <f t="shared" si="6"/>
        <v>0.80424369279393593</v>
      </c>
      <c r="P14" s="46">
        <f>[8]a26!I12</f>
        <v>2.5967547337059567</v>
      </c>
      <c r="Q14" s="46">
        <f t="shared" si="7"/>
        <v>0.81204720085792848</v>
      </c>
      <c r="R14" s="46">
        <f>[8]a26!J12</f>
        <v>2.5722193066507755</v>
      </c>
      <c r="S14" s="46">
        <f t="shared" si="8"/>
        <v>0.81643113124179911</v>
      </c>
      <c r="T14" s="46">
        <f>[8]a26!K12</f>
        <v>2.2788830621181813</v>
      </c>
      <c r="U14" s="46">
        <f t="shared" si="9"/>
        <v>0.86884373739716614</v>
      </c>
      <c r="V14" s="46">
        <f>[8]a26!L12</f>
        <v>2.959597773169508</v>
      </c>
      <c r="W14" s="46">
        <f t="shared" si="10"/>
        <v>0.74721528977267482</v>
      </c>
      <c r="X14" s="313"/>
      <c r="Y14" s="313"/>
      <c r="Z14" s="313"/>
      <c r="AA14" s="313"/>
      <c r="AB14" s="313"/>
      <c r="AC14" s="313"/>
      <c r="AD14" s="313"/>
      <c r="AE14" s="313"/>
      <c r="AF14" s="313"/>
      <c r="AG14" s="313"/>
      <c r="AH14" s="313"/>
      <c r="AI14" s="313"/>
      <c r="AJ14" s="313"/>
      <c r="AK14" s="313"/>
      <c r="AL14" s="313"/>
      <c r="AM14" s="313"/>
      <c r="AN14" s="313"/>
      <c r="AO14" s="313"/>
      <c r="AP14" s="313"/>
      <c r="AQ14" s="313"/>
    </row>
    <row r="15" spans="1:43" hidden="1">
      <c r="A15" s="2">
        <v>1980</v>
      </c>
      <c r="B15" s="46">
        <f>[8]a26!B13</f>
        <v>2.6529538936338484</v>
      </c>
      <c r="C15" s="46">
        <f t="shared" si="0"/>
        <v>0.80200567175791393</v>
      </c>
      <c r="D15" s="46">
        <f>[8]a26!C13</f>
        <v>5.5113227332499592</v>
      </c>
      <c r="E15" s="46">
        <f t="shared" si="1"/>
        <v>0.29127928512850432</v>
      </c>
      <c r="F15" s="46">
        <f>[8]a26!D13</f>
        <v>5.9329862277460528</v>
      </c>
      <c r="G15" s="46">
        <f t="shared" si="2"/>
        <v>0.21593747831450247</v>
      </c>
      <c r="H15" s="46">
        <f>[8]a26!E13</f>
        <v>2.5977039323795013</v>
      </c>
      <c r="I15" s="46">
        <f t="shared" si="3"/>
        <v>0.81187760034940992</v>
      </c>
      <c r="J15" s="46">
        <f>[8]a26!F13</f>
        <v>3.3331789831126826</v>
      </c>
      <c r="K15" s="46">
        <f t="shared" si="4"/>
        <v>0.68046470852419416</v>
      </c>
      <c r="L15" s="46">
        <f>[8]a26!G13</f>
        <v>2.1521164976044527</v>
      </c>
      <c r="M15" s="46">
        <f t="shared" si="5"/>
        <v>0.89149407857854268</v>
      </c>
      <c r="N15" s="46">
        <f>[8]a26!H13</f>
        <v>2.6836712510727958</v>
      </c>
      <c r="O15" s="46">
        <f t="shared" si="6"/>
        <v>0.79651716910067638</v>
      </c>
      <c r="P15" s="46">
        <f>[8]a26!I13</f>
        <v>2.9379328142251344</v>
      </c>
      <c r="Q15" s="46">
        <f t="shared" si="7"/>
        <v>0.75108633190159058</v>
      </c>
      <c r="R15" s="46">
        <f>[8]a26!J13</f>
        <v>2.4438921808525493</v>
      </c>
      <c r="S15" s="46">
        <f t="shared" si="8"/>
        <v>0.83936030971488529</v>
      </c>
      <c r="T15" s="46">
        <f>[8]a26!K13</f>
        <v>2.4061593607067273</v>
      </c>
      <c r="U15" s="46">
        <f t="shared" si="9"/>
        <v>0.84610231817205872</v>
      </c>
      <c r="V15" s="46">
        <f>[8]a26!L13</f>
        <v>3.1641470921125285</v>
      </c>
      <c r="W15" s="46">
        <f t="shared" si="10"/>
        <v>0.71066691536298654</v>
      </c>
      <c r="X15" s="313"/>
      <c r="Y15" s="313"/>
      <c r="Z15" s="313"/>
      <c r="AA15" s="313"/>
      <c r="AB15" s="313"/>
      <c r="AC15" s="313"/>
      <c r="AD15" s="313"/>
      <c r="AE15" s="313"/>
      <c r="AF15" s="313"/>
      <c r="AG15" s="313"/>
      <c r="AH15" s="313"/>
      <c r="AI15" s="313"/>
      <c r="AJ15" s="313"/>
      <c r="AK15" s="313"/>
      <c r="AL15" s="313"/>
      <c r="AM15" s="313"/>
      <c r="AN15" s="313"/>
      <c r="AO15" s="313"/>
      <c r="AP15" s="313"/>
      <c r="AQ15" s="313"/>
    </row>
    <row r="16" spans="1:43">
      <c r="A16" s="983"/>
      <c r="B16" s="1125"/>
      <c r="C16" s="1125"/>
      <c r="D16" s="1125"/>
      <c r="E16" s="1125"/>
      <c r="F16" s="1125"/>
      <c r="G16" s="1125"/>
      <c r="H16" s="1125"/>
      <c r="I16" s="1125"/>
      <c r="J16" s="1125"/>
      <c r="K16" s="1125"/>
      <c r="L16" s="1125"/>
      <c r="M16" s="1125"/>
      <c r="N16" s="1125"/>
      <c r="O16" s="1125"/>
      <c r="P16" s="1125"/>
      <c r="Q16" s="1125"/>
      <c r="R16" s="1125"/>
      <c r="S16" s="1125"/>
      <c r="T16" s="1125"/>
      <c r="U16" s="1125"/>
      <c r="V16" s="1125"/>
      <c r="W16" s="1125"/>
      <c r="X16" s="313"/>
      <c r="Y16" s="313"/>
      <c r="Z16" s="313"/>
      <c r="AA16" s="313"/>
      <c r="AB16" s="313"/>
      <c r="AC16" s="313"/>
      <c r="AD16" s="313"/>
      <c r="AE16" s="313"/>
      <c r="AF16" s="313"/>
      <c r="AG16" s="313"/>
      <c r="AH16" s="313"/>
      <c r="AI16" s="313"/>
      <c r="AJ16" s="313"/>
      <c r="AK16" s="313"/>
      <c r="AL16" s="313"/>
      <c r="AM16" s="313"/>
      <c r="AN16" s="313"/>
      <c r="AO16" s="313"/>
      <c r="AP16" s="313"/>
      <c r="AQ16" s="313"/>
    </row>
    <row r="17" spans="1:43">
      <c r="A17" s="2">
        <v>1981</v>
      </c>
      <c r="B17" s="682">
        <v>2.65462729352992</v>
      </c>
      <c r="C17" s="682">
        <v>0.80170667273775187</v>
      </c>
      <c r="D17" s="682">
        <v>5.4615670978847151</v>
      </c>
      <c r="E17" s="682">
        <v>0.30016950094402328</v>
      </c>
      <c r="F17" s="682">
        <v>5.3820960698689957</v>
      </c>
      <c r="G17" s="682">
        <v>0.31436919078728504</v>
      </c>
      <c r="H17" s="682">
        <v>2.4104046242774571</v>
      </c>
      <c r="I17" s="682">
        <v>0.84534378481075201</v>
      </c>
      <c r="J17" s="682">
        <v>3.3661678348171997</v>
      </c>
      <c r="K17" s="682">
        <v>0.67457034080069056</v>
      </c>
      <c r="L17" s="682">
        <v>2.470600717961414</v>
      </c>
      <c r="M17" s="682">
        <v>0.83458809331624861</v>
      </c>
      <c r="N17" s="682">
        <v>2.6612939332885603</v>
      </c>
      <c r="O17" s="682">
        <v>0.80051549377312692</v>
      </c>
      <c r="P17" s="682">
        <v>3.0096274591879451</v>
      </c>
      <c r="Q17" s="682">
        <v>0.73827610725351744</v>
      </c>
      <c r="R17" s="682">
        <v>2.0692341941228851</v>
      </c>
      <c r="S17" s="682">
        <v>0.9063032868185642</v>
      </c>
      <c r="T17" s="682">
        <v>2.2516069077673664</v>
      </c>
      <c r="U17" s="682">
        <v>0.87371737426294205</v>
      </c>
      <c r="V17" s="682">
        <v>2.8843756151978477</v>
      </c>
      <c r="W17" s="682">
        <v>0.76065580185875392</v>
      </c>
      <c r="X17" s="313"/>
      <c r="Y17" s="313"/>
      <c r="Z17" s="313"/>
      <c r="AA17" s="313"/>
      <c r="AB17" s="313"/>
      <c r="AC17" s="313"/>
      <c r="AD17" s="313"/>
      <c r="AE17" s="313"/>
      <c r="AF17" s="313"/>
      <c r="AG17" s="313"/>
      <c r="AH17" s="313"/>
      <c r="AI17" s="313"/>
      <c r="AJ17" s="313"/>
      <c r="AK17" s="313"/>
      <c r="AL17" s="313"/>
      <c r="AM17" s="313"/>
      <c r="AN17" s="313"/>
      <c r="AO17" s="313"/>
      <c r="AP17" s="313"/>
      <c r="AQ17" s="313"/>
    </row>
    <row r="18" spans="1:43">
      <c r="A18" s="2">
        <v>1982</v>
      </c>
      <c r="B18" s="682">
        <v>2.7755720207096548</v>
      </c>
      <c r="C18" s="682">
        <v>0.78009656328012089</v>
      </c>
      <c r="D18" s="682">
        <v>5.1119394653916688</v>
      </c>
      <c r="E18" s="682">
        <v>0.36264011527976814</v>
      </c>
      <c r="F18" s="682">
        <v>4.864864864864864</v>
      </c>
      <c r="G18" s="682">
        <v>0.4067868034909044</v>
      </c>
      <c r="H18" s="682">
        <v>2.5816485225505441</v>
      </c>
      <c r="I18" s="682">
        <v>0.81474634189673878</v>
      </c>
      <c r="J18" s="682">
        <v>3.5459915611814345</v>
      </c>
      <c r="K18" s="682">
        <v>0.64243987508774369</v>
      </c>
      <c r="L18" s="682">
        <v>2.496203275797312</v>
      </c>
      <c r="M18" s="682">
        <v>0.83001349060201157</v>
      </c>
      <c r="N18" s="682">
        <v>2.8292205717936429</v>
      </c>
      <c r="O18" s="682">
        <v>0.77051077075982866</v>
      </c>
      <c r="P18" s="682">
        <v>2.9545241443975625</v>
      </c>
      <c r="Q18" s="682">
        <v>0.7481218334117884</v>
      </c>
      <c r="R18" s="682">
        <v>2.0112337406385494</v>
      </c>
      <c r="S18" s="682">
        <v>0.91666666666666674</v>
      </c>
      <c r="T18" s="682">
        <v>2.7806636276900241</v>
      </c>
      <c r="U18" s="682">
        <v>0.77918680733848733</v>
      </c>
      <c r="V18" s="682">
        <v>2.8590050626004184</v>
      </c>
      <c r="W18" s="682">
        <v>0.76518895044171165</v>
      </c>
      <c r="X18" s="313"/>
      <c r="Y18" s="313"/>
      <c r="Z18" s="313"/>
      <c r="AA18" s="313"/>
      <c r="AB18" s="313"/>
      <c r="AC18" s="313"/>
      <c r="AD18" s="313"/>
      <c r="AE18" s="313"/>
      <c r="AF18" s="313"/>
      <c r="AG18" s="313"/>
      <c r="AH18" s="313"/>
      <c r="AI18" s="313"/>
      <c r="AJ18" s="313"/>
      <c r="AK18" s="313"/>
      <c r="AL18" s="313"/>
      <c r="AM18" s="313"/>
      <c r="AN18" s="313"/>
      <c r="AO18" s="313"/>
      <c r="AP18" s="313"/>
      <c r="AQ18" s="313"/>
    </row>
    <row r="19" spans="1:43">
      <c r="A19" s="2">
        <v>1983</v>
      </c>
      <c r="B19" s="682">
        <v>2.8884799785140589</v>
      </c>
      <c r="C19" s="682">
        <v>0.75992244421195543</v>
      </c>
      <c r="D19" s="682">
        <v>5.2856893897556185</v>
      </c>
      <c r="E19" s="682">
        <v>0.33159490172382577</v>
      </c>
      <c r="F19" s="682">
        <v>4.5625</v>
      </c>
      <c r="G19" s="682">
        <v>0.46081262155043151</v>
      </c>
      <c r="H19" s="682">
        <v>2.6348547717842323</v>
      </c>
      <c r="I19" s="682">
        <v>0.80523957879443941</v>
      </c>
      <c r="J19" s="682">
        <v>3.6809621775597408</v>
      </c>
      <c r="K19" s="682">
        <v>0.61832365388890964</v>
      </c>
      <c r="L19" s="682">
        <v>2.5749882463563702</v>
      </c>
      <c r="M19" s="682">
        <v>0.81593638383515477</v>
      </c>
      <c r="N19" s="682">
        <v>3.033198773109087</v>
      </c>
      <c r="O19" s="682">
        <v>0.73406444225766299</v>
      </c>
      <c r="P19" s="682">
        <v>3.1187066974595843</v>
      </c>
      <c r="Q19" s="682">
        <v>0.71878609447187625</v>
      </c>
      <c r="R19" s="682">
        <v>2.1768504719324389</v>
      </c>
      <c r="S19" s="682">
        <v>0.88707467225125669</v>
      </c>
      <c r="T19" s="682">
        <v>2.5023443197999518</v>
      </c>
      <c r="U19" s="682">
        <v>0.82891622380770169</v>
      </c>
      <c r="V19" s="682">
        <v>3.0500772246643701</v>
      </c>
      <c r="W19" s="682">
        <v>0.73104864161806205</v>
      </c>
      <c r="X19" s="313"/>
      <c r="Y19" s="313"/>
      <c r="Z19" s="313"/>
      <c r="AA19" s="313"/>
      <c r="AB19" s="313"/>
      <c r="AC19" s="313"/>
      <c r="AD19" s="313"/>
      <c r="AE19" s="313"/>
      <c r="AF19" s="313"/>
      <c r="AG19" s="313"/>
      <c r="AH19" s="313"/>
      <c r="AI19" s="313"/>
      <c r="AJ19" s="313"/>
      <c r="AK19" s="313"/>
      <c r="AL19" s="313"/>
      <c r="AM19" s="313"/>
      <c r="AN19" s="313"/>
      <c r="AO19" s="313"/>
      <c r="AP19" s="313"/>
      <c r="AQ19" s="313"/>
    </row>
    <row r="20" spans="1:43">
      <c r="A20" s="2">
        <v>1984</v>
      </c>
      <c r="B20" s="682">
        <v>2.9369018848878055</v>
      </c>
      <c r="C20" s="682">
        <v>0.75127053584617143</v>
      </c>
      <c r="D20" s="682">
        <v>4.1196521160086554</v>
      </c>
      <c r="E20" s="682">
        <v>0.53993960351394721</v>
      </c>
      <c r="F20" s="682">
        <v>4.2145270270270272</v>
      </c>
      <c r="G20" s="682">
        <v>0.52298758535078127</v>
      </c>
      <c r="H20" s="682">
        <v>2.7852499439587537</v>
      </c>
      <c r="I20" s="682">
        <v>0.77836733551126769</v>
      </c>
      <c r="J20" s="682">
        <v>3.8779383851657183</v>
      </c>
      <c r="K20" s="682">
        <v>0.58312842457900849</v>
      </c>
      <c r="L20" s="682">
        <v>2.6062403741942841</v>
      </c>
      <c r="M20" s="682">
        <v>0.81035232970472915</v>
      </c>
      <c r="N20" s="682">
        <v>3.086302023022955</v>
      </c>
      <c r="O20" s="682">
        <v>0.72457608282311536</v>
      </c>
      <c r="P20" s="682">
        <v>2.9791025433338736</v>
      </c>
      <c r="Q20" s="682">
        <v>0.74373022491679652</v>
      </c>
      <c r="R20" s="682">
        <v>2.3744376090349832</v>
      </c>
      <c r="S20" s="682">
        <v>0.85177028354598905</v>
      </c>
      <c r="T20" s="682">
        <v>2.5733445096395644</v>
      </c>
      <c r="U20" s="682">
        <v>0.81623008271064945</v>
      </c>
      <c r="V20" s="682">
        <v>3.2414294502544601</v>
      </c>
      <c r="W20" s="682">
        <v>0.69685829172527236</v>
      </c>
      <c r="X20" s="313"/>
      <c r="Y20" s="313"/>
      <c r="Z20" s="313"/>
      <c r="AA20" s="313"/>
      <c r="AB20" s="313"/>
      <c r="AC20" s="313"/>
      <c r="AD20" s="313"/>
      <c r="AE20" s="313"/>
      <c r="AF20" s="313"/>
      <c r="AG20" s="313"/>
      <c r="AH20" s="313"/>
      <c r="AI20" s="313"/>
      <c r="AJ20" s="313"/>
      <c r="AK20" s="313"/>
      <c r="AL20" s="313"/>
      <c r="AM20" s="313"/>
      <c r="AN20" s="313"/>
      <c r="AO20" s="313"/>
      <c r="AP20" s="313"/>
      <c r="AQ20" s="313"/>
    </row>
    <row r="21" spans="1:43">
      <c r="A21" s="2">
        <v>1985</v>
      </c>
      <c r="B21" s="682">
        <v>3.0177188696828683</v>
      </c>
      <c r="C21" s="682">
        <v>0.7368303537218065</v>
      </c>
      <c r="D21" s="682">
        <v>3.969662879860878</v>
      </c>
      <c r="E21" s="682">
        <v>0.56673931513596021</v>
      </c>
      <c r="F21" s="682">
        <v>4.2387820512820511</v>
      </c>
      <c r="G21" s="682">
        <v>0.51865375665670665</v>
      </c>
      <c r="H21" s="682">
        <v>2.9348832424647671</v>
      </c>
      <c r="I21" s="682">
        <v>0.75163122196068755</v>
      </c>
      <c r="J21" s="682">
        <v>3.7640758033507282</v>
      </c>
      <c r="K21" s="682">
        <v>0.60347311354170907</v>
      </c>
      <c r="L21" s="682">
        <v>2.8116774667646469</v>
      </c>
      <c r="M21" s="682">
        <v>0.77364533006426139</v>
      </c>
      <c r="N21" s="682">
        <v>3.1424328613856716</v>
      </c>
      <c r="O21" s="682">
        <v>0.7145467612540628</v>
      </c>
      <c r="P21" s="682">
        <v>3.0895034195658639</v>
      </c>
      <c r="Q21" s="682">
        <v>0.72400406508143478</v>
      </c>
      <c r="R21" s="682">
        <v>2.8515190415062044</v>
      </c>
      <c r="S21" s="682">
        <v>0.76652653446889873</v>
      </c>
      <c r="T21" s="682">
        <v>2.5031616982836491</v>
      </c>
      <c r="U21" s="682">
        <v>0.82877017660983787</v>
      </c>
      <c r="V21" s="682">
        <v>3.2281910975481423</v>
      </c>
      <c r="W21" s="682">
        <v>0.69922368836300353</v>
      </c>
      <c r="X21" s="313"/>
      <c r="Y21" s="313"/>
      <c r="Z21" s="313"/>
      <c r="AA21" s="313"/>
      <c r="AB21" s="313"/>
      <c r="AC21" s="313"/>
      <c r="AD21" s="313"/>
      <c r="AE21" s="313"/>
      <c r="AF21" s="313"/>
      <c r="AG21" s="313"/>
      <c r="AH21" s="313"/>
      <c r="AI21" s="313"/>
      <c r="AJ21" s="313"/>
      <c r="AK21" s="313"/>
      <c r="AL21" s="313"/>
      <c r="AM21" s="313"/>
      <c r="AN21" s="313"/>
      <c r="AO21" s="313"/>
      <c r="AP21" s="313"/>
      <c r="AQ21" s="313"/>
    </row>
    <row r="22" spans="1:43">
      <c r="A22" s="2">
        <v>1986</v>
      </c>
      <c r="B22" s="682">
        <v>3.1752657879043369</v>
      </c>
      <c r="C22" s="682">
        <v>0.70868025386322553</v>
      </c>
      <c r="D22" s="682">
        <v>3.2153371090322529</v>
      </c>
      <c r="E22" s="682">
        <v>0.70152040774278024</v>
      </c>
      <c r="F22" s="682">
        <v>3.5504652827487471</v>
      </c>
      <c r="G22" s="682">
        <v>0.64164052140770333</v>
      </c>
      <c r="H22" s="682">
        <v>3.4843857748005123</v>
      </c>
      <c r="I22" s="682">
        <v>0.65344744704196966</v>
      </c>
      <c r="J22" s="682">
        <v>3.6583493282149706</v>
      </c>
      <c r="K22" s="682">
        <v>0.62236406276728273</v>
      </c>
      <c r="L22" s="682">
        <v>3.1480379370164484</v>
      </c>
      <c r="M22" s="682">
        <v>0.71354525998382234</v>
      </c>
      <c r="N22" s="682">
        <v>3.2292436925079127</v>
      </c>
      <c r="O22" s="682">
        <v>0.69903561325774166</v>
      </c>
      <c r="P22" s="682">
        <v>3.3280723150871654</v>
      </c>
      <c r="Q22" s="682">
        <v>0.68137715553671419</v>
      </c>
      <c r="R22" s="682">
        <v>2.9288151364764268</v>
      </c>
      <c r="S22" s="682">
        <v>0.75271545636814274</v>
      </c>
      <c r="T22" s="682">
        <v>2.6870868744098204</v>
      </c>
      <c r="U22" s="682">
        <v>0.79590687383687841</v>
      </c>
      <c r="V22" s="682">
        <v>3.3387407482510394</v>
      </c>
      <c r="W22" s="682">
        <v>0.67947094586731605</v>
      </c>
      <c r="X22" s="313"/>
      <c r="Y22" s="313"/>
      <c r="Z22" s="313"/>
      <c r="AA22" s="313"/>
      <c r="AB22" s="313"/>
      <c r="AC22" s="313"/>
      <c r="AD22" s="313"/>
      <c r="AE22" s="313"/>
      <c r="AF22" s="313"/>
      <c r="AG22" s="313"/>
      <c r="AH22" s="313"/>
      <c r="AI22" s="313"/>
      <c r="AJ22" s="313"/>
      <c r="AK22" s="313"/>
      <c r="AL22" s="313"/>
      <c r="AM22" s="313"/>
      <c r="AN22" s="313"/>
      <c r="AO22" s="313"/>
      <c r="AP22" s="313"/>
      <c r="AQ22" s="313"/>
    </row>
    <row r="23" spans="1:43">
      <c r="A23" s="2">
        <v>1987</v>
      </c>
      <c r="B23" s="682">
        <v>3.2396427240222536</v>
      </c>
      <c r="C23" s="682">
        <v>0.69717753961932416</v>
      </c>
      <c r="D23" s="682">
        <v>3.2271060172950907</v>
      </c>
      <c r="E23" s="682">
        <v>0.69941756786139542</v>
      </c>
      <c r="F23" s="682">
        <v>3.6357435197817187</v>
      </c>
      <c r="G23" s="682">
        <v>0.62640321359272411</v>
      </c>
      <c r="H23" s="682">
        <v>3.6452565522332963</v>
      </c>
      <c r="I23" s="682">
        <v>0.62470344811020673</v>
      </c>
      <c r="J23" s="682">
        <v>3.6600287907869484</v>
      </c>
      <c r="K23" s="682">
        <v>0.62206398048294709</v>
      </c>
      <c r="L23" s="682">
        <v>3.1033141159410036</v>
      </c>
      <c r="M23" s="682">
        <v>0.72153640347011572</v>
      </c>
      <c r="N23" s="682">
        <v>3.3109398444959761</v>
      </c>
      <c r="O23" s="682">
        <v>0.68443834367933609</v>
      </c>
      <c r="P23" s="682">
        <v>3.1219207549788357</v>
      </c>
      <c r="Q23" s="682">
        <v>0.71821181449776106</v>
      </c>
      <c r="R23" s="682">
        <v>3.3076858743832065</v>
      </c>
      <c r="S23" s="682">
        <v>0.68501975513850877</v>
      </c>
      <c r="T23" s="682">
        <v>2.8844465257858687</v>
      </c>
      <c r="U23" s="682">
        <v>0.76064313172749176</v>
      </c>
      <c r="V23" s="682">
        <v>3.4195579116770016</v>
      </c>
      <c r="W23" s="682">
        <v>0.66503073182561678</v>
      </c>
      <c r="X23" s="313"/>
      <c r="Y23" s="313"/>
      <c r="Z23" s="313"/>
      <c r="AA23" s="313"/>
      <c r="AB23" s="313"/>
      <c r="AC23" s="313"/>
      <c r="AD23" s="313"/>
      <c r="AE23" s="313"/>
      <c r="AF23" s="313"/>
      <c r="AG23" s="313"/>
      <c r="AH23" s="313"/>
      <c r="AI23" s="313"/>
      <c r="AJ23" s="313"/>
      <c r="AK23" s="313"/>
      <c r="AL23" s="313"/>
      <c r="AM23" s="313"/>
      <c r="AN23" s="313"/>
      <c r="AO23" s="313"/>
      <c r="AP23" s="313"/>
      <c r="AQ23" s="313"/>
    </row>
    <row r="24" spans="1:43">
      <c r="A24" s="2">
        <v>1988</v>
      </c>
      <c r="B24" s="682">
        <v>3.237816187056731</v>
      </c>
      <c r="C24" s="682">
        <v>0.6975039007983006</v>
      </c>
      <c r="D24" s="682">
        <v>3.1258119825711548</v>
      </c>
      <c r="E24" s="682">
        <v>0.71751653942330829</v>
      </c>
      <c r="F24" s="682">
        <v>3.5027898326100435</v>
      </c>
      <c r="G24" s="682">
        <v>0.65015905479037939</v>
      </c>
      <c r="H24" s="682">
        <v>3.598150843249722</v>
      </c>
      <c r="I24" s="682">
        <v>0.63312018153010663</v>
      </c>
      <c r="J24" s="682">
        <v>3.6722222222222225</v>
      </c>
      <c r="K24" s="682">
        <v>0.61988528783445485</v>
      </c>
      <c r="L24" s="682">
        <v>3.1292054048714095</v>
      </c>
      <c r="M24" s="682">
        <v>0.71691021098672003</v>
      </c>
      <c r="N24" s="682">
        <v>3.288107109537667</v>
      </c>
      <c r="O24" s="682">
        <v>0.68851804118390669</v>
      </c>
      <c r="P24" s="682">
        <v>2.8355584500162814</v>
      </c>
      <c r="Q24" s="682">
        <v>0.76937833410620915</v>
      </c>
      <c r="R24" s="682">
        <v>2.890802348336595</v>
      </c>
      <c r="S24" s="682">
        <v>0.75950748882500818</v>
      </c>
      <c r="T24" s="682">
        <v>3.1492358803986717</v>
      </c>
      <c r="U24" s="682">
        <v>0.71333121437623315</v>
      </c>
      <c r="V24" s="682">
        <v>3.4537866009255653</v>
      </c>
      <c r="W24" s="682">
        <v>0.65891483294766529</v>
      </c>
      <c r="X24" s="313"/>
      <c r="Y24" s="313"/>
      <c r="Z24" s="313"/>
      <c r="AA24" s="313"/>
      <c r="AB24" s="313"/>
      <c r="AC24" s="313"/>
      <c r="AD24" s="313"/>
      <c r="AE24" s="313"/>
      <c r="AF24" s="313"/>
      <c r="AG24" s="313"/>
      <c r="AH24" s="313"/>
      <c r="AI24" s="313"/>
      <c r="AJ24" s="313"/>
      <c r="AK24" s="313"/>
      <c r="AL24" s="313"/>
      <c r="AM24" s="313"/>
      <c r="AN24" s="313"/>
      <c r="AO24" s="313"/>
      <c r="AP24" s="313"/>
      <c r="AQ24" s="313"/>
    </row>
    <row r="25" spans="1:43">
      <c r="A25" s="2">
        <v>1989</v>
      </c>
      <c r="B25" s="682">
        <v>3.2775456822530109</v>
      </c>
      <c r="C25" s="682">
        <v>0.69040513130327219</v>
      </c>
      <c r="D25" s="682">
        <v>2.9963112989472447</v>
      </c>
      <c r="E25" s="682">
        <v>0.7406554063520987</v>
      </c>
      <c r="F25" s="682">
        <v>3.7645011600928076</v>
      </c>
      <c r="G25" s="682">
        <v>0.60339711183440681</v>
      </c>
      <c r="H25" s="682">
        <v>3.7084056142564261</v>
      </c>
      <c r="I25" s="682">
        <v>0.61342012742076024</v>
      </c>
      <c r="J25" s="682">
        <v>3.6333642643571502</v>
      </c>
      <c r="K25" s="682">
        <v>0.62682833316057573</v>
      </c>
      <c r="L25" s="682">
        <v>3.2013241168362057</v>
      </c>
      <c r="M25" s="682">
        <v>0.70402421507896518</v>
      </c>
      <c r="N25" s="682">
        <v>3.289045841471673</v>
      </c>
      <c r="O25" s="682">
        <v>0.68835031084693143</v>
      </c>
      <c r="P25" s="682">
        <v>2.9569465648854965</v>
      </c>
      <c r="Q25" s="682">
        <v>0.74768900121548376</v>
      </c>
      <c r="R25" s="682">
        <v>3.1591112436623914</v>
      </c>
      <c r="S25" s="682">
        <v>0.71156670850616166</v>
      </c>
      <c r="T25" s="682">
        <v>3.2515594565940975</v>
      </c>
      <c r="U25" s="682">
        <v>0.69504828685022946</v>
      </c>
      <c r="V25" s="682">
        <v>3.4329860976648723</v>
      </c>
      <c r="W25" s="682">
        <v>0.66263141623921618</v>
      </c>
      <c r="X25" s="313"/>
      <c r="Y25" s="313"/>
      <c r="Z25" s="313"/>
      <c r="AA25" s="313"/>
      <c r="AB25" s="313"/>
      <c r="AC25" s="313"/>
      <c r="AD25" s="313"/>
      <c r="AE25" s="313"/>
      <c r="AF25" s="313"/>
      <c r="AG25" s="313"/>
      <c r="AH25" s="313"/>
      <c r="AI25" s="313"/>
      <c r="AJ25" s="313"/>
      <c r="AK25" s="313"/>
      <c r="AL25" s="313"/>
      <c r="AM25" s="313"/>
      <c r="AN25" s="313"/>
      <c r="AO25" s="313"/>
      <c r="AP25" s="313"/>
      <c r="AQ25" s="313"/>
    </row>
    <row r="26" spans="1:43">
      <c r="A26" s="2">
        <v>1990</v>
      </c>
      <c r="B26" s="682">
        <v>3.4055749890686493</v>
      </c>
      <c r="C26" s="682">
        <v>0.66752916640106563</v>
      </c>
      <c r="D26" s="682">
        <v>3.0391393724984295</v>
      </c>
      <c r="E26" s="682">
        <v>0.73300299041894956</v>
      </c>
      <c r="F26" s="682">
        <v>3.8588754134509373</v>
      </c>
      <c r="G26" s="682">
        <v>0.58653454996330845</v>
      </c>
      <c r="H26" s="682">
        <v>3.6894372554920252</v>
      </c>
      <c r="I26" s="682">
        <v>0.61680934759338635</v>
      </c>
      <c r="J26" s="682">
        <v>3.9214525360173669</v>
      </c>
      <c r="K26" s="682">
        <v>0.5753534220238119</v>
      </c>
      <c r="L26" s="682">
        <v>3.326896551724138</v>
      </c>
      <c r="M26" s="682">
        <v>0.68158723807246246</v>
      </c>
      <c r="N26" s="682">
        <v>3.4564007718664311</v>
      </c>
      <c r="O26" s="682">
        <v>0.65844773924717581</v>
      </c>
      <c r="P26" s="682">
        <v>3.0700138185168129</v>
      </c>
      <c r="Q26" s="682">
        <v>0.72748641955671201</v>
      </c>
      <c r="R26" s="682">
        <v>3.2078365753329154</v>
      </c>
      <c r="S26" s="682">
        <v>0.70286058484692504</v>
      </c>
      <c r="T26" s="682">
        <v>3.306985935138905</v>
      </c>
      <c r="U26" s="682">
        <v>0.6851448185789395</v>
      </c>
      <c r="V26" s="682">
        <v>3.5479491210518792</v>
      </c>
      <c r="W26" s="682">
        <v>0.64209010305504222</v>
      </c>
      <c r="X26" s="313"/>
      <c r="Y26" s="313"/>
      <c r="Z26" s="313"/>
      <c r="AA26" s="313"/>
      <c r="AB26" s="313"/>
      <c r="AC26" s="313"/>
      <c r="AD26" s="313"/>
      <c r="AE26" s="313"/>
      <c r="AF26" s="313"/>
      <c r="AG26" s="313"/>
      <c r="AH26" s="313"/>
      <c r="AI26" s="313"/>
      <c r="AJ26" s="313"/>
      <c r="AK26" s="313"/>
      <c r="AL26" s="313"/>
      <c r="AM26" s="313"/>
      <c r="AN26" s="313"/>
      <c r="AO26" s="313"/>
      <c r="AP26" s="313"/>
      <c r="AQ26" s="313"/>
    </row>
    <row r="27" spans="1:43">
      <c r="A27" s="2">
        <v>1991</v>
      </c>
      <c r="B27" s="682">
        <v>3.5781117396705677</v>
      </c>
      <c r="C27" s="682">
        <v>0.63670071977990383</v>
      </c>
      <c r="D27" s="682">
        <v>3.2659962984478956</v>
      </c>
      <c r="E27" s="682">
        <v>0.69246874708890149</v>
      </c>
      <c r="F27" s="682">
        <v>4.072110286320255</v>
      </c>
      <c r="G27" s="682">
        <v>0.54843426191981215</v>
      </c>
      <c r="H27" s="682">
        <v>3.7692531240918337</v>
      </c>
      <c r="I27" s="682">
        <v>0.60254804247394533</v>
      </c>
      <c r="J27" s="682">
        <v>4.1909814323607426</v>
      </c>
      <c r="K27" s="682">
        <v>0.52719465489278183</v>
      </c>
      <c r="L27" s="682">
        <v>3.5178550046514196</v>
      </c>
      <c r="M27" s="682">
        <v>0.64746724652057053</v>
      </c>
      <c r="N27" s="682">
        <v>3.6521666934768287</v>
      </c>
      <c r="O27" s="682">
        <v>0.62346876089297476</v>
      </c>
      <c r="P27" s="682">
        <v>3.2513832639324627</v>
      </c>
      <c r="Q27" s="682">
        <v>0.69507976852613496</v>
      </c>
      <c r="R27" s="682">
        <v>3.3773649810801514</v>
      </c>
      <c r="S27" s="682">
        <v>0.67256966196170409</v>
      </c>
      <c r="T27" s="682">
        <v>3.3533854688857696</v>
      </c>
      <c r="U27" s="682">
        <v>0.67685426283141459</v>
      </c>
      <c r="V27" s="682">
        <v>3.697900613034693</v>
      </c>
      <c r="W27" s="682">
        <v>0.61529713546855092</v>
      </c>
      <c r="X27" s="313"/>
      <c r="Y27" s="313"/>
      <c r="Z27" s="313"/>
      <c r="AA27" s="313"/>
      <c r="AB27" s="313"/>
      <c r="AC27" s="313"/>
      <c r="AD27" s="313"/>
      <c r="AE27" s="313"/>
      <c r="AF27" s="313"/>
      <c r="AG27" s="313"/>
      <c r="AH27" s="313"/>
      <c r="AI27" s="313"/>
      <c r="AJ27" s="313"/>
      <c r="AK27" s="313"/>
      <c r="AL27" s="313"/>
      <c r="AM27" s="313"/>
      <c r="AN27" s="313"/>
      <c r="AO27" s="313"/>
      <c r="AP27" s="313"/>
      <c r="AQ27" s="313"/>
    </row>
    <row r="28" spans="1:43">
      <c r="A28" s="2">
        <v>1992</v>
      </c>
      <c r="B28" s="682">
        <v>3.7470260876761072</v>
      </c>
      <c r="C28" s="682">
        <v>0.60651951523727454</v>
      </c>
      <c r="D28" s="682">
        <v>3.472583591749355</v>
      </c>
      <c r="E28" s="682">
        <v>0.65555623238153615</v>
      </c>
      <c r="F28" s="682">
        <v>4.4827586206896548</v>
      </c>
      <c r="G28" s="682">
        <v>0.47506061710494762</v>
      </c>
      <c r="H28" s="682">
        <v>3.9284449167552249</v>
      </c>
      <c r="I28" s="682">
        <v>0.57410404045391517</v>
      </c>
      <c r="J28" s="682">
        <v>4.2891278375149344</v>
      </c>
      <c r="K28" s="682">
        <v>0.50965809412066032</v>
      </c>
      <c r="L28" s="682">
        <v>3.7563263010865819</v>
      </c>
      <c r="M28" s="682">
        <v>0.60485777574299293</v>
      </c>
      <c r="N28" s="682">
        <v>3.8314868214701265</v>
      </c>
      <c r="O28" s="682">
        <v>0.59142827691112443</v>
      </c>
      <c r="P28" s="682">
        <v>3.3800762844962979</v>
      </c>
      <c r="Q28" s="682">
        <v>0.67208521286696432</v>
      </c>
      <c r="R28" s="682">
        <v>3.5504703074547241</v>
      </c>
      <c r="S28" s="682">
        <v>0.64163962360547022</v>
      </c>
      <c r="T28" s="682">
        <v>3.4341332292818278</v>
      </c>
      <c r="U28" s="682">
        <v>0.66242644955416274</v>
      </c>
      <c r="V28" s="682">
        <v>3.7842926748699308</v>
      </c>
      <c r="W28" s="682">
        <v>0.59986081214909381</v>
      </c>
      <c r="X28" s="313"/>
      <c r="Y28" s="313"/>
      <c r="Z28" s="313"/>
      <c r="AA28" s="313"/>
      <c r="AB28" s="313"/>
      <c r="AC28" s="313"/>
      <c r="AD28" s="313"/>
      <c r="AE28" s="313"/>
      <c r="AF28" s="313"/>
      <c r="AG28" s="313"/>
      <c r="AH28" s="313"/>
      <c r="AI28" s="313"/>
      <c r="AJ28" s="313"/>
      <c r="AK28" s="313"/>
      <c r="AL28" s="313"/>
      <c r="AM28" s="313"/>
      <c r="AN28" s="313"/>
      <c r="AO28" s="313"/>
      <c r="AP28" s="313"/>
      <c r="AQ28" s="313"/>
    </row>
    <row r="29" spans="1:43">
      <c r="A29" s="2">
        <v>1993</v>
      </c>
      <c r="B29" s="682">
        <v>3.9556192215685</v>
      </c>
      <c r="C29" s="682">
        <v>0.56924860181559234</v>
      </c>
      <c r="D29" s="682">
        <v>3.5771070567843526</v>
      </c>
      <c r="E29" s="682">
        <v>0.63688023407248684</v>
      </c>
      <c r="F29" s="682">
        <v>4.6287128712871288</v>
      </c>
      <c r="G29" s="682">
        <v>0.44898186687939501</v>
      </c>
      <c r="H29" s="682">
        <v>4.0106581770364729</v>
      </c>
      <c r="I29" s="682">
        <v>0.55941437522439075</v>
      </c>
      <c r="J29" s="682">
        <v>4.5095929711314326</v>
      </c>
      <c r="K29" s="682">
        <v>0.47026592068623174</v>
      </c>
      <c r="L29" s="682">
        <v>3.9214060101286377</v>
      </c>
      <c r="M29" s="682">
        <v>0.57536173515636013</v>
      </c>
      <c r="N29" s="682">
        <v>4.1281480555208212</v>
      </c>
      <c r="O29" s="682">
        <v>0.53842156972211042</v>
      </c>
      <c r="P29" s="682">
        <v>3.682918665625349</v>
      </c>
      <c r="Q29" s="682">
        <v>0.61797407336368748</v>
      </c>
      <c r="R29" s="682">
        <v>3.9009308962424409</v>
      </c>
      <c r="S29" s="682">
        <v>0.57902017866651512</v>
      </c>
      <c r="T29" s="682">
        <v>3.5891068447412353</v>
      </c>
      <c r="U29" s="682">
        <v>0.63473614116936072</v>
      </c>
      <c r="V29" s="682">
        <v>3.821264937886732</v>
      </c>
      <c r="W29" s="682">
        <v>0.59325469818844101</v>
      </c>
      <c r="X29" s="313"/>
      <c r="Y29" s="313"/>
      <c r="Z29" s="313"/>
      <c r="AA29" s="313"/>
      <c r="AB29" s="313"/>
      <c r="AC29" s="313"/>
      <c r="AD29" s="313"/>
      <c r="AE29" s="313"/>
      <c r="AF29" s="313"/>
      <c r="AG29" s="313"/>
      <c r="AH29" s="313"/>
      <c r="AI29" s="313"/>
      <c r="AJ29" s="313"/>
      <c r="AK29" s="313"/>
      <c r="AL29" s="313"/>
      <c r="AM29" s="313"/>
      <c r="AN29" s="313"/>
      <c r="AO29" s="313"/>
      <c r="AP29" s="313"/>
      <c r="AQ29" s="313"/>
    </row>
    <row r="30" spans="1:43">
      <c r="A30" s="2">
        <v>1994</v>
      </c>
      <c r="B30" s="682">
        <v>4.0836552529710284</v>
      </c>
      <c r="C30" s="682">
        <v>0.54637143538056876</v>
      </c>
      <c r="D30" s="682">
        <v>3.7424588078742702</v>
      </c>
      <c r="E30" s="682">
        <v>0.60733558567492707</v>
      </c>
      <c r="F30" s="682">
        <v>4.8222333500250372</v>
      </c>
      <c r="G30" s="682">
        <v>0.41440409879195694</v>
      </c>
      <c r="H30" s="682">
        <v>4.1957511380880117</v>
      </c>
      <c r="I30" s="682">
        <v>0.52634241548350358</v>
      </c>
      <c r="J30" s="682">
        <v>4.6054264940592304</v>
      </c>
      <c r="K30" s="682">
        <v>0.45314262008047285</v>
      </c>
      <c r="L30" s="682">
        <v>4.0462104950875171</v>
      </c>
      <c r="M30" s="682">
        <v>0.55306197357389275</v>
      </c>
      <c r="N30" s="682">
        <v>4.3076641306015766</v>
      </c>
      <c r="O30" s="682">
        <v>0.50634607439163326</v>
      </c>
      <c r="P30" s="682">
        <v>3.7571843012753847</v>
      </c>
      <c r="Q30" s="682">
        <v>0.60470447035773922</v>
      </c>
      <c r="R30" s="682">
        <v>4.0983161325366648</v>
      </c>
      <c r="S30" s="682">
        <v>0.54375186510622586</v>
      </c>
      <c r="T30" s="682">
        <v>3.6886436247458612</v>
      </c>
      <c r="U30" s="682">
        <v>0.61695115160331282</v>
      </c>
      <c r="V30" s="682">
        <v>3.8137556204865786</v>
      </c>
      <c r="W30" s="682">
        <v>0.5945964447428671</v>
      </c>
      <c r="X30" s="313"/>
      <c r="Y30" s="313"/>
      <c r="Z30" s="313"/>
      <c r="AA30" s="313"/>
      <c r="AB30" s="313"/>
      <c r="AC30" s="313"/>
      <c r="AD30" s="313"/>
      <c r="AE30" s="313"/>
      <c r="AF30" s="313"/>
      <c r="AG30" s="313"/>
      <c r="AH30" s="313"/>
      <c r="AI30" s="313"/>
      <c r="AJ30" s="313"/>
      <c r="AK30" s="313"/>
      <c r="AL30" s="313"/>
      <c r="AM30" s="313"/>
      <c r="AN30" s="313"/>
      <c r="AO30" s="313"/>
      <c r="AP30" s="313"/>
      <c r="AQ30" s="313"/>
    </row>
    <row r="31" spans="1:43">
      <c r="A31" s="2">
        <v>1995</v>
      </c>
      <c r="B31" s="682">
        <v>4.0965726691147601</v>
      </c>
      <c r="C31" s="682">
        <v>0.54406338290664014</v>
      </c>
      <c r="D31" s="682">
        <v>3.6391581926568328</v>
      </c>
      <c r="E31" s="682">
        <v>0.62579308815514667</v>
      </c>
      <c r="F31" s="682">
        <v>5.0581959262851601</v>
      </c>
      <c r="G31" s="682">
        <v>0.37224288002871142</v>
      </c>
      <c r="H31" s="682">
        <v>4.1834391462920433</v>
      </c>
      <c r="I31" s="682">
        <v>0.52854229220865367</v>
      </c>
      <c r="J31" s="682">
        <v>4.2278783737615306</v>
      </c>
      <c r="K31" s="682">
        <v>0.52060199921513584</v>
      </c>
      <c r="L31" s="682">
        <v>3.9507998843950296</v>
      </c>
      <c r="M31" s="682">
        <v>0.57010970925086857</v>
      </c>
      <c r="N31" s="682">
        <v>4.4795290339844795</v>
      </c>
      <c r="O31" s="682">
        <v>0.47563767179620364</v>
      </c>
      <c r="P31" s="682">
        <v>3.8788680243321867</v>
      </c>
      <c r="Q31" s="682">
        <v>0.58296231891560379</v>
      </c>
      <c r="R31" s="682">
        <v>3.9107628136257344</v>
      </c>
      <c r="S31" s="682">
        <v>0.57726343560060522</v>
      </c>
      <c r="T31" s="682">
        <v>3.5998161727975702</v>
      </c>
      <c r="U31" s="682">
        <v>0.63282262450012106</v>
      </c>
      <c r="V31" s="682">
        <v>3.7042502097618843</v>
      </c>
      <c r="W31" s="682">
        <v>0.61416260498106212</v>
      </c>
      <c r="X31" s="313"/>
      <c r="Y31" s="313"/>
      <c r="Z31" s="313"/>
      <c r="AA31" s="313"/>
      <c r="AB31" s="313"/>
      <c r="AC31" s="313"/>
      <c r="AD31" s="313"/>
      <c r="AE31" s="313"/>
      <c r="AF31" s="313"/>
      <c r="AG31" s="313"/>
      <c r="AH31" s="313"/>
      <c r="AI31" s="313"/>
      <c r="AJ31" s="313"/>
      <c r="AK31" s="313"/>
      <c r="AL31" s="313"/>
      <c r="AM31" s="313"/>
      <c r="AN31" s="313"/>
      <c r="AO31" s="313"/>
      <c r="AP31" s="313"/>
      <c r="AQ31" s="313"/>
    </row>
    <row r="32" spans="1:43">
      <c r="A32" s="2">
        <v>1996</v>
      </c>
      <c r="B32" s="682">
        <v>4.1342180403688635</v>
      </c>
      <c r="C32" s="682">
        <v>0.53733699960457715</v>
      </c>
      <c r="D32" s="682">
        <v>3.4739037234802561</v>
      </c>
      <c r="E32" s="682">
        <v>0.65532035445722725</v>
      </c>
      <c r="F32" s="682">
        <v>5.1111111111111107</v>
      </c>
      <c r="G32" s="682">
        <v>0.36278812360629858</v>
      </c>
      <c r="H32" s="682">
        <v>4.3791776382418472</v>
      </c>
      <c r="I32" s="682">
        <v>0.49356821491944031</v>
      </c>
      <c r="J32" s="682">
        <v>4.1234233471599087</v>
      </c>
      <c r="K32" s="682">
        <v>0.53926576911149737</v>
      </c>
      <c r="L32" s="682">
        <v>3.9312024962664465</v>
      </c>
      <c r="M32" s="682">
        <v>0.57361132285914929</v>
      </c>
      <c r="N32" s="682">
        <v>4.5610547590355734</v>
      </c>
      <c r="O32" s="682">
        <v>0.46107085368805495</v>
      </c>
      <c r="P32" s="682">
        <v>4.0075691709712062</v>
      </c>
      <c r="Q32" s="682">
        <v>0.55996631130909902</v>
      </c>
      <c r="R32" s="682">
        <v>3.7204595511637599</v>
      </c>
      <c r="S32" s="682">
        <v>0.61126635931497297</v>
      </c>
      <c r="T32" s="682">
        <v>3.5950855740960694</v>
      </c>
      <c r="U32" s="682">
        <v>0.63366787636122646</v>
      </c>
      <c r="V32" s="682">
        <v>3.789928465188753</v>
      </c>
      <c r="W32" s="682">
        <v>0.59885382285315691</v>
      </c>
      <c r="X32" s="313"/>
      <c r="Y32" s="313"/>
      <c r="Z32" s="313"/>
      <c r="AA32" s="313"/>
      <c r="AB32" s="313"/>
      <c r="AC32" s="313"/>
      <c r="AD32" s="313"/>
      <c r="AE32" s="313"/>
      <c r="AF32" s="313"/>
      <c r="AG32" s="313"/>
      <c r="AH32" s="313"/>
      <c r="AI32" s="313"/>
      <c r="AJ32" s="313"/>
      <c r="AK32" s="313"/>
      <c r="AL32" s="313"/>
      <c r="AM32" s="313"/>
      <c r="AN32" s="313"/>
      <c r="AO32" s="313"/>
      <c r="AP32" s="313"/>
      <c r="AQ32" s="313"/>
    </row>
    <row r="33" spans="1:138">
      <c r="A33" s="2">
        <v>1997</v>
      </c>
      <c r="B33" s="682">
        <v>4.290600293683605</v>
      </c>
      <c r="C33" s="682">
        <v>0.50939499923658771</v>
      </c>
      <c r="D33" s="682">
        <v>3.5592081833785385</v>
      </c>
      <c r="E33" s="682">
        <v>0.64007836120450401</v>
      </c>
      <c r="F33" s="682">
        <v>5.1983002832861187</v>
      </c>
      <c r="G33" s="682">
        <v>0.34720937455159934</v>
      </c>
      <c r="H33" s="682">
        <v>4.5051083490596726</v>
      </c>
      <c r="I33" s="682">
        <v>0.47106722204187346</v>
      </c>
      <c r="J33" s="682">
        <v>4.5629051022104035</v>
      </c>
      <c r="K33" s="682">
        <v>0.46074023887354693</v>
      </c>
      <c r="L33" s="682">
        <v>4.0665628330191002</v>
      </c>
      <c r="M33" s="682">
        <v>0.5494254673724559</v>
      </c>
      <c r="N33" s="682">
        <v>4.6582484096663244</v>
      </c>
      <c r="O33" s="682">
        <v>0.44370452877505623</v>
      </c>
      <c r="P33" s="682">
        <v>4.3281289992321472</v>
      </c>
      <c r="Q33" s="682">
        <v>0.50268946147881532</v>
      </c>
      <c r="R33" s="682">
        <v>4.2235947345436395</v>
      </c>
      <c r="S33" s="682">
        <v>0.52136738944366612</v>
      </c>
      <c r="T33" s="682">
        <v>3.8396396396396395</v>
      </c>
      <c r="U33" s="682">
        <v>0.58997155120559186</v>
      </c>
      <c r="V33" s="682">
        <v>3.9394396108789476</v>
      </c>
      <c r="W33" s="682">
        <v>0.57213953527037187</v>
      </c>
      <c r="X33" s="313"/>
      <c r="Y33" s="313"/>
      <c r="Z33" s="313"/>
      <c r="AA33" s="313"/>
      <c r="AB33" s="313"/>
      <c r="AC33" s="313"/>
      <c r="AD33" s="313"/>
      <c r="AE33" s="313"/>
      <c r="AF33" s="313"/>
      <c r="AG33" s="313"/>
      <c r="AH33" s="313"/>
      <c r="AI33" s="313"/>
      <c r="AJ33" s="313"/>
      <c r="AK33" s="313"/>
      <c r="AL33" s="313"/>
      <c r="AM33" s="313"/>
      <c r="AN33" s="313"/>
      <c r="AO33" s="313"/>
      <c r="AP33" s="313"/>
      <c r="AQ33" s="313"/>
    </row>
    <row r="34" spans="1:138">
      <c r="A34" s="2">
        <v>1998</v>
      </c>
      <c r="B34" s="682">
        <v>4.3454601716698962</v>
      </c>
      <c r="C34" s="682">
        <v>0.4995927697739157</v>
      </c>
      <c r="D34" s="682">
        <v>4.0076886491033346</v>
      </c>
      <c r="E34" s="682">
        <v>0.55994496324727538</v>
      </c>
      <c r="F34" s="682">
        <v>5.2482598607888624</v>
      </c>
      <c r="G34" s="682">
        <v>0.33828271885137312</v>
      </c>
      <c r="H34" s="682">
        <v>4.7061389841071986</v>
      </c>
      <c r="I34" s="682">
        <v>0.43514755750570827</v>
      </c>
      <c r="J34" s="682">
        <v>4.3509022974799265</v>
      </c>
      <c r="K34" s="682">
        <v>0.49862038398100567</v>
      </c>
      <c r="L34" s="682">
        <v>3.9720765663101858</v>
      </c>
      <c r="M34" s="682">
        <v>0.56630804351641761</v>
      </c>
      <c r="N34" s="682">
        <v>4.7676940491311752</v>
      </c>
      <c r="O34" s="682">
        <v>0.4241490483200791</v>
      </c>
      <c r="P34" s="682">
        <v>4.3883173241016138</v>
      </c>
      <c r="Q34" s="682">
        <v>0.4919351580971747</v>
      </c>
      <c r="R34" s="682">
        <v>3.9926084883166424</v>
      </c>
      <c r="S34" s="682">
        <v>0.56263944966961266</v>
      </c>
      <c r="T34" s="682">
        <v>3.8152794000643273</v>
      </c>
      <c r="U34" s="682">
        <v>0.59432417951698813</v>
      </c>
      <c r="V34" s="682">
        <v>4.1534924987901265</v>
      </c>
      <c r="W34" s="682">
        <v>0.53389308629034848</v>
      </c>
      <c r="X34" s="313"/>
      <c r="Y34" s="313"/>
      <c r="Z34" s="313"/>
      <c r="AA34" s="313"/>
      <c r="AB34" s="313"/>
      <c r="AC34" s="313"/>
      <c r="AD34" s="313"/>
      <c r="AE34" s="313"/>
      <c r="AF34" s="313"/>
      <c r="AG34" s="313"/>
      <c r="AH34" s="313"/>
      <c r="AI34" s="313"/>
      <c r="AJ34" s="313"/>
      <c r="AK34" s="313"/>
      <c r="AL34" s="313"/>
      <c r="AM34" s="313"/>
      <c r="AN34" s="313"/>
      <c r="AO34" s="313"/>
      <c r="AP34" s="313"/>
      <c r="AQ34" s="313"/>
    </row>
    <row r="35" spans="1:138">
      <c r="A35" s="2">
        <v>1999</v>
      </c>
      <c r="B35" s="682">
        <v>4.5147905076422239</v>
      </c>
      <c r="C35" s="682">
        <v>0.46933723751394829</v>
      </c>
      <c r="D35" s="682">
        <v>3.867794658896647</v>
      </c>
      <c r="E35" s="682">
        <v>0.58494088089764662</v>
      </c>
      <c r="F35" s="682">
        <v>5.2515445719329215</v>
      </c>
      <c r="G35" s="682">
        <v>0.33769581465955723</v>
      </c>
      <c r="H35" s="682">
        <v>4.5403221013846791</v>
      </c>
      <c r="I35" s="682">
        <v>0.46477531449119192</v>
      </c>
      <c r="J35" s="682">
        <v>4.5841231329137919</v>
      </c>
      <c r="K35" s="682">
        <v>0.45694905279485004</v>
      </c>
      <c r="L35" s="682">
        <v>4.2226647136012696</v>
      </c>
      <c r="M35" s="682">
        <v>0.52153356332185952</v>
      </c>
      <c r="N35" s="682">
        <v>4.9178326834223549</v>
      </c>
      <c r="O35" s="682">
        <v>0.39732264260145711</v>
      </c>
      <c r="P35" s="682">
        <v>4.6098518904083656</v>
      </c>
      <c r="Q35" s="682">
        <v>0.45235190103278677</v>
      </c>
      <c r="R35" s="682">
        <v>4.0994462522121369</v>
      </c>
      <c r="S35" s="682">
        <v>0.54354993807346752</v>
      </c>
      <c r="T35" s="682">
        <v>4.1039696014229117</v>
      </c>
      <c r="U35" s="682">
        <v>0.54274171704689333</v>
      </c>
      <c r="V35" s="682">
        <v>4.2495995452901356</v>
      </c>
      <c r="W35" s="682">
        <v>0.516720913158498</v>
      </c>
      <c r="X35" s="313"/>
      <c r="Y35" s="313"/>
      <c r="Z35" s="313"/>
      <c r="AA35" s="313"/>
      <c r="AB35" s="313"/>
      <c r="AC35" s="313"/>
      <c r="AD35" s="313"/>
      <c r="AE35" s="313"/>
      <c r="AF35" s="313"/>
      <c r="AG35" s="313"/>
      <c r="AH35" s="313"/>
      <c r="AI35" s="313"/>
      <c r="AJ35" s="313"/>
      <c r="AK35" s="313"/>
      <c r="AL35" s="313"/>
      <c r="AM35" s="313"/>
      <c r="AN35" s="313"/>
      <c r="AO35" s="313"/>
      <c r="AP35" s="313"/>
      <c r="AQ35" s="313"/>
    </row>
    <row r="36" spans="1:138">
      <c r="A36" s="2">
        <v>2000</v>
      </c>
      <c r="B36" s="682">
        <v>4.5322694885758654</v>
      </c>
      <c r="C36" s="682">
        <v>0.46621413574678727</v>
      </c>
      <c r="D36" s="682">
        <v>4.1860727028150801</v>
      </c>
      <c r="E36" s="682">
        <v>0.52807173473952895</v>
      </c>
      <c r="F36" s="682">
        <v>5.1033057851239665</v>
      </c>
      <c r="G36" s="682">
        <v>0.36418276025452562</v>
      </c>
      <c r="H36" s="682">
        <v>4.8122788999201189</v>
      </c>
      <c r="I36" s="682">
        <v>0.41618273570630643</v>
      </c>
      <c r="J36" s="682">
        <v>4.6518572469045889</v>
      </c>
      <c r="K36" s="682">
        <v>0.44484648618042033</v>
      </c>
      <c r="L36" s="682">
        <v>4.2327840815182638</v>
      </c>
      <c r="M36" s="682">
        <v>0.51972545929427916</v>
      </c>
      <c r="N36" s="682">
        <v>4.872567052118983</v>
      </c>
      <c r="O36" s="682">
        <v>0.4054105954204415</v>
      </c>
      <c r="P36" s="682">
        <v>4.7389376527011136</v>
      </c>
      <c r="Q36" s="682">
        <v>0.42928717123747728</v>
      </c>
      <c r="R36" s="682">
        <v>4.2145488535767308</v>
      </c>
      <c r="S36" s="682">
        <v>0.52298368543600882</v>
      </c>
      <c r="T36" s="682">
        <v>4.1445640949992626</v>
      </c>
      <c r="U36" s="682">
        <v>0.53548839174682994</v>
      </c>
      <c r="V36" s="682">
        <v>4.2975055249630651</v>
      </c>
      <c r="W36" s="682">
        <v>0.50816118931978471</v>
      </c>
      <c r="X36" s="313"/>
      <c r="Y36" s="313"/>
      <c r="Z36" s="313"/>
      <c r="AA36" s="313"/>
      <c r="AB36" s="313"/>
      <c r="AC36" s="313"/>
      <c r="AD36" s="313"/>
      <c r="AE36" s="313"/>
      <c r="AF36" s="313"/>
      <c r="AG36" s="313"/>
      <c r="AH36" s="313"/>
      <c r="AI36" s="313"/>
      <c r="AJ36" s="313"/>
      <c r="AK36" s="313"/>
      <c r="AL36" s="313"/>
      <c r="AM36" s="313"/>
      <c r="AN36" s="313"/>
      <c r="AO36" s="313"/>
      <c r="AP36" s="313"/>
      <c r="AQ36" s="313"/>
    </row>
    <row r="37" spans="1:138">
      <c r="A37" s="2">
        <v>2001</v>
      </c>
      <c r="B37" s="682">
        <v>4.7884924596082463</v>
      </c>
      <c r="C37" s="682">
        <v>0.42043283896201167</v>
      </c>
      <c r="D37" s="682">
        <v>4.2523279527552003</v>
      </c>
      <c r="E37" s="682">
        <v>0.51623340795393091</v>
      </c>
      <c r="F37" s="682">
        <v>5.9059586542359135</v>
      </c>
      <c r="G37" s="682">
        <v>0.22076669936074367</v>
      </c>
      <c r="H37" s="682">
        <v>5.0419287211740045</v>
      </c>
      <c r="I37" s="682">
        <v>0.3751494646415271</v>
      </c>
      <c r="J37" s="682">
        <v>5.1492906049269429</v>
      </c>
      <c r="K37" s="682">
        <v>0.35596630458502815</v>
      </c>
      <c r="L37" s="682">
        <v>4.5006700800659774</v>
      </c>
      <c r="M37" s="682">
        <v>0.47186024114235586</v>
      </c>
      <c r="N37" s="682">
        <v>5.1536559519604372</v>
      </c>
      <c r="O37" s="682">
        <v>0.35518631500289316</v>
      </c>
      <c r="P37" s="682">
        <v>4.9682249499434148</v>
      </c>
      <c r="Q37" s="682">
        <v>0.38831867508065826</v>
      </c>
      <c r="R37" s="682">
        <v>4.7112577052016862</v>
      </c>
      <c r="S37" s="682">
        <v>0.43423295688016322</v>
      </c>
      <c r="T37" s="682">
        <v>4.3227642814589258</v>
      </c>
      <c r="U37" s="682">
        <v>0.50364801619212929</v>
      </c>
      <c r="V37" s="682">
        <v>4.4819059672807384</v>
      </c>
      <c r="W37" s="682">
        <v>0.47521296714058597</v>
      </c>
      <c r="X37" s="313"/>
      <c r="Y37" s="313"/>
      <c r="Z37" s="313"/>
      <c r="AA37" s="313"/>
      <c r="AB37" s="313"/>
      <c r="AC37" s="313"/>
      <c r="AD37" s="313"/>
      <c r="AE37" s="313"/>
      <c r="AF37" s="313"/>
      <c r="AG37" s="313"/>
      <c r="AH37" s="313"/>
      <c r="AI37" s="313"/>
      <c r="AJ37" s="313"/>
      <c r="AK37" s="313"/>
      <c r="AL37" s="313"/>
      <c r="AM37" s="313"/>
      <c r="AN37" s="313"/>
      <c r="AO37" s="313"/>
      <c r="AP37" s="313"/>
      <c r="AQ37" s="313"/>
    </row>
    <row r="38" spans="1:138">
      <c r="A38" s="2">
        <v>2002</v>
      </c>
      <c r="B38" s="682">
        <v>5.0350859497701759</v>
      </c>
      <c r="C38" s="682">
        <v>0.37637211437978751</v>
      </c>
      <c r="D38" s="682">
        <v>4.4660415853522011</v>
      </c>
      <c r="E38" s="682">
        <v>0.47804757628765426</v>
      </c>
      <c r="F38" s="682">
        <v>5.5679201841903296</v>
      </c>
      <c r="G38" s="682">
        <v>0.2811665903598709</v>
      </c>
      <c r="H38" s="682">
        <v>5.5285423583592168</v>
      </c>
      <c r="I38" s="682">
        <v>0.28820252442873917</v>
      </c>
      <c r="J38" s="682">
        <v>5.4116022099447516</v>
      </c>
      <c r="K38" s="682">
        <v>0.30909710550024566</v>
      </c>
      <c r="L38" s="682">
        <v>4.6536863522331453</v>
      </c>
      <c r="M38" s="682">
        <v>0.44451966609258881</v>
      </c>
      <c r="N38" s="682">
        <v>5.5489238305719395</v>
      </c>
      <c r="O38" s="682">
        <v>0.28456081258486476</v>
      </c>
      <c r="P38" s="682">
        <v>5.1511952022974912</v>
      </c>
      <c r="Q38" s="682">
        <v>0.35562599576289078</v>
      </c>
      <c r="R38" s="682">
        <v>4.7314819675573521</v>
      </c>
      <c r="S38" s="682">
        <v>0.43061933491087895</v>
      </c>
      <c r="T38" s="682">
        <v>4.3074192765854216</v>
      </c>
      <c r="U38" s="682">
        <v>0.50638982431123403</v>
      </c>
      <c r="V38" s="682">
        <v>4.6962548253832095</v>
      </c>
      <c r="W38" s="682">
        <v>0.43691363492721152</v>
      </c>
      <c r="X38" s="313"/>
      <c r="Y38" s="313"/>
      <c r="Z38" s="313"/>
      <c r="AA38" s="313"/>
      <c r="AB38" s="313"/>
      <c r="AC38" s="313"/>
      <c r="AD38" s="313"/>
      <c r="AE38" s="313"/>
      <c r="AF38" s="313"/>
      <c r="AG38" s="313"/>
      <c r="AH38" s="313"/>
      <c r="AI38" s="313"/>
      <c r="AJ38" s="313"/>
      <c r="AK38" s="313"/>
      <c r="AL38" s="313"/>
      <c r="AM38" s="313"/>
      <c r="AN38" s="313"/>
      <c r="AO38" s="313"/>
      <c r="AP38" s="313"/>
      <c r="AQ38" s="313"/>
    </row>
    <row r="39" spans="1:138">
      <c r="A39" s="2">
        <v>2003</v>
      </c>
      <c r="B39" s="682">
        <v>5.1187409395786938</v>
      </c>
      <c r="C39" s="682">
        <v>0.36142484442768347</v>
      </c>
      <c r="D39" s="682">
        <v>4.7777740346018014</v>
      </c>
      <c r="E39" s="682">
        <v>0.42234798105215393</v>
      </c>
      <c r="F39" s="682">
        <v>6.0645161290322589</v>
      </c>
      <c r="G39" s="682">
        <v>0.1924360357131869</v>
      </c>
      <c r="H39" s="682">
        <v>5.7905426518071037</v>
      </c>
      <c r="I39" s="682">
        <v>0.24138894973749833</v>
      </c>
      <c r="J39" s="682">
        <v>5.536035136753843</v>
      </c>
      <c r="K39" s="682">
        <v>0.28686373302356272</v>
      </c>
      <c r="L39" s="682">
        <v>4.7812974191395456</v>
      </c>
      <c r="M39" s="682">
        <v>0.4217184312793158</v>
      </c>
      <c r="N39" s="682">
        <v>5.5952004300153435</v>
      </c>
      <c r="O39" s="682">
        <v>0.27629222243944446</v>
      </c>
      <c r="P39" s="682">
        <v>5.1984776559174986</v>
      </c>
      <c r="Q39" s="682">
        <v>0.34717768204157196</v>
      </c>
      <c r="R39" s="682">
        <v>4.8063049708469219</v>
      </c>
      <c r="S39" s="682">
        <v>0.41725014281180234</v>
      </c>
      <c r="T39" s="682">
        <v>4.2999926777476754</v>
      </c>
      <c r="U39" s="682">
        <v>0.50771679091427668</v>
      </c>
      <c r="V39" s="682">
        <v>4.8588601715753246</v>
      </c>
      <c r="W39" s="682">
        <v>0.40785970747169231</v>
      </c>
    </row>
    <row r="40" spans="1:138">
      <c r="A40" s="2">
        <v>2004</v>
      </c>
      <c r="B40" s="682">
        <v>5.1562997230630847</v>
      </c>
      <c r="C40" s="682">
        <v>0.35471393241754712</v>
      </c>
      <c r="D40" s="682">
        <v>4.9069833993665748</v>
      </c>
      <c r="E40" s="682">
        <v>0.39926116626800706</v>
      </c>
      <c r="F40" s="682">
        <v>5.8223201174743018</v>
      </c>
      <c r="G40" s="682">
        <v>0.23571102952247533</v>
      </c>
      <c r="H40" s="682">
        <v>5.6158518371004682</v>
      </c>
      <c r="I40" s="682">
        <v>0.27260227928962505</v>
      </c>
      <c r="J40" s="682">
        <v>5.4533949250142379</v>
      </c>
      <c r="K40" s="682">
        <v>0.30162968490041225</v>
      </c>
      <c r="L40" s="682">
        <v>4.7164200710533137</v>
      </c>
      <c r="M40" s="682">
        <v>0.43331055791564932</v>
      </c>
      <c r="N40" s="682">
        <v>5.6886079971982895</v>
      </c>
      <c r="O40" s="682">
        <v>0.25960238570109095</v>
      </c>
      <c r="P40" s="682">
        <v>5.1754556406171064</v>
      </c>
      <c r="Q40" s="682">
        <v>0.35129119969693351</v>
      </c>
      <c r="R40" s="682">
        <v>4.6263475242097574</v>
      </c>
      <c r="S40" s="682">
        <v>0.44940450133762422</v>
      </c>
      <c r="T40" s="682">
        <v>4.3279065612577607</v>
      </c>
      <c r="U40" s="682">
        <v>0.50272920615463634</v>
      </c>
      <c r="V40" s="682">
        <v>5.0643426932086726</v>
      </c>
      <c r="W40" s="682">
        <v>0.37114459067683048</v>
      </c>
    </row>
    <row r="41" spans="1:138">
      <c r="A41" s="2">
        <v>2005</v>
      </c>
      <c r="B41" s="682">
        <v>5.3123039439238688</v>
      </c>
      <c r="C41" s="682">
        <v>0.32683947796825169</v>
      </c>
      <c r="D41" s="682">
        <v>5.2893189491722286</v>
      </c>
      <c r="E41" s="682">
        <v>0.33094638088207501</v>
      </c>
      <c r="F41" s="682">
        <v>5.7228915662650603</v>
      </c>
      <c r="G41" s="682">
        <v>0.25347668103080662</v>
      </c>
      <c r="H41" s="682">
        <v>5.7280952380952384</v>
      </c>
      <c r="I41" s="682">
        <v>0.25254690161458926</v>
      </c>
      <c r="J41" s="682">
        <v>6.09612555174105</v>
      </c>
      <c r="K41" s="682">
        <v>0.18678814100493413</v>
      </c>
      <c r="L41" s="682">
        <v>4.9627720504009165</v>
      </c>
      <c r="M41" s="682">
        <v>0.38929298589786099</v>
      </c>
      <c r="N41" s="682">
        <v>5.8818212808011179</v>
      </c>
      <c r="O41" s="682">
        <v>0.22507950649263694</v>
      </c>
      <c r="P41" s="682">
        <v>5.3119200030301883</v>
      </c>
      <c r="Q41" s="682">
        <v>0.32690807959257362</v>
      </c>
      <c r="R41" s="682">
        <v>4.7734671730873579</v>
      </c>
      <c r="S41" s="682">
        <v>0.42311752058410618</v>
      </c>
      <c r="T41" s="682">
        <v>4.2387771683932565</v>
      </c>
      <c r="U41" s="682">
        <v>0.51865462911939098</v>
      </c>
      <c r="V41" s="682">
        <v>5.1566295870093333</v>
      </c>
      <c r="W41" s="682">
        <v>0.3546549931305622</v>
      </c>
    </row>
    <row r="42" spans="1:138">
      <c r="A42" s="2">
        <v>2006</v>
      </c>
      <c r="B42" s="682">
        <v>5.2443649289657364</v>
      </c>
      <c r="C42" s="682">
        <v>0.33897865578876996</v>
      </c>
      <c r="D42" s="682">
        <v>4.3979136860866674</v>
      </c>
      <c r="E42" s="682">
        <v>0.49022050349645058</v>
      </c>
      <c r="F42" s="682">
        <v>5.8694920955264047</v>
      </c>
      <c r="G42" s="682">
        <v>0.22728245530671806</v>
      </c>
      <c r="H42" s="682">
        <v>5.8197283577994234</v>
      </c>
      <c r="I42" s="682">
        <v>0.23617411883250999</v>
      </c>
      <c r="J42" s="682">
        <v>6.2474967605136058</v>
      </c>
      <c r="K42" s="682">
        <v>0.15974150187822286</v>
      </c>
      <c r="L42" s="682">
        <v>5.039893617021276</v>
      </c>
      <c r="M42" s="682">
        <v>0.37551309209783434</v>
      </c>
      <c r="N42" s="682">
        <v>5.811636224482287</v>
      </c>
      <c r="O42" s="682">
        <v>0.23762000151633453</v>
      </c>
      <c r="P42" s="682">
        <v>5.1939485193948514</v>
      </c>
      <c r="Q42" s="682">
        <v>0.34798693713094436</v>
      </c>
      <c r="R42" s="682">
        <v>4.7284950870539566</v>
      </c>
      <c r="S42" s="682">
        <v>0.4311530234487787</v>
      </c>
      <c r="T42" s="682">
        <v>4.0567330163590949</v>
      </c>
      <c r="U42" s="682">
        <v>0.55118183508624197</v>
      </c>
      <c r="V42" s="682">
        <v>5.0661924162273495</v>
      </c>
      <c r="W42" s="682">
        <v>0.37081408667031429</v>
      </c>
    </row>
    <row r="43" spans="1:138">
      <c r="A43" s="2">
        <v>2007</v>
      </c>
      <c r="B43" s="682">
        <v>5.2425344060695389</v>
      </c>
      <c r="C43" s="682">
        <v>0.33930572916413704</v>
      </c>
      <c r="D43" s="682">
        <v>4.7229201076301495</v>
      </c>
      <c r="E43" s="682">
        <v>0.4321491472020158</v>
      </c>
      <c r="F43" s="682">
        <v>5.9653067780276254</v>
      </c>
      <c r="G43" s="682">
        <v>0.21016252106252001</v>
      </c>
      <c r="H43" s="682">
        <v>5.815066988798594</v>
      </c>
      <c r="I43" s="682">
        <v>0.23700700089921337</v>
      </c>
      <c r="J43" s="682">
        <v>6.4457084929038064</v>
      </c>
      <c r="K43" s="682">
        <v>0.12432551200730106</v>
      </c>
      <c r="L43" s="682">
        <v>5.0515080713678842</v>
      </c>
      <c r="M43" s="682">
        <v>0.37343784966624105</v>
      </c>
      <c r="N43" s="682">
        <v>5.8971548060556191</v>
      </c>
      <c r="O43" s="682">
        <v>0.22233974952391278</v>
      </c>
      <c r="P43" s="682">
        <v>5.1304668634290316</v>
      </c>
      <c r="Q43" s="682">
        <v>0.35932968489649469</v>
      </c>
      <c r="R43" s="682">
        <v>4.4662999168876398</v>
      </c>
      <c r="S43" s="682">
        <v>0.47800141823771392</v>
      </c>
      <c r="T43" s="682">
        <v>3.9162142716986073</v>
      </c>
      <c r="U43" s="682">
        <v>0.57628938234168647</v>
      </c>
      <c r="V43" s="682">
        <v>4.9932261445259574</v>
      </c>
      <c r="W43" s="682">
        <v>0.38385152248873605</v>
      </c>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314"/>
      <c r="AV43" s="314"/>
      <c r="AW43" s="314"/>
      <c r="AX43" s="314"/>
      <c r="AY43" s="314"/>
      <c r="AZ43" s="314"/>
      <c r="BA43" s="314"/>
      <c r="BB43" s="314"/>
      <c r="BC43" s="314"/>
      <c r="BD43" s="314"/>
      <c r="BE43" s="314"/>
      <c r="BF43" s="314"/>
      <c r="BG43" s="314"/>
      <c r="BH43" s="314"/>
      <c r="BI43" s="314"/>
      <c r="BJ43" s="314"/>
      <c r="BK43" s="314"/>
      <c r="BL43" s="314"/>
      <c r="BM43" s="314"/>
      <c r="BN43" s="314"/>
      <c r="BO43" s="314"/>
      <c r="BP43" s="315"/>
      <c r="BQ43" s="315"/>
      <c r="BR43" s="315"/>
      <c r="BS43" s="315"/>
      <c r="BT43" s="315"/>
      <c r="BU43" s="315"/>
      <c r="BV43" s="315"/>
      <c r="BW43" s="315"/>
      <c r="BX43" s="315"/>
      <c r="BY43" s="315"/>
      <c r="BZ43" s="315"/>
      <c r="CA43" s="315"/>
      <c r="CB43" s="315"/>
      <c r="CC43" s="315"/>
      <c r="CD43" s="315"/>
      <c r="CE43" s="315"/>
      <c r="CF43" s="315"/>
      <c r="CG43" s="315"/>
      <c r="CH43" s="315"/>
      <c r="CI43" s="315"/>
      <c r="CJ43" s="315"/>
      <c r="CK43" s="315"/>
      <c r="CL43" s="315"/>
      <c r="CM43" s="315"/>
      <c r="CN43" s="315"/>
      <c r="CO43" s="315"/>
      <c r="CP43" s="315"/>
      <c r="CQ43" s="315"/>
      <c r="CR43" s="315"/>
      <c r="CS43" s="315"/>
      <c r="CT43" s="315"/>
      <c r="CU43" s="315"/>
      <c r="CV43" s="315"/>
      <c r="CW43" s="315"/>
      <c r="CX43" s="315"/>
      <c r="CY43" s="315"/>
      <c r="CZ43" s="315"/>
      <c r="DA43" s="315"/>
      <c r="DB43" s="315"/>
      <c r="DC43" s="315"/>
      <c r="DD43" s="315"/>
      <c r="DE43" s="315"/>
      <c r="DF43" s="315"/>
      <c r="DG43" s="315"/>
      <c r="DH43" s="315"/>
      <c r="DI43" s="315"/>
      <c r="DJ43" s="315"/>
      <c r="DK43" s="315"/>
      <c r="DL43" s="315"/>
      <c r="DM43" s="315"/>
      <c r="DN43" s="315"/>
      <c r="DO43" s="315"/>
      <c r="DP43" s="315"/>
      <c r="DQ43" s="315"/>
      <c r="DR43" s="315"/>
      <c r="DS43" s="315"/>
      <c r="DT43" s="315"/>
      <c r="DU43" s="315"/>
      <c r="DV43" s="315"/>
      <c r="DW43" s="315"/>
      <c r="DX43" s="315"/>
      <c r="DY43" s="315"/>
      <c r="DZ43" s="315"/>
      <c r="EA43" s="315"/>
      <c r="EB43" s="315"/>
      <c r="EC43" s="315"/>
      <c r="ED43" s="315"/>
      <c r="EE43" s="315"/>
      <c r="EF43" s="315"/>
      <c r="EG43" s="315"/>
      <c r="EH43" s="315"/>
    </row>
    <row r="44" spans="1:138">
      <c r="A44" s="2">
        <v>2008</v>
      </c>
      <c r="B44" s="682">
        <v>5.285038672614907</v>
      </c>
      <c r="C44" s="682">
        <v>0.33171117027859987</v>
      </c>
      <c r="D44" s="682">
        <v>4.776042320961051</v>
      </c>
      <c r="E44" s="682">
        <v>0.42265739943027203</v>
      </c>
      <c r="F44" s="682">
        <v>6.0481247362679662</v>
      </c>
      <c r="G44" s="682">
        <v>0.19536480987357657</v>
      </c>
      <c r="H44" s="682">
        <v>5.8741297918733739</v>
      </c>
      <c r="I44" s="682">
        <v>0.22645380301218421</v>
      </c>
      <c r="J44" s="682">
        <v>6.6751283334625171</v>
      </c>
      <c r="K44" s="682">
        <v>8.3333333333333287E-2</v>
      </c>
      <c r="L44" s="682">
        <v>5.1350637502407261</v>
      </c>
      <c r="M44" s="682">
        <v>0.35850832435038815</v>
      </c>
      <c r="N44" s="682">
        <v>5.9693807621573169</v>
      </c>
      <c r="O44" s="682">
        <v>0.2094345914948221</v>
      </c>
      <c r="P44" s="682">
        <v>5.1263312156815752</v>
      </c>
      <c r="Q44" s="682">
        <v>0.36006863236931774</v>
      </c>
      <c r="R44" s="682">
        <v>4.4150743531624137</v>
      </c>
      <c r="S44" s="682">
        <v>0.48715427727460187</v>
      </c>
      <c r="T44" s="682">
        <v>3.842344543063748</v>
      </c>
      <c r="U44" s="682">
        <v>0.58948824564585112</v>
      </c>
      <c r="V44" s="682">
        <v>5.054836957727928</v>
      </c>
      <c r="W44" s="682">
        <v>0.3728430523543611</v>
      </c>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c r="BH44" s="314"/>
      <c r="BI44" s="314"/>
      <c r="BJ44" s="314"/>
      <c r="BK44" s="314"/>
      <c r="BL44" s="314"/>
      <c r="BM44" s="314"/>
      <c r="BN44" s="314"/>
      <c r="BO44" s="314"/>
      <c r="BP44" s="315"/>
      <c r="BQ44" s="315"/>
      <c r="BR44" s="315"/>
      <c r="BS44" s="315"/>
      <c r="BT44" s="315"/>
      <c r="BU44" s="315"/>
      <c r="BV44" s="315"/>
      <c r="BW44" s="315"/>
      <c r="BX44" s="315"/>
      <c r="BY44" s="315"/>
      <c r="BZ44" s="315"/>
      <c r="CA44" s="315"/>
      <c r="CB44" s="315"/>
      <c r="CC44" s="315"/>
      <c r="CD44" s="315"/>
      <c r="CE44" s="315"/>
      <c r="CF44" s="315"/>
      <c r="CG44" s="315"/>
      <c r="CH44" s="315"/>
      <c r="CI44" s="315"/>
      <c r="CJ44" s="315"/>
      <c r="CK44" s="315"/>
      <c r="CL44" s="315"/>
      <c r="CM44" s="315"/>
      <c r="CN44" s="315"/>
      <c r="CO44" s="315"/>
      <c r="CP44" s="315"/>
      <c r="CQ44" s="315"/>
      <c r="CR44" s="315"/>
      <c r="CS44" s="315"/>
      <c r="CT44" s="315"/>
      <c r="CU44" s="315"/>
      <c r="CV44" s="315"/>
      <c r="CW44" s="315"/>
      <c r="CX44" s="315"/>
      <c r="CY44" s="315"/>
      <c r="CZ44" s="315"/>
      <c r="DA44" s="315"/>
      <c r="DB44" s="315"/>
      <c r="DC44" s="315"/>
      <c r="DD44" s="315"/>
      <c r="DE44" s="315"/>
      <c r="DF44" s="315"/>
      <c r="DG44" s="315"/>
      <c r="DH44" s="315"/>
      <c r="DI44" s="315"/>
      <c r="DJ44" s="315"/>
      <c r="DK44" s="315"/>
      <c r="DL44" s="315"/>
      <c r="DM44" s="315"/>
      <c r="DN44" s="315"/>
      <c r="DO44" s="315"/>
      <c r="DP44" s="315"/>
      <c r="DQ44" s="315"/>
      <c r="DR44" s="315"/>
      <c r="DS44" s="315"/>
      <c r="DT44" s="315"/>
      <c r="DU44" s="315"/>
      <c r="DV44" s="315"/>
      <c r="DW44" s="315"/>
      <c r="DX44" s="315"/>
      <c r="DY44" s="315"/>
      <c r="DZ44" s="315"/>
      <c r="EA44" s="315"/>
      <c r="EB44" s="315"/>
      <c r="EC44" s="315"/>
      <c r="ED44" s="315"/>
      <c r="EE44" s="315"/>
      <c r="EF44" s="315"/>
      <c r="EG44" s="315"/>
      <c r="EH44" s="315"/>
    </row>
    <row r="45" spans="1:138">
      <c r="A45" s="2" t="s">
        <v>1707</v>
      </c>
      <c r="B45" s="644">
        <f>(POWER(B44/B17, 1/27)-1)*100</f>
        <v>2.5830781289013505</v>
      </c>
      <c r="C45" s="644">
        <f>C44-C17</f>
        <v>-0.469995502459152</v>
      </c>
      <c r="D45" s="644">
        <f>(POWER(D44/D17, 1/27)-1)*100</f>
        <v>-0.49552201738313206</v>
      </c>
      <c r="E45" s="644">
        <f>E44-E17</f>
        <v>0.12248789848624875</v>
      </c>
      <c r="F45" s="644">
        <f>(POWER(F44/F17, 1/27)-1)*100</f>
        <v>0.43304739901151024</v>
      </c>
      <c r="G45" s="644">
        <f>G44-G17</f>
        <v>-0.11900438091370846</v>
      </c>
      <c r="H45" s="644">
        <f>(POWER(H44/H17, 1/27)-1)*100</f>
        <v>3.3541478534894642</v>
      </c>
      <c r="I45" s="644">
        <f>I47-I17</f>
        <v>-0.84534378481075201</v>
      </c>
      <c r="J45" s="644">
        <f>(POWER(J44/J17, 1/27)-1)*100</f>
        <v>2.5680253672766051</v>
      </c>
      <c r="K45" s="644">
        <f>K44-K17</f>
        <v>-0.5912370074673573</v>
      </c>
      <c r="L45" s="644">
        <f>(POWER(L44/L17, 1/27)-1)*100</f>
        <v>2.7467916316614049</v>
      </c>
      <c r="M45" s="644">
        <f>M44-M17</f>
        <v>-0.47607976896586046</v>
      </c>
      <c r="N45" s="644">
        <f>(POWER(N44/N17, 1/27)-1)*100</f>
        <v>3.0371747947144589</v>
      </c>
      <c r="O45" s="644">
        <f>O44-O17</f>
        <v>-0.59108090227830479</v>
      </c>
      <c r="P45" s="644">
        <f>(POWER(P44/P17, 1/27)-1)*100</f>
        <v>1.9920783088029248</v>
      </c>
      <c r="Q45" s="644">
        <f>Q47-Q17</f>
        <v>-0.73827610725351744</v>
      </c>
      <c r="R45" s="644">
        <f>(POWER(R44/R17, 1/27)-1)*100</f>
        <v>2.846600207192318</v>
      </c>
      <c r="S45" s="644">
        <f>S44-S17</f>
        <v>-0.41914900954396234</v>
      </c>
      <c r="T45" s="644">
        <f>(POWER(T44/T17, 1/27)-1)*100</f>
        <v>1.999122270495346</v>
      </c>
      <c r="U45" s="644">
        <f>U44-U17</f>
        <v>-0.28422912861709093</v>
      </c>
      <c r="V45" s="644">
        <f>(POWER(V44/V17, 1/27)-1)*100</f>
        <v>2.0996543291782244</v>
      </c>
      <c r="W45" s="644">
        <f>W44-W17</f>
        <v>-0.38781274950439282</v>
      </c>
      <c r="X45" s="644"/>
      <c r="Y45" s="64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5"/>
      <c r="BQ45" s="315"/>
      <c r="BR45" s="315"/>
      <c r="BS45" s="315"/>
      <c r="BT45" s="315"/>
      <c r="BU45" s="315"/>
      <c r="BV45" s="315"/>
      <c r="BW45" s="315"/>
      <c r="BX45" s="315"/>
      <c r="BY45" s="315"/>
      <c r="BZ45" s="315"/>
      <c r="CA45" s="315"/>
      <c r="CB45" s="315"/>
      <c r="CC45" s="315"/>
      <c r="CD45" s="315"/>
      <c r="CE45" s="315"/>
      <c r="CF45" s="315"/>
      <c r="CG45" s="315"/>
      <c r="CH45" s="315"/>
      <c r="CI45" s="315"/>
      <c r="CJ45" s="315"/>
      <c r="CK45" s="315"/>
      <c r="CL45" s="315"/>
      <c r="CM45" s="315"/>
      <c r="CN45" s="315"/>
      <c r="CO45" s="315"/>
      <c r="CP45" s="315"/>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15"/>
      <c r="DY45" s="315"/>
      <c r="DZ45" s="315"/>
      <c r="EA45" s="315"/>
      <c r="EB45" s="315"/>
      <c r="EC45" s="315"/>
      <c r="ED45" s="315"/>
      <c r="EE45" s="315"/>
      <c r="EF45" s="315"/>
      <c r="EG45" s="315"/>
      <c r="EH45" s="315"/>
    </row>
    <row r="46" spans="1:138">
      <c r="B46" s="309" t="s">
        <v>391</v>
      </c>
      <c r="J46" s="309" t="s">
        <v>136</v>
      </c>
      <c r="R46" s="309" t="s">
        <v>136</v>
      </c>
    </row>
    <row r="47" spans="1:138">
      <c r="E47" s="309" t="s">
        <v>1126</v>
      </c>
      <c r="F47" s="317"/>
      <c r="K47" s="317"/>
      <c r="P47" s="317"/>
      <c r="U47" s="317"/>
      <c r="Z47" s="317"/>
      <c r="AE47" s="317"/>
      <c r="AJ47" s="317"/>
      <c r="AO47" s="317"/>
      <c r="AT47" s="317"/>
      <c r="AY47" s="317"/>
      <c r="BD47" s="317"/>
    </row>
    <row r="48" spans="1:138">
      <c r="D48" s="309">
        <v>1981</v>
      </c>
      <c r="E48" s="309">
        <f>100*B17/B$17</f>
        <v>100.00000000000001</v>
      </c>
    </row>
    <row r="49" spans="2:5">
      <c r="D49" s="309">
        <f>D48+1</f>
        <v>1982</v>
      </c>
      <c r="E49" s="309">
        <f t="shared" ref="E49:E75" si="11">100*B18/B$17</f>
        <v>104.55599652254431</v>
      </c>
    </row>
    <row r="50" spans="2:5">
      <c r="B50" s="1" t="s">
        <v>139</v>
      </c>
      <c r="C50" s="361">
        <f>MAX(B17:B44,D17:D44,F17:F44,H17:H44,J17:J44,L17:L44,N17:N44,P17:P44,R17:R44,T17:T44,V17:V44)</f>
        <v>6.6751283334625171</v>
      </c>
      <c r="D50" s="309">
        <f t="shared" ref="D50:D73" si="12">D49+1</f>
        <v>1983</v>
      </c>
      <c r="E50" s="309">
        <f t="shared" si="11"/>
        <v>108.80924736794894</v>
      </c>
    </row>
    <row r="51" spans="2:5">
      <c r="B51" s="1" t="s">
        <v>140</v>
      </c>
      <c r="C51" s="361">
        <f>MIN(B17:B44,D17:D44,F17:F44,H17:H44,J17:J44,L17:L44,N17:N44,P17:P44,R17:R44,T17:T44,V17:V44)</f>
        <v>2.0112337406385494</v>
      </c>
      <c r="D51" s="309">
        <f t="shared" si="12"/>
        <v>1984</v>
      </c>
      <c r="E51" s="309">
        <f t="shared" si="11"/>
        <v>110.63330404406935</v>
      </c>
    </row>
    <row r="52" spans="2:5">
      <c r="B52" s="1" t="s">
        <v>141</v>
      </c>
      <c r="C52" s="361">
        <f>C50-C51</f>
        <v>4.6638945928239677</v>
      </c>
      <c r="D52" s="309">
        <f t="shared" si="12"/>
        <v>1985</v>
      </c>
      <c r="E52" s="309">
        <f t="shared" si="11"/>
        <v>113.67768564114087</v>
      </c>
    </row>
    <row r="53" spans="2:5">
      <c r="B53" s="1" t="s">
        <v>142</v>
      </c>
      <c r="C53" s="361">
        <f>C52/10</f>
        <v>0.46638945928239678</v>
      </c>
      <c r="D53" s="309">
        <f t="shared" si="12"/>
        <v>1986</v>
      </c>
      <c r="E53" s="309">
        <f t="shared" si="11"/>
        <v>119.61248931793027</v>
      </c>
    </row>
    <row r="54" spans="2:5">
      <c r="B54" s="1" t="s">
        <v>143</v>
      </c>
      <c r="C54" s="361">
        <f>C50+C53</f>
        <v>7.1415177927449136</v>
      </c>
      <c r="D54" s="309">
        <f t="shared" si="12"/>
        <v>1987</v>
      </c>
      <c r="E54" s="309">
        <f t="shared" si="11"/>
        <v>122.03757310557991</v>
      </c>
    </row>
    <row r="55" spans="2:5">
      <c r="B55" s="1" t="s">
        <v>144</v>
      </c>
      <c r="C55" s="361">
        <f>C51-C53</f>
        <v>1.5448442813561527</v>
      </c>
      <c r="D55" s="309">
        <f t="shared" si="12"/>
        <v>1988</v>
      </c>
      <c r="E55" s="309">
        <f t="shared" si="11"/>
        <v>121.96876732745903</v>
      </c>
    </row>
    <row r="56" spans="2:5">
      <c r="B56" s="1" t="s">
        <v>145</v>
      </c>
      <c r="C56" s="361">
        <f>C54-C55</f>
        <v>5.5966735113887607</v>
      </c>
      <c r="D56" s="309">
        <f t="shared" si="12"/>
        <v>1989</v>
      </c>
      <c r="E56" s="309">
        <f t="shared" si="11"/>
        <v>123.46538025286337</v>
      </c>
    </row>
    <row r="57" spans="2:5">
      <c r="D57" s="309">
        <f t="shared" si="12"/>
        <v>1990</v>
      </c>
      <c r="E57" s="309">
        <f t="shared" si="11"/>
        <v>128.28825339696468</v>
      </c>
    </row>
    <row r="58" spans="2:5">
      <c r="D58" s="309">
        <f t="shared" si="12"/>
        <v>1991</v>
      </c>
      <c r="E58" s="309">
        <f t="shared" si="11"/>
        <v>134.78772513156335</v>
      </c>
    </row>
    <row r="59" spans="2:5">
      <c r="D59" s="309">
        <f t="shared" si="12"/>
        <v>1992</v>
      </c>
      <c r="E59" s="309">
        <f t="shared" si="11"/>
        <v>141.15074070129066</v>
      </c>
    </row>
    <row r="60" spans="2:5">
      <c r="D60" s="309">
        <f t="shared" si="12"/>
        <v>1993</v>
      </c>
      <c r="E60" s="309">
        <f t="shared" si="11"/>
        <v>149.00845897310958</v>
      </c>
    </row>
    <row r="61" spans="2:5">
      <c r="D61" s="309">
        <f t="shared" si="12"/>
        <v>1994</v>
      </c>
      <c r="E61" s="309">
        <f t="shared" si="11"/>
        <v>153.83158543287999</v>
      </c>
    </row>
    <row r="62" spans="2:5">
      <c r="D62" s="309">
        <f t="shared" si="12"/>
        <v>1995</v>
      </c>
      <c r="E62" s="309">
        <f t="shared" si="11"/>
        <v>154.3181854228377</v>
      </c>
    </row>
    <row r="63" spans="2:5">
      <c r="D63" s="309">
        <f t="shared" si="12"/>
        <v>1996</v>
      </c>
      <c r="E63" s="309">
        <f t="shared" si="11"/>
        <v>155.73628925028856</v>
      </c>
    </row>
    <row r="64" spans="2:5">
      <c r="D64" s="309">
        <f t="shared" si="12"/>
        <v>1997</v>
      </c>
      <c r="E64" s="309">
        <f t="shared" si="11"/>
        <v>161.62721991674746</v>
      </c>
    </row>
    <row r="65" spans="4:5">
      <c r="D65" s="309">
        <f t="shared" si="12"/>
        <v>1998</v>
      </c>
      <c r="E65" s="309">
        <f t="shared" si="11"/>
        <v>163.69379544394107</v>
      </c>
    </row>
    <row r="66" spans="4:5">
      <c r="D66" s="309">
        <f t="shared" si="12"/>
        <v>1999</v>
      </c>
      <c r="E66" s="309">
        <f t="shared" si="11"/>
        <v>170.07248131012778</v>
      </c>
    </row>
    <row r="67" spans="4:5">
      <c r="D67" s="309">
        <f t="shared" si="12"/>
        <v>2000</v>
      </c>
      <c r="E67" s="309">
        <f t="shared" si="11"/>
        <v>170.73091577195385</v>
      </c>
    </row>
    <row r="68" spans="4:5">
      <c r="D68" s="309">
        <f t="shared" si="12"/>
        <v>2001</v>
      </c>
      <c r="E68" s="309">
        <f t="shared" si="11"/>
        <v>180.38285341521055</v>
      </c>
    </row>
    <row r="69" spans="4:5">
      <c r="D69" s="309">
        <f t="shared" si="12"/>
        <v>2002</v>
      </c>
      <c r="E69" s="309">
        <f t="shared" si="11"/>
        <v>189.6720478253994</v>
      </c>
    </row>
    <row r="70" spans="4:5">
      <c r="D70" s="309">
        <f t="shared" si="12"/>
        <v>2003</v>
      </c>
      <c r="E70" s="309">
        <f t="shared" si="11"/>
        <v>192.82333727429526</v>
      </c>
    </row>
    <row r="71" spans="4:5">
      <c r="D71" s="309">
        <f t="shared" si="12"/>
        <v>2004</v>
      </c>
      <c r="E71" s="309">
        <f t="shared" si="11"/>
        <v>194.23817933426849</v>
      </c>
    </row>
    <row r="72" spans="4:5">
      <c r="D72" s="309">
        <f t="shared" si="12"/>
        <v>2005</v>
      </c>
      <c r="E72" s="309">
        <f t="shared" si="11"/>
        <v>200.11486949115081</v>
      </c>
    </row>
    <row r="73" spans="4:5">
      <c r="D73" s="309">
        <f t="shared" si="12"/>
        <v>2006</v>
      </c>
      <c r="E73" s="309">
        <f t="shared" si="11"/>
        <v>197.55560193883872</v>
      </c>
    </row>
    <row r="74" spans="4:5">
      <c r="D74" s="309">
        <v>2007</v>
      </c>
      <c r="E74" s="309">
        <f t="shared" si="11"/>
        <v>197.48664601042424</v>
      </c>
    </row>
    <row r="75" spans="4:5">
      <c r="D75" s="309">
        <v>2008</v>
      </c>
      <c r="E75" s="309">
        <f t="shared" si="11"/>
        <v>199.08778477099386</v>
      </c>
    </row>
  </sheetData>
  <phoneticPr fontId="40" type="noConversion"/>
  <pageMargins left="0.15748031496062992" right="0.15748031496062992" top="0.39370078740157483" bottom="0.39370078740157483" header="0.51181102362204722" footer="0.51181102362204722"/>
  <pageSetup scale="85" orientation="landscape" horizontalDpi="360" verticalDpi="360" r:id="rId1"/>
  <headerFooter alignWithMargins="0"/>
  <colBreaks count="2" manualBreakCount="2">
    <brk id="9" max="43" man="1"/>
    <brk id="17" max="1048575" man="1"/>
  </colBreaks>
</worksheet>
</file>

<file path=xl/worksheets/sheet18.xml><?xml version="1.0" encoding="utf-8"?>
<worksheet xmlns="http://schemas.openxmlformats.org/spreadsheetml/2006/main" xmlns:r="http://schemas.openxmlformats.org/officeDocument/2006/relationships">
  <sheetPr codeName="Sheet70">
    <pageSetUpPr fitToPage="1"/>
  </sheetPr>
  <dimension ref="A1:Q109"/>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3" width="14.85546875" style="1" bestFit="1" customWidth="1"/>
    <col min="4" max="6" width="9.28515625" style="1" bestFit="1" customWidth="1"/>
    <col min="7" max="8" width="9.7109375" style="1" bestFit="1" customWidth="1"/>
    <col min="9" max="12" width="9.28515625" style="1" bestFit="1" customWidth="1"/>
    <col min="13" max="13" width="4.140625" style="1" customWidth="1"/>
    <col min="14" max="15" width="8.85546875" style="1" customWidth="1"/>
    <col min="16" max="17" width="9.42578125" style="1" hidden="1" customWidth="1"/>
    <col min="18" max="16384" width="8.85546875" style="1"/>
  </cols>
  <sheetData>
    <row r="1" spans="1:17" ht="15.75">
      <c r="A1" s="3" t="s">
        <v>2103</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M4" s="1054"/>
      <c r="N4" s="1048" t="s">
        <v>282</v>
      </c>
      <c r="O4" s="1048" t="s">
        <v>282</v>
      </c>
      <c r="P4" s="645" t="s">
        <v>281</v>
      </c>
      <c r="Q4" s="645" t="s">
        <v>281</v>
      </c>
    </row>
    <row r="5" spans="1:17">
      <c r="A5" s="120">
        <v>1981</v>
      </c>
      <c r="B5" s="709">
        <f>'7a'!B5/'7a'!$B5*100</f>
        <v>100</v>
      </c>
      <c r="C5" s="36">
        <f>'7a'!C5/'7a'!$B5*100</f>
        <v>62.469926443946463</v>
      </c>
      <c r="D5" s="36">
        <f>'7a'!D5/'7a'!$B5*100</f>
        <v>65.586118616513104</v>
      </c>
      <c r="E5" s="36">
        <f>'7a'!E5/'7a'!$B5*100</f>
        <v>71.65431437450988</v>
      </c>
      <c r="F5" s="36">
        <f>'7a'!F5/'7a'!$B5*100</f>
        <v>65.74759664499274</v>
      </c>
      <c r="G5" s="36">
        <f>'7a'!G5/'7a'!$B5*100</f>
        <v>90.850063081764773</v>
      </c>
      <c r="H5" s="36">
        <f>'7a'!H5/'7a'!$B5*100</f>
        <v>109.48188469293747</v>
      </c>
      <c r="I5" s="36">
        <f>'7a'!I5/'7a'!$B5*100</f>
        <v>91.248883084508506</v>
      </c>
      <c r="J5" s="36">
        <f>'7a'!J5/'7a'!$B5*100</f>
        <v>91.89299197740273</v>
      </c>
      <c r="K5" s="36">
        <f>'7a'!K5/'7a'!$B5*100</f>
        <v>137.28636834587627</v>
      </c>
      <c r="L5" s="36">
        <f>'7a'!L5/'7a'!$B5*100</f>
        <v>114.65133647764134</v>
      </c>
      <c r="N5" s="19">
        <f t="shared" ref="N5:N32" si="0">SUM(C82:L82)/10</f>
        <v>649.03947164630551</v>
      </c>
      <c r="O5" s="19">
        <f>SQRT(N5)</f>
        <v>25.476253092758864</v>
      </c>
      <c r="P5" s="19">
        <f>Q5^2</f>
        <v>550.77087910674857</v>
      </c>
      <c r="Q5" s="19">
        <f>STDEVP(C5:L5)</f>
        <v>23.468508242041047</v>
      </c>
    </row>
    <row r="6" spans="1:17">
      <c r="A6" s="120">
        <v>1982</v>
      </c>
      <c r="B6" s="39">
        <f>'7a'!B6/'7a'!$B6*100</f>
        <v>100</v>
      </c>
      <c r="C6" s="36">
        <f>'7a'!C6/'7a'!$B6*100</f>
        <v>65.834761693697288</v>
      </c>
      <c r="D6" s="36">
        <f>'7a'!D6/'7a'!$B6*100</f>
        <v>68.871099872754158</v>
      </c>
      <c r="E6" s="36">
        <f>'7a'!E6/'7a'!$B6*100</f>
        <v>77.087787578656148</v>
      </c>
      <c r="F6" s="36">
        <f>'7a'!F6/'7a'!$B6*100</f>
        <v>69.598119831807821</v>
      </c>
      <c r="G6" s="36">
        <f>'7a'!G6/'7a'!$B6*100</f>
        <v>90.734034755989939</v>
      </c>
      <c r="H6" s="36">
        <f>'7a'!H6/'7a'!$B6*100</f>
        <v>109.55297257379189</v>
      </c>
      <c r="I6" s="36">
        <f>'7a'!I6/'7a'!$B6*100</f>
        <v>91.631192321434327</v>
      </c>
      <c r="J6" s="36">
        <f>'7a'!J6/'7a'!$B6*100</f>
        <v>92.895176852311323</v>
      </c>
      <c r="K6" s="36">
        <f>'7a'!K6/'7a'!$B6*100</f>
        <v>133.69737745677065</v>
      </c>
      <c r="L6" s="36">
        <f>'7a'!L6/'7a'!$B6*100</f>
        <v>110.05522846302689</v>
      </c>
      <c r="N6" s="19">
        <f t="shared" si="0"/>
        <v>511.97694451877169</v>
      </c>
      <c r="O6" s="19">
        <f t="shared" ref="O6:O30" si="1">SQRT(N6)</f>
        <v>22.626907533261626</v>
      </c>
      <c r="P6" s="19">
        <f t="shared" ref="P6:P29" si="2">Q6^2</f>
        <v>430.90087918976087</v>
      </c>
      <c r="Q6" s="19">
        <f t="shared" ref="Q6:Q29" si="3">STDEVP(C6:L6)</f>
        <v>20.758152114043313</v>
      </c>
    </row>
    <row r="7" spans="1:17">
      <c r="A7" s="120">
        <v>1983</v>
      </c>
      <c r="B7" s="39">
        <f>'7a'!B7/'7a'!$B7*100</f>
        <v>100</v>
      </c>
      <c r="C7" s="36">
        <f>'7a'!C7/'7a'!$B7*100</f>
        <v>66.139589579342086</v>
      </c>
      <c r="D7" s="36">
        <f>'7a'!D7/'7a'!$B7*100</f>
        <v>73.27721218731547</v>
      </c>
      <c r="E7" s="36">
        <f>'7a'!E7/'7a'!$B7*100</f>
        <v>76.856907221812648</v>
      </c>
      <c r="F7" s="36">
        <f>'7a'!F7/'7a'!$B7*100</f>
        <v>72.475257325466913</v>
      </c>
      <c r="G7" s="36">
        <f>'7a'!G7/'7a'!$B7*100</f>
        <v>90.591332146089684</v>
      </c>
      <c r="H7" s="36">
        <f>'7a'!H7/'7a'!$B7*100</f>
        <v>111.09296403761971</v>
      </c>
      <c r="I7" s="36">
        <f>'7a'!I7/'7a'!$B7*100</f>
        <v>89.58078258711123</v>
      </c>
      <c r="J7" s="36">
        <f>'7a'!J7/'7a'!$B7*100</f>
        <v>92.669872099040234</v>
      </c>
      <c r="K7" s="36">
        <f>'7a'!K7/'7a'!$B7*100</f>
        <v>128.80063907737116</v>
      </c>
      <c r="L7" s="36">
        <f>'7a'!L7/'7a'!$B7*100</f>
        <v>107.79432935096575</v>
      </c>
      <c r="N7" s="19">
        <f t="shared" si="0"/>
        <v>441.79451147391376</v>
      </c>
      <c r="O7" s="19">
        <f t="shared" si="1"/>
        <v>21.018908427268858</v>
      </c>
      <c r="P7" s="19">
        <f t="shared" si="2"/>
        <v>359.49130551615156</v>
      </c>
      <c r="Q7" s="19">
        <f t="shared" si="3"/>
        <v>18.960255945428361</v>
      </c>
    </row>
    <row r="8" spans="1:17">
      <c r="A8" s="120">
        <v>1984</v>
      </c>
      <c r="B8" s="39">
        <f>'7a'!B8/'7a'!$B8*100</f>
        <v>100</v>
      </c>
      <c r="C8" s="36">
        <f>'7a'!C8/'7a'!$B8*100</f>
        <v>64.742090729490357</v>
      </c>
      <c r="D8" s="36">
        <f>'7a'!D8/'7a'!$B8*100</f>
        <v>70.672276238565573</v>
      </c>
      <c r="E8" s="36">
        <f>'7a'!E8/'7a'!$B8*100</f>
        <v>77.048940314926924</v>
      </c>
      <c r="F8" s="36">
        <f>'7a'!F8/'7a'!$B8*100</f>
        <v>70.02911236768756</v>
      </c>
      <c r="G8" s="36">
        <f>'7a'!G8/'7a'!$B8*100</f>
        <v>89.829726057179656</v>
      </c>
      <c r="H8" s="36">
        <f>'7a'!H8/'7a'!$B8*100</f>
        <v>112.87593690751747</v>
      </c>
      <c r="I8" s="36">
        <f>'7a'!I8/'7a'!$B8*100</f>
        <v>91.441479149196269</v>
      </c>
      <c r="J8" s="36">
        <f>'7a'!J8/'7a'!$B8*100</f>
        <v>88.980744575737845</v>
      </c>
      <c r="K8" s="36">
        <f>'7a'!K8/'7a'!$B8*100</f>
        <v>127.9607813174398</v>
      </c>
      <c r="L8" s="36">
        <f>'7a'!L8/'7a'!$B8*100</f>
        <v>102.22476349287287</v>
      </c>
      <c r="N8" s="19">
        <f t="shared" si="0"/>
        <v>477.88921503490457</v>
      </c>
      <c r="O8" s="19">
        <f t="shared" si="1"/>
        <v>21.860677369077671</v>
      </c>
      <c r="P8" s="19">
        <f t="shared" si="2"/>
        <v>369.3250084904243</v>
      </c>
      <c r="Q8" s="19">
        <f t="shared" si="3"/>
        <v>19.217830483444907</v>
      </c>
    </row>
    <row r="9" spans="1:17">
      <c r="A9" s="120">
        <v>1985</v>
      </c>
      <c r="B9" s="39">
        <f>'7a'!B9/'7a'!$B9*100</f>
        <v>100</v>
      </c>
      <c r="C9" s="36">
        <f>'7a'!C9/'7a'!$B9*100</f>
        <v>63.290756755458169</v>
      </c>
      <c r="D9" s="36">
        <f>'7a'!D9/'7a'!$B9*100</f>
        <v>67.177846006638219</v>
      </c>
      <c r="E9" s="36">
        <f>'7a'!E9/'7a'!$B9*100</f>
        <v>77.046530135990636</v>
      </c>
      <c r="F9" s="36">
        <f>'7a'!F9/'7a'!$B9*100</f>
        <v>69.253436478907076</v>
      </c>
      <c r="G9" s="36">
        <f>'7a'!G9/'7a'!$B9*100</f>
        <v>88.861752244356197</v>
      </c>
      <c r="H9" s="36">
        <f>'7a'!H9/'7a'!$B9*100</f>
        <v>111.54929341037403</v>
      </c>
      <c r="I9" s="36">
        <f>'7a'!I9/'7a'!$B9*100</f>
        <v>92.745540490356717</v>
      </c>
      <c r="J9" s="36">
        <f>'7a'!J9/'7a'!$B9*100</f>
        <v>87.022022306415906</v>
      </c>
      <c r="K9" s="36">
        <f>'7a'!K9/'7a'!$B9*100</f>
        <v>132.52911671970668</v>
      </c>
      <c r="L9" s="36">
        <f>'7a'!L9/'7a'!$B9*100</f>
        <v>104.36599859364333</v>
      </c>
      <c r="N9" s="19">
        <f t="shared" si="0"/>
        <v>545.27824869267124</v>
      </c>
      <c r="O9" s="19">
        <f t="shared" si="1"/>
        <v>23.351193731641885</v>
      </c>
      <c r="P9" s="19">
        <f t="shared" si="2"/>
        <v>432.5836614388565</v>
      </c>
      <c r="Q9" s="19">
        <f t="shared" si="3"/>
        <v>20.79864566357282</v>
      </c>
    </row>
    <row r="10" spans="1:17">
      <c r="A10" s="120">
        <v>1986</v>
      </c>
      <c r="B10" s="39">
        <f>'7a'!B10/'7a'!$B10*100</f>
        <v>100</v>
      </c>
      <c r="C10" s="36">
        <f>'7a'!C10/'7a'!$B10*100</f>
        <v>62.840409127022745</v>
      </c>
      <c r="D10" s="36">
        <f>'7a'!D10/'7a'!$B10*100</f>
        <v>68.758938012297548</v>
      </c>
      <c r="E10" s="36">
        <f>'7a'!E10/'7a'!$B10*100</f>
        <v>77.320024677519925</v>
      </c>
      <c r="F10" s="36">
        <f>'7a'!F10/'7a'!$B10*100</f>
        <v>72.856769033164298</v>
      </c>
      <c r="G10" s="36">
        <f>'7a'!G10/'7a'!$B10*100</f>
        <v>88.808826670082993</v>
      </c>
      <c r="H10" s="36">
        <f>'7a'!H10/'7a'!$B10*100</f>
        <v>112.80625362966907</v>
      </c>
      <c r="I10" s="36">
        <f>'7a'!I10/'7a'!$B10*100</f>
        <v>91.024113785368471</v>
      </c>
      <c r="J10" s="36">
        <f>'7a'!J10/'7a'!$B10*100</f>
        <v>90.43263222436488</v>
      </c>
      <c r="K10" s="36">
        <f>'7a'!K10/'7a'!$B10*100</f>
        <v>126.37973282840045</v>
      </c>
      <c r="L10" s="36">
        <f>'7a'!L10/'7a'!$B10*100</f>
        <v>102.15374547422829</v>
      </c>
      <c r="N10" s="19">
        <f t="shared" si="0"/>
        <v>476.98478915992939</v>
      </c>
      <c r="O10" s="19">
        <f t="shared" si="1"/>
        <v>21.839981436803683</v>
      </c>
      <c r="P10" s="19">
        <f t="shared" si="2"/>
        <v>363.30962744245545</v>
      </c>
      <c r="Q10" s="19">
        <f t="shared" si="3"/>
        <v>19.060682764330753</v>
      </c>
    </row>
    <row r="11" spans="1:17">
      <c r="A11" s="120">
        <v>1987</v>
      </c>
      <c r="B11" s="39">
        <f>'7a'!B11/'7a'!$B11*100</f>
        <v>100</v>
      </c>
      <c r="C11" s="36">
        <f>'7a'!C11/'7a'!$B11*100</f>
        <v>63.246674206243206</v>
      </c>
      <c r="D11" s="36">
        <f>'7a'!D11/'7a'!$B11*100</f>
        <v>67.68405610555358</v>
      </c>
      <c r="E11" s="36">
        <f>'7a'!E11/'7a'!$B11*100</f>
        <v>77.15373133300109</v>
      </c>
      <c r="F11" s="36">
        <f>'7a'!F11/'7a'!$B11*100</f>
        <v>74.218524788361236</v>
      </c>
      <c r="G11" s="36">
        <f>'7a'!G11/'7a'!$B11*100</f>
        <v>88.996723006791314</v>
      </c>
      <c r="H11" s="36">
        <f>'7a'!H11/'7a'!$B11*100</f>
        <v>112.67762362011669</v>
      </c>
      <c r="I11" s="36">
        <f>'7a'!I11/'7a'!$B11*100</f>
        <v>89.154532547021901</v>
      </c>
      <c r="J11" s="36">
        <f>'7a'!J11/'7a'!$B11*100</f>
        <v>87.926153207974551</v>
      </c>
      <c r="K11" s="36">
        <f>'7a'!K11/'7a'!$B11*100</f>
        <v>124.80799851971074</v>
      </c>
      <c r="L11" s="36">
        <f>'7a'!L11/'7a'!$B11*100</f>
        <v>103.84148204066861</v>
      </c>
      <c r="N11" s="19">
        <f t="shared" si="0"/>
        <v>475.71536034803546</v>
      </c>
      <c r="O11" s="19">
        <f t="shared" si="1"/>
        <v>21.810900035258413</v>
      </c>
      <c r="P11" s="19">
        <f t="shared" si="2"/>
        <v>354.07100340785695</v>
      </c>
      <c r="Q11" s="19">
        <f t="shared" si="3"/>
        <v>18.816774521895535</v>
      </c>
    </row>
    <row r="12" spans="1:17">
      <c r="A12" s="120">
        <v>1988</v>
      </c>
      <c r="B12" s="39">
        <f>'7a'!B12/'7a'!$B12*100</f>
        <v>100</v>
      </c>
      <c r="C12" s="36">
        <f>'7a'!C12/'7a'!$B12*100</f>
        <v>64.85947530137723</v>
      </c>
      <c r="D12" s="36">
        <f>'7a'!D12/'7a'!$B12*100</f>
        <v>67.139653819318937</v>
      </c>
      <c r="E12" s="36">
        <f>'7a'!E12/'7a'!$B12*100</f>
        <v>75.079642589493261</v>
      </c>
      <c r="F12" s="36">
        <f>'7a'!F12/'7a'!$B12*100</f>
        <v>71.880477930779207</v>
      </c>
      <c r="G12" s="36">
        <f>'7a'!G12/'7a'!$B12*100</f>
        <v>89.088365049151847</v>
      </c>
      <c r="H12" s="36">
        <f>'7a'!H12/'7a'!$B12*100</f>
        <v>112.28426442833823</v>
      </c>
      <c r="I12" s="36">
        <f>'7a'!I12/'7a'!$B12*100</f>
        <v>85.282023516299247</v>
      </c>
      <c r="J12" s="36">
        <f>'7a'!J12/'7a'!$B12*100</f>
        <v>82.376191214521882</v>
      </c>
      <c r="K12" s="36">
        <f>'7a'!K12/'7a'!$B12*100</f>
        <v>129.30240200004289</v>
      </c>
      <c r="L12" s="36">
        <f>'7a'!L12/'7a'!$B12*100</f>
        <v>103.76071899268157</v>
      </c>
      <c r="N12" s="19">
        <f t="shared" si="0"/>
        <v>539.63487301193152</v>
      </c>
      <c r="O12" s="19">
        <f t="shared" si="1"/>
        <v>23.230042466855963</v>
      </c>
      <c r="P12" s="19">
        <f t="shared" si="2"/>
        <v>398.15149601770673</v>
      </c>
      <c r="Q12" s="19">
        <f t="shared" si="3"/>
        <v>19.953733886611467</v>
      </c>
    </row>
    <row r="13" spans="1:17">
      <c r="A13" s="120">
        <v>1989</v>
      </c>
      <c r="B13" s="39">
        <f>'7a'!B13/'7a'!$B13*100</f>
        <v>100</v>
      </c>
      <c r="C13" s="36">
        <f>'7a'!C13/'7a'!$B13*100</f>
        <v>66.879930834565386</v>
      </c>
      <c r="D13" s="36">
        <f>'7a'!D13/'7a'!$B13*100</f>
        <v>67.904329191644166</v>
      </c>
      <c r="E13" s="36">
        <f>'7a'!E13/'7a'!$B13*100</f>
        <v>75.574970529071223</v>
      </c>
      <c r="F13" s="36">
        <f>'7a'!F13/'7a'!$B13*100</f>
        <v>71.376352947798679</v>
      </c>
      <c r="G13" s="36">
        <f>'7a'!G13/'7a'!$B13*100</f>
        <v>87.787993985832529</v>
      </c>
      <c r="H13" s="36">
        <f>'7a'!H13/'7a'!$B13*100</f>
        <v>112.04883743620179</v>
      </c>
      <c r="I13" s="36">
        <f>'7a'!I13/'7a'!$B13*100</f>
        <v>86.71810665819028</v>
      </c>
      <c r="J13" s="36">
        <f>'7a'!J13/'7a'!$B13*100</f>
        <v>84.33199287874983</v>
      </c>
      <c r="K13" s="36">
        <f>'7a'!K13/'7a'!$B13*100</f>
        <v>127.8665628232164</v>
      </c>
      <c r="L13" s="36">
        <f>'7a'!L13/'7a'!$B13*100</f>
        <v>103.5001512541613</v>
      </c>
      <c r="N13" s="19">
        <f t="shared" si="0"/>
        <v>504.79653961173591</v>
      </c>
      <c r="O13" s="19">
        <f t="shared" si="1"/>
        <v>22.467677663962867</v>
      </c>
      <c r="P13" s="19">
        <f t="shared" si="2"/>
        <v>370.21154866297258</v>
      </c>
      <c r="Q13" s="19">
        <f t="shared" si="3"/>
        <v>19.240882221534765</v>
      </c>
    </row>
    <row r="14" spans="1:17">
      <c r="A14" s="120">
        <v>1990</v>
      </c>
      <c r="B14" s="39">
        <f>'7a'!B14/'7a'!$B14*100</f>
        <v>100</v>
      </c>
      <c r="C14" s="36">
        <f>'7a'!C14/'7a'!$B14*100</f>
        <v>67.742962060951967</v>
      </c>
      <c r="D14" s="36">
        <f>'7a'!D14/'7a'!$B14*100</f>
        <v>69.167911874323693</v>
      </c>
      <c r="E14" s="36">
        <f>'7a'!E14/'7a'!$B14*100</f>
        <v>75.830338302629769</v>
      </c>
      <c r="F14" s="36">
        <f>'7a'!F14/'7a'!$B14*100</f>
        <v>71.534869534685271</v>
      </c>
      <c r="G14" s="36">
        <f>'7a'!G14/'7a'!$B14*100</f>
        <v>88.389843532570239</v>
      </c>
      <c r="H14" s="36">
        <f>'7a'!H14/'7a'!$B14*100</f>
        <v>109.61846922477511</v>
      </c>
      <c r="I14" s="36">
        <f>'7a'!I14/'7a'!$B14*100</f>
        <v>89.897894211939274</v>
      </c>
      <c r="J14" s="36">
        <f>'7a'!J14/'7a'!$B14*100</f>
        <v>92.525603666929726</v>
      </c>
      <c r="K14" s="36">
        <f>'7a'!K14/'7a'!$B14*100</f>
        <v>130.04435267890014</v>
      </c>
      <c r="L14" s="36">
        <f>'7a'!L14/'7a'!$B14*100</f>
        <v>103.43684582809804</v>
      </c>
      <c r="N14" s="19">
        <f t="shared" si="0"/>
        <v>468.5275216226749</v>
      </c>
      <c r="O14" s="19">
        <f t="shared" si="1"/>
        <v>21.645496566784391</v>
      </c>
      <c r="P14" s="19">
        <f t="shared" si="2"/>
        <v>364.87290953716735</v>
      </c>
      <c r="Q14" s="19">
        <f t="shared" si="3"/>
        <v>19.101646775531353</v>
      </c>
    </row>
    <row r="15" spans="1:17">
      <c r="A15" s="120">
        <v>1991</v>
      </c>
      <c r="B15" s="39">
        <f>'7a'!B15/'7a'!$B15*100</f>
        <v>100</v>
      </c>
      <c r="C15" s="36">
        <f>'7a'!C15/'7a'!$B15*100</f>
        <v>70.142104011325131</v>
      </c>
      <c r="D15" s="36">
        <f>'7a'!D15/'7a'!$B15*100</f>
        <v>71.348841567869087</v>
      </c>
      <c r="E15" s="36">
        <f>'7a'!E15/'7a'!$B15*100</f>
        <v>77.362934045900928</v>
      </c>
      <c r="F15" s="36">
        <f>'7a'!F15/'7a'!$B15*100</f>
        <v>73.408291588232231</v>
      </c>
      <c r="G15" s="36">
        <f>'7a'!G15/'7a'!$B15*100</f>
        <v>88.044808054184386</v>
      </c>
      <c r="H15" s="36">
        <f>'7a'!H15/'7a'!$B15*100</f>
        <v>107.47270179926277</v>
      </c>
      <c r="I15" s="36">
        <f>'7a'!I15/'7a'!$B15*100</f>
        <v>89.53986453738581</v>
      </c>
      <c r="J15" s="36">
        <f>'7a'!J15/'7a'!$B15*100</f>
        <v>97.257051462444537</v>
      </c>
      <c r="K15" s="36">
        <f>'7a'!K15/'7a'!$B15*100</f>
        <v>132.71407133598785</v>
      </c>
      <c r="L15" s="36">
        <f>'7a'!L15/'7a'!$B15*100</f>
        <v>104.41704188120606</v>
      </c>
      <c r="N15" s="19">
        <f t="shared" si="0"/>
        <v>433.73653532146517</v>
      </c>
      <c r="O15" s="19">
        <f t="shared" si="1"/>
        <v>20.826342341406598</v>
      </c>
      <c r="P15" s="19">
        <f t="shared" si="2"/>
        <v>355.78125108816897</v>
      </c>
      <c r="Q15" s="19">
        <f t="shared" si="3"/>
        <v>18.862164538784221</v>
      </c>
    </row>
    <row r="16" spans="1:17">
      <c r="A16" s="120">
        <v>1992</v>
      </c>
      <c r="B16" s="39">
        <f>'7a'!B16/'7a'!$B16*100</f>
        <v>100</v>
      </c>
      <c r="C16" s="36">
        <f>'7a'!C16/'7a'!$B16*100</f>
        <v>69.249858350204363</v>
      </c>
      <c r="D16" s="36">
        <f>'7a'!D16/'7a'!$B16*100</f>
        <v>73.195094953072413</v>
      </c>
      <c r="E16" s="36">
        <f>'7a'!E16/'7a'!$B16*100</f>
        <v>78.248145308192278</v>
      </c>
      <c r="F16" s="36">
        <f>'7a'!F16/'7a'!$B16*100</f>
        <v>74.525585229574759</v>
      </c>
      <c r="G16" s="36">
        <f>'7a'!G16/'7a'!$B16*100</f>
        <v>88.15927301879114</v>
      </c>
      <c r="H16" s="36">
        <f>'7a'!H16/'7a'!$B16*100</f>
        <v>107.25947657047701</v>
      </c>
      <c r="I16" s="36">
        <f>'7a'!I16/'7a'!$B16*100</f>
        <v>90.414935090269211</v>
      </c>
      <c r="J16" s="36">
        <f>'7a'!J16/'7a'!$B16*100</f>
        <v>93.674262323405969</v>
      </c>
      <c r="K16" s="36">
        <f>'7a'!K16/'7a'!$B16*100</f>
        <v>132.21722685118019</v>
      </c>
      <c r="L16" s="36">
        <f>'7a'!L16/'7a'!$B16*100</f>
        <v>104.54343197295486</v>
      </c>
      <c r="N16" s="19">
        <f t="shared" si="0"/>
        <v>416.95468585574179</v>
      </c>
      <c r="O16" s="19">
        <f t="shared" si="1"/>
        <v>20.419468304922678</v>
      </c>
      <c r="P16" s="19">
        <f t="shared" si="2"/>
        <v>338.60968695279553</v>
      </c>
      <c r="Q16" s="19">
        <f t="shared" si="3"/>
        <v>18.401350139399977</v>
      </c>
    </row>
    <row r="17" spans="1:17">
      <c r="A17" s="120">
        <v>1993</v>
      </c>
      <c r="B17" s="39">
        <f>'7a'!B17/'7a'!$B17*100</f>
        <v>100</v>
      </c>
      <c r="C17" s="36">
        <f>'7a'!C17/'7a'!$B17*100</f>
        <v>68.987817754339844</v>
      </c>
      <c r="D17" s="36">
        <f>'7a'!D17/'7a'!$B17*100</f>
        <v>72.496440957700656</v>
      </c>
      <c r="E17" s="36">
        <f>'7a'!E17/'7a'!$B17*100</f>
        <v>77.77904079456907</v>
      </c>
      <c r="F17" s="36">
        <f>'7a'!F17/'7a'!$B17*100</f>
        <v>75.750138360472818</v>
      </c>
      <c r="G17" s="36">
        <f>'7a'!G17/'7a'!$B17*100</f>
        <v>88.305614694015262</v>
      </c>
      <c r="H17" s="36">
        <f>'7a'!H17/'7a'!$B17*100</f>
        <v>105.83927554919819</v>
      </c>
      <c r="I17" s="36">
        <f>'7a'!I17/'7a'!$B17*100</f>
        <v>89.352186010048314</v>
      </c>
      <c r="J17" s="36">
        <f>'7a'!J17/'7a'!$B17*100</f>
        <v>98.398893738645299</v>
      </c>
      <c r="K17" s="36">
        <f>'7a'!K17/'7a'!$B17*100</f>
        <v>138.29316200858506</v>
      </c>
      <c r="L17" s="36">
        <f>'7a'!L17/'7a'!$B17*100</f>
        <v>104.97746372721825</v>
      </c>
      <c r="N17" s="19">
        <f t="shared" si="0"/>
        <v>457.79646975974936</v>
      </c>
      <c r="O17" s="19">
        <f t="shared" si="1"/>
        <v>21.396178858846486</v>
      </c>
      <c r="P17" s="19">
        <f t="shared" si="2"/>
        <v>394.08419939046371</v>
      </c>
      <c r="Q17" s="19">
        <f t="shared" si="3"/>
        <v>19.851554079982346</v>
      </c>
    </row>
    <row r="18" spans="1:17">
      <c r="A18" s="120">
        <v>1994</v>
      </c>
      <c r="B18" s="39">
        <f>'7a'!B18/'7a'!$B18*100</f>
        <v>100</v>
      </c>
      <c r="C18" s="36">
        <f>'7a'!C18/'7a'!$B18*100</f>
        <v>70.077020356772294</v>
      </c>
      <c r="D18" s="36">
        <f>'7a'!D18/'7a'!$B18*100</f>
        <v>72.640605849413632</v>
      </c>
      <c r="E18" s="36">
        <f>'7a'!E18/'7a'!$B18*100</f>
        <v>75.085988710987948</v>
      </c>
      <c r="F18" s="36">
        <f>'7a'!F18/'7a'!$B18*100</f>
        <v>74.461761812366447</v>
      </c>
      <c r="G18" s="36">
        <f>'7a'!G18/'7a'!$B18*100</f>
        <v>88.468007145790324</v>
      </c>
      <c r="H18" s="36">
        <f>'7a'!H18/'7a'!$B18*100</f>
        <v>106.8424070942353</v>
      </c>
      <c r="I18" s="36">
        <f>'7a'!I18/'7a'!$B18*100</f>
        <v>89.165686904318889</v>
      </c>
      <c r="J18" s="36">
        <f>'7a'!J18/'7a'!$B18*100</f>
        <v>98.720851855110695</v>
      </c>
      <c r="K18" s="36">
        <f>'7a'!K18/'7a'!$B18*100</f>
        <v>139.93872792686187</v>
      </c>
      <c r="L18" s="36">
        <f>'7a'!L18/'7a'!$B18*100</f>
        <v>101.03012534321022</v>
      </c>
      <c r="N18" s="19">
        <f t="shared" si="0"/>
        <v>481.181782815671</v>
      </c>
      <c r="O18" s="19">
        <f t="shared" si="1"/>
        <v>21.935856099447566</v>
      </c>
      <c r="P18" s="19">
        <f t="shared" si="2"/>
        <v>411.34431106631763</v>
      </c>
      <c r="Q18" s="19">
        <f t="shared" si="3"/>
        <v>20.281624961188825</v>
      </c>
    </row>
    <row r="19" spans="1:17">
      <c r="A19" s="120">
        <v>1995</v>
      </c>
      <c r="B19" s="39">
        <f>'7a'!B19/'7a'!$B19*100</f>
        <v>100</v>
      </c>
      <c r="C19" s="36">
        <f>'7a'!C19/'7a'!$B19*100</f>
        <v>71.359513428524181</v>
      </c>
      <c r="D19" s="36">
        <f>'7a'!D19/'7a'!$B19*100</f>
        <v>75.453883204859196</v>
      </c>
      <c r="E19" s="36">
        <f>'7a'!E19/'7a'!$B19*100</f>
        <v>74.922045405474421</v>
      </c>
      <c r="F19" s="36">
        <f>'7a'!F19/'7a'!$B19*100</f>
        <v>75.518102074318634</v>
      </c>
      <c r="G19" s="36">
        <f>'7a'!G19/'7a'!$B19*100</f>
        <v>88.130373093526444</v>
      </c>
      <c r="H19" s="36">
        <f>'7a'!H19/'7a'!$B19*100</f>
        <v>107.42851672348377</v>
      </c>
      <c r="I19" s="36">
        <f>'7a'!I19/'7a'!$B19*100</f>
        <v>87.414249383900284</v>
      </c>
      <c r="J19" s="36">
        <f>'7a'!J19/'7a'!$B19*100</f>
        <v>97.67260017389448</v>
      </c>
      <c r="K19" s="36">
        <f>'7a'!K19/'7a'!$B19*100</f>
        <v>140.18775260315499</v>
      </c>
      <c r="L19" s="36">
        <f>'7a'!L19/'7a'!$B19*100</f>
        <v>98.951869899257744</v>
      </c>
      <c r="N19" s="19">
        <f t="shared" si="0"/>
        <v>462.70993015917901</v>
      </c>
      <c r="O19" s="19">
        <f t="shared" si="1"/>
        <v>21.510693390943469</v>
      </c>
      <c r="P19" s="19">
        <f t="shared" si="2"/>
        <v>393.88449896647239</v>
      </c>
      <c r="Q19" s="19">
        <f t="shared" si="3"/>
        <v>19.846523599020369</v>
      </c>
    </row>
    <row r="20" spans="1:17">
      <c r="A20" s="120">
        <v>1996</v>
      </c>
      <c r="B20" s="39">
        <f>'7a'!B20/'7a'!$B20*100</f>
        <v>100</v>
      </c>
      <c r="C20" s="36">
        <f>'7a'!C20/'7a'!$B20*100</f>
        <v>68.546996400883032</v>
      </c>
      <c r="D20" s="36">
        <f>'7a'!D20/'7a'!$B20*100</f>
        <v>76.423379609892038</v>
      </c>
      <c r="E20" s="36">
        <f>'7a'!E20/'7a'!$B20*100</f>
        <v>74.699535789102725</v>
      </c>
      <c r="F20" s="36">
        <f>'7a'!F20/'7a'!$B20*100</f>
        <v>75.40042178484849</v>
      </c>
      <c r="G20" s="36">
        <f>'7a'!G20/'7a'!$B20*100</f>
        <v>88.044154570241389</v>
      </c>
      <c r="H20" s="36">
        <f>'7a'!H20/'7a'!$B20*100</f>
        <v>106.68119122461536</v>
      </c>
      <c r="I20" s="36">
        <f>'7a'!I20/'7a'!$B20*100</f>
        <v>89.091690982955072</v>
      </c>
      <c r="J20" s="36">
        <f>'7a'!J20/'7a'!$B20*100</f>
        <v>99.421202785033941</v>
      </c>
      <c r="K20" s="36">
        <f>'7a'!K20/'7a'!$B20*100</f>
        <v>139.96685407978777</v>
      </c>
      <c r="L20" s="36">
        <f>'7a'!L20/'7a'!$B20*100</f>
        <v>98.241635340094817</v>
      </c>
      <c r="N20" s="19">
        <f t="shared" si="0"/>
        <v>469.77492413353741</v>
      </c>
      <c r="O20" s="19">
        <f t="shared" si="1"/>
        <v>21.674291779283987</v>
      </c>
      <c r="P20" s="19">
        <f t="shared" si="2"/>
        <v>400.08091570987489</v>
      </c>
      <c r="Q20" s="19">
        <f t="shared" si="3"/>
        <v>20.002022790454841</v>
      </c>
    </row>
    <row r="21" spans="1:17">
      <c r="A21" s="120">
        <v>1997</v>
      </c>
      <c r="B21" s="39">
        <f>'7a'!B21/'7a'!$B21*100</f>
        <v>100</v>
      </c>
      <c r="C21" s="36">
        <f>'7a'!C21/'7a'!$B21*100</f>
        <v>68.310853341512114</v>
      </c>
      <c r="D21" s="36">
        <f>'7a'!D21/'7a'!$B21*100</f>
        <v>74.183215125061523</v>
      </c>
      <c r="E21" s="36">
        <f>'7a'!E21/'7a'!$B21*100</f>
        <v>75.389652770390654</v>
      </c>
      <c r="F21" s="36">
        <f>'7a'!F21/'7a'!$B21*100</f>
        <v>73.924022600451153</v>
      </c>
      <c r="G21" s="36">
        <f>'7a'!G21/'7a'!$B21*100</f>
        <v>87.751521521387602</v>
      </c>
      <c r="H21" s="36">
        <f>'7a'!H21/'7a'!$B21*100</f>
        <v>106.59298469526426</v>
      </c>
      <c r="I21" s="36">
        <f>'7a'!I21/'7a'!$B21*100</f>
        <v>89.391129095036803</v>
      </c>
      <c r="J21" s="36">
        <f>'7a'!J21/'7a'!$B21*100</f>
        <v>100.17710523694478</v>
      </c>
      <c r="K21" s="36">
        <f>'7a'!K21/'7a'!$B21*100</f>
        <v>142.10753848554126</v>
      </c>
      <c r="L21" s="36">
        <f>'7a'!L21/'7a'!$B21*100</f>
        <v>96.37317403974275</v>
      </c>
      <c r="N21" s="19">
        <f t="shared" si="0"/>
        <v>504.86050295592105</v>
      </c>
      <c r="O21" s="19">
        <f t="shared" si="1"/>
        <v>22.469101071380695</v>
      </c>
      <c r="P21" s="19">
        <f t="shared" si="2"/>
        <v>431.24615684144436</v>
      </c>
      <c r="Q21" s="19">
        <f t="shared" si="3"/>
        <v>20.766467124704779</v>
      </c>
    </row>
    <row r="22" spans="1:17">
      <c r="A22" s="120">
        <v>1998</v>
      </c>
      <c r="B22" s="39">
        <f>'7a'!B22/'7a'!$B22*100</f>
        <v>100</v>
      </c>
      <c r="C22" s="36">
        <f>'7a'!C22/'7a'!$B22*100</f>
        <v>71.159173434884607</v>
      </c>
      <c r="D22" s="36">
        <f>'7a'!D22/'7a'!$B22*100</f>
        <v>75.280247978671355</v>
      </c>
      <c r="E22" s="36">
        <f>'7a'!E22/'7a'!$B22*100</f>
        <v>75.773772198258015</v>
      </c>
      <c r="F22" s="36">
        <f>'7a'!F22/'7a'!$B22*100</f>
        <v>74.446136588200233</v>
      </c>
      <c r="G22" s="36">
        <f>'7a'!G22/'7a'!$B22*100</f>
        <v>87.423021136024886</v>
      </c>
      <c r="H22" s="36">
        <f>'7a'!H22/'7a'!$B22*100</f>
        <v>106.91378027071094</v>
      </c>
      <c r="I22" s="36">
        <f>'7a'!I22/'7a'!$B22*100</f>
        <v>90.12842471201084</v>
      </c>
      <c r="J22" s="36">
        <f>'7a'!J22/'7a'!$B22*100</f>
        <v>101.2128800154332</v>
      </c>
      <c r="K22" s="36">
        <f>'7a'!K22/'7a'!$B22*100</f>
        <v>141.44929271233451</v>
      </c>
      <c r="L22" s="36">
        <f>'7a'!L22/'7a'!$B22*100</f>
        <v>93.754809366922785</v>
      </c>
      <c r="N22" s="19">
        <f t="shared" si="0"/>
        <v>474.47155696969486</v>
      </c>
      <c r="O22" s="19">
        <f t="shared" si="1"/>
        <v>21.782368029433687</v>
      </c>
      <c r="P22" s="19">
        <f t="shared" si="2"/>
        <v>406.47757809749334</v>
      </c>
      <c r="Q22" s="19">
        <f t="shared" si="3"/>
        <v>20.161289098108121</v>
      </c>
    </row>
    <row r="23" spans="1:17">
      <c r="A23" s="120">
        <v>1999</v>
      </c>
      <c r="B23" s="39">
        <f>'7a'!B23/'7a'!$B23*100</f>
        <v>100</v>
      </c>
      <c r="C23" s="36">
        <f>'7a'!C23/'7a'!$B23*100</f>
        <v>72.547869944275959</v>
      </c>
      <c r="D23" s="36">
        <f>'7a'!D23/'7a'!$B23*100</f>
        <v>74.672182590285459</v>
      </c>
      <c r="E23" s="36">
        <f>'7a'!E23/'7a'!$B23*100</f>
        <v>76.171798012767852</v>
      </c>
      <c r="F23" s="36">
        <f>'7a'!F23/'7a'!$B23*100</f>
        <v>75.523457766310912</v>
      </c>
      <c r="G23" s="36">
        <f>'7a'!G23/'7a'!$B23*100</f>
        <v>88.325555531293119</v>
      </c>
      <c r="H23" s="36">
        <f>'7a'!H23/'7a'!$B23*100</f>
        <v>108.51284230705922</v>
      </c>
      <c r="I23" s="36">
        <f>'7a'!I23/'7a'!$B23*100</f>
        <v>87.140746982816196</v>
      </c>
      <c r="J23" s="36">
        <f>'7a'!J23/'7a'!$B23*100</f>
        <v>97.190060328672999</v>
      </c>
      <c r="K23" s="36">
        <f>'7a'!K23/'7a'!$B23*100</f>
        <v>134.44195316573092</v>
      </c>
      <c r="L23" s="36">
        <f>'7a'!L23/'7a'!$B23*100</f>
        <v>91.814476139220275</v>
      </c>
      <c r="N23" s="19">
        <f t="shared" si="0"/>
        <v>419.72703346581483</v>
      </c>
      <c r="O23" s="19">
        <f t="shared" si="1"/>
        <v>20.487240747982995</v>
      </c>
      <c r="P23" s="19">
        <f t="shared" si="2"/>
        <v>332.00684345075632</v>
      </c>
      <c r="Q23" s="19">
        <f t="shared" si="3"/>
        <v>18.221054948897891</v>
      </c>
    </row>
    <row r="24" spans="1:17">
      <c r="A24" s="120">
        <v>2000</v>
      </c>
      <c r="B24" s="39">
        <f>'7a'!B24/'7a'!$B24*100</f>
        <v>100</v>
      </c>
      <c r="C24" s="36">
        <f>'7a'!C24/'7a'!$B24*100</f>
        <v>73.950226108495116</v>
      </c>
      <c r="D24" s="36">
        <f>'7a'!D24/'7a'!$B24*100</f>
        <v>72.911401154728566</v>
      </c>
      <c r="E24" s="36">
        <f>'7a'!E24/'7a'!$B24*100</f>
        <v>75.340737163463345</v>
      </c>
      <c r="F24" s="36">
        <f>'7a'!F24/'7a'!$B24*100</f>
        <v>74.00839517936582</v>
      </c>
      <c r="G24" s="36">
        <f>'7a'!G24/'7a'!$B24*100</f>
        <v>88.044152576188111</v>
      </c>
      <c r="H24" s="36">
        <f>'7a'!H24/'7a'!$B24*100</f>
        <v>108.64028390525181</v>
      </c>
      <c r="I24" s="36">
        <f>'7a'!I24/'7a'!$B24*100</f>
        <v>86.73738346584355</v>
      </c>
      <c r="J24" s="36">
        <f>'7a'!J24/'7a'!$B24*100</f>
        <v>96.286899192285418</v>
      </c>
      <c r="K24" s="36">
        <f>'7a'!K24/'7a'!$B24*100</f>
        <v>134.48434888173463</v>
      </c>
      <c r="L24" s="36">
        <f>'7a'!L24/'7a'!$B24*100</f>
        <v>91.460136239564065</v>
      </c>
      <c r="N24" s="19">
        <f t="shared" si="0"/>
        <v>436.54061713611361</v>
      </c>
      <c r="O24" s="19">
        <f t="shared" si="1"/>
        <v>20.893554439972956</v>
      </c>
      <c r="P24" s="19">
        <f t="shared" si="2"/>
        <v>340.2338012569794</v>
      </c>
      <c r="Q24" s="19">
        <f t="shared" si="3"/>
        <v>18.445427651778079</v>
      </c>
    </row>
    <row r="25" spans="1:17">
      <c r="A25" s="120">
        <v>2001</v>
      </c>
      <c r="B25" s="39">
        <f>'7a'!B25/'7a'!$B25*100</f>
        <v>100</v>
      </c>
      <c r="C25" s="36">
        <f>'7a'!C25/'7a'!$B25*100</f>
        <v>75.501242158369536</v>
      </c>
      <c r="D25" s="36">
        <f>'7a'!D25/'7a'!$B25*100</f>
        <v>71.584060311551625</v>
      </c>
      <c r="E25" s="36">
        <f>'7a'!E25/'7a'!$B25*100</f>
        <v>77.315388796193758</v>
      </c>
      <c r="F25" s="36">
        <f>'7a'!F25/'7a'!$B25*100</f>
        <v>74.731449887488694</v>
      </c>
      <c r="G25" s="36">
        <f>'7a'!G25/'7a'!$B25*100</f>
        <v>88.292033892275441</v>
      </c>
      <c r="H25" s="36">
        <f>'7a'!H25/'7a'!$B25*100</f>
        <v>107.85186899713624</v>
      </c>
      <c r="I25" s="36">
        <f>'7a'!I25/'7a'!$B25*100</f>
        <v>86.525098081064243</v>
      </c>
      <c r="J25" s="36">
        <f>'7a'!J25/'7a'!$B25*100</f>
        <v>95.417611655033411</v>
      </c>
      <c r="K25" s="36">
        <f>'7a'!K25/'7a'!$B25*100</f>
        <v>133.4881839611042</v>
      </c>
      <c r="L25" s="36">
        <f>'7a'!L25/'7a'!$B25*100</f>
        <v>90.593328544771012</v>
      </c>
      <c r="N25" s="19">
        <f t="shared" si="0"/>
        <v>417.19894890929493</v>
      </c>
      <c r="O25" s="19">
        <f t="shared" si="1"/>
        <v>20.425448560785512</v>
      </c>
      <c r="P25" s="19">
        <f t="shared" si="2"/>
        <v>319.78257455515677</v>
      </c>
      <c r="Q25" s="19">
        <f t="shared" si="3"/>
        <v>17.882465561413973</v>
      </c>
    </row>
    <row r="26" spans="1:17">
      <c r="A26" s="120">
        <v>2002</v>
      </c>
      <c r="B26" s="39">
        <f>'7a'!B26/'7a'!$B26*100</f>
        <v>100</v>
      </c>
      <c r="C26" s="36">
        <f>'7a'!C26/'7a'!$B26*100</f>
        <v>86.145752484864246</v>
      </c>
      <c r="D26" s="36">
        <f>'7a'!D26/'7a'!$B26*100</f>
        <v>73.533704657233912</v>
      </c>
      <c r="E26" s="36">
        <f>'7a'!E26/'7a'!$B26*100</f>
        <v>78.769270266682483</v>
      </c>
      <c r="F26" s="36">
        <f>'7a'!F26/'7a'!$B26*100</f>
        <v>76.828315212226016</v>
      </c>
      <c r="G26" s="36">
        <f>'7a'!G26/'7a'!$B26*100</f>
        <v>88.243462073946262</v>
      </c>
      <c r="H26" s="36">
        <f>'7a'!H26/'7a'!$B26*100</f>
        <v>107.45927761705039</v>
      </c>
      <c r="I26" s="36">
        <f>'7a'!I26/'7a'!$B26*100</f>
        <v>85.96089034291866</v>
      </c>
      <c r="J26" s="36">
        <f>'7a'!J26/'7a'!$B26*100</f>
        <v>93.696729345574823</v>
      </c>
      <c r="K26" s="36">
        <f>'7a'!K26/'7a'!$B26*100</f>
        <v>130.91368746088912</v>
      </c>
      <c r="L26" s="36">
        <f>'7a'!L26/'7a'!$B26*100</f>
        <v>91.704340890120505</v>
      </c>
      <c r="N26" s="19">
        <f t="shared" si="0"/>
        <v>333.52346842726166</v>
      </c>
      <c r="O26" s="19">
        <f t="shared" si="1"/>
        <v>18.262624905178928</v>
      </c>
      <c r="P26" s="19">
        <f t="shared" si="2"/>
        <v>258.27726479223935</v>
      </c>
      <c r="Q26" s="19">
        <f t="shared" si="3"/>
        <v>16.071006962609385</v>
      </c>
    </row>
    <row r="27" spans="1:17">
      <c r="A27" s="120">
        <v>2003</v>
      </c>
      <c r="B27" s="39">
        <f>'7a'!B27/'7a'!$B27*100</f>
        <v>100</v>
      </c>
      <c r="C27" s="36">
        <f>'7a'!C27/'7a'!$B27*100</f>
        <v>90.519925500135145</v>
      </c>
      <c r="D27" s="36">
        <f>'7a'!D27/'7a'!$B27*100</f>
        <v>74.195426087710942</v>
      </c>
      <c r="E27" s="36">
        <f>'7a'!E27/'7a'!$B27*100</f>
        <v>78.885986713228078</v>
      </c>
      <c r="F27" s="36">
        <f>'7a'!F27/'7a'!$B27*100</f>
        <v>78.216198880255689</v>
      </c>
      <c r="G27" s="36">
        <f>'7a'!G27/'7a'!$B27*100</f>
        <v>87.955992790881453</v>
      </c>
      <c r="H27" s="36">
        <f>'7a'!H27/'7a'!$B27*100</f>
        <v>106.5901920386179</v>
      </c>
      <c r="I27" s="36">
        <f>'7a'!I27/'7a'!$B27*100</f>
        <v>85.750297299938069</v>
      </c>
      <c r="J27" s="36">
        <f>'7a'!J27/'7a'!$B27*100</f>
        <v>97.151223770179399</v>
      </c>
      <c r="K27" s="36">
        <f>'7a'!K27/'7a'!$B27*100</f>
        <v>131.47450145668108</v>
      </c>
      <c r="L27" s="36">
        <f>'7a'!L27/'7a'!$B27*100</f>
        <v>92.407775536270449</v>
      </c>
      <c r="N27" s="19">
        <f t="shared" si="0"/>
        <v>312.40278036775101</v>
      </c>
      <c r="O27" s="19">
        <f t="shared" si="1"/>
        <v>17.674919529314725</v>
      </c>
      <c r="P27" s="19">
        <f t="shared" si="2"/>
        <v>253.33974365983158</v>
      </c>
      <c r="Q27" s="19">
        <f t="shared" si="3"/>
        <v>15.916649888083597</v>
      </c>
    </row>
    <row r="28" spans="1:17">
      <c r="A28" s="119">
        <v>2004</v>
      </c>
      <c r="B28" s="39">
        <f>'7a'!B28/'7a'!$B28*100</f>
        <v>100</v>
      </c>
      <c r="C28" s="36">
        <f>'7a'!C28/'7a'!$B28*100</f>
        <v>87.698087317081004</v>
      </c>
      <c r="D28" s="36">
        <f>'7a'!D28/'7a'!$B28*100</f>
        <v>74.300993503793919</v>
      </c>
      <c r="E28" s="36">
        <f>'7a'!E28/'7a'!$B28*100</f>
        <v>77.828651579687801</v>
      </c>
      <c r="F28" s="36">
        <f>'7a'!F28/'7a'!$B28*100</f>
        <v>78.751756649946969</v>
      </c>
      <c r="G28" s="36">
        <f>'7a'!G28/'7a'!$B28*100</f>
        <v>87.838339039680989</v>
      </c>
      <c r="H28" s="36">
        <f>'7a'!H28/'7a'!$B28*100</f>
        <v>105.73962044281041</v>
      </c>
      <c r="I28" s="36">
        <f>'7a'!I28/'7a'!$B28*100</f>
        <v>85.079543690439451</v>
      </c>
      <c r="J28" s="36">
        <f>'7a'!J28/'7a'!$B28*100</f>
        <v>99.794992404357743</v>
      </c>
      <c r="K28" s="36">
        <f>'7a'!K28/'7a'!$B28*100</f>
        <v>133.18041563363937</v>
      </c>
      <c r="L28" s="36">
        <f>'7a'!L28/'7a'!$B28*100</f>
        <v>93.018313333813566</v>
      </c>
      <c r="N28" s="19">
        <f t="shared" si="0"/>
        <v>330.80277418550753</v>
      </c>
      <c r="O28" s="19">
        <f t="shared" si="1"/>
        <v>18.187984335420666</v>
      </c>
      <c r="P28" s="19">
        <f t="shared" si="2"/>
        <v>271.86754083456469</v>
      </c>
      <c r="Q28" s="19">
        <f t="shared" si="3"/>
        <v>16.488406255140752</v>
      </c>
    </row>
    <row r="29" spans="1:17">
      <c r="A29" s="119">
        <v>2005</v>
      </c>
      <c r="B29" s="39">
        <f>'7a'!B29/'7a'!$B29*100</f>
        <v>100</v>
      </c>
      <c r="C29" s="36">
        <f>'7a'!C29/'7a'!$B29*100</f>
        <v>88.264154943764936</v>
      </c>
      <c r="D29" s="36">
        <f>'7a'!D29/'7a'!$B29*100</f>
        <v>74.132025042048895</v>
      </c>
      <c r="E29" s="36">
        <f>'7a'!E29/'7a'!$B29*100</f>
        <v>77.487415685688518</v>
      </c>
      <c r="F29" s="36">
        <f>'7a'!F29/'7a'!$B29*100</f>
        <v>78.655378343519658</v>
      </c>
      <c r="G29" s="36">
        <f>'7a'!G29/'7a'!$B29*100</f>
        <v>86.983742909158735</v>
      </c>
      <c r="H29" s="36">
        <f>'7a'!H29/'7a'!$B29*100</f>
        <v>105.5459500152832</v>
      </c>
      <c r="I29" s="36">
        <f>'7a'!I29/'7a'!$B29*100</f>
        <v>85.247275896300749</v>
      </c>
      <c r="J29" s="36">
        <f>'7a'!J29/'7a'!$B29*100</f>
        <v>101.5156947428447</v>
      </c>
      <c r="K29" s="36">
        <f>'7a'!K29/'7a'!$B29*100</f>
        <v>133.56013674286964</v>
      </c>
      <c r="L29" s="36">
        <f>'7a'!L29/'7a'!$B29*100</f>
        <v>94.342503568507084</v>
      </c>
      <c r="N29" s="19">
        <f t="shared" si="0"/>
        <v>334.77022671091311</v>
      </c>
      <c r="O29" s="19">
        <f t="shared" si="1"/>
        <v>18.296727213108717</v>
      </c>
      <c r="P29" s="19">
        <f t="shared" si="2"/>
        <v>279.61625190569561</v>
      </c>
      <c r="Q29" s="19">
        <f t="shared" si="3"/>
        <v>16.721729931609815</v>
      </c>
    </row>
    <row r="30" spans="1:17">
      <c r="A30" s="119">
        <v>2006</v>
      </c>
      <c r="B30" s="39">
        <f>'7a'!B30/'7a'!$B30*100</f>
        <v>100</v>
      </c>
      <c r="C30" s="36">
        <f>'7a'!C30/'7a'!$B30*100</f>
        <v>89.753963199848855</v>
      </c>
      <c r="D30" s="36">
        <f>'7a'!D30/'7a'!$B30*100</f>
        <v>74.451001500373906</v>
      </c>
      <c r="E30" s="36">
        <f>'7a'!E30/'7a'!$B30*100</f>
        <v>76.598158098541674</v>
      </c>
      <c r="F30" s="36">
        <f>'7a'!F30/'7a'!$B30*100</f>
        <v>79.18405339896249</v>
      </c>
      <c r="G30" s="36">
        <f>'7a'!G30/'7a'!$B30*100</f>
        <v>86.049099618066265</v>
      </c>
      <c r="H30" s="36">
        <f>'7a'!H30/'7a'!$B30*100</f>
        <v>104.9313983815846</v>
      </c>
      <c r="I30" s="36">
        <f>'7a'!I30/'7a'!$B30*100</f>
        <v>86.411676995716775</v>
      </c>
      <c r="J30" s="36">
        <f>'7a'!J30/'7a'!$B30*100</f>
        <v>99.35245369718119</v>
      </c>
      <c r="K30" s="36">
        <f>'7a'!K30/'7a'!$B30*100</f>
        <v>134.72095591695324</v>
      </c>
      <c r="L30" s="36">
        <f>'7a'!L30/'7a'!$B30*100</f>
        <v>95.446559355804013</v>
      </c>
      <c r="N30" s="19">
        <f t="shared" si="0"/>
        <v>336.89691829568312</v>
      </c>
      <c r="O30" s="19">
        <f t="shared" si="1"/>
        <v>18.354751926835817</v>
      </c>
      <c r="P30" s="19"/>
      <c r="Q30" s="19"/>
    </row>
    <row r="31" spans="1:17">
      <c r="A31" s="119">
        <v>2007</v>
      </c>
      <c r="B31" s="39">
        <f>'7a'!B31/'7a'!$B31*100</f>
        <v>100</v>
      </c>
      <c r="C31" s="36">
        <f>'7a'!C31/'7a'!$B31*100</f>
        <v>97.061770343692615</v>
      </c>
      <c r="D31" s="36">
        <f>'7a'!D31/'7a'!$B31*100</f>
        <v>75.002206360710829</v>
      </c>
      <c r="E31" s="36">
        <f>'7a'!E31/'7a'!$B31*100</f>
        <v>76.804364559100648</v>
      </c>
      <c r="F31" s="36">
        <f>'7a'!F31/'7a'!$B31*100</f>
        <v>79.289410478457214</v>
      </c>
      <c r="G31" s="36">
        <f>'7a'!G31/'7a'!$B31*100</f>
        <v>86.329266693356189</v>
      </c>
      <c r="H31" s="36">
        <f>'7a'!H31/'7a'!$B31*100</f>
        <v>104.59870599563423</v>
      </c>
      <c r="I31" s="36">
        <f>'7a'!I31/'7a'!$B31*100</f>
        <v>87.145664024365402</v>
      </c>
      <c r="J31" s="36">
        <f>'7a'!J31/'7a'!$B31*100</f>
        <v>99.455967985965785</v>
      </c>
      <c r="K31" s="36">
        <f>'7a'!K31/'7a'!$B31*100</f>
        <v>133.29081508217169</v>
      </c>
      <c r="L31" s="36">
        <f>'7a'!L31/'7a'!$B31*100</f>
        <v>95.283778977207191</v>
      </c>
      <c r="N31" s="19">
        <f t="shared" si="0"/>
        <v>310.45769819362675</v>
      </c>
      <c r="O31" s="19">
        <f>SQRT(N31)</f>
        <v>17.619809822856396</v>
      </c>
      <c r="P31" s="19"/>
      <c r="Q31" s="19"/>
    </row>
    <row r="32" spans="1:17">
      <c r="A32" s="119">
        <v>2008</v>
      </c>
      <c r="B32" s="39">
        <f>'7a'!B32/'7a'!$B32*100</f>
        <v>100</v>
      </c>
      <c r="C32" s="36">
        <f>'7a'!C32/'7a'!$B32*100</f>
        <v>97.411099814264873</v>
      </c>
      <c r="D32" s="36">
        <f>'7a'!D32/'7a'!$B32*100</f>
        <v>75.283598765004939</v>
      </c>
      <c r="E32" s="36">
        <f>'7a'!E32/'7a'!$B32*100</f>
        <v>78.717103440130373</v>
      </c>
      <c r="F32" s="36">
        <f>'7a'!F32/'7a'!$B32*100</f>
        <v>79.592895767048162</v>
      </c>
      <c r="G32" s="36">
        <f>'7a'!G32/'7a'!$B32*100</f>
        <v>87.128916918080719</v>
      </c>
      <c r="H32" s="36">
        <f>'7a'!H32/'7a'!$B32*100</f>
        <v>103.79658970591012</v>
      </c>
      <c r="I32" s="36">
        <f>'7a'!I32/'7a'!$B32*100</f>
        <v>88.74292253443096</v>
      </c>
      <c r="J32" s="36">
        <f>'7a'!J32/'7a'!$B32*100</f>
        <v>102.85294533176072</v>
      </c>
      <c r="K32" s="36">
        <f>'7a'!K32/'7a'!$B32*100</f>
        <v>131.1461131065607</v>
      </c>
      <c r="L32" s="36">
        <f>'7a'!L32/'7a'!$B32*100</f>
        <v>94.123093989145616</v>
      </c>
      <c r="N32" s="19">
        <f t="shared" si="0"/>
        <v>280.65728324692543</v>
      </c>
      <c r="O32" s="19">
        <f>SQRT(N32)</f>
        <v>16.752829111732904</v>
      </c>
      <c r="P32" s="19"/>
      <c r="Q32" s="19"/>
    </row>
    <row r="33" spans="1:17">
      <c r="A33" s="120"/>
      <c r="B33" s="23"/>
      <c r="C33" s="644"/>
      <c r="D33" s="666" t="s">
        <v>802</v>
      </c>
      <c r="E33" s="644"/>
      <c r="F33" s="644"/>
      <c r="G33" s="644"/>
      <c r="H33" s="644"/>
      <c r="I33" s="644"/>
      <c r="J33" s="644"/>
      <c r="K33" s="644"/>
      <c r="L33" s="644"/>
    </row>
    <row r="34" spans="1:17">
      <c r="A34" s="448" t="s">
        <v>603</v>
      </c>
      <c r="B34" s="23" t="s">
        <v>744</v>
      </c>
      <c r="C34" s="23">
        <f t="shared" ref="C34:J34" si="4">((((C13/C5))^(1/8))-1)*100</f>
        <v>0.8563164744459284</v>
      </c>
      <c r="D34" s="23">
        <f t="shared" si="4"/>
        <v>0.4351405461687996</v>
      </c>
      <c r="E34" s="23">
        <f t="shared" si="4"/>
        <v>0.66811932131702889</v>
      </c>
      <c r="F34" s="23">
        <f t="shared" si="4"/>
        <v>1.0320834395111778</v>
      </c>
      <c r="G34" s="23">
        <f t="shared" si="4"/>
        <v>-0.4276547000411135</v>
      </c>
      <c r="H34" s="23">
        <f t="shared" si="4"/>
        <v>0.29011659870903372</v>
      </c>
      <c r="I34" s="23">
        <f t="shared" si="4"/>
        <v>-0.63457858615769691</v>
      </c>
      <c r="J34" s="23">
        <f t="shared" si="4"/>
        <v>-1.0675540611565171</v>
      </c>
      <c r="K34" s="23">
        <f>((((K13/K5))^(1/8))-1)*100</f>
        <v>-0.88458657987134925</v>
      </c>
      <c r="L34" s="23">
        <f>((((L13/L5))^(1/8))-1)*100</f>
        <v>-1.2708875446918455</v>
      </c>
      <c r="N34" s="23">
        <f>((((N13/N5))^(1/8))-1)*100</f>
        <v>-3.0928865650843185</v>
      </c>
      <c r="O34" s="23">
        <f>((((O13/O5))^(1/8))-1)*100</f>
        <v>-1.558589285344103</v>
      </c>
      <c r="P34" s="23">
        <f>((((P13/P5))^(1/8))-1)*100</f>
        <v>-4.8442856179987226</v>
      </c>
      <c r="Q34" s="23" t="e">
        <f>((((Q12/Q4))^(1/8))-1)*100</f>
        <v>#VALUE!</v>
      </c>
    </row>
    <row r="35" spans="1:17">
      <c r="A35" s="448" t="s">
        <v>604</v>
      </c>
      <c r="B35" s="23" t="s">
        <v>744</v>
      </c>
      <c r="C35" s="23">
        <f t="shared" ref="C35:I35" si="5">((((C24/C13))^(1/11))-1)*100</f>
        <v>0.91776140364605574</v>
      </c>
      <c r="D35" s="23">
        <f t="shared" si="5"/>
        <v>0.64887092629688503</v>
      </c>
      <c r="E35" s="23">
        <f t="shared" si="5"/>
        <v>-2.821569138432567E-2</v>
      </c>
      <c r="F35" s="23">
        <f t="shared" si="5"/>
        <v>0.32974165435093461</v>
      </c>
      <c r="G35" s="23">
        <f t="shared" si="5"/>
        <v>2.6491453269916754E-2</v>
      </c>
      <c r="H35" s="23">
        <f t="shared" si="5"/>
        <v>-0.2804473525052531</v>
      </c>
      <c r="I35" s="23">
        <f t="shared" si="5"/>
        <v>2.0206391512900268E-3</v>
      </c>
      <c r="J35" s="23">
        <f>((((J24/J13))^(1/11))-1)*100</f>
        <v>1.2124822551715875</v>
      </c>
      <c r="K35" s="23">
        <f>((((K24/K13))^(1/11))-1)*100</f>
        <v>0.45978637833476999</v>
      </c>
      <c r="L35" s="23">
        <f>((((L24/L13))^(1/11))-1)*100</f>
        <v>-1.1179751972784535</v>
      </c>
      <c r="N35" s="23">
        <f>((((N24/N13))^(1/11))-1)*100</f>
        <v>-1.3119904099102242</v>
      </c>
      <c r="O35" s="23">
        <f>((((O24/O13))^(1/11))-1)*100</f>
        <v>-0.65816108502431137</v>
      </c>
      <c r="P35" s="23">
        <f>((((P24/P13))^(1/11))-1)*100</f>
        <v>-0.7647116638783702</v>
      </c>
      <c r="Q35" s="23">
        <f>((((Q23/Q12))^(1/11))-1)*100</f>
        <v>-0.82240412207962299</v>
      </c>
    </row>
    <row r="36" spans="1:17">
      <c r="A36" s="448" t="s">
        <v>1408</v>
      </c>
      <c r="B36" s="23" t="s">
        <v>744</v>
      </c>
      <c r="C36" s="23">
        <f>((((C32/C5))^(1/27))-1)*100</f>
        <v>1.6589995892576592</v>
      </c>
      <c r="D36" s="23">
        <f t="shared" ref="D36:L36" si="6">((((D32/D5))^(1/27))-1)*100</f>
        <v>0.51204066326622222</v>
      </c>
      <c r="E36" s="23">
        <f t="shared" si="6"/>
        <v>0.3487812359594944</v>
      </c>
      <c r="F36" s="23">
        <f t="shared" si="6"/>
        <v>0.71029486851259538</v>
      </c>
      <c r="G36" s="23">
        <f t="shared" si="6"/>
        <v>-0.15477515015953625</v>
      </c>
      <c r="H36" s="23">
        <f t="shared" si="6"/>
        <v>-0.19730873158271267</v>
      </c>
      <c r="I36" s="23">
        <f t="shared" si="6"/>
        <v>-0.10308413965968155</v>
      </c>
      <c r="J36" s="23">
        <f t="shared" si="6"/>
        <v>0.41818858362820954</v>
      </c>
      <c r="K36" s="23">
        <f t="shared" si="6"/>
        <v>-0.16932668501095094</v>
      </c>
      <c r="L36" s="23">
        <f t="shared" si="6"/>
        <v>-0.72804875430924065</v>
      </c>
      <c r="N36" s="23">
        <f>((((N32/N5))^(1/27))-1)*100</f>
        <v>-3.0573231308729132</v>
      </c>
      <c r="O36" s="23">
        <f>((((O32/O5))^(1/27))-1)*100</f>
        <v>-1.54052769330566</v>
      </c>
      <c r="P36" s="23">
        <f>((((P28/P5))^(1/23))-1)*100</f>
        <v>-3.0229489933090048</v>
      </c>
      <c r="Q36" s="23" t="e">
        <f>((((Q27/Q4))^(1/23))-1)*100</f>
        <v>#VALUE!</v>
      </c>
    </row>
    <row r="37" spans="1:17">
      <c r="A37" s="448" t="s">
        <v>809</v>
      </c>
      <c r="B37" s="644" t="s">
        <v>744</v>
      </c>
      <c r="C37" s="644">
        <f t="shared" ref="C37:L37" si="7">((((C29/C24))^(1/5)-1)*100)</f>
        <v>3.6021986844827714</v>
      </c>
      <c r="D37" s="644">
        <f t="shared" si="7"/>
        <v>0.33260399388339579</v>
      </c>
      <c r="E37" s="644">
        <f t="shared" si="7"/>
        <v>0.5634727336380374</v>
      </c>
      <c r="F37" s="644">
        <f t="shared" si="7"/>
        <v>1.2253967144672195</v>
      </c>
      <c r="G37" s="644">
        <f t="shared" si="7"/>
        <v>-0.24205027259351919</v>
      </c>
      <c r="H37" s="644">
        <f t="shared" si="7"/>
        <v>-0.57625074549243482</v>
      </c>
      <c r="I37" s="644">
        <f t="shared" si="7"/>
        <v>-0.34597634462096849</v>
      </c>
      <c r="J37" s="644">
        <f t="shared" si="7"/>
        <v>1.0632355326755327</v>
      </c>
      <c r="K37" s="644">
        <f t="shared" si="7"/>
        <v>-0.13782469787272378</v>
      </c>
      <c r="L37" s="644">
        <f t="shared" si="7"/>
        <v>0.6225016860210042</v>
      </c>
      <c r="N37" s="644">
        <f>((((N29/N24))^(1/5))-1)*100</f>
        <v>-5.1702875481560273</v>
      </c>
      <c r="O37" s="644">
        <f>((((O29/O24))^(1/5))-1)*100</f>
        <v>-2.6194514023236914</v>
      </c>
      <c r="P37" s="23">
        <f>((((P28/P24))^(1/4))-1)*100</f>
        <v>-5.4536047221819821</v>
      </c>
      <c r="Q37" s="23">
        <f>((((Q27/Q23))^(1/4))-1)*100</f>
        <v>-3.3238078127079462</v>
      </c>
    </row>
    <row r="38" spans="1:17">
      <c r="A38" s="448" t="s">
        <v>818</v>
      </c>
      <c r="B38" s="644" t="s">
        <v>744</v>
      </c>
      <c r="C38" s="644">
        <f t="shared" ref="C38:L38" si="8">((((C30/C24))^(1/6)-1)*100)</f>
        <v>3.2806639990484943</v>
      </c>
      <c r="D38" s="644">
        <f t="shared" si="8"/>
        <v>0.34887699400347749</v>
      </c>
      <c r="E38" s="644">
        <f t="shared" si="8"/>
        <v>0.27624826493748422</v>
      </c>
      <c r="F38" s="644">
        <f t="shared" si="8"/>
        <v>1.1329767359118614</v>
      </c>
      <c r="G38" s="644">
        <f t="shared" si="8"/>
        <v>-0.3812773407964265</v>
      </c>
      <c r="H38" s="644">
        <f t="shared" si="8"/>
        <v>-0.57725227920368827</v>
      </c>
      <c r="I38" s="644">
        <f t="shared" si="8"/>
        <v>-6.2682939474489885E-2</v>
      </c>
      <c r="J38" s="644">
        <f t="shared" si="8"/>
        <v>0.52372329862746536</v>
      </c>
      <c r="K38" s="644">
        <f t="shared" si="8"/>
        <v>2.9301274861048832E-2</v>
      </c>
      <c r="L38" s="644">
        <f t="shared" si="8"/>
        <v>0.71358891670960656</v>
      </c>
      <c r="M38" s="644"/>
      <c r="N38" s="644">
        <f>((((N30/N24))^(1/6)-1)*100)</f>
        <v>-4.2264916403898507</v>
      </c>
      <c r="O38" s="644">
        <f>((((O30/O24))^(1/6)-1)*100)</f>
        <v>-2.1360595726852227</v>
      </c>
      <c r="P38" s="644">
        <f>((((P29/P24))^(1/5))-1)*100</f>
        <v>-3.8482948232580583</v>
      </c>
      <c r="Q38" s="644">
        <f>((((Q28/Q23))^(1/5))-1)*100</f>
        <v>-1.9785703775281105</v>
      </c>
    </row>
    <row r="39" spans="1:17">
      <c r="A39" s="448" t="s">
        <v>449</v>
      </c>
      <c r="B39" s="644" t="s">
        <v>744</v>
      </c>
      <c r="C39" s="644">
        <f>((((C31/C24))^(1/7)-1)*100)</f>
        <v>3.9615322370339934</v>
      </c>
      <c r="D39" s="644">
        <f t="shared" ref="D39:O39" si="9">((((D31/D24))^(1/7)-1)*100)</f>
        <v>0.40470974728024078</v>
      </c>
      <c r="E39" s="644">
        <f t="shared" si="9"/>
        <v>0.27524212650544833</v>
      </c>
      <c r="F39" s="644">
        <f t="shared" si="9"/>
        <v>0.98952152147662176</v>
      </c>
      <c r="G39" s="644">
        <f t="shared" si="9"/>
        <v>-0.2806020670706233</v>
      </c>
      <c r="H39" s="644">
        <f t="shared" si="9"/>
        <v>-0.54012315395456367</v>
      </c>
      <c r="I39" s="644">
        <f t="shared" si="9"/>
        <v>6.7108865229936754E-2</v>
      </c>
      <c r="J39" s="644">
        <f t="shared" si="9"/>
        <v>0.46368234474980508</v>
      </c>
      <c r="K39" s="644">
        <f t="shared" si="9"/>
        <v>-0.127269035304034</v>
      </c>
      <c r="L39" s="644">
        <f t="shared" si="9"/>
        <v>0.58680611883616951</v>
      </c>
      <c r="N39" s="644">
        <f t="shared" si="9"/>
        <v>-4.7524161155432454</v>
      </c>
      <c r="O39" s="644">
        <f t="shared" si="9"/>
        <v>-2.4051313416239339</v>
      </c>
      <c r="P39" s="644">
        <f>((((P30/P24))^(1/6)-1)*100)</f>
        <v>-100</v>
      </c>
      <c r="Q39" s="644">
        <f>((((Q29/Q23))^(1/6)-1)*100)</f>
        <v>-1.420953188002394</v>
      </c>
    </row>
    <row r="40" spans="1:17">
      <c r="A40" s="448" t="s">
        <v>1410</v>
      </c>
      <c r="B40" s="644" t="s">
        <v>744</v>
      </c>
      <c r="C40" s="644">
        <f>((((C32/C24))^(1/8)-1)*100)</f>
        <v>3.5043536225494387</v>
      </c>
      <c r="D40" s="644">
        <f t="shared" ref="D40:L40" si="10">((((D32/D24))^(1/8)-1)*100)</f>
        <v>0.40101790820528116</v>
      </c>
      <c r="E40" s="644">
        <f t="shared" si="10"/>
        <v>0.54949760049742835</v>
      </c>
      <c r="F40" s="644">
        <f t="shared" si="10"/>
        <v>0.91347576181577406</v>
      </c>
      <c r="G40" s="644">
        <f t="shared" si="10"/>
        <v>-0.13053469112376259</v>
      </c>
      <c r="H40" s="644">
        <f t="shared" si="10"/>
        <v>-0.56849244810458499</v>
      </c>
      <c r="I40" s="644">
        <f t="shared" si="10"/>
        <v>0.28614243802664863</v>
      </c>
      <c r="J40" s="644">
        <f t="shared" si="10"/>
        <v>0.82800899995942867</v>
      </c>
      <c r="K40" s="644">
        <f t="shared" si="10"/>
        <v>-0.31370389550348099</v>
      </c>
      <c r="L40" s="644">
        <f t="shared" si="10"/>
        <v>0.35939714197146255</v>
      </c>
      <c r="N40" s="644">
        <f>((((N32/N24))^(1/8)-1)*100)</f>
        <v>-5.3721533599498272</v>
      </c>
      <c r="O40" s="644">
        <f>((((O32/O24))^(1/8)-1)*100)</f>
        <v>-2.7231545330286822</v>
      </c>
      <c r="P40" s="644"/>
      <c r="Q40" s="644"/>
    </row>
    <row r="41" spans="1:17">
      <c r="A41" s="2"/>
      <c r="D41" s="27" t="s">
        <v>276</v>
      </c>
      <c r="N41" s="644"/>
      <c r="O41" s="644"/>
      <c r="P41" s="644"/>
      <c r="Q41" s="644"/>
    </row>
    <row r="42" spans="1:17">
      <c r="A42" s="448" t="s">
        <v>819</v>
      </c>
      <c r="B42" s="10" t="s">
        <v>744</v>
      </c>
      <c r="C42" s="10">
        <f t="shared" ref="C42:L42" si="11">(C30/C5-1)*100</f>
        <v>43.675474438702992</v>
      </c>
      <c r="D42" s="10">
        <f t="shared" si="11"/>
        <v>13.51640113923256</v>
      </c>
      <c r="E42" s="10">
        <f t="shared" si="11"/>
        <v>6.8995757857540863</v>
      </c>
      <c r="F42" s="10">
        <f t="shared" si="11"/>
        <v>20.436422682521062</v>
      </c>
      <c r="G42" s="10">
        <f t="shared" si="11"/>
        <v>-5.2844910623536467</v>
      </c>
      <c r="H42" s="10">
        <f t="shared" si="11"/>
        <v>-4.1563828793371282</v>
      </c>
      <c r="I42" s="10">
        <f t="shared" si="11"/>
        <v>-5.3011126550577492</v>
      </c>
      <c r="J42" s="10">
        <f t="shared" si="11"/>
        <v>8.1175523391520557</v>
      </c>
      <c r="K42" s="10">
        <f t="shared" si="11"/>
        <v>-1.8686577989008968</v>
      </c>
      <c r="L42" s="10">
        <f t="shared" si="11"/>
        <v>-16.750591586503248</v>
      </c>
      <c r="M42" s="10"/>
      <c r="N42" s="10">
        <f>(N30/N5-1)*100</f>
        <v>-48.093000038790343</v>
      </c>
      <c r="O42" s="10">
        <f>(O30/O5-1)*100</f>
        <v>-27.953487273005607</v>
      </c>
      <c r="P42" s="10">
        <f>(P29/P5-1)*100</f>
        <v>-49.231838045035545</v>
      </c>
      <c r="Q42" s="10" t="e">
        <f>(Q28/Q4-1)*100</f>
        <v>#VALUE!</v>
      </c>
    </row>
    <row r="43" spans="1:17">
      <c r="A43" s="448" t="s">
        <v>447</v>
      </c>
      <c r="B43" s="10" t="s">
        <v>744</v>
      </c>
      <c r="C43" s="10">
        <f>(C31/C5-1)*100</f>
        <v>55.373594734075773</v>
      </c>
      <c r="D43" s="10">
        <f t="shared" ref="D43:L43" si="12">(D31/D5-1)*100</f>
        <v>14.356830290955758</v>
      </c>
      <c r="E43" s="10">
        <f t="shared" si="12"/>
        <v>7.1873553317018946</v>
      </c>
      <c r="F43" s="10">
        <f t="shared" si="12"/>
        <v>20.59666744411075</v>
      </c>
      <c r="G43" s="10">
        <f t="shared" si="12"/>
        <v>-4.9761070439102273</v>
      </c>
      <c r="H43" s="10">
        <f t="shared" si="12"/>
        <v>-4.4602618150016538</v>
      </c>
      <c r="I43" s="10">
        <f t="shared" si="12"/>
        <v>-4.4967334628556284</v>
      </c>
      <c r="J43" s="10">
        <f t="shared" si="12"/>
        <v>8.2301988931025925</v>
      </c>
      <c r="K43" s="10">
        <f t="shared" si="12"/>
        <v>-2.9103787301287376</v>
      </c>
      <c r="L43" s="10">
        <f t="shared" si="12"/>
        <v>-16.892570200619595</v>
      </c>
      <c r="N43" s="10">
        <f>(N31/N5-1)*100</f>
        <v>-52.166592055465784</v>
      </c>
      <c r="O43" s="10">
        <f>(O31/O5-1)*100</f>
        <v>-30.838299656143352</v>
      </c>
      <c r="P43" s="10">
        <f>(P30/P5-1)*100</f>
        <v>-100</v>
      </c>
      <c r="Q43" s="10" t="e">
        <f>(Q29/Q4-1)*100</f>
        <v>#VALUE!</v>
      </c>
    </row>
    <row r="44" spans="1:17">
      <c r="A44" s="448" t="s">
        <v>1408</v>
      </c>
      <c r="B44" s="10" t="s">
        <v>744</v>
      </c>
      <c r="C44" s="10">
        <f>(C32/C5-1)*100</f>
        <v>55.932790959295772</v>
      </c>
      <c r="D44" s="10">
        <f t="shared" ref="D44:L44" si="13">(D32/D5-1)*100</f>
        <v>14.785872914958919</v>
      </c>
      <c r="E44" s="10">
        <f t="shared" si="13"/>
        <v>9.8567533961820821</v>
      </c>
      <c r="F44" s="10">
        <f t="shared" si="13"/>
        <v>21.058258900038229</v>
      </c>
      <c r="G44" s="10">
        <f t="shared" si="13"/>
        <v>-4.0959202860817339</v>
      </c>
      <c r="H44" s="10">
        <f t="shared" si="13"/>
        <v>-5.1929093136940612</v>
      </c>
      <c r="I44" s="10">
        <f t="shared" si="13"/>
        <v>-2.7462917521485664</v>
      </c>
      <c r="J44" s="10">
        <f t="shared" si="13"/>
        <v>11.926865279403609</v>
      </c>
      <c r="K44" s="10">
        <f t="shared" si="13"/>
        <v>-4.4725891676629885</v>
      </c>
      <c r="L44" s="10">
        <f t="shared" si="13"/>
        <v>-17.904930826950306</v>
      </c>
      <c r="M44" s="10"/>
      <c r="N44" s="10">
        <f>(N32/N5-1)*100</f>
        <v>-56.758056249640575</v>
      </c>
      <c r="O44" s="10">
        <f>(O32/O5-1)*100</f>
        <v>-34.241393148607969</v>
      </c>
      <c r="P44" s="10"/>
      <c r="Q44" s="10"/>
    </row>
    <row r="45" spans="1:17">
      <c r="C45" s="229"/>
      <c r="D45" s="229"/>
      <c r="E45" s="229"/>
      <c r="F45" s="229"/>
      <c r="G45" s="229"/>
      <c r="H45" s="229"/>
      <c r="I45" s="229"/>
      <c r="J45" s="229"/>
      <c r="K45" s="229"/>
      <c r="L45" s="229"/>
      <c r="N45" s="10"/>
      <c r="O45" s="10"/>
      <c r="P45" s="10"/>
      <c r="Q45" s="10"/>
    </row>
    <row r="46" spans="1:17">
      <c r="A46" s="9" t="s">
        <v>290</v>
      </c>
    </row>
    <row r="51" spans="2:12">
      <c r="B51" s="1" t="s">
        <v>278</v>
      </c>
    </row>
    <row r="52" spans="2:12">
      <c r="B52" s="1" t="s">
        <v>279</v>
      </c>
    </row>
    <row r="53" spans="2:12">
      <c r="B53" s="1">
        <v>1981</v>
      </c>
      <c r="C53" s="229">
        <f>100-C5</f>
        <v>37.530073556053537</v>
      </c>
      <c r="D53" s="229">
        <f t="shared" ref="D53:L53" si="14">100-D5</f>
        <v>34.413881383486896</v>
      </c>
      <c r="E53" s="229">
        <f t="shared" si="14"/>
        <v>28.34568562549012</v>
      </c>
      <c r="F53" s="229">
        <f t="shared" si="14"/>
        <v>34.25240335500726</v>
      </c>
      <c r="G53" s="229">
        <f t="shared" si="14"/>
        <v>9.1499369182352268</v>
      </c>
      <c r="H53" s="229">
        <f t="shared" si="14"/>
        <v>-9.48188469293747</v>
      </c>
      <c r="I53" s="229">
        <f t="shared" si="14"/>
        <v>8.7511169154914938</v>
      </c>
      <c r="J53" s="229">
        <f t="shared" si="14"/>
        <v>8.1070080225972703</v>
      </c>
      <c r="K53" s="229">
        <f t="shared" si="14"/>
        <v>-37.286368345876269</v>
      </c>
      <c r="L53" s="229">
        <f t="shared" si="14"/>
        <v>-14.651336477641337</v>
      </c>
    </row>
    <row r="54" spans="2:12">
      <c r="B54" s="1">
        <v>1982</v>
      </c>
      <c r="C54" s="229">
        <f t="shared" ref="C54:L69" si="15">100-C6</f>
        <v>34.165238306302712</v>
      </c>
      <c r="D54" s="229">
        <f t="shared" si="15"/>
        <v>31.128900127245842</v>
      </c>
      <c r="E54" s="229">
        <f t="shared" si="15"/>
        <v>22.912212421343852</v>
      </c>
      <c r="F54" s="229">
        <f t="shared" si="15"/>
        <v>30.401880168192179</v>
      </c>
      <c r="G54" s="229">
        <f t="shared" si="15"/>
        <v>9.2659652440100615</v>
      </c>
      <c r="H54" s="229">
        <f t="shared" si="15"/>
        <v>-9.5529725737918909</v>
      </c>
      <c r="I54" s="229">
        <f t="shared" si="15"/>
        <v>8.3688076785656733</v>
      </c>
      <c r="J54" s="229">
        <f t="shared" si="15"/>
        <v>7.104823147688677</v>
      </c>
      <c r="K54" s="229">
        <f t="shared" si="15"/>
        <v>-33.697377456770653</v>
      </c>
      <c r="L54" s="229">
        <f t="shared" si="15"/>
        <v>-10.055228463026893</v>
      </c>
    </row>
    <row r="55" spans="2:12">
      <c r="B55" s="1">
        <v>1983</v>
      </c>
      <c r="C55" s="229">
        <f t="shared" si="15"/>
        <v>33.860410420657914</v>
      </c>
      <c r="D55" s="229">
        <f t="shared" si="15"/>
        <v>26.72278781268453</v>
      </c>
      <c r="E55" s="229">
        <f t="shared" si="15"/>
        <v>23.143092778187352</v>
      </c>
      <c r="F55" s="229">
        <f t="shared" si="15"/>
        <v>27.524742674533087</v>
      </c>
      <c r="G55" s="229">
        <f t="shared" si="15"/>
        <v>9.4086678539103161</v>
      </c>
      <c r="H55" s="229">
        <f t="shared" si="15"/>
        <v>-11.092964037619709</v>
      </c>
      <c r="I55" s="229">
        <f t="shared" si="15"/>
        <v>10.41921741288877</v>
      </c>
      <c r="J55" s="229">
        <f t="shared" si="15"/>
        <v>7.3301279009597664</v>
      </c>
      <c r="K55" s="229">
        <f t="shared" si="15"/>
        <v>-28.800639077371159</v>
      </c>
      <c r="L55" s="229">
        <f t="shared" si="15"/>
        <v>-7.7943293509657536</v>
      </c>
    </row>
    <row r="56" spans="2:12">
      <c r="B56" s="1">
        <v>1984</v>
      </c>
      <c r="C56" s="229">
        <f t="shared" si="15"/>
        <v>35.257909270509643</v>
      </c>
      <c r="D56" s="229">
        <f t="shared" si="15"/>
        <v>29.327723761434427</v>
      </c>
      <c r="E56" s="229">
        <f t="shared" si="15"/>
        <v>22.951059685073076</v>
      </c>
      <c r="F56" s="229">
        <f t="shared" si="15"/>
        <v>29.97088763231244</v>
      </c>
      <c r="G56" s="229">
        <f t="shared" si="15"/>
        <v>10.170273942820344</v>
      </c>
      <c r="H56" s="229">
        <f t="shared" si="15"/>
        <v>-12.87593690751747</v>
      </c>
      <c r="I56" s="229">
        <f t="shared" si="15"/>
        <v>8.5585208508037312</v>
      </c>
      <c r="J56" s="229">
        <f t="shared" si="15"/>
        <v>11.019255424262155</v>
      </c>
      <c r="K56" s="229">
        <f t="shared" si="15"/>
        <v>-27.960781317439796</v>
      </c>
      <c r="L56" s="229">
        <f t="shared" si="15"/>
        <v>-2.2247634928728672</v>
      </c>
    </row>
    <row r="57" spans="2:12">
      <c r="B57" s="1">
        <v>1985</v>
      </c>
      <c r="C57" s="229">
        <f t="shared" si="15"/>
        <v>36.709243244541831</v>
      </c>
      <c r="D57" s="229">
        <f t="shared" si="15"/>
        <v>32.822153993361781</v>
      </c>
      <c r="E57" s="229">
        <f t="shared" si="15"/>
        <v>22.953469864009364</v>
      </c>
      <c r="F57" s="229">
        <f t="shared" si="15"/>
        <v>30.746563521092924</v>
      </c>
      <c r="G57" s="229">
        <f t="shared" si="15"/>
        <v>11.138247755643803</v>
      </c>
      <c r="H57" s="229">
        <f t="shared" si="15"/>
        <v>-11.549293410374034</v>
      </c>
      <c r="I57" s="229">
        <f t="shared" si="15"/>
        <v>7.2544595096432829</v>
      </c>
      <c r="J57" s="229">
        <f t="shared" si="15"/>
        <v>12.977977693584094</v>
      </c>
      <c r="K57" s="229">
        <f t="shared" si="15"/>
        <v>-32.529116719706678</v>
      </c>
      <c r="L57" s="229">
        <f t="shared" si="15"/>
        <v>-4.3659985936433259</v>
      </c>
    </row>
    <row r="58" spans="2:12">
      <c r="B58" s="1">
        <v>1986</v>
      </c>
      <c r="C58" s="229">
        <f t="shared" si="15"/>
        <v>37.159590872977255</v>
      </c>
      <c r="D58" s="229">
        <f t="shared" si="15"/>
        <v>31.241061987702452</v>
      </c>
      <c r="E58" s="229">
        <f t="shared" si="15"/>
        <v>22.679975322480075</v>
      </c>
      <c r="F58" s="229">
        <f t="shared" si="15"/>
        <v>27.143230966835702</v>
      </c>
      <c r="G58" s="229">
        <f t="shared" si="15"/>
        <v>11.191173329917007</v>
      </c>
      <c r="H58" s="229">
        <f t="shared" si="15"/>
        <v>-12.806253629669072</v>
      </c>
      <c r="I58" s="229">
        <f t="shared" si="15"/>
        <v>8.9758862146315295</v>
      </c>
      <c r="J58" s="229">
        <f t="shared" si="15"/>
        <v>9.5673677756351196</v>
      </c>
      <c r="K58" s="229">
        <f t="shared" si="15"/>
        <v>-26.379732828400449</v>
      </c>
      <c r="L58" s="229">
        <f t="shared" si="15"/>
        <v>-2.1537454742282875</v>
      </c>
    </row>
    <row r="59" spans="2:12">
      <c r="B59" s="1">
        <v>1987</v>
      </c>
      <c r="C59" s="229">
        <f t="shared" si="15"/>
        <v>36.753325793756794</v>
      </c>
      <c r="D59" s="229">
        <f t="shared" si="15"/>
        <v>32.31594389444642</v>
      </c>
      <c r="E59" s="229">
        <f t="shared" si="15"/>
        <v>22.84626866699891</v>
      </c>
      <c r="F59" s="229">
        <f t="shared" si="15"/>
        <v>25.781475211638764</v>
      </c>
      <c r="G59" s="229">
        <f t="shared" si="15"/>
        <v>11.003276993208686</v>
      </c>
      <c r="H59" s="229">
        <f t="shared" si="15"/>
        <v>-12.677623620116691</v>
      </c>
      <c r="I59" s="229">
        <f t="shared" si="15"/>
        <v>10.845467452978099</v>
      </c>
      <c r="J59" s="229">
        <f t="shared" si="15"/>
        <v>12.073846792025449</v>
      </c>
      <c r="K59" s="229">
        <f t="shared" si="15"/>
        <v>-24.807998519710736</v>
      </c>
      <c r="L59" s="229">
        <f t="shared" si="15"/>
        <v>-3.841482040668609</v>
      </c>
    </row>
    <row r="60" spans="2:12">
      <c r="B60" s="1">
        <v>1988</v>
      </c>
      <c r="C60" s="229">
        <f t="shared" si="15"/>
        <v>35.14052469862277</v>
      </c>
      <c r="D60" s="229">
        <f t="shared" si="15"/>
        <v>32.860346180681063</v>
      </c>
      <c r="E60" s="229">
        <f t="shared" si="15"/>
        <v>24.920357410506739</v>
      </c>
      <c r="F60" s="229">
        <f t="shared" si="15"/>
        <v>28.119522069220793</v>
      </c>
      <c r="G60" s="229">
        <f t="shared" si="15"/>
        <v>10.911634950848153</v>
      </c>
      <c r="H60" s="229">
        <f t="shared" si="15"/>
        <v>-12.284264428338233</v>
      </c>
      <c r="I60" s="229">
        <f t="shared" si="15"/>
        <v>14.717976483700753</v>
      </c>
      <c r="J60" s="229">
        <f t="shared" si="15"/>
        <v>17.623808785478118</v>
      </c>
      <c r="K60" s="229">
        <f t="shared" si="15"/>
        <v>-29.302402000042889</v>
      </c>
      <c r="L60" s="229">
        <f t="shared" si="15"/>
        <v>-3.7607189926815749</v>
      </c>
    </row>
    <row r="61" spans="2:12">
      <c r="B61" s="1">
        <v>1989</v>
      </c>
      <c r="C61" s="229">
        <f t="shared" si="15"/>
        <v>33.120069165434614</v>
      </c>
      <c r="D61" s="229">
        <f t="shared" si="15"/>
        <v>32.095670808355834</v>
      </c>
      <c r="E61" s="229">
        <f t="shared" si="15"/>
        <v>24.425029470928777</v>
      </c>
      <c r="F61" s="229">
        <f t="shared" si="15"/>
        <v>28.623647052201321</v>
      </c>
      <c r="G61" s="229">
        <f t="shared" si="15"/>
        <v>12.212006014167471</v>
      </c>
      <c r="H61" s="229">
        <f t="shared" si="15"/>
        <v>-12.048837436201794</v>
      </c>
      <c r="I61" s="229">
        <f t="shared" si="15"/>
        <v>13.28189334180972</v>
      </c>
      <c r="J61" s="229">
        <f t="shared" si="15"/>
        <v>15.66800712125017</v>
      </c>
      <c r="K61" s="229">
        <f t="shared" si="15"/>
        <v>-27.866562823216398</v>
      </c>
      <c r="L61" s="229">
        <f t="shared" si="15"/>
        <v>-3.5001512541612954</v>
      </c>
    </row>
    <row r="62" spans="2:12">
      <c r="B62" s="1">
        <v>1990</v>
      </c>
      <c r="C62" s="229">
        <f t="shared" si="15"/>
        <v>32.257037939048033</v>
      </c>
      <c r="D62" s="229">
        <f t="shared" si="15"/>
        <v>30.832088125676307</v>
      </c>
      <c r="E62" s="229">
        <f t="shared" si="15"/>
        <v>24.169661697370231</v>
      </c>
      <c r="F62" s="229">
        <f t="shared" si="15"/>
        <v>28.465130465314729</v>
      </c>
      <c r="G62" s="229">
        <f t="shared" si="15"/>
        <v>11.610156467429761</v>
      </c>
      <c r="H62" s="229">
        <f t="shared" si="15"/>
        <v>-9.6184692247751116</v>
      </c>
      <c r="I62" s="229">
        <f t="shared" si="15"/>
        <v>10.102105788060726</v>
      </c>
      <c r="J62" s="229">
        <f t="shared" si="15"/>
        <v>7.4743963330702741</v>
      </c>
      <c r="K62" s="229">
        <f t="shared" si="15"/>
        <v>-30.04435267890014</v>
      </c>
      <c r="L62" s="229">
        <f t="shared" si="15"/>
        <v>-3.4368458280980434</v>
      </c>
    </row>
    <row r="63" spans="2:12">
      <c r="B63" s="1">
        <v>1991</v>
      </c>
      <c r="C63" s="229">
        <f t="shared" si="15"/>
        <v>29.857895988674869</v>
      </c>
      <c r="D63" s="229">
        <f t="shared" si="15"/>
        <v>28.651158432130913</v>
      </c>
      <c r="E63" s="229">
        <f t="shared" si="15"/>
        <v>22.637065954099072</v>
      </c>
      <c r="F63" s="229">
        <f t="shared" si="15"/>
        <v>26.591708411767769</v>
      </c>
      <c r="G63" s="229">
        <f t="shared" si="15"/>
        <v>11.955191945815614</v>
      </c>
      <c r="H63" s="229">
        <f t="shared" si="15"/>
        <v>-7.4727017992627651</v>
      </c>
      <c r="I63" s="229">
        <f t="shared" si="15"/>
        <v>10.46013546261419</v>
      </c>
      <c r="J63" s="229">
        <f t="shared" si="15"/>
        <v>2.7429485375554634</v>
      </c>
      <c r="K63" s="229">
        <f t="shared" si="15"/>
        <v>-32.714071335987853</v>
      </c>
      <c r="L63" s="229">
        <f t="shared" si="15"/>
        <v>-4.4170418812060603</v>
      </c>
    </row>
    <row r="64" spans="2:12">
      <c r="B64" s="1">
        <v>1992</v>
      </c>
      <c r="C64" s="229">
        <f t="shared" si="15"/>
        <v>30.750141649795637</v>
      </c>
      <c r="D64" s="229">
        <f t="shared" si="15"/>
        <v>26.804905046927587</v>
      </c>
      <c r="E64" s="229">
        <f t="shared" si="15"/>
        <v>21.751854691807722</v>
      </c>
      <c r="F64" s="229">
        <f t="shared" si="15"/>
        <v>25.474414770425241</v>
      </c>
      <c r="G64" s="229">
        <f t="shared" si="15"/>
        <v>11.84072698120886</v>
      </c>
      <c r="H64" s="229">
        <f t="shared" si="15"/>
        <v>-7.2594765704770055</v>
      </c>
      <c r="I64" s="229">
        <f t="shared" si="15"/>
        <v>9.5850649097307894</v>
      </c>
      <c r="J64" s="229">
        <f t="shared" si="15"/>
        <v>6.3257376765940307</v>
      </c>
      <c r="K64" s="229">
        <f t="shared" si="15"/>
        <v>-32.217226851180186</v>
      </c>
      <c r="L64" s="229">
        <f t="shared" si="15"/>
        <v>-4.5434319729548633</v>
      </c>
    </row>
    <row r="65" spans="2:12">
      <c r="B65" s="1">
        <v>1993</v>
      </c>
      <c r="C65" s="229">
        <f t="shared" si="15"/>
        <v>31.012182245660156</v>
      </c>
      <c r="D65" s="229">
        <f t="shared" si="15"/>
        <v>27.503559042299344</v>
      </c>
      <c r="E65" s="229">
        <f t="shared" si="15"/>
        <v>22.22095920543093</v>
      </c>
      <c r="F65" s="229">
        <f t="shared" si="15"/>
        <v>24.249861639527182</v>
      </c>
      <c r="G65" s="229">
        <f t="shared" si="15"/>
        <v>11.694385305984738</v>
      </c>
      <c r="H65" s="229">
        <f t="shared" si="15"/>
        <v>-5.8392755491981916</v>
      </c>
      <c r="I65" s="229">
        <f t="shared" si="15"/>
        <v>10.647813989951686</v>
      </c>
      <c r="J65" s="229">
        <f t="shared" si="15"/>
        <v>1.6011062613547011</v>
      </c>
      <c r="K65" s="229">
        <f t="shared" si="15"/>
        <v>-38.293162008585057</v>
      </c>
      <c r="L65" s="229">
        <f t="shared" si="15"/>
        <v>-4.9774637272182503</v>
      </c>
    </row>
    <row r="66" spans="2:12">
      <c r="B66" s="1">
        <v>1994</v>
      </c>
      <c r="C66" s="229">
        <f t="shared" si="15"/>
        <v>29.922979643227706</v>
      </c>
      <c r="D66" s="229">
        <f t="shared" si="15"/>
        <v>27.359394150586368</v>
      </c>
      <c r="E66" s="229">
        <f t="shared" si="15"/>
        <v>24.914011289012052</v>
      </c>
      <c r="F66" s="229">
        <f t="shared" si="15"/>
        <v>25.538238187633553</v>
      </c>
      <c r="G66" s="229">
        <f t="shared" si="15"/>
        <v>11.531992854209676</v>
      </c>
      <c r="H66" s="229">
        <f t="shared" si="15"/>
        <v>-6.8424070942352984</v>
      </c>
      <c r="I66" s="229">
        <f t="shared" si="15"/>
        <v>10.834313095681111</v>
      </c>
      <c r="J66" s="229">
        <f t="shared" si="15"/>
        <v>1.2791481448893052</v>
      </c>
      <c r="K66" s="229">
        <f t="shared" si="15"/>
        <v>-39.938727926861873</v>
      </c>
      <c r="L66" s="229">
        <f t="shared" si="15"/>
        <v>-1.0301253432102158</v>
      </c>
    </row>
    <row r="67" spans="2:12">
      <c r="B67" s="1">
        <v>1995</v>
      </c>
      <c r="C67" s="229">
        <f t="shared" si="15"/>
        <v>28.640486571475819</v>
      </c>
      <c r="D67" s="229">
        <f t="shared" si="15"/>
        <v>24.546116795140804</v>
      </c>
      <c r="E67" s="229">
        <f t="shared" si="15"/>
        <v>25.077954594525579</v>
      </c>
      <c r="F67" s="229">
        <f t="shared" si="15"/>
        <v>24.481897925681366</v>
      </c>
      <c r="G67" s="229">
        <f t="shared" si="15"/>
        <v>11.869626906473556</v>
      </c>
      <c r="H67" s="229">
        <f t="shared" si="15"/>
        <v>-7.4285167234837672</v>
      </c>
      <c r="I67" s="229">
        <f t="shared" si="15"/>
        <v>12.585750616099716</v>
      </c>
      <c r="J67" s="229">
        <f t="shared" si="15"/>
        <v>2.3273998261055198</v>
      </c>
      <c r="K67" s="229">
        <f t="shared" si="15"/>
        <v>-40.187752603154991</v>
      </c>
      <c r="L67" s="229">
        <f t="shared" si="15"/>
        <v>1.0481301007422559</v>
      </c>
    </row>
    <row r="68" spans="2:12">
      <c r="B68" s="1">
        <v>1996</v>
      </c>
      <c r="C68" s="229">
        <f t="shared" si="15"/>
        <v>31.453003599116968</v>
      </c>
      <c r="D68" s="229">
        <f t="shared" si="15"/>
        <v>23.576620390107962</v>
      </c>
      <c r="E68" s="229">
        <f t="shared" si="15"/>
        <v>25.300464210897275</v>
      </c>
      <c r="F68" s="229">
        <f t="shared" si="15"/>
        <v>24.59957821515151</v>
      </c>
      <c r="G68" s="229">
        <f t="shared" si="15"/>
        <v>11.955845429758611</v>
      </c>
      <c r="H68" s="229">
        <f t="shared" si="15"/>
        <v>-6.6811912246153611</v>
      </c>
      <c r="I68" s="229">
        <f t="shared" si="15"/>
        <v>10.908309017044928</v>
      </c>
      <c r="J68" s="229">
        <f t="shared" si="15"/>
        <v>0.57879721496605896</v>
      </c>
      <c r="K68" s="229">
        <f t="shared" si="15"/>
        <v>-39.966854079787765</v>
      </c>
      <c r="L68" s="229">
        <f t="shared" si="15"/>
        <v>1.7583646599051832</v>
      </c>
    </row>
    <row r="69" spans="2:12">
      <c r="B69" s="1">
        <v>1997</v>
      </c>
      <c r="C69" s="229">
        <f t="shared" si="15"/>
        <v>31.689146658487886</v>
      </c>
      <c r="D69" s="229">
        <f t="shared" si="15"/>
        <v>25.816784874938477</v>
      </c>
      <c r="E69" s="229">
        <f t="shared" si="15"/>
        <v>24.610347229609346</v>
      </c>
      <c r="F69" s="229">
        <f t="shared" si="15"/>
        <v>26.075977399548847</v>
      </c>
      <c r="G69" s="229">
        <f t="shared" si="15"/>
        <v>12.248478478612398</v>
      </c>
      <c r="H69" s="229">
        <f t="shared" si="15"/>
        <v>-6.5929846952642635</v>
      </c>
      <c r="I69" s="229">
        <f t="shared" si="15"/>
        <v>10.608870904963197</v>
      </c>
      <c r="J69" s="229">
        <f t="shared" si="15"/>
        <v>-0.17710523694478297</v>
      </c>
      <c r="K69" s="229">
        <f t="shared" si="15"/>
        <v>-42.107538485541255</v>
      </c>
      <c r="L69" s="229">
        <f t="shared" si="15"/>
        <v>3.6268259602572499</v>
      </c>
    </row>
    <row r="70" spans="2:12">
      <c r="B70" s="1">
        <v>1998</v>
      </c>
      <c r="C70" s="229">
        <f t="shared" ref="C70:L80" si="16">100-C22</f>
        <v>28.840826565115393</v>
      </c>
      <c r="D70" s="229">
        <f t="shared" si="16"/>
        <v>24.719752021328645</v>
      </c>
      <c r="E70" s="229">
        <f t="shared" si="16"/>
        <v>24.226227801741985</v>
      </c>
      <c r="F70" s="229">
        <f t="shared" si="16"/>
        <v>25.553863411799767</v>
      </c>
      <c r="G70" s="229">
        <f t="shared" si="16"/>
        <v>12.576978863975114</v>
      </c>
      <c r="H70" s="229">
        <f t="shared" si="16"/>
        <v>-6.9137802707109444</v>
      </c>
      <c r="I70" s="229">
        <f t="shared" si="16"/>
        <v>9.8715752879891596</v>
      </c>
      <c r="J70" s="229">
        <f t="shared" si="16"/>
        <v>-1.2128800154331998</v>
      </c>
      <c r="K70" s="229">
        <f t="shared" si="16"/>
        <v>-41.449292712334511</v>
      </c>
      <c r="L70" s="229">
        <f t="shared" si="16"/>
        <v>6.2451906330772147</v>
      </c>
    </row>
    <row r="71" spans="2:12">
      <c r="B71" s="1">
        <v>1999</v>
      </c>
      <c r="C71" s="229">
        <f t="shared" si="16"/>
        <v>27.452130055724041</v>
      </c>
      <c r="D71" s="229">
        <f t="shared" si="16"/>
        <v>25.327817409714541</v>
      </c>
      <c r="E71" s="229">
        <f t="shared" si="16"/>
        <v>23.828201987232148</v>
      </c>
      <c r="F71" s="229">
        <f t="shared" si="16"/>
        <v>24.476542233689088</v>
      </c>
      <c r="G71" s="229">
        <f t="shared" si="16"/>
        <v>11.674444468706881</v>
      </c>
      <c r="H71" s="229">
        <f t="shared" si="16"/>
        <v>-8.5128423070592163</v>
      </c>
      <c r="I71" s="229">
        <f t="shared" si="16"/>
        <v>12.859253017183804</v>
      </c>
      <c r="J71" s="229">
        <f t="shared" si="16"/>
        <v>2.8099396713270011</v>
      </c>
      <c r="K71" s="229">
        <f t="shared" si="16"/>
        <v>-34.441953165730922</v>
      </c>
      <c r="L71" s="229">
        <f t="shared" si="16"/>
        <v>8.1855238607797247</v>
      </c>
    </row>
    <row r="72" spans="2:12">
      <c r="B72" s="1">
        <v>2000</v>
      </c>
      <c r="C72" s="229">
        <f t="shared" si="16"/>
        <v>26.049773891504884</v>
      </c>
      <c r="D72" s="229">
        <f t="shared" si="16"/>
        <v>27.088598845271434</v>
      </c>
      <c r="E72" s="229">
        <f t="shared" si="16"/>
        <v>24.659262836536655</v>
      </c>
      <c r="F72" s="229">
        <f t="shared" si="16"/>
        <v>25.99160482063418</v>
      </c>
      <c r="G72" s="229">
        <f t="shared" si="16"/>
        <v>11.955847423811889</v>
      </c>
      <c r="H72" s="229">
        <f t="shared" si="16"/>
        <v>-8.6402839052518061</v>
      </c>
      <c r="I72" s="229">
        <f t="shared" si="16"/>
        <v>13.26261653415645</v>
      </c>
      <c r="J72" s="229">
        <f t="shared" si="16"/>
        <v>3.7131008077145822</v>
      </c>
      <c r="K72" s="229">
        <f t="shared" si="16"/>
        <v>-34.484348881734633</v>
      </c>
      <c r="L72" s="229">
        <f t="shared" si="16"/>
        <v>8.5398637604359351</v>
      </c>
    </row>
    <row r="73" spans="2:12">
      <c r="B73" s="1">
        <v>2001</v>
      </c>
      <c r="C73" s="229">
        <f t="shared" si="16"/>
        <v>24.498757841630464</v>
      </c>
      <c r="D73" s="229">
        <f t="shared" si="16"/>
        <v>28.415939688448375</v>
      </c>
      <c r="E73" s="229">
        <f t="shared" si="16"/>
        <v>22.684611203806242</v>
      </c>
      <c r="F73" s="229">
        <f t="shared" si="16"/>
        <v>25.268550112511306</v>
      </c>
      <c r="G73" s="229">
        <f t="shared" si="16"/>
        <v>11.707966107724559</v>
      </c>
      <c r="H73" s="229">
        <f t="shared" si="16"/>
        <v>-7.8518689971362363</v>
      </c>
      <c r="I73" s="229">
        <f t="shared" si="16"/>
        <v>13.474901918935757</v>
      </c>
      <c r="J73" s="229">
        <f t="shared" si="16"/>
        <v>4.5823883449665885</v>
      </c>
      <c r="K73" s="229">
        <f t="shared" si="16"/>
        <v>-33.488183961104198</v>
      </c>
      <c r="L73" s="229">
        <f t="shared" si="16"/>
        <v>9.4066714552289881</v>
      </c>
    </row>
    <row r="74" spans="2:12">
      <c r="B74" s="1">
        <v>2002</v>
      </c>
      <c r="C74" s="229">
        <f t="shared" si="16"/>
        <v>13.854247515135754</v>
      </c>
      <c r="D74" s="229">
        <f t="shared" si="16"/>
        <v>26.466295342766088</v>
      </c>
      <c r="E74" s="229">
        <f t="shared" si="16"/>
        <v>21.230729733317517</v>
      </c>
      <c r="F74" s="229">
        <f t="shared" si="16"/>
        <v>23.171684787773984</v>
      </c>
      <c r="G74" s="229">
        <f t="shared" si="16"/>
        <v>11.756537926053738</v>
      </c>
      <c r="H74" s="229">
        <f t="shared" si="16"/>
        <v>-7.4592776170503896</v>
      </c>
      <c r="I74" s="229">
        <f t="shared" si="16"/>
        <v>14.03910965708134</v>
      </c>
      <c r="J74" s="229">
        <f t="shared" si="16"/>
        <v>6.3032706544251766</v>
      </c>
      <c r="K74" s="229">
        <f t="shared" si="16"/>
        <v>-30.913687460889122</v>
      </c>
      <c r="L74" s="229">
        <f t="shared" si="16"/>
        <v>8.2956591098794945</v>
      </c>
    </row>
    <row r="75" spans="2:12">
      <c r="B75" s="1">
        <v>2003</v>
      </c>
      <c r="C75" s="229">
        <f t="shared" si="16"/>
        <v>9.4800744998648554</v>
      </c>
      <c r="D75" s="229">
        <f t="shared" si="16"/>
        <v>25.804573912289058</v>
      </c>
      <c r="E75" s="229">
        <f t="shared" si="16"/>
        <v>21.114013286771922</v>
      </c>
      <c r="F75" s="229">
        <f t="shared" si="16"/>
        <v>21.783801119744311</v>
      </c>
      <c r="G75" s="229">
        <f t="shared" si="16"/>
        <v>12.044007209118547</v>
      </c>
      <c r="H75" s="229">
        <f t="shared" si="16"/>
        <v>-6.5901920386179</v>
      </c>
      <c r="I75" s="229">
        <f t="shared" si="16"/>
        <v>14.249702700061931</v>
      </c>
      <c r="J75" s="229">
        <f t="shared" si="16"/>
        <v>2.8487762298206007</v>
      </c>
      <c r="K75" s="229">
        <f t="shared" si="16"/>
        <v>-31.474501456681082</v>
      </c>
      <c r="L75" s="229">
        <f t="shared" si="16"/>
        <v>7.5922244637295506</v>
      </c>
    </row>
    <row r="76" spans="2:12">
      <c r="B76" s="1">
        <v>2004</v>
      </c>
      <c r="C76" s="229">
        <f t="shared" si="16"/>
        <v>12.301912682918996</v>
      </c>
      <c r="D76" s="229">
        <f t="shared" si="16"/>
        <v>25.699006496206081</v>
      </c>
      <c r="E76" s="229">
        <f t="shared" si="16"/>
        <v>22.171348420312199</v>
      </c>
      <c r="F76" s="229">
        <f t="shared" si="16"/>
        <v>21.248243350053031</v>
      </c>
      <c r="G76" s="229">
        <f t="shared" si="16"/>
        <v>12.161660960319011</v>
      </c>
      <c r="H76" s="229">
        <f t="shared" si="16"/>
        <v>-5.7396204428104056</v>
      </c>
      <c r="I76" s="229">
        <f t="shared" si="16"/>
        <v>14.920456309560549</v>
      </c>
      <c r="J76" s="229">
        <f t="shared" si="16"/>
        <v>0.20500759564225746</v>
      </c>
      <c r="K76" s="229">
        <f t="shared" si="16"/>
        <v>-33.18041563363937</v>
      </c>
      <c r="L76" s="229">
        <f t="shared" si="16"/>
        <v>6.9816866661864339</v>
      </c>
    </row>
    <row r="77" spans="2:12">
      <c r="B77" s="1">
        <v>2005</v>
      </c>
      <c r="C77" s="229">
        <f t="shared" si="16"/>
        <v>11.735845056235064</v>
      </c>
      <c r="D77" s="229">
        <f t="shared" si="16"/>
        <v>25.867974957951105</v>
      </c>
      <c r="E77" s="229">
        <f t="shared" si="16"/>
        <v>22.512584314311482</v>
      </c>
      <c r="F77" s="229">
        <f t="shared" si="16"/>
        <v>21.344621656480342</v>
      </c>
      <c r="G77" s="229">
        <f t="shared" si="16"/>
        <v>13.016257090841265</v>
      </c>
      <c r="H77" s="229">
        <f t="shared" si="16"/>
        <v>-5.5459500152831964</v>
      </c>
      <c r="I77" s="229">
        <f t="shared" si="16"/>
        <v>14.752724103699251</v>
      </c>
      <c r="J77" s="229">
        <f t="shared" si="16"/>
        <v>-1.5156947428447012</v>
      </c>
      <c r="K77" s="229">
        <f t="shared" si="16"/>
        <v>-33.560136742869645</v>
      </c>
      <c r="L77" s="229">
        <f t="shared" si="16"/>
        <v>5.6574964314929161</v>
      </c>
    </row>
    <row r="78" spans="2:12">
      <c r="B78" s="1">
        <v>2006</v>
      </c>
      <c r="C78" s="229">
        <f t="shared" si="16"/>
        <v>10.246036800151145</v>
      </c>
      <c r="D78" s="229">
        <f t="shared" si="16"/>
        <v>25.548998499626094</v>
      </c>
      <c r="E78" s="229">
        <f t="shared" si="16"/>
        <v>23.401841901458326</v>
      </c>
      <c r="F78" s="229">
        <f t="shared" si="16"/>
        <v>20.81594660103751</v>
      </c>
      <c r="G78" s="229">
        <f t="shared" si="16"/>
        <v>13.950900381933735</v>
      </c>
      <c r="H78" s="229">
        <f t="shared" si="16"/>
        <v>-4.9313983815846001</v>
      </c>
      <c r="I78" s="229">
        <f t="shared" si="16"/>
        <v>13.588323004283225</v>
      </c>
      <c r="J78" s="229">
        <f t="shared" si="16"/>
        <v>0.6475463028188102</v>
      </c>
      <c r="K78" s="229">
        <f t="shared" si="16"/>
        <v>-34.720955916953244</v>
      </c>
      <c r="L78" s="229">
        <f t="shared" si="16"/>
        <v>4.5534406441959874</v>
      </c>
    </row>
    <row r="79" spans="2:12">
      <c r="B79" s="1">
        <v>2007</v>
      </c>
      <c r="C79" s="229">
        <f t="shared" si="16"/>
        <v>2.9382296563073851</v>
      </c>
      <c r="D79" s="229">
        <f t="shared" si="16"/>
        <v>24.997793639289171</v>
      </c>
      <c r="E79" s="229">
        <f t="shared" si="16"/>
        <v>23.195635440899352</v>
      </c>
      <c r="F79" s="229">
        <f t="shared" si="16"/>
        <v>20.710589521542786</v>
      </c>
      <c r="G79" s="229">
        <f t="shared" si="16"/>
        <v>13.670733306643811</v>
      </c>
      <c r="H79" s="229">
        <f t="shared" si="16"/>
        <v>-4.5987059956342335</v>
      </c>
      <c r="I79" s="229">
        <f t="shared" si="16"/>
        <v>12.854335975634598</v>
      </c>
      <c r="J79" s="229">
        <f t="shared" si="16"/>
        <v>0.54403201403421519</v>
      </c>
      <c r="K79" s="229">
        <f t="shared" si="16"/>
        <v>-33.29081508217169</v>
      </c>
      <c r="L79" s="229">
        <f t="shared" si="16"/>
        <v>4.7162210227928085</v>
      </c>
    </row>
    <row r="80" spans="2:12">
      <c r="B80" s="1">
        <v>2008</v>
      </c>
      <c r="C80" s="229">
        <f t="shared" si="16"/>
        <v>2.5889001857351275</v>
      </c>
      <c r="D80" s="229">
        <f t="shared" si="16"/>
        <v>24.716401234995061</v>
      </c>
      <c r="E80" s="229">
        <f t="shared" si="16"/>
        <v>21.282896559869627</v>
      </c>
      <c r="F80" s="229">
        <f t="shared" si="16"/>
        <v>20.407104232951838</v>
      </c>
      <c r="G80" s="229">
        <f t="shared" si="16"/>
        <v>12.871083081919281</v>
      </c>
      <c r="H80" s="229">
        <f t="shared" si="16"/>
        <v>-3.7965897059101223</v>
      </c>
      <c r="I80" s="229">
        <f t="shared" si="16"/>
        <v>11.25707746556904</v>
      </c>
      <c r="J80" s="229">
        <f t="shared" si="16"/>
        <v>-2.8529453317607221</v>
      </c>
      <c r="K80" s="229">
        <f t="shared" si="16"/>
        <v>-31.146113106560705</v>
      </c>
      <c r="L80" s="229">
        <f t="shared" si="16"/>
        <v>5.876906010854384</v>
      </c>
    </row>
    <row r="81" spans="2:12">
      <c r="B81" s="1" t="s">
        <v>280</v>
      </c>
    </row>
    <row r="82" spans="2:12">
      <c r="B82" s="1">
        <v>1981</v>
      </c>
      <c r="C82" s="121">
        <f>C53^2</f>
        <v>1408.5064211227891</v>
      </c>
      <c r="D82" s="121">
        <f t="shared" ref="D82:L82" si="17">D53^2</f>
        <v>1184.3152318767059</v>
      </c>
      <c r="E82" s="121">
        <f t="shared" si="17"/>
        <v>803.47789357911722</v>
      </c>
      <c r="F82" s="121">
        <f t="shared" si="17"/>
        <v>1173.2271355941127</v>
      </c>
      <c r="G82" s="121">
        <f t="shared" si="17"/>
        <v>83.721345607683958</v>
      </c>
      <c r="H82" s="121">
        <f t="shared" si="17"/>
        <v>89.906137330161897</v>
      </c>
      <c r="I82" s="121">
        <f t="shared" si="17"/>
        <v>76.582047268601357</v>
      </c>
      <c r="J82" s="121">
        <f t="shared" si="17"/>
        <v>65.723579078456495</v>
      </c>
      <c r="K82" s="121">
        <f t="shared" si="17"/>
        <v>1390.2732644243638</v>
      </c>
      <c r="L82" s="121">
        <f t="shared" si="17"/>
        <v>214.66166058106364</v>
      </c>
    </row>
    <row r="83" spans="2:12">
      <c r="B83" s="1">
        <v>1982</v>
      </c>
      <c r="C83" s="121">
        <f t="shared" ref="C83:L98" si="18">C54^2</f>
        <v>1167.2635085264542</v>
      </c>
      <c r="D83" s="121">
        <f t="shared" si="18"/>
        <v>969.00842313204623</v>
      </c>
      <c r="E83" s="121">
        <f t="shared" si="18"/>
        <v>524.96947804078354</v>
      </c>
      <c r="F83" s="121">
        <f t="shared" si="18"/>
        <v>924.27431776111689</v>
      </c>
      <c r="G83" s="121">
        <f t="shared" si="18"/>
        <v>85.858111903202442</v>
      </c>
      <c r="H83" s="121">
        <f t="shared" si="18"/>
        <v>91.259284995620064</v>
      </c>
      <c r="I83" s="121">
        <f t="shared" si="18"/>
        <v>70.036941960819775</v>
      </c>
      <c r="J83" s="121">
        <f t="shared" si="18"/>
        <v>50.478511959932838</v>
      </c>
      <c r="K83" s="121">
        <f t="shared" si="18"/>
        <v>1135.513247464075</v>
      </c>
      <c r="L83" s="121">
        <f t="shared" si="18"/>
        <v>101.10761944366617</v>
      </c>
    </row>
    <row r="84" spans="2:12">
      <c r="B84" s="1">
        <v>1983</v>
      </c>
      <c r="C84" s="121">
        <f t="shared" si="18"/>
        <v>1146.5273938553989</v>
      </c>
      <c r="D84" s="121">
        <f t="shared" si="18"/>
        <v>714.10738848176084</v>
      </c>
      <c r="E84" s="121">
        <f t="shared" si="18"/>
        <v>535.60274333978759</v>
      </c>
      <c r="F84" s="121">
        <f t="shared" si="18"/>
        <v>757.61145929926283</v>
      </c>
      <c r="G84" s="121">
        <f t="shared" si="18"/>
        <v>88.52303078520535</v>
      </c>
      <c r="H84" s="121">
        <f t="shared" si="18"/>
        <v>123.05385113992415</v>
      </c>
      <c r="I84" s="121">
        <f t="shared" si="18"/>
        <v>108.56009149704455</v>
      </c>
      <c r="J84" s="121">
        <f t="shared" si="18"/>
        <v>53.730775044428832</v>
      </c>
      <c r="K84" s="121">
        <f t="shared" si="18"/>
        <v>829.47681126499867</v>
      </c>
      <c r="L84" s="121">
        <f t="shared" si="18"/>
        <v>60.751570031326224</v>
      </c>
    </row>
    <row r="85" spans="2:12">
      <c r="B85" s="1">
        <v>1984</v>
      </c>
      <c r="C85" s="121">
        <f t="shared" si="18"/>
        <v>1243.1201661274897</v>
      </c>
      <c r="D85" s="121">
        <f t="shared" si="18"/>
        <v>860.11538102700547</v>
      </c>
      <c r="E85" s="121">
        <f t="shared" si="18"/>
        <v>526.75114066778667</v>
      </c>
      <c r="F85" s="121">
        <f t="shared" si="18"/>
        <v>898.25410546869875</v>
      </c>
      <c r="G85" s="121">
        <f t="shared" si="18"/>
        <v>103.43447207201048</v>
      </c>
      <c r="H85" s="121">
        <f t="shared" si="18"/>
        <v>165.78975124637057</v>
      </c>
      <c r="I85" s="121">
        <f t="shared" si="18"/>
        <v>73.248279153642216</v>
      </c>
      <c r="J85" s="121">
        <f t="shared" si="18"/>
        <v>121.42399010513094</v>
      </c>
      <c r="K85" s="121">
        <f t="shared" si="18"/>
        <v>781.80529188169032</v>
      </c>
      <c r="L85" s="121">
        <f t="shared" si="18"/>
        <v>4.9495725992198807</v>
      </c>
    </row>
    <row r="86" spans="2:12">
      <c r="B86" s="1">
        <v>1985</v>
      </c>
      <c r="C86" s="121">
        <f t="shared" si="18"/>
        <v>1347.56853958694</v>
      </c>
      <c r="D86" s="121">
        <f t="shared" si="18"/>
        <v>1077.2937927639546</v>
      </c>
      <c r="E86" s="121">
        <f t="shared" si="18"/>
        <v>526.86177879798606</v>
      </c>
      <c r="F86" s="121">
        <f t="shared" si="18"/>
        <v>945.3511683566021</v>
      </c>
      <c r="G86" s="121">
        <f t="shared" si="18"/>
        <v>124.06056306610422</v>
      </c>
      <c r="H86" s="121">
        <f t="shared" si="18"/>
        <v>133.38617827890909</v>
      </c>
      <c r="I86" s="121">
        <f t="shared" si="18"/>
        <v>52.627182777053861</v>
      </c>
      <c r="J86" s="121">
        <f t="shared" si="18"/>
        <v>168.42790501516632</v>
      </c>
      <c r="K86" s="121">
        <f t="shared" si="18"/>
        <v>1058.1434345643006</v>
      </c>
      <c r="L86" s="121">
        <f t="shared" si="18"/>
        <v>19.061943719695499</v>
      </c>
    </row>
    <row r="87" spans="2:12">
      <c r="B87" s="1">
        <v>1986</v>
      </c>
      <c r="C87" s="121">
        <f t="shared" si="18"/>
        <v>1380.8351938470544</v>
      </c>
      <c r="D87" s="121">
        <f t="shared" si="18"/>
        <v>976.00395411946704</v>
      </c>
      <c r="E87" s="121">
        <f t="shared" si="18"/>
        <v>514.38128062830515</v>
      </c>
      <c r="F87" s="121">
        <f t="shared" si="18"/>
        <v>736.75498731898858</v>
      </c>
      <c r="G87" s="121">
        <f t="shared" si="18"/>
        <v>125.24236050024571</v>
      </c>
      <c r="H87" s="121">
        <f t="shared" si="18"/>
        <v>164.00013202741229</v>
      </c>
      <c r="I87" s="121">
        <f t="shared" si="18"/>
        <v>80.56653333801232</v>
      </c>
      <c r="J87" s="121">
        <f t="shared" si="18"/>
        <v>91.5345261542613</v>
      </c>
      <c r="K87" s="121">
        <f t="shared" si="18"/>
        <v>695.89030409778832</v>
      </c>
      <c r="L87" s="121">
        <f t="shared" si="18"/>
        <v>4.6386195677588313</v>
      </c>
    </row>
    <row r="88" spans="2:12">
      <c r="B88" s="1">
        <v>1987</v>
      </c>
      <c r="C88" s="121">
        <f t="shared" si="18"/>
        <v>1350.8069569020286</v>
      </c>
      <c r="D88" s="121">
        <f t="shared" si="18"/>
        <v>1044.3202297890089</v>
      </c>
      <c r="E88" s="121">
        <f t="shared" si="18"/>
        <v>521.95199200469608</v>
      </c>
      <c r="F88" s="121">
        <f t="shared" si="18"/>
        <v>664.68446408834404</v>
      </c>
      <c r="G88" s="121">
        <f t="shared" si="18"/>
        <v>121.0721045892756</v>
      </c>
      <c r="H88" s="121">
        <f t="shared" si="18"/>
        <v>160.72214065334063</v>
      </c>
      <c r="I88" s="121">
        <f t="shared" si="18"/>
        <v>117.62416427360725</v>
      </c>
      <c r="J88" s="121">
        <f t="shared" si="18"/>
        <v>145.77777635730322</v>
      </c>
      <c r="K88" s="121">
        <f t="shared" si="18"/>
        <v>615.43679055397013</v>
      </c>
      <c r="L88" s="121">
        <f t="shared" si="18"/>
        <v>14.75698426877946</v>
      </c>
    </row>
    <row r="89" spans="2:12">
      <c r="B89" s="1">
        <v>1988</v>
      </c>
      <c r="C89" s="121">
        <f t="shared" si="18"/>
        <v>1234.8564760945169</v>
      </c>
      <c r="D89" s="121">
        <f t="shared" si="18"/>
        <v>1079.8023511142005</v>
      </c>
      <c r="E89" s="121">
        <f t="shared" si="18"/>
        <v>621.02421346739811</v>
      </c>
      <c r="F89" s="121">
        <f t="shared" si="18"/>
        <v>790.70752140139518</v>
      </c>
      <c r="G89" s="121">
        <f t="shared" si="18"/>
        <v>119.06377730057098</v>
      </c>
      <c r="H89" s="121">
        <f t="shared" si="18"/>
        <v>150.90315254533604</v>
      </c>
      <c r="I89" s="121">
        <f t="shared" si="18"/>
        <v>216.61883177476838</v>
      </c>
      <c r="J89" s="121">
        <f t="shared" si="18"/>
        <v>310.59863610709573</v>
      </c>
      <c r="K89" s="121">
        <f t="shared" si="18"/>
        <v>858.63076297211751</v>
      </c>
      <c r="L89" s="121">
        <f t="shared" si="18"/>
        <v>14.14300734191592</v>
      </c>
    </row>
    <row r="90" spans="2:12">
      <c r="B90" s="1">
        <v>1989</v>
      </c>
      <c r="C90" s="121">
        <f t="shared" si="18"/>
        <v>1096.9389815231727</v>
      </c>
      <c r="D90" s="121">
        <f t="shared" si="18"/>
        <v>1030.1320846383448</v>
      </c>
      <c r="E90" s="121">
        <f t="shared" si="18"/>
        <v>596.58206465573926</v>
      </c>
      <c r="F90" s="121">
        <f t="shared" si="18"/>
        <v>819.31317056899331</v>
      </c>
      <c r="G90" s="121">
        <f t="shared" si="18"/>
        <v>149.13309089006248</v>
      </c>
      <c r="H90" s="121">
        <f t="shared" si="18"/>
        <v>145.17448356401781</v>
      </c>
      <c r="I90" s="121">
        <f t="shared" si="18"/>
        <v>176.40869074320938</v>
      </c>
      <c r="J90" s="121">
        <f t="shared" si="18"/>
        <v>245.48644715154603</v>
      </c>
      <c r="K90" s="121">
        <f t="shared" si="18"/>
        <v>776.54532358026631</v>
      </c>
      <c r="L90" s="121">
        <f t="shared" si="18"/>
        <v>12.251058802006888</v>
      </c>
    </row>
    <row r="91" spans="2:12">
      <c r="B91" s="1">
        <v>1990</v>
      </c>
      <c r="C91" s="121">
        <f t="shared" si="18"/>
        <v>1040.5164966011841</v>
      </c>
      <c r="D91" s="121">
        <f t="shared" si="18"/>
        <v>950.61765818946992</v>
      </c>
      <c r="E91" s="121">
        <f t="shared" si="18"/>
        <v>584.17254656532566</v>
      </c>
      <c r="F91" s="121">
        <f t="shared" si="18"/>
        <v>810.26365240738869</v>
      </c>
      <c r="G91" s="121">
        <f t="shared" si="18"/>
        <v>134.79573319820111</v>
      </c>
      <c r="H91" s="121">
        <f t="shared" si="18"/>
        <v>92.514950227945931</v>
      </c>
      <c r="I91" s="121">
        <f t="shared" si="18"/>
        <v>102.05254135317001</v>
      </c>
      <c r="J91" s="121">
        <f t="shared" si="18"/>
        <v>55.866600543814357</v>
      </c>
      <c r="K91" s="121">
        <f t="shared" si="18"/>
        <v>902.66312789413405</v>
      </c>
      <c r="L91" s="121">
        <f t="shared" si="18"/>
        <v>11.811909246114926</v>
      </c>
    </row>
    <row r="92" spans="2:12">
      <c r="B92" s="1">
        <v>1991</v>
      </c>
      <c r="C92" s="121">
        <f t="shared" si="18"/>
        <v>891.49395287052687</v>
      </c>
      <c r="D92" s="121">
        <f t="shared" si="18"/>
        <v>820.88887950306628</v>
      </c>
      <c r="E92" s="121">
        <f t="shared" si="18"/>
        <v>512.43675501023131</v>
      </c>
      <c r="F92" s="121">
        <f t="shared" si="18"/>
        <v>707.11895625648071</v>
      </c>
      <c r="G92" s="121">
        <f t="shared" si="18"/>
        <v>142.92661446129452</v>
      </c>
      <c r="H92" s="121">
        <f t="shared" si="18"/>
        <v>55.841272180704969</v>
      </c>
      <c r="I92" s="121">
        <f t="shared" si="18"/>
        <v>109.41443389623898</v>
      </c>
      <c r="J92" s="121">
        <f t="shared" si="18"/>
        <v>7.5237666796776557</v>
      </c>
      <c r="K92" s="121">
        <f t="shared" si="18"/>
        <v>1070.2104633761021</v>
      </c>
      <c r="L92" s="121">
        <f t="shared" si="18"/>
        <v>19.510258980328373</v>
      </c>
    </row>
    <row r="93" spans="2:12">
      <c r="B93" s="1">
        <v>1992</v>
      </c>
      <c r="C93" s="121">
        <f t="shared" si="18"/>
        <v>945.57121148249632</v>
      </c>
      <c r="D93" s="121">
        <f t="shared" si="18"/>
        <v>718.50293457480404</v>
      </c>
      <c r="E93" s="121">
        <f t="shared" si="18"/>
        <v>473.14318253351763</v>
      </c>
      <c r="F93" s="121">
        <f t="shared" si="18"/>
        <v>648.94580789565975</v>
      </c>
      <c r="G93" s="121">
        <f t="shared" si="18"/>
        <v>140.20281544352747</v>
      </c>
      <c r="H93" s="121">
        <f t="shared" si="18"/>
        <v>52.700000077304587</v>
      </c>
      <c r="I93" s="121">
        <f t="shared" si="18"/>
        <v>91.873469323752502</v>
      </c>
      <c r="J93" s="121">
        <f t="shared" si="18"/>
        <v>40.014957153081248</v>
      </c>
      <c r="K93" s="121">
        <f t="shared" si="18"/>
        <v>1037.9497059804055</v>
      </c>
      <c r="L93" s="121">
        <f t="shared" si="18"/>
        <v>20.642774092868521</v>
      </c>
    </row>
    <row r="94" spans="2:12">
      <c r="B94" s="1">
        <v>1993</v>
      </c>
      <c r="C94" s="121">
        <f t="shared" si="18"/>
        <v>961.75544763803907</v>
      </c>
      <c r="D94" s="121">
        <f t="shared" si="18"/>
        <v>756.44575999324604</v>
      </c>
      <c r="E94" s="121">
        <f t="shared" si="18"/>
        <v>493.77102800942555</v>
      </c>
      <c r="F94" s="121">
        <f t="shared" si="18"/>
        <v>588.05578953621193</v>
      </c>
      <c r="G94" s="121">
        <f t="shared" si="18"/>
        <v>136.75864768483177</v>
      </c>
      <c r="H94" s="121">
        <f t="shared" si="18"/>
        <v>34.097138939463839</v>
      </c>
      <c r="I94" s="121">
        <f t="shared" si="18"/>
        <v>113.37594276461084</v>
      </c>
      <c r="J94" s="121">
        <f t="shared" si="18"/>
        <v>2.5635412601492287</v>
      </c>
      <c r="K94" s="121">
        <f t="shared" si="18"/>
        <v>1466.366256615742</v>
      </c>
      <c r="L94" s="121">
        <f t="shared" si="18"/>
        <v>24.775145155773394</v>
      </c>
    </row>
    <row r="95" spans="2:12">
      <c r="B95" s="1">
        <v>1994</v>
      </c>
      <c r="C95" s="121">
        <f t="shared" si="18"/>
        <v>895.38471072901962</v>
      </c>
      <c r="D95" s="121">
        <f t="shared" si="18"/>
        <v>748.53644828713959</v>
      </c>
      <c r="E95" s="121">
        <f t="shared" si="18"/>
        <v>620.70795850901993</v>
      </c>
      <c r="F95" s="121">
        <f t="shared" si="18"/>
        <v>652.20160972830467</v>
      </c>
      <c r="G95" s="121">
        <f t="shared" si="18"/>
        <v>132.98685918954303</v>
      </c>
      <c r="H95" s="121">
        <f t="shared" si="18"/>
        <v>46.818534843241537</v>
      </c>
      <c r="I95" s="121">
        <f t="shared" si="18"/>
        <v>117.38234025524721</v>
      </c>
      <c r="J95" s="121">
        <f t="shared" si="18"/>
        <v>1.6362199765737508</v>
      </c>
      <c r="K95" s="121">
        <f t="shared" si="18"/>
        <v>1595.1019884158964</v>
      </c>
      <c r="L95" s="121">
        <f t="shared" si="18"/>
        <v>1.0611582227239649</v>
      </c>
    </row>
    <row r="96" spans="2:12">
      <c r="B96" s="1">
        <v>1995</v>
      </c>
      <c r="C96" s="121">
        <f t="shared" si="18"/>
        <v>820.27747105088667</v>
      </c>
      <c r="D96" s="121">
        <f t="shared" si="18"/>
        <v>602.51184972069348</v>
      </c>
      <c r="E96" s="121">
        <f t="shared" si="18"/>
        <v>628.90380664508655</v>
      </c>
      <c r="F96" s="121">
        <f t="shared" si="18"/>
        <v>599.36332604348161</v>
      </c>
      <c r="G96" s="121">
        <f t="shared" si="18"/>
        <v>140.888042898881</v>
      </c>
      <c r="H96" s="121">
        <f t="shared" si="18"/>
        <v>55.182860711078007</v>
      </c>
      <c r="I96" s="121">
        <f t="shared" si="18"/>
        <v>158.40111857065438</v>
      </c>
      <c r="J96" s="121">
        <f t="shared" si="18"/>
        <v>5.4167899505560033</v>
      </c>
      <c r="K96" s="121">
        <f t="shared" si="18"/>
        <v>1615.0554592923907</v>
      </c>
      <c r="L96" s="121">
        <f t="shared" si="18"/>
        <v>1.0985767080819715</v>
      </c>
    </row>
    <row r="97" spans="2:12">
      <c r="B97" s="1">
        <v>1996</v>
      </c>
      <c r="C97" s="121">
        <f t="shared" si="18"/>
        <v>989.29143540606492</v>
      </c>
      <c r="D97" s="121">
        <f t="shared" si="18"/>
        <v>555.85702901925447</v>
      </c>
      <c r="E97" s="121">
        <f t="shared" si="18"/>
        <v>640.11348928689381</v>
      </c>
      <c r="F97" s="121">
        <f t="shared" si="18"/>
        <v>605.13924836335673</v>
      </c>
      <c r="G97" s="121">
        <f t="shared" si="18"/>
        <v>142.94223994027988</v>
      </c>
      <c r="H97" s="121">
        <f t="shared" si="18"/>
        <v>44.638316179877307</v>
      </c>
      <c r="I97" s="121">
        <f t="shared" si="18"/>
        <v>118.99120561134369</v>
      </c>
      <c r="J97" s="121">
        <f t="shared" si="18"/>
        <v>0.33500621605246628</v>
      </c>
      <c r="K97" s="121">
        <f t="shared" si="18"/>
        <v>1597.3494250350479</v>
      </c>
      <c r="L97" s="121">
        <f t="shared" si="18"/>
        <v>3.0918462772034707</v>
      </c>
    </row>
    <row r="98" spans="2:12">
      <c r="B98" s="1">
        <v>1997</v>
      </c>
      <c r="C98" s="121">
        <f t="shared" si="18"/>
        <v>1004.2020159431539</v>
      </c>
      <c r="D98" s="121">
        <f t="shared" si="18"/>
        <v>666.50638127885213</v>
      </c>
      <c r="E98" s="121">
        <f t="shared" si="18"/>
        <v>605.6691907619404</v>
      </c>
      <c r="F98" s="121">
        <f t="shared" si="18"/>
        <v>679.9565973417823</v>
      </c>
      <c r="G98" s="121">
        <f t="shared" si="18"/>
        <v>150.02522504103109</v>
      </c>
      <c r="H98" s="121">
        <f t="shared" si="18"/>
        <v>43.467447191988811</v>
      </c>
      <c r="I98" s="121">
        <f t="shared" si="18"/>
        <v>112.54814187817465</v>
      </c>
      <c r="J98" s="121">
        <f t="shared" si="18"/>
        <v>3.136626495326772E-2</v>
      </c>
      <c r="K98" s="121">
        <f t="shared" si="18"/>
        <v>1773.044797311338</v>
      </c>
      <c r="L98" s="121">
        <f t="shared" si="18"/>
        <v>13.153866545995923</v>
      </c>
    </row>
    <row r="99" spans="2:12">
      <c r="B99" s="1">
        <v>1998</v>
      </c>
      <c r="C99" s="121">
        <f t="shared" ref="C99:L109" si="19">C70^2</f>
        <v>831.79327695906568</v>
      </c>
      <c r="D99" s="121">
        <f t="shared" si="19"/>
        <v>611.06613999598164</v>
      </c>
      <c r="E99" s="121">
        <f t="shared" si="19"/>
        <v>586.91011350189626</v>
      </c>
      <c r="F99" s="121">
        <f t="shared" si="19"/>
        <v>652.99993526891888</v>
      </c>
      <c r="G99" s="121">
        <f t="shared" si="19"/>
        <v>158.18039734487675</v>
      </c>
      <c r="H99" s="121">
        <f t="shared" si="19"/>
        <v>47.800357631671901</v>
      </c>
      <c r="I99" s="121">
        <f t="shared" si="19"/>
        <v>97.447998666438266</v>
      </c>
      <c r="J99" s="121">
        <f t="shared" si="19"/>
        <v>1.4710779318372389</v>
      </c>
      <c r="K99" s="121">
        <f t="shared" si="19"/>
        <v>1718.0438663527868</v>
      </c>
      <c r="L99" s="121">
        <f t="shared" si="19"/>
        <v>39.002406043475382</v>
      </c>
    </row>
    <row r="100" spans="2:12">
      <c r="B100" s="1">
        <v>1999</v>
      </c>
      <c r="C100" s="121">
        <f t="shared" si="19"/>
        <v>753.61944459638721</v>
      </c>
      <c r="D100" s="121">
        <f t="shared" si="19"/>
        <v>641.49833473983904</v>
      </c>
      <c r="E100" s="121">
        <f t="shared" si="19"/>
        <v>567.78320994433409</v>
      </c>
      <c r="F100" s="121">
        <f t="shared" si="19"/>
        <v>599.10111971756555</v>
      </c>
      <c r="G100" s="121">
        <f t="shared" si="19"/>
        <v>136.29265365292068</v>
      </c>
      <c r="H100" s="121">
        <f t="shared" si="19"/>
        <v>72.468484144857285</v>
      </c>
      <c r="I100" s="121">
        <f t="shared" si="19"/>
        <v>165.36038815995076</v>
      </c>
      <c r="J100" s="121">
        <f t="shared" si="19"/>
        <v>7.8957609564972948</v>
      </c>
      <c r="K100" s="121">
        <f t="shared" si="19"/>
        <v>1186.2481378704024</v>
      </c>
      <c r="L100" s="121">
        <f t="shared" si="19"/>
        <v>67.002800875394215</v>
      </c>
    </row>
    <row r="101" spans="2:12">
      <c r="B101" s="1">
        <v>2000</v>
      </c>
      <c r="C101" s="121">
        <f t="shared" si="19"/>
        <v>678.59071979852956</v>
      </c>
      <c r="D101" s="121">
        <f t="shared" si="19"/>
        <v>733.79218740004092</v>
      </c>
      <c r="E101" s="121">
        <f t="shared" si="19"/>
        <v>608.07924364139785</v>
      </c>
      <c r="F101" s="121">
        <f t="shared" si="19"/>
        <v>675.56352115201389</v>
      </c>
      <c r="G101" s="121">
        <f t="shared" si="19"/>
        <v>142.94228762146938</v>
      </c>
      <c r="H101" s="121">
        <f t="shared" si="19"/>
        <v>74.654505963353401</v>
      </c>
      <c r="I101" s="121">
        <f t="shared" si="19"/>
        <v>175.89699733208005</v>
      </c>
      <c r="J101" s="121">
        <f t="shared" si="19"/>
        <v>13.787117608250682</v>
      </c>
      <c r="K101" s="121">
        <f t="shared" si="19"/>
        <v>1189.1703177971926</v>
      </c>
      <c r="L101" s="121">
        <f t="shared" si="19"/>
        <v>72.929273046806983</v>
      </c>
    </row>
    <row r="102" spans="2:12">
      <c r="B102" s="1">
        <v>2001</v>
      </c>
      <c r="C102" s="121">
        <f t="shared" si="19"/>
        <v>600.18913578285014</v>
      </c>
      <c r="D102" s="121">
        <f t="shared" si="19"/>
        <v>807.46562837753561</v>
      </c>
      <c r="E102" s="121">
        <f t="shared" si="19"/>
        <v>514.5915854678517</v>
      </c>
      <c r="F102" s="121">
        <f t="shared" si="19"/>
        <v>638.49962478849511</v>
      </c>
      <c r="G102" s="121">
        <f t="shared" si="19"/>
        <v>137.07647037962695</v>
      </c>
      <c r="H102" s="121">
        <f t="shared" si="19"/>
        <v>61.651846748189207</v>
      </c>
      <c r="I102" s="121">
        <f t="shared" si="19"/>
        <v>181.57298172493853</v>
      </c>
      <c r="J102" s="121">
        <f t="shared" si="19"/>
        <v>20.998282944085631</v>
      </c>
      <c r="K102" s="121">
        <f t="shared" si="19"/>
        <v>1121.4584650127565</v>
      </c>
      <c r="L102" s="121">
        <f t="shared" si="19"/>
        <v>88.485467866619842</v>
      </c>
    </row>
    <row r="103" spans="2:12">
      <c r="B103" s="1">
        <v>2002</v>
      </c>
      <c r="C103" s="121">
        <f t="shared" si="19"/>
        <v>191.94017421064521</v>
      </c>
      <c r="D103" s="121">
        <f t="shared" si="19"/>
        <v>700.46478917052195</v>
      </c>
      <c r="E103" s="121">
        <f t="shared" si="19"/>
        <v>450.74388500917252</v>
      </c>
      <c r="F103" s="121">
        <f t="shared" si="19"/>
        <v>536.9269759039563</v>
      </c>
      <c r="G103" s="121">
        <f t="shared" si="19"/>
        <v>138.21618400673992</v>
      </c>
      <c r="H103" s="121">
        <f t="shared" si="19"/>
        <v>55.640822568228941</v>
      </c>
      <c r="I103" s="121">
        <f t="shared" si="19"/>
        <v>197.09659996355455</v>
      </c>
      <c r="J103" s="121">
        <f t="shared" si="19"/>
        <v>39.731220942937597</v>
      </c>
      <c r="K103" s="121">
        <f t="shared" si="19"/>
        <v>955.65607242953331</v>
      </c>
      <c r="L103" s="121">
        <f t="shared" si="19"/>
        <v>68.817960067326652</v>
      </c>
    </row>
    <row r="104" spans="2:12">
      <c r="B104" s="1">
        <v>2003</v>
      </c>
      <c r="C104" s="121">
        <f t="shared" si="19"/>
        <v>89.871812522987895</v>
      </c>
      <c r="D104" s="121">
        <f t="shared" si="19"/>
        <v>665.87603479478901</v>
      </c>
      <c r="E104" s="121">
        <f t="shared" si="19"/>
        <v>445.80155707398126</v>
      </c>
      <c r="F104" s="121">
        <f t="shared" si="19"/>
        <v>474.53399122457347</v>
      </c>
      <c r="G104" s="121">
        <f t="shared" si="19"/>
        <v>145.05810965329954</v>
      </c>
      <c r="H104" s="121">
        <f t="shared" si="19"/>
        <v>43.430631105862751</v>
      </c>
      <c r="I104" s="121">
        <f t="shared" si="19"/>
        <v>203.05402704015231</v>
      </c>
      <c r="J104" s="121">
        <f t="shared" si="19"/>
        <v>8.1155260075908764</v>
      </c>
      <c r="K104" s="121">
        <f t="shared" si="19"/>
        <v>990.64424194661956</v>
      </c>
      <c r="L104" s="121">
        <f t="shared" si="19"/>
        <v>57.641872307653465</v>
      </c>
    </row>
    <row r="105" spans="2:12">
      <c r="B105" s="1">
        <v>2004</v>
      </c>
      <c r="C105" s="121">
        <f t="shared" si="19"/>
        <v>151.33705565816325</v>
      </c>
      <c r="D105" s="121">
        <f t="shared" si="19"/>
        <v>660.43893489204243</v>
      </c>
      <c r="E105" s="121">
        <f t="shared" si="19"/>
        <v>491.56869077488028</v>
      </c>
      <c r="F105" s="121">
        <f t="shared" si="19"/>
        <v>451.48784546307286</v>
      </c>
      <c r="G105" s="121">
        <f t="shared" si="19"/>
        <v>147.90599731374755</v>
      </c>
      <c r="H105" s="121">
        <f t="shared" si="19"/>
        <v>32.943242827527115</v>
      </c>
      <c r="I105" s="121">
        <f t="shared" si="19"/>
        <v>222.6200164855052</v>
      </c>
      <c r="J105" s="121">
        <f t="shared" si="19"/>
        <v>4.2028114271019337E-2</v>
      </c>
      <c r="K105" s="121">
        <f t="shared" si="19"/>
        <v>1100.93998162106</v>
      </c>
      <c r="L105" s="121">
        <f t="shared" si="19"/>
        <v>48.74394870480544</v>
      </c>
    </row>
    <row r="106" spans="2:12">
      <c r="B106" s="1">
        <v>2005</v>
      </c>
      <c r="C106" s="121">
        <f t="shared" si="19"/>
        <v>137.730059183957</v>
      </c>
      <c r="D106" s="121">
        <f t="shared" si="19"/>
        <v>669.15212842518554</v>
      </c>
      <c r="E106" s="121">
        <f t="shared" si="19"/>
        <v>506.81645250898339</v>
      </c>
      <c r="F106" s="121">
        <f t="shared" si="19"/>
        <v>455.59287365828965</v>
      </c>
      <c r="G106" s="121">
        <f t="shared" si="19"/>
        <v>169.42294865487551</v>
      </c>
      <c r="H106" s="121">
        <f t="shared" si="19"/>
        <v>30.757561572019686</v>
      </c>
      <c r="I106" s="121">
        <f t="shared" si="19"/>
        <v>217.64286847986887</v>
      </c>
      <c r="J106" s="121">
        <f t="shared" si="19"/>
        <v>2.2973305534870647</v>
      </c>
      <c r="K106" s="121">
        <f t="shared" si="19"/>
        <v>1126.2827782001091</v>
      </c>
      <c r="L106" s="121">
        <f t="shared" si="19"/>
        <v>32.007265872355077</v>
      </c>
    </row>
    <row r="107" spans="2:12">
      <c r="B107" s="1">
        <v>2006</v>
      </c>
      <c r="C107" s="121">
        <f t="shared" si="19"/>
        <v>104.98127011005153</v>
      </c>
      <c r="D107" s="121">
        <f t="shared" si="19"/>
        <v>652.75132433389638</v>
      </c>
      <c r="E107" s="121">
        <f t="shared" si="19"/>
        <v>547.64620438085058</v>
      </c>
      <c r="F107" s="121">
        <f t="shared" si="19"/>
        <v>433.30363289724505</v>
      </c>
      <c r="G107" s="121">
        <f t="shared" si="19"/>
        <v>194.62762146663883</v>
      </c>
      <c r="H107" s="121">
        <f t="shared" si="19"/>
        <v>24.318689997895213</v>
      </c>
      <c r="I107" s="121">
        <f t="shared" si="19"/>
        <v>184.64252206873269</v>
      </c>
      <c r="J107" s="121">
        <f t="shared" si="19"/>
        <v>0.41931621429431026</v>
      </c>
      <c r="K107" s="121">
        <f t="shared" si="19"/>
        <v>1205.5447797870104</v>
      </c>
      <c r="L107" s="121">
        <f t="shared" si="19"/>
        <v>20.733821700215969</v>
      </c>
    </row>
    <row r="108" spans="2:12">
      <c r="B108" s="1">
        <v>2007</v>
      </c>
      <c r="C108" s="121">
        <f t="shared" si="19"/>
        <v>8.6331935132042137</v>
      </c>
      <c r="D108" s="121">
        <f t="shared" si="19"/>
        <v>624.88968683248606</v>
      </c>
      <c r="E108" s="121">
        <f t="shared" si="19"/>
        <v>538.03750350710607</v>
      </c>
      <c r="F108" s="121">
        <f t="shared" si="19"/>
        <v>428.92851832983786</v>
      </c>
      <c r="G108" s="121">
        <f t="shared" si="19"/>
        <v>186.88894914138044</v>
      </c>
      <c r="H108" s="121">
        <f t="shared" si="19"/>
        <v>21.148096834282246</v>
      </c>
      <c r="I108" s="121">
        <f t="shared" si="19"/>
        <v>165.23395337449386</v>
      </c>
      <c r="J108" s="121">
        <f t="shared" si="19"/>
        <v>0.29597083229412452</v>
      </c>
      <c r="K108" s="121">
        <f t="shared" si="19"/>
        <v>1108.27836883535</v>
      </c>
      <c r="L108" s="121">
        <f t="shared" si="19"/>
        <v>22.242740735832847</v>
      </c>
    </row>
    <row r="109" spans="2:12">
      <c r="B109" s="1">
        <v>2008</v>
      </c>
      <c r="C109" s="121">
        <f t="shared" si="19"/>
        <v>6.7024041716993779</v>
      </c>
      <c r="D109" s="121">
        <f t="shared" si="19"/>
        <v>610.90049000926535</v>
      </c>
      <c r="E109" s="121">
        <f t="shared" si="19"/>
        <v>452.96168597811038</v>
      </c>
      <c r="F109" s="121">
        <f t="shared" si="19"/>
        <v>416.4499031745608</v>
      </c>
      <c r="G109" s="121">
        <f t="shared" si="19"/>
        <v>165.66477970166872</v>
      </c>
      <c r="H109" s="121">
        <f t="shared" si="19"/>
        <v>14.414093395022709</v>
      </c>
      <c r="I109" s="121">
        <f t="shared" si="19"/>
        <v>126.72179306582228</v>
      </c>
      <c r="J109" s="121">
        <f t="shared" si="19"/>
        <v>8.1392970660152972</v>
      </c>
      <c r="K109" s="121">
        <f t="shared" si="19"/>
        <v>970.08036164667249</v>
      </c>
      <c r="L109" s="121">
        <f t="shared" si="19"/>
        <v>34.538024260416393</v>
      </c>
    </row>
  </sheetData>
  <mergeCells count="11">
    <mergeCell ref="K3:K4"/>
    <mergeCell ref="L3:L4"/>
    <mergeCell ref="F3:F4"/>
    <mergeCell ref="G3:G4"/>
    <mergeCell ref="H3:H4"/>
    <mergeCell ref="I3:I4"/>
    <mergeCell ref="B3:B4"/>
    <mergeCell ref="C3:C4"/>
    <mergeCell ref="D3:D4"/>
    <mergeCell ref="E3:E4"/>
    <mergeCell ref="J3:J4"/>
  </mergeCells>
  <phoneticPr fontId="35" type="noConversion"/>
  <pageMargins left="0.75" right="0.75" top="1" bottom="1" header="0.5" footer="0.5"/>
  <pageSetup scale="77" orientation="landscape" horizontalDpi="300" verticalDpi="300" r:id="rId1"/>
  <headerFooter alignWithMargins="0"/>
</worksheet>
</file>

<file path=xl/worksheets/sheet180.xml><?xml version="1.0" encoding="utf-8"?>
<worksheet xmlns="http://schemas.openxmlformats.org/spreadsheetml/2006/main" xmlns:r="http://schemas.openxmlformats.org/officeDocument/2006/relationships">
  <sheetPr codeName="Sheet175"/>
  <dimension ref="A1:EH56"/>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6384" width="9.140625" style="309"/>
  </cols>
  <sheetData>
    <row r="1" spans="1:56" ht="15.75">
      <c r="B1" s="310" t="s">
        <v>2025</v>
      </c>
      <c r="J1" s="309" t="s">
        <v>618</v>
      </c>
      <c r="Q1" s="310" t="s">
        <v>2026</v>
      </c>
      <c r="AF1" s="310" t="s">
        <v>2027</v>
      </c>
      <c r="AU1" s="310" t="s">
        <v>2028</v>
      </c>
    </row>
    <row r="3" spans="1:56" s="311" customFormat="1" ht="15">
      <c r="B3" s="311" t="s">
        <v>375</v>
      </c>
      <c r="C3" s="364"/>
      <c r="G3" s="311" t="s">
        <v>1039</v>
      </c>
      <c r="L3" s="311" t="s">
        <v>1040</v>
      </c>
      <c r="Q3" s="311" t="s">
        <v>791</v>
      </c>
      <c r="V3" s="311" t="s">
        <v>792</v>
      </c>
      <c r="AA3" s="311" t="s">
        <v>1041</v>
      </c>
      <c r="AF3" s="311" t="s">
        <v>738</v>
      </c>
      <c r="AK3" s="311" t="s">
        <v>739</v>
      </c>
      <c r="AP3" s="311" t="s">
        <v>740</v>
      </c>
      <c r="AU3" s="311" t="s">
        <v>741</v>
      </c>
      <c r="AZ3" s="311" t="s">
        <v>742</v>
      </c>
    </row>
    <row r="4" spans="1:56" s="312" customFormat="1" ht="104.45" customHeight="1">
      <c r="A4" s="1122"/>
      <c r="B4" s="1123" t="s">
        <v>1282</v>
      </c>
      <c r="C4" s="1123" t="s">
        <v>1283</v>
      </c>
      <c r="D4" s="1123" t="s">
        <v>1284</v>
      </c>
      <c r="E4" s="1123" t="s">
        <v>1285</v>
      </c>
      <c r="F4" s="1123" t="s">
        <v>1286</v>
      </c>
      <c r="G4" s="1123" t="s">
        <v>1282</v>
      </c>
      <c r="H4" s="1123" t="s">
        <v>1283</v>
      </c>
      <c r="I4" s="1123" t="s">
        <v>1284</v>
      </c>
      <c r="J4" s="1123" t="s">
        <v>1285</v>
      </c>
      <c r="K4" s="1123" t="s">
        <v>1286</v>
      </c>
      <c r="L4" s="1123" t="s">
        <v>1282</v>
      </c>
      <c r="M4" s="1123" t="s">
        <v>1283</v>
      </c>
      <c r="N4" s="1123" t="s">
        <v>1284</v>
      </c>
      <c r="O4" s="1123" t="s">
        <v>1285</v>
      </c>
      <c r="P4" s="1123" t="s">
        <v>1286</v>
      </c>
      <c r="Q4" s="1123" t="s">
        <v>1282</v>
      </c>
      <c r="R4" s="1123" t="s">
        <v>1283</v>
      </c>
      <c r="S4" s="1123" t="s">
        <v>1284</v>
      </c>
      <c r="T4" s="1123" t="s">
        <v>1285</v>
      </c>
      <c r="U4" s="1123" t="s">
        <v>1286</v>
      </c>
      <c r="V4" s="1123" t="s">
        <v>1282</v>
      </c>
      <c r="W4" s="1123" t="s">
        <v>1283</v>
      </c>
      <c r="X4" s="1123" t="s">
        <v>1284</v>
      </c>
      <c r="Y4" s="1123" t="s">
        <v>1285</v>
      </c>
      <c r="Z4" s="1123" t="s">
        <v>1286</v>
      </c>
      <c r="AA4" s="1123" t="s">
        <v>1282</v>
      </c>
      <c r="AB4" s="1123" t="s">
        <v>1283</v>
      </c>
      <c r="AC4" s="1123" t="s">
        <v>1284</v>
      </c>
      <c r="AD4" s="1123" t="s">
        <v>1285</v>
      </c>
      <c r="AE4" s="1123" t="s">
        <v>1286</v>
      </c>
      <c r="AF4" s="1123" t="s">
        <v>1282</v>
      </c>
      <c r="AG4" s="1123" t="s">
        <v>1283</v>
      </c>
      <c r="AH4" s="1123" t="s">
        <v>1284</v>
      </c>
      <c r="AI4" s="1123" t="s">
        <v>1285</v>
      </c>
      <c r="AJ4" s="1123" t="s">
        <v>1286</v>
      </c>
      <c r="AK4" s="1123" t="s">
        <v>1282</v>
      </c>
      <c r="AL4" s="1123" t="s">
        <v>1283</v>
      </c>
      <c r="AM4" s="1123" t="s">
        <v>1284</v>
      </c>
      <c r="AN4" s="1123" t="s">
        <v>1285</v>
      </c>
      <c r="AO4" s="1123" t="s">
        <v>1286</v>
      </c>
      <c r="AP4" s="1123" t="s">
        <v>1282</v>
      </c>
      <c r="AQ4" s="1123" t="s">
        <v>1283</v>
      </c>
      <c r="AR4" s="1123" t="s">
        <v>1284</v>
      </c>
      <c r="AS4" s="1123" t="s">
        <v>1285</v>
      </c>
      <c r="AT4" s="1123" t="s">
        <v>1286</v>
      </c>
      <c r="AU4" s="1123" t="s">
        <v>1282</v>
      </c>
      <c r="AV4" s="1123" t="s">
        <v>1283</v>
      </c>
      <c r="AW4" s="1123" t="s">
        <v>1284</v>
      </c>
      <c r="AX4" s="1123" t="s">
        <v>1285</v>
      </c>
      <c r="AY4" s="1123" t="s">
        <v>1286</v>
      </c>
      <c r="AZ4" s="1123" t="s">
        <v>1282</v>
      </c>
      <c r="BA4" s="1123" t="s">
        <v>1283</v>
      </c>
      <c r="BB4" s="1123" t="s">
        <v>1284</v>
      </c>
      <c r="BC4" s="1123" t="s">
        <v>1285</v>
      </c>
      <c r="BD4" s="1124" t="s">
        <v>1286</v>
      </c>
    </row>
    <row r="5" spans="1:56" s="312" customFormat="1">
      <c r="A5" s="478"/>
      <c r="B5" s="653"/>
      <c r="C5" s="653"/>
      <c r="D5" s="653"/>
      <c r="E5" s="653"/>
      <c r="F5" s="653"/>
      <c r="G5" s="653"/>
      <c r="H5" s="653"/>
      <c r="I5" s="653"/>
      <c r="J5" s="653"/>
      <c r="K5" s="653"/>
      <c r="L5" s="653"/>
      <c r="M5" s="653"/>
      <c r="N5" s="653"/>
      <c r="O5" s="653"/>
      <c r="P5" s="653"/>
      <c r="Q5" s="653"/>
      <c r="R5" s="653"/>
      <c r="S5" s="653"/>
      <c r="T5" s="653"/>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c r="AS5" s="653"/>
      <c r="AT5" s="653"/>
      <c r="AU5" s="653"/>
      <c r="AV5" s="653"/>
      <c r="AW5" s="653"/>
      <c r="AX5" s="653"/>
      <c r="AY5" s="653"/>
      <c r="AZ5" s="653"/>
      <c r="BA5" s="653"/>
      <c r="BB5" s="653"/>
      <c r="BC5" s="653"/>
      <c r="BD5" s="653"/>
    </row>
    <row r="6" spans="1:56" s="312" customFormat="1" ht="43.15" customHeight="1">
      <c r="A6" s="478"/>
      <c r="B6" s="653" t="s">
        <v>584</v>
      </c>
      <c r="C6" s="653" t="s">
        <v>585</v>
      </c>
      <c r="D6" s="653" t="s">
        <v>587</v>
      </c>
      <c r="E6" s="653" t="s">
        <v>1287</v>
      </c>
      <c r="F6" s="653" t="s">
        <v>1288</v>
      </c>
      <c r="G6" s="653" t="s">
        <v>595</v>
      </c>
      <c r="H6" s="653" t="s">
        <v>596</v>
      </c>
      <c r="I6" s="653" t="s">
        <v>721</v>
      </c>
      <c r="J6" s="653" t="s">
        <v>1289</v>
      </c>
      <c r="K6" s="653" t="s">
        <v>1288</v>
      </c>
      <c r="L6" s="653" t="s">
        <v>1290</v>
      </c>
      <c r="M6" s="653" t="s">
        <v>1291</v>
      </c>
      <c r="N6" s="653" t="s">
        <v>1292</v>
      </c>
      <c r="O6" s="653" t="s">
        <v>1293</v>
      </c>
      <c r="P6" s="653" t="s">
        <v>1288</v>
      </c>
      <c r="Q6" s="653" t="s">
        <v>584</v>
      </c>
      <c r="R6" s="653" t="s">
        <v>585</v>
      </c>
      <c r="S6" s="653" t="s">
        <v>587</v>
      </c>
      <c r="T6" s="653" t="s">
        <v>1287</v>
      </c>
      <c r="U6" s="653" t="s">
        <v>1288</v>
      </c>
      <c r="V6" s="653" t="s">
        <v>595</v>
      </c>
      <c r="W6" s="653" t="s">
        <v>596</v>
      </c>
      <c r="X6" s="653" t="s">
        <v>721</v>
      </c>
      <c r="Y6" s="653" t="s">
        <v>1294</v>
      </c>
      <c r="Z6" s="653" t="s">
        <v>1288</v>
      </c>
      <c r="AA6" s="653" t="s">
        <v>1290</v>
      </c>
      <c r="AB6" s="653" t="s">
        <v>1291</v>
      </c>
      <c r="AC6" s="653" t="s">
        <v>1292</v>
      </c>
      <c r="AD6" s="653" t="s">
        <v>1293</v>
      </c>
      <c r="AE6" s="653" t="s">
        <v>1288</v>
      </c>
      <c r="AF6" s="653" t="s">
        <v>584</v>
      </c>
      <c r="AG6" s="653" t="s">
        <v>585</v>
      </c>
      <c r="AH6" s="653" t="s">
        <v>587</v>
      </c>
      <c r="AI6" s="653" t="s">
        <v>1287</v>
      </c>
      <c r="AJ6" s="653" t="s">
        <v>1288</v>
      </c>
      <c r="AK6" s="653" t="s">
        <v>595</v>
      </c>
      <c r="AL6" s="653" t="s">
        <v>596</v>
      </c>
      <c r="AM6" s="653" t="s">
        <v>721</v>
      </c>
      <c r="AN6" s="653" t="s">
        <v>1294</v>
      </c>
      <c r="AO6" s="653" t="s">
        <v>1288</v>
      </c>
      <c r="AP6" s="653" t="s">
        <v>1290</v>
      </c>
      <c r="AQ6" s="653" t="s">
        <v>1291</v>
      </c>
      <c r="AR6" s="653" t="s">
        <v>1292</v>
      </c>
      <c r="AS6" s="653" t="s">
        <v>1293</v>
      </c>
      <c r="AT6" s="653" t="s">
        <v>1288</v>
      </c>
      <c r="AU6" s="653" t="s">
        <v>584</v>
      </c>
      <c r="AV6" s="653" t="s">
        <v>585</v>
      </c>
      <c r="AW6" s="653" t="s">
        <v>587</v>
      </c>
      <c r="AX6" s="653" t="s">
        <v>1287</v>
      </c>
      <c r="AY6" s="653" t="s">
        <v>1288</v>
      </c>
      <c r="AZ6" s="653" t="s">
        <v>595</v>
      </c>
      <c r="BA6" s="653" t="s">
        <v>596</v>
      </c>
      <c r="BB6" s="653" t="s">
        <v>721</v>
      </c>
      <c r="BC6" s="653" t="s">
        <v>1294</v>
      </c>
      <c r="BD6" s="653" t="s">
        <v>1288</v>
      </c>
    </row>
    <row r="7" spans="1:56" s="312" customFormat="1" ht="11.25" hidden="1" customHeight="1">
      <c r="A7" s="478"/>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653"/>
      <c r="BC7" s="653"/>
      <c r="BD7" s="653"/>
    </row>
    <row r="8" spans="1:56" hidden="1">
      <c r="A8" s="2">
        <v>1971</v>
      </c>
      <c r="B8" s="46">
        <f>[8]a27!E8</f>
        <v>0.59732204139460865</v>
      </c>
      <c r="C8" s="10">
        <f>[8]a27!F8</f>
        <v>69.216953969747877</v>
      </c>
      <c r="D8" s="46">
        <f>[8]a27!G8</f>
        <v>0.35071106104121486</v>
      </c>
      <c r="E8" s="46">
        <f>B8*C8*D8</f>
        <v>14.500082970757544</v>
      </c>
      <c r="F8" s="46">
        <f t="shared" ref="F8:F17" si="0">(F$54-E8)/F$56</f>
        <v>0.63053416423544362</v>
      </c>
      <c r="G8" s="46">
        <f>[8]a27!L8</f>
        <v>0.14204276434158444</v>
      </c>
      <c r="H8" s="10">
        <f>[8]a27!M8</f>
        <v>71.659935665094139</v>
      </c>
      <c r="I8" s="46">
        <f>[8]a27!N8</f>
        <v>0.42229925518109424</v>
      </c>
      <c r="J8" s="46">
        <f>G8*H8*I8</f>
        <v>4.2984892508230503</v>
      </c>
      <c r="K8" s="46">
        <f t="shared" ref="K8:K17" si="1">(F$54-J8)/F$56</f>
        <v>0.88890252335367459</v>
      </c>
      <c r="L8" s="46">
        <f>[8]a27!S8</f>
        <v>0.26282341282664429</v>
      </c>
      <c r="M8" s="10">
        <f>[8]a27!T8</f>
        <v>67.956850646436237</v>
      </c>
      <c r="N8" s="46">
        <f>[8]a27!U8</f>
        <v>0.57569092783990561</v>
      </c>
      <c r="O8" s="46">
        <f>L8*M8*N8</f>
        <v>10.282214983111274</v>
      </c>
      <c r="P8" s="46">
        <f t="shared" ref="P8:P17" si="2">(F$54-O8)/F$56</f>
        <v>0.73735704513649558</v>
      </c>
      <c r="Q8" s="46">
        <f>[8]a27!Z8</f>
        <v>0.4141452725116101</v>
      </c>
      <c r="R8" s="10">
        <f>[8]a27!AA8</f>
        <v>69.223981033009181</v>
      </c>
      <c r="S8" s="46">
        <f>[8]a27!AC8</f>
        <v>0.38291999999999998</v>
      </c>
      <c r="T8" s="46">
        <f>Q8*R8*S8</f>
        <v>10.977850956625185</v>
      </c>
      <c r="U8" s="46">
        <f t="shared" ref="U8:U17" si="3">(F$54-T8)/F$56</f>
        <v>0.71973917777630081</v>
      </c>
      <c r="V8" s="46">
        <f>[8]a27!AG8</f>
        <v>0.35443037974683544</v>
      </c>
      <c r="W8" s="10">
        <f>[8]a27!AH8</f>
        <v>62.847673646218546</v>
      </c>
      <c r="X8" s="46">
        <f>[8]a27!AI8</f>
        <v>0.36310776392327326</v>
      </c>
      <c r="Y8" s="46">
        <f>V8*W8*X8</f>
        <v>8.088270770542092</v>
      </c>
      <c r="Z8" s="46">
        <f t="shared" ref="Z8:Z17" si="4">(F$54-Y8)/F$56</f>
        <v>0.79292147769087096</v>
      </c>
      <c r="AA8" s="46">
        <f>[8]a27!AN8</f>
        <v>0.39495148313656608</v>
      </c>
      <c r="AB8" s="10">
        <f>[8]a27!AO8</f>
        <v>45.570990151913321</v>
      </c>
      <c r="AC8" s="46">
        <f>[8]a27!AP8</f>
        <v>0.31214581768290606</v>
      </c>
      <c r="AD8" s="46">
        <f>AA8*AB8*AC8</f>
        <v>5.6181034811304364</v>
      </c>
      <c r="AE8" s="46">
        <f t="shared" ref="AE8:AE17" si="5">(F$54-AD8)/F$56</f>
        <v>0.85548161161050684</v>
      </c>
      <c r="AF8" s="46">
        <f>[8]a27!AU8</f>
        <v>0.65822419080362005</v>
      </c>
      <c r="AG8" s="10">
        <f>[8]a27!AV8</f>
        <v>52.862648216668404</v>
      </c>
      <c r="AH8" s="46">
        <f>[8]a27!AW8</f>
        <v>0.34620366545302661</v>
      </c>
      <c r="AI8" s="46">
        <f>AF8*AG8*AH8</f>
        <v>12.046320586713087</v>
      </c>
      <c r="AJ8" s="46">
        <f t="shared" ref="AJ8:AJ17" si="6">(F$54-AI8)/F$56</f>
        <v>0.69267882302466632</v>
      </c>
      <c r="AK8" s="46">
        <f>[8]a27!BB8</f>
        <v>0.60641910395443099</v>
      </c>
      <c r="AL8" s="10">
        <f>[8]a27!BC8</f>
        <v>60.490731560971341</v>
      </c>
      <c r="AM8" s="46">
        <f>[8]a27!BD8</f>
        <v>0.36899008455604398</v>
      </c>
      <c r="AN8" s="46">
        <f>AK8*AL8*AM8</f>
        <v>13.535565574542249</v>
      </c>
      <c r="AO8" s="46">
        <f t="shared" ref="AO8:AO17" si="7">(F$54-AN8)/F$56</f>
        <v>0.65496179621555117</v>
      </c>
      <c r="AP8" s="46">
        <f>[8]a27!BI8</f>
        <v>0.38848725633255654</v>
      </c>
      <c r="AQ8" s="10">
        <f>[8]a27!BJ8</f>
        <v>61.303149512027495</v>
      </c>
      <c r="AR8" s="46">
        <f>[8]a27!BK8</f>
        <v>0.29450208883241052</v>
      </c>
      <c r="AS8" s="46">
        <f>AP8*AQ8*AR8</f>
        <v>7.013712246142334</v>
      </c>
      <c r="AT8" s="46">
        <f t="shared" ref="AT8:AT17" si="8">(F$54-AS8)/F$56</f>
        <v>0.82013604144899865</v>
      </c>
      <c r="AU8" s="46">
        <f>[8]a27!BP8</f>
        <v>0.9707977349823087</v>
      </c>
      <c r="AV8" s="10">
        <f>[8]a27!BQ8</f>
        <v>40.284547036441666</v>
      </c>
      <c r="AW8" s="46">
        <f>[8]a27!BR8</f>
        <v>0.27912776351165963</v>
      </c>
      <c r="AX8" s="46">
        <f>AU8*AV8*AW8</f>
        <v>10.916169612154162</v>
      </c>
      <c r="AY8" s="46">
        <f t="shared" ref="AY8:AY17" si="9">(F$54-AX8)/F$56</f>
        <v>0.72130133641510674</v>
      </c>
      <c r="AZ8" s="46">
        <f>[8]a27!BW8</f>
        <v>0.92571111914679793</v>
      </c>
      <c r="BA8" s="10">
        <f>[8]a27!BX8</f>
        <v>53.216844197432941</v>
      </c>
      <c r="BB8" s="46">
        <f>[8]a27!BY8</f>
        <v>0.47486107266220628</v>
      </c>
      <c r="BC8" s="46">
        <f>AZ8*BA8*BB8</f>
        <v>23.393282553344136</v>
      </c>
      <c r="BD8" s="46">
        <f t="shared" ref="BD8:BD17" si="10">(F$54-BC8)/F$56</f>
        <v>0.40530255371031998</v>
      </c>
    </row>
    <row r="9" spans="1:56" hidden="1">
      <c r="A9" s="2">
        <v>1972</v>
      </c>
      <c r="B9" s="46">
        <f>[8]a27!E9</f>
        <v>0.63843094492865382</v>
      </c>
      <c r="C9" s="10">
        <f>[8]a27!F9</f>
        <v>69.216953969747877</v>
      </c>
      <c r="D9" s="46">
        <f>[8]a27!G9</f>
        <v>0.35071106104121486</v>
      </c>
      <c r="E9" s="46">
        <f t="shared" ref="E9:E17" si="11">B9*C9*D9</f>
        <v>15.498007826650706</v>
      </c>
      <c r="F9" s="46">
        <f t="shared" si="0"/>
        <v>0.60526044577353366</v>
      </c>
      <c r="G9" s="46">
        <f>[8]a27!L9</f>
        <v>0.16275263438586168</v>
      </c>
      <c r="H9" s="10">
        <f>[8]a27!M9</f>
        <v>71.659935665094139</v>
      </c>
      <c r="I9" s="46">
        <f>[8]a27!N9</f>
        <v>0.42229925518109424</v>
      </c>
      <c r="J9" s="46">
        <f t="shared" ref="J9:J17" si="12">G9*H9*I9</f>
        <v>4.9252100428599466</v>
      </c>
      <c r="K9" s="46">
        <f t="shared" si="1"/>
        <v>0.87303002077131442</v>
      </c>
      <c r="L9" s="46">
        <f>[8]a27!S9</f>
        <v>0.27452802297588375</v>
      </c>
      <c r="M9" s="10">
        <f>[8]a27!T9</f>
        <v>67.956850646436237</v>
      </c>
      <c r="N9" s="46">
        <f>[8]a27!U9</f>
        <v>0.57569092783990561</v>
      </c>
      <c r="O9" s="46">
        <f t="shared" ref="O9:O17" si="13">L9*M9*N9</f>
        <v>10.740124408126492</v>
      </c>
      <c r="P9" s="46">
        <f t="shared" si="2"/>
        <v>0.72575990551165726</v>
      </c>
      <c r="Q9" s="46">
        <f>[8]a27!Z9</f>
        <v>0.5244888779502499</v>
      </c>
      <c r="R9" s="10">
        <f>[8]a27!AA9</f>
        <v>69.223981033009181</v>
      </c>
      <c r="S9" s="46">
        <f>[8]a27!AC9</f>
        <v>0.38291999999999998</v>
      </c>
      <c r="T9" s="46">
        <f t="shared" ref="T9:T17" si="14">Q9*R9*S9</f>
        <v>13.902756140682516</v>
      </c>
      <c r="U9" s="46">
        <f t="shared" si="3"/>
        <v>0.64566222727937861</v>
      </c>
      <c r="V9" s="46">
        <f>[8]a27!AG9</f>
        <v>0.33420230714339505</v>
      </c>
      <c r="W9" s="10">
        <f>[8]a27!AH9</f>
        <v>62.847673646218546</v>
      </c>
      <c r="X9" s="46">
        <f>[8]a27!AI9</f>
        <v>0.36310776392327326</v>
      </c>
      <c r="Y9" s="46">
        <f t="shared" ref="Y9:Y17" si="15">V9*W9*X9</f>
        <v>7.6266564797477345</v>
      </c>
      <c r="Z9" s="46">
        <f t="shared" si="4"/>
        <v>0.80461244776204821</v>
      </c>
      <c r="AA9" s="46">
        <f>[8]a27!AN9</f>
        <v>0.47758114736157975</v>
      </c>
      <c r="AB9" s="10">
        <f>[8]a27!AO9</f>
        <v>45.570990151913321</v>
      </c>
      <c r="AC9" s="46">
        <f>[8]a27!AP9</f>
        <v>0.31214581768290606</v>
      </c>
      <c r="AD9" s="46">
        <f t="shared" ref="AD9:AD17" si="16">AA9*AB9*AC9</f>
        <v>6.7934934316643609</v>
      </c>
      <c r="AE9" s="46">
        <f t="shared" si="5"/>
        <v>0.82571336351314395</v>
      </c>
      <c r="AF9" s="46">
        <f>[8]a27!AU9</f>
        <v>0.69657687127137957</v>
      </c>
      <c r="AG9" s="10">
        <f>[8]a27!AV9</f>
        <v>52.862648216668404</v>
      </c>
      <c r="AH9" s="46">
        <f>[8]a27!AW9</f>
        <v>0.34620366545302661</v>
      </c>
      <c r="AI9" s="46">
        <f t="shared" ref="AI9:AI17" si="17">AF9*AG9*AH9</f>
        <v>12.748222295476385</v>
      </c>
      <c r="AJ9" s="46">
        <f t="shared" si="6"/>
        <v>0.67490226793591679</v>
      </c>
      <c r="AK9" s="46">
        <f>[8]a27!BB9</f>
        <v>0.61437996470028899</v>
      </c>
      <c r="AL9" s="10">
        <f>[8]a27!BC9</f>
        <v>60.490731560971341</v>
      </c>
      <c r="AM9" s="46">
        <f>[8]a27!BD9</f>
        <v>0.36899008455604398</v>
      </c>
      <c r="AN9" s="46">
        <f t="shared" ref="AN9:AN17" si="18">AK9*AL9*AM9</f>
        <v>13.713255808825267</v>
      </c>
      <c r="AO9" s="46">
        <f t="shared" si="7"/>
        <v>0.65046156463180083</v>
      </c>
      <c r="AP9" s="46">
        <f>[8]a27!BI9</f>
        <v>0.39530037092271808</v>
      </c>
      <c r="AQ9" s="10">
        <f>[8]a27!BJ9</f>
        <v>61.303149512027495</v>
      </c>
      <c r="AR9" s="46">
        <f>[8]a27!BK9</f>
        <v>0.29450208883241052</v>
      </c>
      <c r="AS9" s="46">
        <f t="shared" ref="AS9:AS17" si="19">AP9*AQ9*AR9</f>
        <v>7.1367155736812986</v>
      </c>
      <c r="AT9" s="46">
        <f t="shared" si="8"/>
        <v>0.817020825456793</v>
      </c>
      <c r="AU9" s="46">
        <f>[8]a27!BP9</f>
        <v>0.97973898735196452</v>
      </c>
      <c r="AV9" s="10">
        <f>[8]a27!BQ9</f>
        <v>40.284547036441666</v>
      </c>
      <c r="AW9" s="46">
        <f>[8]a27!BR9</f>
        <v>0.27912776351165963</v>
      </c>
      <c r="AX9" s="46">
        <f t="shared" ref="AX9:AX17" si="20">AU9*AV9*AW9</f>
        <v>11.016709842003397</v>
      </c>
      <c r="AY9" s="46">
        <f t="shared" si="9"/>
        <v>0.71875502699280958</v>
      </c>
      <c r="AZ9" s="46">
        <f>[8]a27!BW9</f>
        <v>0.91730681920539503</v>
      </c>
      <c r="BA9" s="10">
        <f>[8]a27!BX9</f>
        <v>53.216844197432941</v>
      </c>
      <c r="BB9" s="46">
        <f>[8]a27!BY9</f>
        <v>0.47486107266220628</v>
      </c>
      <c r="BC9" s="46">
        <f t="shared" ref="BC9:BC17" si="21">AZ9*BA9*BB9</f>
        <v>23.180900786369683</v>
      </c>
      <c r="BD9" s="46">
        <f t="shared" si="10"/>
        <v>0.41068139256101793</v>
      </c>
    </row>
    <row r="10" spans="1:56" hidden="1">
      <c r="A10" s="2">
        <v>1973</v>
      </c>
      <c r="B10" s="46">
        <f>[8]a27!E10</f>
        <v>0.70778589553794446</v>
      </c>
      <c r="C10" s="10">
        <f>[8]a27!F10</f>
        <v>69.216953969747877</v>
      </c>
      <c r="D10" s="46">
        <f>[8]a27!G10</f>
        <v>0.35071106104121486</v>
      </c>
      <c r="E10" s="46">
        <f t="shared" si="11"/>
        <v>17.181609750864887</v>
      </c>
      <c r="F10" s="46">
        <f t="shared" si="0"/>
        <v>0.56262108191438298</v>
      </c>
      <c r="G10" s="46">
        <f>[8]a27!L10</f>
        <v>0.20078341385584828</v>
      </c>
      <c r="H10" s="10">
        <f>[8]a27!M10</f>
        <v>71.659935665094139</v>
      </c>
      <c r="I10" s="46">
        <f>[8]a27!N10</f>
        <v>0.42229925518109424</v>
      </c>
      <c r="J10" s="46">
        <f t="shared" si="12"/>
        <v>6.0760951126480487</v>
      </c>
      <c r="K10" s="46">
        <f t="shared" si="1"/>
        <v>0.84388239000125342</v>
      </c>
      <c r="L10" s="46">
        <f>[8]a27!S10</f>
        <v>0.22229998147500155</v>
      </c>
      <c r="M10" s="10">
        <f>[8]a27!T10</f>
        <v>67.956850646436237</v>
      </c>
      <c r="N10" s="46">
        <f>[8]a27!U10</f>
        <v>0.57569092783990561</v>
      </c>
      <c r="O10" s="46">
        <f t="shared" si="13"/>
        <v>8.6968515311657875</v>
      </c>
      <c r="P10" s="46">
        <f t="shared" si="2"/>
        <v>0.77750839451681575</v>
      </c>
      <c r="Q10" s="46">
        <f>[8]a27!Z10</f>
        <v>0.6909160307454868</v>
      </c>
      <c r="R10" s="10">
        <f>[8]a27!AA10</f>
        <v>69.223981033009181</v>
      </c>
      <c r="S10" s="46">
        <f>[8]a27!AC10</f>
        <v>0.38291999999999998</v>
      </c>
      <c r="T10" s="46">
        <f t="shared" si="14"/>
        <v>18.314281756903039</v>
      </c>
      <c r="U10" s="46">
        <f t="shared" si="3"/>
        <v>0.53393472018960808</v>
      </c>
      <c r="V10" s="46">
        <f>[8]a27!AG10</f>
        <v>0.40099760379480659</v>
      </c>
      <c r="W10" s="10">
        <f>[8]a27!AH10</f>
        <v>62.847673646218546</v>
      </c>
      <c r="X10" s="46">
        <f>[8]a27!AI10</f>
        <v>0.36310776392327326</v>
      </c>
      <c r="Y10" s="46">
        <f t="shared" si="15"/>
        <v>9.1509570938801872</v>
      </c>
      <c r="Z10" s="46">
        <f t="shared" si="4"/>
        <v>0.7660075925513623</v>
      </c>
      <c r="AA10" s="46">
        <f>[8]a27!AN10</f>
        <v>0.58829132308470855</v>
      </c>
      <c r="AB10" s="10">
        <f>[8]a27!AO10</f>
        <v>45.570990151913321</v>
      </c>
      <c r="AC10" s="46">
        <f>[8]a27!AP10</f>
        <v>0.31214581768290606</v>
      </c>
      <c r="AD10" s="46">
        <f t="shared" si="16"/>
        <v>8.3683228732127652</v>
      </c>
      <c r="AE10" s="46">
        <f t="shared" si="5"/>
        <v>0.78582880136783295</v>
      </c>
      <c r="AF10" s="46">
        <f>[8]a27!AU10</f>
        <v>0.71288495192514112</v>
      </c>
      <c r="AG10" s="10">
        <f>[8]a27!AV10</f>
        <v>52.862648216668404</v>
      </c>
      <c r="AH10" s="46">
        <f>[8]a27!AW10</f>
        <v>0.34620366545302661</v>
      </c>
      <c r="AI10" s="46">
        <f t="shared" si="17"/>
        <v>13.046680435505147</v>
      </c>
      <c r="AJ10" s="46">
        <f t="shared" si="6"/>
        <v>0.66734343526509321</v>
      </c>
      <c r="AK10" s="46">
        <f>[8]a27!BB10</f>
        <v>0.69458587461009935</v>
      </c>
      <c r="AL10" s="10">
        <f>[8]a27!BC10</f>
        <v>60.490731560971341</v>
      </c>
      <c r="AM10" s="46">
        <f>[8]a27!BD10</f>
        <v>0.36899008455604398</v>
      </c>
      <c r="AN10" s="46">
        <f t="shared" si="18"/>
        <v>15.503490229163788</v>
      </c>
      <c r="AO10" s="46">
        <f t="shared" si="7"/>
        <v>0.60512159694459411</v>
      </c>
      <c r="AP10" s="46">
        <f>[8]a27!BI10</f>
        <v>0.42439176096265641</v>
      </c>
      <c r="AQ10" s="10">
        <f>[8]a27!BJ10</f>
        <v>61.303149512027495</v>
      </c>
      <c r="AR10" s="46">
        <f>[8]a27!BK10</f>
        <v>0.29450208883241052</v>
      </c>
      <c r="AS10" s="46">
        <f t="shared" si="19"/>
        <v>7.6619287827492313</v>
      </c>
      <c r="AT10" s="46">
        <f t="shared" si="8"/>
        <v>0.80371913174702103</v>
      </c>
      <c r="AU10" s="46">
        <f>[8]a27!BP10</f>
        <v>1.1237948029241469</v>
      </c>
      <c r="AV10" s="10">
        <f>[8]a27!BQ10</f>
        <v>40.284547036441666</v>
      </c>
      <c r="AW10" s="46">
        <f>[8]a27!BR10</f>
        <v>0.27912776351165963</v>
      </c>
      <c r="AX10" s="46">
        <f t="shared" si="20"/>
        <v>12.636550576831439</v>
      </c>
      <c r="AY10" s="46">
        <f t="shared" si="9"/>
        <v>0.67773049649493389</v>
      </c>
      <c r="AZ10" s="46">
        <f>[8]a27!BW10</f>
        <v>1.0003905164315945</v>
      </c>
      <c r="BA10" s="10">
        <f>[8]a27!BX10</f>
        <v>53.216844197432941</v>
      </c>
      <c r="BB10" s="46">
        <f>[8]a27!BY10</f>
        <v>0.47486107266220628</v>
      </c>
      <c r="BC10" s="46">
        <f t="shared" si="21"/>
        <v>25.280476306841276</v>
      </c>
      <c r="BD10" s="46">
        <f t="shared" si="10"/>
        <v>0.35750696737203536</v>
      </c>
    </row>
    <row r="11" spans="1:56" hidden="1">
      <c r="A11" s="2">
        <v>1974</v>
      </c>
      <c r="B11" s="46">
        <f>[8]a27!E11</f>
        <v>0.84733440874290855</v>
      </c>
      <c r="C11" s="10">
        <f>[8]a27!F11</f>
        <v>64.257633690756279</v>
      </c>
      <c r="D11" s="46">
        <f>[8]a27!G11</f>
        <v>0.32495469824295015</v>
      </c>
      <c r="E11" s="46">
        <f t="shared" si="11"/>
        <v>17.693037239776174</v>
      </c>
      <c r="F11" s="46">
        <f t="shared" si="0"/>
        <v>0.5496685291323834</v>
      </c>
      <c r="G11" s="46">
        <f>[8]a27!L11</f>
        <v>0.26404087808943177</v>
      </c>
      <c r="H11" s="10">
        <f>[8]a27!M11</f>
        <v>73.718801927877792</v>
      </c>
      <c r="I11" s="46">
        <f>[8]a27!N11</f>
        <v>0.3766865377957771</v>
      </c>
      <c r="J11" s="46">
        <f t="shared" si="12"/>
        <v>7.3321195296985886</v>
      </c>
      <c r="K11" s="46">
        <f t="shared" si="1"/>
        <v>0.81207197130053066</v>
      </c>
      <c r="L11" s="46">
        <f>[8]a27!S11</f>
        <v>0.38497784372305655</v>
      </c>
      <c r="M11" s="10">
        <f>[8]a27!T11</f>
        <v>56.75479617407899</v>
      </c>
      <c r="N11" s="46">
        <f>[8]a27!U11</f>
        <v>0.61221757155974077</v>
      </c>
      <c r="O11" s="46">
        <f t="shared" si="13"/>
        <v>13.376549294624425</v>
      </c>
      <c r="P11" s="46">
        <f t="shared" si="2"/>
        <v>0.65898908611194951</v>
      </c>
      <c r="Q11" s="46">
        <f>[8]a27!Z11</f>
        <v>0.86392267593397043</v>
      </c>
      <c r="R11" s="10">
        <f>[8]a27!AA11</f>
        <v>70.28844987531437</v>
      </c>
      <c r="S11" s="46">
        <f>[8]a27!AC11</f>
        <v>0.35074</v>
      </c>
      <c r="T11" s="46">
        <f t="shared" si="14"/>
        <v>21.298260597656935</v>
      </c>
      <c r="U11" s="46">
        <f t="shared" si="3"/>
        <v>0.4583616540693024</v>
      </c>
      <c r="V11" s="46">
        <f>[8]a27!AG11</f>
        <v>0.51347445379580037</v>
      </c>
      <c r="W11" s="10">
        <f>[8]a27!AH11</f>
        <v>58.291870468613588</v>
      </c>
      <c r="X11" s="46">
        <f>[8]a27!AI11</f>
        <v>0.35729214417147004</v>
      </c>
      <c r="Y11" s="46">
        <f t="shared" si="15"/>
        <v>10.694249206875721</v>
      </c>
      <c r="Z11" s="46">
        <f t="shared" si="4"/>
        <v>0.72692175343432242</v>
      </c>
      <c r="AA11" s="46">
        <f>[8]a27!AN11</f>
        <v>0.87078876915227954</v>
      </c>
      <c r="AB11" s="10">
        <f>[8]a27!AO11</f>
        <v>45.184142950033582</v>
      </c>
      <c r="AC11" s="46">
        <f>[8]a27!AP11</f>
        <v>0.29412673536923561</v>
      </c>
      <c r="AD11" s="46">
        <f t="shared" si="16"/>
        <v>11.572664712145853</v>
      </c>
      <c r="AE11" s="46">
        <f t="shared" si="5"/>
        <v>0.7046747615474398</v>
      </c>
      <c r="AF11" s="46">
        <f>[8]a27!AU11</f>
        <v>0.7721994060782208</v>
      </c>
      <c r="AG11" s="10">
        <f>[8]a27!AV11</f>
        <v>53.723865762626787</v>
      </c>
      <c r="AH11" s="46">
        <f>[8]a27!AW11</f>
        <v>0.31036968761878247</v>
      </c>
      <c r="AI11" s="46">
        <f t="shared" si="17"/>
        <v>12.875853232053201</v>
      </c>
      <c r="AJ11" s="46">
        <f t="shared" si="6"/>
        <v>0.67166985184865013</v>
      </c>
      <c r="AK11" s="46">
        <f>[8]a27!BB11</f>
        <v>0.7561325252763399</v>
      </c>
      <c r="AL11" s="10">
        <f>[8]a27!BC11</f>
        <v>58.763514759783348</v>
      </c>
      <c r="AM11" s="46">
        <f>[8]a27!BD11</f>
        <v>0.33479662786058961</v>
      </c>
      <c r="AN11" s="46">
        <f t="shared" si="18"/>
        <v>14.876020175910007</v>
      </c>
      <c r="AO11" s="46">
        <f t="shared" si="7"/>
        <v>0.62101307552192853</v>
      </c>
      <c r="AP11" s="46">
        <f>[8]a27!BI11</f>
        <v>0.49447110865752758</v>
      </c>
      <c r="AQ11" s="10">
        <f>[8]a27!BJ11</f>
        <v>59.806252010309287</v>
      </c>
      <c r="AR11" s="46">
        <f>[8]a27!BK11</f>
        <v>0.34821481440198476</v>
      </c>
      <c r="AS11" s="46">
        <f t="shared" si="19"/>
        <v>10.297569971306519</v>
      </c>
      <c r="AT11" s="46">
        <f t="shared" si="8"/>
        <v>0.73696816049619351</v>
      </c>
      <c r="AU11" s="46">
        <f>[8]a27!BP11</f>
        <v>1.2227510291549621</v>
      </c>
      <c r="AV11" s="10">
        <f>[8]a27!BQ11</f>
        <v>39.019637735422435</v>
      </c>
      <c r="AW11" s="46">
        <f>[8]a27!BR11</f>
        <v>0.29696229977709171</v>
      </c>
      <c r="AX11" s="46">
        <f t="shared" si="20"/>
        <v>14.168458026149629</v>
      </c>
      <c r="AY11" s="46">
        <f t="shared" si="9"/>
        <v>0.63893298849106905</v>
      </c>
      <c r="AZ11" s="46">
        <f>[8]a27!BW11</f>
        <v>1.1578923312486193</v>
      </c>
      <c r="BA11" s="10">
        <f>[8]a27!BX11</f>
        <v>55.379551557759662</v>
      </c>
      <c r="BB11" s="46">
        <f>[8]a27!BY11</f>
        <v>0.41520266964369068</v>
      </c>
      <c r="BC11" s="46">
        <f t="shared" si="21"/>
        <v>26.624272492201271</v>
      </c>
      <c r="BD11" s="46">
        <f t="shared" si="10"/>
        <v>0.32347361680619557</v>
      </c>
    </row>
    <row r="12" spans="1:56" hidden="1">
      <c r="A12" s="2">
        <v>1975</v>
      </c>
      <c r="B12" s="46">
        <f>[8]a27!E12</f>
        <v>0.92962786323076674</v>
      </c>
      <c r="C12" s="10">
        <f>[8]a27!F12</f>
        <v>59.298313411764688</v>
      </c>
      <c r="D12" s="46">
        <f>[8]a27!G12</f>
        <v>0.29919833544468549</v>
      </c>
      <c r="E12" s="46">
        <f t="shared" si="11"/>
        <v>16.493417266319746</v>
      </c>
      <c r="F12" s="46">
        <f t="shared" si="0"/>
        <v>0.58005043343246798</v>
      </c>
      <c r="G12" s="46">
        <f>[8]a27!L12</f>
        <v>0.32391424796488089</v>
      </c>
      <c r="H12" s="10">
        <f>[8]a27!M12</f>
        <v>75.777668190661458</v>
      </c>
      <c r="I12" s="46">
        <f>[8]a27!N12</f>
        <v>0.33107382041046007</v>
      </c>
      <c r="J12" s="46">
        <f t="shared" si="12"/>
        <v>8.1263613362978511</v>
      </c>
      <c r="K12" s="46">
        <f t="shared" si="1"/>
        <v>0.79195678558075777</v>
      </c>
      <c r="L12" s="46">
        <f>[8]a27!S12</f>
        <v>0.29182311628178442</v>
      </c>
      <c r="M12" s="10">
        <f>[8]a27!T12</f>
        <v>45.552741701721743</v>
      </c>
      <c r="N12" s="46">
        <f>[8]a27!U12</f>
        <v>0.64874421527957604</v>
      </c>
      <c r="O12" s="46">
        <f t="shared" si="13"/>
        <v>8.623979398002966</v>
      </c>
      <c r="P12" s="46">
        <f t="shared" si="2"/>
        <v>0.77935397413776586</v>
      </c>
      <c r="Q12" s="46">
        <f>[8]a27!Z12</f>
        <v>0.85077819301530822</v>
      </c>
      <c r="R12" s="10">
        <f>[8]a27!AA12</f>
        <v>71.352918717619559</v>
      </c>
      <c r="S12" s="46">
        <f>[8]a27!AC12</f>
        <v>0.31856000000000001</v>
      </c>
      <c r="T12" s="46">
        <f t="shared" si="14"/>
        <v>19.33834639049801</v>
      </c>
      <c r="U12" s="46">
        <f t="shared" si="3"/>
        <v>0.50799897855191389</v>
      </c>
      <c r="V12" s="46">
        <f>[8]a27!AG12</f>
        <v>0.4990979364473182</v>
      </c>
      <c r="W12" s="10">
        <f>[8]a27!AH12</f>
        <v>53.736067291008638</v>
      </c>
      <c r="X12" s="46">
        <f>[8]a27!AI12</f>
        <v>0.35147652441966681</v>
      </c>
      <c r="Y12" s="46">
        <f t="shared" si="15"/>
        <v>9.4264458399121605</v>
      </c>
      <c r="Z12" s="46">
        <f t="shared" si="4"/>
        <v>0.75903048904951087</v>
      </c>
      <c r="AA12" s="46">
        <f>[8]a27!AN12</f>
        <v>0.97563542124944058</v>
      </c>
      <c r="AB12" s="10">
        <f>[8]a27!AO12</f>
        <v>44.79729574815385</v>
      </c>
      <c r="AC12" s="46">
        <f>[8]a27!AP12</f>
        <v>0.27610765305556512</v>
      </c>
      <c r="AD12" s="46">
        <f t="shared" si="16"/>
        <v>12.067513734216597</v>
      </c>
      <c r="AE12" s="46">
        <f t="shared" si="5"/>
        <v>0.69214207956130591</v>
      </c>
      <c r="AF12" s="46">
        <f>[8]a27!AU12</f>
        <v>0.86587954246301002</v>
      </c>
      <c r="AG12" s="10">
        <f>[8]a27!AV12</f>
        <v>54.585083308585162</v>
      </c>
      <c r="AH12" s="46">
        <f>[8]a27!AW12</f>
        <v>0.27453570978453834</v>
      </c>
      <c r="AI12" s="46">
        <f t="shared" si="17"/>
        <v>12.975685151745012</v>
      </c>
      <c r="AJ12" s="46">
        <f t="shared" si="6"/>
        <v>0.66914148128356932</v>
      </c>
      <c r="AK12" s="46">
        <f>[8]a27!BB12</f>
        <v>0.82351671523090841</v>
      </c>
      <c r="AL12" s="10">
        <f>[8]a27!BC12</f>
        <v>57.03629795859537</v>
      </c>
      <c r="AM12" s="46">
        <f>[8]a27!BD12</f>
        <v>0.30060317116513519</v>
      </c>
      <c r="AN12" s="46">
        <f t="shared" si="18"/>
        <v>14.119434580704063</v>
      </c>
      <c r="AO12" s="46">
        <f t="shared" si="7"/>
        <v>0.64017456970924114</v>
      </c>
      <c r="AP12" s="46">
        <f>[8]a27!BI12</f>
        <v>0.52752357764531388</v>
      </c>
      <c r="AQ12" s="10">
        <f>[8]a27!BJ12</f>
        <v>58.30935450859107</v>
      </c>
      <c r="AR12" s="46">
        <f>[8]a27!BK12</f>
        <v>0.401927539971559</v>
      </c>
      <c r="AS12" s="46">
        <f t="shared" si="19"/>
        <v>12.363114000283719</v>
      </c>
      <c r="AT12" s="46">
        <f t="shared" si="8"/>
        <v>0.68465562618986497</v>
      </c>
      <c r="AU12" s="46">
        <f>[8]a27!BP12</f>
        <v>1.3009633068942739</v>
      </c>
      <c r="AV12" s="10">
        <f>[8]a27!BQ12</f>
        <v>37.754728434403205</v>
      </c>
      <c r="AW12" s="46">
        <f>[8]a27!BR12</f>
        <v>0.31479683604252379</v>
      </c>
      <c r="AX12" s="46">
        <f t="shared" si="20"/>
        <v>15.46203874279462</v>
      </c>
      <c r="AY12" s="46">
        <f t="shared" si="9"/>
        <v>0.6061714086514931</v>
      </c>
      <c r="AZ12" s="46">
        <f>[8]a27!BW12</f>
        <v>1.2375967231776701</v>
      </c>
      <c r="BA12" s="10">
        <f>[8]a27!BX12</f>
        <v>57.542258918086382</v>
      </c>
      <c r="BB12" s="46">
        <f>[8]a27!BY12</f>
        <v>0.35554426662517502</v>
      </c>
      <c r="BC12" s="46">
        <f t="shared" si="21"/>
        <v>25.319768897752034</v>
      </c>
      <c r="BD12" s="46">
        <f t="shared" si="10"/>
        <v>0.35651183244333501</v>
      </c>
    </row>
    <row r="13" spans="1:56" hidden="1">
      <c r="A13" s="2">
        <v>1976</v>
      </c>
      <c r="B13" s="46">
        <f>[8]a27!E13</f>
        <v>0.97290093889867302</v>
      </c>
      <c r="C13" s="10">
        <f>[8]a27!F13</f>
        <v>64.608557889075612</v>
      </c>
      <c r="D13" s="46">
        <f>[8]a27!G13</f>
        <v>0.32402280973969633</v>
      </c>
      <c r="E13" s="46">
        <f t="shared" si="11"/>
        <v>20.367337196881742</v>
      </c>
      <c r="F13" s="46">
        <f t="shared" si="0"/>
        <v>0.48193847531175765</v>
      </c>
      <c r="G13" s="46">
        <f>[8]a27!L13</f>
        <v>0.35199136624950711</v>
      </c>
      <c r="H13" s="10">
        <f>[8]a27!M13</f>
        <v>71.000958995041472</v>
      </c>
      <c r="I13" s="46">
        <f>[8]a27!N13</f>
        <v>0.37626933334320506</v>
      </c>
      <c r="J13" s="46">
        <f t="shared" si="12"/>
        <v>9.4036195399240547</v>
      </c>
      <c r="K13" s="46">
        <f t="shared" si="1"/>
        <v>0.75960859418039284</v>
      </c>
      <c r="L13" s="46">
        <f>[8]a27!S13</f>
        <v>0.44164398164893115</v>
      </c>
      <c r="M13" s="10">
        <f>[8]a27!T13</f>
        <v>45.388594719483976</v>
      </c>
      <c r="N13" s="46">
        <f>[8]a27!U13</f>
        <v>0.55649215924661544</v>
      </c>
      <c r="O13" s="46">
        <f t="shared" si="13"/>
        <v>11.155219056752619</v>
      </c>
      <c r="P13" s="46">
        <f t="shared" si="2"/>
        <v>0.71524710465048158</v>
      </c>
      <c r="Q13" s="46">
        <f>[8]a27!Z13</f>
        <v>0.91496752204560228</v>
      </c>
      <c r="R13" s="10">
        <f>[8]a27!AA13</f>
        <v>64.701921508010514</v>
      </c>
      <c r="S13" s="46">
        <f>[8]a27!AC13</f>
        <v>0.30267500000000003</v>
      </c>
      <c r="T13" s="46">
        <f t="shared" si="14"/>
        <v>17.918407457555379</v>
      </c>
      <c r="U13" s="46">
        <f t="shared" si="3"/>
        <v>0.54396074121607485</v>
      </c>
      <c r="V13" s="46">
        <f>[8]a27!AG13</f>
        <v>0.59776824690760089</v>
      </c>
      <c r="W13" s="10">
        <f>[8]a27!AH13</f>
        <v>56.647141623998074</v>
      </c>
      <c r="X13" s="46">
        <f>[8]a27!AI13</f>
        <v>0.35890364796529034</v>
      </c>
      <c r="Y13" s="46">
        <f t="shared" si="15"/>
        <v>12.15314599282963</v>
      </c>
      <c r="Z13" s="46">
        <f t="shared" si="4"/>
        <v>0.68997333350526524</v>
      </c>
      <c r="AA13" s="46">
        <f>[8]a27!AN13</f>
        <v>1.0257896320673754</v>
      </c>
      <c r="AB13" s="10">
        <f>[8]a27!AO13</f>
        <v>49.555418888654472</v>
      </c>
      <c r="AC13" s="46">
        <f>[8]a27!AP13</f>
        <v>0.28264181104282937</v>
      </c>
      <c r="AD13" s="46">
        <f t="shared" si="16"/>
        <v>14.367654104133361</v>
      </c>
      <c r="AE13" s="46">
        <f t="shared" si="5"/>
        <v>0.63388809401434854</v>
      </c>
      <c r="AF13" s="46">
        <f>[8]a27!AU13</f>
        <v>0.90380388685750312</v>
      </c>
      <c r="AG13" s="10">
        <f>[8]a27!AV13</f>
        <v>54.070314787409806</v>
      </c>
      <c r="AH13" s="46">
        <f>[8]a27!AW13</f>
        <v>0.31755139026071227</v>
      </c>
      <c r="AI13" s="46">
        <f t="shared" si="17"/>
        <v>15.518406400868624</v>
      </c>
      <c r="AJ13" s="46">
        <f t="shared" si="6"/>
        <v>0.60474382589102105</v>
      </c>
      <c r="AK13" s="46">
        <f>[8]a27!BB13</f>
        <v>0.79394133996519101</v>
      </c>
      <c r="AL13" s="10">
        <f>[8]a27!BC13</f>
        <v>52.121163171296288</v>
      </c>
      <c r="AM13" s="46">
        <f>[8]a27!BD13</f>
        <v>0.35481542252051523</v>
      </c>
      <c r="AN13" s="46">
        <f t="shared" si="18"/>
        <v>14.682668848060349</v>
      </c>
      <c r="AO13" s="46">
        <f t="shared" si="7"/>
        <v>0.62590994425452962</v>
      </c>
      <c r="AP13" s="46">
        <f>[8]a27!BI13</f>
        <v>0.54868250284683029</v>
      </c>
      <c r="AQ13" s="10">
        <f>[8]a27!BJ13</f>
        <v>56.721914530927833</v>
      </c>
      <c r="AR13" s="46">
        <f>[8]a27!BK13</f>
        <v>0.42493180924631618</v>
      </c>
      <c r="AS13" s="46">
        <f t="shared" si="19"/>
        <v>13.224864608619036</v>
      </c>
      <c r="AT13" s="46">
        <f t="shared" si="8"/>
        <v>0.66283069405110862</v>
      </c>
      <c r="AU13" s="46">
        <f>[8]a27!BP13</f>
        <v>1.2966941923031401</v>
      </c>
      <c r="AV13" s="10">
        <f>[8]a27!BQ13</f>
        <v>34.621708060889226</v>
      </c>
      <c r="AW13" s="46">
        <f>[8]a27!BR13</f>
        <v>0.33459480749314108</v>
      </c>
      <c r="AX13" s="46">
        <f t="shared" si="20"/>
        <v>15.021221584701768</v>
      </c>
      <c r="AY13" s="46">
        <f t="shared" si="9"/>
        <v>0.61733566483874514</v>
      </c>
      <c r="AZ13" s="46">
        <f>[8]a27!BW13</f>
        <v>1.3231810681098251</v>
      </c>
      <c r="BA13" s="10">
        <f>[8]a27!BX13</f>
        <v>52.251059801400267</v>
      </c>
      <c r="BB13" s="46">
        <f>[8]a27!BY13</f>
        <v>0.41129520094912086</v>
      </c>
      <c r="BC13" s="46">
        <f t="shared" si="21"/>
        <v>28.435968480463966</v>
      </c>
      <c r="BD13" s="46">
        <f t="shared" si="10"/>
        <v>0.27759010756647257</v>
      </c>
    </row>
    <row r="14" spans="1:56" hidden="1">
      <c r="A14" s="2">
        <v>1977</v>
      </c>
      <c r="B14" s="46">
        <f>[8]a27!E14</f>
        <v>0.97652383440363832</v>
      </c>
      <c r="C14" s="10">
        <f>[8]a27!F14</f>
        <v>69.918802366386529</v>
      </c>
      <c r="D14" s="46">
        <f>[8]a27!G14</f>
        <v>0.34884728403470722</v>
      </c>
      <c r="E14" s="46">
        <f t="shared" si="11"/>
        <v>23.818377521789422</v>
      </c>
      <c r="F14" s="46">
        <f t="shared" si="0"/>
        <v>0.39453648200801245</v>
      </c>
      <c r="G14" s="46">
        <f>[8]a27!L14</f>
        <v>0.37347813801491458</v>
      </c>
      <c r="H14" s="10">
        <f>[8]a27!M14</f>
        <v>66.2242497994215</v>
      </c>
      <c r="I14" s="46">
        <f>[8]a27!N14</f>
        <v>0.42146484627594999</v>
      </c>
      <c r="J14" s="46">
        <f t="shared" si="12"/>
        <v>10.424220489062009</v>
      </c>
      <c r="K14" s="46">
        <f t="shared" si="1"/>
        <v>0.73376057476475831</v>
      </c>
      <c r="L14" s="46">
        <f>[8]a27!S14</f>
        <v>0.50753843857292125</v>
      </c>
      <c r="M14" s="10">
        <f>[8]a27!T14</f>
        <v>45.224447737246209</v>
      </c>
      <c r="N14" s="46">
        <f>[8]a27!U14</f>
        <v>0.464240103213655</v>
      </c>
      <c r="O14" s="46">
        <f t="shared" si="13"/>
        <v>10.655770677726085</v>
      </c>
      <c r="P14" s="46">
        <f t="shared" si="2"/>
        <v>0.72789627121170153</v>
      </c>
      <c r="Q14" s="46">
        <f>[8]a27!Z14</f>
        <v>0.92879895265290136</v>
      </c>
      <c r="R14" s="10">
        <f>[8]a27!AA14</f>
        <v>58.050924298401455</v>
      </c>
      <c r="S14" s="46">
        <f>[8]a27!AC14</f>
        <v>0.28678999999999999</v>
      </c>
      <c r="T14" s="46">
        <f t="shared" si="14"/>
        <v>15.463039312796228</v>
      </c>
      <c r="U14" s="46">
        <f t="shared" si="3"/>
        <v>0.60614606794134562</v>
      </c>
      <c r="V14" s="46">
        <f>[8]a27!AG14</f>
        <v>0.60261173556569314</v>
      </c>
      <c r="W14" s="10">
        <f>[8]a27!AH14</f>
        <v>59.55821595698751</v>
      </c>
      <c r="X14" s="46">
        <f>[8]a27!AI14</f>
        <v>0.36633077151091381</v>
      </c>
      <c r="Y14" s="46">
        <f t="shared" si="15"/>
        <v>13.147787186182393</v>
      </c>
      <c r="Z14" s="46">
        <f t="shared" si="4"/>
        <v>0.66478277798100527</v>
      </c>
      <c r="AA14" s="46">
        <f>[8]a27!AN14</f>
        <v>0.96682228098318379</v>
      </c>
      <c r="AB14" s="10">
        <f>[8]a27!AO14</f>
        <v>54.313542029155101</v>
      </c>
      <c r="AC14" s="46">
        <f>[8]a27!AP14</f>
        <v>0.28917596903009357</v>
      </c>
      <c r="AD14" s="46">
        <f t="shared" si="16"/>
        <v>15.185076214567976</v>
      </c>
      <c r="AE14" s="46">
        <f t="shared" si="5"/>
        <v>0.61318583756521505</v>
      </c>
      <c r="AF14" s="46">
        <f>[8]a27!AU14</f>
        <v>0.94501302714943181</v>
      </c>
      <c r="AG14" s="10">
        <f>[8]a27!AV14</f>
        <v>53.555546266234451</v>
      </c>
      <c r="AH14" s="46">
        <f>[8]a27!AW14</f>
        <v>0.3605670707368861</v>
      </c>
      <c r="AI14" s="46">
        <f t="shared" si="17"/>
        <v>18.24854784381797</v>
      </c>
      <c r="AJ14" s="46">
        <f t="shared" si="6"/>
        <v>0.53559951529206573</v>
      </c>
      <c r="AK14" s="46">
        <f>[8]a27!BB14</f>
        <v>0.84354385517747799</v>
      </c>
      <c r="AL14" s="10">
        <f>[8]a27!BC14</f>
        <v>47.206028383997193</v>
      </c>
      <c r="AM14" s="46">
        <f>[8]a27!BD14</f>
        <v>0.40902767387589528</v>
      </c>
      <c r="AN14" s="46">
        <f t="shared" si="18"/>
        <v>16.287627248364767</v>
      </c>
      <c r="AO14" s="46">
        <f t="shared" si="7"/>
        <v>0.58526232784049981</v>
      </c>
      <c r="AP14" s="46">
        <f>[8]a27!BI14</f>
        <v>0.65714827075043747</v>
      </c>
      <c r="AQ14" s="10">
        <f>[8]a27!BJ14</f>
        <v>55.134474553264603</v>
      </c>
      <c r="AR14" s="46">
        <f>[8]a27!BK14</f>
        <v>0.44793607852107337</v>
      </c>
      <c r="AS14" s="46">
        <f t="shared" si="19"/>
        <v>16.229407053275573</v>
      </c>
      <c r="AT14" s="46">
        <f t="shared" si="8"/>
        <v>0.5867368284612553</v>
      </c>
      <c r="AU14" s="46">
        <f>[8]a27!BP14</f>
        <v>1.2708735488431526</v>
      </c>
      <c r="AV14" s="10">
        <f>[8]a27!BQ14</f>
        <v>31.488687687375243</v>
      </c>
      <c r="AW14" s="46">
        <f>[8]a27!BR14</f>
        <v>0.35439277894375837</v>
      </c>
      <c r="AX14" s="46">
        <f t="shared" si="20"/>
        <v>14.182139938328858</v>
      </c>
      <c r="AY14" s="46">
        <f t="shared" si="9"/>
        <v>0.63858647663258961</v>
      </c>
      <c r="AZ14" s="46">
        <f>[8]a27!BW14</f>
        <v>1.3000784679526167</v>
      </c>
      <c r="BA14" s="10">
        <f>[8]a27!BX14</f>
        <v>46.959860684714151</v>
      </c>
      <c r="BB14" s="46">
        <f>[8]a27!BY14</f>
        <v>0.46704613527306671</v>
      </c>
      <c r="BC14" s="46">
        <f t="shared" si="21"/>
        <v>28.513868871691358</v>
      </c>
      <c r="BD14" s="46">
        <f t="shared" si="10"/>
        <v>0.27561718090338072</v>
      </c>
    </row>
    <row r="15" spans="1:56" hidden="1">
      <c r="A15" s="2">
        <v>1978</v>
      </c>
      <c r="B15" s="46">
        <f>[8]a27!E15</f>
        <v>0.99216974877821029</v>
      </c>
      <c r="C15" s="10">
        <f>[8]a27!F15</f>
        <v>72.041850010084019</v>
      </c>
      <c r="D15" s="46">
        <f>[8]a27!G15</f>
        <v>0.35769504765726684</v>
      </c>
      <c r="E15" s="46">
        <f t="shared" si="11"/>
        <v>25.567235127361073</v>
      </c>
      <c r="F15" s="46">
        <f t="shared" si="0"/>
        <v>0.35024443487423507</v>
      </c>
      <c r="G15" s="46">
        <f>[8]a27!L15</f>
        <v>0.34532537009255854</v>
      </c>
      <c r="H15" s="10">
        <f>[8]a27!M15</f>
        <v>67.638667096518702</v>
      </c>
      <c r="I15" s="46">
        <f>[8]a27!N15</f>
        <v>0.43398097985311118</v>
      </c>
      <c r="J15" s="46">
        <f t="shared" si="12"/>
        <v>10.136644662304851</v>
      </c>
      <c r="K15" s="46">
        <f t="shared" si="1"/>
        <v>0.7410437989864922</v>
      </c>
      <c r="L15" s="46">
        <f>[8]a27!S15</f>
        <v>0.49312366445674205</v>
      </c>
      <c r="M15" s="10">
        <f>[8]a27!T15</f>
        <v>45.036851186117325</v>
      </c>
      <c r="N15" s="46">
        <f>[8]a27!U15</f>
        <v>0.56365598041200693</v>
      </c>
      <c r="O15" s="46">
        <f t="shared" si="13"/>
        <v>12.518087479580601</v>
      </c>
      <c r="P15" s="46">
        <f t="shared" si="2"/>
        <v>0.68073072537024715</v>
      </c>
      <c r="Q15" s="46">
        <f>[8]a27!Z15</f>
        <v>0.99778552701911571</v>
      </c>
      <c r="R15" s="10">
        <f>[8]a27!AA15</f>
        <v>59.620564794681989</v>
      </c>
      <c r="S15" s="46">
        <f>[8]a27!AC15</f>
        <v>0.30591000000000002</v>
      </c>
      <c r="T15" s="46">
        <f t="shared" si="14"/>
        <v>18.198138251140932</v>
      </c>
      <c r="U15" s="46">
        <f t="shared" si="3"/>
        <v>0.53687620245500722</v>
      </c>
      <c r="V15" s="46">
        <f>[8]a27!AG15</f>
        <v>0.71359828686898696</v>
      </c>
      <c r="W15" s="10">
        <f>[8]a27!AH15</f>
        <v>65.514375394968624</v>
      </c>
      <c r="X15" s="46">
        <f>[8]a27!AI15</f>
        <v>0.36304561226180354</v>
      </c>
      <c r="Y15" s="46">
        <f t="shared" si="15"/>
        <v>16.972725831502963</v>
      </c>
      <c r="Z15" s="46">
        <f t="shared" si="4"/>
        <v>0.56791133331757959</v>
      </c>
      <c r="AA15" s="46">
        <f>[8]a27!AN15</f>
        <v>0.98281576551529892</v>
      </c>
      <c r="AB15" s="10">
        <f>[8]a27!AO15</f>
        <v>52.137161108756132</v>
      </c>
      <c r="AC15" s="46">
        <f>[8]a27!AP15</f>
        <v>0.30580798318840086</v>
      </c>
      <c r="AD15" s="46">
        <f t="shared" si="16"/>
        <v>15.669975339073329</v>
      </c>
      <c r="AE15" s="46">
        <f t="shared" si="5"/>
        <v>0.60090514941239204</v>
      </c>
      <c r="AF15" s="46">
        <f>[8]a27!AU15</f>
        <v>0.96882185572273216</v>
      </c>
      <c r="AG15" s="10">
        <f>[8]a27!AV15</f>
        <v>53.626798077590713</v>
      </c>
      <c r="AH15" s="46">
        <f>[8]a27!AW15</f>
        <v>0.36971299974242061</v>
      </c>
      <c r="AI15" s="46">
        <f t="shared" si="17"/>
        <v>19.208370146090783</v>
      </c>
      <c r="AJ15" s="46">
        <f t="shared" si="6"/>
        <v>0.51129079254821375</v>
      </c>
      <c r="AK15" s="46">
        <f>[8]a27!BB15</f>
        <v>0.87781441470008004</v>
      </c>
      <c r="AL15" s="10">
        <f>[8]a27!BC15</f>
        <v>50.767557252358479</v>
      </c>
      <c r="AM15" s="46">
        <f>[8]a27!BD15</f>
        <v>0.40699014872145572</v>
      </c>
      <c r="AN15" s="46">
        <f t="shared" si="18"/>
        <v>18.137309859740171</v>
      </c>
      <c r="AO15" s="46">
        <f t="shared" si="7"/>
        <v>0.53841675897053543</v>
      </c>
      <c r="AP15" s="46">
        <f>[8]a27!BI15</f>
        <v>0.62807329281058399</v>
      </c>
      <c r="AQ15" s="10">
        <f>[8]a27!BJ15</f>
        <v>52.917523278350522</v>
      </c>
      <c r="AR15" s="46">
        <f>[8]a27!BK15</f>
        <v>0.44257821351850163</v>
      </c>
      <c r="AS15" s="46">
        <f t="shared" si="19"/>
        <v>14.709566279570247</v>
      </c>
      <c r="AT15" s="46">
        <f t="shared" si="8"/>
        <v>0.62522873253070577</v>
      </c>
      <c r="AU15" s="46">
        <f>[8]a27!BP15</f>
        <v>1.2629376066300577</v>
      </c>
      <c r="AV15" s="10">
        <f>[8]a27!BQ15</f>
        <v>33.408269015385699</v>
      </c>
      <c r="AW15" s="46">
        <f>[8]a27!BR15</f>
        <v>0.34430290368655675</v>
      </c>
      <c r="AX15" s="46">
        <f t="shared" si="20"/>
        <v>14.527020685069701</v>
      </c>
      <c r="AY15" s="46">
        <f t="shared" si="9"/>
        <v>0.62985193229832703</v>
      </c>
      <c r="AZ15" s="46">
        <f>[8]a27!BW15</f>
        <v>1.2730151591230443</v>
      </c>
      <c r="BA15" s="10">
        <f>[8]a27!BX15</f>
        <v>47.338428177596292</v>
      </c>
      <c r="BB15" s="46">
        <f>[8]a27!BY15</f>
        <v>0.46331053454177684</v>
      </c>
      <c r="BC15" s="46">
        <f t="shared" si="21"/>
        <v>27.920268081654651</v>
      </c>
      <c r="BD15" s="46">
        <f t="shared" si="10"/>
        <v>0.29065087723588418</v>
      </c>
    </row>
    <row r="16" spans="1:56" hidden="1">
      <c r="A16" s="2">
        <v>1979</v>
      </c>
      <c r="B16" s="46">
        <f>[8]a27!E16</f>
        <v>1.0163121049121724</v>
      </c>
      <c r="C16" s="10">
        <f>[8]a27!F16</f>
        <v>74.164897653781495</v>
      </c>
      <c r="D16" s="46">
        <f>[8]a27!G16</f>
        <v>0.36654281127982652</v>
      </c>
      <c r="E16" s="46">
        <f t="shared" si="11"/>
        <v>27.628048295989242</v>
      </c>
      <c r="F16" s="46">
        <f t="shared" si="0"/>
        <v>0.29805171563397886</v>
      </c>
      <c r="G16" s="46">
        <f>[8]a27!L16</f>
        <v>0.38546563130970529</v>
      </c>
      <c r="H16" s="10">
        <f>[8]a27!M16</f>
        <v>69.053084393615919</v>
      </c>
      <c r="I16" s="46">
        <f>[8]a27!N16</f>
        <v>0.44649711343027232</v>
      </c>
      <c r="J16" s="46">
        <f t="shared" si="12"/>
        <v>11.884677445124808</v>
      </c>
      <c r="K16" s="46">
        <f t="shared" si="1"/>
        <v>0.69677264153983332</v>
      </c>
      <c r="L16" s="46">
        <f>[8]a27!S16</f>
        <v>0.51709278942832526</v>
      </c>
      <c r="M16" s="10">
        <f>[8]a27!T16</f>
        <v>44.849254634988448</v>
      </c>
      <c r="N16" s="46">
        <f>[8]a27!U16</f>
        <v>0.66307185761035881</v>
      </c>
      <c r="O16" s="46">
        <f t="shared" si="13"/>
        <v>15.37744942541546</v>
      </c>
      <c r="P16" s="46">
        <f t="shared" si="2"/>
        <v>0.60831374089194268</v>
      </c>
      <c r="Q16" s="46">
        <f>[8]a27!Z16</f>
        <v>1.1444266422522316</v>
      </c>
      <c r="R16" s="10">
        <f>[8]a27!AA16</f>
        <v>61.190205290962524</v>
      </c>
      <c r="S16" s="46">
        <f>[8]a27!AC16</f>
        <v>0.32502999999999999</v>
      </c>
      <c r="T16" s="46">
        <f t="shared" si="14"/>
        <v>22.761103714490211</v>
      </c>
      <c r="U16" s="46">
        <f t="shared" si="3"/>
        <v>0.42131328828258502</v>
      </c>
      <c r="V16" s="46">
        <f>[8]a27!AG16</f>
        <v>0.74698427240800125</v>
      </c>
      <c r="W16" s="10">
        <f>[8]a27!AH16</f>
        <v>71.470534832949738</v>
      </c>
      <c r="X16" s="46">
        <f>[8]a27!AI16</f>
        <v>0.35976045301269333</v>
      </c>
      <c r="Y16" s="46">
        <f t="shared" si="15"/>
        <v>19.206662783332224</v>
      </c>
      <c r="Z16" s="46">
        <f t="shared" si="4"/>
        <v>0.51133403368547714</v>
      </c>
      <c r="AA16" s="46">
        <f>[8]a27!AN16</f>
        <v>0.94059820449686926</v>
      </c>
      <c r="AB16" s="10">
        <f>[8]a27!AO16</f>
        <v>49.960780188357163</v>
      </c>
      <c r="AC16" s="46">
        <f>[8]a27!AP16</f>
        <v>0.32243999734670825</v>
      </c>
      <c r="AD16" s="46">
        <f t="shared" si="16"/>
        <v>15.152429289394542</v>
      </c>
      <c r="AE16" s="46">
        <f t="shared" si="5"/>
        <v>0.61401266254167286</v>
      </c>
      <c r="AF16" s="46">
        <f>[8]a27!AU16</f>
        <v>1.0147469604852606</v>
      </c>
      <c r="AG16" s="10">
        <f>[8]a27!AV16</f>
        <v>53.698049888946976</v>
      </c>
      <c r="AH16" s="46">
        <f>[8]a27!AW16</f>
        <v>0.37885892874795507</v>
      </c>
      <c r="AI16" s="46">
        <f t="shared" si="17"/>
        <v>20.643997609373951</v>
      </c>
      <c r="AJ16" s="46">
        <f t="shared" si="6"/>
        <v>0.47493169786394496</v>
      </c>
      <c r="AK16" s="46">
        <f>[8]a27!BB16</f>
        <v>0.86240234355432399</v>
      </c>
      <c r="AL16" s="10">
        <f>[8]a27!BC16</f>
        <v>54.329086120719765</v>
      </c>
      <c r="AM16" s="46">
        <f>[8]a27!BD16</f>
        <v>0.40495262356701617</v>
      </c>
      <c r="AN16" s="46">
        <f t="shared" si="18"/>
        <v>18.97346038025708</v>
      </c>
      <c r="AO16" s="46">
        <f t="shared" si="7"/>
        <v>0.51724018167363084</v>
      </c>
      <c r="AP16" s="46">
        <f>[8]a27!BI16</f>
        <v>0.6630347290474734</v>
      </c>
      <c r="AQ16" s="10">
        <f>[8]a27!BJ16</f>
        <v>50.700572003436434</v>
      </c>
      <c r="AR16" s="46">
        <f>[8]a27!BK16</f>
        <v>0.43722034851592984</v>
      </c>
      <c r="AS16" s="46">
        <f t="shared" si="19"/>
        <v>14.697704177711357</v>
      </c>
      <c r="AT16" s="46">
        <f t="shared" si="8"/>
        <v>0.62552915537414699</v>
      </c>
      <c r="AU16" s="46">
        <f>[8]a27!BP16</f>
        <v>1.3053567395462531</v>
      </c>
      <c r="AV16" s="10">
        <f>[8]a27!BQ16</f>
        <v>35.32785034339615</v>
      </c>
      <c r="AW16" s="46">
        <f>[8]a27!BR16</f>
        <v>0.33421302842935513</v>
      </c>
      <c r="AX16" s="46">
        <f t="shared" si="20"/>
        <v>15.412383379529148</v>
      </c>
      <c r="AY16" s="46">
        <f t="shared" si="9"/>
        <v>0.60742899399359995</v>
      </c>
      <c r="AZ16" s="46">
        <f>[8]a27!BW16</f>
        <v>1.3266255521969887</v>
      </c>
      <c r="BA16" s="10">
        <f>[8]a27!BX16</f>
        <v>47.716995670478433</v>
      </c>
      <c r="BB16" s="46">
        <f>[8]a27!BY16</f>
        <v>0.45957493381048692</v>
      </c>
      <c r="BC16" s="46">
        <f t="shared" si="21"/>
        <v>29.092281647140894</v>
      </c>
      <c r="BD16" s="46">
        <f t="shared" si="10"/>
        <v>0.26096814039180877</v>
      </c>
    </row>
    <row r="17" spans="1:56" hidden="1">
      <c r="A17" s="2">
        <v>1980</v>
      </c>
      <c r="B17" s="46">
        <f>[8]a27!E17</f>
        <v>1.0407267685718269</v>
      </c>
      <c r="C17" s="10">
        <f>[8]a27!F17</f>
        <v>70.428123771428545</v>
      </c>
      <c r="D17" s="46">
        <f>[8]a27!G17</f>
        <v>0.33517440882863347</v>
      </c>
      <c r="E17" s="46">
        <f t="shared" si="11"/>
        <v>24.567088824326447</v>
      </c>
      <c r="F17" s="46">
        <f t="shared" si="0"/>
        <v>0.37557441431541599</v>
      </c>
      <c r="G17" s="46">
        <f>[8]a27!L17</f>
        <v>0.43662110335332871</v>
      </c>
      <c r="H17" s="10">
        <f>[8]a27!M17</f>
        <v>62.993869456544196</v>
      </c>
      <c r="I17" s="46">
        <f>[8]a27!N17</f>
        <v>0.43770637020019559</v>
      </c>
      <c r="J17" s="46">
        <f t="shared" si="12"/>
        <v>12.038874193570543</v>
      </c>
      <c r="K17" s="46">
        <f t="shared" si="1"/>
        <v>0.69286741241867722</v>
      </c>
      <c r="L17" s="46">
        <f>[8]a27!S17</f>
        <v>0.57734880014168066</v>
      </c>
      <c r="M17" s="10">
        <f>[8]a27!T17</f>
        <v>46.739876126834169</v>
      </c>
      <c r="N17" s="46">
        <f>[8]a27!U17</f>
        <v>0.53463332030606225</v>
      </c>
      <c r="O17" s="46">
        <f t="shared" si="13"/>
        <v>14.427193170262976</v>
      </c>
      <c r="P17" s="46">
        <f t="shared" si="2"/>
        <v>0.63238019130408074</v>
      </c>
      <c r="Q17" s="46">
        <f>[8]a27!Z17</f>
        <v>1.1515245009977557</v>
      </c>
      <c r="R17" s="10">
        <f>[8]a27!AA17</f>
        <v>65.261218696340364</v>
      </c>
      <c r="S17" s="46">
        <f>[8]a27!AC17</f>
        <v>0.2877654673788328</v>
      </c>
      <c r="T17" s="46">
        <f t="shared" si="14"/>
        <v>21.625543879396819</v>
      </c>
      <c r="U17" s="46">
        <f t="shared" si="3"/>
        <v>0.45007278795765465</v>
      </c>
      <c r="V17" s="46">
        <f>[8]a27!AG17</f>
        <v>0.80052643970997517</v>
      </c>
      <c r="W17" s="10">
        <f>[8]a27!AH17</f>
        <v>72.753209364970999</v>
      </c>
      <c r="X17" s="46">
        <f>[8]a27!AI17</f>
        <v>0.35355416567450942</v>
      </c>
      <c r="Y17" s="46">
        <f t="shared" si="15"/>
        <v>20.591301377372965</v>
      </c>
      <c r="Z17" s="46">
        <f t="shared" si="4"/>
        <v>0.47626629708124213</v>
      </c>
      <c r="AA17" s="46">
        <f>[8]a27!AN17</f>
        <v>0.89833653590728502</v>
      </c>
      <c r="AB17" s="10">
        <f>[8]a27!AO17</f>
        <v>49.107670049199207</v>
      </c>
      <c r="AC17" s="46">
        <f>[8]a27!AP17</f>
        <v>0.33240981645725642</v>
      </c>
      <c r="AD17" s="46">
        <f t="shared" si="16"/>
        <v>14.66433025468781</v>
      </c>
      <c r="AE17" s="46">
        <f t="shared" si="5"/>
        <v>0.62637439249744886</v>
      </c>
      <c r="AF17" s="46">
        <f>[8]a27!AU17</f>
        <v>1.0304038464982017</v>
      </c>
      <c r="AG17" s="10">
        <f>[8]a27!AV17</f>
        <v>47.109322608386485</v>
      </c>
      <c r="AH17" s="46">
        <f>[8]a27!AW17</f>
        <v>0.34952268187545688</v>
      </c>
      <c r="AI17" s="46">
        <f t="shared" si="17"/>
        <v>16.966399729094459</v>
      </c>
      <c r="AJ17" s="46">
        <f t="shared" si="6"/>
        <v>0.56807154992135445</v>
      </c>
      <c r="AK17" s="46">
        <f>[8]a27!BB17</f>
        <v>0.91313786100857308</v>
      </c>
      <c r="AL17" s="10">
        <f>[8]a27!BC17</f>
        <v>53.079641350890967</v>
      </c>
      <c r="AM17" s="46">
        <f>[8]a27!BD17</f>
        <v>0.38755664746442525</v>
      </c>
      <c r="AN17" s="46">
        <f t="shared" si="18"/>
        <v>18.784494837085798</v>
      </c>
      <c r="AO17" s="46">
        <f t="shared" si="7"/>
        <v>0.5220259748211904</v>
      </c>
      <c r="AP17" s="46">
        <f>[8]a27!BI17</f>
        <v>0.78612885062909577</v>
      </c>
      <c r="AQ17" s="10">
        <f>[8]a27!BJ17</f>
        <v>57.466077247422696</v>
      </c>
      <c r="AR17" s="46">
        <f>[8]a27!BK17</f>
        <v>0.37500929616653045</v>
      </c>
      <c r="AS17" s="46">
        <f t="shared" si="19"/>
        <v>16.941322932468573</v>
      </c>
      <c r="AT17" s="46">
        <f t="shared" si="8"/>
        <v>0.5687066517470144</v>
      </c>
      <c r="AU17" s="46">
        <f>[8]a27!BP17</f>
        <v>1.4427501329975798</v>
      </c>
      <c r="AV17" s="10">
        <f>[8]a27!BQ17</f>
        <v>29.183264587800949</v>
      </c>
      <c r="AW17" s="46">
        <f>[8]a27!BR17</f>
        <v>0.3258138890260629</v>
      </c>
      <c r="AX17" s="46">
        <f t="shared" si="20"/>
        <v>13.718119744091966</v>
      </c>
      <c r="AY17" s="46">
        <f t="shared" si="9"/>
        <v>0.65033837927388383</v>
      </c>
      <c r="AZ17" s="46">
        <f>[8]a27!BW17</f>
        <v>1.3743658406772499</v>
      </c>
      <c r="BA17" s="10">
        <f>[8]a27!BX17</f>
        <v>52.866388152042028</v>
      </c>
      <c r="BB17" s="46">
        <f>[8]a27!BY17</f>
        <v>0.40480971280535238</v>
      </c>
      <c r="BC17" s="46">
        <f t="shared" si="21"/>
        <v>29.412566147502702</v>
      </c>
      <c r="BD17" s="46">
        <f t="shared" si="10"/>
        <v>0.25285652733592107</v>
      </c>
    </row>
    <row r="18" spans="1:56">
      <c r="A18" s="2"/>
      <c r="B18" s="46"/>
      <c r="C18" s="10"/>
      <c r="D18" s="46"/>
      <c r="E18" s="46"/>
      <c r="F18" s="46"/>
      <c r="G18" s="46"/>
      <c r="H18" s="10"/>
      <c r="I18" s="46"/>
      <c r="J18" s="46"/>
      <c r="K18" s="46"/>
      <c r="L18" s="46"/>
      <c r="M18" s="10"/>
      <c r="N18" s="46"/>
      <c r="O18" s="46"/>
      <c r="P18" s="46"/>
      <c r="Q18" s="46"/>
      <c r="R18" s="10"/>
      <c r="S18" s="46"/>
      <c r="T18" s="46"/>
      <c r="U18" s="46"/>
      <c r="V18" s="46"/>
      <c r="W18" s="10"/>
      <c r="X18" s="46"/>
      <c r="Y18" s="46"/>
      <c r="Z18" s="46"/>
      <c r="AA18" s="46"/>
      <c r="AB18" s="10"/>
      <c r="AC18" s="46"/>
      <c r="AD18" s="46"/>
      <c r="AE18" s="46"/>
      <c r="AF18" s="46"/>
      <c r="AG18" s="10"/>
      <c r="AH18" s="46"/>
      <c r="AI18" s="46"/>
      <c r="AJ18" s="46"/>
      <c r="AK18" s="46"/>
      <c r="AL18" s="10"/>
      <c r="AM18" s="46"/>
      <c r="AN18" s="46"/>
      <c r="AO18" s="46"/>
      <c r="AP18" s="46"/>
      <c r="AQ18" s="10"/>
      <c r="AR18" s="46"/>
      <c r="AS18" s="46"/>
      <c r="AT18" s="46"/>
      <c r="AU18" s="46"/>
      <c r="AV18" s="10"/>
      <c r="AW18" s="46"/>
      <c r="AX18" s="46"/>
      <c r="AY18" s="46"/>
      <c r="AZ18" s="46"/>
      <c r="BA18" s="10"/>
      <c r="BB18" s="46"/>
      <c r="BC18" s="46"/>
      <c r="BD18" s="46"/>
    </row>
    <row r="19" spans="1:56">
      <c r="A19" s="2">
        <v>1981</v>
      </c>
      <c r="B19" s="684">
        <v>1.1155668651039621</v>
      </c>
      <c r="C19" s="683">
        <v>66.691349889075596</v>
      </c>
      <c r="D19" s="684">
        <v>0.30380600637744043</v>
      </c>
      <c r="E19" s="684">
        <v>22.602759812502203</v>
      </c>
      <c r="F19" s="684">
        <v>0.42532354935121364</v>
      </c>
      <c r="G19" s="684">
        <v>0.442177002910286</v>
      </c>
      <c r="H19" s="683">
        <v>56.934654519472467</v>
      </c>
      <c r="I19" s="684">
        <v>0.42891562697011887</v>
      </c>
      <c r="J19" s="684">
        <v>10.798034503407282</v>
      </c>
      <c r="K19" s="684">
        <v>0.72429325856365734</v>
      </c>
      <c r="L19" s="684">
        <v>0.65672794956891256</v>
      </c>
      <c r="M19" s="683">
        <v>48.630497618679897</v>
      </c>
      <c r="N19" s="684">
        <v>0.4061947830017657</v>
      </c>
      <c r="O19" s="684">
        <v>12.972645623066866</v>
      </c>
      <c r="P19" s="684">
        <v>0.6692184612200992</v>
      </c>
      <c r="Q19" s="684">
        <v>1.1271649212464421</v>
      </c>
      <c r="R19" s="683">
        <v>69.332232101718205</v>
      </c>
      <c r="S19" s="684">
        <v>0.25050093475766555</v>
      </c>
      <c r="T19" s="684">
        <v>19.57636246440758</v>
      </c>
      <c r="U19" s="684">
        <v>0.50197091821663387</v>
      </c>
      <c r="V19" s="684">
        <v>0.79920917832429683</v>
      </c>
      <c r="W19" s="683">
        <v>74.03588389699226</v>
      </c>
      <c r="X19" s="684">
        <v>0.34734787833632558</v>
      </c>
      <c r="Y19" s="684">
        <v>20.552628819835231</v>
      </c>
      <c r="Z19" s="684">
        <v>0.47724572887476718</v>
      </c>
      <c r="AA19" s="684">
        <v>1.2255675106158808</v>
      </c>
      <c r="AB19" s="683">
        <v>48.254559910041252</v>
      </c>
      <c r="AC19" s="684">
        <v>0.34237963556780454</v>
      </c>
      <c r="AD19" s="684">
        <v>20.248064887458966</v>
      </c>
      <c r="AE19" s="684">
        <v>0.48495919851636715</v>
      </c>
      <c r="AF19" s="684">
        <v>0.98321616447283533</v>
      </c>
      <c r="AG19" s="683">
        <v>40.520595327825994</v>
      </c>
      <c r="AH19" s="684">
        <v>0.32018643500295874</v>
      </c>
      <c r="AI19" s="684">
        <v>12.756389047062756</v>
      </c>
      <c r="AJ19" s="684">
        <v>0.6746954345464854</v>
      </c>
      <c r="AK19" s="684">
        <v>0.95434157790573948</v>
      </c>
      <c r="AL19" s="683">
        <v>51.830196581062168</v>
      </c>
      <c r="AM19" s="684">
        <v>0.37016067136183434</v>
      </c>
      <c r="AN19" s="684">
        <v>18.309520689586428</v>
      </c>
      <c r="AO19" s="684">
        <v>0.53405530028562198</v>
      </c>
      <c r="AP19" s="684">
        <v>0.81584048038309043</v>
      </c>
      <c r="AQ19" s="683">
        <v>64.231582491408957</v>
      </c>
      <c r="AR19" s="684">
        <v>0.31279824381713106</v>
      </c>
      <c r="AS19" s="684">
        <v>16.391480387378152</v>
      </c>
      <c r="AT19" s="684">
        <v>0.58263211477254218</v>
      </c>
      <c r="AU19" s="684">
        <v>1.5228109592460837</v>
      </c>
      <c r="AV19" s="683">
        <v>23.038678832205743</v>
      </c>
      <c r="AW19" s="684">
        <v>0.31741474962277078</v>
      </c>
      <c r="AX19" s="684">
        <v>11.136037068289456</v>
      </c>
      <c r="AY19" s="684">
        <v>0.71573291294866626</v>
      </c>
      <c r="AZ19" s="684">
        <v>1.3384270218208674</v>
      </c>
      <c r="BA19" s="683">
        <v>58.01578063360563</v>
      </c>
      <c r="BB19" s="684">
        <v>0.35004449180021774</v>
      </c>
      <c r="BC19" s="684">
        <v>27.180915755543058</v>
      </c>
      <c r="BD19" s="684">
        <v>0.30937591692594996</v>
      </c>
    </row>
    <row r="20" spans="1:56">
      <c r="A20" s="2">
        <v>1982</v>
      </c>
      <c r="B20" s="684">
        <v>1.1456009045621545</v>
      </c>
      <c r="C20" s="683">
        <v>61.563130931092402</v>
      </c>
      <c r="D20" s="684">
        <v>0.29848388759219102</v>
      </c>
      <c r="E20" s="684">
        <v>21.051107020761474</v>
      </c>
      <c r="F20" s="684">
        <v>0.46462113331007066</v>
      </c>
      <c r="G20" s="684">
        <v>0.48235171543564082</v>
      </c>
      <c r="H20" s="683">
        <v>62.316878433077378</v>
      </c>
      <c r="I20" s="684">
        <v>0.3687302034708444</v>
      </c>
      <c r="J20" s="684">
        <v>11.083533315211298</v>
      </c>
      <c r="K20" s="684">
        <v>0.7170626373919996</v>
      </c>
      <c r="L20" s="684">
        <v>0.71942446043165476</v>
      </c>
      <c r="M20" s="683">
        <v>39.559422719302255</v>
      </c>
      <c r="N20" s="684">
        <v>0.35804138679223063</v>
      </c>
      <c r="O20" s="684">
        <v>10.189863720229537</v>
      </c>
      <c r="P20" s="684">
        <v>0.73969595853652892</v>
      </c>
      <c r="Q20" s="684">
        <v>1.1147928762731414</v>
      </c>
      <c r="R20" s="683">
        <v>62.119360297381462</v>
      </c>
      <c r="S20" s="684">
        <v>0.20200472035552608</v>
      </c>
      <c r="T20" s="684">
        <v>13.98887139396968</v>
      </c>
      <c r="U20" s="684">
        <v>0.64348124876781732</v>
      </c>
      <c r="V20" s="684">
        <v>0.98865396219572732</v>
      </c>
      <c r="W20" s="683">
        <v>69.190099427029566</v>
      </c>
      <c r="X20" s="684">
        <v>0.30823672565435134</v>
      </c>
      <c r="Y20" s="684">
        <v>21.084953544517084</v>
      </c>
      <c r="Z20" s="684">
        <v>0.46376392697107433</v>
      </c>
      <c r="AA20" s="684">
        <v>1.1781084507832655</v>
      </c>
      <c r="AB20" s="683">
        <v>55.08236430190852</v>
      </c>
      <c r="AC20" s="684">
        <v>0.28752002304769086</v>
      </c>
      <c r="AD20" s="684">
        <v>18.658036531656499</v>
      </c>
      <c r="AE20" s="684">
        <v>0.52522869253056126</v>
      </c>
      <c r="AF20" s="684">
        <v>1.0578130819588154</v>
      </c>
      <c r="AG20" s="683">
        <v>45.041471126633901</v>
      </c>
      <c r="AH20" s="684">
        <v>0.31538986437397754</v>
      </c>
      <c r="AI20" s="684">
        <v>15.026894343771046</v>
      </c>
      <c r="AJ20" s="684">
        <v>0.61719199498748079</v>
      </c>
      <c r="AK20" s="684">
        <v>0.94176379918225606</v>
      </c>
      <c r="AL20" s="683">
        <v>46.782537514849729</v>
      </c>
      <c r="AM20" s="684">
        <v>0.32335480193933064</v>
      </c>
      <c r="AN20" s="684">
        <v>14.246398285132308</v>
      </c>
      <c r="AO20" s="684">
        <v>0.63695905212627779</v>
      </c>
      <c r="AP20" s="684">
        <v>0.75766905099342308</v>
      </c>
      <c r="AQ20" s="683">
        <v>49.329041006872856</v>
      </c>
      <c r="AR20" s="684">
        <v>0.37128612144867024</v>
      </c>
      <c r="AS20" s="684">
        <v>13.87685134577343</v>
      </c>
      <c r="AT20" s="684">
        <v>0.64631829921653838</v>
      </c>
      <c r="AU20" s="684">
        <v>1.553391945517602</v>
      </c>
      <c r="AV20" s="683">
        <v>30.738480941513117</v>
      </c>
      <c r="AW20" s="684">
        <v>0.24216427815500674</v>
      </c>
      <c r="AX20" s="684">
        <v>11.563080010929047</v>
      </c>
      <c r="AY20" s="684">
        <v>0.70491750631791472</v>
      </c>
      <c r="AZ20" s="684">
        <v>1.4032670652598564</v>
      </c>
      <c r="BA20" s="683">
        <v>64.076608712718823</v>
      </c>
      <c r="BB20" s="684">
        <v>0.37086073511747303</v>
      </c>
      <c r="BC20" s="684">
        <v>33.346534394904943</v>
      </c>
      <c r="BD20" s="684">
        <v>0.1532237690818444</v>
      </c>
    </row>
    <row r="21" spans="1:56">
      <c r="A21" s="2">
        <v>1983</v>
      </c>
      <c r="B21" s="684">
        <v>1.1027519666094547</v>
      </c>
      <c r="C21" s="683">
        <v>60.374714319327701</v>
      </c>
      <c r="D21" s="684">
        <v>0.29995937772234282</v>
      </c>
      <c r="E21" s="684">
        <v>19.970795921128534</v>
      </c>
      <c r="F21" s="684">
        <v>0.49198138836550986</v>
      </c>
      <c r="G21" s="684">
        <v>0.54079133516893074</v>
      </c>
      <c r="H21" s="683">
        <v>55.655635427068631</v>
      </c>
      <c r="I21" s="684">
        <v>0.37853696225012595</v>
      </c>
      <c r="J21" s="684">
        <v>11.393237813938445</v>
      </c>
      <c r="K21" s="684">
        <v>0.70921897635781161</v>
      </c>
      <c r="L21" s="684">
        <v>0.73889509408024745</v>
      </c>
      <c r="M21" s="683">
        <v>34.403448759369482</v>
      </c>
      <c r="N21" s="684">
        <v>0.32873979347851667</v>
      </c>
      <c r="O21" s="684">
        <v>8.3567429078866873</v>
      </c>
      <c r="P21" s="684">
        <v>0.786122078744102</v>
      </c>
      <c r="Q21" s="684">
        <v>1.1285783529990523</v>
      </c>
      <c r="R21" s="683">
        <v>70.458558697571391</v>
      </c>
      <c r="S21" s="684">
        <v>0.23219535887340964</v>
      </c>
      <c r="T21" s="684">
        <v>18.463711505767925</v>
      </c>
      <c r="U21" s="684">
        <v>0.53015022140661616</v>
      </c>
      <c r="V21" s="684">
        <v>1.1386823650819711</v>
      </c>
      <c r="W21" s="683">
        <v>70.129864042456916</v>
      </c>
      <c r="X21" s="684">
        <v>0.31688024600302372</v>
      </c>
      <c r="Y21" s="684">
        <v>25.304674673879866</v>
      </c>
      <c r="Z21" s="684">
        <v>0.35689411289490747</v>
      </c>
      <c r="AA21" s="684">
        <v>1.0949235334787135</v>
      </c>
      <c r="AB21" s="683">
        <v>54.495272515680448</v>
      </c>
      <c r="AC21" s="684">
        <v>0.26725175637132398</v>
      </c>
      <c r="AD21" s="684">
        <v>15.946419581505326</v>
      </c>
      <c r="AE21" s="684">
        <v>0.59390384674678298</v>
      </c>
      <c r="AF21" s="684">
        <v>1.017856043931078</v>
      </c>
      <c r="AG21" s="683">
        <v>46.688007549932024</v>
      </c>
      <c r="AH21" s="684">
        <v>0.3298891871071043</v>
      </c>
      <c r="AI21" s="684">
        <v>15.676885305251885</v>
      </c>
      <c r="AJ21" s="684">
        <v>0.60073014571472194</v>
      </c>
      <c r="AK21" s="684">
        <v>1.0265376695030501</v>
      </c>
      <c r="AL21" s="683">
        <v>43.092396523410173</v>
      </c>
      <c r="AM21" s="684">
        <v>0.31670094009589089</v>
      </c>
      <c r="AN21" s="684">
        <v>14.00957274680227</v>
      </c>
      <c r="AO21" s="684">
        <v>0.64295696063110863</v>
      </c>
      <c r="AP21" s="684">
        <v>0.8236587746428411</v>
      </c>
      <c r="AQ21" s="683">
        <v>54.556931422680407</v>
      </c>
      <c r="AR21" s="684">
        <v>0.36524240847175576</v>
      </c>
      <c r="AS21" s="684">
        <v>16.412640717281768</v>
      </c>
      <c r="AT21" s="684">
        <v>0.58209620245671312</v>
      </c>
      <c r="AU21" s="684">
        <v>1.5142215452390544</v>
      </c>
      <c r="AV21" s="683">
        <v>35.011623018141336</v>
      </c>
      <c r="AW21" s="684">
        <v>0.2454948459876542</v>
      </c>
      <c r="AX21" s="684">
        <v>13.014996142590389</v>
      </c>
      <c r="AY21" s="684">
        <v>0.66814588035308076</v>
      </c>
      <c r="AZ21" s="684">
        <v>1.2761426309179271</v>
      </c>
      <c r="BA21" s="683">
        <v>67.300054691715303</v>
      </c>
      <c r="BB21" s="684">
        <v>0.32290957336237736</v>
      </c>
      <c r="BC21" s="684">
        <v>27.732917196488941</v>
      </c>
      <c r="BD21" s="684">
        <v>0.29539577711216775</v>
      </c>
    </row>
    <row r="22" spans="1:56">
      <c r="A22" s="2">
        <v>1984</v>
      </c>
      <c r="B22" s="684">
        <v>1.0372187285046714</v>
      </c>
      <c r="C22" s="683">
        <v>59.186297707563</v>
      </c>
      <c r="D22" s="684">
        <v>0.30143486785249468</v>
      </c>
      <c r="E22" s="684">
        <v>18.504826234330249</v>
      </c>
      <c r="F22" s="684">
        <v>0.52910893852024898</v>
      </c>
      <c r="G22" s="684">
        <v>0.44548474781032921</v>
      </c>
      <c r="H22" s="683">
        <v>48.994392421059878</v>
      </c>
      <c r="I22" s="684">
        <v>0.38834372102940751</v>
      </c>
      <c r="J22" s="684">
        <v>8.4760889087873323</v>
      </c>
      <c r="K22" s="684">
        <v>0.78309948920892292</v>
      </c>
      <c r="L22" s="684">
        <v>0.66080414781680474</v>
      </c>
      <c r="M22" s="683">
        <v>29.247474799436713</v>
      </c>
      <c r="N22" s="684">
        <v>0.29943820016480277</v>
      </c>
      <c r="O22" s="684">
        <v>5.7871979755509493</v>
      </c>
      <c r="P22" s="684">
        <v>0.85119907809086803</v>
      </c>
      <c r="Q22" s="684">
        <v>1.0791692684624221</v>
      </c>
      <c r="R22" s="683">
        <v>78.797757097761334</v>
      </c>
      <c r="S22" s="684">
        <v>0.26311331061951287</v>
      </c>
      <c r="T22" s="684">
        <v>22.37413449860377</v>
      </c>
      <c r="U22" s="684">
        <v>0.43111377672415868</v>
      </c>
      <c r="V22" s="684">
        <v>0.82618072341472604</v>
      </c>
      <c r="W22" s="683">
        <v>71.069628657884266</v>
      </c>
      <c r="X22" s="684">
        <v>0.32552376635169611</v>
      </c>
      <c r="Y22" s="684">
        <v>19.113569747855333</v>
      </c>
      <c r="Z22" s="684">
        <v>0.5136917334215978</v>
      </c>
      <c r="AA22" s="684">
        <v>1.0556832987705944</v>
      </c>
      <c r="AB22" s="683">
        <v>53.90818072945239</v>
      </c>
      <c r="AC22" s="684">
        <v>0.24698348969495709</v>
      </c>
      <c r="AD22" s="684">
        <v>14.055822016708168</v>
      </c>
      <c r="AE22" s="684">
        <v>0.64178563894314</v>
      </c>
      <c r="AF22" s="684">
        <v>0.94028581020663815</v>
      </c>
      <c r="AG22" s="683">
        <v>48.334543973230147</v>
      </c>
      <c r="AH22" s="684">
        <v>0.34438850984023112</v>
      </c>
      <c r="AI22" s="684">
        <v>15.65186743551876</v>
      </c>
      <c r="AJ22" s="684">
        <v>0.60136375514174223</v>
      </c>
      <c r="AK22" s="684">
        <v>1.0043138182580482</v>
      </c>
      <c r="AL22" s="683">
        <v>39.402255531970631</v>
      </c>
      <c r="AM22" s="684">
        <v>0.31004707825245115</v>
      </c>
      <c r="AN22" s="684">
        <v>12.269254198820677</v>
      </c>
      <c r="AO22" s="684">
        <v>0.68703274525154479</v>
      </c>
      <c r="AP22" s="684">
        <v>0.80855736771464592</v>
      </c>
      <c r="AQ22" s="683">
        <v>59.784821838487964</v>
      </c>
      <c r="AR22" s="684">
        <v>0.35919869549484129</v>
      </c>
      <c r="AS22" s="684">
        <v>17.363470317393514</v>
      </c>
      <c r="AT22" s="684">
        <v>0.55801523135296549</v>
      </c>
      <c r="AU22" s="684">
        <v>1.4601767618758108</v>
      </c>
      <c r="AV22" s="683">
        <v>39.284765094769554</v>
      </c>
      <c r="AW22" s="684">
        <v>0.24882541382030168</v>
      </c>
      <c r="AX22" s="684">
        <v>14.27329783585601</v>
      </c>
      <c r="AY22" s="684">
        <v>0.63627778673066426</v>
      </c>
      <c r="AZ22" s="684">
        <v>1.2120272261122553</v>
      </c>
      <c r="BA22" s="683">
        <v>70.523500670711812</v>
      </c>
      <c r="BB22" s="684">
        <v>0.27495841160728168</v>
      </c>
      <c r="BC22" s="684">
        <v>23.502455969541678</v>
      </c>
      <c r="BD22" s="684">
        <v>0.4025375978439466</v>
      </c>
    </row>
    <row r="23" spans="1:56">
      <c r="A23" s="2">
        <v>1985</v>
      </c>
      <c r="B23" s="684">
        <v>0.97664881780124335</v>
      </c>
      <c r="C23" s="683">
        <v>60.096425304201652</v>
      </c>
      <c r="D23" s="684">
        <v>0.30894174746203923</v>
      </c>
      <c r="E23" s="684">
        <v>18.132749720580978</v>
      </c>
      <c r="F23" s="684">
        <v>0.538532250304954</v>
      </c>
      <c r="G23" s="684">
        <v>0.42127870477449197</v>
      </c>
      <c r="H23" s="683">
        <v>61.678821657312078</v>
      </c>
      <c r="I23" s="684">
        <v>0.3800683480054492</v>
      </c>
      <c r="J23" s="684">
        <v>9.8756861107309053</v>
      </c>
      <c r="K23" s="684">
        <v>0.74765290680033136</v>
      </c>
      <c r="L23" s="684">
        <v>0.71378305016587917</v>
      </c>
      <c r="M23" s="683">
        <v>37.127507012220072</v>
      </c>
      <c r="N23" s="684">
        <v>0.24758383651559737</v>
      </c>
      <c r="O23" s="684">
        <v>6.5612155873178697</v>
      </c>
      <c r="P23" s="684">
        <v>0.83159609587348615</v>
      </c>
      <c r="Q23" s="684">
        <v>1.1010004169385403</v>
      </c>
      <c r="R23" s="683">
        <v>73.801454795561298</v>
      </c>
      <c r="S23" s="684">
        <v>0.26273907087194526</v>
      </c>
      <c r="T23" s="684">
        <v>21.348976838501457</v>
      </c>
      <c r="U23" s="684">
        <v>0.45707720065080965</v>
      </c>
      <c r="V23" s="684">
        <v>0.78082164253870379</v>
      </c>
      <c r="W23" s="683">
        <v>63.686648647408916</v>
      </c>
      <c r="X23" s="684">
        <v>0.34408935551355946</v>
      </c>
      <c r="Y23" s="684">
        <v>17.110845743259755</v>
      </c>
      <c r="Z23" s="684">
        <v>0.5644132705695577</v>
      </c>
      <c r="AA23" s="684">
        <v>0.98463492577412981</v>
      </c>
      <c r="AB23" s="683">
        <v>55.820979362424488</v>
      </c>
      <c r="AC23" s="684">
        <v>0.28642744013146643</v>
      </c>
      <c r="AD23" s="684">
        <v>15.742993273290375</v>
      </c>
      <c r="AE23" s="684">
        <v>0.59905587719397413</v>
      </c>
      <c r="AF23" s="684">
        <v>0.89362322194650523</v>
      </c>
      <c r="AG23" s="683">
        <v>52.416549919481326</v>
      </c>
      <c r="AH23" s="684">
        <v>0.29168761499530088</v>
      </c>
      <c r="AI23" s="684">
        <v>13.662836381440801</v>
      </c>
      <c r="AJ23" s="684">
        <v>0.65173850087123864</v>
      </c>
      <c r="AK23" s="684">
        <v>0.88106062481787417</v>
      </c>
      <c r="AL23" s="683">
        <v>46.856868475716261</v>
      </c>
      <c r="AM23" s="684">
        <v>0.33925893996988055</v>
      </c>
      <c r="AN23" s="684">
        <v>14.005878486562223</v>
      </c>
      <c r="AO23" s="684">
        <v>0.64305052247865713</v>
      </c>
      <c r="AP23" s="684">
        <v>0.77688925800423725</v>
      </c>
      <c r="AQ23" s="683">
        <v>50.939518419243974</v>
      </c>
      <c r="AR23" s="684">
        <v>0.34513107689328615</v>
      </c>
      <c r="AS23" s="684">
        <v>13.658343095172203</v>
      </c>
      <c r="AT23" s="684">
        <v>0.6518522990710236</v>
      </c>
      <c r="AU23" s="684">
        <v>1.3914722091982805</v>
      </c>
      <c r="AV23" s="683">
        <v>32.964662064969687</v>
      </c>
      <c r="AW23" s="684">
        <v>0.24361867458847725</v>
      </c>
      <c r="AX23" s="684">
        <v>11.174645148277715</v>
      </c>
      <c r="AY23" s="684">
        <v>0.71475511413123438</v>
      </c>
      <c r="AZ23" s="684">
        <v>1.1138440925814372</v>
      </c>
      <c r="BA23" s="683">
        <v>66.666610074912512</v>
      </c>
      <c r="BB23" s="684">
        <v>0.3541794327991285</v>
      </c>
      <c r="BC23" s="684">
        <v>26.300022270325357</v>
      </c>
      <c r="BD23" s="684">
        <v>0.33168566681227446</v>
      </c>
    </row>
    <row r="24" spans="1:56">
      <c r="A24" s="2">
        <v>1986</v>
      </c>
      <c r="B24" s="684">
        <v>1.221016281178668</v>
      </c>
      <c r="C24" s="683">
        <v>57.749346252100821</v>
      </c>
      <c r="D24" s="684">
        <v>0.2780341121041216</v>
      </c>
      <c r="E24" s="684">
        <v>19.604989319458412</v>
      </c>
      <c r="F24" s="684">
        <v>0.50124590663812463</v>
      </c>
      <c r="G24" s="684">
        <v>0.51471276854782821</v>
      </c>
      <c r="H24" s="683">
        <v>58.573379571984432</v>
      </c>
      <c r="I24" s="684">
        <v>0.41492700708976221</v>
      </c>
      <c r="J24" s="684">
        <v>12.509412916221029</v>
      </c>
      <c r="K24" s="684">
        <v>0.68095041973985337</v>
      </c>
      <c r="L24" s="684">
        <v>0.66038361983141969</v>
      </c>
      <c r="M24" s="683">
        <v>41.366993654658629</v>
      </c>
      <c r="N24" s="684">
        <v>0.45029344282519118</v>
      </c>
      <c r="O24" s="684">
        <v>12.301154551087576</v>
      </c>
      <c r="P24" s="684">
        <v>0.68622482818517627</v>
      </c>
      <c r="Q24" s="684">
        <v>1.2198571612254678</v>
      </c>
      <c r="R24" s="683">
        <v>76.326024362239096</v>
      </c>
      <c r="S24" s="684">
        <v>0.24430970871121288</v>
      </c>
      <c r="T24" s="684">
        <v>22.746906768815091</v>
      </c>
      <c r="U24" s="684">
        <v>0.42167284402056776</v>
      </c>
      <c r="V24" s="684">
        <v>0.98640484245477311</v>
      </c>
      <c r="W24" s="683">
        <v>62.824024686453441</v>
      </c>
      <c r="X24" s="684">
        <v>0.30106264815899714</v>
      </c>
      <c r="Y24" s="684">
        <v>18.65682887567533</v>
      </c>
      <c r="Z24" s="684">
        <v>0.52525927795699556</v>
      </c>
      <c r="AA24" s="684">
        <v>1.175854380947525</v>
      </c>
      <c r="AB24" s="683">
        <v>51.280153264793327</v>
      </c>
      <c r="AC24" s="684">
        <v>0.27968415494539361</v>
      </c>
      <c r="AD24" s="684">
        <v>16.864393181327639</v>
      </c>
      <c r="AE24" s="684">
        <v>0.57065499571319467</v>
      </c>
      <c r="AF24" s="684">
        <v>1.1629202811372128</v>
      </c>
      <c r="AG24" s="683">
        <v>44.215363168880046</v>
      </c>
      <c r="AH24" s="684">
        <v>0.27522845033241672</v>
      </c>
      <c r="AI24" s="684">
        <v>14.151955880429869</v>
      </c>
      <c r="AJ24" s="684">
        <v>0.63935092635730795</v>
      </c>
      <c r="AK24" s="684">
        <v>1.1258544431041415</v>
      </c>
      <c r="AL24" s="683">
        <v>50.835530959992987</v>
      </c>
      <c r="AM24" s="684">
        <v>0.35343800270768672</v>
      </c>
      <c r="AN24" s="684">
        <v>20.228461552648628</v>
      </c>
      <c r="AO24" s="684">
        <v>0.48545567794764416</v>
      </c>
      <c r="AP24" s="684">
        <v>0.99653083456944969</v>
      </c>
      <c r="AQ24" s="683">
        <v>58.228991364261155</v>
      </c>
      <c r="AR24" s="684">
        <v>0.33347681808114732</v>
      </c>
      <c r="AS24" s="684">
        <v>19.350654440815653</v>
      </c>
      <c r="AT24" s="684">
        <v>0.50768726149555821</v>
      </c>
      <c r="AU24" s="684">
        <v>1.6235754849616237</v>
      </c>
      <c r="AV24" s="683">
        <v>27.314042646482115</v>
      </c>
      <c r="AW24" s="684">
        <v>0.24185158292181058</v>
      </c>
      <c r="AX24" s="684">
        <v>10.725249464112235</v>
      </c>
      <c r="AY24" s="684">
        <v>0.726136632421437</v>
      </c>
      <c r="AZ24" s="684">
        <v>1.4971680481362251</v>
      </c>
      <c r="BA24" s="683">
        <v>70.927056116919516</v>
      </c>
      <c r="BB24" s="684">
        <v>0.31877463236346648</v>
      </c>
      <c r="BC24" s="684">
        <v>33.850589644441946</v>
      </c>
      <c r="BD24" s="684">
        <v>0.14045792765519305</v>
      </c>
    </row>
    <row r="25" spans="1:56">
      <c r="A25" s="2">
        <v>1987</v>
      </c>
      <c r="B25" s="684">
        <v>1.4748162477838471</v>
      </c>
      <c r="C25" s="683">
        <v>55.822326090756285</v>
      </c>
      <c r="D25" s="684">
        <v>0.27617033509761407</v>
      </c>
      <c r="E25" s="684">
        <v>22.73646118043829</v>
      </c>
      <c r="F25" s="684">
        <v>0.42193739185525214</v>
      </c>
      <c r="G25" s="684">
        <v>0.82968751160596899</v>
      </c>
      <c r="H25" s="683">
        <v>66.182410010846738</v>
      </c>
      <c r="I25" s="684">
        <v>0.38033339554002432</v>
      </c>
      <c r="J25" s="684">
        <v>20.884380236953245</v>
      </c>
      <c r="K25" s="684">
        <v>0.46884370154168115</v>
      </c>
      <c r="L25" s="684">
        <v>0.90334236675700086</v>
      </c>
      <c r="M25" s="683">
        <v>45.982650464725403</v>
      </c>
      <c r="N25" s="684">
        <v>0.49271850340200102</v>
      </c>
      <c r="O25" s="684">
        <v>20.466578789012491</v>
      </c>
      <c r="P25" s="684">
        <v>0.47942505554431503</v>
      </c>
      <c r="Q25" s="684">
        <v>1.2739294652174316</v>
      </c>
      <c r="R25" s="683">
        <v>72.328467039199509</v>
      </c>
      <c r="S25" s="684">
        <v>0.22246453196843405</v>
      </c>
      <c r="T25" s="684">
        <v>20.498185714237565</v>
      </c>
      <c r="U25" s="684">
        <v>0.47862456989164509</v>
      </c>
      <c r="V25" s="684">
        <v>1.124273026464091</v>
      </c>
      <c r="W25" s="683">
        <v>75.165403261011022</v>
      </c>
      <c r="X25" s="684">
        <v>0.31153964252102434</v>
      </c>
      <c r="Y25" s="684">
        <v>26.32710467824862</v>
      </c>
      <c r="Z25" s="684">
        <v>0.33099977032509803</v>
      </c>
      <c r="AA25" s="684">
        <v>1.3416010148521389</v>
      </c>
      <c r="AB25" s="683">
        <v>54.555199727054763</v>
      </c>
      <c r="AC25" s="684">
        <v>0.2770039124790305</v>
      </c>
      <c r="AD25" s="684">
        <v>20.274279594910702</v>
      </c>
      <c r="AE25" s="684">
        <v>0.48429527764919572</v>
      </c>
      <c r="AF25" s="684">
        <v>1.6139799271180415</v>
      </c>
      <c r="AG25" s="683">
        <v>38.843596173585681</v>
      </c>
      <c r="AH25" s="684">
        <v>0.24564229073062066</v>
      </c>
      <c r="AI25" s="684">
        <v>15.399999202080176</v>
      </c>
      <c r="AJ25" s="684">
        <v>0.60774263906655246</v>
      </c>
      <c r="AK25" s="684">
        <v>1.4708721938416836</v>
      </c>
      <c r="AL25" s="683">
        <v>47.946403875786146</v>
      </c>
      <c r="AM25" s="684">
        <v>0.29647531242892716</v>
      </c>
      <c r="AN25" s="684">
        <v>20.908338021413421</v>
      </c>
      <c r="AO25" s="684">
        <v>0.4682369401248852</v>
      </c>
      <c r="AP25" s="684">
        <v>1.1870433102830427</v>
      </c>
      <c r="AQ25" s="683">
        <v>60.928121505154628</v>
      </c>
      <c r="AR25" s="684">
        <v>0.36030224035581371</v>
      </c>
      <c r="AS25" s="684">
        <v>26.058614182611105</v>
      </c>
      <c r="AT25" s="684">
        <v>0.33779963421902603</v>
      </c>
      <c r="AU25" s="684">
        <v>1.6115265982169267</v>
      </c>
      <c r="AV25" s="683">
        <v>34.693173955238358</v>
      </c>
      <c r="AW25" s="684">
        <v>0.24029537873799717</v>
      </c>
      <c r="AX25" s="684">
        <v>13.434667747074915</v>
      </c>
      <c r="AY25" s="684">
        <v>0.6575171622531526</v>
      </c>
      <c r="AZ25" s="684">
        <v>1.5840760314891018</v>
      </c>
      <c r="BA25" s="683">
        <v>71.805382676312746</v>
      </c>
      <c r="BB25" s="684">
        <v>0.31743001829780598</v>
      </c>
      <c r="BC25" s="684">
        <v>36.106136355643585</v>
      </c>
      <c r="BD25" s="684">
        <v>8.3333333333333329E-2</v>
      </c>
    </row>
    <row r="26" spans="1:56">
      <c r="A26" s="2">
        <v>1988</v>
      </c>
      <c r="B26" s="684">
        <v>1.2600833109316343</v>
      </c>
      <c r="C26" s="683">
        <v>55.810074373109231</v>
      </c>
      <c r="D26" s="684">
        <v>0.26958498967462052</v>
      </c>
      <c r="E26" s="684">
        <v>18.958656947235113</v>
      </c>
      <c r="F26" s="684">
        <v>0.51761509747641654</v>
      </c>
      <c r="G26" s="684">
        <v>0.66638961726728763</v>
      </c>
      <c r="H26" s="683">
        <v>65.372345215385153</v>
      </c>
      <c r="I26" s="684">
        <v>0.39371338774839343</v>
      </c>
      <c r="J26" s="684">
        <v>17.15151431143412</v>
      </c>
      <c r="K26" s="684">
        <v>0.56338328726348197</v>
      </c>
      <c r="L26" s="684">
        <v>0.87258336577137663</v>
      </c>
      <c r="M26" s="683">
        <v>44.252267693635595</v>
      </c>
      <c r="N26" s="684">
        <v>0.40311971446733358</v>
      </c>
      <c r="O26" s="684">
        <v>15.565981082536055</v>
      </c>
      <c r="P26" s="684">
        <v>0.60353893646144419</v>
      </c>
      <c r="Q26" s="684">
        <v>1.1384359059215556</v>
      </c>
      <c r="R26" s="683">
        <v>65.699377783972025</v>
      </c>
      <c r="S26" s="684">
        <v>0.18748630937836025</v>
      </c>
      <c r="T26" s="684">
        <v>14.022950516250939</v>
      </c>
      <c r="U26" s="684">
        <v>0.64261815157479818</v>
      </c>
      <c r="V26" s="684">
        <v>0.9323684555174423</v>
      </c>
      <c r="W26" s="683">
        <v>67.504266438060455</v>
      </c>
      <c r="X26" s="684">
        <v>0.31567716741314694</v>
      </c>
      <c r="Y26" s="684">
        <v>19.868357458822878</v>
      </c>
      <c r="Z26" s="684">
        <v>0.49457577294336158</v>
      </c>
      <c r="AA26" s="684">
        <v>1.2178287980586586</v>
      </c>
      <c r="AB26" s="683">
        <v>49.951035926345064</v>
      </c>
      <c r="AC26" s="684">
        <v>0.26787913796774976</v>
      </c>
      <c r="AD26" s="684">
        <v>16.295572835595429</v>
      </c>
      <c r="AE26" s="684">
        <v>0.58506109572016884</v>
      </c>
      <c r="AF26" s="684">
        <v>1.3158794411032284</v>
      </c>
      <c r="AG26" s="683">
        <v>42.308086421415865</v>
      </c>
      <c r="AH26" s="684">
        <v>0.27681561538515098</v>
      </c>
      <c r="AI26" s="684">
        <v>15.410973365503549</v>
      </c>
      <c r="AJ26" s="684">
        <v>0.60746470439533995</v>
      </c>
      <c r="AK26" s="684">
        <v>1.1580633238881362</v>
      </c>
      <c r="AL26" s="683">
        <v>52.743684968553438</v>
      </c>
      <c r="AM26" s="684">
        <v>0.27035274371023765</v>
      </c>
      <c r="AN26" s="684">
        <v>16.513288096536446</v>
      </c>
      <c r="AO26" s="684">
        <v>0.57954717933920075</v>
      </c>
      <c r="AP26" s="684">
        <v>1.0025956845491628</v>
      </c>
      <c r="AQ26" s="683">
        <v>64.224081931271471</v>
      </c>
      <c r="AR26" s="684">
        <v>0.34930804575958369</v>
      </c>
      <c r="AS26" s="684">
        <v>22.492220107571459</v>
      </c>
      <c r="AT26" s="684">
        <v>0.42812310822058536</v>
      </c>
      <c r="AU26" s="684">
        <v>1.4626439497408508</v>
      </c>
      <c r="AV26" s="683">
        <v>35.966229627634185</v>
      </c>
      <c r="AW26" s="684">
        <v>0.21864668782578869</v>
      </c>
      <c r="AX26" s="684">
        <v>11.502081341616135</v>
      </c>
      <c r="AY26" s="684">
        <v>0.70646237533852452</v>
      </c>
      <c r="AZ26" s="684">
        <v>1.3660543120850102</v>
      </c>
      <c r="BA26" s="683">
        <v>69.284098185764321</v>
      </c>
      <c r="BB26" s="684">
        <v>0.32330385868990191</v>
      </c>
      <c r="BC26" s="684">
        <v>30.599365631920747</v>
      </c>
      <c r="BD26" s="684">
        <v>0.22279931825570864</v>
      </c>
    </row>
    <row r="27" spans="1:56">
      <c r="A27" s="2">
        <v>1989</v>
      </c>
      <c r="B27" s="684">
        <v>1.1986588599984418</v>
      </c>
      <c r="C27" s="683">
        <v>56.611686756302511</v>
      </c>
      <c r="D27" s="684">
        <v>0.25069871600867694</v>
      </c>
      <c r="E27" s="684">
        <v>17.011938518200058</v>
      </c>
      <c r="F27" s="684">
        <v>0.56691822206489872</v>
      </c>
      <c r="G27" s="684">
        <v>0.73048939154958237</v>
      </c>
      <c r="H27" s="683">
        <v>46.778045842946192</v>
      </c>
      <c r="I27" s="684">
        <v>0.42796341916071912</v>
      </c>
      <c r="J27" s="684">
        <v>14.623880754190052</v>
      </c>
      <c r="K27" s="684">
        <v>0.62739882763549359</v>
      </c>
      <c r="L27" s="684">
        <v>0.79520312950909033</v>
      </c>
      <c r="M27" s="683">
        <v>53.396622495797956</v>
      </c>
      <c r="N27" s="684">
        <v>0.4362107174573277</v>
      </c>
      <c r="O27" s="684">
        <v>18.522013640796317</v>
      </c>
      <c r="P27" s="684">
        <v>0.52867364555249841</v>
      </c>
      <c r="Q27" s="684">
        <v>1.1387294177023533</v>
      </c>
      <c r="R27" s="683">
        <v>67.91208117651199</v>
      </c>
      <c r="S27" s="684">
        <v>0.19083918392078911</v>
      </c>
      <c r="T27" s="684">
        <v>14.758259100945503</v>
      </c>
      <c r="U27" s="684">
        <v>0.6239955247883725</v>
      </c>
      <c r="V27" s="684">
        <v>0.90737260879254511</v>
      </c>
      <c r="W27" s="683">
        <v>63.621332472819596</v>
      </c>
      <c r="X27" s="684">
        <v>0.3106073675989795</v>
      </c>
      <c r="Y27" s="684">
        <v>17.930821141704048</v>
      </c>
      <c r="Z27" s="684">
        <v>0.54364634884835727</v>
      </c>
      <c r="AA27" s="684">
        <v>1.1676494731474185</v>
      </c>
      <c r="AB27" s="683">
        <v>47.290852397046123</v>
      </c>
      <c r="AC27" s="684">
        <v>0.29232568071827181</v>
      </c>
      <c r="AD27" s="684">
        <v>16.141972363556921</v>
      </c>
      <c r="AE27" s="684">
        <v>0.58895122338157802</v>
      </c>
      <c r="AF27" s="684">
        <v>1.234224430648027</v>
      </c>
      <c r="AG27" s="683">
        <v>35.939826702080929</v>
      </c>
      <c r="AH27" s="684">
        <v>0.26322387045842188</v>
      </c>
      <c r="AI27" s="684">
        <v>11.676034998918068</v>
      </c>
      <c r="AJ27" s="684">
        <v>0.70205677732770655</v>
      </c>
      <c r="AK27" s="684">
        <v>1.0861902399540457</v>
      </c>
      <c r="AL27" s="683">
        <v>55.9985986233403</v>
      </c>
      <c r="AM27" s="684">
        <v>0.25458062674800996</v>
      </c>
      <c r="AN27" s="684">
        <v>15.484900042217111</v>
      </c>
      <c r="AO27" s="684">
        <v>0.6055924171153414</v>
      </c>
      <c r="AP27" s="684">
        <v>0.99413018660146901</v>
      </c>
      <c r="AQ27" s="683">
        <v>59.86625649140894</v>
      </c>
      <c r="AR27" s="684">
        <v>0.40815689600919791</v>
      </c>
      <c r="AS27" s="684">
        <v>24.291397559552223</v>
      </c>
      <c r="AT27" s="684">
        <v>0.38255664686245017</v>
      </c>
      <c r="AU27" s="684">
        <v>1.3546449669109424</v>
      </c>
      <c r="AV27" s="683">
        <v>32.412930549009893</v>
      </c>
      <c r="AW27" s="684">
        <v>0.24505125507544578</v>
      </c>
      <c r="AX27" s="684">
        <v>10.759713750138125</v>
      </c>
      <c r="AY27" s="684">
        <v>0.72526378046583606</v>
      </c>
      <c r="AZ27" s="684">
        <v>1.3162192719052392</v>
      </c>
      <c r="BA27" s="683">
        <v>58.393098728821499</v>
      </c>
      <c r="BB27" s="684">
        <v>0.28632191694414183</v>
      </c>
      <c r="BC27" s="684">
        <v>22.006164793170413</v>
      </c>
      <c r="BD27" s="684">
        <v>0.44043307835565371</v>
      </c>
    </row>
    <row r="28" spans="1:56">
      <c r="A28" s="2">
        <v>1990</v>
      </c>
      <c r="B28" s="684">
        <v>1.1438592987314304</v>
      </c>
      <c r="C28" s="683">
        <v>54.562149418487394</v>
      </c>
      <c r="D28" s="684">
        <v>0.27397521995661617</v>
      </c>
      <c r="E28" s="684">
        <v>17.099183062340188</v>
      </c>
      <c r="F28" s="684">
        <v>0.56470864282362221</v>
      </c>
      <c r="G28" s="684">
        <v>0.73006600055329807</v>
      </c>
      <c r="H28" s="683">
        <v>73.263794227127192</v>
      </c>
      <c r="I28" s="684">
        <v>0.38458397266858185</v>
      </c>
      <c r="J28" s="684">
        <v>20.570398793686913</v>
      </c>
      <c r="K28" s="684">
        <v>0.47679568164570912</v>
      </c>
      <c r="L28" s="684">
        <v>0.89362378756559069</v>
      </c>
      <c r="M28" s="683">
        <v>44.255198889746978</v>
      </c>
      <c r="N28" s="684">
        <v>0.34993191402001167</v>
      </c>
      <c r="O28" s="684">
        <v>13.83893182777533</v>
      </c>
      <c r="P28" s="684">
        <v>0.64727865932425166</v>
      </c>
      <c r="Q28" s="684">
        <v>1.0787236367122788</v>
      </c>
      <c r="R28" s="683">
        <v>73.901973645076779</v>
      </c>
      <c r="S28" s="684">
        <v>0.21161241444263912</v>
      </c>
      <c r="T28" s="684">
        <v>16.869700578021718</v>
      </c>
      <c r="U28" s="684">
        <v>0.57052057912960163</v>
      </c>
      <c r="V28" s="684">
        <v>0.92446988535267516</v>
      </c>
      <c r="W28" s="683">
        <v>71.866936444250427</v>
      </c>
      <c r="X28" s="684">
        <v>0.2937376309143595</v>
      </c>
      <c r="Y28" s="684">
        <v>19.515581145548033</v>
      </c>
      <c r="Z28" s="684">
        <v>0.50351028256007913</v>
      </c>
      <c r="AA28" s="684">
        <v>1.1911951398028133</v>
      </c>
      <c r="AB28" s="683">
        <v>54.123528919919437</v>
      </c>
      <c r="AC28" s="684">
        <v>0.26472089047553837</v>
      </c>
      <c r="AD28" s="684">
        <v>17.067001757342538</v>
      </c>
      <c r="AE28" s="684">
        <v>0.56552367537586734</v>
      </c>
      <c r="AF28" s="684">
        <v>1.1241532335262787</v>
      </c>
      <c r="AG28" s="683">
        <v>45.178811574610478</v>
      </c>
      <c r="AH28" s="684">
        <v>0.26124210635942785</v>
      </c>
      <c r="AI28" s="684">
        <v>13.267939833216824</v>
      </c>
      <c r="AJ28" s="684">
        <v>0.66173975910471572</v>
      </c>
      <c r="AK28" s="684">
        <v>1.0437319198064732</v>
      </c>
      <c r="AL28" s="683">
        <v>57.238752023060776</v>
      </c>
      <c r="AM28" s="684">
        <v>0.31097122573070657</v>
      </c>
      <c r="AN28" s="684">
        <v>18.578015768927251</v>
      </c>
      <c r="AO28" s="684">
        <v>0.52725532030356748</v>
      </c>
      <c r="AP28" s="684">
        <v>0.96699772567370779</v>
      </c>
      <c r="AQ28" s="683">
        <v>57.462862721649486</v>
      </c>
      <c r="AR28" s="684">
        <v>0.40553726615231006</v>
      </c>
      <c r="AS28" s="684">
        <v>22.534269289679017</v>
      </c>
      <c r="AT28" s="684">
        <v>0.42705815910756945</v>
      </c>
      <c r="AU28" s="684">
        <v>1.36867587984867</v>
      </c>
      <c r="AV28" s="683">
        <v>41.101405911748586</v>
      </c>
      <c r="AW28" s="684">
        <v>0.20445905061728395</v>
      </c>
      <c r="AX28" s="684">
        <v>11.501742255733999</v>
      </c>
      <c r="AY28" s="684">
        <v>0.70647096312052915</v>
      </c>
      <c r="AZ28" s="684">
        <v>1.1725557407899543</v>
      </c>
      <c r="BA28" s="683">
        <v>57.74840953302219</v>
      </c>
      <c r="BB28" s="684">
        <v>0.30733024798506292</v>
      </c>
      <c r="BC28" s="684">
        <v>20.810323497145184</v>
      </c>
      <c r="BD28" s="684">
        <v>0.47071928283526526</v>
      </c>
    </row>
    <row r="29" spans="1:56">
      <c r="A29" s="2">
        <v>1991</v>
      </c>
      <c r="B29" s="684">
        <v>1.1095797124687401</v>
      </c>
      <c r="C29" s="683">
        <v>54.189347152941174</v>
      </c>
      <c r="D29" s="684">
        <v>0.26625089969631244</v>
      </c>
      <c r="E29" s="684">
        <v>16.008974408391044</v>
      </c>
      <c r="F29" s="684">
        <v>0.59231956605289438</v>
      </c>
      <c r="G29" s="684">
        <v>0.64848952426324979</v>
      </c>
      <c r="H29" s="683">
        <v>61.806665455735022</v>
      </c>
      <c r="I29" s="684">
        <v>0.42124888161814794</v>
      </c>
      <c r="J29" s="684">
        <v>16.884065925640694</v>
      </c>
      <c r="K29" s="684">
        <v>0.57015675839782465</v>
      </c>
      <c r="L29" s="684">
        <v>0.8534263959390862</v>
      </c>
      <c r="M29" s="683">
        <v>47.143404124835328</v>
      </c>
      <c r="N29" s="684">
        <v>0.42521666712183631</v>
      </c>
      <c r="O29" s="684">
        <v>17.107923087186368</v>
      </c>
      <c r="P29" s="684">
        <v>0.56448729055846114</v>
      </c>
      <c r="Q29" s="684">
        <v>1.0071049487281987</v>
      </c>
      <c r="R29" s="683">
        <v>74.889120295446972</v>
      </c>
      <c r="S29" s="684">
        <v>0.19246686014700645</v>
      </c>
      <c r="T29" s="684">
        <v>14.516082256071622</v>
      </c>
      <c r="U29" s="684">
        <v>0.63012896194968859</v>
      </c>
      <c r="V29" s="684">
        <v>0.88890323760943135</v>
      </c>
      <c r="W29" s="683">
        <v>65.416401133084662</v>
      </c>
      <c r="X29" s="684">
        <v>0.28165357216290277</v>
      </c>
      <c r="Y29" s="684">
        <v>16.377831533709195</v>
      </c>
      <c r="Z29" s="684">
        <v>0.58297778938212819</v>
      </c>
      <c r="AA29" s="684">
        <v>1.1691003221167209</v>
      </c>
      <c r="AB29" s="683">
        <v>47.451632720245513</v>
      </c>
      <c r="AC29" s="684">
        <v>0.24921987035160395</v>
      </c>
      <c r="AD29" s="684">
        <v>13.825651521316242</v>
      </c>
      <c r="AE29" s="684">
        <v>0.64761500000617056</v>
      </c>
      <c r="AF29" s="684">
        <v>1.0626123634683737</v>
      </c>
      <c r="AG29" s="683">
        <v>49.721372707309413</v>
      </c>
      <c r="AH29" s="684">
        <v>0.27385173810435459</v>
      </c>
      <c r="AI29" s="684">
        <v>14.468832080817496</v>
      </c>
      <c r="AJ29" s="684">
        <v>0.63132563284088494</v>
      </c>
      <c r="AK29" s="684">
        <v>1.0394719929360612</v>
      </c>
      <c r="AL29" s="683">
        <v>51.365628075646391</v>
      </c>
      <c r="AM29" s="684">
        <v>0.29787473575314261</v>
      </c>
      <c r="AN29" s="684">
        <v>15.904465021252681</v>
      </c>
      <c r="AO29" s="684">
        <v>0.59496639944076257</v>
      </c>
      <c r="AP29" s="684">
        <v>0.92153196461152698</v>
      </c>
      <c r="AQ29" s="683">
        <v>65.685619649484536</v>
      </c>
      <c r="AR29" s="684">
        <v>0.38379640104081569</v>
      </c>
      <c r="AS29" s="684">
        <v>23.231732749313288</v>
      </c>
      <c r="AT29" s="684">
        <v>0.40939400833292083</v>
      </c>
      <c r="AU29" s="684">
        <v>1.329080529160388</v>
      </c>
      <c r="AV29" s="683">
        <v>34.328068401724039</v>
      </c>
      <c r="AW29" s="684">
        <v>0.23233983024691357</v>
      </c>
      <c r="AX29" s="684">
        <v>10.600450693351345</v>
      </c>
      <c r="AY29" s="684">
        <v>0.72929732030086669</v>
      </c>
      <c r="AZ29" s="684">
        <v>1.2124663715411876</v>
      </c>
      <c r="BA29" s="683">
        <v>55.129672024504089</v>
      </c>
      <c r="BB29" s="684">
        <v>0.28366301845339964</v>
      </c>
      <c r="BC29" s="684">
        <v>18.960851231822133</v>
      </c>
      <c r="BD29" s="684">
        <v>0.51755952442344555</v>
      </c>
    </row>
    <row r="30" spans="1:56">
      <c r="A30" s="2">
        <v>1992</v>
      </c>
      <c r="B30" s="684">
        <v>1.1294730309624723</v>
      </c>
      <c r="C30" s="683">
        <v>51.765257304201683</v>
      </c>
      <c r="D30" s="684">
        <v>0.24239455401301521</v>
      </c>
      <c r="E30" s="684">
        <v>14.172194391743728</v>
      </c>
      <c r="F30" s="684">
        <v>0.63883836027178142</v>
      </c>
      <c r="G30" s="684">
        <v>0.61220815077126223</v>
      </c>
      <c r="H30" s="683">
        <v>81.049481551082977</v>
      </c>
      <c r="I30" s="684">
        <v>0.39752221898599227</v>
      </c>
      <c r="J30" s="684">
        <v>19.724715892760194</v>
      </c>
      <c r="K30" s="684">
        <v>0.4982136786219879</v>
      </c>
      <c r="L30" s="684">
        <v>0.71726491405460058</v>
      </c>
      <c r="M30" s="683">
        <v>44.133065718439099</v>
      </c>
      <c r="N30" s="684">
        <v>0.37717212289582103</v>
      </c>
      <c r="O30" s="684">
        <v>11.9394211126512</v>
      </c>
      <c r="P30" s="684">
        <v>0.69538618840915534</v>
      </c>
      <c r="Q30" s="684">
        <v>1.0141983365210443</v>
      </c>
      <c r="R30" s="683">
        <v>77.442041332500949</v>
      </c>
      <c r="S30" s="684">
        <v>0.20486361408842937</v>
      </c>
      <c r="T30" s="684">
        <v>16.090313880444718</v>
      </c>
      <c r="U30" s="684">
        <v>0.59025954028603933</v>
      </c>
      <c r="V30" s="684">
        <v>0.87333909141715704</v>
      </c>
      <c r="W30" s="683">
        <v>72.143967115784449</v>
      </c>
      <c r="X30" s="684">
        <v>0.33010523168288763</v>
      </c>
      <c r="Y30" s="684">
        <v>20.798658651251063</v>
      </c>
      <c r="Z30" s="684">
        <v>0.47101470992006883</v>
      </c>
      <c r="AA30" s="684">
        <v>1.1349419793687774</v>
      </c>
      <c r="AB30" s="683">
        <v>49.169546112975929</v>
      </c>
      <c r="AC30" s="684">
        <v>0.24554947461741242</v>
      </c>
      <c r="AD30" s="684">
        <v>13.702785788919577</v>
      </c>
      <c r="AE30" s="684">
        <v>0.65072673122608327</v>
      </c>
      <c r="AF30" s="684">
        <v>1.1577877789405613</v>
      </c>
      <c r="AG30" s="683">
        <v>35.623840408240092</v>
      </c>
      <c r="AH30" s="684">
        <v>0.23822382866093508</v>
      </c>
      <c r="AI30" s="684">
        <v>9.825505380022971</v>
      </c>
      <c r="AJ30" s="684">
        <v>0.74892379774230522</v>
      </c>
      <c r="AK30" s="684">
        <v>0.99056964278724013</v>
      </c>
      <c r="AL30" s="683">
        <v>53.716833732529686</v>
      </c>
      <c r="AM30" s="684">
        <v>0.32035352298613889</v>
      </c>
      <c r="AN30" s="684">
        <v>17.046095788376</v>
      </c>
      <c r="AO30" s="684">
        <v>0.56605314567687592</v>
      </c>
      <c r="AP30" s="684">
        <v>0.95962952109327604</v>
      </c>
      <c r="AQ30" s="683">
        <v>62.280365347079027</v>
      </c>
      <c r="AR30" s="684">
        <v>0.40623858438171312</v>
      </c>
      <c r="AS30" s="684">
        <v>24.279286584211263</v>
      </c>
      <c r="AT30" s="684">
        <v>0.38286337274392207</v>
      </c>
      <c r="AU30" s="684">
        <v>1.2846368872296117</v>
      </c>
      <c r="AV30" s="683">
        <v>41.663505536733133</v>
      </c>
      <c r="AW30" s="684">
        <v>0.20603707074759947</v>
      </c>
      <c r="AX30" s="684">
        <v>11.027614187340262</v>
      </c>
      <c r="AY30" s="684">
        <v>0.71847886055359544</v>
      </c>
      <c r="AZ30" s="684">
        <v>1.1936332693090006</v>
      </c>
      <c r="BA30" s="683">
        <v>58.596750548424744</v>
      </c>
      <c r="BB30" s="684">
        <v>0.28840455226388667</v>
      </c>
      <c r="BC30" s="684">
        <v>20.171888518769077</v>
      </c>
      <c r="BD30" s="684">
        <v>0.48688846211206721</v>
      </c>
    </row>
    <row r="31" spans="1:56">
      <c r="A31" s="2">
        <v>1993</v>
      </c>
      <c r="B31" s="684">
        <v>1.1088265504893056</v>
      </c>
      <c r="C31" s="683">
        <v>49.323665001680673</v>
      </c>
      <c r="D31" s="684">
        <v>0.21749242234273319</v>
      </c>
      <c r="E31" s="684">
        <v>11.894962744779825</v>
      </c>
      <c r="F31" s="684">
        <v>0.69651215322125681</v>
      </c>
      <c r="G31" s="684">
        <v>0.65239122428578944</v>
      </c>
      <c r="H31" s="683">
        <v>64.814481367721498</v>
      </c>
      <c r="I31" s="684">
        <v>0.31340398477211479</v>
      </c>
      <c r="J31" s="684">
        <v>13.252099093576874</v>
      </c>
      <c r="K31" s="684">
        <v>0.66214094601926565</v>
      </c>
      <c r="L31" s="684">
        <v>0.71014062035632164</v>
      </c>
      <c r="M31" s="683">
        <v>34.61254074864852</v>
      </c>
      <c r="N31" s="684">
        <v>0.34806782380223655</v>
      </c>
      <c r="O31" s="684">
        <v>8.5554274569932272</v>
      </c>
      <c r="P31" s="684">
        <v>0.7810901393879508</v>
      </c>
      <c r="Q31" s="684">
        <v>1.0425945509515431</v>
      </c>
      <c r="R31" s="683">
        <v>82.228285013277556</v>
      </c>
      <c r="S31" s="684">
        <v>0.21475318615648625</v>
      </c>
      <c r="T31" s="684">
        <v>18.410954267271556</v>
      </c>
      <c r="U31" s="684">
        <v>0.53148636569113916</v>
      </c>
      <c r="V31" s="684">
        <v>0.85583953275211555</v>
      </c>
      <c r="W31" s="683">
        <v>63.160740827870796</v>
      </c>
      <c r="X31" s="684">
        <v>0.2929030228889099</v>
      </c>
      <c r="Y31" s="684">
        <v>15.833007320847349</v>
      </c>
      <c r="Z31" s="684">
        <v>0.59677615674995754</v>
      </c>
      <c r="AA31" s="684">
        <v>1.1311070547783262</v>
      </c>
      <c r="AB31" s="683">
        <v>49.622654296537831</v>
      </c>
      <c r="AC31" s="684">
        <v>0.25846414611934676</v>
      </c>
      <c r="AD31" s="684">
        <v>14.507213704127045</v>
      </c>
      <c r="AE31" s="684">
        <v>0.63035356932737674</v>
      </c>
      <c r="AF31" s="684">
        <v>1.088926689686222</v>
      </c>
      <c r="AG31" s="683">
        <v>34.462126092648752</v>
      </c>
      <c r="AH31" s="684">
        <v>0.23151564487451709</v>
      </c>
      <c r="AI31" s="684">
        <v>8.6880248379848304</v>
      </c>
      <c r="AJ31" s="684">
        <v>0.77773194176798177</v>
      </c>
      <c r="AK31" s="684">
        <v>0.9627412437455326</v>
      </c>
      <c r="AL31" s="683">
        <v>51.440937075471687</v>
      </c>
      <c r="AM31" s="684">
        <v>0.25314599780557517</v>
      </c>
      <c r="AN31" s="684">
        <v>12.536881310923834</v>
      </c>
      <c r="AO31" s="684">
        <v>0.68025474764568761</v>
      </c>
      <c r="AP31" s="684">
        <v>0.92589912289770449</v>
      </c>
      <c r="AQ31" s="683">
        <v>63.179361054982806</v>
      </c>
      <c r="AR31" s="684">
        <v>0.34194420435085171</v>
      </c>
      <c r="AS31" s="684">
        <v>20.002954607246384</v>
      </c>
      <c r="AT31" s="684">
        <v>0.49116692866521505</v>
      </c>
      <c r="AU31" s="684">
        <v>1.3296925819304166</v>
      </c>
      <c r="AV31" s="683">
        <v>28.298272424617117</v>
      </c>
      <c r="AW31" s="684">
        <v>0.19603082328532234</v>
      </c>
      <c r="AX31" s="684">
        <v>7.3762483918643014</v>
      </c>
      <c r="AY31" s="684">
        <v>0.81095435164025831</v>
      </c>
      <c r="AZ31" s="684">
        <v>1.217654139929025</v>
      </c>
      <c r="BA31" s="683">
        <v>58.073252926254384</v>
      </c>
      <c r="BB31" s="684">
        <v>0.27692983824490425</v>
      </c>
      <c r="BC31" s="684">
        <v>19.582577548219973</v>
      </c>
      <c r="BD31" s="684">
        <v>0.50181351330025759</v>
      </c>
    </row>
    <row r="32" spans="1:56">
      <c r="A32" s="2">
        <v>1994</v>
      </c>
      <c r="B32" s="684">
        <v>1.1092924477688215</v>
      </c>
      <c r="C32" s="683">
        <v>49.502190030252109</v>
      </c>
      <c r="D32" s="684">
        <v>0.21814474429501085</v>
      </c>
      <c r="E32" s="684">
        <v>11.978852667017984</v>
      </c>
      <c r="F32" s="684">
        <v>0.69438753405387366</v>
      </c>
      <c r="G32" s="684">
        <v>0.65576996742236016</v>
      </c>
      <c r="H32" s="683">
        <v>66.923904041699672</v>
      </c>
      <c r="I32" s="684">
        <v>0.33220272657624306</v>
      </c>
      <c r="J32" s="684">
        <v>14.579276873574338</v>
      </c>
      <c r="K32" s="684">
        <v>0.62852847774324783</v>
      </c>
      <c r="L32" s="684">
        <v>0.77203317572281216</v>
      </c>
      <c r="M32" s="683">
        <v>45.232264260209881</v>
      </c>
      <c r="N32" s="684">
        <v>0.33967261457327835</v>
      </c>
      <c r="O32" s="684">
        <v>11.86164236762856</v>
      </c>
      <c r="P32" s="684">
        <v>0.69735603422711867</v>
      </c>
      <c r="Q32" s="684">
        <v>1.0012000385413837</v>
      </c>
      <c r="R32" s="683">
        <v>74.735764614775874</v>
      </c>
      <c r="S32" s="684">
        <v>0.20462920643955726</v>
      </c>
      <c r="T32" s="684">
        <v>15.311472539440075</v>
      </c>
      <c r="U32" s="684">
        <v>0.6099846895924268</v>
      </c>
      <c r="V32" s="684">
        <v>0.83313654683474447</v>
      </c>
      <c r="W32" s="683">
        <v>56.518761556701847</v>
      </c>
      <c r="X32" s="684">
        <v>0.31447852822766076</v>
      </c>
      <c r="Y32" s="684">
        <v>14.808116455515897</v>
      </c>
      <c r="Z32" s="684">
        <v>0.6227328237591051</v>
      </c>
      <c r="AA32" s="684">
        <v>1.0482865255145946</v>
      </c>
      <c r="AB32" s="683">
        <v>48.181477944950608</v>
      </c>
      <c r="AC32" s="684">
        <v>0.22355270762436233</v>
      </c>
      <c r="AD32" s="684">
        <v>11.291198839758016</v>
      </c>
      <c r="AE32" s="684">
        <v>0.71180324338989187</v>
      </c>
      <c r="AF32" s="684">
        <v>1.1469453218330141</v>
      </c>
      <c r="AG32" s="683">
        <v>31.812384818153301</v>
      </c>
      <c r="AH32" s="684">
        <v>0.23093689960666924</v>
      </c>
      <c r="AI32" s="684">
        <v>8.426209884743491</v>
      </c>
      <c r="AJ32" s="684">
        <v>0.78436273904521492</v>
      </c>
      <c r="AK32" s="684">
        <v>1.0207893831956358</v>
      </c>
      <c r="AL32" s="683">
        <v>53.916353680118789</v>
      </c>
      <c r="AM32" s="684">
        <v>0.28704900815072071</v>
      </c>
      <c r="AN32" s="684">
        <v>15.798385560183773</v>
      </c>
      <c r="AO32" s="684">
        <v>0.59765299695140106</v>
      </c>
      <c r="AP32" s="684">
        <v>0.97555315189868164</v>
      </c>
      <c r="AQ32" s="683">
        <v>67.045364051546372</v>
      </c>
      <c r="AR32" s="684">
        <v>0.34595615716317207</v>
      </c>
      <c r="AS32" s="684">
        <v>22.627717813905917</v>
      </c>
      <c r="AT32" s="684">
        <v>0.42469145616591575</v>
      </c>
      <c r="AU32" s="684">
        <v>1.2471078433990175</v>
      </c>
      <c r="AV32" s="683">
        <v>34.227349628340775</v>
      </c>
      <c r="AW32" s="684">
        <v>0.22586776611796983</v>
      </c>
      <c r="AX32" s="684">
        <v>9.6412099075435798</v>
      </c>
      <c r="AY32" s="684">
        <v>0.75359131539931357</v>
      </c>
      <c r="AZ32" s="684">
        <v>1.2472504762932985</v>
      </c>
      <c r="BA32" s="683">
        <v>59.723707243407247</v>
      </c>
      <c r="BB32" s="684">
        <v>0.27691972836471129</v>
      </c>
      <c r="BC32" s="684">
        <v>20.627867510567718</v>
      </c>
      <c r="BD32" s="684">
        <v>0.47534021316806235</v>
      </c>
    </row>
    <row r="33" spans="1:138">
      <c r="A33" s="2">
        <v>1995</v>
      </c>
      <c r="B33" s="684">
        <v>1.0838485334378707</v>
      </c>
      <c r="C33" s="683">
        <v>49.614205734453783</v>
      </c>
      <c r="D33" s="684">
        <v>0.23222661501084596</v>
      </c>
      <c r="E33" s="684">
        <v>12.487819976509387</v>
      </c>
      <c r="F33" s="684">
        <v>0.68149728845027213</v>
      </c>
      <c r="G33" s="684">
        <v>0.69320419875618555</v>
      </c>
      <c r="H33" s="683">
        <v>83.601708654144147</v>
      </c>
      <c r="I33" s="684">
        <v>0.36096529236532704</v>
      </c>
      <c r="J33" s="684">
        <v>20.919041608392941</v>
      </c>
      <c r="K33" s="684">
        <v>0.46796585814686303</v>
      </c>
      <c r="L33" s="684">
        <v>0.80001230788165967</v>
      </c>
      <c r="M33" s="683">
        <v>37.905251047108528</v>
      </c>
      <c r="N33" s="684">
        <v>0.33357690349617414</v>
      </c>
      <c r="O33" s="684">
        <v>10.115608641179985</v>
      </c>
      <c r="P33" s="684">
        <v>0.7415765630241139</v>
      </c>
      <c r="Q33" s="684">
        <v>1.0049965061695132</v>
      </c>
      <c r="R33" s="683">
        <v>79.462727948402318</v>
      </c>
      <c r="S33" s="684">
        <v>0.22330464828876917</v>
      </c>
      <c r="T33" s="684">
        <v>17.83305650325353</v>
      </c>
      <c r="U33" s="684">
        <v>0.54612236288201643</v>
      </c>
      <c r="V33" s="684">
        <v>0.77012995943065388</v>
      </c>
      <c r="W33" s="683">
        <v>70.520071878581064</v>
      </c>
      <c r="X33" s="684">
        <v>0.3013378912312199</v>
      </c>
      <c r="Y33" s="684">
        <v>16.365546392965378</v>
      </c>
      <c r="Z33" s="684">
        <v>0.58328892622433692</v>
      </c>
      <c r="AA33" s="684">
        <v>1.1592575638489908</v>
      </c>
      <c r="AB33" s="683">
        <v>44.895712794475877</v>
      </c>
      <c r="AC33" s="684">
        <v>0.24535315112465331</v>
      </c>
      <c r="AD33" s="684">
        <v>12.769575182736046</v>
      </c>
      <c r="AE33" s="684">
        <v>0.67436147885970266</v>
      </c>
      <c r="AF33" s="684">
        <v>1.0862849310718681</v>
      </c>
      <c r="AG33" s="683">
        <v>45.220116972498175</v>
      </c>
      <c r="AH33" s="684">
        <v>0.21753806976922274</v>
      </c>
      <c r="AI33" s="684">
        <v>10.685890194157343</v>
      </c>
      <c r="AJ33" s="684">
        <v>0.72713345608188773</v>
      </c>
      <c r="AK33" s="684">
        <v>0.99353109934197592</v>
      </c>
      <c r="AL33" s="683">
        <v>46.251462360237589</v>
      </c>
      <c r="AM33" s="684">
        <v>0.21719226019915788</v>
      </c>
      <c r="AN33" s="684">
        <v>9.9804765670121771</v>
      </c>
      <c r="AO33" s="684">
        <v>0.74499895497830004</v>
      </c>
      <c r="AP33" s="684">
        <v>0.96137708980380854</v>
      </c>
      <c r="AQ33" s="683">
        <v>65.523821852233681</v>
      </c>
      <c r="AR33" s="684">
        <v>0.34415129407279654</v>
      </c>
      <c r="AS33" s="684">
        <v>21.679157283635877</v>
      </c>
      <c r="AT33" s="684">
        <v>0.44871496018483126</v>
      </c>
      <c r="AU33" s="684">
        <v>1.1460388965511001</v>
      </c>
      <c r="AV33" s="683">
        <v>33.227567686668657</v>
      </c>
      <c r="AW33" s="684">
        <v>0.22292988532235938</v>
      </c>
      <c r="AX33" s="684">
        <v>8.4891889836108305</v>
      </c>
      <c r="AY33" s="684">
        <v>0.78276771312281401</v>
      </c>
      <c r="AZ33" s="684">
        <v>1.1037859313919831</v>
      </c>
      <c r="BA33" s="683">
        <v>43.400326733488917</v>
      </c>
      <c r="BB33" s="684">
        <v>0.28958740824646018</v>
      </c>
      <c r="BC33" s="684">
        <v>13.872589247384353</v>
      </c>
      <c r="BD33" s="684">
        <v>0.64642624228871093</v>
      </c>
    </row>
    <row r="34" spans="1:138">
      <c r="A34" s="2">
        <v>1996</v>
      </c>
      <c r="B34" s="684">
        <v>0.99169747293084476</v>
      </c>
      <c r="C34" s="683">
        <v>52.069800000000001</v>
      </c>
      <c r="D34" s="684">
        <v>0.26253369999999998</v>
      </c>
      <c r="E34" s="684">
        <v>13.556581065835667</v>
      </c>
      <c r="F34" s="684">
        <v>0.65442955212206855</v>
      </c>
      <c r="G34" s="684">
        <v>0.7522211814130404</v>
      </c>
      <c r="H34" s="683">
        <v>67.50385</v>
      </c>
      <c r="I34" s="684">
        <v>0.3314763</v>
      </c>
      <c r="J34" s="684">
        <v>16.831645817210465</v>
      </c>
      <c r="K34" s="684">
        <v>0.57148436443387496</v>
      </c>
      <c r="L34" s="684">
        <v>0.72273725298853375</v>
      </c>
      <c r="M34" s="683">
        <v>43.016280000000002</v>
      </c>
      <c r="N34" s="684">
        <v>0.3467616</v>
      </c>
      <c r="O34" s="684">
        <v>10.780633681041033</v>
      </c>
      <c r="P34" s="684">
        <v>0.72473395656099959</v>
      </c>
      <c r="Q34" s="684">
        <v>0.97531080371213441</v>
      </c>
      <c r="R34" s="683">
        <v>73.279530000000008</v>
      </c>
      <c r="S34" s="684">
        <v>0.20592874289493002</v>
      </c>
      <c r="T34" s="684">
        <v>14.717792595879951</v>
      </c>
      <c r="U34" s="684">
        <v>0.62502039058876269</v>
      </c>
      <c r="V34" s="684">
        <v>0.76382523678582337</v>
      </c>
      <c r="W34" s="683">
        <v>70.952510000000004</v>
      </c>
      <c r="X34" s="684">
        <v>0.28189330000000001</v>
      </c>
      <c r="Y34" s="684">
        <v>15.277296965462115</v>
      </c>
      <c r="Z34" s="684">
        <v>0.61085022954755708</v>
      </c>
      <c r="AA34" s="684">
        <v>1.042275340456144</v>
      </c>
      <c r="AB34" s="683">
        <v>50.80171</v>
      </c>
      <c r="AC34" s="684">
        <v>0.2493223</v>
      </c>
      <c r="AD34" s="684">
        <v>13.201458608732638</v>
      </c>
      <c r="AE34" s="684">
        <v>0.66342348082052816</v>
      </c>
      <c r="AF34" s="684">
        <v>0.9186803662024704</v>
      </c>
      <c r="AG34" s="683">
        <v>49.375439999999998</v>
      </c>
      <c r="AH34" s="684">
        <v>0.2519208</v>
      </c>
      <c r="AI34" s="684">
        <v>11.427189788167034</v>
      </c>
      <c r="AJ34" s="684">
        <v>0.70835909935122932</v>
      </c>
      <c r="AK34" s="684">
        <v>0.96515361626708396</v>
      </c>
      <c r="AL34" s="683">
        <v>55.982949999999995</v>
      </c>
      <c r="AM34" s="684">
        <v>0.2863713</v>
      </c>
      <c r="AN34" s="684">
        <v>15.473256075602713</v>
      </c>
      <c r="AO34" s="684">
        <v>0.60588731540578311</v>
      </c>
      <c r="AP34" s="684">
        <v>0.9184521428823067</v>
      </c>
      <c r="AQ34" s="683">
        <v>65.479889999999997</v>
      </c>
      <c r="AR34" s="684">
        <v>0.3408716</v>
      </c>
      <c r="AS34" s="684">
        <v>20.500067547938674</v>
      </c>
      <c r="AT34" s="684">
        <v>0.47857691005546293</v>
      </c>
      <c r="AU34" s="684">
        <v>1.1175736937827243</v>
      </c>
      <c r="AV34" s="683">
        <v>41.924929999999996</v>
      </c>
      <c r="AW34" s="684">
        <v>0.2544612</v>
      </c>
      <c r="AX34" s="684">
        <v>11.922575672471497</v>
      </c>
      <c r="AY34" s="684">
        <v>0.69581282064499406</v>
      </c>
      <c r="AZ34" s="684">
        <v>1.1385855441008617</v>
      </c>
      <c r="BA34" s="683">
        <v>53.53669</v>
      </c>
      <c r="BB34" s="684">
        <v>0.25990479999999999</v>
      </c>
      <c r="BC34" s="684">
        <v>15.842783320537382</v>
      </c>
      <c r="BD34" s="684">
        <v>0.59652856710190882</v>
      </c>
    </row>
    <row r="35" spans="1:138">
      <c r="A35" s="2">
        <v>1997</v>
      </c>
      <c r="B35" s="684">
        <v>0.92372853716579451</v>
      </c>
      <c r="C35" s="683">
        <v>50.551650000000002</v>
      </c>
      <c r="D35" s="684">
        <v>0.29371520000000001</v>
      </c>
      <c r="E35" s="684">
        <v>13.715325480224452</v>
      </c>
      <c r="F35" s="684">
        <v>0.65040914756658519</v>
      </c>
      <c r="G35" s="684">
        <v>0.58685152727753009</v>
      </c>
      <c r="H35" s="683">
        <v>65.552909999999997</v>
      </c>
      <c r="I35" s="684">
        <v>0.36328880000000008</v>
      </c>
      <c r="J35" s="684">
        <v>13.975656687969458</v>
      </c>
      <c r="K35" s="684">
        <v>0.64381592803453191</v>
      </c>
      <c r="L35" s="684">
        <v>0.73481606918761999</v>
      </c>
      <c r="M35" s="683">
        <v>59.472440000000006</v>
      </c>
      <c r="N35" s="684">
        <v>0.2956164</v>
      </c>
      <c r="O35" s="684">
        <v>12.918822336956678</v>
      </c>
      <c r="P35" s="684">
        <v>0.67058160451872584</v>
      </c>
      <c r="Q35" s="684">
        <v>0.8628904873177291</v>
      </c>
      <c r="R35" s="683">
        <v>77.86927</v>
      </c>
      <c r="S35" s="684">
        <v>0.25628131682298</v>
      </c>
      <c r="T35" s="684">
        <v>17.22022142185136</v>
      </c>
      <c r="U35" s="684">
        <v>0.56164319215034597</v>
      </c>
      <c r="V35" s="684">
        <v>0.7199733615100038</v>
      </c>
      <c r="W35" s="683">
        <v>62.554560000000002</v>
      </c>
      <c r="X35" s="684">
        <v>0.29614190000000001</v>
      </c>
      <c r="Y35" s="684">
        <v>13.337525422759587</v>
      </c>
      <c r="Z35" s="684">
        <v>0.65997741538842869</v>
      </c>
      <c r="AA35" s="684">
        <v>1.00270554947438</v>
      </c>
      <c r="AB35" s="683">
        <v>52.647069999999999</v>
      </c>
      <c r="AC35" s="684">
        <v>0.27174759999999998</v>
      </c>
      <c r="AD35" s="684">
        <v>14.345422444562642</v>
      </c>
      <c r="AE35" s="684">
        <v>0.63445113911901074</v>
      </c>
      <c r="AF35" s="684">
        <v>0.85353567644752304</v>
      </c>
      <c r="AG35" s="683">
        <v>45.893770000000004</v>
      </c>
      <c r="AH35" s="684">
        <v>0.29368250000000001</v>
      </c>
      <c r="AI35" s="684">
        <v>11.504122085891169</v>
      </c>
      <c r="AJ35" s="684">
        <v>0.70641069088958486</v>
      </c>
      <c r="AK35" s="684">
        <v>0.97228344006844869</v>
      </c>
      <c r="AL35" s="683">
        <v>60.086910000000003</v>
      </c>
      <c r="AM35" s="684">
        <v>0.30553140000000001</v>
      </c>
      <c r="AN35" s="684">
        <v>17.84960499427066</v>
      </c>
      <c r="AO35" s="684">
        <v>0.54570325126207175</v>
      </c>
      <c r="AP35" s="684">
        <v>0.91172109132765744</v>
      </c>
      <c r="AQ35" s="683">
        <v>56.599960000000003</v>
      </c>
      <c r="AR35" s="684">
        <v>0.28621439999999998</v>
      </c>
      <c r="AS35" s="684">
        <v>14.769629671979487</v>
      </c>
      <c r="AT35" s="684">
        <v>0.62370755058934635</v>
      </c>
      <c r="AU35" s="684">
        <v>1.0476731376461692</v>
      </c>
      <c r="AV35" s="683">
        <v>39.067039999999999</v>
      </c>
      <c r="AW35" s="684">
        <v>0.38684279999999999</v>
      </c>
      <c r="AX35" s="684">
        <v>15.833277885687226</v>
      </c>
      <c r="AY35" s="684">
        <v>0.59676930435065279</v>
      </c>
      <c r="AZ35" s="684">
        <v>0.99481652553246092</v>
      </c>
      <c r="BA35" s="683">
        <v>50.924889999999998</v>
      </c>
      <c r="BB35" s="684">
        <v>0.26539259999999998</v>
      </c>
      <c r="BC35" s="684">
        <v>13.445033843253917</v>
      </c>
      <c r="BD35" s="684">
        <v>0.65725462765966092</v>
      </c>
    </row>
    <row r="36" spans="1:138">
      <c r="A36" s="2">
        <v>1998</v>
      </c>
      <c r="B36" s="684">
        <v>0.93760116841868613</v>
      </c>
      <c r="C36" s="683">
        <v>47.906690000000005</v>
      </c>
      <c r="D36" s="684">
        <v>0.29879139999999998</v>
      </c>
      <c r="E36" s="684">
        <v>13.420923424129388</v>
      </c>
      <c r="F36" s="684">
        <v>0.65786525474380808</v>
      </c>
      <c r="G36" s="684">
        <v>0.68102297731125783</v>
      </c>
      <c r="H36" s="683">
        <v>65.353090000000009</v>
      </c>
      <c r="I36" s="684">
        <v>0.29696899999999998</v>
      </c>
      <c r="J36" s="684">
        <v>13.217186195068528</v>
      </c>
      <c r="K36" s="684">
        <v>0.66302515965757547</v>
      </c>
      <c r="L36" s="684">
        <v>0.84018429849128196</v>
      </c>
      <c r="M36" s="683">
        <v>39.581589999999998</v>
      </c>
      <c r="N36" s="684">
        <v>0.26385609999999998</v>
      </c>
      <c r="O36" s="684">
        <v>8.7747537188138658</v>
      </c>
      <c r="P36" s="684">
        <v>0.77553542235708117</v>
      </c>
      <c r="Q36" s="684">
        <v>0.83765050516868933</v>
      </c>
      <c r="R36" s="683">
        <v>71.957120000000003</v>
      </c>
      <c r="S36" s="684">
        <v>0.23041598070848004</v>
      </c>
      <c r="T36" s="684">
        <v>13.888304324310628</v>
      </c>
      <c r="U36" s="684">
        <v>0.64602823794249553</v>
      </c>
      <c r="V36" s="684">
        <v>0.77104876765678121</v>
      </c>
      <c r="W36" s="683">
        <v>58.644329999999997</v>
      </c>
      <c r="X36" s="684">
        <v>0.30389260000000001</v>
      </c>
      <c r="Y36" s="684">
        <v>13.741305692111869</v>
      </c>
      <c r="Z36" s="684">
        <v>0.6497511655983581</v>
      </c>
      <c r="AA36" s="684">
        <v>0.96664320916859603</v>
      </c>
      <c r="AB36" s="683">
        <v>46.805400000000006</v>
      </c>
      <c r="AC36" s="684">
        <v>0.28034559999999997</v>
      </c>
      <c r="AD36" s="684">
        <v>12.683990546062319</v>
      </c>
      <c r="AE36" s="684">
        <v>0.67652901882945393</v>
      </c>
      <c r="AF36" s="684">
        <v>0.89578059875786087</v>
      </c>
      <c r="AG36" s="683">
        <v>45.273260000000001</v>
      </c>
      <c r="AH36" s="684">
        <v>0.30305589999999999</v>
      </c>
      <c r="AI36" s="684">
        <v>12.290404128362088</v>
      </c>
      <c r="AJ36" s="684">
        <v>0.68649709633813993</v>
      </c>
      <c r="AK36" s="684">
        <v>0.90444466246221455</v>
      </c>
      <c r="AL36" s="683">
        <v>59.189020000000006</v>
      </c>
      <c r="AM36" s="684">
        <v>0.2626155</v>
      </c>
      <c r="AN36" s="684">
        <v>14.058646302850809</v>
      </c>
      <c r="AO36" s="684">
        <v>0.6417141102980688</v>
      </c>
      <c r="AP36" s="684">
        <v>0.93177622435644791</v>
      </c>
      <c r="AQ36" s="683">
        <v>44.42671</v>
      </c>
      <c r="AR36" s="684">
        <v>0.22556039999999999</v>
      </c>
      <c r="AS36" s="684">
        <v>9.3372424029645344</v>
      </c>
      <c r="AT36" s="684">
        <v>0.76128967974702211</v>
      </c>
      <c r="AU36" s="684">
        <v>1.0915403487719104</v>
      </c>
      <c r="AV36" s="683">
        <v>39.642409999999998</v>
      </c>
      <c r="AW36" s="684">
        <v>0.3489681</v>
      </c>
      <c r="AX36" s="684">
        <v>15.100299868955917</v>
      </c>
      <c r="AY36" s="684">
        <v>0.61533290653396144</v>
      </c>
      <c r="AZ36" s="684">
        <v>0.99977363423871157</v>
      </c>
      <c r="BA36" s="683">
        <v>50.810500000000005</v>
      </c>
      <c r="BB36" s="684">
        <v>0.31418699999999999</v>
      </c>
      <c r="BC36" s="684">
        <v>15.960384860811967</v>
      </c>
      <c r="BD36" s="684">
        <v>0.5935501582547551</v>
      </c>
    </row>
    <row r="37" spans="1:138">
      <c r="A37" s="2">
        <v>1999</v>
      </c>
      <c r="B37" s="684">
        <v>0.9532809649445747</v>
      </c>
      <c r="C37" s="683">
        <v>44.026179999999997</v>
      </c>
      <c r="D37" s="684">
        <v>0.2869873</v>
      </c>
      <c r="E37" s="684">
        <v>12.044661644019367</v>
      </c>
      <c r="F37" s="684">
        <v>0.69272083786209404</v>
      </c>
      <c r="G37" s="684">
        <v>0.64652673083613588</v>
      </c>
      <c r="H37" s="683">
        <v>65.613910000000004</v>
      </c>
      <c r="I37" s="684">
        <v>0.26849119999999999</v>
      </c>
      <c r="J37" s="684">
        <v>11.389704590826904</v>
      </c>
      <c r="K37" s="684">
        <v>0.70930845973489842</v>
      </c>
      <c r="L37" s="684">
        <v>0.86939635212046062</v>
      </c>
      <c r="M37" s="683">
        <v>56.392290000000003</v>
      </c>
      <c r="N37" s="684">
        <v>0.23087199999999999</v>
      </c>
      <c r="O37" s="684">
        <v>11.319019542213763</v>
      </c>
      <c r="P37" s="684">
        <v>0.71109864865299688</v>
      </c>
      <c r="Q37" s="684">
        <v>0.84151412249327628</v>
      </c>
      <c r="R37" s="683">
        <v>49.565779999999997</v>
      </c>
      <c r="S37" s="684">
        <v>0.13163030540682</v>
      </c>
      <c r="T37" s="684">
        <v>5.4903400360182886</v>
      </c>
      <c r="U37" s="684">
        <v>0.85871738364526384</v>
      </c>
      <c r="V37" s="684">
        <v>0.8717381551078327</v>
      </c>
      <c r="W37" s="683">
        <v>65.15634</v>
      </c>
      <c r="X37" s="684">
        <v>0.2612932</v>
      </c>
      <c r="Y37" s="684">
        <v>14.84126239543934</v>
      </c>
      <c r="Z37" s="684">
        <v>0.62189336059829359</v>
      </c>
      <c r="AA37" s="684">
        <v>0.97465659756500711</v>
      </c>
      <c r="AB37" s="683">
        <v>47.102820000000001</v>
      </c>
      <c r="AC37" s="684">
        <v>0.28252490000000002</v>
      </c>
      <c r="AD37" s="684">
        <v>12.97045661917854</v>
      </c>
      <c r="AE37" s="684">
        <v>0.66927390053264757</v>
      </c>
      <c r="AF37" s="684">
        <v>0.9166108307505928</v>
      </c>
      <c r="AG37" s="683">
        <v>40.681889999999996</v>
      </c>
      <c r="AH37" s="684">
        <v>0.28947879999999998</v>
      </c>
      <c r="AI37" s="684">
        <v>10.794508419859547</v>
      </c>
      <c r="AJ37" s="684">
        <v>0.7243825611221939</v>
      </c>
      <c r="AK37" s="684">
        <v>0.94997488402328401</v>
      </c>
      <c r="AL37" s="683">
        <v>58.939779999999999</v>
      </c>
      <c r="AM37" s="684">
        <v>0.29867860000000002</v>
      </c>
      <c r="AN37" s="684">
        <v>16.723406283038212</v>
      </c>
      <c r="AO37" s="684">
        <v>0.57422566854807033</v>
      </c>
      <c r="AP37" s="684">
        <v>0.92979371630692764</v>
      </c>
      <c r="AQ37" s="683">
        <v>44.444420000000001</v>
      </c>
      <c r="AR37" s="684">
        <v>0.32693779999999995</v>
      </c>
      <c r="AS37" s="684">
        <v>13.510424216516418</v>
      </c>
      <c r="AT37" s="684">
        <v>0.65559853314092431</v>
      </c>
      <c r="AU37" s="684">
        <v>1.1070831826931533</v>
      </c>
      <c r="AV37" s="683">
        <v>29.740680000000001</v>
      </c>
      <c r="AW37" s="684">
        <v>0.29451349999999998</v>
      </c>
      <c r="AX37" s="684">
        <v>9.6969767572634034</v>
      </c>
      <c r="AY37" s="684">
        <v>0.75217894887591941</v>
      </c>
      <c r="AZ37" s="684">
        <v>1.0040262107939639</v>
      </c>
      <c r="BA37" s="683">
        <v>47.395780000000002</v>
      </c>
      <c r="BB37" s="684">
        <v>0.28702610000000001</v>
      </c>
      <c r="BC37" s="684">
        <v>13.658597760494953</v>
      </c>
      <c r="BD37" s="684">
        <v>0.6518458493472481</v>
      </c>
    </row>
    <row r="38" spans="1:138">
      <c r="A38" s="2">
        <v>2000</v>
      </c>
      <c r="B38" s="684">
        <v>0.94670738938491172</v>
      </c>
      <c r="C38" s="683">
        <v>40.425179999999997</v>
      </c>
      <c r="D38" s="684">
        <v>0.28964869999999998</v>
      </c>
      <c r="E38" s="684">
        <v>11.085092282852655</v>
      </c>
      <c r="F38" s="684">
        <v>0.71702315455015408</v>
      </c>
      <c r="G38" s="684">
        <v>0.66417872445676285</v>
      </c>
      <c r="H38" s="683">
        <v>62.671330000000005</v>
      </c>
      <c r="I38" s="684">
        <v>0.28708440000000002</v>
      </c>
      <c r="J38" s="684">
        <v>11.949877820533581</v>
      </c>
      <c r="K38" s="684">
        <v>0.69512135895882443</v>
      </c>
      <c r="L38" s="684">
        <v>0.80877761589010133</v>
      </c>
      <c r="M38" s="683">
        <v>41.266869999999997</v>
      </c>
      <c r="N38" s="684">
        <v>0.26505630000000002</v>
      </c>
      <c r="O38" s="684">
        <v>8.8464450475467018</v>
      </c>
      <c r="P38" s="684">
        <v>0.77371974811281929</v>
      </c>
      <c r="Q38" s="684">
        <v>0.88214136165004242</v>
      </c>
      <c r="R38" s="683">
        <v>46.97589</v>
      </c>
      <c r="S38" s="684">
        <v>0.11806788660107999</v>
      </c>
      <c r="T38" s="684">
        <v>4.8926594955383464</v>
      </c>
      <c r="U38" s="684">
        <v>0.8738544048558764</v>
      </c>
      <c r="V38" s="684">
        <v>0.89343788863507456</v>
      </c>
      <c r="W38" s="683">
        <v>52.187860000000001</v>
      </c>
      <c r="X38" s="684">
        <v>0.25835960000000002</v>
      </c>
      <c r="Y38" s="684">
        <v>12.046432683779681</v>
      </c>
      <c r="Z38" s="684">
        <v>0.69267598402362851</v>
      </c>
      <c r="AA38" s="684">
        <v>0.96391807205081281</v>
      </c>
      <c r="AB38" s="683">
        <v>43.844200000000001</v>
      </c>
      <c r="AC38" s="684">
        <v>0.31177310000000003</v>
      </c>
      <c r="AD38" s="684">
        <v>13.176222324221316</v>
      </c>
      <c r="AE38" s="684">
        <v>0.66406262188009513</v>
      </c>
      <c r="AF38" s="684">
        <v>0.90406059709212516</v>
      </c>
      <c r="AG38" s="683">
        <v>35.462569999999999</v>
      </c>
      <c r="AH38" s="684">
        <v>0.28263509999999997</v>
      </c>
      <c r="AI38" s="684">
        <v>9.0613695471148965</v>
      </c>
      <c r="AJ38" s="684">
        <v>0.76827651131941188</v>
      </c>
      <c r="AK38" s="684">
        <v>0.8955933490215735</v>
      </c>
      <c r="AL38" s="683">
        <v>49.512520000000002</v>
      </c>
      <c r="AM38" s="684">
        <v>0.29662769999999999</v>
      </c>
      <c r="AN38" s="684">
        <v>13.153386900747147</v>
      </c>
      <c r="AO38" s="684">
        <v>0.6646409580748861</v>
      </c>
      <c r="AP38" s="684">
        <v>0.9169921487249254</v>
      </c>
      <c r="AQ38" s="683">
        <v>51.126609999999992</v>
      </c>
      <c r="AR38" s="684">
        <v>0.35920829999999992</v>
      </c>
      <c r="AS38" s="684">
        <v>16.840654952372585</v>
      </c>
      <c r="AT38" s="684">
        <v>0.57125619660708105</v>
      </c>
      <c r="AU38" s="684">
        <v>1.1199125547731206</v>
      </c>
      <c r="AV38" s="683">
        <v>34.63252</v>
      </c>
      <c r="AW38" s="684">
        <v>0.2982746</v>
      </c>
      <c r="AX38" s="684">
        <v>11.568697866705559</v>
      </c>
      <c r="AY38" s="684">
        <v>0.70477522696249373</v>
      </c>
      <c r="AZ38" s="684">
        <v>1.0059556955701094</v>
      </c>
      <c r="BA38" s="683">
        <v>38.886629999999997</v>
      </c>
      <c r="BB38" s="684">
        <v>0.23774149999999999</v>
      </c>
      <c r="BC38" s="684">
        <v>9.3000259476851284</v>
      </c>
      <c r="BD38" s="684">
        <v>0.76223223389559092</v>
      </c>
    </row>
    <row r="39" spans="1:138">
      <c r="A39" s="2">
        <v>2001</v>
      </c>
      <c r="B39" s="684">
        <v>0.9354428044341121</v>
      </c>
      <c r="C39" s="683">
        <v>40.573630000000001</v>
      </c>
      <c r="D39" s="684">
        <v>0.29536190000000001</v>
      </c>
      <c r="E39" s="684">
        <v>11.210257183688668</v>
      </c>
      <c r="F39" s="684">
        <v>0.71385319396007441</v>
      </c>
      <c r="G39" s="684">
        <v>0.55255694812917389</v>
      </c>
      <c r="H39" s="683">
        <v>53.316470000000002</v>
      </c>
      <c r="I39" s="684">
        <v>0.33951860000000006</v>
      </c>
      <c r="J39" s="684">
        <v>10.002348992599552</v>
      </c>
      <c r="K39" s="684">
        <v>0.74444500793197699</v>
      </c>
      <c r="L39" s="684">
        <v>0.72754158964879845</v>
      </c>
      <c r="M39" s="683">
        <v>49.445050000000002</v>
      </c>
      <c r="N39" s="684">
        <v>0.29860049999999999</v>
      </c>
      <c r="O39" s="684">
        <v>10.741654407456265</v>
      </c>
      <c r="P39" s="684">
        <v>0.72572115632921208</v>
      </c>
      <c r="Q39" s="684">
        <v>0.83366372705549541</v>
      </c>
      <c r="R39" s="683">
        <v>54.820670000000007</v>
      </c>
      <c r="S39" s="684">
        <v>0.14253955299102</v>
      </c>
      <c r="T39" s="684">
        <v>6.5143432311994651</v>
      </c>
      <c r="U39" s="684">
        <v>0.83278319801367962</v>
      </c>
      <c r="V39" s="684">
        <v>0.81536204411783808</v>
      </c>
      <c r="W39" s="683">
        <v>55.121589999999998</v>
      </c>
      <c r="X39" s="684">
        <v>0.31460440000000001</v>
      </c>
      <c r="Y39" s="684">
        <v>14.139596606600133</v>
      </c>
      <c r="Z39" s="684">
        <v>0.63966394071437271</v>
      </c>
      <c r="AA39" s="684">
        <v>0.95959043104101582</v>
      </c>
      <c r="AB39" s="683">
        <v>36.88843</v>
      </c>
      <c r="AC39" s="684">
        <v>0.28444520000000001</v>
      </c>
      <c r="AD39" s="684">
        <v>10.068729875766405</v>
      </c>
      <c r="AE39" s="684">
        <v>0.74276382748787395</v>
      </c>
      <c r="AF39" s="684">
        <v>0.90017269492001284</v>
      </c>
      <c r="AG39" s="683">
        <v>36.06438</v>
      </c>
      <c r="AH39" s="684">
        <v>0.31220750000000003</v>
      </c>
      <c r="AI39" s="684">
        <v>10.135557397491516</v>
      </c>
      <c r="AJ39" s="684">
        <v>0.74107133535320713</v>
      </c>
      <c r="AK39" s="684">
        <v>0.91251618980336746</v>
      </c>
      <c r="AL39" s="683">
        <v>54.924729999999997</v>
      </c>
      <c r="AM39" s="684">
        <v>0.29392010000000002</v>
      </c>
      <c r="AN39" s="684">
        <v>14.731188807143029</v>
      </c>
      <c r="AO39" s="684">
        <v>0.62468111447000496</v>
      </c>
      <c r="AP39" s="684">
        <v>0.82215573017311527</v>
      </c>
      <c r="AQ39" s="683">
        <v>50.053289999999997</v>
      </c>
      <c r="AR39" s="684">
        <v>0.3070503</v>
      </c>
      <c r="AS39" s="684">
        <v>12.635610876006755</v>
      </c>
      <c r="AT39" s="684">
        <v>0.67775429561562039</v>
      </c>
      <c r="AU39" s="684">
        <v>1.1096394209758427</v>
      </c>
      <c r="AV39" s="683">
        <v>41.277500000000003</v>
      </c>
      <c r="AW39" s="684">
        <v>0.23485959999999997</v>
      </c>
      <c r="AX39" s="684">
        <v>10.757307420818245</v>
      </c>
      <c r="AY39" s="684">
        <v>0.72532472382183943</v>
      </c>
      <c r="AZ39" s="684">
        <v>1.0072534195830378</v>
      </c>
      <c r="BA39" s="683">
        <v>47.768280000000004</v>
      </c>
      <c r="BB39" s="684">
        <v>0.29953370000000001</v>
      </c>
      <c r="BC39" s="684">
        <v>14.411993099117039</v>
      </c>
      <c r="BD39" s="684">
        <v>0.63276515247272458</v>
      </c>
    </row>
    <row r="40" spans="1:138">
      <c r="A40" s="2">
        <v>2002</v>
      </c>
      <c r="B40" s="684">
        <v>0.91464505728900936</v>
      </c>
      <c r="C40" s="683">
        <v>48.657589999999999</v>
      </c>
      <c r="D40" s="684">
        <v>0.29984660000000002</v>
      </c>
      <c r="E40" s="684">
        <v>13.344500279257318</v>
      </c>
      <c r="F40" s="684">
        <v>0.65980076826074685</v>
      </c>
      <c r="G40" s="684">
        <v>0.61488803122638036</v>
      </c>
      <c r="H40" s="683">
        <v>57.977609999999999</v>
      </c>
      <c r="I40" s="684">
        <v>0.32912039999999998</v>
      </c>
      <c r="J40" s="684">
        <v>11.733056184520047</v>
      </c>
      <c r="K40" s="684">
        <v>0.70061264314990934</v>
      </c>
      <c r="L40" s="684">
        <v>0.74948799511961306</v>
      </c>
      <c r="M40" s="683">
        <v>50.77064</v>
      </c>
      <c r="N40" s="684">
        <v>0.2123411</v>
      </c>
      <c r="O40" s="684">
        <v>8.0800003912688485</v>
      </c>
      <c r="P40" s="684">
        <v>0.79313093558350767</v>
      </c>
      <c r="Q40" s="684">
        <v>0.84640871758446012</v>
      </c>
      <c r="R40" s="683">
        <v>63.657139999999998</v>
      </c>
      <c r="S40" s="684">
        <v>0.20921695678107999</v>
      </c>
      <c r="T40" s="684">
        <v>11.272600892894184</v>
      </c>
      <c r="U40" s="684">
        <v>0.71227426009042838</v>
      </c>
      <c r="V40" s="684">
        <v>0.76610069950604598</v>
      </c>
      <c r="W40" s="683">
        <v>57.571550000000002</v>
      </c>
      <c r="X40" s="684">
        <v>0.26593040000000001</v>
      </c>
      <c r="Y40" s="684">
        <v>11.729021107199207</v>
      </c>
      <c r="Z40" s="684">
        <v>0.70071483662427425</v>
      </c>
      <c r="AA40" s="684">
        <v>0.92496534673586572</v>
      </c>
      <c r="AB40" s="683">
        <v>45.936030000000002</v>
      </c>
      <c r="AC40" s="684">
        <v>0.28228740000000002</v>
      </c>
      <c r="AD40" s="684">
        <v>11.994175934889032</v>
      </c>
      <c r="AE40" s="684">
        <v>0.69399945277119757</v>
      </c>
      <c r="AF40" s="684">
        <v>0.87444804017716182</v>
      </c>
      <c r="AG40" s="683">
        <v>47.582099999999997</v>
      </c>
      <c r="AH40" s="684">
        <v>0.28439510000000001</v>
      </c>
      <c r="AI40" s="684">
        <v>11.833132392347853</v>
      </c>
      <c r="AJ40" s="684">
        <v>0.6980780856765294</v>
      </c>
      <c r="AK40" s="684">
        <v>0.88207412588699807</v>
      </c>
      <c r="AL40" s="683">
        <v>42.352150000000002</v>
      </c>
      <c r="AM40" s="684">
        <v>0.34621649999999993</v>
      </c>
      <c r="AN40" s="684">
        <v>12.933864498754049</v>
      </c>
      <c r="AO40" s="684">
        <v>0.67020064260553158</v>
      </c>
      <c r="AP40" s="684">
        <v>0.82931868020218613</v>
      </c>
      <c r="AQ40" s="683">
        <v>66.555800000000005</v>
      </c>
      <c r="AR40" s="684">
        <v>0.26630140000000002</v>
      </c>
      <c r="AS40" s="684">
        <v>14.698763610223219</v>
      </c>
      <c r="AT40" s="684">
        <v>0.62550232389592897</v>
      </c>
      <c r="AU40" s="684">
        <v>1.0969862317709229</v>
      </c>
      <c r="AV40" s="683">
        <v>36.371900000000004</v>
      </c>
      <c r="AW40" s="684">
        <v>0.36765320000000001</v>
      </c>
      <c r="AX40" s="684">
        <v>14.669169119174475</v>
      </c>
      <c r="AY40" s="684">
        <v>0.62625184208897955</v>
      </c>
      <c r="AZ40" s="684">
        <v>1.0008293291922887</v>
      </c>
      <c r="BA40" s="683">
        <v>56.312689999999996</v>
      </c>
      <c r="BB40" s="684">
        <v>0.32725159999999998</v>
      </c>
      <c r="BC40" s="684">
        <v>18.443701127738489</v>
      </c>
      <c r="BD40" s="684">
        <v>0.53065700972604302</v>
      </c>
    </row>
    <row r="41" spans="1:138">
      <c r="A41" s="2">
        <v>2003</v>
      </c>
      <c r="B41" s="684">
        <v>0.9175222288116075</v>
      </c>
      <c r="C41" s="683">
        <v>46.616390000000003</v>
      </c>
      <c r="D41" s="684">
        <v>0.30304429999999999</v>
      </c>
      <c r="E41" s="684">
        <v>12.961681718471695</v>
      </c>
      <c r="F41" s="684">
        <v>0.6694961360734164</v>
      </c>
      <c r="G41" s="684">
        <v>0.48234029763747971</v>
      </c>
      <c r="H41" s="683">
        <v>61.648159999999997</v>
      </c>
      <c r="I41" s="684">
        <v>0.3111527</v>
      </c>
      <c r="J41" s="684">
        <v>9.2522474575705811</v>
      </c>
      <c r="K41" s="684">
        <v>0.76344228503376943</v>
      </c>
      <c r="L41" s="684">
        <v>0.81076792128914987</v>
      </c>
      <c r="M41" s="683">
        <v>31.560100000000002</v>
      </c>
      <c r="N41" s="684">
        <v>0.14680389999999999</v>
      </c>
      <c r="O41" s="684">
        <v>3.7564059604241096</v>
      </c>
      <c r="P41" s="684">
        <v>0.90263147336783822</v>
      </c>
      <c r="Q41" s="684">
        <v>0.81059598145023137</v>
      </c>
      <c r="R41" s="683">
        <v>51.957889999999992</v>
      </c>
      <c r="S41" s="684">
        <v>0.16733350221840002</v>
      </c>
      <c r="T41" s="684">
        <v>7.047561157239457</v>
      </c>
      <c r="U41" s="684">
        <v>0.81927877464753673</v>
      </c>
      <c r="V41" s="684">
        <v>0.76021904794360751</v>
      </c>
      <c r="W41" s="683">
        <v>61.456589999999998</v>
      </c>
      <c r="X41" s="684">
        <v>0.29329640000000001</v>
      </c>
      <c r="Y41" s="684">
        <v>13.702945756929241</v>
      </c>
      <c r="Z41" s="684">
        <v>0.65072267983241849</v>
      </c>
      <c r="AA41" s="684">
        <v>0.93729298273416506</v>
      </c>
      <c r="AB41" s="683">
        <v>41.8125</v>
      </c>
      <c r="AC41" s="684">
        <v>0.2767984</v>
      </c>
      <c r="AD41" s="684">
        <v>10.847885089369861</v>
      </c>
      <c r="AE41" s="684">
        <v>0.72303072895800691</v>
      </c>
      <c r="AF41" s="684">
        <v>0.90997911013680943</v>
      </c>
      <c r="AG41" s="683">
        <v>46.233819999999994</v>
      </c>
      <c r="AH41" s="684">
        <v>0.28627599999999997</v>
      </c>
      <c r="AI41" s="684">
        <v>12.044149588867452</v>
      </c>
      <c r="AJ41" s="684">
        <v>0.69273380631124137</v>
      </c>
      <c r="AK41" s="684">
        <v>0.86471700922622163</v>
      </c>
      <c r="AL41" s="683">
        <v>42.980699999999999</v>
      </c>
      <c r="AM41" s="684">
        <v>0.30095569999999999</v>
      </c>
      <c r="AN41" s="684">
        <v>11.185362389786809</v>
      </c>
      <c r="AO41" s="684">
        <v>0.71448368633485315</v>
      </c>
      <c r="AP41" s="684">
        <v>0.84634324061937716</v>
      </c>
      <c r="AQ41" s="683">
        <v>52.515750000000004</v>
      </c>
      <c r="AR41" s="684">
        <v>0.3081873</v>
      </c>
      <c r="AS41" s="684">
        <v>13.697800613237796</v>
      </c>
      <c r="AT41" s="684">
        <v>0.65085298715198836</v>
      </c>
      <c r="AU41" s="684">
        <v>1.0411856959920891</v>
      </c>
      <c r="AV41" s="683">
        <v>36.376840000000001</v>
      </c>
      <c r="AW41" s="684">
        <v>0.36439310000000008</v>
      </c>
      <c r="AX41" s="684">
        <v>13.801405232690596</v>
      </c>
      <c r="AY41" s="684">
        <v>0.64822906815854886</v>
      </c>
      <c r="AZ41" s="684">
        <v>0.96373481590162446</v>
      </c>
      <c r="BA41" s="683">
        <v>58.943680000000001</v>
      </c>
      <c r="BB41" s="684">
        <v>0.35225919999999999</v>
      </c>
      <c r="BC41" s="684">
        <v>20.01046309591722</v>
      </c>
      <c r="BD41" s="684">
        <v>0.49097676662283229</v>
      </c>
    </row>
    <row r="42" spans="1:138">
      <c r="A42" s="2">
        <v>2004</v>
      </c>
      <c r="B42" s="684">
        <v>0.89527906253571299</v>
      </c>
      <c r="C42" s="683">
        <v>42.669346037608683</v>
      </c>
      <c r="D42" s="684">
        <v>0.27702156018163249</v>
      </c>
      <c r="E42" s="684">
        <v>10.582492897016177</v>
      </c>
      <c r="F42" s="684">
        <v>0.72975212437362946</v>
      </c>
      <c r="G42" s="684">
        <v>0.60857015097920175</v>
      </c>
      <c r="H42" s="683">
        <v>54.058312878886731</v>
      </c>
      <c r="I42" s="684">
        <v>0.27290812592148395</v>
      </c>
      <c r="J42" s="684">
        <v>8.9782067483368024</v>
      </c>
      <c r="K42" s="684">
        <v>0.77038271515871881</v>
      </c>
      <c r="L42" s="684">
        <v>0.84062544828575525</v>
      </c>
      <c r="M42" s="683">
        <v>40.178099109649864</v>
      </c>
      <c r="N42" s="684">
        <v>0.2041390018256104</v>
      </c>
      <c r="O42" s="684">
        <v>6.894740194852532</v>
      </c>
      <c r="P42" s="684">
        <v>0.82314916023382256</v>
      </c>
      <c r="Q42" s="684">
        <v>0.84949858346111218</v>
      </c>
      <c r="R42" s="683">
        <v>45.274572292350335</v>
      </c>
      <c r="S42" s="684">
        <v>0.12145990485195556</v>
      </c>
      <c r="T42" s="684">
        <v>4.6714311441827236</v>
      </c>
      <c r="U42" s="684">
        <v>0.87945729472772971</v>
      </c>
      <c r="V42" s="684">
        <v>0.74188449146832836</v>
      </c>
      <c r="W42" s="683">
        <v>63.336742947559841</v>
      </c>
      <c r="X42" s="684">
        <v>0.24755282767697268</v>
      </c>
      <c r="Y42" s="684">
        <v>11.632147760695307</v>
      </c>
      <c r="Z42" s="684">
        <v>0.70316827755376321</v>
      </c>
      <c r="AA42" s="684">
        <v>0.8943417331246033</v>
      </c>
      <c r="AB42" s="683">
        <v>31.884285869828027</v>
      </c>
      <c r="AC42" s="684">
        <v>0.25695037377713542</v>
      </c>
      <c r="AD42" s="684">
        <v>7.3270548895034731</v>
      </c>
      <c r="AE42" s="684">
        <v>0.81220023976648414</v>
      </c>
      <c r="AF42" s="684">
        <v>0.86242908806478769</v>
      </c>
      <c r="AG42" s="683">
        <v>43.290950170694209</v>
      </c>
      <c r="AH42" s="684">
        <v>0.26447366920230664</v>
      </c>
      <c r="AI42" s="684">
        <v>9.8742235319140281</v>
      </c>
      <c r="AJ42" s="684">
        <v>0.7476899484723849</v>
      </c>
      <c r="AK42" s="684">
        <v>0.85547653489834574</v>
      </c>
      <c r="AL42" s="683">
        <v>36.460894951716334</v>
      </c>
      <c r="AM42" s="684">
        <v>0.28540078090372989</v>
      </c>
      <c r="AN42" s="684">
        <v>8.9020613542281879</v>
      </c>
      <c r="AO42" s="684">
        <v>0.77231119428368245</v>
      </c>
      <c r="AP42" s="684">
        <v>0.79891432868826795</v>
      </c>
      <c r="AQ42" s="683">
        <v>51.755441620853382</v>
      </c>
      <c r="AR42" s="684">
        <v>0.27321672472978548</v>
      </c>
      <c r="AS42" s="684">
        <v>11.297009913935501</v>
      </c>
      <c r="AT42" s="684">
        <v>0.71165607053228075</v>
      </c>
      <c r="AU42" s="684">
        <v>1.0749116626041373</v>
      </c>
      <c r="AV42" s="683">
        <v>44.41727924324767</v>
      </c>
      <c r="AW42" s="684">
        <v>0.30424724125061481</v>
      </c>
      <c r="AX42" s="684">
        <v>14.526178497174335</v>
      </c>
      <c r="AY42" s="684">
        <v>0.62987326177983438</v>
      </c>
      <c r="AZ42" s="684">
        <v>0.97514775443821289</v>
      </c>
      <c r="BA42" s="683">
        <v>53.294226132893584</v>
      </c>
      <c r="BB42" s="684">
        <v>0.3259909690137065</v>
      </c>
      <c r="BC42" s="684">
        <v>16.941667511738189</v>
      </c>
      <c r="BD42" s="684">
        <v>0.56869792483797255</v>
      </c>
    </row>
    <row r="43" spans="1:138">
      <c r="A43" s="2">
        <v>2005</v>
      </c>
      <c r="B43" s="684">
        <v>0.90932817032171231</v>
      </c>
      <c r="C43" s="683">
        <v>36.891742884780903</v>
      </c>
      <c r="D43" s="684">
        <v>0.29652493102241118</v>
      </c>
      <c r="E43" s="684">
        <v>9.9474332170740531</v>
      </c>
      <c r="F43" s="684">
        <v>0.74583581991702042</v>
      </c>
      <c r="G43" s="684">
        <v>0.57431522554064973</v>
      </c>
      <c r="H43" s="683">
        <v>56.742506731493741</v>
      </c>
      <c r="I43" s="684">
        <v>0.26968218918278808</v>
      </c>
      <c r="J43" s="684">
        <v>8.7884262527342987</v>
      </c>
      <c r="K43" s="684">
        <v>0.77518914801495487</v>
      </c>
      <c r="L43" s="684">
        <v>0.80807503961852001</v>
      </c>
      <c r="M43" s="683">
        <v>40.355992463269963</v>
      </c>
      <c r="N43" s="684">
        <v>0.20336870145019509</v>
      </c>
      <c r="O43" s="684">
        <v>6.6319896537438634</v>
      </c>
      <c r="P43" s="684">
        <v>0.82980365246585686</v>
      </c>
      <c r="Q43" s="684">
        <v>0.83509529497686563</v>
      </c>
      <c r="R43" s="683">
        <v>38.554694153342027</v>
      </c>
      <c r="S43" s="684">
        <v>9.9457909011992904E-2</v>
      </c>
      <c r="T43" s="684">
        <v>3.202230749867951</v>
      </c>
      <c r="U43" s="684">
        <v>0.91666666666666663</v>
      </c>
      <c r="V43" s="684">
        <v>0.7580191762053371</v>
      </c>
      <c r="W43" s="683">
        <v>51.410220846760453</v>
      </c>
      <c r="X43" s="684">
        <v>0.28847443407876683</v>
      </c>
      <c r="Y43" s="684">
        <v>11.241829441764535</v>
      </c>
      <c r="Z43" s="684">
        <v>0.71305358629712856</v>
      </c>
      <c r="AA43" s="684">
        <v>0.86148559484706155</v>
      </c>
      <c r="AB43" s="683">
        <v>32.282561480276179</v>
      </c>
      <c r="AC43" s="684">
        <v>0.24750696902951352</v>
      </c>
      <c r="AD43" s="684">
        <v>6.8834068312183314</v>
      </c>
      <c r="AE43" s="684">
        <v>0.82343619210804209</v>
      </c>
      <c r="AF43" s="684">
        <v>0.93207456078756978</v>
      </c>
      <c r="AG43" s="683">
        <v>37.145152356278658</v>
      </c>
      <c r="AH43" s="684">
        <v>0.30028668405266118</v>
      </c>
      <c r="AI43" s="684">
        <v>10.396541060414659</v>
      </c>
      <c r="AJ43" s="684">
        <v>0.7344615915624545</v>
      </c>
      <c r="AK43" s="684">
        <v>0.89168864684687665</v>
      </c>
      <c r="AL43" s="683">
        <v>38.948479954534918</v>
      </c>
      <c r="AM43" s="684">
        <v>0.2611764098230997</v>
      </c>
      <c r="AN43" s="684">
        <v>9.0706351366944844</v>
      </c>
      <c r="AO43" s="684">
        <v>0.76804184845773926</v>
      </c>
      <c r="AP43" s="684">
        <v>0.82411456993396803</v>
      </c>
      <c r="AQ43" s="683">
        <v>53.568309082169165</v>
      </c>
      <c r="AR43" s="684">
        <v>0.28987380069030938</v>
      </c>
      <c r="AS43" s="684">
        <v>12.796891712154819</v>
      </c>
      <c r="AT43" s="684">
        <v>0.67366965294735126</v>
      </c>
      <c r="AU43" s="684">
        <v>1.0244985190762894</v>
      </c>
      <c r="AV43" s="683">
        <v>36.624465352218643</v>
      </c>
      <c r="AW43" s="684">
        <v>0.37563758013103388</v>
      </c>
      <c r="AX43" s="684">
        <v>14.094564540347791</v>
      </c>
      <c r="AY43" s="684">
        <v>0.6408044351689387</v>
      </c>
      <c r="AZ43" s="684">
        <v>0.95394397951042564</v>
      </c>
      <c r="BA43" s="683">
        <v>34.729024275354455</v>
      </c>
      <c r="BB43" s="684">
        <v>0.34223063011706073</v>
      </c>
      <c r="BC43" s="684">
        <v>11.337944589160717</v>
      </c>
      <c r="BD43" s="684">
        <v>0.71061934772608726</v>
      </c>
    </row>
    <row r="44" spans="1:138">
      <c r="A44" s="2">
        <v>2006</v>
      </c>
      <c r="B44" s="684">
        <v>0.90232467859311449</v>
      </c>
      <c r="C44" s="683">
        <v>35.50002345972036</v>
      </c>
      <c r="D44" s="684">
        <v>0.28972607660347477</v>
      </c>
      <c r="E44" s="684">
        <v>9.2806642407742999</v>
      </c>
      <c r="F44" s="684">
        <v>0.76272259379244733</v>
      </c>
      <c r="G44" s="684">
        <v>0.55967118016530915</v>
      </c>
      <c r="H44" s="683">
        <v>53.139759734019229</v>
      </c>
      <c r="I44" s="684">
        <v>0.27323068496859509</v>
      </c>
      <c r="J44" s="684">
        <v>8.1260969817014601</v>
      </c>
      <c r="K44" s="684">
        <v>0.7919634806977337</v>
      </c>
      <c r="L44" s="684">
        <v>0.81191118706161935</v>
      </c>
      <c r="M44" s="683">
        <v>47.828096944723647</v>
      </c>
      <c r="N44" s="684">
        <v>0.21309947720309069</v>
      </c>
      <c r="O44" s="684">
        <v>8.2751144789661684</v>
      </c>
      <c r="P44" s="684">
        <v>0.78818942271177861</v>
      </c>
      <c r="Q44" s="684">
        <v>0.82805699298468138</v>
      </c>
      <c r="R44" s="683">
        <v>37.573291254990501</v>
      </c>
      <c r="S44" s="684">
        <v>0.1133850724664342</v>
      </c>
      <c r="T44" s="684">
        <v>3.5277300956316524</v>
      </c>
      <c r="U44" s="684">
        <v>0.90842298100658281</v>
      </c>
      <c r="V44" s="684">
        <v>0.73420921756192248</v>
      </c>
      <c r="W44" s="683">
        <v>45.514180432744269</v>
      </c>
      <c r="X44" s="684">
        <v>0.30015398253573305</v>
      </c>
      <c r="Y44" s="684">
        <v>10.030224864790737</v>
      </c>
      <c r="Z44" s="684">
        <v>0.74373901595123848</v>
      </c>
      <c r="AA44" s="684">
        <v>0.84339079091457159</v>
      </c>
      <c r="AB44" s="683">
        <v>28.589398209637803</v>
      </c>
      <c r="AC44" s="684">
        <v>0.25939988670502939</v>
      </c>
      <c r="AD44" s="684">
        <v>6.2546591907545013</v>
      </c>
      <c r="AE44" s="684">
        <v>0.83936002720928371</v>
      </c>
      <c r="AF44" s="684">
        <v>0.9405893028276</v>
      </c>
      <c r="AG44" s="683">
        <v>35.835462029197316</v>
      </c>
      <c r="AH44" s="684">
        <v>0.28033377837040852</v>
      </c>
      <c r="AI44" s="684">
        <v>9.4490571137364423</v>
      </c>
      <c r="AJ44" s="684">
        <v>0.75845782973019915</v>
      </c>
      <c r="AK44" s="684">
        <v>0.89198198605842483</v>
      </c>
      <c r="AL44" s="683">
        <v>28.528646597944704</v>
      </c>
      <c r="AM44" s="684">
        <v>0.30532757043064523</v>
      </c>
      <c r="AN44" s="684">
        <v>7.7696825473334545</v>
      </c>
      <c r="AO44" s="684">
        <v>0.80099013036657629</v>
      </c>
      <c r="AP44" s="684">
        <v>0.80607741301951719</v>
      </c>
      <c r="AQ44" s="683">
        <v>49.640136751676408</v>
      </c>
      <c r="AR44" s="685">
        <v>0.30736927017948212</v>
      </c>
      <c r="AS44" s="684">
        <v>12.299010356049308</v>
      </c>
      <c r="AT44" s="684">
        <v>0.68627913265650453</v>
      </c>
      <c r="AU44" s="684">
        <v>0.99860408012020563</v>
      </c>
      <c r="AV44" s="683">
        <v>28.187785369155097</v>
      </c>
      <c r="AW44" s="684">
        <v>0.24646929487948852</v>
      </c>
      <c r="AX44" s="684">
        <v>6.9377255374555524</v>
      </c>
      <c r="AY44" s="684">
        <v>0.82206050166346856</v>
      </c>
      <c r="AZ44" s="684">
        <v>0.94066557321291089</v>
      </c>
      <c r="BA44" s="683">
        <v>45.766465536635287</v>
      </c>
      <c r="BB44" s="684">
        <v>0.35968717468406913</v>
      </c>
      <c r="BC44" s="684">
        <v>15.484870450212012</v>
      </c>
      <c r="BD44" s="684">
        <v>0.60559316657057449</v>
      </c>
    </row>
    <row r="45" spans="1:138">
      <c r="A45" s="2">
        <v>2007</v>
      </c>
      <c r="B45" s="684">
        <v>0.8961448611522862</v>
      </c>
      <c r="C45" s="683">
        <v>35.50002345972036</v>
      </c>
      <c r="D45" s="684">
        <v>0.28972607660347477</v>
      </c>
      <c r="E45" s="684">
        <v>9.2171030724961209</v>
      </c>
      <c r="F45" s="684">
        <v>0.76433236136431026</v>
      </c>
      <c r="G45" s="684">
        <v>0.54488962326754464</v>
      </c>
      <c r="H45" s="683">
        <v>53.139759734019229</v>
      </c>
      <c r="I45" s="684">
        <v>0.27323068496859509</v>
      </c>
      <c r="J45" s="684">
        <v>7.9114774530412673</v>
      </c>
      <c r="K45" s="684">
        <v>0.7973989937143231</v>
      </c>
      <c r="L45" s="684">
        <v>0.81138832634891755</v>
      </c>
      <c r="M45" s="683">
        <v>47.828096944723647</v>
      </c>
      <c r="N45" s="684">
        <v>0.21309947720309069</v>
      </c>
      <c r="O45" s="684">
        <v>8.2697854080984303</v>
      </c>
      <c r="P45" s="684">
        <v>0.78832438822143536</v>
      </c>
      <c r="Q45" s="684">
        <v>0.82125018441317355</v>
      </c>
      <c r="R45" s="683">
        <v>37.573291254990501</v>
      </c>
      <c r="S45" s="684">
        <v>0.1133850724664342</v>
      </c>
      <c r="T45" s="684">
        <v>3.4987313870205941</v>
      </c>
      <c r="U45" s="684">
        <v>0.90915741025029473</v>
      </c>
      <c r="V45" s="684">
        <v>0.70911820846371143</v>
      </c>
      <c r="W45" s="683">
        <v>45.514180432744269</v>
      </c>
      <c r="X45" s="684">
        <v>0.30015398253573305</v>
      </c>
      <c r="Y45" s="684">
        <v>9.6874500026400305</v>
      </c>
      <c r="Z45" s="684">
        <v>0.75242022607508419</v>
      </c>
      <c r="AA45" s="684">
        <v>0.82710399929535028</v>
      </c>
      <c r="AB45" s="683">
        <v>28.589398209637803</v>
      </c>
      <c r="AC45" s="684">
        <v>0.25939988670502939</v>
      </c>
      <c r="AD45" s="684">
        <v>6.1338749327492659</v>
      </c>
      <c r="AE45" s="684">
        <v>0.84241904243816368</v>
      </c>
      <c r="AF45" s="684">
        <v>0.95212506539467057</v>
      </c>
      <c r="AG45" s="683">
        <v>35.835462029197316</v>
      </c>
      <c r="AH45" s="684">
        <v>0.28033377837040852</v>
      </c>
      <c r="AI45" s="684">
        <v>9.5649441209765538</v>
      </c>
      <c r="AJ45" s="684">
        <v>0.75552284361668209</v>
      </c>
      <c r="AK45" s="684">
        <v>0.88952379940694359</v>
      </c>
      <c r="AL45" s="683">
        <v>28.528646597944704</v>
      </c>
      <c r="AM45" s="684">
        <v>0.30532757043064523</v>
      </c>
      <c r="AN45" s="684">
        <v>7.7482703100656369</v>
      </c>
      <c r="AO45" s="684">
        <v>0.80153242255736667</v>
      </c>
      <c r="AP45" s="684">
        <v>0.78043794773673769</v>
      </c>
      <c r="AQ45" s="683">
        <v>49.640136751676408</v>
      </c>
      <c r="AR45" s="685">
        <v>0.30736927017948212</v>
      </c>
      <c r="AS45" s="684">
        <v>11.907807173894348</v>
      </c>
      <c r="AT45" s="684">
        <v>0.69618685168845362</v>
      </c>
      <c r="AU45" s="684">
        <v>0.97039289582565491</v>
      </c>
      <c r="AV45" s="683">
        <v>28.187785369155097</v>
      </c>
      <c r="AW45" s="684">
        <v>0.24646929487948852</v>
      </c>
      <c r="AX45" s="684">
        <v>6.741730490350788</v>
      </c>
      <c r="AY45" s="684">
        <v>0.82702432595464825</v>
      </c>
      <c r="AZ45" s="684">
        <v>0.92853178473467479</v>
      </c>
      <c r="BA45" s="683">
        <v>45.766465536635287</v>
      </c>
      <c r="BB45" s="684">
        <v>0.35968717468406913</v>
      </c>
      <c r="BC45" s="684">
        <v>15.285128748159488</v>
      </c>
      <c r="BD45" s="684">
        <v>0.61065187967203349</v>
      </c>
      <c r="BE45" s="314"/>
      <c r="BF45" s="314"/>
      <c r="BG45" s="314"/>
      <c r="BH45" s="314"/>
      <c r="BI45" s="314"/>
      <c r="BJ45" s="314"/>
      <c r="BK45" s="314"/>
      <c r="BL45" s="314"/>
      <c r="BM45" s="314"/>
      <c r="BN45" s="314"/>
      <c r="BO45" s="314"/>
      <c r="BP45" s="315"/>
      <c r="BQ45" s="315"/>
      <c r="BR45" s="315"/>
      <c r="BS45" s="315"/>
      <c r="BT45" s="315"/>
      <c r="BU45" s="315"/>
      <c r="BV45" s="315"/>
      <c r="BW45" s="315"/>
      <c r="BX45" s="315"/>
      <c r="BY45" s="315"/>
      <c r="BZ45" s="315"/>
      <c r="CA45" s="315"/>
      <c r="CB45" s="315"/>
      <c r="CC45" s="315"/>
      <c r="CD45" s="315"/>
      <c r="CE45" s="315"/>
      <c r="CF45" s="315"/>
      <c r="CG45" s="315"/>
      <c r="CH45" s="315"/>
      <c r="CI45" s="315"/>
      <c r="CJ45" s="315"/>
      <c r="CK45" s="315"/>
      <c r="CL45" s="315"/>
      <c r="CM45" s="315"/>
      <c r="CN45" s="315"/>
      <c r="CO45" s="315"/>
      <c r="CP45" s="315"/>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15"/>
      <c r="DY45" s="315"/>
      <c r="DZ45" s="315"/>
      <c r="EA45" s="315"/>
      <c r="EB45" s="315"/>
      <c r="EC45" s="315"/>
      <c r="ED45" s="315"/>
      <c r="EE45" s="315"/>
      <c r="EF45" s="315"/>
      <c r="EG45" s="315"/>
      <c r="EH45" s="315"/>
    </row>
    <row r="46" spans="1:138">
      <c r="A46" s="2">
        <v>2008</v>
      </c>
      <c r="B46" s="684">
        <v>0.889869707871358</v>
      </c>
      <c r="C46" s="683">
        <v>35.50002345972036</v>
      </c>
      <c r="D46" s="684">
        <v>0.28972607660347477</v>
      </c>
      <c r="E46" s="684">
        <v>9.1525613481685877</v>
      </c>
      <c r="F46" s="684">
        <v>0.76596696276747933</v>
      </c>
      <c r="G46" s="684">
        <v>0.52948151361175455</v>
      </c>
      <c r="H46" s="683">
        <v>53.139759734019229</v>
      </c>
      <c r="I46" s="684">
        <v>0.27323068496859509</v>
      </c>
      <c r="J46" s="684">
        <v>7.687760746151592</v>
      </c>
      <c r="K46" s="684">
        <v>0.80306490436056588</v>
      </c>
      <c r="L46" s="684">
        <v>0.81311940917442294</v>
      </c>
      <c r="M46" s="683">
        <v>47.828096944723647</v>
      </c>
      <c r="N46" s="684">
        <v>0.21309947720309069</v>
      </c>
      <c r="O46" s="684">
        <v>8.2874288508565872</v>
      </c>
      <c r="P46" s="684">
        <v>0.78787754555353784</v>
      </c>
      <c r="Q46" s="684">
        <v>0.814169643615831</v>
      </c>
      <c r="R46" s="683">
        <v>37.573291254990501</v>
      </c>
      <c r="S46" s="684">
        <v>0.1133850724664342</v>
      </c>
      <c r="T46" s="684">
        <v>3.4685665105981385</v>
      </c>
      <c r="U46" s="684">
        <v>0.90992137417968</v>
      </c>
      <c r="V46" s="684">
        <v>0.68548416230118803</v>
      </c>
      <c r="W46" s="683">
        <v>45.514180432744269</v>
      </c>
      <c r="X46" s="684">
        <v>0.30015398253573305</v>
      </c>
      <c r="Y46" s="684">
        <v>9.3645790936338233</v>
      </c>
      <c r="Z46" s="684">
        <v>0.76059734322531325</v>
      </c>
      <c r="AA46" s="684">
        <v>0.80996437439451352</v>
      </c>
      <c r="AB46" s="683">
        <v>28.589398209637803</v>
      </c>
      <c r="AC46" s="684">
        <v>0.25939988670502939</v>
      </c>
      <c r="AD46" s="684">
        <v>6.0067659892239842</v>
      </c>
      <c r="AE46" s="684">
        <v>0.84563823838631302</v>
      </c>
      <c r="AF46" s="684">
        <v>0.96116222340522661</v>
      </c>
      <c r="AG46" s="683">
        <v>35.835462029197316</v>
      </c>
      <c r="AH46" s="684">
        <v>0.28033377837040852</v>
      </c>
      <c r="AI46" s="684">
        <v>9.6557304205133416</v>
      </c>
      <c r="AJ46" s="684">
        <v>0.753223564907327</v>
      </c>
      <c r="AK46" s="684">
        <v>0.8885430592718695</v>
      </c>
      <c r="AL46" s="683">
        <v>28.528646597944704</v>
      </c>
      <c r="AM46" s="684">
        <v>0.30532757043064523</v>
      </c>
      <c r="AN46" s="684">
        <v>7.7397274923517649</v>
      </c>
      <c r="AO46" s="684">
        <v>0.80174878030063434</v>
      </c>
      <c r="AP46" s="684">
        <v>0.76176319564797201</v>
      </c>
      <c r="AQ46" s="683">
        <v>49.640136751676408</v>
      </c>
      <c r="AR46" s="685">
        <v>0.30736927017948212</v>
      </c>
      <c r="AS46" s="684">
        <v>11.622870559089561</v>
      </c>
      <c r="AT46" s="684">
        <v>0.70340323450479347</v>
      </c>
      <c r="AU46" s="684">
        <v>0.95047778189664733</v>
      </c>
      <c r="AV46" s="683">
        <v>28.187785369155097</v>
      </c>
      <c r="AW46" s="684">
        <v>0.24646929487948852</v>
      </c>
      <c r="AX46" s="684">
        <v>6.6033717581593665</v>
      </c>
      <c r="AY46" s="684">
        <v>0.83052843713446556</v>
      </c>
      <c r="AZ46" s="684">
        <v>0.91713823544273421</v>
      </c>
      <c r="BA46" s="683">
        <v>45.766465536635287</v>
      </c>
      <c r="BB46" s="684">
        <v>0.35968717468406913</v>
      </c>
      <c r="BC46" s="684">
        <v>15.097572575404909</v>
      </c>
      <c r="BD46" s="684">
        <v>0.61540197871806834</v>
      </c>
      <c r="BE46" s="314"/>
      <c r="BF46" s="314"/>
      <c r="BG46" s="314"/>
      <c r="BH46" s="314"/>
      <c r="BI46" s="314"/>
      <c r="BJ46" s="314"/>
      <c r="BK46" s="314"/>
      <c r="BL46" s="314"/>
      <c r="BM46" s="314"/>
      <c r="BN46" s="314"/>
      <c r="BO46" s="314"/>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315"/>
      <c r="CQ46" s="315"/>
      <c r="CR46" s="315"/>
      <c r="CS46" s="315"/>
      <c r="CT46" s="315"/>
      <c r="CU46" s="315"/>
      <c r="CV46" s="315"/>
      <c r="CW46" s="315"/>
      <c r="CX46" s="315"/>
      <c r="CY46" s="315"/>
      <c r="CZ46" s="315"/>
      <c r="DA46" s="315"/>
      <c r="DB46" s="315"/>
      <c r="DC46" s="315"/>
      <c r="DD46" s="315"/>
      <c r="DE46" s="315"/>
      <c r="DF46" s="315"/>
      <c r="DG46" s="315"/>
      <c r="DH46" s="315"/>
      <c r="DI46" s="315"/>
      <c r="DJ46" s="315"/>
      <c r="DK46" s="315"/>
      <c r="DL46" s="315"/>
      <c r="DM46" s="315"/>
      <c r="DN46" s="315"/>
      <c r="DO46" s="315"/>
      <c r="DP46" s="315"/>
      <c r="DQ46" s="315"/>
      <c r="DR46" s="315"/>
      <c r="DS46" s="315"/>
      <c r="DT46" s="315"/>
      <c r="DU46" s="315"/>
      <c r="DV46" s="315"/>
      <c r="DW46" s="315"/>
      <c r="DX46" s="315"/>
      <c r="DY46" s="315"/>
      <c r="DZ46" s="315"/>
      <c r="EA46" s="315"/>
      <c r="EB46" s="315"/>
      <c r="EC46" s="315"/>
      <c r="ED46" s="315"/>
      <c r="EE46" s="315"/>
      <c r="EF46" s="315"/>
      <c r="EG46" s="315"/>
      <c r="EH46" s="315"/>
    </row>
    <row r="47" spans="1:138">
      <c r="A47" s="2" t="s">
        <v>1707</v>
      </c>
      <c r="B47" s="644">
        <f>(POWER(B46/B19, 1/27)-1)*100</f>
        <v>-0.83370119116755736</v>
      </c>
      <c r="C47" s="644">
        <f>(POWER(C46/C19, 1/27)-1)*100</f>
        <v>-2.3082823401455954</v>
      </c>
      <c r="D47" s="644">
        <f>(POWER(D46/D19, 1/27)-1)*100</f>
        <v>-0.17559915370477519</v>
      </c>
      <c r="E47" s="644">
        <f>(POWER(E46/E19, 1/27)-1)*100</f>
        <v>-3.2928550037746751</v>
      </c>
      <c r="F47" s="644">
        <f>F46-F19</f>
        <v>0.34064341341626569</v>
      </c>
      <c r="G47" s="644">
        <f>(POWER(G46/G19, 1/27)-1)*100</f>
        <v>0.66959475630912202</v>
      </c>
      <c r="H47" s="644">
        <f>(POWER(H46/H19, 1/27)-1)*100</f>
        <v>-0.25515089578413974</v>
      </c>
      <c r="I47" s="644">
        <f>(POWER(I46/I19, 1/27)-1)*100</f>
        <v>-1.6562922916834921</v>
      </c>
      <c r="J47" s="644">
        <f>(POWER(J46/J19, 1/27)-1)*100</f>
        <v>-1.2503930125194351</v>
      </c>
      <c r="K47" s="644">
        <f>K46-K19</f>
        <v>7.877164579690854E-2</v>
      </c>
      <c r="L47" s="644">
        <f>(POWER(L46/L19, 1/27)-1)*100</f>
        <v>0.79427897858987961</v>
      </c>
      <c r="M47" s="644">
        <f>(POWER(M46/M19, 1/27)-1)*100</f>
        <v>-6.1601715066550433E-2</v>
      </c>
      <c r="N47" s="644">
        <f>(POWER(N46/N19, 1/27)-1)*100</f>
        <v>-2.3608473933550811</v>
      </c>
      <c r="O47" s="644">
        <f>(POWER(O46/O19, 1/27)-1)*100</f>
        <v>-1.6459452600047997</v>
      </c>
      <c r="P47" s="644">
        <f>P46-P19</f>
        <v>0.11865908433343864</v>
      </c>
      <c r="Q47" s="644">
        <f>(POWER(Q46/Q19, 1/27)-1)*100</f>
        <v>-1.1975570294301852</v>
      </c>
      <c r="R47" s="644">
        <f>(POWER(R46/R19, 1/27)-1)*100</f>
        <v>-2.2434027255510469</v>
      </c>
      <c r="S47" s="644">
        <f>(POWER(S46/S19, 1/27)-1)*100</f>
        <v>-2.8931488746568368</v>
      </c>
      <c r="T47" s="644">
        <f>(POWER(T46/T19, 1/27)-1)*100</f>
        <v>-6.2084677883300854</v>
      </c>
      <c r="U47" s="644">
        <f>U46-U19</f>
        <v>0.40795045596304613</v>
      </c>
      <c r="V47" s="644">
        <f>(POWER(V46/V19, 1/27)-1)*100</f>
        <v>-0.56689562869775001</v>
      </c>
      <c r="W47" s="644">
        <f>(POWER(W46/W19, 1/27)-1)*100</f>
        <v>-1.7858099877049671</v>
      </c>
      <c r="X47" s="644">
        <f>(POWER(X46/X19, 1/27)-1)*100</f>
        <v>-0.53939626838469534</v>
      </c>
      <c r="Y47" s="644">
        <f>(POWER(Y46/Y19, 1/27)-1)*100</f>
        <v>-2.8693424064747619</v>
      </c>
      <c r="Z47" s="644">
        <f>Z46-Z19</f>
        <v>0.28335161435054607</v>
      </c>
      <c r="AA47" s="644">
        <f>(POWER(AA46/AA19, 1/27)-1)*100</f>
        <v>-1.5222541237050913</v>
      </c>
      <c r="AB47" s="644">
        <f>(POWER(AB46/AB19, 1/27)-1)*100</f>
        <v>-1.920047585099538</v>
      </c>
      <c r="AC47" s="644">
        <f>(POWER(AC46/AC19, 1/27)-1)*100</f>
        <v>-1.0226950320845529</v>
      </c>
      <c r="AD47" s="644">
        <f>(POWER(AD46/AD19, 1/27)-1)*100</f>
        <v>-4.4008634021227788</v>
      </c>
      <c r="AE47" s="644">
        <f>AE46-AE19</f>
        <v>0.36067903986994587</v>
      </c>
      <c r="AF47" s="644">
        <f>(POWER(AF46/AF19, 1/27)-1)*100</f>
        <v>-8.3986182940598564E-2</v>
      </c>
      <c r="AG47" s="644">
        <f>(POWER(AG46/AG19, 1/27)-1)*100</f>
        <v>-0.45404906215723573</v>
      </c>
      <c r="AH47" s="644">
        <f>(POWER(AH46/AH19, 1/27)-1)*100</f>
        <v>-0.4910956320456572</v>
      </c>
      <c r="AI47" s="644">
        <f>(POWER(AI46/AI19, 1/27)-1)*100</f>
        <v>-1.0261091438165559</v>
      </c>
      <c r="AJ47" s="644">
        <f>AJ46-AJ19</f>
        <v>7.8528130360841608E-2</v>
      </c>
      <c r="AK47" s="644">
        <f>(POWER(AK46/AK19, 1/27)-1)*100</f>
        <v>-0.26423748462910401</v>
      </c>
      <c r="AL47" s="644">
        <f>(POWER(AL46/AL19, 1/27)-1)*100</f>
        <v>-2.1870778001557456</v>
      </c>
      <c r="AM47" s="644">
        <f>(POWER(AM46/AM19, 1/27)-1)*100</f>
        <v>-0.71061847607906126</v>
      </c>
      <c r="AN47" s="644">
        <f>(POWER(AN46/AN19, 1/27)-1)*100</f>
        <v>-3.1387762493829907</v>
      </c>
      <c r="AO47" s="644">
        <f>AO46-AO19</f>
        <v>0.26769348001501236</v>
      </c>
      <c r="AP47" s="644">
        <f>(POWER(AP46/AP19, 1/27)-1)*100</f>
        <v>-0.25368916600384539</v>
      </c>
      <c r="AQ47" s="644">
        <f>(POWER(AQ46/AQ19, 1/27)-1)*100</f>
        <v>-0.94988688804725774</v>
      </c>
      <c r="AR47" s="644">
        <f>(POWER(AR46/AR19, 1/27)-1)*100</f>
        <v>-6.4825405314983264E-2</v>
      </c>
      <c r="AS47" s="644">
        <f>(POWER(AS46/AS19, 1/27)-1)*100</f>
        <v>-1.2652130383232651</v>
      </c>
      <c r="AT47" s="644">
        <f>AT46-AT19</f>
        <v>0.1207711197322513</v>
      </c>
      <c r="AU47" s="644">
        <f>(POWER(AU46/AU19, 1/27)-1)*100</f>
        <v>-1.7305852769190722</v>
      </c>
      <c r="AV47" s="644">
        <f>(POWER(AV46/AV19, 1/27)-1)*100</f>
        <v>0.74988749103219732</v>
      </c>
      <c r="AW47" s="644">
        <f>(POWER(AW46/AW19, 1/27)-1)*100</f>
        <v>-0.93255725990655236</v>
      </c>
      <c r="AX47" s="644">
        <f>(POWER(AX46/AX19, 1/27)-1)*100</f>
        <v>-1.916965897824352</v>
      </c>
      <c r="AY47" s="644">
        <f>AY46-AY19</f>
        <v>0.1147955241857993</v>
      </c>
      <c r="AZ47" s="644">
        <f>(POWER(AZ46/AZ19, 1/27)-1)*100</f>
        <v>-1.3902168334756104</v>
      </c>
      <c r="BA47" s="644">
        <f>(POWER(BA46/BA19, 1/27)-1)*100</f>
        <v>-0.87453653859757008</v>
      </c>
      <c r="BB47" s="644">
        <f>(POWER(BB46/BB19, 1/27)-1)*100</f>
        <v>0.10069669712100549</v>
      </c>
      <c r="BC47" s="644">
        <f>(POWER(BC46/BC19, 1/27)-1)*100</f>
        <v>-2.1541670099630261</v>
      </c>
      <c r="BD47" s="644">
        <f>BD46-BD19</f>
        <v>0.30602606179211839</v>
      </c>
      <c r="BE47" s="644"/>
      <c r="BF47" s="644"/>
      <c r="BG47" s="644"/>
      <c r="BH47" s="644"/>
      <c r="BI47" s="644"/>
      <c r="BJ47" s="314"/>
      <c r="BK47" s="314"/>
      <c r="BL47" s="314"/>
      <c r="BM47" s="314"/>
      <c r="BN47" s="314"/>
      <c r="BO47" s="314"/>
      <c r="BP47" s="315"/>
      <c r="BQ47" s="315"/>
      <c r="BR47" s="315"/>
      <c r="BS47" s="315"/>
      <c r="BT47" s="315"/>
      <c r="BU47" s="315"/>
      <c r="BV47" s="315"/>
      <c r="BW47" s="315"/>
      <c r="BX47" s="315"/>
      <c r="BY47" s="315"/>
      <c r="BZ47" s="315"/>
      <c r="CA47" s="315"/>
      <c r="CB47" s="315"/>
      <c r="CC47" s="315"/>
      <c r="CD47" s="315"/>
      <c r="CE47" s="315"/>
      <c r="CF47" s="315"/>
      <c r="CG47" s="315"/>
      <c r="CH47" s="315"/>
      <c r="CI47" s="315"/>
      <c r="CJ47" s="315"/>
      <c r="CK47" s="315"/>
      <c r="CL47" s="315"/>
      <c r="CM47" s="315"/>
      <c r="CN47" s="315"/>
      <c r="CO47" s="315"/>
      <c r="CP47" s="315"/>
      <c r="CQ47" s="315"/>
      <c r="CR47" s="315"/>
      <c r="CS47" s="315"/>
      <c r="CT47" s="315"/>
      <c r="CU47" s="315"/>
      <c r="CV47" s="315"/>
      <c r="CW47" s="315"/>
      <c r="CX47" s="315"/>
      <c r="CY47" s="315"/>
      <c r="CZ47" s="315"/>
      <c r="DA47" s="315"/>
      <c r="DB47" s="315"/>
      <c r="DC47" s="315"/>
      <c r="DD47" s="315"/>
      <c r="DE47" s="315"/>
      <c r="DF47" s="315"/>
      <c r="DG47" s="315"/>
      <c r="DH47" s="315"/>
      <c r="DI47" s="315"/>
      <c r="DJ47" s="315"/>
      <c r="DK47" s="315"/>
      <c r="DL47" s="315"/>
      <c r="DM47" s="315"/>
      <c r="DN47" s="315"/>
      <c r="DO47" s="315"/>
      <c r="DP47" s="315"/>
      <c r="DQ47" s="315"/>
      <c r="DR47" s="315"/>
      <c r="DS47" s="315"/>
      <c r="DT47" s="315"/>
      <c r="DU47" s="315"/>
      <c r="DV47" s="315"/>
      <c r="DW47" s="315"/>
      <c r="DX47" s="315"/>
      <c r="DY47" s="315"/>
      <c r="DZ47" s="315"/>
      <c r="EA47" s="315"/>
      <c r="EB47" s="315"/>
      <c r="EC47" s="315"/>
      <c r="ED47" s="315"/>
      <c r="EE47" s="315"/>
      <c r="EF47" s="315"/>
      <c r="EG47" s="315"/>
      <c r="EH47" s="315"/>
    </row>
    <row r="48" spans="1:138">
      <c r="B48" s="309" t="s">
        <v>391</v>
      </c>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4"/>
      <c r="BO48" s="314"/>
      <c r="BP48" s="315"/>
      <c r="BQ48" s="315"/>
      <c r="BR48" s="315"/>
      <c r="BS48" s="315"/>
      <c r="BT48" s="315"/>
      <c r="BU48" s="315"/>
      <c r="BV48" s="315"/>
      <c r="BW48" s="315"/>
      <c r="BX48" s="315"/>
      <c r="BY48" s="315"/>
      <c r="BZ48" s="315"/>
      <c r="CA48" s="315"/>
      <c r="CB48" s="315"/>
      <c r="CC48" s="315"/>
      <c r="CD48" s="315"/>
      <c r="CE48" s="315"/>
      <c r="CF48" s="315"/>
      <c r="CG48" s="315"/>
      <c r="CH48" s="315"/>
      <c r="CI48" s="315"/>
      <c r="CJ48" s="315"/>
      <c r="CK48" s="315"/>
      <c r="CL48" s="315"/>
      <c r="CM48" s="315"/>
      <c r="CN48" s="315"/>
      <c r="CO48" s="315"/>
      <c r="CP48" s="315"/>
      <c r="CQ48" s="315"/>
      <c r="CR48" s="315"/>
      <c r="CS48" s="315"/>
      <c r="CT48" s="315"/>
      <c r="CU48" s="315"/>
      <c r="CV48" s="315"/>
      <c r="CW48" s="315"/>
      <c r="CX48" s="315"/>
      <c r="CY48" s="315"/>
      <c r="CZ48" s="315"/>
      <c r="DA48" s="315"/>
      <c r="DB48" s="315"/>
      <c r="DC48" s="315"/>
      <c r="DD48" s="315"/>
      <c r="DE48" s="315"/>
      <c r="DF48" s="315"/>
      <c r="DG48" s="315"/>
      <c r="DH48" s="315"/>
      <c r="DI48" s="315"/>
      <c r="DJ48" s="315"/>
      <c r="DK48" s="315"/>
      <c r="DL48" s="315"/>
      <c r="DM48" s="315"/>
      <c r="DN48" s="315"/>
      <c r="DO48" s="315"/>
      <c r="DP48" s="315"/>
      <c r="DQ48" s="315"/>
      <c r="DR48" s="315"/>
      <c r="DS48" s="315"/>
      <c r="DT48" s="315"/>
      <c r="DU48" s="315"/>
      <c r="DV48" s="315"/>
      <c r="DW48" s="315"/>
      <c r="DX48" s="315"/>
      <c r="DY48" s="315"/>
      <c r="DZ48" s="315"/>
      <c r="EA48" s="315"/>
      <c r="EB48" s="315"/>
      <c r="EC48" s="315"/>
      <c r="ED48" s="315"/>
      <c r="EE48" s="315"/>
      <c r="EF48" s="315"/>
      <c r="EG48" s="315"/>
      <c r="EH48" s="315"/>
    </row>
    <row r="49" spans="5:47">
      <c r="Q49" s="309" t="s">
        <v>136</v>
      </c>
      <c r="AF49" s="309" t="s">
        <v>136</v>
      </c>
      <c r="AU49" s="309" t="s">
        <v>136</v>
      </c>
    </row>
    <row r="50" spans="5:47">
      <c r="E50" s="1" t="s">
        <v>139</v>
      </c>
      <c r="F50" s="361">
        <f>MAX(E19:E46,J19:J46,O19:O46,T19:T46,Y19:Y46,AD19:AD46,AI19:AI46,AN19:AN46,AS19:AS46,AX19:AX46,BC19:BC46)</f>
        <v>36.106136355643585</v>
      </c>
    </row>
    <row r="51" spans="5:47">
      <c r="E51" s="1" t="s">
        <v>140</v>
      </c>
      <c r="F51" s="361">
        <f>MIN(E19:E46,J19:J46,O19:O46,T19:T46,Y19:Y46,AD19:AD46,AI19:AI46,AN19:AN46,AS19:AS46,AX19:AX46,BC19:BC46)</f>
        <v>3.202230749867951</v>
      </c>
    </row>
    <row r="52" spans="5:47">
      <c r="E52" s="1" t="s">
        <v>1295</v>
      </c>
      <c r="F52" s="361">
        <f>F50-F51</f>
        <v>32.903905605775634</v>
      </c>
    </row>
    <row r="53" spans="5:47">
      <c r="E53" s="1" t="s">
        <v>1296</v>
      </c>
      <c r="F53" s="361">
        <f>F52/10</f>
        <v>3.2903905605775634</v>
      </c>
    </row>
    <row r="54" spans="5:47">
      <c r="E54" s="1" t="s">
        <v>143</v>
      </c>
      <c r="F54" s="361">
        <f>F50+F53</f>
        <v>39.396526916221148</v>
      </c>
    </row>
    <row r="55" spans="5:47">
      <c r="E55" s="1" t="s">
        <v>144</v>
      </c>
      <c r="F55" s="361">
        <f>F51-F53</f>
        <v>-8.8159810709612429E-2</v>
      </c>
    </row>
    <row r="56" spans="5:47">
      <c r="E56" s="1" t="s">
        <v>145</v>
      </c>
      <c r="F56" s="361">
        <f>F54-F55</f>
        <v>39.484686726930761</v>
      </c>
      <c r="G56" s="361"/>
    </row>
  </sheetData>
  <phoneticPr fontId="40" type="noConversion"/>
  <pageMargins left="0.15748031496062992" right="0.15748031496062992" top="0.39370078740157483" bottom="0.39370078740157483" header="0.51181102362204722" footer="0.51181102362204722"/>
  <pageSetup scale="74" fitToWidth="4" orientation="landscape" horizontalDpi="360" verticalDpi="360" r:id="rId1"/>
  <headerFooter alignWithMargins="0"/>
  <colBreaks count="3" manualBreakCount="3">
    <brk id="16" max="48" man="1"/>
    <brk id="31" max="48" man="1"/>
    <brk id="46" max="48" man="1"/>
  </colBreaks>
</worksheet>
</file>

<file path=xl/worksheets/sheet181.xml><?xml version="1.0" encoding="utf-8"?>
<worksheet xmlns="http://schemas.openxmlformats.org/spreadsheetml/2006/main" xmlns:r="http://schemas.openxmlformats.org/officeDocument/2006/relationships">
  <sheetPr codeName="Sheet176"/>
  <dimension ref="A1:EH61"/>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6384" width="9.140625" style="309"/>
  </cols>
  <sheetData>
    <row r="1" spans="1:45" ht="15.75">
      <c r="B1" s="310" t="s">
        <v>2029</v>
      </c>
      <c r="J1" s="309" t="s">
        <v>618</v>
      </c>
      <c r="N1" s="310" t="s">
        <v>2030</v>
      </c>
      <c r="Z1" s="310" t="s">
        <v>2031</v>
      </c>
      <c r="AL1" s="310" t="s">
        <v>2032</v>
      </c>
    </row>
    <row r="3" spans="1:45" s="311" customFormat="1" ht="15">
      <c r="B3" s="311" t="s">
        <v>375</v>
      </c>
      <c r="F3" s="311" t="s">
        <v>1039</v>
      </c>
      <c r="J3" s="311" t="s">
        <v>1040</v>
      </c>
      <c r="N3" s="311" t="s">
        <v>791</v>
      </c>
      <c r="R3" s="311" t="s">
        <v>792</v>
      </c>
      <c r="V3" s="311" t="s">
        <v>1041</v>
      </c>
      <c r="Z3" s="311" t="s">
        <v>738</v>
      </c>
      <c r="AD3" s="311" t="s">
        <v>739</v>
      </c>
      <c r="AH3" s="311" t="s">
        <v>740</v>
      </c>
      <c r="AL3" s="311" t="s">
        <v>741</v>
      </c>
      <c r="AP3" s="311" t="s">
        <v>742</v>
      </c>
    </row>
    <row r="4" spans="1:45" s="312" customFormat="1" ht="102">
      <c r="A4" s="1126"/>
      <c r="B4" s="1127" t="s">
        <v>1297</v>
      </c>
      <c r="C4" s="1128" t="s">
        <v>1298</v>
      </c>
      <c r="D4" s="1128" t="s">
        <v>1299</v>
      </c>
      <c r="E4" s="1128" t="s">
        <v>1300</v>
      </c>
      <c r="F4" s="1128" t="s">
        <v>1297</v>
      </c>
      <c r="G4" s="1128" t="s">
        <v>1301</v>
      </c>
      <c r="H4" s="1128" t="s">
        <v>1299</v>
      </c>
      <c r="I4" s="1128" t="s">
        <v>1300</v>
      </c>
      <c r="J4" s="1128" t="s">
        <v>1297</v>
      </c>
      <c r="K4" s="1128" t="s">
        <v>1301</v>
      </c>
      <c r="L4" s="1128" t="s">
        <v>1299</v>
      </c>
      <c r="M4" s="1128" t="s">
        <v>1300</v>
      </c>
      <c r="N4" s="1128" t="s">
        <v>1297</v>
      </c>
      <c r="O4" s="1128" t="s">
        <v>1301</v>
      </c>
      <c r="P4" s="1128" t="s">
        <v>1299</v>
      </c>
      <c r="Q4" s="1128" t="s">
        <v>1300</v>
      </c>
      <c r="R4" s="1128" t="s">
        <v>1297</v>
      </c>
      <c r="S4" s="1128" t="s">
        <v>1301</v>
      </c>
      <c r="T4" s="1128" t="s">
        <v>1299</v>
      </c>
      <c r="U4" s="1128" t="s">
        <v>1300</v>
      </c>
      <c r="V4" s="1128" t="s">
        <v>1297</v>
      </c>
      <c r="W4" s="1128" t="s">
        <v>1301</v>
      </c>
      <c r="X4" s="1128" t="s">
        <v>1299</v>
      </c>
      <c r="Y4" s="1128" t="s">
        <v>1300</v>
      </c>
      <c r="Z4" s="1128" t="s">
        <v>1297</v>
      </c>
      <c r="AA4" s="1128" t="s">
        <v>1301</v>
      </c>
      <c r="AB4" s="1128" t="s">
        <v>1299</v>
      </c>
      <c r="AC4" s="1128" t="s">
        <v>1300</v>
      </c>
      <c r="AD4" s="1128" t="s">
        <v>1297</v>
      </c>
      <c r="AE4" s="1128" t="s">
        <v>1301</v>
      </c>
      <c r="AF4" s="1128" t="s">
        <v>1299</v>
      </c>
      <c r="AG4" s="1128" t="s">
        <v>1300</v>
      </c>
      <c r="AH4" s="1128" t="s">
        <v>1297</v>
      </c>
      <c r="AI4" s="1128" t="s">
        <v>1301</v>
      </c>
      <c r="AJ4" s="1128" t="s">
        <v>1299</v>
      </c>
      <c r="AK4" s="1128" t="s">
        <v>1300</v>
      </c>
      <c r="AL4" s="1128" t="s">
        <v>1297</v>
      </c>
      <c r="AM4" s="1128" t="s">
        <v>1301</v>
      </c>
      <c r="AN4" s="1128" t="s">
        <v>1299</v>
      </c>
      <c r="AO4" s="1128" t="s">
        <v>1300</v>
      </c>
      <c r="AP4" s="1128" t="s">
        <v>1297</v>
      </c>
      <c r="AQ4" s="1128" t="s">
        <v>1301</v>
      </c>
      <c r="AR4" s="1128" t="s">
        <v>1299</v>
      </c>
      <c r="AS4" s="1129" t="s">
        <v>1300</v>
      </c>
    </row>
    <row r="5" spans="1:45" s="312" customFormat="1">
      <c r="A5" s="1126"/>
    </row>
    <row r="6" spans="1:45" s="312" customFormat="1" ht="38.25">
      <c r="A6" s="478"/>
      <c r="B6" s="653" t="s">
        <v>584</v>
      </c>
      <c r="C6" s="653" t="s">
        <v>585</v>
      </c>
      <c r="D6" s="653" t="s">
        <v>1302</v>
      </c>
      <c r="E6" s="653" t="s">
        <v>1288</v>
      </c>
      <c r="F6" s="653" t="s">
        <v>593</v>
      </c>
      <c r="G6" s="653" t="s">
        <v>595</v>
      </c>
      <c r="H6" s="653" t="s">
        <v>1303</v>
      </c>
      <c r="I6" s="653" t="s">
        <v>1288</v>
      </c>
      <c r="J6" s="653" t="s">
        <v>1253</v>
      </c>
      <c r="K6" s="653" t="s">
        <v>1254</v>
      </c>
      <c r="L6" s="653" t="s">
        <v>1304</v>
      </c>
      <c r="M6" s="653" t="s">
        <v>1288</v>
      </c>
      <c r="N6" s="653" t="s">
        <v>584</v>
      </c>
      <c r="O6" s="653" t="s">
        <v>585</v>
      </c>
      <c r="P6" s="653" t="s">
        <v>1302</v>
      </c>
      <c r="Q6" s="653" t="s">
        <v>1288</v>
      </c>
      <c r="R6" s="653" t="s">
        <v>593</v>
      </c>
      <c r="S6" s="653" t="s">
        <v>595</v>
      </c>
      <c r="T6" s="653" t="s">
        <v>1303</v>
      </c>
      <c r="U6" s="653" t="s">
        <v>1288</v>
      </c>
      <c r="V6" s="653" t="s">
        <v>1253</v>
      </c>
      <c r="W6" s="653" t="s">
        <v>1254</v>
      </c>
      <c r="X6" s="653" t="s">
        <v>1304</v>
      </c>
      <c r="Y6" s="653" t="s">
        <v>1288</v>
      </c>
      <c r="Z6" s="653" t="s">
        <v>584</v>
      </c>
      <c r="AA6" s="653" t="s">
        <v>585</v>
      </c>
      <c r="AB6" s="653" t="s">
        <v>1302</v>
      </c>
      <c r="AC6" s="653" t="s">
        <v>1288</v>
      </c>
      <c r="AD6" s="653" t="s">
        <v>593</v>
      </c>
      <c r="AE6" s="653" t="s">
        <v>595</v>
      </c>
      <c r="AF6" s="653" t="s">
        <v>1303</v>
      </c>
      <c r="AG6" s="653" t="s">
        <v>1288</v>
      </c>
      <c r="AH6" s="653" t="s">
        <v>1253</v>
      </c>
      <c r="AI6" s="653" t="s">
        <v>1254</v>
      </c>
      <c r="AJ6" s="653" t="s">
        <v>1304</v>
      </c>
      <c r="AK6" s="653" t="s">
        <v>1288</v>
      </c>
      <c r="AL6" s="653" t="s">
        <v>584</v>
      </c>
      <c r="AM6" s="653" t="s">
        <v>585</v>
      </c>
      <c r="AN6" s="653" t="s">
        <v>1302</v>
      </c>
      <c r="AO6" s="653" t="s">
        <v>1288</v>
      </c>
      <c r="AP6" s="653" t="s">
        <v>593</v>
      </c>
      <c r="AQ6" s="653" t="s">
        <v>595</v>
      </c>
      <c r="AR6" s="653" t="s">
        <v>1303</v>
      </c>
      <c r="AS6" s="653" t="s">
        <v>1288</v>
      </c>
    </row>
    <row r="7" spans="1:45" s="312" customFormat="1" hidden="1">
      <c r="A7" s="478"/>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row>
    <row r="8" spans="1:45" hidden="1">
      <c r="A8" s="2">
        <v>1971</v>
      </c>
      <c r="B8" s="10">
        <v>23.882771561050991</v>
      </c>
      <c r="C8" s="46">
        <v>0.35326081214970839</v>
      </c>
      <c r="D8" s="46">
        <f>B8*C8/100*$E$55</f>
        <v>0.1594564135550095</v>
      </c>
      <c r="E8" s="46">
        <f t="shared" ref="E8:E17" si="0">(C$59-D8)/C$61</f>
        <v>0.37340271894380572</v>
      </c>
      <c r="F8" s="10">
        <v>46.093967618304731</v>
      </c>
      <c r="G8" s="46">
        <v>0.15386919957298126</v>
      </c>
      <c r="H8" s="46">
        <f>F8*G8/100*$E$55</f>
        <v>0.13404715195860073</v>
      </c>
      <c r="I8" s="46">
        <f t="shared" ref="I8:I17" si="1">(C$59-H8)/C$61</f>
        <v>0.46247556121951361</v>
      </c>
      <c r="J8" s="10">
        <v>36.127794028486647</v>
      </c>
      <c r="K8" s="46">
        <v>0.3676317001133052</v>
      </c>
      <c r="L8" s="46">
        <f>J8*K8/100*$E$55</f>
        <v>0.2510245522266778</v>
      </c>
      <c r="M8" s="46">
        <f t="shared" ref="M8:M17" si="2">(C$59-L8)/C$61</f>
        <v>5.2408173610995916E-2</v>
      </c>
      <c r="N8" s="10">
        <v>17.863878692398583</v>
      </c>
      <c r="O8" s="46">
        <v>0.22266152794550251</v>
      </c>
      <c r="P8" s="46">
        <f>N8*O8/100*$E$55</f>
        <v>7.5176612116500646E-2</v>
      </c>
      <c r="Q8" s="46">
        <f t="shared" ref="Q8:Q17" si="3">(C$59-P8)/C$61</f>
        <v>0.6688478042752618</v>
      </c>
      <c r="R8" s="10">
        <v>19.653338419676082</v>
      </c>
      <c r="S8" s="46">
        <v>0.82117893661384445</v>
      </c>
      <c r="T8" s="46">
        <f>R8*S8/100*$E$55</f>
        <v>0.30502535258881258</v>
      </c>
      <c r="U8" s="46">
        <f t="shared" ref="U8:U17" si="4">(C$59-T8)/C$61</f>
        <v>-0.13689306818889352</v>
      </c>
      <c r="V8" s="10">
        <v>20.620796554519661</v>
      </c>
      <c r="W8" s="46">
        <v>0.46214456437774759</v>
      </c>
      <c r="X8" s="46">
        <f>V8*W8/100*$E$55</f>
        <v>0.1801130128713212</v>
      </c>
      <c r="Y8" s="46">
        <f t="shared" ref="Y8:Y17" si="5">(C$59-X8)/C$61</f>
        <v>0.30099046068619556</v>
      </c>
      <c r="Z8" s="10">
        <v>15.15865171314741</v>
      </c>
      <c r="AA8" s="46">
        <v>0.33524004126461471</v>
      </c>
      <c r="AB8" s="46">
        <f>Z8*AA8/100*$E$55</f>
        <v>9.6045774788214591E-2</v>
      </c>
      <c r="AC8" s="46">
        <f t="shared" ref="AC8:AC17" si="6">(C$59-AB8)/C$61</f>
        <v>0.59569039952224878</v>
      </c>
      <c r="AD8" s="10">
        <v>36.773628773055322</v>
      </c>
      <c r="AE8" s="46">
        <v>0.28346752580017959</v>
      </c>
      <c r="AF8" s="46">
        <f>AD8*AE8/100*$E$55</f>
        <v>0.1970160487405542</v>
      </c>
      <c r="AG8" s="46">
        <f t="shared" ref="AG8:AG17" si="7">(C$59-AF8)/C$61</f>
        <v>0.24173641891688974</v>
      </c>
      <c r="AH8" s="10">
        <v>36.789959883849562</v>
      </c>
      <c r="AI8" s="46">
        <v>0.45620292473919505</v>
      </c>
      <c r="AJ8" s="46">
        <f>AH8*AI8/100*$E$55</f>
        <v>0.31721168997094168</v>
      </c>
      <c r="AK8" s="46">
        <f t="shared" ref="AK8:AK17" si="8">(C$59-AJ8)/C$61</f>
        <v>-0.17961259797288234</v>
      </c>
      <c r="AL8" s="10">
        <v>50.825779118409649</v>
      </c>
      <c r="AM8" s="46">
        <v>0.23267572496628622</v>
      </c>
      <c r="AN8" s="46">
        <f>AL8*AM8/100*$E$55</f>
        <v>0.22350998256335838</v>
      </c>
      <c r="AO8" s="46">
        <f t="shared" ref="AO8:AO17" si="9">(C$59-AN8)/C$61</f>
        <v>0.14886122930511386</v>
      </c>
      <c r="AP8" s="10">
        <v>49.77620046804681</v>
      </c>
      <c r="AQ8" s="46">
        <v>0.12915990383182538</v>
      </c>
      <c r="AR8" s="46">
        <f>AP8*AQ8/100*$E$55</f>
        <v>0.12150978711920848</v>
      </c>
      <c r="AS8" s="46">
        <f t="shared" ref="AS8:AS17" si="10">(C$59-AR8)/C$61</f>
        <v>0.50642562709037808</v>
      </c>
    </row>
    <row r="9" spans="1:45" hidden="1">
      <c r="A9" s="2">
        <v>1972</v>
      </c>
      <c r="B9" s="10">
        <v>23.882771561050991</v>
      </c>
      <c r="C9" s="46">
        <v>0.35326081214970839</v>
      </c>
      <c r="D9" s="46">
        <f t="shared" ref="D9:D17" si="11">B9*C9/100*$E$55</f>
        <v>0.1594564135550095</v>
      </c>
      <c r="E9" s="46">
        <f t="shared" si="0"/>
        <v>0.37340271894380572</v>
      </c>
      <c r="F9" s="10">
        <v>46.093967618304731</v>
      </c>
      <c r="G9" s="46">
        <v>0.15386919957298126</v>
      </c>
      <c r="H9" s="46">
        <f t="shared" ref="H9:H17" si="12">F9*G9/100*$E$55</f>
        <v>0.13404715195860073</v>
      </c>
      <c r="I9" s="46">
        <f t="shared" si="1"/>
        <v>0.46247556121951361</v>
      </c>
      <c r="J9" s="10">
        <v>36.127794028486647</v>
      </c>
      <c r="K9" s="46">
        <v>0.3676317001133052</v>
      </c>
      <c r="L9" s="46">
        <f t="shared" ref="L9:L17" si="13">J9*K9/100*$E$55</f>
        <v>0.2510245522266778</v>
      </c>
      <c r="M9" s="46">
        <f t="shared" si="2"/>
        <v>5.2408173610995916E-2</v>
      </c>
      <c r="N9" s="10">
        <v>17.863878692398583</v>
      </c>
      <c r="O9" s="46">
        <v>0.22266152794550251</v>
      </c>
      <c r="P9" s="46">
        <f t="shared" ref="P9:P17" si="14">N9*O9/100*$E$55</f>
        <v>7.5176612116500646E-2</v>
      </c>
      <c r="Q9" s="46">
        <f t="shared" si="3"/>
        <v>0.6688478042752618</v>
      </c>
      <c r="R9" s="10">
        <v>19.653338419676082</v>
      </c>
      <c r="S9" s="46">
        <v>0.82117893661384445</v>
      </c>
      <c r="T9" s="46">
        <f t="shared" ref="T9:T17" si="15">R9*S9/100*$E$55</f>
        <v>0.30502535258881258</v>
      </c>
      <c r="U9" s="46">
        <f t="shared" si="4"/>
        <v>-0.13689306818889352</v>
      </c>
      <c r="V9" s="10">
        <v>20.620796554519661</v>
      </c>
      <c r="W9" s="46">
        <v>0.46214456437774759</v>
      </c>
      <c r="X9" s="46">
        <f t="shared" ref="X9:X17" si="16">V9*W9/100*$E$55</f>
        <v>0.1801130128713212</v>
      </c>
      <c r="Y9" s="46">
        <f t="shared" si="5"/>
        <v>0.30099046068619556</v>
      </c>
      <c r="Z9" s="10">
        <v>15.15865171314741</v>
      </c>
      <c r="AA9" s="46">
        <v>0.33524004126461471</v>
      </c>
      <c r="AB9" s="46">
        <f t="shared" ref="AB9:AB17" si="17">Z9*AA9/100*$E$55</f>
        <v>9.6045774788214591E-2</v>
      </c>
      <c r="AC9" s="46">
        <f t="shared" si="6"/>
        <v>0.59569039952224878</v>
      </c>
      <c r="AD9" s="10">
        <v>36.773628773055322</v>
      </c>
      <c r="AE9" s="46">
        <v>0.28346752580017959</v>
      </c>
      <c r="AF9" s="46">
        <f t="shared" ref="AF9:AF17" si="18">AD9*AE9/100*$E$55</f>
        <v>0.1970160487405542</v>
      </c>
      <c r="AG9" s="46">
        <f t="shared" si="7"/>
        <v>0.24173641891688974</v>
      </c>
      <c r="AH9" s="10">
        <v>36.789959883849562</v>
      </c>
      <c r="AI9" s="46">
        <v>0.45620292473919505</v>
      </c>
      <c r="AJ9" s="46">
        <f t="shared" ref="AJ9:AJ17" si="19">AH9*AI9/100*$E$55</f>
        <v>0.31721168997094168</v>
      </c>
      <c r="AK9" s="46">
        <f t="shared" si="8"/>
        <v>-0.17961259797288234</v>
      </c>
      <c r="AL9" s="10">
        <v>50.825779118409649</v>
      </c>
      <c r="AM9" s="46">
        <v>0.23267572496628622</v>
      </c>
      <c r="AN9" s="46">
        <f t="shared" ref="AN9:AN17" si="20">AL9*AM9/100*$E$55</f>
        <v>0.22350998256335838</v>
      </c>
      <c r="AO9" s="46">
        <f t="shared" si="9"/>
        <v>0.14886122930511386</v>
      </c>
      <c r="AP9" s="10">
        <v>49.77620046804681</v>
      </c>
      <c r="AQ9" s="46">
        <v>0.12915990383182538</v>
      </c>
      <c r="AR9" s="46">
        <f t="shared" ref="AR9:AR17" si="21">AP9*AQ9/100*$E$55</f>
        <v>0.12150978711920848</v>
      </c>
      <c r="AS9" s="46">
        <f t="shared" si="10"/>
        <v>0.50642562709037808</v>
      </c>
    </row>
    <row r="10" spans="1:45" hidden="1">
      <c r="A10" s="2">
        <v>1973</v>
      </c>
      <c r="B10" s="10">
        <v>23.882771561050991</v>
      </c>
      <c r="C10" s="46">
        <v>0.35326081214970839</v>
      </c>
      <c r="D10" s="46">
        <f t="shared" si="11"/>
        <v>0.1594564135550095</v>
      </c>
      <c r="E10" s="46">
        <f t="shared" si="0"/>
        <v>0.37340271894380572</v>
      </c>
      <c r="F10" s="10">
        <v>46.093967618304731</v>
      </c>
      <c r="G10" s="46">
        <v>0.15386919957298126</v>
      </c>
      <c r="H10" s="46">
        <f t="shared" si="12"/>
        <v>0.13404715195860073</v>
      </c>
      <c r="I10" s="46">
        <f t="shared" si="1"/>
        <v>0.46247556121951361</v>
      </c>
      <c r="J10" s="10">
        <v>36.127794028486647</v>
      </c>
      <c r="K10" s="46">
        <v>0.3676317001133052</v>
      </c>
      <c r="L10" s="46">
        <f t="shared" si="13"/>
        <v>0.2510245522266778</v>
      </c>
      <c r="M10" s="46">
        <f t="shared" si="2"/>
        <v>5.2408173610995916E-2</v>
      </c>
      <c r="N10" s="10">
        <v>17.863878692398583</v>
      </c>
      <c r="O10" s="46">
        <v>0.22266152794550251</v>
      </c>
      <c r="P10" s="46">
        <f t="shared" si="14"/>
        <v>7.5176612116500646E-2</v>
      </c>
      <c r="Q10" s="46">
        <f t="shared" si="3"/>
        <v>0.6688478042752618</v>
      </c>
      <c r="R10" s="10">
        <v>19.653338419676086</v>
      </c>
      <c r="S10" s="46">
        <v>0.82117893661384445</v>
      </c>
      <c r="T10" s="46">
        <f t="shared" si="15"/>
        <v>0.30502535258881258</v>
      </c>
      <c r="U10" s="46">
        <f t="shared" si="4"/>
        <v>-0.13689306818889352</v>
      </c>
      <c r="V10" s="10">
        <v>20.620796554519661</v>
      </c>
      <c r="W10" s="46">
        <v>0.46214456437774759</v>
      </c>
      <c r="X10" s="46">
        <f t="shared" si="16"/>
        <v>0.1801130128713212</v>
      </c>
      <c r="Y10" s="46">
        <f t="shared" si="5"/>
        <v>0.30099046068619556</v>
      </c>
      <c r="Z10" s="10">
        <v>15.15865171314741</v>
      </c>
      <c r="AA10" s="46">
        <v>0.33524004126461471</v>
      </c>
      <c r="AB10" s="46">
        <f t="shared" si="17"/>
        <v>9.6045774788214591E-2</v>
      </c>
      <c r="AC10" s="46">
        <f t="shared" si="6"/>
        <v>0.59569039952224878</v>
      </c>
      <c r="AD10" s="10">
        <v>36.773628773055322</v>
      </c>
      <c r="AE10" s="46">
        <v>0.28346752580017959</v>
      </c>
      <c r="AF10" s="46">
        <f t="shared" si="18"/>
        <v>0.1970160487405542</v>
      </c>
      <c r="AG10" s="46">
        <f t="shared" si="7"/>
        <v>0.24173641891688974</v>
      </c>
      <c r="AH10" s="10">
        <v>36.789959883849562</v>
      </c>
      <c r="AI10" s="46">
        <v>0.4562029247391951</v>
      </c>
      <c r="AJ10" s="46">
        <f t="shared" si="19"/>
        <v>0.31721168997094168</v>
      </c>
      <c r="AK10" s="46">
        <f t="shared" si="8"/>
        <v>-0.17961259797288234</v>
      </c>
      <c r="AL10" s="10">
        <v>50.825779118409649</v>
      </c>
      <c r="AM10" s="46">
        <v>0.23267572496628622</v>
      </c>
      <c r="AN10" s="46">
        <f t="shared" si="20"/>
        <v>0.22350998256335838</v>
      </c>
      <c r="AO10" s="46">
        <f t="shared" si="9"/>
        <v>0.14886122930511386</v>
      </c>
      <c r="AP10" s="10">
        <v>49.77620046804681</v>
      </c>
      <c r="AQ10" s="46">
        <v>0.12915990383182538</v>
      </c>
      <c r="AR10" s="46">
        <f t="shared" si="21"/>
        <v>0.12150978711920848</v>
      </c>
      <c r="AS10" s="46">
        <f t="shared" si="10"/>
        <v>0.50642562709037808</v>
      </c>
    </row>
    <row r="11" spans="1:45" hidden="1">
      <c r="A11" s="2">
        <v>1974</v>
      </c>
      <c r="B11" s="10">
        <v>25.244375662029867</v>
      </c>
      <c r="C11" s="46">
        <v>0.35569583760579265</v>
      </c>
      <c r="D11" s="46">
        <f t="shared" si="11"/>
        <v>0.16970913563828491</v>
      </c>
      <c r="E11" s="46">
        <f t="shared" si="0"/>
        <v>0.33746152901370047</v>
      </c>
      <c r="F11" s="10">
        <v>48.155472564236867</v>
      </c>
      <c r="G11" s="46">
        <v>0.14747785465521257</v>
      </c>
      <c r="H11" s="46">
        <f t="shared" si="12"/>
        <v>0.13422526331158227</v>
      </c>
      <c r="I11" s="46">
        <f t="shared" si="1"/>
        <v>0.4618511871348342</v>
      </c>
      <c r="J11" s="10">
        <v>31.484059228282636</v>
      </c>
      <c r="K11" s="46">
        <v>0.37521188069513617</v>
      </c>
      <c r="L11" s="46">
        <f t="shared" si="13"/>
        <v>0.22326934911676261</v>
      </c>
      <c r="M11" s="46">
        <f t="shared" si="2"/>
        <v>0.14970477625170892</v>
      </c>
      <c r="N11" s="10">
        <v>19.656629690505323</v>
      </c>
      <c r="O11" s="46">
        <v>0.2258663118662993</v>
      </c>
      <c r="P11" s="46">
        <f t="shared" si="14"/>
        <v>8.3911661541213031E-2</v>
      </c>
      <c r="Q11" s="46">
        <f t="shared" si="3"/>
        <v>0.63822685621166719</v>
      </c>
      <c r="R11" s="10">
        <v>20.908039977871631</v>
      </c>
      <c r="S11" s="46">
        <v>0.87065187377183217</v>
      </c>
      <c r="T11" s="46">
        <f t="shared" si="15"/>
        <v>0.34404849707061286</v>
      </c>
      <c r="U11" s="46">
        <f t="shared" si="4"/>
        <v>-0.2736897389752978</v>
      </c>
      <c r="V11" s="10">
        <v>22.570450623858289</v>
      </c>
      <c r="W11" s="46">
        <v>0.45055824654405252</v>
      </c>
      <c r="X11" s="46">
        <f t="shared" si="16"/>
        <v>0.19219982021341994</v>
      </c>
      <c r="Y11" s="46">
        <f t="shared" si="5"/>
        <v>0.25861983610449613</v>
      </c>
      <c r="Z11" s="10">
        <v>15.703189235737126</v>
      </c>
      <c r="AA11" s="46">
        <v>0.340883556462593</v>
      </c>
      <c r="AB11" s="46">
        <f t="shared" si="17"/>
        <v>0.10117092499573208</v>
      </c>
      <c r="AC11" s="46">
        <f t="shared" si="6"/>
        <v>0.57772404916840614</v>
      </c>
      <c r="AD11" s="10">
        <v>34.83563000552742</v>
      </c>
      <c r="AE11" s="46">
        <v>0.31159435068799479</v>
      </c>
      <c r="AF11" s="46">
        <f t="shared" si="18"/>
        <v>0.2051516661839734</v>
      </c>
      <c r="AG11" s="46">
        <f t="shared" si="7"/>
        <v>0.21321679560538048</v>
      </c>
      <c r="AH11" s="10">
        <v>43.092191567679272</v>
      </c>
      <c r="AI11" s="46">
        <v>0.41821719830046122</v>
      </c>
      <c r="AJ11" s="46">
        <f t="shared" si="19"/>
        <v>0.34061382733256396</v>
      </c>
      <c r="AK11" s="46">
        <f t="shared" si="8"/>
        <v>-0.26164941286485249</v>
      </c>
      <c r="AL11" s="10">
        <v>48.571620844763913</v>
      </c>
      <c r="AM11" s="46">
        <v>0.24049889462196716</v>
      </c>
      <c r="AN11" s="46">
        <f t="shared" si="20"/>
        <v>0.22077885922778107</v>
      </c>
      <c r="AO11" s="46">
        <f t="shared" si="9"/>
        <v>0.15843525479115028</v>
      </c>
      <c r="AP11" s="10">
        <v>55.694206651718218</v>
      </c>
      <c r="AQ11" s="46">
        <v>0.13386269117219296</v>
      </c>
      <c r="AR11" s="46">
        <f t="shared" si="21"/>
        <v>0.14090661367837584</v>
      </c>
      <c r="AS11" s="46">
        <f t="shared" si="10"/>
        <v>0.43842953573610721</v>
      </c>
    </row>
    <row r="12" spans="1:45" hidden="1">
      <c r="A12" s="2">
        <v>1975</v>
      </c>
      <c r="B12" s="10">
        <v>26.605979763008747</v>
      </c>
      <c r="C12" s="46">
        <v>0.35813086306187691</v>
      </c>
      <c r="D12" s="46">
        <f t="shared" si="11"/>
        <v>0.18008718515801661</v>
      </c>
      <c r="E12" s="46">
        <f t="shared" si="0"/>
        <v>0.30108100042206287</v>
      </c>
      <c r="F12" s="10">
        <v>50.309176183047306</v>
      </c>
      <c r="G12" s="46">
        <v>0.14135199035326079</v>
      </c>
      <c r="H12" s="46">
        <f t="shared" si="12"/>
        <v>0.13440361132497475</v>
      </c>
      <c r="I12" s="46">
        <f t="shared" si="1"/>
        <v>0.46122598343079035</v>
      </c>
      <c r="J12" s="10">
        <v>27.437213152522258</v>
      </c>
      <c r="K12" s="46">
        <v>0.38294835666073157</v>
      </c>
      <c r="L12" s="46">
        <f t="shared" si="13"/>
        <v>0.1985829745052527</v>
      </c>
      <c r="M12" s="46">
        <f t="shared" si="2"/>
        <v>0.23624351897695373</v>
      </c>
      <c r="N12" s="10">
        <v>21.629294367861366</v>
      </c>
      <c r="O12" s="46">
        <v>0.2291172224802602</v>
      </c>
      <c r="P12" s="46">
        <f t="shared" si="14"/>
        <v>9.3661668760697064E-2</v>
      </c>
      <c r="Q12" s="46">
        <f t="shared" si="3"/>
        <v>0.60404794660609029</v>
      </c>
      <c r="R12" s="10">
        <v>22.242843754149479</v>
      </c>
      <c r="S12" s="46">
        <v>0.92310536900542095</v>
      </c>
      <c r="T12" s="46">
        <f t="shared" si="15"/>
        <v>0.38806403248753701</v>
      </c>
      <c r="U12" s="46">
        <f t="shared" si="4"/>
        <v>-0.42798736895548734</v>
      </c>
      <c r="V12" s="10">
        <v>24.704440491284963</v>
      </c>
      <c r="W12" s="46">
        <v>0.43926240656358967</v>
      </c>
      <c r="X12" s="46">
        <f t="shared" si="16"/>
        <v>0.20509773447886673</v>
      </c>
      <c r="Y12" s="46">
        <f t="shared" si="5"/>
        <v>0.2134058546319248</v>
      </c>
      <c r="Z12" s="10">
        <v>16.267287938247012</v>
      </c>
      <c r="AA12" s="46">
        <v>0.34662207601527084</v>
      </c>
      <c r="AB12" s="46">
        <f t="shared" si="17"/>
        <v>0.10656956109794438</v>
      </c>
      <c r="AC12" s="46">
        <f t="shared" si="6"/>
        <v>0.5587989867374592</v>
      </c>
      <c r="AD12" s="10">
        <v>32.999765276663986</v>
      </c>
      <c r="AE12" s="46">
        <v>0.34251203592581519</v>
      </c>
      <c r="AF12" s="46">
        <f t="shared" si="18"/>
        <v>0.21362323733070146</v>
      </c>
      <c r="AG12" s="46">
        <f t="shared" si="7"/>
        <v>0.18351947765236307</v>
      </c>
      <c r="AH12" s="10">
        <v>50.474014648783189</v>
      </c>
      <c r="AI12" s="46">
        <v>0.38339435253353193</v>
      </c>
      <c r="AJ12" s="46">
        <f t="shared" si="19"/>
        <v>0.36574244593812261</v>
      </c>
      <c r="AK12" s="46">
        <f t="shared" si="8"/>
        <v>-0.34973845367254336</v>
      </c>
      <c r="AL12" s="10">
        <v>46.417436041486589</v>
      </c>
      <c r="AM12" s="46">
        <v>0.24858509981120214</v>
      </c>
      <c r="AN12" s="46">
        <f t="shared" si="20"/>
        <v>0.21808110815857237</v>
      </c>
      <c r="AO12" s="46">
        <f t="shared" si="9"/>
        <v>0.16789229290990892</v>
      </c>
      <c r="AP12" s="10">
        <v>62.315818109810991</v>
      </c>
      <c r="AQ12" s="46">
        <v>0.13873670973922295</v>
      </c>
      <c r="AR12" s="46">
        <f t="shared" si="21"/>
        <v>0.16339979065907181</v>
      </c>
      <c r="AS12" s="46">
        <f t="shared" si="10"/>
        <v>0.3595791056329245</v>
      </c>
    </row>
    <row r="13" spans="1:45" hidden="1">
      <c r="A13" s="2">
        <v>1976</v>
      </c>
      <c r="B13" s="10">
        <v>27.738686264811943</v>
      </c>
      <c r="C13" s="46">
        <v>0.369246990351702</v>
      </c>
      <c r="D13" s="46">
        <f t="shared" si="11"/>
        <v>0.19358185933028699</v>
      </c>
      <c r="E13" s="46">
        <f t="shared" si="0"/>
        <v>0.25377506122552224</v>
      </c>
      <c r="F13" s="10">
        <v>57.915466516689513</v>
      </c>
      <c r="G13" s="46">
        <v>0.14069164743209603</v>
      </c>
      <c r="H13" s="46">
        <f t="shared" si="12"/>
        <v>0.15400140328499426</v>
      </c>
      <c r="I13" s="46">
        <f t="shared" si="1"/>
        <v>0.39252540251923512</v>
      </c>
      <c r="J13" s="10">
        <v>27.232735694228722</v>
      </c>
      <c r="K13" s="46">
        <v>0.36197018190122288</v>
      </c>
      <c r="L13" s="46">
        <f t="shared" si="13"/>
        <v>0.18630558373595921</v>
      </c>
      <c r="M13" s="46">
        <f t="shared" si="2"/>
        <v>0.27928223883117698</v>
      </c>
      <c r="N13" s="10">
        <v>22.993970909439113</v>
      </c>
      <c r="O13" s="46">
        <v>0.21227320585485279</v>
      </c>
      <c r="P13" s="46">
        <f t="shared" si="14"/>
        <v>9.2250974093289445E-2</v>
      </c>
      <c r="Q13" s="46">
        <f t="shared" si="3"/>
        <v>0.60899317427956745</v>
      </c>
      <c r="R13" s="10">
        <v>23.268855693551348</v>
      </c>
      <c r="S13" s="46">
        <v>0.86994181367782364</v>
      </c>
      <c r="T13" s="46">
        <f t="shared" si="15"/>
        <v>0.38258420490843104</v>
      </c>
      <c r="U13" s="46">
        <f t="shared" si="4"/>
        <v>-0.40877768764303363</v>
      </c>
      <c r="V13" s="10">
        <v>25.576562585370095</v>
      </c>
      <c r="W13" s="46">
        <v>0.43775936569269103</v>
      </c>
      <c r="X13" s="46">
        <f t="shared" si="16"/>
        <v>0.21161157848405238</v>
      </c>
      <c r="Y13" s="46">
        <f t="shared" si="5"/>
        <v>0.19057140123858138</v>
      </c>
      <c r="Z13" s="10">
        <v>16.689396230089386</v>
      </c>
      <c r="AA13" s="46">
        <v>0.37000446348573318</v>
      </c>
      <c r="AB13" s="46">
        <f t="shared" si="17"/>
        <v>0.11671035575248427</v>
      </c>
      <c r="AC13" s="46">
        <f t="shared" si="6"/>
        <v>0.52325016138545299</v>
      </c>
      <c r="AD13" s="10">
        <v>36.151915397670429</v>
      </c>
      <c r="AE13" s="46">
        <v>0.35814691945402266</v>
      </c>
      <c r="AF13" s="46">
        <f t="shared" si="18"/>
        <v>0.24471147579552033</v>
      </c>
      <c r="AG13" s="46">
        <f t="shared" si="7"/>
        <v>7.4538830934247471E-2</v>
      </c>
      <c r="AH13" s="10">
        <v>49.008871815437416</v>
      </c>
      <c r="AI13" s="46">
        <v>0.38622017694223798</v>
      </c>
      <c r="AJ13" s="46">
        <f t="shared" si="19"/>
        <v>0.35774326622722652</v>
      </c>
      <c r="AK13" s="46">
        <f t="shared" si="8"/>
        <v>-0.32169711646090265</v>
      </c>
      <c r="AL13" s="10">
        <v>47.777646424329291</v>
      </c>
      <c r="AM13" s="46">
        <v>0.24395427161623218</v>
      </c>
      <c r="AN13" s="46">
        <f t="shared" si="20"/>
        <v>0.22029010163341897</v>
      </c>
      <c r="AO13" s="46">
        <f t="shared" si="9"/>
        <v>0.160148607536506</v>
      </c>
      <c r="AP13" s="10">
        <v>66.40677776968414</v>
      </c>
      <c r="AQ13" s="46">
        <v>0.1555584270484415</v>
      </c>
      <c r="AR13" s="46">
        <f t="shared" si="21"/>
        <v>0.19523953061942131</v>
      </c>
      <c r="AS13" s="46">
        <f t="shared" si="10"/>
        <v>0.24796405043633427</v>
      </c>
    </row>
    <row r="14" spans="1:45" hidden="1">
      <c r="A14" s="2">
        <v>1977</v>
      </c>
      <c r="B14" s="10">
        <v>28.871392766615134</v>
      </c>
      <c r="C14" s="46">
        <v>0.38036311764152708</v>
      </c>
      <c r="D14" s="46">
        <f t="shared" si="11"/>
        <v>0.20755248500755627</v>
      </c>
      <c r="E14" s="46">
        <f t="shared" si="0"/>
        <v>0.20480066137046152</v>
      </c>
      <c r="F14" s="10">
        <v>66.671758838620192</v>
      </c>
      <c r="G14" s="46">
        <v>0.14003438938276391</v>
      </c>
      <c r="H14" s="46">
        <f t="shared" si="12"/>
        <v>0.17645680781897624</v>
      </c>
      <c r="I14" s="46">
        <f t="shared" si="1"/>
        <v>0.31380738473255188</v>
      </c>
      <c r="J14" s="10">
        <v>27.029782116320476</v>
      </c>
      <c r="K14" s="46">
        <v>0.34214120600517961</v>
      </c>
      <c r="L14" s="46">
        <f t="shared" si="13"/>
        <v>0.17478724255023381</v>
      </c>
      <c r="M14" s="46">
        <f t="shared" si="2"/>
        <v>0.31966009018357183</v>
      </c>
      <c r="N14" s="10">
        <v>24.444750216620715</v>
      </c>
      <c r="O14" s="46">
        <v>0.19666751122464785</v>
      </c>
      <c r="P14" s="46">
        <f t="shared" si="14"/>
        <v>9.0861526745847271E-2</v>
      </c>
      <c r="Q14" s="46">
        <f t="shared" si="3"/>
        <v>0.61386391890784142</v>
      </c>
      <c r="R14" s="10">
        <v>24.342195236897695</v>
      </c>
      <c r="S14" s="46">
        <v>0.81984005791284376</v>
      </c>
      <c r="T14" s="46">
        <f t="shared" si="15"/>
        <v>0.37718175762686074</v>
      </c>
      <c r="U14" s="46">
        <f t="shared" si="4"/>
        <v>-0.38983926502149041</v>
      </c>
      <c r="V14" s="10">
        <v>26.479472543169841</v>
      </c>
      <c r="W14" s="46">
        <v>0.43626146783386399</v>
      </c>
      <c r="X14" s="46">
        <f t="shared" si="16"/>
        <v>0.21833230026793071</v>
      </c>
      <c r="Y14" s="46">
        <f t="shared" si="5"/>
        <v>0.16701173229019614</v>
      </c>
      <c r="Z14" s="10">
        <v>17.122457509960157</v>
      </c>
      <c r="AA14" s="46">
        <v>0.39496417704605108</v>
      </c>
      <c r="AB14" s="46">
        <f t="shared" si="17"/>
        <v>0.12781611371517768</v>
      </c>
      <c r="AC14" s="46">
        <f t="shared" si="6"/>
        <v>0.48431863149388826</v>
      </c>
      <c r="AD14" s="10">
        <v>39.605160096230946</v>
      </c>
      <c r="AE14" s="46">
        <v>0.37449549931199527</v>
      </c>
      <c r="AF14" s="46">
        <f t="shared" si="18"/>
        <v>0.28032393448526388</v>
      </c>
      <c r="AG14" s="46">
        <f t="shared" si="7"/>
        <v>-5.0301590102230863E-2</v>
      </c>
      <c r="AH14" s="10">
        <v>47.586258658738949</v>
      </c>
      <c r="AI14" s="46">
        <v>0.38906682921013402</v>
      </c>
      <c r="AJ14" s="46">
        <f t="shared" si="19"/>
        <v>0.34991903715921518</v>
      </c>
      <c r="AK14" s="46">
        <f t="shared" si="8"/>
        <v>-0.29426907338063923</v>
      </c>
      <c r="AL14" s="10">
        <v>49.177716231633511</v>
      </c>
      <c r="AM14" s="46">
        <v>0.23940970993437033</v>
      </c>
      <c r="AN14" s="46">
        <f t="shared" si="20"/>
        <v>0.2225214705089279</v>
      </c>
      <c r="AO14" s="46">
        <f t="shared" si="9"/>
        <v>0.15232648460101617</v>
      </c>
      <c r="AP14" s="10">
        <v>70.766304086408638</v>
      </c>
      <c r="AQ14" s="46">
        <v>0.17441976439595522</v>
      </c>
      <c r="AR14" s="46">
        <f t="shared" si="21"/>
        <v>0.23328349542396204</v>
      </c>
      <c r="AS14" s="46">
        <f t="shared" si="10"/>
        <v>0.11459992004946858</v>
      </c>
    </row>
    <row r="15" spans="1:45" hidden="1">
      <c r="A15" s="2">
        <v>1978</v>
      </c>
      <c r="B15" s="10">
        <v>26.88452794435857</v>
      </c>
      <c r="C15" s="46">
        <v>0.34781741729358656</v>
      </c>
      <c r="D15" s="46">
        <f t="shared" si="11"/>
        <v>0.17673214371304061</v>
      </c>
      <c r="E15" s="46">
        <f t="shared" si="0"/>
        <v>0.31284218743345749</v>
      </c>
      <c r="F15" s="10">
        <v>60.613206942242421</v>
      </c>
      <c r="G15" s="46">
        <v>0.13342012517446741</v>
      </c>
      <c r="H15" s="46">
        <f t="shared" si="12"/>
        <v>0.15284470932599173</v>
      </c>
      <c r="I15" s="46">
        <f t="shared" si="1"/>
        <v>0.3965802239543475</v>
      </c>
      <c r="J15" s="10">
        <v>30.681562149798559</v>
      </c>
      <c r="K15" s="46">
        <v>0.36526136579283708</v>
      </c>
      <c r="L15" s="46">
        <f t="shared" si="13"/>
        <v>0.21180831768482214</v>
      </c>
      <c r="M15" s="46">
        <f t="shared" si="2"/>
        <v>0.18988172673807993</v>
      </c>
      <c r="N15" s="10">
        <v>24.035523148132711</v>
      </c>
      <c r="O15" s="46">
        <v>0.18875999450168743</v>
      </c>
      <c r="P15" s="46">
        <f t="shared" si="14"/>
        <v>8.5748264606718846E-2</v>
      </c>
      <c r="Q15" s="46">
        <f t="shared" si="3"/>
        <v>0.63178859532178755</v>
      </c>
      <c r="R15" s="10">
        <v>22.697128948483542</v>
      </c>
      <c r="S15" s="46">
        <v>0.78574495062372385</v>
      </c>
      <c r="T15" s="46">
        <f t="shared" si="15"/>
        <v>0.33706551938711077</v>
      </c>
      <c r="U15" s="46">
        <f t="shared" si="4"/>
        <v>-0.24921072499618718</v>
      </c>
      <c r="V15" s="10">
        <v>24.557890792967797</v>
      </c>
      <c r="W15" s="46">
        <v>0.42600419088626784</v>
      </c>
      <c r="X15" s="46">
        <f t="shared" si="16"/>
        <v>0.19772734710578671</v>
      </c>
      <c r="Y15" s="46">
        <f t="shared" si="5"/>
        <v>0.23924294358086193</v>
      </c>
      <c r="Z15" s="10">
        <v>16.053941738781766</v>
      </c>
      <c r="AA15" s="46">
        <v>0.33890181497227501</v>
      </c>
      <c r="AB15" s="46">
        <f t="shared" si="17"/>
        <v>0.10282941886264048</v>
      </c>
      <c r="AC15" s="46">
        <f t="shared" si="6"/>
        <v>0.57191015481095508</v>
      </c>
      <c r="AD15" s="10">
        <v>35.229519342732907</v>
      </c>
      <c r="AE15" s="46">
        <v>0.33432724717725487</v>
      </c>
      <c r="AF15" s="46">
        <f t="shared" si="18"/>
        <v>0.22260775738131777</v>
      </c>
      <c r="AG15" s="46">
        <f t="shared" si="7"/>
        <v>0.15202400367508742</v>
      </c>
      <c r="AH15" s="10">
        <v>45.616238133512617</v>
      </c>
      <c r="AI15" s="46">
        <v>0.37814865945412046</v>
      </c>
      <c r="AJ15" s="46">
        <f t="shared" si="19"/>
        <v>0.32601969476107401</v>
      </c>
      <c r="AK15" s="46">
        <f t="shared" si="8"/>
        <v>-0.21048929301017621</v>
      </c>
      <c r="AL15" s="10">
        <v>44.393296517797033</v>
      </c>
      <c r="AM15" s="46">
        <v>0.20907147921333361</v>
      </c>
      <c r="AN15" s="46">
        <f t="shared" si="20"/>
        <v>0.17541793401549399</v>
      </c>
      <c r="AO15" s="46">
        <f t="shared" si="9"/>
        <v>0.31744918447910642</v>
      </c>
      <c r="AP15" s="10">
        <v>64.268663109096636</v>
      </c>
      <c r="AQ15" s="46">
        <v>0.15287128626620539</v>
      </c>
      <c r="AR15" s="46">
        <f t="shared" si="21"/>
        <v>0.18568934740623375</v>
      </c>
      <c r="AS15" s="46">
        <f t="shared" si="10"/>
        <v>0.28144247167359676</v>
      </c>
    </row>
    <row r="16" spans="1:45" hidden="1">
      <c r="A16" s="2">
        <v>1979</v>
      </c>
      <c r="B16" s="10">
        <v>24.897663122102003</v>
      </c>
      <c r="C16" s="46">
        <v>0.31527171694564599</v>
      </c>
      <c r="D16" s="46">
        <f t="shared" si="11"/>
        <v>0.1483560981083045</v>
      </c>
      <c r="E16" s="46">
        <f t="shared" si="0"/>
        <v>0.41231516995083156</v>
      </c>
      <c r="F16" s="10">
        <v>55.105203759750374</v>
      </c>
      <c r="G16" s="46">
        <v>0.12711827344720492</v>
      </c>
      <c r="H16" s="46">
        <f t="shared" si="12"/>
        <v>0.13239220100203236</v>
      </c>
      <c r="I16" s="46">
        <f t="shared" si="1"/>
        <v>0.46827703581054547</v>
      </c>
      <c r="J16" s="10">
        <v>34.826705294955488</v>
      </c>
      <c r="K16" s="46">
        <v>0.38994386820168331</v>
      </c>
      <c r="L16" s="46">
        <f t="shared" si="13"/>
        <v>0.25667069739132126</v>
      </c>
      <c r="M16" s="46">
        <f t="shared" si="2"/>
        <v>3.2615461579288643E-2</v>
      </c>
      <c r="N16" s="10">
        <v>23.633146908231584</v>
      </c>
      <c r="O16" s="46">
        <v>0.1811704195695929</v>
      </c>
      <c r="P16" s="46">
        <f t="shared" si="14"/>
        <v>8.0922752967057296E-2</v>
      </c>
      <c r="Q16" s="46">
        <f t="shared" si="3"/>
        <v>0.64870455470723909</v>
      </c>
      <c r="R16" s="10">
        <v>21.163237641082386</v>
      </c>
      <c r="S16" s="46">
        <v>0.75306777397831504</v>
      </c>
      <c r="T16" s="46">
        <f t="shared" si="15"/>
        <v>0.30121595772428156</v>
      </c>
      <c r="U16" s="46">
        <f t="shared" si="4"/>
        <v>-0.12353913318189509</v>
      </c>
      <c r="V16" s="10">
        <v>22.775755794081878</v>
      </c>
      <c r="W16" s="46">
        <v>0.41598808061997894</v>
      </c>
      <c r="X16" s="46">
        <f t="shared" si="16"/>
        <v>0.17906697151779524</v>
      </c>
      <c r="Y16" s="46">
        <f t="shared" si="5"/>
        <v>0.30465738647004653</v>
      </c>
      <c r="Z16" s="10">
        <v>15.052105996015932</v>
      </c>
      <c r="AA16" s="46">
        <v>0.29079710734908137</v>
      </c>
      <c r="AB16" s="46">
        <f t="shared" si="17"/>
        <v>8.272735789159541E-2</v>
      </c>
      <c r="AC16" s="46">
        <f t="shared" si="6"/>
        <v>0.64237846415149991</v>
      </c>
      <c r="AD16" s="10">
        <v>31.337306303127502</v>
      </c>
      <c r="AE16" s="46">
        <v>0.29846742727340714</v>
      </c>
      <c r="AF16" s="46">
        <f t="shared" si="18"/>
        <v>0.17677482209049333</v>
      </c>
      <c r="AG16" s="46">
        <f t="shared" si="7"/>
        <v>0.31269257724628197</v>
      </c>
      <c r="AH16" s="10">
        <v>43.727774363938053</v>
      </c>
      <c r="AI16" s="46">
        <v>0.3675368803278688</v>
      </c>
      <c r="AJ16" s="46">
        <f t="shared" si="19"/>
        <v>0.30375266871731194</v>
      </c>
      <c r="AK16" s="46">
        <f t="shared" si="8"/>
        <v>-0.13243164103081206</v>
      </c>
      <c r="AL16" s="10">
        <v>40.074345185825393</v>
      </c>
      <c r="AM16" s="46">
        <v>0.18257773852377962</v>
      </c>
      <c r="AN16" s="46">
        <f t="shared" si="20"/>
        <v>0.13828531468845204</v>
      </c>
      <c r="AO16" s="46">
        <f t="shared" si="9"/>
        <v>0.44761856905771918</v>
      </c>
      <c r="AP16" s="10">
        <v>58.367624410441046</v>
      </c>
      <c r="AQ16" s="46">
        <v>0.1339849887174028</v>
      </c>
      <c r="AR16" s="46">
        <f t="shared" si="21"/>
        <v>0.14780528591398695</v>
      </c>
      <c r="AS16" s="46">
        <f t="shared" si="10"/>
        <v>0.41424605674664922</v>
      </c>
    </row>
    <row r="17" spans="1:45" hidden="1">
      <c r="A17" s="2">
        <v>1980</v>
      </c>
      <c r="B17" s="10">
        <v>21.797867877382785</v>
      </c>
      <c r="C17" s="46">
        <v>0.29196022670678951</v>
      </c>
      <c r="D17" s="46">
        <f t="shared" si="11"/>
        <v>0.12028168745218061</v>
      </c>
      <c r="E17" s="46">
        <f t="shared" si="0"/>
        <v>0.51073076313398058</v>
      </c>
      <c r="F17" s="10">
        <v>46.517381361561085</v>
      </c>
      <c r="G17" s="46">
        <v>0.12404087036227959</v>
      </c>
      <c r="H17" s="46">
        <f t="shared" si="12"/>
        <v>0.10905406730307406</v>
      </c>
      <c r="I17" s="46">
        <f t="shared" si="1"/>
        <v>0.55008948416089443</v>
      </c>
      <c r="J17" s="10">
        <v>30.181193114526664</v>
      </c>
      <c r="K17" s="46">
        <v>0.3330471264942651</v>
      </c>
      <c r="L17" s="46">
        <f t="shared" si="13"/>
        <v>0.18997825721417433</v>
      </c>
      <c r="M17" s="46">
        <f t="shared" si="2"/>
        <v>0.26640758427996142</v>
      </c>
      <c r="N17" s="10">
        <v>19.08482851546659</v>
      </c>
      <c r="O17" s="46">
        <v>0.19471429131149953</v>
      </c>
      <c r="P17" s="46">
        <f t="shared" si="14"/>
        <v>7.0234079438701857E-2</v>
      </c>
      <c r="Q17" s="46">
        <f t="shared" si="3"/>
        <v>0.68617398402203278</v>
      </c>
      <c r="R17" s="10">
        <v>19.804817037786332</v>
      </c>
      <c r="S17" s="46">
        <v>0.72159889459618587</v>
      </c>
      <c r="T17" s="46">
        <f t="shared" si="15"/>
        <v>0.27010243415256552</v>
      </c>
      <c r="U17" s="46">
        <f t="shared" si="4"/>
        <v>-1.4469848849103809E-2</v>
      </c>
      <c r="V17" s="10">
        <v>22.111713997021404</v>
      </c>
      <c r="W17" s="46">
        <v>0.37691403297233916</v>
      </c>
      <c r="X17" s="46">
        <f t="shared" si="16"/>
        <v>0.15751666914256207</v>
      </c>
      <c r="Y17" s="46">
        <f t="shared" si="5"/>
        <v>0.38020254456839353</v>
      </c>
      <c r="Z17" s="10">
        <v>12.32474164320011</v>
      </c>
      <c r="AA17" s="46">
        <v>0.25243619434652032</v>
      </c>
      <c r="AB17" s="46">
        <f t="shared" si="17"/>
        <v>5.8801885569885429E-2</v>
      </c>
      <c r="AC17" s="46">
        <f t="shared" si="6"/>
        <v>0.72624984366394862</v>
      </c>
      <c r="AD17" s="10">
        <v>24.666817185094775</v>
      </c>
      <c r="AE17" s="46">
        <v>0.27035149163276512</v>
      </c>
      <c r="AF17" s="46">
        <f t="shared" si="18"/>
        <v>0.12603863449465652</v>
      </c>
      <c r="AG17" s="46">
        <f t="shared" si="7"/>
        <v>0.49054963217279846</v>
      </c>
      <c r="AH17" s="10">
        <v>38.119810008026455</v>
      </c>
      <c r="AI17" s="46">
        <v>0.33079560895473636</v>
      </c>
      <c r="AJ17" s="46">
        <f t="shared" si="19"/>
        <v>0.23832646295555091</v>
      </c>
      <c r="AK17" s="46">
        <f t="shared" si="8"/>
        <v>9.6921663251710324E-2</v>
      </c>
      <c r="AL17" s="10">
        <v>35.438373756698844</v>
      </c>
      <c r="AM17" s="46">
        <v>0.1922397312682283</v>
      </c>
      <c r="AN17" s="46">
        <f t="shared" si="20"/>
        <v>0.12875933915908849</v>
      </c>
      <c r="AO17" s="46">
        <f t="shared" si="9"/>
        <v>0.48101212961554257</v>
      </c>
      <c r="AP17" s="10">
        <v>46.739351509342953</v>
      </c>
      <c r="AQ17" s="46">
        <v>0.12922489724098968</v>
      </c>
      <c r="AR17" s="46">
        <f t="shared" si="21"/>
        <v>0.1141538812326109</v>
      </c>
      <c r="AS17" s="46">
        <f t="shared" si="10"/>
        <v>0.53221195080332151</v>
      </c>
    </row>
    <row r="18" spans="1:45">
      <c r="A18" s="2"/>
      <c r="B18" s="10"/>
      <c r="C18" s="46"/>
      <c r="D18" s="46"/>
      <c r="E18" s="46"/>
      <c r="F18" s="10"/>
      <c r="G18" s="46"/>
      <c r="H18" s="46"/>
      <c r="I18" s="46"/>
      <c r="J18" s="10"/>
      <c r="K18" s="46"/>
      <c r="L18" s="46"/>
      <c r="M18" s="46"/>
      <c r="N18" s="10"/>
      <c r="O18" s="46"/>
      <c r="P18" s="46"/>
      <c r="Q18" s="46"/>
      <c r="R18" s="10"/>
      <c r="S18" s="46"/>
      <c r="T18" s="46"/>
      <c r="U18" s="46"/>
      <c r="V18" s="10"/>
      <c r="W18" s="46"/>
      <c r="X18" s="46"/>
      <c r="Y18" s="46"/>
      <c r="Z18" s="10"/>
      <c r="AA18" s="46"/>
      <c r="AB18" s="46"/>
      <c r="AC18" s="46"/>
      <c r="AD18" s="10"/>
      <c r="AE18" s="46"/>
      <c r="AF18" s="46"/>
      <c r="AG18" s="46"/>
      <c r="AH18" s="10"/>
      <c r="AI18" s="46"/>
      <c r="AJ18" s="46"/>
      <c r="AK18" s="46"/>
      <c r="AL18" s="10"/>
      <c r="AM18" s="46"/>
      <c r="AN18" s="46"/>
      <c r="AO18" s="46"/>
      <c r="AP18" s="10"/>
      <c r="AQ18" s="46"/>
      <c r="AR18" s="46"/>
      <c r="AS18" s="46"/>
    </row>
    <row r="19" spans="1:45">
      <c r="A19" s="2">
        <v>1981</v>
      </c>
      <c r="B19" s="686">
        <v>18.698072632663571</v>
      </c>
      <c r="C19" s="687">
        <v>0.26864873646793302</v>
      </c>
      <c r="D19" s="687">
        <v>9.4938736797148329E-2</v>
      </c>
      <c r="E19" s="687">
        <v>0.59957115064117927</v>
      </c>
      <c r="F19" s="686">
        <v>39.26792065175939</v>
      </c>
      <c r="G19" s="687">
        <v>0.12103796805124216</v>
      </c>
      <c r="H19" s="687">
        <v>8.9829986247912288E-2</v>
      </c>
      <c r="I19" s="687">
        <v>0.61748001155677368</v>
      </c>
      <c r="J19" s="686">
        <v>26.155342864094951</v>
      </c>
      <c r="K19" s="687">
        <v>0.28445219302363223</v>
      </c>
      <c r="L19" s="687">
        <v>0.14061495363886187</v>
      </c>
      <c r="M19" s="687">
        <v>0.43945195776120954</v>
      </c>
      <c r="N19" s="686">
        <v>15.41185695155573</v>
      </c>
      <c r="O19" s="687">
        <v>0.20927067084688039</v>
      </c>
      <c r="P19" s="687">
        <v>6.0957218257391449E-2</v>
      </c>
      <c r="Q19" s="687">
        <v>0.71869426760765598</v>
      </c>
      <c r="R19" s="686">
        <v>18.533590396338397</v>
      </c>
      <c r="S19" s="687">
        <v>0.69144502350917403</v>
      </c>
      <c r="T19" s="687">
        <v>0.24220272221407591</v>
      </c>
      <c r="U19" s="687">
        <v>8.3333333333333301E-2</v>
      </c>
      <c r="V19" s="686">
        <v>21.467032765301987</v>
      </c>
      <c r="W19" s="687">
        <v>0.34151023760042454</v>
      </c>
      <c r="X19" s="687">
        <v>0.13855989659880777</v>
      </c>
      <c r="Y19" s="687">
        <v>0.44665601486856732</v>
      </c>
      <c r="Z19" s="686">
        <v>10.09156171314741</v>
      </c>
      <c r="AA19" s="687">
        <v>0.21913571560963976</v>
      </c>
      <c r="AB19" s="687">
        <v>4.1795868195195651E-2</v>
      </c>
      <c r="AC19" s="687">
        <v>0.78586488983938652</v>
      </c>
      <c r="AD19" s="686">
        <v>19.41621478748997</v>
      </c>
      <c r="AE19" s="687">
        <v>0.24488410576577926</v>
      </c>
      <c r="AF19" s="687">
        <v>8.9864253276665765E-2</v>
      </c>
      <c r="AG19" s="687">
        <v>0.61735988757616</v>
      </c>
      <c r="AH19" s="686">
        <v>33.231051344026554</v>
      </c>
      <c r="AI19" s="687">
        <v>0.29772722347242919</v>
      </c>
      <c r="AJ19" s="687">
        <v>0.18699260547983579</v>
      </c>
      <c r="AK19" s="687">
        <v>0.27687386583693974</v>
      </c>
      <c r="AL19" s="686">
        <v>31.338711305099384</v>
      </c>
      <c r="AM19" s="687">
        <v>0.20241303554796375</v>
      </c>
      <c r="AN19" s="687">
        <v>0.11988957365455999</v>
      </c>
      <c r="AO19" s="687">
        <v>0.51210532847965462</v>
      </c>
      <c r="AP19" s="686">
        <v>37.427717875787579</v>
      </c>
      <c r="AQ19" s="687">
        <v>0.12463391777541241</v>
      </c>
      <c r="AR19" s="687">
        <v>8.8164022821567392E-2</v>
      </c>
      <c r="AS19" s="687">
        <v>0.62332009065347949</v>
      </c>
    </row>
    <row r="20" spans="1:45">
      <c r="A20" s="2">
        <v>1982</v>
      </c>
      <c r="B20" s="686">
        <v>13.96275354971664</v>
      </c>
      <c r="C20" s="687">
        <v>0.21155717009591873</v>
      </c>
      <c r="D20" s="687">
        <v>5.5829099863998644E-2</v>
      </c>
      <c r="E20" s="687">
        <v>0.73667102301602227</v>
      </c>
      <c r="F20" s="686">
        <v>35.892621932743971</v>
      </c>
      <c r="G20" s="687">
        <v>0.12636881234472042</v>
      </c>
      <c r="H20" s="687">
        <v>8.5724881305441578E-2</v>
      </c>
      <c r="I20" s="687">
        <v>0.63187056610628489</v>
      </c>
      <c r="J20" s="686">
        <v>24.664952446290801</v>
      </c>
      <c r="K20" s="687">
        <v>0.24081808907413399</v>
      </c>
      <c r="L20" s="687">
        <v>0.11226159091766058</v>
      </c>
      <c r="M20" s="687">
        <v>0.53884542482710973</v>
      </c>
      <c r="N20" s="686">
        <v>13.636391965340687</v>
      </c>
      <c r="O20" s="687">
        <v>0.15753093334881565</v>
      </c>
      <c r="P20" s="687">
        <v>4.0600102167016733E-2</v>
      </c>
      <c r="Q20" s="687">
        <v>0.79005667945210334</v>
      </c>
      <c r="R20" s="686">
        <v>16.407477640076451</v>
      </c>
      <c r="S20" s="687">
        <v>0.71451493343411154</v>
      </c>
      <c r="T20" s="687">
        <v>0.22157202930321498</v>
      </c>
      <c r="U20" s="687">
        <v>0.15565477599766489</v>
      </c>
      <c r="V20" s="686">
        <v>14.574068074584513</v>
      </c>
      <c r="W20" s="687">
        <v>0.28213939295892082</v>
      </c>
      <c r="X20" s="687">
        <v>7.7715263798649459E-2</v>
      </c>
      <c r="Y20" s="687">
        <v>0.65994849328902827</v>
      </c>
      <c r="Z20" s="686">
        <v>6.913695507968125</v>
      </c>
      <c r="AA20" s="687">
        <v>0.17796101561918401</v>
      </c>
      <c r="AB20" s="687">
        <v>2.3253960383888179E-2</v>
      </c>
      <c r="AC20" s="687">
        <v>0.85086404078680067</v>
      </c>
      <c r="AD20" s="686">
        <v>16.515754450681634</v>
      </c>
      <c r="AE20" s="687">
        <v>0.19705584849685912</v>
      </c>
      <c r="AF20" s="687">
        <v>6.15105415293676E-2</v>
      </c>
      <c r="AG20" s="687">
        <v>0.71675457816232491</v>
      </c>
      <c r="AH20" s="686">
        <v>21.638883932522127</v>
      </c>
      <c r="AI20" s="687">
        <v>0.2189915497019374</v>
      </c>
      <c r="AJ20" s="687">
        <v>8.956204852524377E-2</v>
      </c>
      <c r="AK20" s="687">
        <v>0.61841927436928834</v>
      </c>
      <c r="AL20" s="686">
        <v>24.02749607605876</v>
      </c>
      <c r="AM20" s="687">
        <v>0.11532731759417426</v>
      </c>
      <c r="AN20" s="687">
        <v>5.2372404081076046E-2</v>
      </c>
      <c r="AO20" s="687">
        <v>0.74878856201254651</v>
      </c>
      <c r="AP20" s="686">
        <v>36.228779837983801</v>
      </c>
      <c r="AQ20" s="687">
        <v>8.0339074188398057E-2</v>
      </c>
      <c r="AR20" s="687">
        <v>5.5010087328903584E-2</v>
      </c>
      <c r="AS20" s="687">
        <v>0.73954209323912001</v>
      </c>
    </row>
    <row r="21" spans="1:45">
      <c r="A21" s="2">
        <v>1983</v>
      </c>
      <c r="B21" s="686">
        <v>13.10564985574446</v>
      </c>
      <c r="C21" s="687">
        <v>0.22794131644724466</v>
      </c>
      <c r="D21" s="687">
        <v>5.6460330631184143E-2</v>
      </c>
      <c r="E21" s="687">
        <v>0.73445822677431505</v>
      </c>
      <c r="F21" s="686">
        <v>32.68505109588952</v>
      </c>
      <c r="G21" s="687">
        <v>0.13985017330498448</v>
      </c>
      <c r="H21" s="687">
        <v>8.6392090138581762E-2</v>
      </c>
      <c r="I21" s="687">
        <v>0.62953164779755078</v>
      </c>
      <c r="J21" s="686">
        <v>22.076898694187214</v>
      </c>
      <c r="K21" s="687">
        <v>0.24040247175037857</v>
      </c>
      <c r="L21" s="687">
        <v>0.10030874517717438</v>
      </c>
      <c r="M21" s="687">
        <v>0.58074644345169946</v>
      </c>
      <c r="N21" s="686">
        <v>12.392726304327921</v>
      </c>
      <c r="O21" s="687">
        <v>0.1636288699666516</v>
      </c>
      <c r="P21" s="687">
        <v>3.8325567438582037E-2</v>
      </c>
      <c r="Q21" s="687">
        <v>0.79803012143300367</v>
      </c>
      <c r="R21" s="686">
        <v>14.692055519866258</v>
      </c>
      <c r="S21" s="687">
        <v>0.63564865840975093</v>
      </c>
      <c r="T21" s="687">
        <v>0.17650682369115819</v>
      </c>
      <c r="U21" s="687">
        <v>0.31363205276246525</v>
      </c>
      <c r="V21" s="686">
        <v>13.851735223492003</v>
      </c>
      <c r="W21" s="687">
        <v>0.28461792139584419</v>
      </c>
      <c r="X21" s="687">
        <v>7.4512344444978368E-2</v>
      </c>
      <c r="Y21" s="687">
        <v>0.67117641226372526</v>
      </c>
      <c r="Z21" s="686">
        <v>6.8213939771533001</v>
      </c>
      <c r="AA21" s="687">
        <v>0.20282984431323367</v>
      </c>
      <c r="AB21" s="687">
        <v>2.6149705061480916E-2</v>
      </c>
      <c r="AC21" s="687">
        <v>0.84071293080828824</v>
      </c>
      <c r="AD21" s="686">
        <v>14.373319142714566</v>
      </c>
      <c r="AE21" s="687">
        <v>0.1887566475598548</v>
      </c>
      <c r="AF21" s="687">
        <v>5.1276825224478392E-2</v>
      </c>
      <c r="AG21" s="687">
        <v>0.75262914283084603</v>
      </c>
      <c r="AH21" s="686">
        <v>20.845173234169906</v>
      </c>
      <c r="AI21" s="687">
        <v>0.21559855782803</v>
      </c>
      <c r="AJ21" s="687">
        <v>8.4940177523590926E-2</v>
      </c>
      <c r="AK21" s="687">
        <v>0.63462136608245634</v>
      </c>
      <c r="AL21" s="686">
        <v>19.202173861576771</v>
      </c>
      <c r="AM21" s="687">
        <v>0.15337613911807971</v>
      </c>
      <c r="AN21" s="687">
        <v>5.5663434972736021E-2</v>
      </c>
      <c r="AO21" s="687">
        <v>0.73725176569813722</v>
      </c>
      <c r="AP21" s="686">
        <v>33.614983647674137</v>
      </c>
      <c r="AQ21" s="687">
        <v>9.3477587130908563E-2</v>
      </c>
      <c r="AR21" s="687">
        <v>5.9388478937478041E-2</v>
      </c>
      <c r="AS21" s="687">
        <v>0.72419352501362877</v>
      </c>
    </row>
    <row r="22" spans="1:45">
      <c r="A22" s="2">
        <v>1984</v>
      </c>
      <c r="B22" s="686">
        <v>12.24854616177228</v>
      </c>
      <c r="C22" s="687">
        <v>0.24432546279857062</v>
      </c>
      <c r="D22" s="687">
        <v>5.6560739311150229E-2</v>
      </c>
      <c r="E22" s="687">
        <v>0.73410624147636383</v>
      </c>
      <c r="F22" s="686">
        <v>29.764127210955099</v>
      </c>
      <c r="G22" s="687">
        <v>0.15476976170419249</v>
      </c>
      <c r="H22" s="687">
        <v>8.7064491952105763E-2</v>
      </c>
      <c r="I22" s="687">
        <v>0.62717452535797602</v>
      </c>
      <c r="J22" s="686">
        <v>19.760405255786349</v>
      </c>
      <c r="K22" s="687">
        <v>0.23998757172224022</v>
      </c>
      <c r="L22" s="687">
        <v>8.9628556630729259E-2</v>
      </c>
      <c r="M22" s="687">
        <v>0.61818612843675158</v>
      </c>
      <c r="N22" s="686">
        <v>11.262485387948013</v>
      </c>
      <c r="O22" s="687">
        <v>0.1699628543892244</v>
      </c>
      <c r="P22" s="687">
        <v>3.6178458700593677E-2</v>
      </c>
      <c r="Q22" s="687">
        <v>0.80555686821554939</v>
      </c>
      <c r="R22" s="686">
        <v>13.155982908158135</v>
      </c>
      <c r="S22" s="687">
        <v>0.56548743494578813</v>
      </c>
      <c r="T22" s="687">
        <v>0.14060736324668199</v>
      </c>
      <c r="U22" s="687">
        <v>0.43947856608285968</v>
      </c>
      <c r="V22" s="686">
        <v>13.165203271990272</v>
      </c>
      <c r="W22" s="687">
        <v>0.28711822312414742</v>
      </c>
      <c r="X22" s="687">
        <v>7.1441428662866902E-2</v>
      </c>
      <c r="Y22" s="687">
        <v>0.68194158920773595</v>
      </c>
      <c r="Z22" s="686">
        <v>6.7303247211155375</v>
      </c>
      <c r="AA22" s="687">
        <v>0.23117392087807215</v>
      </c>
      <c r="AB22" s="687">
        <v>2.9406047981238734E-2</v>
      </c>
      <c r="AC22" s="687">
        <v>0.82929773410189511</v>
      </c>
      <c r="AD22" s="686">
        <v>12.50880205292702</v>
      </c>
      <c r="AE22" s="687">
        <v>0.18080697563565662</v>
      </c>
      <c r="AF22" s="687">
        <v>4.2745726825480237E-2</v>
      </c>
      <c r="AG22" s="687">
        <v>0.78253513514980066</v>
      </c>
      <c r="AH22" s="686">
        <v>20.080575713495577</v>
      </c>
      <c r="AI22" s="687">
        <v>0.21225813599105808</v>
      </c>
      <c r="AJ22" s="687">
        <v>8.0556819283846379E-2</v>
      </c>
      <c r="AK22" s="687">
        <v>0.64998734496559996</v>
      </c>
      <c r="AL22" s="686">
        <v>15.345897044079509</v>
      </c>
      <c r="AM22" s="687">
        <v>0.20397803869459682</v>
      </c>
      <c r="AN22" s="687">
        <v>5.9161271042044376E-2</v>
      </c>
      <c r="AO22" s="687">
        <v>0.72499000833357763</v>
      </c>
      <c r="AP22" s="686">
        <v>31.189764896489649</v>
      </c>
      <c r="AQ22" s="687">
        <v>0.10876474970729109</v>
      </c>
      <c r="AR22" s="687">
        <v>6.4115357778283463E-2</v>
      </c>
      <c r="AS22" s="687">
        <v>0.70762332552766838</v>
      </c>
    </row>
    <row r="23" spans="1:45">
      <c r="A23" s="2">
        <v>1985</v>
      </c>
      <c r="B23" s="686">
        <v>9.805569211746521</v>
      </c>
      <c r="C23" s="687">
        <v>0.27041598485988338</v>
      </c>
      <c r="D23" s="687">
        <v>5.0114912189066906E-2</v>
      </c>
      <c r="E23" s="687">
        <v>0.75670225987710937</v>
      </c>
      <c r="F23" s="686">
        <v>35.015699110764423</v>
      </c>
      <c r="G23" s="687">
        <v>0.10002283697593163</v>
      </c>
      <c r="H23" s="687">
        <v>6.6194784754955577E-2</v>
      </c>
      <c r="I23" s="687">
        <v>0.70033383895938717</v>
      </c>
      <c r="J23" s="686">
        <v>15.808132020178041</v>
      </c>
      <c r="K23" s="687">
        <v>0.30350617765458082</v>
      </c>
      <c r="L23" s="687">
        <v>9.0679662208230927E-2</v>
      </c>
      <c r="M23" s="687">
        <v>0.61450144988107269</v>
      </c>
      <c r="N23" s="686">
        <v>12.563963450177235</v>
      </c>
      <c r="O23" s="687">
        <v>0.14986800681220008</v>
      </c>
      <c r="P23" s="687">
        <v>3.5587493422854555E-2</v>
      </c>
      <c r="Q23" s="687">
        <v>0.80762851271315717</v>
      </c>
      <c r="R23" s="686">
        <v>10.512250782617445</v>
      </c>
      <c r="S23" s="687">
        <v>0.53671870798582144</v>
      </c>
      <c r="T23" s="687">
        <v>0.10663609933751118</v>
      </c>
      <c r="U23" s="687">
        <v>0.55856573516909902</v>
      </c>
      <c r="V23" s="686">
        <v>11.332838143494122</v>
      </c>
      <c r="W23" s="687">
        <v>0.28919841928907086</v>
      </c>
      <c r="X23" s="687">
        <v>6.1943594778274637E-2</v>
      </c>
      <c r="Y23" s="687">
        <v>0.71523649848139748</v>
      </c>
      <c r="Z23" s="686">
        <v>4.0773363645418321</v>
      </c>
      <c r="AA23" s="687">
        <v>0.3406913040276785</v>
      </c>
      <c r="AB23" s="687">
        <v>2.6254236512609861E-2</v>
      </c>
      <c r="AC23" s="687">
        <v>0.8403464930263822</v>
      </c>
      <c r="AD23" s="686">
        <v>11.472145966319163</v>
      </c>
      <c r="AE23" s="687">
        <v>0.22345567508973979</v>
      </c>
      <c r="AF23" s="687">
        <v>4.8450454698842592E-2</v>
      </c>
      <c r="AG23" s="687">
        <v>0.76253705987469467</v>
      </c>
      <c r="AH23" s="686">
        <v>18.112118714048673</v>
      </c>
      <c r="AI23" s="687">
        <v>0.2259937341281669</v>
      </c>
      <c r="AJ23" s="687">
        <v>7.7361958947933671E-2</v>
      </c>
      <c r="AK23" s="687">
        <v>0.66118701283921844</v>
      </c>
      <c r="AL23" s="686">
        <v>8.9232548833189238</v>
      </c>
      <c r="AM23" s="687">
        <v>0.24359497549222339</v>
      </c>
      <c r="AN23" s="687">
        <v>4.1082175032184483E-2</v>
      </c>
      <c r="AO23" s="687">
        <v>0.78836676020271623</v>
      </c>
      <c r="AP23" s="686">
        <v>27.540823042304229</v>
      </c>
      <c r="AQ23" s="687">
        <v>0.11405823464608833</v>
      </c>
      <c r="AR23" s="687">
        <v>5.9369769715514553E-2</v>
      </c>
      <c r="AS23" s="687">
        <v>0.72425911068878623</v>
      </c>
    </row>
    <row r="24" spans="1:45">
      <c r="A24" s="2">
        <v>1986</v>
      </c>
      <c r="B24" s="686">
        <v>9.2636204842864469</v>
      </c>
      <c r="C24" s="687">
        <v>0.24919551371073914</v>
      </c>
      <c r="D24" s="687">
        <v>4.3629755376118344E-2</v>
      </c>
      <c r="E24" s="687">
        <v>0.77943614955514084</v>
      </c>
      <c r="F24" s="686">
        <v>29.022444109897727</v>
      </c>
      <c r="G24" s="687">
        <v>0.11560437505822976</v>
      </c>
      <c r="H24" s="687">
        <v>6.3411796614356711E-2</v>
      </c>
      <c r="I24" s="687">
        <v>0.7100896778987511</v>
      </c>
      <c r="J24" s="686">
        <v>18.439137154896141</v>
      </c>
      <c r="K24" s="687">
        <v>0.26135742204596962</v>
      </c>
      <c r="L24" s="687">
        <v>9.1082981144402914E-2</v>
      </c>
      <c r="M24" s="687">
        <v>0.61308760462421041</v>
      </c>
      <c r="N24" s="686">
        <v>11.568326112642772</v>
      </c>
      <c r="O24" s="687">
        <v>0.13323217858801675</v>
      </c>
      <c r="P24" s="687">
        <v>2.9130065192416343E-2</v>
      </c>
      <c r="Q24" s="687">
        <v>0.83026519910776764</v>
      </c>
      <c r="R24" s="686">
        <v>8.6058621667840267</v>
      </c>
      <c r="S24" s="687">
        <v>0.63716894078398645</v>
      </c>
      <c r="T24" s="687">
        <v>0.10363603473737816</v>
      </c>
      <c r="U24" s="687">
        <v>0.56908254141042458</v>
      </c>
      <c r="V24" s="686">
        <v>11.257158482367249</v>
      </c>
      <c r="W24" s="687">
        <v>0.31729811830377452</v>
      </c>
      <c r="X24" s="687">
        <v>6.750844135375729E-2</v>
      </c>
      <c r="Y24" s="687">
        <v>0.69572878081609801</v>
      </c>
      <c r="Z24" s="686">
        <v>4.0879909362549798</v>
      </c>
      <c r="AA24" s="687">
        <v>0.26217797784299701</v>
      </c>
      <c r="AB24" s="687">
        <v>2.0256664625337997E-2</v>
      </c>
      <c r="AC24" s="687">
        <v>0.86137114078032129</v>
      </c>
      <c r="AD24" s="686">
        <v>9.9520798235765806</v>
      </c>
      <c r="AE24" s="687">
        <v>0.25595342081214478</v>
      </c>
      <c r="AF24" s="687">
        <v>4.8143381738255095E-2</v>
      </c>
      <c r="AG24" s="687">
        <v>0.7636135123045209</v>
      </c>
      <c r="AH24" s="686">
        <v>22.819186692477881</v>
      </c>
      <c r="AI24" s="687">
        <v>0.2606651564083457</v>
      </c>
      <c r="AJ24" s="687">
        <v>0.11242035381098316</v>
      </c>
      <c r="AK24" s="687">
        <v>0.53828887728232966</v>
      </c>
      <c r="AL24" s="686">
        <v>11.428370509939493</v>
      </c>
      <c r="AM24" s="687">
        <v>0.17528929529803114</v>
      </c>
      <c r="AN24" s="687">
        <v>3.7861822147440577E-2</v>
      </c>
      <c r="AO24" s="687">
        <v>0.79965579288422695</v>
      </c>
      <c r="AP24" s="686">
        <v>18.910785958595859</v>
      </c>
      <c r="AQ24" s="687">
        <v>7.4791637413517825E-2</v>
      </c>
      <c r="AR24" s="687">
        <v>2.6731567421116972E-2</v>
      </c>
      <c r="AS24" s="687">
        <v>0.83867319683217934</v>
      </c>
    </row>
    <row r="25" spans="1:45">
      <c r="A25" s="2">
        <v>1987</v>
      </c>
      <c r="B25" s="686">
        <v>8.4060960226687271</v>
      </c>
      <c r="C25" s="687">
        <v>0.24410961566672937</v>
      </c>
      <c r="D25" s="687">
        <v>3.8782967630739289E-2</v>
      </c>
      <c r="E25" s="687">
        <v>0.796426692895015</v>
      </c>
      <c r="F25" s="686">
        <v>24.968099634252031</v>
      </c>
      <c r="G25" s="687">
        <v>0.10092339910714282</v>
      </c>
      <c r="H25" s="687">
        <v>4.7625457653922502E-2</v>
      </c>
      <c r="I25" s="687">
        <v>0.7654291089561398</v>
      </c>
      <c r="J25" s="686">
        <v>12.589042465281898</v>
      </c>
      <c r="K25" s="687">
        <v>0.18242633064098418</v>
      </c>
      <c r="L25" s="687">
        <v>4.3405226358950715E-2</v>
      </c>
      <c r="M25" s="687">
        <v>0.7802232419960845</v>
      </c>
      <c r="N25" s="686">
        <v>7.8320381252461591</v>
      </c>
      <c r="O25" s="687">
        <v>0.11706725646384891</v>
      </c>
      <c r="P25" s="687">
        <v>1.7328941579429571E-2</v>
      </c>
      <c r="Q25" s="687">
        <v>0.87163435177941673</v>
      </c>
      <c r="R25" s="686">
        <v>12.272156638165175</v>
      </c>
      <c r="S25" s="687">
        <v>0.49717029097164289</v>
      </c>
      <c r="T25" s="687">
        <v>0.11531554687761239</v>
      </c>
      <c r="U25" s="687">
        <v>0.52813970099071961</v>
      </c>
      <c r="V25" s="686">
        <v>10.605090291041751</v>
      </c>
      <c r="W25" s="687">
        <v>0.24875394959072308</v>
      </c>
      <c r="X25" s="687">
        <v>4.9859298008028179E-2</v>
      </c>
      <c r="Y25" s="687">
        <v>0.75759832218670098</v>
      </c>
      <c r="Z25" s="686">
        <v>3.2748788844621504</v>
      </c>
      <c r="AA25" s="687">
        <v>0.32007240737294207</v>
      </c>
      <c r="AB25" s="687">
        <v>1.9810949162847234E-2</v>
      </c>
      <c r="AC25" s="687">
        <v>0.86293360818771314</v>
      </c>
      <c r="AD25" s="686">
        <v>9.1802562630312732</v>
      </c>
      <c r="AE25" s="687">
        <v>0.1688070544570745</v>
      </c>
      <c r="AF25" s="687">
        <v>2.9289179157652626E-2</v>
      </c>
      <c r="AG25" s="687">
        <v>0.82970742087105753</v>
      </c>
      <c r="AH25" s="686">
        <v>15.603653915929206</v>
      </c>
      <c r="AI25" s="687">
        <v>0.20686857585692994</v>
      </c>
      <c r="AJ25" s="687">
        <v>6.1007417044925703E-2</v>
      </c>
      <c r="AK25" s="687">
        <v>0.71851829442293735</v>
      </c>
      <c r="AL25" s="686">
        <v>9.6182030769230717</v>
      </c>
      <c r="AM25" s="687">
        <v>0.18447362804998654</v>
      </c>
      <c r="AN25" s="687">
        <v>3.3534361039817155E-2</v>
      </c>
      <c r="AO25" s="687">
        <v>0.81482582288415739</v>
      </c>
      <c r="AP25" s="686">
        <v>22.725764320432038</v>
      </c>
      <c r="AQ25" s="687">
        <v>0.11948151718999467</v>
      </c>
      <c r="AR25" s="687">
        <v>5.1319336325811149E-2</v>
      </c>
      <c r="AS25" s="687">
        <v>0.7524801190345578</v>
      </c>
    </row>
    <row r="26" spans="1:45">
      <c r="A26" s="2">
        <v>1988</v>
      </c>
      <c r="B26" s="686">
        <v>10.459442132921174</v>
      </c>
      <c r="C26" s="687">
        <v>0.22581657124318227</v>
      </c>
      <c r="D26" s="687">
        <v>4.464020029592472E-2</v>
      </c>
      <c r="E26" s="687">
        <v>0.77589400801636732</v>
      </c>
      <c r="F26" s="686">
        <v>27.341200842433693</v>
      </c>
      <c r="G26" s="687">
        <v>0.11521151238354035</v>
      </c>
      <c r="H26" s="687">
        <v>5.9535398779395461E-2</v>
      </c>
      <c r="I26" s="687">
        <v>0.72367849360051073</v>
      </c>
      <c r="J26" s="686">
        <v>18.318060950741838</v>
      </c>
      <c r="K26" s="687">
        <v>0.24985795101974756</v>
      </c>
      <c r="L26" s="687">
        <v>8.6503659022756169E-2</v>
      </c>
      <c r="M26" s="687">
        <v>0.62914054010694609</v>
      </c>
      <c r="N26" s="686">
        <v>11.33000866482867</v>
      </c>
      <c r="O26" s="687">
        <v>0.13125437296795173</v>
      </c>
      <c r="P26" s="687">
        <v>2.8106439159145034E-2</v>
      </c>
      <c r="Q26" s="687">
        <v>0.83385354739033912</v>
      </c>
      <c r="R26" s="686">
        <v>11.303821083392016</v>
      </c>
      <c r="S26" s="687">
        <v>0.58024943087989977</v>
      </c>
      <c r="T26" s="687">
        <v>0.12396577568268151</v>
      </c>
      <c r="U26" s="687">
        <v>0.49781609386505621</v>
      </c>
      <c r="V26" s="686">
        <v>13.738534038102959</v>
      </c>
      <c r="W26" s="687">
        <v>0.25211295487342733</v>
      </c>
      <c r="X26" s="687">
        <v>6.5463219586333096E-2</v>
      </c>
      <c r="Y26" s="687">
        <v>0.70289836011368623</v>
      </c>
      <c r="Z26" s="686">
        <v>4.6683847111553778</v>
      </c>
      <c r="AA26" s="687">
        <v>0.26838636043426395</v>
      </c>
      <c r="AB26" s="687">
        <v>2.3680391774771735E-2</v>
      </c>
      <c r="AC26" s="687">
        <v>0.84936917420528024</v>
      </c>
      <c r="AD26" s="686">
        <v>8.174436840417</v>
      </c>
      <c r="AE26" s="687">
        <v>0.24940244343404128</v>
      </c>
      <c r="AF26" s="687">
        <v>3.8531893460077904E-2</v>
      </c>
      <c r="AG26" s="687">
        <v>0.79730684007748909</v>
      </c>
      <c r="AH26" s="686">
        <v>18.992845719026551</v>
      </c>
      <c r="AI26" s="687">
        <v>0.21392734359165425</v>
      </c>
      <c r="AJ26" s="687">
        <v>7.6792382703240236E-2</v>
      </c>
      <c r="AK26" s="687">
        <v>0.6631836775126515</v>
      </c>
      <c r="AL26" s="686">
        <v>19.604143318928255</v>
      </c>
      <c r="AM26" s="687">
        <v>0.14770052554167043</v>
      </c>
      <c r="AN26" s="687">
        <v>5.472574892189868E-2</v>
      </c>
      <c r="AO26" s="687">
        <v>0.74053884908674572</v>
      </c>
      <c r="AP26" s="686">
        <v>19.026625382538253</v>
      </c>
      <c r="AQ26" s="687">
        <v>7.0852562267163383E-2</v>
      </c>
      <c r="AR26" s="687">
        <v>2.5478809517390347E-2</v>
      </c>
      <c r="AS26" s="687">
        <v>0.84306477298030558</v>
      </c>
    </row>
    <row r="27" spans="1:45">
      <c r="A27" s="2">
        <v>1989</v>
      </c>
      <c r="B27" s="686">
        <v>9.5859285007727966</v>
      </c>
      <c r="C27" s="687">
        <v>0.19770248232085766</v>
      </c>
      <c r="D27" s="687">
        <v>3.5818559153112446E-2</v>
      </c>
      <c r="E27" s="687">
        <v>0.80681850565063429</v>
      </c>
      <c r="F27" s="686">
        <v>24.892650105737555</v>
      </c>
      <c r="G27" s="687">
        <v>9.6184870846273279E-2</v>
      </c>
      <c r="H27" s="687">
        <v>4.5252200739850729E-2</v>
      </c>
      <c r="I27" s="687">
        <v>0.77374862418426926</v>
      </c>
      <c r="J27" s="686">
        <v>18.047080874777446</v>
      </c>
      <c r="K27" s="687">
        <v>0.24350129898025261</v>
      </c>
      <c r="L27" s="687">
        <v>8.3055816316808639E-2</v>
      </c>
      <c r="M27" s="687">
        <v>0.64122704440668998</v>
      </c>
      <c r="N27" s="686">
        <v>9.9967549428909006</v>
      </c>
      <c r="O27" s="687">
        <v>0.12788097290602263</v>
      </c>
      <c r="P27" s="687">
        <v>2.4161660737199601E-2</v>
      </c>
      <c r="Q27" s="687">
        <v>0.84768207305832721</v>
      </c>
      <c r="R27" s="686">
        <v>8.7143157489186223</v>
      </c>
      <c r="S27" s="687">
        <v>0.40138896851542943</v>
      </c>
      <c r="T27" s="687">
        <v>6.6108990964770326E-2</v>
      </c>
      <c r="U27" s="687">
        <v>0.70063459137253425</v>
      </c>
      <c r="V27" s="686">
        <v>16.946128564248077</v>
      </c>
      <c r="W27" s="687">
        <v>0.25207885329695318</v>
      </c>
      <c r="X27" s="687">
        <v>8.0736276404039742E-2</v>
      </c>
      <c r="Y27" s="687">
        <v>0.64935825325816932</v>
      </c>
      <c r="Z27" s="686">
        <v>2.7427110657370513</v>
      </c>
      <c r="AA27" s="687">
        <v>0.22974801186828925</v>
      </c>
      <c r="AB27" s="687">
        <v>1.1909502633714418E-2</v>
      </c>
      <c r="AC27" s="687">
        <v>0.89063233913150641</v>
      </c>
      <c r="AD27" s="686">
        <v>6.7078813793103444</v>
      </c>
      <c r="AE27" s="687">
        <v>0.14124397019892312</v>
      </c>
      <c r="AF27" s="687">
        <v>1.7906763375343488E-2</v>
      </c>
      <c r="AG27" s="687">
        <v>0.86960878210689296</v>
      </c>
      <c r="AH27" s="686">
        <v>14.625211214048676</v>
      </c>
      <c r="AI27" s="687">
        <v>0.15948005499254844</v>
      </c>
      <c r="AJ27" s="687">
        <v>4.4082917336318847E-2</v>
      </c>
      <c r="AK27" s="687">
        <v>0.77784757825199069</v>
      </c>
      <c r="AL27" s="686">
        <v>11.949206413137421</v>
      </c>
      <c r="AM27" s="687">
        <v>9.3157930162725888E-2</v>
      </c>
      <c r="AN27" s="687">
        <v>2.1038787060512487E-2</v>
      </c>
      <c r="AO27" s="687">
        <v>0.85862938978357306</v>
      </c>
      <c r="AP27" s="686">
        <v>16.431822286228623</v>
      </c>
      <c r="AQ27" s="687">
        <v>7.4520755455029272E-2</v>
      </c>
      <c r="AR27" s="687">
        <v>2.3143273214151064E-2</v>
      </c>
      <c r="AS27" s="687">
        <v>0.85125205760399669</v>
      </c>
    </row>
    <row r="28" spans="1:45">
      <c r="A28" s="2">
        <v>1990</v>
      </c>
      <c r="B28" s="686">
        <v>6.7575283874291596</v>
      </c>
      <c r="C28" s="687">
        <v>0.19859285173970287</v>
      </c>
      <c r="D28" s="687">
        <v>2.5363740146942343E-2</v>
      </c>
      <c r="E28" s="687">
        <v>0.84346815171863654</v>
      </c>
      <c r="F28" s="686">
        <v>21.335133657479627</v>
      </c>
      <c r="G28" s="687">
        <v>7.7762633423913027E-2</v>
      </c>
      <c r="H28" s="687">
        <v>3.1356539757713082E-2</v>
      </c>
      <c r="I28" s="687">
        <v>0.822460233306889</v>
      </c>
      <c r="J28" s="686">
        <v>14.948106601780419</v>
      </c>
      <c r="K28" s="687">
        <v>0.21911283751213992</v>
      </c>
      <c r="L28" s="687">
        <v>6.1903586800756111E-2</v>
      </c>
      <c r="M28" s="687">
        <v>0.71537674751058533</v>
      </c>
      <c r="N28" s="686">
        <v>6.5795475384009441</v>
      </c>
      <c r="O28" s="687">
        <v>8.5918958430097558E-2</v>
      </c>
      <c r="P28" s="687">
        <v>1.0684318770229635E-2</v>
      </c>
      <c r="Q28" s="687">
        <v>0.894927253748244</v>
      </c>
      <c r="R28" s="686">
        <v>7.7058382838748631</v>
      </c>
      <c r="S28" s="687">
        <v>0.39435127277939941</v>
      </c>
      <c r="T28" s="687">
        <v>5.743345485297939E-2</v>
      </c>
      <c r="U28" s="687">
        <v>0.73104691393494903</v>
      </c>
      <c r="V28" s="686">
        <v>10.362762487231459</v>
      </c>
      <c r="W28" s="687">
        <v>0.21115696152796729</v>
      </c>
      <c r="X28" s="687">
        <v>4.1356402412972129E-2</v>
      </c>
      <c r="Y28" s="687">
        <v>0.78740544882639385</v>
      </c>
      <c r="Z28" s="686">
        <v>2.0653046115537848</v>
      </c>
      <c r="AA28" s="687">
        <v>0.27759798501073735</v>
      </c>
      <c r="AB28" s="687">
        <v>1.08358311335535E-2</v>
      </c>
      <c r="AC28" s="687">
        <v>0.89439612312919936</v>
      </c>
      <c r="AD28" s="686">
        <v>7.5268668965517227</v>
      </c>
      <c r="AE28" s="687">
        <v>0.20533334514657492</v>
      </c>
      <c r="AF28" s="687">
        <v>2.9210266732663494E-2</v>
      </c>
      <c r="AG28" s="687">
        <v>0.82998405047550228</v>
      </c>
      <c r="AH28" s="686">
        <v>9.9271433655973471</v>
      </c>
      <c r="AI28" s="687">
        <v>0.29361078777943367</v>
      </c>
      <c r="AJ28" s="687">
        <v>5.508813965707865E-2</v>
      </c>
      <c r="AK28" s="687">
        <v>0.7392684787269308</v>
      </c>
      <c r="AL28" s="686">
        <v>10.671882627484871</v>
      </c>
      <c r="AM28" s="687">
        <v>0.11964672627888159</v>
      </c>
      <c r="AN28" s="687">
        <v>2.4132574990648543E-2</v>
      </c>
      <c r="AO28" s="687">
        <v>0.84778403391638613</v>
      </c>
      <c r="AP28" s="686">
        <v>15.580402520252022</v>
      </c>
      <c r="AQ28" s="687">
        <v>7.7816485949973396E-2</v>
      </c>
      <c r="AR28" s="687">
        <v>2.2914590085049098E-2</v>
      </c>
      <c r="AS28" s="687">
        <v>0.8520537123948031</v>
      </c>
    </row>
    <row r="29" spans="1:45">
      <c r="A29" s="2">
        <v>1991</v>
      </c>
      <c r="B29" s="686">
        <v>5.0567855641421939</v>
      </c>
      <c r="C29" s="687">
        <v>0.1803267882076359</v>
      </c>
      <c r="D29" s="687">
        <v>1.7234416699349848E-2</v>
      </c>
      <c r="E29" s="687">
        <v>0.8719657112603888</v>
      </c>
      <c r="F29" s="686">
        <v>17.52991498353267</v>
      </c>
      <c r="G29" s="687">
        <v>9.1863381424689416E-2</v>
      </c>
      <c r="H29" s="687">
        <v>3.0435752336370688E-2</v>
      </c>
      <c r="I29" s="687">
        <v>0.82568807810039047</v>
      </c>
      <c r="J29" s="686">
        <v>12.388209713946591</v>
      </c>
      <c r="K29" s="687">
        <v>0.17546276207510525</v>
      </c>
      <c r="L29" s="687">
        <v>4.1082353428562174E-2</v>
      </c>
      <c r="M29" s="687">
        <v>0.78836613482946982</v>
      </c>
      <c r="N29" s="686">
        <v>7.0502244978337911</v>
      </c>
      <c r="O29" s="687">
        <v>9.3239407803065513E-2</v>
      </c>
      <c r="P29" s="687">
        <v>1.2424080508371396E-2</v>
      </c>
      <c r="Q29" s="687">
        <v>0.88882847270689658</v>
      </c>
      <c r="R29" s="686">
        <v>5.4353554994467368</v>
      </c>
      <c r="S29" s="687">
        <v>0.35130117300875724</v>
      </c>
      <c r="T29" s="687">
        <v>3.6088543814562002E-2</v>
      </c>
      <c r="U29" s="687">
        <v>0.80587206723978511</v>
      </c>
      <c r="V29" s="686">
        <v>6.5994193384677766</v>
      </c>
      <c r="W29" s="687">
        <v>0.19448129063210551</v>
      </c>
      <c r="X29" s="687">
        <v>2.4257461857949327E-2</v>
      </c>
      <c r="Y29" s="687">
        <v>0.84734623968174527</v>
      </c>
      <c r="Z29" s="686">
        <v>2.1797010657370515</v>
      </c>
      <c r="AA29" s="687">
        <v>0.230000385144357</v>
      </c>
      <c r="AB29" s="687">
        <v>9.4751763993007488E-3</v>
      </c>
      <c r="AC29" s="687">
        <v>0.89916593448620952</v>
      </c>
      <c r="AD29" s="686">
        <v>5.1896291579791498</v>
      </c>
      <c r="AE29" s="687">
        <v>0.16095812642087945</v>
      </c>
      <c r="AF29" s="687">
        <v>1.5787415437053563E-2</v>
      </c>
      <c r="AG29" s="687">
        <v>0.87703821266780801</v>
      </c>
      <c r="AH29" s="686">
        <v>5.5453657992256655</v>
      </c>
      <c r="AI29" s="687">
        <v>0.24127122742175855</v>
      </c>
      <c r="AJ29" s="687">
        <v>2.5287013323466348E-2</v>
      </c>
      <c r="AK29" s="687">
        <v>0.8437371196388519</v>
      </c>
      <c r="AL29" s="686">
        <v>6.9434780639585121</v>
      </c>
      <c r="AM29" s="687">
        <v>0.17403729278072463</v>
      </c>
      <c r="AN29" s="687">
        <v>2.2839215957466678E-2</v>
      </c>
      <c r="AO29" s="687">
        <v>0.85231793840358905</v>
      </c>
      <c r="AP29" s="686">
        <v>11.30785843384338</v>
      </c>
      <c r="AQ29" s="687">
        <v>4.4407711069717928E-2</v>
      </c>
      <c r="AR29" s="687">
        <v>9.4907504817856696E-3</v>
      </c>
      <c r="AS29" s="687">
        <v>0.89911133912587193</v>
      </c>
    </row>
    <row r="30" spans="1:45">
      <c r="A30" s="2">
        <v>1992</v>
      </c>
      <c r="B30" s="686">
        <v>4.9347629469345691</v>
      </c>
      <c r="C30" s="687">
        <v>0.20014425299981192</v>
      </c>
      <c r="D30" s="687">
        <v>1.8666857986787491E-2</v>
      </c>
      <c r="E30" s="687">
        <v>0.86694425023205346</v>
      </c>
      <c r="F30" s="686">
        <v>24.948169570116132</v>
      </c>
      <c r="G30" s="687">
        <v>8.1129164343944085E-2</v>
      </c>
      <c r="H30" s="687">
        <v>3.825405641864274E-2</v>
      </c>
      <c r="I30" s="687">
        <v>0.79828080521520883</v>
      </c>
      <c r="J30" s="686">
        <v>9.3084538860534138</v>
      </c>
      <c r="K30" s="687">
        <v>0.23339134736969899</v>
      </c>
      <c r="L30" s="687">
        <v>4.1060488034060143E-2</v>
      </c>
      <c r="M30" s="687">
        <v>0.78844278455139838</v>
      </c>
      <c r="N30" s="686">
        <v>6.7834413548641175</v>
      </c>
      <c r="O30" s="687">
        <v>0.10143317394333491</v>
      </c>
      <c r="P30" s="687">
        <v>1.300444715207629E-2</v>
      </c>
      <c r="Q30" s="687">
        <v>0.88679398200276249</v>
      </c>
      <c r="R30" s="686">
        <v>6.3903104174630325</v>
      </c>
      <c r="S30" s="687">
        <v>0.44244791534612166</v>
      </c>
      <c r="T30" s="687">
        <v>5.343747297753923E-2</v>
      </c>
      <c r="U30" s="687">
        <v>0.74505493467089889</v>
      </c>
      <c r="V30" s="686">
        <v>6.7255521070125672</v>
      </c>
      <c r="W30" s="687">
        <v>0.22039848875246326</v>
      </c>
      <c r="X30" s="687">
        <v>2.801549873577763E-2</v>
      </c>
      <c r="Y30" s="687">
        <v>0.83417234146297903</v>
      </c>
      <c r="Z30" s="686">
        <v>1.4221049402390438</v>
      </c>
      <c r="AA30" s="687">
        <v>0.24974859399665958</v>
      </c>
      <c r="AB30" s="687">
        <v>6.7126886065336502E-3</v>
      </c>
      <c r="AC30" s="687">
        <v>0.90884990891105033</v>
      </c>
      <c r="AD30" s="686">
        <v>5.2639999358460301</v>
      </c>
      <c r="AE30" s="687">
        <v>0.13006445179479509</v>
      </c>
      <c r="AF30" s="687">
        <v>1.2940060125578993E-2</v>
      </c>
      <c r="AG30" s="687">
        <v>0.88701969243649692</v>
      </c>
      <c r="AH30" s="686">
        <v>6.9699578014380545</v>
      </c>
      <c r="AI30" s="687">
        <v>0.22408404746646796</v>
      </c>
      <c r="AJ30" s="687">
        <v>2.9519085106036076E-2</v>
      </c>
      <c r="AK30" s="687">
        <v>0.82890147945473935</v>
      </c>
      <c r="AL30" s="686">
        <v>7.749497891097664</v>
      </c>
      <c r="AM30" s="687">
        <v>0.24612580915220716</v>
      </c>
      <c r="AN30" s="687">
        <v>3.6048942196527996E-2</v>
      </c>
      <c r="AO30" s="687">
        <v>0.80601089176499308</v>
      </c>
      <c r="AP30" s="686">
        <v>12.806048316831681</v>
      </c>
      <c r="AQ30" s="687">
        <v>6.8487988504523672E-2</v>
      </c>
      <c r="AR30" s="687">
        <v>1.6576443259328159E-2</v>
      </c>
      <c r="AS30" s="687">
        <v>0.87427225465293434</v>
      </c>
    </row>
    <row r="31" spans="1:45">
      <c r="A31" s="2">
        <v>1993</v>
      </c>
      <c r="B31" s="686">
        <v>5.3732028335909314</v>
      </c>
      <c r="C31" s="687">
        <v>0.19553052055670495</v>
      </c>
      <c r="D31" s="687">
        <v>1.9856815280356259E-2</v>
      </c>
      <c r="E31" s="687">
        <v>0.86277282329299354</v>
      </c>
      <c r="F31" s="686">
        <v>11.92814338533541</v>
      </c>
      <c r="G31" s="687">
        <v>0.11900112618400621</v>
      </c>
      <c r="H31" s="687">
        <v>2.6827841177031225E-2</v>
      </c>
      <c r="I31" s="687">
        <v>0.83833570662045864</v>
      </c>
      <c r="J31" s="686">
        <v>6.9234448486646887</v>
      </c>
      <c r="K31" s="687">
        <v>0.11036297887665912</v>
      </c>
      <c r="L31" s="687">
        <v>1.4441338754392321E-2</v>
      </c>
      <c r="M31" s="687">
        <v>0.8817569202772666</v>
      </c>
      <c r="N31" s="686">
        <v>6.3822736510437164</v>
      </c>
      <c r="O31" s="687">
        <v>0.10317124554884659</v>
      </c>
      <c r="P31" s="687">
        <v>1.2445028606022354E-2</v>
      </c>
      <c r="Q31" s="687">
        <v>0.8887550385934746</v>
      </c>
      <c r="R31" s="686">
        <v>6.6262321708077652</v>
      </c>
      <c r="S31" s="687">
        <v>0.25637810613010836</v>
      </c>
      <c r="T31" s="687">
        <v>3.2107714154398732E-2</v>
      </c>
      <c r="U31" s="687">
        <v>0.81982697148211447</v>
      </c>
      <c r="V31" s="686">
        <v>7.4013179700040546</v>
      </c>
      <c r="W31" s="687">
        <v>0.21344176715173566</v>
      </c>
      <c r="X31" s="687">
        <v>2.9857282309944722E-2</v>
      </c>
      <c r="Y31" s="687">
        <v>0.82771592016221363</v>
      </c>
      <c r="Z31" s="686">
        <v>2.4729821713147411</v>
      </c>
      <c r="AA31" s="687">
        <v>0.19700257929849682</v>
      </c>
      <c r="AB31" s="687">
        <v>9.2077750732250021E-3</v>
      </c>
      <c r="AC31" s="687">
        <v>0.90010331694620294</v>
      </c>
      <c r="AD31" s="686">
        <v>5.5116002085004006</v>
      </c>
      <c r="AE31" s="687">
        <v>0.25319833686808257</v>
      </c>
      <c r="AF31" s="687">
        <v>2.6375479318580083E-2</v>
      </c>
      <c r="AG31" s="687">
        <v>0.83992147314564791</v>
      </c>
      <c r="AH31" s="686">
        <v>5.8590846155973466</v>
      </c>
      <c r="AI31" s="687">
        <v>0.23565533405365127</v>
      </c>
      <c r="AJ31" s="687">
        <v>2.6095693850173112E-2</v>
      </c>
      <c r="AK31" s="687">
        <v>0.84090226854593508</v>
      </c>
      <c r="AL31" s="686">
        <v>5.2653958167675006</v>
      </c>
      <c r="AM31" s="687">
        <v>0.16630170579879527</v>
      </c>
      <c r="AN31" s="687">
        <v>1.654967738404782E-2</v>
      </c>
      <c r="AO31" s="687">
        <v>0.87436608314055764</v>
      </c>
      <c r="AP31" s="686">
        <v>11.892847524752474</v>
      </c>
      <c r="AQ31" s="687">
        <v>9.8612319638105364E-2</v>
      </c>
      <c r="AR31" s="687">
        <v>2.2165566220692864E-2</v>
      </c>
      <c r="AS31" s="687">
        <v>0.85467943547130409</v>
      </c>
    </row>
    <row r="32" spans="1:45">
      <c r="A32" s="2">
        <v>1994</v>
      </c>
      <c r="B32" s="686">
        <v>4.2085179907264294</v>
      </c>
      <c r="C32" s="687">
        <v>0.20226225298100434</v>
      </c>
      <c r="D32" s="687">
        <v>1.6088139846741383E-2</v>
      </c>
      <c r="E32" s="687">
        <v>0.87598401525199798</v>
      </c>
      <c r="F32" s="686">
        <v>16.833786314785922</v>
      </c>
      <c r="G32" s="687">
        <v>7.4136208734472048E-2</v>
      </c>
      <c r="H32" s="687">
        <v>2.3587069514862447E-2</v>
      </c>
      <c r="I32" s="687">
        <v>0.8496963178692617</v>
      </c>
      <c r="J32" s="686">
        <v>4.5682244011869431</v>
      </c>
      <c r="K32" s="687">
        <v>0.19437300331822599</v>
      </c>
      <c r="L32" s="687">
        <v>1.6782056487446868E-2</v>
      </c>
      <c r="M32" s="687">
        <v>0.87355147201355976</v>
      </c>
      <c r="N32" s="686">
        <v>4.6193865301299715</v>
      </c>
      <c r="O32" s="687">
        <v>0.11134788783093361</v>
      </c>
      <c r="P32" s="687">
        <v>9.7213838375676525E-3</v>
      </c>
      <c r="Q32" s="687">
        <v>0.89830284776357305</v>
      </c>
      <c r="R32" s="686">
        <v>5.4170451544110252</v>
      </c>
      <c r="S32" s="687">
        <v>0.36870659612176804</v>
      </c>
      <c r="T32" s="687">
        <v>3.7748975290503237E-2</v>
      </c>
      <c r="U32" s="687">
        <v>0.80005138054233926</v>
      </c>
      <c r="V32" s="686">
        <v>6.6598101791649782</v>
      </c>
      <c r="W32" s="687">
        <v>0.17957890171289981</v>
      </c>
      <c r="X32" s="687">
        <v>2.2603670414466821E-2</v>
      </c>
      <c r="Y32" s="687">
        <v>0.85314364956881783</v>
      </c>
      <c r="Z32" s="686">
        <v>1.6049149601593626</v>
      </c>
      <c r="AA32" s="687">
        <v>0.32799692824146987</v>
      </c>
      <c r="AB32" s="687">
        <v>9.9490956456978804E-3</v>
      </c>
      <c r="AC32" s="687">
        <v>0.89750459796426496</v>
      </c>
      <c r="AD32" s="686">
        <v>4.1593217963111462</v>
      </c>
      <c r="AE32" s="687">
        <v>0.23945965160035898</v>
      </c>
      <c r="AF32" s="687">
        <v>1.8824206241706633E-2</v>
      </c>
      <c r="AG32" s="687">
        <v>0.86639266173981833</v>
      </c>
      <c r="AH32" s="686">
        <v>6.337377237278762</v>
      </c>
      <c r="AI32" s="687">
        <v>0.20143657824143071</v>
      </c>
      <c r="AJ32" s="687">
        <v>2.4127354169778487E-2</v>
      </c>
      <c r="AK32" s="687">
        <v>0.84780233564279184</v>
      </c>
      <c r="AL32" s="686">
        <v>4.5899602074330152</v>
      </c>
      <c r="AM32" s="687">
        <v>0.19618879446192575</v>
      </c>
      <c r="AN32" s="687">
        <v>1.7019426558792933E-2</v>
      </c>
      <c r="AO32" s="687">
        <v>0.8727193649156908</v>
      </c>
      <c r="AP32" s="686">
        <v>6.218646408640863</v>
      </c>
      <c r="AQ32" s="687">
        <v>5.3866006120276734E-2</v>
      </c>
      <c r="AR32" s="687">
        <v>6.3310019000952589E-3</v>
      </c>
      <c r="AS32" s="687">
        <v>0.9101879218112805</v>
      </c>
    </row>
    <row r="33" spans="1:138">
      <c r="A33" s="2">
        <v>1995</v>
      </c>
      <c r="B33" s="686">
        <v>3.4847976403915508</v>
      </c>
      <c r="C33" s="687">
        <v>0.19009387092345309</v>
      </c>
      <c r="D33" s="687">
        <v>1.2520090916807267E-2</v>
      </c>
      <c r="E33" s="687">
        <v>0.88849190566676495</v>
      </c>
      <c r="F33" s="686">
        <v>7.7342884607384299</v>
      </c>
      <c r="G33" s="687">
        <v>9.5272220632763957E-2</v>
      </c>
      <c r="H33" s="687">
        <v>1.3926707613042436E-2</v>
      </c>
      <c r="I33" s="687">
        <v>0.88356097342968487</v>
      </c>
      <c r="J33" s="686">
        <v>7.5749501376854598</v>
      </c>
      <c r="K33" s="687">
        <v>0.21852189247329235</v>
      </c>
      <c r="L33" s="687">
        <v>3.1285027106131416E-2</v>
      </c>
      <c r="M33" s="687">
        <v>0.82271092280885982</v>
      </c>
      <c r="N33" s="686">
        <v>5.1820805041354863</v>
      </c>
      <c r="O33" s="687">
        <v>0.14863508902306863</v>
      </c>
      <c r="P33" s="687">
        <v>1.4557517044375152E-2</v>
      </c>
      <c r="Q33" s="687">
        <v>0.88134965419201494</v>
      </c>
      <c r="R33" s="686">
        <v>4.86421358314053</v>
      </c>
      <c r="S33" s="687">
        <v>0.40949090116763959</v>
      </c>
      <c r="T33" s="687">
        <v>3.7645987748646477E-2</v>
      </c>
      <c r="U33" s="687">
        <v>0.80041240610923214</v>
      </c>
      <c r="V33" s="686">
        <v>4.8916580964734502</v>
      </c>
      <c r="W33" s="687">
        <v>0.16569956008791875</v>
      </c>
      <c r="X33" s="687">
        <v>1.5319311739568362E-2</v>
      </c>
      <c r="Y33" s="687">
        <v>0.87867916262837953</v>
      </c>
      <c r="Z33" s="686">
        <v>1.238734153386454</v>
      </c>
      <c r="AA33" s="687">
        <v>0.22128088845621571</v>
      </c>
      <c r="AB33" s="687">
        <v>5.1806448670236004E-3</v>
      </c>
      <c r="AC33" s="687">
        <v>0.91422052898401429</v>
      </c>
      <c r="AD33" s="686">
        <v>4.419619518845229</v>
      </c>
      <c r="AE33" s="687">
        <v>0.1272358989455579</v>
      </c>
      <c r="AF33" s="687">
        <v>1.0628117560826766E-2</v>
      </c>
      <c r="AG33" s="687">
        <v>0.8951242685824552</v>
      </c>
      <c r="AH33" s="686">
        <v>3.4084777959070798</v>
      </c>
      <c r="AI33" s="687">
        <v>0.23777720812220568</v>
      </c>
      <c r="AJ33" s="687">
        <v>1.5317662517463243E-2</v>
      </c>
      <c r="AK33" s="687">
        <v>0.87868494402032937</v>
      </c>
      <c r="AL33" s="686">
        <v>6.0383943474503026</v>
      </c>
      <c r="AM33" s="687">
        <v>0.18018999086577364</v>
      </c>
      <c r="AN33" s="687">
        <v>2.056430040167807E-2</v>
      </c>
      <c r="AO33" s="687">
        <v>0.86029271538490648</v>
      </c>
      <c r="AP33" s="686">
        <v>7.8307450585058493</v>
      </c>
      <c r="AQ33" s="687">
        <v>9.9391105268759966E-2</v>
      </c>
      <c r="AR33" s="687">
        <v>1.4709991081768481E-2</v>
      </c>
      <c r="AS33" s="687">
        <v>0.88081515239894459</v>
      </c>
    </row>
    <row r="34" spans="1:138">
      <c r="A34" s="2">
        <v>1996</v>
      </c>
      <c r="B34" s="686">
        <v>4.9002600000000003</v>
      </c>
      <c r="C34" s="687">
        <v>0.21518609999999999</v>
      </c>
      <c r="D34" s="687">
        <v>1.9929442145495399E-2</v>
      </c>
      <c r="E34" s="687">
        <v>0.86251822788576482</v>
      </c>
      <c r="F34" s="686">
        <v>8.2126099999999997</v>
      </c>
      <c r="G34" s="687">
        <v>0.1245556</v>
      </c>
      <c r="H34" s="687">
        <v>1.9333312099592402E-2</v>
      </c>
      <c r="I34" s="687">
        <v>0.8646079776155261</v>
      </c>
      <c r="J34" s="686">
        <v>8.0957699999999999</v>
      </c>
      <c r="K34" s="687">
        <v>0.19734370000000001</v>
      </c>
      <c r="L34" s="687">
        <v>3.0195569996216098E-2</v>
      </c>
      <c r="M34" s="687">
        <v>0.82653004368135896</v>
      </c>
      <c r="N34" s="686">
        <v>6.7232000000000003</v>
      </c>
      <c r="O34" s="687">
        <v>0.11060300000000002</v>
      </c>
      <c r="P34" s="687">
        <v>1.4054155093440003E-2</v>
      </c>
      <c r="Q34" s="687">
        <v>0.88311420289773479</v>
      </c>
      <c r="R34" s="686">
        <v>7.0008900000000001</v>
      </c>
      <c r="S34" s="687">
        <v>0.32929549999999996</v>
      </c>
      <c r="T34" s="687">
        <v>4.3571333729605498E-2</v>
      </c>
      <c r="U34" s="687">
        <v>0.77964094819069274</v>
      </c>
      <c r="V34" s="686">
        <v>9.4293800000000001</v>
      </c>
      <c r="W34" s="687">
        <v>0.2249681</v>
      </c>
      <c r="X34" s="687">
        <v>4.0092753382504197E-2</v>
      </c>
      <c r="Y34" s="687">
        <v>0.79183520410895702</v>
      </c>
      <c r="Z34" s="686">
        <v>1.68903</v>
      </c>
      <c r="AA34" s="687">
        <v>0.2644241</v>
      </c>
      <c r="AB34" s="687">
        <v>8.4411224910747006E-3</v>
      </c>
      <c r="AC34" s="687">
        <v>0.90279083796176007</v>
      </c>
      <c r="AD34" s="686">
        <v>5.6549000000000005</v>
      </c>
      <c r="AE34" s="687">
        <v>0.16373770000000001</v>
      </c>
      <c r="AF34" s="687">
        <v>1.7499894042897E-2</v>
      </c>
      <c r="AG34" s="687">
        <v>0.87103507337231689</v>
      </c>
      <c r="AH34" s="686">
        <v>4.6492100000000001</v>
      </c>
      <c r="AI34" s="687">
        <v>0.24678810000000001</v>
      </c>
      <c r="AJ34" s="687">
        <v>2.1685287375378899E-2</v>
      </c>
      <c r="AK34" s="687">
        <v>0.85636306573638266</v>
      </c>
      <c r="AL34" s="686">
        <v>3.4732399999999997</v>
      </c>
      <c r="AM34" s="687">
        <v>0.19894320000000001</v>
      </c>
      <c r="AN34" s="687">
        <v>1.3059474371395199E-2</v>
      </c>
      <c r="AO34" s="687">
        <v>0.88660108262201232</v>
      </c>
      <c r="AP34" s="686">
        <v>4.2899199999999995</v>
      </c>
      <c r="AQ34" s="687">
        <v>0.16966239999999999</v>
      </c>
      <c r="AR34" s="687">
        <v>1.3756140524851197E-2</v>
      </c>
      <c r="AS34" s="687">
        <v>0.88415890089350513</v>
      </c>
    </row>
    <row r="35" spans="1:138">
      <c r="A35" s="2">
        <v>1997</v>
      </c>
      <c r="B35" s="686">
        <v>6.2091700000000003</v>
      </c>
      <c r="C35" s="687">
        <v>0.223378156941927</v>
      </c>
      <c r="D35" s="687">
        <v>2.6214166768969083E-2</v>
      </c>
      <c r="E35" s="687">
        <v>0.8404869585783542</v>
      </c>
      <c r="F35" s="686">
        <v>7.30185</v>
      </c>
      <c r="G35" s="687">
        <v>0.1651503</v>
      </c>
      <c r="H35" s="687">
        <v>2.2791561371239496E-2</v>
      </c>
      <c r="I35" s="687">
        <v>0.85248499282296375</v>
      </c>
      <c r="J35" s="686">
        <v>12.35904</v>
      </c>
      <c r="K35" s="687">
        <v>0.1310799</v>
      </c>
      <c r="L35" s="687">
        <v>3.0618410645894399E-2</v>
      </c>
      <c r="M35" s="687">
        <v>0.82504776453862794</v>
      </c>
      <c r="N35" s="686">
        <v>7.8019699999999998</v>
      </c>
      <c r="O35" s="687">
        <v>0.12996460000000001</v>
      </c>
      <c r="P35" s="687">
        <v>1.9164220303951804E-2</v>
      </c>
      <c r="Q35" s="687">
        <v>0.86520073340207526</v>
      </c>
      <c r="R35" s="686">
        <v>10.623659999999999</v>
      </c>
      <c r="S35" s="687">
        <v>0.14057069999999999</v>
      </c>
      <c r="T35" s="687">
        <v>2.8224793600201796E-2</v>
      </c>
      <c r="U35" s="687">
        <v>0.83343865274962403</v>
      </c>
      <c r="V35" s="686">
        <v>9.9624699999999997</v>
      </c>
      <c r="W35" s="687">
        <v>0.13828299999999999</v>
      </c>
      <c r="X35" s="687">
        <v>2.6037400517288995E-2</v>
      </c>
      <c r="Y35" s="687">
        <v>0.84110661737464898</v>
      </c>
      <c r="Z35" s="686">
        <v>4.09422</v>
      </c>
      <c r="AA35" s="687">
        <v>0.289030494416607</v>
      </c>
      <c r="AB35" s="687">
        <v>2.2365398743071817E-2</v>
      </c>
      <c r="AC35" s="687">
        <v>0.85397891724963604</v>
      </c>
      <c r="AD35" s="686">
        <v>6.8647700000000009</v>
      </c>
      <c r="AE35" s="687">
        <v>9.6054E-2</v>
      </c>
      <c r="AF35" s="687">
        <v>1.2462444872262002E-2</v>
      </c>
      <c r="AG35" s="687">
        <v>0.88869398540899269</v>
      </c>
      <c r="AH35" s="686">
        <v>5.2092600000000004</v>
      </c>
      <c r="AI35" s="687">
        <v>0.1949399</v>
      </c>
      <c r="AJ35" s="687">
        <v>1.9192810583658598E-2</v>
      </c>
      <c r="AK35" s="687">
        <v>0.86510050941621564</v>
      </c>
      <c r="AL35" s="686">
        <v>5.1437400000000002</v>
      </c>
      <c r="AM35" s="688">
        <v>0.21819721014114901</v>
      </c>
      <c r="AN35" s="687">
        <v>2.1212409664368097E-2</v>
      </c>
      <c r="AO35" s="687">
        <v>0.85802075112833109</v>
      </c>
      <c r="AP35" s="686">
        <v>4.1278600000000001</v>
      </c>
      <c r="AQ35" s="687">
        <v>0.21699180000000001</v>
      </c>
      <c r="AR35" s="687">
        <v>1.69289524822572E-2</v>
      </c>
      <c r="AS35" s="687">
        <v>0.87303652419710998</v>
      </c>
    </row>
    <row r="36" spans="1:138">
      <c r="A36" s="2">
        <v>1998</v>
      </c>
      <c r="B36" s="686">
        <v>6.7946400000000002</v>
      </c>
      <c r="C36" s="687">
        <v>0.23188208252657583</v>
      </c>
      <c r="D36" s="687">
        <v>2.9777994663827252E-2</v>
      </c>
      <c r="E36" s="687">
        <v>0.82799386511430273</v>
      </c>
      <c r="F36" s="686">
        <v>11.814159999999999</v>
      </c>
      <c r="G36" s="687">
        <v>0.12842680000000001</v>
      </c>
      <c r="H36" s="687">
        <v>2.8676115029923201E-2</v>
      </c>
      <c r="I36" s="687">
        <v>0.83185653347501654</v>
      </c>
      <c r="J36" s="686">
        <v>13.659470000000001</v>
      </c>
      <c r="K36" s="687">
        <v>0.1774618</v>
      </c>
      <c r="L36" s="687">
        <v>4.5814245118349403E-2</v>
      </c>
      <c r="M36" s="687">
        <v>0.77177836266808897</v>
      </c>
      <c r="N36" s="686">
        <v>10.870699999999999</v>
      </c>
      <c r="O36" s="687">
        <v>0.31015090000000001</v>
      </c>
      <c r="P36" s="687">
        <v>6.372243464510699E-2</v>
      </c>
      <c r="Q36" s="687">
        <v>0.7090007280206575</v>
      </c>
      <c r="R36" s="686">
        <v>11.92043</v>
      </c>
      <c r="S36" s="687">
        <v>0.16850979999999999</v>
      </c>
      <c r="T36" s="687">
        <v>3.7964605301544593E-2</v>
      </c>
      <c r="U36" s="687">
        <v>0.79929548380403703</v>
      </c>
      <c r="V36" s="686">
        <v>9.8235799999999998</v>
      </c>
      <c r="W36" s="687">
        <v>0.16246400000000003</v>
      </c>
      <c r="X36" s="687">
        <v>3.0163986111168002E-2</v>
      </c>
      <c r="Y36" s="687">
        <v>0.82664076183035629</v>
      </c>
      <c r="Z36" s="686">
        <v>3.4951000000000003</v>
      </c>
      <c r="AA36" s="687">
        <v>0.2246969</v>
      </c>
      <c r="AB36" s="687">
        <v>1.4842890755090999E-2</v>
      </c>
      <c r="AC36" s="687">
        <v>0.8803492690596969</v>
      </c>
      <c r="AD36" s="686">
        <v>7.7145599999999996</v>
      </c>
      <c r="AE36" s="687">
        <v>0.1379484</v>
      </c>
      <c r="AF36" s="687">
        <v>2.0113591844505598E-2</v>
      </c>
      <c r="AG36" s="687">
        <v>0.86187268621849455</v>
      </c>
      <c r="AH36" s="686">
        <v>6.634809999999999</v>
      </c>
      <c r="AI36" s="687">
        <v>0.1864722</v>
      </c>
      <c r="AJ36" s="687">
        <v>2.3383223966629795E-2</v>
      </c>
      <c r="AK36" s="687">
        <v>0.85041090385978491</v>
      </c>
      <c r="AL36" s="686">
        <v>4.3558000000000003</v>
      </c>
      <c r="AM36" s="688">
        <v>0.23931465118375866</v>
      </c>
      <c r="AN36" s="687">
        <v>1.9701487719135484E-2</v>
      </c>
      <c r="AO36" s="687">
        <v>0.8633173281897295</v>
      </c>
      <c r="AP36" s="686">
        <v>8.6313100000000009</v>
      </c>
      <c r="AQ36" s="687">
        <v>0.1293166</v>
      </c>
      <c r="AR36" s="687">
        <v>2.1095644425899399E-2</v>
      </c>
      <c r="AS36" s="687">
        <v>0.85843007477710953</v>
      </c>
    </row>
    <row r="37" spans="1:138">
      <c r="A37" s="2">
        <v>1999</v>
      </c>
      <c r="B37" s="686">
        <v>7.2919399999999994</v>
      </c>
      <c r="C37" s="687">
        <v>0.17855340000000003</v>
      </c>
      <c r="D37" s="687">
        <v>2.4607812844364401E-2</v>
      </c>
      <c r="E37" s="687">
        <v>0.84611807498141811</v>
      </c>
      <c r="F37" s="686">
        <v>13.59625</v>
      </c>
      <c r="G37" s="687">
        <v>0.1312953</v>
      </c>
      <c r="H37" s="687">
        <v>3.3738838357612502E-2</v>
      </c>
      <c r="I37" s="687">
        <v>0.81410902220863057</v>
      </c>
      <c r="J37" s="686">
        <v>14.344909999999999</v>
      </c>
      <c r="K37" s="687">
        <v>0.20466760000000001</v>
      </c>
      <c r="L37" s="687">
        <v>5.5489233906212396E-2</v>
      </c>
      <c r="M37" s="687">
        <v>0.73786243216964575</v>
      </c>
      <c r="N37" s="686">
        <v>14.999480000000002</v>
      </c>
      <c r="O37" s="687">
        <v>0.20369570000000001</v>
      </c>
      <c r="P37" s="687">
        <v>5.7745729028660403E-2</v>
      </c>
      <c r="Q37" s="687">
        <v>0.72995222850728814</v>
      </c>
      <c r="R37" s="686">
        <v>10.209350000000001</v>
      </c>
      <c r="S37" s="687">
        <v>0.16383139999999996</v>
      </c>
      <c r="T37" s="687">
        <v>3.1612368757850992E-2</v>
      </c>
      <c r="U37" s="687">
        <v>0.82156341794323196</v>
      </c>
      <c r="V37" s="686">
        <v>9.424059999999999</v>
      </c>
      <c r="W37" s="687">
        <v>0.115922</v>
      </c>
      <c r="X37" s="687">
        <v>2.0647416194747994E-2</v>
      </c>
      <c r="Y37" s="687">
        <v>0.86000135076186746</v>
      </c>
      <c r="Z37" s="686">
        <v>4.2533799999999999</v>
      </c>
      <c r="AA37" s="687">
        <v>0.275198</v>
      </c>
      <c r="AB37" s="687">
        <v>2.2122859548635999E-2</v>
      </c>
      <c r="AC37" s="687">
        <v>0.85482914484596706</v>
      </c>
      <c r="AD37" s="686">
        <v>8.9572500000000002</v>
      </c>
      <c r="AE37" s="687">
        <v>0.14258749999999998</v>
      </c>
      <c r="AF37" s="687">
        <v>2.4138926614687497E-2</v>
      </c>
      <c r="AG37" s="687">
        <v>0.84776176812939863</v>
      </c>
      <c r="AH37" s="686">
        <v>8.4672400000000003</v>
      </c>
      <c r="AI37" s="687">
        <v>0.1339603</v>
      </c>
      <c r="AJ37" s="687">
        <v>2.1437778799810802E-2</v>
      </c>
      <c r="AK37" s="687">
        <v>0.85723071363043157</v>
      </c>
      <c r="AL37" s="686">
        <v>1.1392800000000001</v>
      </c>
      <c r="AM37" s="687">
        <v>0.20819099999999999</v>
      </c>
      <c r="AN37" s="687">
        <v>4.4828502228719995E-3</v>
      </c>
      <c r="AO37" s="687">
        <v>0.91666666666666674</v>
      </c>
      <c r="AP37" s="686">
        <v>10.671559999999999</v>
      </c>
      <c r="AQ37" s="687">
        <v>0.14340700000000001</v>
      </c>
      <c r="AR37" s="687">
        <v>2.8924114052987997E-2</v>
      </c>
      <c r="AS37" s="687">
        <v>0.83098716630422476</v>
      </c>
    </row>
    <row r="38" spans="1:138">
      <c r="A38" s="2">
        <v>2000</v>
      </c>
      <c r="B38" s="686">
        <v>8.6961999999999993</v>
      </c>
      <c r="C38" s="687">
        <v>0.2085013</v>
      </c>
      <c r="D38" s="687">
        <v>3.4268894195633996E-2</v>
      </c>
      <c r="E38" s="687">
        <v>0.81225089737181588</v>
      </c>
      <c r="F38" s="686">
        <v>19.055769999999999</v>
      </c>
      <c r="G38" s="687">
        <v>0.15223239999999999</v>
      </c>
      <c r="H38" s="687">
        <v>5.4827115857917184E-2</v>
      </c>
      <c r="I38" s="687">
        <v>0.74018350459671833</v>
      </c>
      <c r="J38" s="686">
        <v>15.681329999999999</v>
      </c>
      <c r="K38" s="687">
        <v>0.18261579999999999</v>
      </c>
      <c r="L38" s="687">
        <v>5.4123147974964592E-2</v>
      </c>
      <c r="M38" s="687">
        <v>0.74265128273216263</v>
      </c>
      <c r="N38" s="686">
        <v>16.539010000000001</v>
      </c>
      <c r="O38" s="687">
        <v>0.15323800000000001</v>
      </c>
      <c r="P38" s="687">
        <v>4.7900250991782002E-2</v>
      </c>
      <c r="Q38" s="687">
        <v>0.76446581360225063</v>
      </c>
      <c r="R38" s="686">
        <v>12.729869999999998</v>
      </c>
      <c r="S38" s="687">
        <v>0.17914390000000002</v>
      </c>
      <c r="T38" s="687">
        <v>4.3101044751737691E-2</v>
      </c>
      <c r="U38" s="687">
        <v>0.78128955870976202</v>
      </c>
      <c r="V38" s="686">
        <v>11.671579999999999</v>
      </c>
      <c r="W38" s="687">
        <v>0.11785209999999999</v>
      </c>
      <c r="X38" s="687">
        <v>2.5997332031710195E-2</v>
      </c>
      <c r="Y38" s="687">
        <v>0.84124707851645131</v>
      </c>
      <c r="Z38" s="686">
        <v>6.0264199999999999</v>
      </c>
      <c r="AA38" s="687">
        <v>0.33238970000000001</v>
      </c>
      <c r="AB38" s="687">
        <v>3.7858966788018596E-2</v>
      </c>
      <c r="AC38" s="687">
        <v>0.79966580242261787</v>
      </c>
      <c r="AD38" s="686">
        <v>10.26793</v>
      </c>
      <c r="AE38" s="687">
        <v>0.12600159999999999</v>
      </c>
      <c r="AF38" s="687">
        <v>2.4452359004203197E-2</v>
      </c>
      <c r="AG38" s="687">
        <v>0.84666302255233794</v>
      </c>
      <c r="AH38" s="686">
        <v>7.8885200000000006</v>
      </c>
      <c r="AI38" s="687">
        <v>0.10759080000000001</v>
      </c>
      <c r="AJ38" s="687">
        <v>1.6041038156942401E-2</v>
      </c>
      <c r="AK38" s="687">
        <v>0.87614913147823947</v>
      </c>
      <c r="AL38" s="686">
        <v>1.9190499999999999</v>
      </c>
      <c r="AM38" s="687">
        <v>0.14650050000000001</v>
      </c>
      <c r="AN38" s="687">
        <v>5.3135797275224994E-3</v>
      </c>
      <c r="AO38" s="687">
        <v>0.91375452229518406</v>
      </c>
      <c r="AP38" s="686">
        <v>9.7727500000000003</v>
      </c>
      <c r="AQ38" s="687">
        <v>0.20066220000000001</v>
      </c>
      <c r="AR38" s="687">
        <v>3.7063306634445001E-2</v>
      </c>
      <c r="AS38" s="687">
        <v>0.80245501025124455</v>
      </c>
    </row>
    <row r="39" spans="1:138">
      <c r="A39" s="2">
        <v>2001</v>
      </c>
      <c r="B39" s="686">
        <v>8.8668600000000009</v>
      </c>
      <c r="C39" s="687">
        <v>0.17064430000000003</v>
      </c>
      <c r="D39" s="687">
        <v>2.8597195328272207E-2</v>
      </c>
      <c r="E39" s="687">
        <v>0.83213318858799312</v>
      </c>
      <c r="F39" s="686">
        <v>21.12144</v>
      </c>
      <c r="G39" s="687">
        <v>0.155366</v>
      </c>
      <c r="H39" s="687">
        <v>6.2021363929056002E-2</v>
      </c>
      <c r="I39" s="687">
        <v>0.71496387665509287</v>
      </c>
      <c r="J39" s="686">
        <v>18.043129999999998</v>
      </c>
      <c r="K39" s="687">
        <v>0.18308740000000001</v>
      </c>
      <c r="L39" s="687">
        <v>6.2435578455721799E-2</v>
      </c>
      <c r="M39" s="687">
        <v>0.7135118366159906</v>
      </c>
      <c r="N39" s="686">
        <v>15.182740000000001</v>
      </c>
      <c r="O39" s="687">
        <v>0.1210166</v>
      </c>
      <c r="P39" s="687">
        <v>3.4726171538847599E-2</v>
      </c>
      <c r="Q39" s="687">
        <v>0.81064789948406624</v>
      </c>
      <c r="R39" s="686">
        <v>12.112169999999999</v>
      </c>
      <c r="S39" s="687">
        <v>0.1671724</v>
      </c>
      <c r="T39" s="687">
        <v>3.8269107981241196E-2</v>
      </c>
      <c r="U39" s="687">
        <v>0.79822804156222948</v>
      </c>
      <c r="V39" s="686">
        <v>11.628170000000001</v>
      </c>
      <c r="W39" s="687">
        <v>0.13161510000000001</v>
      </c>
      <c r="X39" s="687">
        <v>2.8925368114236304E-2</v>
      </c>
      <c r="Y39" s="687">
        <v>0.83098277015916755</v>
      </c>
      <c r="Z39" s="686">
        <v>5.7785000000000002</v>
      </c>
      <c r="AA39" s="687">
        <v>0.21402460000000001</v>
      </c>
      <c r="AB39" s="687">
        <v>2.337440775579E-2</v>
      </c>
      <c r="AC39" s="687">
        <v>0.8504418093213475</v>
      </c>
      <c r="AD39" s="686">
        <v>11.07239</v>
      </c>
      <c r="AE39" s="687">
        <v>0.1658386</v>
      </c>
      <c r="AF39" s="687">
        <v>3.4704740503200597E-2</v>
      </c>
      <c r="AG39" s="687">
        <v>0.81072302654947692</v>
      </c>
      <c r="AH39" s="686">
        <v>10.083350000000001</v>
      </c>
      <c r="AI39" s="687">
        <v>0.13130790000000001</v>
      </c>
      <c r="AJ39" s="687">
        <v>2.5024044404488504E-2</v>
      </c>
      <c r="AK39" s="687">
        <v>0.84465896417788555</v>
      </c>
      <c r="AL39" s="686">
        <v>1.7227699999999999</v>
      </c>
      <c r="AM39" s="687">
        <v>0.18744140000000001</v>
      </c>
      <c r="AN39" s="687">
        <v>6.1031581508141988E-3</v>
      </c>
      <c r="AO39" s="687">
        <v>0.91098663413380188</v>
      </c>
      <c r="AP39" s="686">
        <v>11.558590000000001</v>
      </c>
      <c r="AQ39" s="687">
        <v>0.21210870000000001</v>
      </c>
      <c r="AR39" s="687">
        <v>4.6336704726053703E-2</v>
      </c>
      <c r="AS39" s="687">
        <v>0.76994686661867018</v>
      </c>
    </row>
    <row r="40" spans="1:138">
      <c r="A40" s="2">
        <v>2002</v>
      </c>
      <c r="B40" s="686">
        <v>10.324450000000001</v>
      </c>
      <c r="C40" s="687">
        <v>0.1502627</v>
      </c>
      <c r="D40" s="687">
        <v>2.9321076953983498E-2</v>
      </c>
      <c r="E40" s="687">
        <v>0.82959560229771001</v>
      </c>
      <c r="F40" s="686">
        <v>14.815529999999999</v>
      </c>
      <c r="G40" s="687">
        <v>0.15246670000000001</v>
      </c>
      <c r="H40" s="687">
        <v>4.2692736892383898E-2</v>
      </c>
      <c r="I40" s="687">
        <v>0.78272089276951662</v>
      </c>
      <c r="J40" s="686">
        <v>20.107859999999999</v>
      </c>
      <c r="K40" s="687">
        <v>0.15847510000000001</v>
      </c>
      <c r="L40" s="687">
        <v>6.0226647849005395E-2</v>
      </c>
      <c r="M40" s="687">
        <v>0.72125530160349116</v>
      </c>
      <c r="N40" s="686">
        <v>16.45815</v>
      </c>
      <c r="O40" s="687">
        <v>0.12082670000000001</v>
      </c>
      <c r="P40" s="687">
        <v>3.7584236704234497E-2</v>
      </c>
      <c r="Q40" s="687">
        <v>0.80062887603766353</v>
      </c>
      <c r="R40" s="686">
        <v>14.603160000000001</v>
      </c>
      <c r="S40" s="687">
        <v>0.13242490000000001</v>
      </c>
      <c r="T40" s="687">
        <v>3.6549235850727599E-2</v>
      </c>
      <c r="U40" s="687">
        <v>0.8042570990550798</v>
      </c>
      <c r="V40" s="686">
        <v>14.65574</v>
      </c>
      <c r="W40" s="687">
        <v>0.14168639999999999</v>
      </c>
      <c r="X40" s="687">
        <v>3.9246209854790388E-2</v>
      </c>
      <c r="Y40" s="687">
        <v>0.79480278495885592</v>
      </c>
      <c r="Z40" s="686">
        <v>5.8997299999999999</v>
      </c>
      <c r="AA40" s="687">
        <v>0.15248310000000001</v>
      </c>
      <c r="AB40" s="687">
        <v>1.7002612359740703E-2</v>
      </c>
      <c r="AC40" s="687">
        <v>0.87277830753763552</v>
      </c>
      <c r="AD40" s="686">
        <v>9.0283300000000004</v>
      </c>
      <c r="AE40" s="687">
        <v>0.1563843</v>
      </c>
      <c r="AF40" s="687">
        <v>2.66847033704391E-2</v>
      </c>
      <c r="AG40" s="687">
        <v>0.83883748000816194</v>
      </c>
      <c r="AH40" s="686">
        <v>13.54256</v>
      </c>
      <c r="AI40" s="687">
        <v>0.14793329999999999</v>
      </c>
      <c r="AJ40" s="687">
        <v>3.7864176674587191E-2</v>
      </c>
      <c r="AK40" s="687">
        <v>0.79964753902669672</v>
      </c>
      <c r="AL40" s="686">
        <v>4.5983900000000002</v>
      </c>
      <c r="AM40" s="687">
        <v>0.14670730000000001</v>
      </c>
      <c r="AN40" s="687">
        <v>1.2750268505568301E-2</v>
      </c>
      <c r="AO40" s="687">
        <v>0.88768501200787908</v>
      </c>
      <c r="AP40" s="686">
        <v>14.67634</v>
      </c>
      <c r="AQ40" s="687">
        <v>0.17449539999999999</v>
      </c>
      <c r="AR40" s="687">
        <v>4.8402027176000395E-2</v>
      </c>
      <c r="AS40" s="687">
        <v>0.76270682384392929</v>
      </c>
    </row>
    <row r="41" spans="1:138">
      <c r="A41" s="2">
        <v>2003</v>
      </c>
      <c r="B41" s="686">
        <v>9.1939000000000011</v>
      </c>
      <c r="C41" s="687">
        <v>0.17152539999999999</v>
      </c>
      <c r="D41" s="687">
        <v>2.9805061388634004E-2</v>
      </c>
      <c r="E41" s="687">
        <v>0.82789898199066358</v>
      </c>
      <c r="F41" s="686">
        <v>19.10493</v>
      </c>
      <c r="G41" s="687">
        <v>0.1014717</v>
      </c>
      <c r="H41" s="687">
        <v>3.6639723811590898E-2</v>
      </c>
      <c r="I41" s="687">
        <v>0.80393989110178121</v>
      </c>
      <c r="J41" s="686">
        <v>21.120079999999998</v>
      </c>
      <c r="K41" s="687">
        <v>0.1449078</v>
      </c>
      <c r="L41" s="687">
        <v>5.7842775810993591E-2</v>
      </c>
      <c r="M41" s="687">
        <v>0.72961202843089745</v>
      </c>
      <c r="N41" s="686">
        <v>17.50516</v>
      </c>
      <c r="O41" s="687">
        <v>0.13262309999999999</v>
      </c>
      <c r="P41" s="687">
        <v>4.3878024260204394E-2</v>
      </c>
      <c r="Q41" s="687">
        <v>0.77856583637936216</v>
      </c>
      <c r="R41" s="686">
        <v>14.88306</v>
      </c>
      <c r="S41" s="687">
        <v>0.129414</v>
      </c>
      <c r="T41" s="687">
        <v>3.6402842577275996E-2</v>
      </c>
      <c r="U41" s="687">
        <v>0.80477028456843702</v>
      </c>
      <c r="V41" s="686">
        <v>11.49432</v>
      </c>
      <c r="W41" s="687">
        <v>0.13286339999999999</v>
      </c>
      <c r="X41" s="687">
        <v>2.8863596838283198E-2</v>
      </c>
      <c r="Y41" s="687">
        <v>0.83119931100980426</v>
      </c>
      <c r="Z41" s="686">
        <v>6.3649200000000006</v>
      </c>
      <c r="AA41" s="687">
        <v>0.21369869999999999</v>
      </c>
      <c r="AB41" s="687">
        <v>2.5707309949515599E-2</v>
      </c>
      <c r="AC41" s="687">
        <v>0.84226375863860981</v>
      </c>
      <c r="AD41" s="686">
        <v>8.5832500000000014</v>
      </c>
      <c r="AE41" s="687">
        <v>0.26795099999999999</v>
      </c>
      <c r="AF41" s="687">
        <v>4.3467928952175001E-2</v>
      </c>
      <c r="AG41" s="687">
        <v>0.78000343638798553</v>
      </c>
      <c r="AH41" s="686">
        <v>13.58395</v>
      </c>
      <c r="AI41" s="687">
        <v>0.12998709999999999</v>
      </c>
      <c r="AJ41" s="687">
        <v>3.3372453247150498E-2</v>
      </c>
      <c r="AK41" s="687">
        <v>0.81539339495722551</v>
      </c>
      <c r="AL41" s="686">
        <v>3.0964100000000001</v>
      </c>
      <c r="AM41" s="687">
        <v>0.2302836</v>
      </c>
      <c r="AN41" s="687">
        <v>1.34766911514564E-2</v>
      </c>
      <c r="AO41" s="687">
        <v>0.88513851810378874</v>
      </c>
      <c r="AP41" s="686">
        <v>10.759230000000001</v>
      </c>
      <c r="AQ41" s="687">
        <v>0.2063672</v>
      </c>
      <c r="AR41" s="687">
        <v>4.1964655998938394E-2</v>
      </c>
      <c r="AS41" s="687">
        <v>0.78527319970451992</v>
      </c>
    </row>
    <row r="42" spans="1:138">
      <c r="A42" s="2">
        <v>2004</v>
      </c>
      <c r="B42" s="686">
        <v>6.3452704438875642</v>
      </c>
      <c r="C42" s="687">
        <v>0.17154881101710096</v>
      </c>
      <c r="D42" s="687">
        <v>2.0573096044363328E-2</v>
      </c>
      <c r="E42" s="687">
        <v>0.86026188202555653</v>
      </c>
      <c r="F42" s="686">
        <v>13.6141103280605</v>
      </c>
      <c r="G42" s="687">
        <v>0.11939407646161157</v>
      </c>
      <c r="H42" s="687">
        <v>3.072089404689362E-2</v>
      </c>
      <c r="I42" s="687">
        <v>0.82468850625091872</v>
      </c>
      <c r="J42" s="686">
        <v>15.818178596117773</v>
      </c>
      <c r="K42" s="687">
        <v>0.11040267592823176</v>
      </c>
      <c r="L42" s="687">
        <v>3.3006378736587356E-2</v>
      </c>
      <c r="M42" s="687">
        <v>0.81667667888961482</v>
      </c>
      <c r="N42" s="686">
        <v>9.726311259404703</v>
      </c>
      <c r="O42" s="687">
        <v>0.18090725524202952</v>
      </c>
      <c r="P42" s="687">
        <v>3.3255689170445635E-2</v>
      </c>
      <c r="Q42" s="687">
        <v>0.81580271453340991</v>
      </c>
      <c r="R42" s="686">
        <v>12.400844581691207</v>
      </c>
      <c r="S42" s="687">
        <v>0.14515001452768625</v>
      </c>
      <c r="T42" s="687">
        <v>3.4019674375454292E-2</v>
      </c>
      <c r="U42" s="687">
        <v>0.81312454407936074</v>
      </c>
      <c r="V42" s="686">
        <v>9.4156537130836711</v>
      </c>
      <c r="W42" s="687">
        <v>0.12828013974978858</v>
      </c>
      <c r="X42" s="687">
        <v>2.2828201971434797E-2</v>
      </c>
      <c r="Y42" s="687">
        <v>0.85235654822453655</v>
      </c>
      <c r="Z42" s="686">
        <v>2.7678278014355375</v>
      </c>
      <c r="AA42" s="687">
        <v>0.25961999594445656</v>
      </c>
      <c r="AB42" s="687">
        <v>1.3581227064830953E-2</v>
      </c>
      <c r="AC42" s="687">
        <v>0.88477206467936198</v>
      </c>
      <c r="AD42" s="686">
        <v>7.2341907124580063</v>
      </c>
      <c r="AE42" s="687">
        <v>0.23066405142508889</v>
      </c>
      <c r="AF42" s="687">
        <v>3.1537820257977231E-2</v>
      </c>
      <c r="AG42" s="687">
        <v>0.82182474969212804</v>
      </c>
      <c r="AH42" s="686">
        <v>8.2567554547938595</v>
      </c>
      <c r="AI42" s="687">
        <v>0.13873573480493154</v>
      </c>
      <c r="AJ42" s="687">
        <v>2.1650082963871057E-2</v>
      </c>
      <c r="AK42" s="687">
        <v>0.85648647573717118</v>
      </c>
      <c r="AL42" s="686">
        <v>3.9644632623459901</v>
      </c>
      <c r="AM42" s="687">
        <v>0.30781973279074093</v>
      </c>
      <c r="AN42" s="687">
        <v>2.3064426417199576E-2</v>
      </c>
      <c r="AO42" s="687">
        <v>0.85152845714761016</v>
      </c>
      <c r="AP42" s="686">
        <v>8.4431730009716865</v>
      </c>
      <c r="AQ42" s="687">
        <v>0.15372131305727438</v>
      </c>
      <c r="AR42" s="687">
        <v>2.4530227597494906E-2</v>
      </c>
      <c r="AS42" s="687">
        <v>0.84639005212766871</v>
      </c>
    </row>
    <row r="43" spans="1:138">
      <c r="A43" s="2">
        <v>2005</v>
      </c>
      <c r="B43" s="686">
        <v>7.2165755515387939</v>
      </c>
      <c r="C43" s="687">
        <v>0.16626548030016405</v>
      </c>
      <c r="D43" s="687">
        <v>2.2677493863761455E-2</v>
      </c>
      <c r="E43" s="687">
        <v>0.85288485950400938</v>
      </c>
      <c r="F43" s="686">
        <v>15.752345473556394</v>
      </c>
      <c r="G43" s="687">
        <v>0.13172345421723736</v>
      </c>
      <c r="H43" s="687">
        <v>3.9216618462422109E-2</v>
      </c>
      <c r="I43" s="687">
        <v>0.79490651837177451</v>
      </c>
      <c r="J43" s="686">
        <v>16.729905542203614</v>
      </c>
      <c r="K43" s="687">
        <v>0.13060400653922791</v>
      </c>
      <c r="L43" s="687">
        <v>4.1296361894574432E-2</v>
      </c>
      <c r="M43" s="687">
        <v>0.78761592246039136</v>
      </c>
      <c r="N43" s="686">
        <v>10.738290222678494</v>
      </c>
      <c r="O43" s="687">
        <v>0.11850169654356262</v>
      </c>
      <c r="P43" s="687">
        <v>2.405035601699004E-2</v>
      </c>
      <c r="Q43" s="687">
        <v>0.84807225471512782</v>
      </c>
      <c r="R43" s="686">
        <v>10.948461764935075</v>
      </c>
      <c r="S43" s="687">
        <v>0.1715155398551626</v>
      </c>
      <c r="T43" s="687">
        <v>3.5491012140712826E-2</v>
      </c>
      <c r="U43" s="687">
        <v>0.80796673041358746</v>
      </c>
      <c r="V43" s="686">
        <v>11.414739139247263</v>
      </c>
      <c r="W43" s="687">
        <v>0.12986408664630902</v>
      </c>
      <c r="X43" s="687">
        <v>2.8016692312597784E-2</v>
      </c>
      <c r="Y43" s="687">
        <v>0.83416815734769323</v>
      </c>
      <c r="Z43" s="686">
        <v>3.9810022294083751</v>
      </c>
      <c r="AA43" s="687">
        <v>0.21311055016873842</v>
      </c>
      <c r="AB43" s="687">
        <v>1.6034638573778449E-2</v>
      </c>
      <c r="AC43" s="687">
        <v>0.87617156538721508</v>
      </c>
      <c r="AD43" s="686">
        <v>9.6722530405318672</v>
      </c>
      <c r="AE43" s="687">
        <v>0.18481785415831861</v>
      </c>
      <c r="AF43" s="687">
        <v>3.3785735479537338E-2</v>
      </c>
      <c r="AG43" s="687">
        <v>0.81394462310051219</v>
      </c>
      <c r="AH43" s="686">
        <v>11.247182684151676</v>
      </c>
      <c r="AI43" s="687">
        <v>0.11524623433551595</v>
      </c>
      <c r="AJ43" s="687">
        <v>2.4498094028286718E-2</v>
      </c>
      <c r="AK43" s="687">
        <v>0.84650269720910787</v>
      </c>
      <c r="AL43" s="686">
        <v>1.6918106632571068</v>
      </c>
      <c r="AM43" s="687">
        <v>0.14354536992718817</v>
      </c>
      <c r="AN43" s="687">
        <v>4.589895003825656E-3</v>
      </c>
      <c r="AO43" s="687">
        <v>0.91629141834021899</v>
      </c>
      <c r="AP43" s="686">
        <v>7.5096171181606577</v>
      </c>
      <c r="AQ43" s="687">
        <v>0.19377089088384353</v>
      </c>
      <c r="AR43" s="687">
        <v>2.7502244264550241E-2</v>
      </c>
      <c r="AS43" s="687">
        <v>0.83597156866167099</v>
      </c>
    </row>
    <row r="44" spans="1:138">
      <c r="A44" s="2">
        <v>2006</v>
      </c>
      <c r="B44" s="686">
        <v>6.890877704121209</v>
      </c>
      <c r="C44" s="687">
        <v>0.17352750142489359</v>
      </c>
      <c r="D44" s="687">
        <v>2.2599803342730481E-2</v>
      </c>
      <c r="E44" s="687">
        <v>0.85315720569163278</v>
      </c>
      <c r="F44" s="686">
        <v>14.034481677677217</v>
      </c>
      <c r="G44" s="687">
        <v>0.13149702228374358</v>
      </c>
      <c r="H44" s="687">
        <v>3.4879809193304891E-2</v>
      </c>
      <c r="I44" s="687">
        <v>0.81010931860043223</v>
      </c>
      <c r="J44" s="686">
        <v>13.510962102969089</v>
      </c>
      <c r="K44" s="687">
        <v>0.14656536324936748</v>
      </c>
      <c r="L44" s="687">
        <v>3.7426518394084937E-2</v>
      </c>
      <c r="M44" s="687">
        <v>0.80118176176835021</v>
      </c>
      <c r="N44" s="686">
        <v>12.475196635689969</v>
      </c>
      <c r="O44" s="687">
        <v>0.14108767001327921</v>
      </c>
      <c r="P44" s="687">
        <v>3.3265822456824246E-2</v>
      </c>
      <c r="Q44" s="687">
        <v>0.81576719202851888</v>
      </c>
      <c r="R44" s="686">
        <v>12.295082508028814</v>
      </c>
      <c r="S44" s="687">
        <v>0.12104020064423034</v>
      </c>
      <c r="T44" s="687">
        <v>2.8126965895103394E-2</v>
      </c>
      <c r="U44" s="687">
        <v>0.83378159037153654</v>
      </c>
      <c r="V44" s="686">
        <v>9.4334850781015103</v>
      </c>
      <c r="W44" s="687">
        <v>0.11665062943534812</v>
      </c>
      <c r="X44" s="687">
        <v>2.079797527324765E-2</v>
      </c>
      <c r="Y44" s="687">
        <v>0.8594735619081264</v>
      </c>
      <c r="Z44" s="686">
        <v>4.983034547930659</v>
      </c>
      <c r="AA44" s="687">
        <v>0.25039930359675727</v>
      </c>
      <c r="AB44" s="687">
        <v>2.3582444393347925E-2</v>
      </c>
      <c r="AC44" s="687">
        <v>0.84971253135573421</v>
      </c>
      <c r="AD44" s="686">
        <v>9.1915965906694055</v>
      </c>
      <c r="AE44" s="687">
        <v>0.17410554127235281</v>
      </c>
      <c r="AF44" s="687">
        <v>3.0245819301979018E-2</v>
      </c>
      <c r="AG44" s="687">
        <v>0.82635389340364618</v>
      </c>
      <c r="AH44" s="686">
        <v>10.922391775511416</v>
      </c>
      <c r="AI44" s="687">
        <v>0.17766516033924176</v>
      </c>
      <c r="AJ44" s="687">
        <v>3.6675988386992348E-2</v>
      </c>
      <c r="AK44" s="687">
        <v>0.80381276466826901</v>
      </c>
      <c r="AL44" s="686">
        <v>1.5543676161103548</v>
      </c>
      <c r="AM44" s="687">
        <v>0.29451323275436025</v>
      </c>
      <c r="AN44" s="687">
        <v>8.6520766155266972E-3</v>
      </c>
      <c r="AO44" s="687">
        <v>0.90205133266825022</v>
      </c>
      <c r="AP44" s="686">
        <v>5.7151659964948172</v>
      </c>
      <c r="AQ44" s="687">
        <v>0.14878774167170331</v>
      </c>
      <c r="AR44" s="687">
        <v>1.6071551531860361E-2</v>
      </c>
      <c r="AS44" s="687">
        <v>0.87604216603097318</v>
      </c>
    </row>
    <row r="45" spans="1:138">
      <c r="A45" s="2">
        <v>2007</v>
      </c>
      <c r="B45" s="686">
        <v>6.890877704121209</v>
      </c>
      <c r="C45" s="687">
        <v>0.17352750142489359</v>
      </c>
      <c r="D45" s="687">
        <v>2.2599803342730481E-2</v>
      </c>
      <c r="E45" s="687">
        <v>0.85315720569163278</v>
      </c>
      <c r="F45" s="686">
        <v>14.034481677677217</v>
      </c>
      <c r="G45" s="687">
        <v>0.13149702228374358</v>
      </c>
      <c r="H45" s="687">
        <v>3.4879809193304891E-2</v>
      </c>
      <c r="I45" s="687">
        <v>0.81010931860043223</v>
      </c>
      <c r="J45" s="686">
        <v>13.510962102969089</v>
      </c>
      <c r="K45" s="687">
        <v>0.14656536324936748</v>
      </c>
      <c r="L45" s="687">
        <v>3.7426518394084937E-2</v>
      </c>
      <c r="M45" s="687">
        <v>0.80118176176835021</v>
      </c>
      <c r="N45" s="686">
        <v>12.475196635689969</v>
      </c>
      <c r="O45" s="687">
        <v>0.14108767001327921</v>
      </c>
      <c r="P45" s="687">
        <v>3.3265822456824246E-2</v>
      </c>
      <c r="Q45" s="687">
        <v>0.81576719202851888</v>
      </c>
      <c r="R45" s="686">
        <v>12.295082508028814</v>
      </c>
      <c r="S45" s="687">
        <v>0.12104020064423034</v>
      </c>
      <c r="T45" s="687">
        <v>2.8126965895103394E-2</v>
      </c>
      <c r="U45" s="687">
        <v>0.83378159037153654</v>
      </c>
      <c r="V45" s="686">
        <v>9.4334850781015103</v>
      </c>
      <c r="W45" s="687">
        <v>0.11665062943534812</v>
      </c>
      <c r="X45" s="687">
        <v>2.079797527324765E-2</v>
      </c>
      <c r="Y45" s="687">
        <v>0.8594735619081264</v>
      </c>
      <c r="Z45" s="686">
        <v>4.983034547930659</v>
      </c>
      <c r="AA45" s="687">
        <v>0.25039930359675727</v>
      </c>
      <c r="AB45" s="687">
        <v>2.3582444393347925E-2</v>
      </c>
      <c r="AC45" s="687">
        <v>0.84971253135573421</v>
      </c>
      <c r="AD45" s="686">
        <v>9.1915965906694055</v>
      </c>
      <c r="AE45" s="687">
        <v>0.17410554127235281</v>
      </c>
      <c r="AF45" s="687">
        <v>3.0245819301979018E-2</v>
      </c>
      <c r="AG45" s="687">
        <v>0.82635389340364618</v>
      </c>
      <c r="AH45" s="686">
        <v>10.922391775511416</v>
      </c>
      <c r="AI45" s="687">
        <v>0.17766516033924176</v>
      </c>
      <c r="AJ45" s="687">
        <v>3.6675988386992348E-2</v>
      </c>
      <c r="AK45" s="687">
        <v>0.80381276466826901</v>
      </c>
      <c r="AL45" s="686">
        <v>1.5543676161103548</v>
      </c>
      <c r="AM45" s="687">
        <v>0.29451323275436025</v>
      </c>
      <c r="AN45" s="687">
        <v>8.6520766155266972E-3</v>
      </c>
      <c r="AO45" s="687">
        <v>0.90205133266825022</v>
      </c>
      <c r="AP45" s="686">
        <v>5.7151659964948172</v>
      </c>
      <c r="AQ45" s="687">
        <v>0.14878774167170331</v>
      </c>
      <c r="AR45" s="687">
        <v>1.6071551531860361E-2</v>
      </c>
      <c r="AS45" s="687">
        <v>0.87604216603097318</v>
      </c>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5"/>
      <c r="BQ45" s="315"/>
      <c r="BR45" s="315"/>
      <c r="BS45" s="315"/>
      <c r="BT45" s="315"/>
      <c r="BU45" s="315"/>
      <c r="BV45" s="315"/>
      <c r="BW45" s="315"/>
      <c r="BX45" s="315"/>
      <c r="BY45" s="315"/>
      <c r="BZ45" s="315"/>
      <c r="CA45" s="315"/>
      <c r="CB45" s="315"/>
      <c r="CC45" s="315"/>
      <c r="CD45" s="315"/>
      <c r="CE45" s="315"/>
      <c r="CF45" s="315"/>
      <c r="CG45" s="315"/>
      <c r="CH45" s="315"/>
      <c r="CI45" s="315"/>
      <c r="CJ45" s="315"/>
      <c r="CK45" s="315"/>
      <c r="CL45" s="315"/>
      <c r="CM45" s="315"/>
      <c r="CN45" s="315"/>
      <c r="CO45" s="315"/>
      <c r="CP45" s="315"/>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15"/>
      <c r="DY45" s="315"/>
      <c r="DZ45" s="315"/>
      <c r="EA45" s="315"/>
      <c r="EB45" s="315"/>
      <c r="EC45" s="315"/>
      <c r="ED45" s="315"/>
      <c r="EE45" s="315"/>
      <c r="EF45" s="315"/>
      <c r="EG45" s="315"/>
      <c r="EH45" s="315"/>
    </row>
    <row r="46" spans="1:138">
      <c r="A46" s="2">
        <v>2008</v>
      </c>
      <c r="B46" s="686">
        <v>6.890877704121209</v>
      </c>
      <c r="C46" s="687">
        <v>0.17352750142489359</v>
      </c>
      <c r="D46" s="687">
        <v>2.2599803342730481E-2</v>
      </c>
      <c r="E46" s="687">
        <v>0.85315720569163278</v>
      </c>
      <c r="F46" s="686">
        <v>14.034481677677217</v>
      </c>
      <c r="G46" s="687">
        <v>0.13149702228374358</v>
      </c>
      <c r="H46" s="687">
        <v>3.4879809193304891E-2</v>
      </c>
      <c r="I46" s="687">
        <v>0.81010931860043223</v>
      </c>
      <c r="J46" s="686">
        <v>13.510962102969089</v>
      </c>
      <c r="K46" s="687">
        <v>0.14656536324936748</v>
      </c>
      <c r="L46" s="687">
        <v>3.7426518394084937E-2</v>
      </c>
      <c r="M46" s="687">
        <v>0.80118176176835021</v>
      </c>
      <c r="N46" s="686">
        <v>12.475196635689969</v>
      </c>
      <c r="O46" s="687">
        <v>0.14108767001327921</v>
      </c>
      <c r="P46" s="687">
        <v>3.3265822456824246E-2</v>
      </c>
      <c r="Q46" s="687">
        <v>0.81576719202851888</v>
      </c>
      <c r="R46" s="686">
        <v>12.295082508028814</v>
      </c>
      <c r="S46" s="687">
        <v>0.12104020064423034</v>
      </c>
      <c r="T46" s="687">
        <v>2.8126965895103394E-2</v>
      </c>
      <c r="U46" s="687">
        <v>0.83378159037153654</v>
      </c>
      <c r="V46" s="686">
        <v>9.4334850781015103</v>
      </c>
      <c r="W46" s="687">
        <v>0.11665062943534812</v>
      </c>
      <c r="X46" s="687">
        <v>2.079797527324765E-2</v>
      </c>
      <c r="Y46" s="687">
        <v>0.8594735619081264</v>
      </c>
      <c r="Z46" s="686">
        <v>4.983034547930659</v>
      </c>
      <c r="AA46" s="687">
        <v>0.25039930359675727</v>
      </c>
      <c r="AB46" s="687">
        <v>2.3582444393347925E-2</v>
      </c>
      <c r="AC46" s="687">
        <v>0.84971253135573421</v>
      </c>
      <c r="AD46" s="686">
        <v>9.1915965906694055</v>
      </c>
      <c r="AE46" s="687">
        <v>0.17410554127235281</v>
      </c>
      <c r="AF46" s="687">
        <v>3.0245819301979018E-2</v>
      </c>
      <c r="AG46" s="687">
        <v>0.82635389340364618</v>
      </c>
      <c r="AH46" s="686">
        <v>10.922391775511416</v>
      </c>
      <c r="AI46" s="687">
        <v>0.17766516033924176</v>
      </c>
      <c r="AJ46" s="687">
        <v>3.6675988386992348E-2</v>
      </c>
      <c r="AK46" s="687">
        <v>0.80381276466826901</v>
      </c>
      <c r="AL46" s="686">
        <v>1.5543676161103548</v>
      </c>
      <c r="AM46" s="687">
        <v>0.29451323275436025</v>
      </c>
      <c r="AN46" s="687">
        <v>8.6520766155266972E-3</v>
      </c>
      <c r="AO46" s="687">
        <v>0.90205133266825022</v>
      </c>
      <c r="AP46" s="686">
        <v>5.7151659964948172</v>
      </c>
      <c r="AQ46" s="687">
        <v>0.14878774167170331</v>
      </c>
      <c r="AR46" s="687">
        <v>1.6071551531860361E-2</v>
      </c>
      <c r="AS46" s="687">
        <v>0.87604216603097318</v>
      </c>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315"/>
      <c r="CQ46" s="315"/>
      <c r="CR46" s="315"/>
      <c r="CS46" s="315"/>
      <c r="CT46" s="315"/>
      <c r="CU46" s="315"/>
      <c r="CV46" s="315"/>
      <c r="CW46" s="315"/>
      <c r="CX46" s="315"/>
      <c r="CY46" s="315"/>
      <c r="CZ46" s="315"/>
      <c r="DA46" s="315"/>
      <c r="DB46" s="315"/>
      <c r="DC46" s="315"/>
      <c r="DD46" s="315"/>
      <c r="DE46" s="315"/>
      <c r="DF46" s="315"/>
      <c r="DG46" s="315"/>
      <c r="DH46" s="315"/>
      <c r="DI46" s="315"/>
      <c r="DJ46" s="315"/>
      <c r="DK46" s="315"/>
      <c r="DL46" s="315"/>
      <c r="DM46" s="315"/>
      <c r="DN46" s="315"/>
      <c r="DO46" s="315"/>
      <c r="DP46" s="315"/>
      <c r="DQ46" s="315"/>
      <c r="DR46" s="315"/>
      <c r="DS46" s="315"/>
      <c r="DT46" s="315"/>
      <c r="DU46" s="315"/>
      <c r="DV46" s="315"/>
      <c r="DW46" s="315"/>
      <c r="DX46" s="315"/>
      <c r="DY46" s="315"/>
      <c r="DZ46" s="315"/>
      <c r="EA46" s="315"/>
      <c r="EB46" s="315"/>
      <c r="EC46" s="315"/>
      <c r="ED46" s="315"/>
      <c r="EE46" s="315"/>
      <c r="EF46" s="315"/>
      <c r="EG46" s="315"/>
      <c r="EH46" s="315"/>
    </row>
    <row r="47" spans="1:138">
      <c r="A47" s="2" t="s">
        <v>1707</v>
      </c>
      <c r="B47" s="644">
        <f>(POWER(B46/B19, 1/27)-1)*100</f>
        <v>-3.629609559280178</v>
      </c>
      <c r="C47" s="644">
        <f>(POWER(C46/C19, 1/27)-1)*100</f>
        <v>-1.6057409452180926</v>
      </c>
      <c r="D47" s="644">
        <f>(POWER(D46/D19, 1/27)-1)*100</f>
        <v>-5.1770683776533595</v>
      </c>
      <c r="E47" s="644">
        <f>E46-E19</f>
        <v>0.25358605505045351</v>
      </c>
      <c r="F47" s="644">
        <f>(POWER(F46/F19, 1/27)-1)*100</f>
        <v>-3.7390122306202422</v>
      </c>
      <c r="G47" s="644">
        <f>(POWER(G46/G19, 1/27)-1)*100</f>
        <v>0.30743429884174667</v>
      </c>
      <c r="H47" s="644">
        <f>(POWER(H46/H19, 1/27)-1)*100</f>
        <v>-3.4430729378132963</v>
      </c>
      <c r="I47" s="644">
        <f>I46-I19</f>
        <v>0.19262930704365855</v>
      </c>
      <c r="J47" s="644">
        <f>(POWER(J46/J19, 1/27)-1)*100</f>
        <v>-2.4168053551813395</v>
      </c>
      <c r="K47" s="644">
        <f>(POWER(K46/K19, 1/27)-1)*100</f>
        <v>-2.4259906974624323</v>
      </c>
      <c r="L47" s="644">
        <f>(POWER(L46/L19, 1/27)-1)*100</f>
        <v>-4.7841645795512981</v>
      </c>
      <c r="M47" s="644">
        <f>M46-M19</f>
        <v>0.36172980400714067</v>
      </c>
      <c r="N47" s="644">
        <f>(POWER(N46/N19, 1/27)-1)*100</f>
        <v>-0.77988646686152352</v>
      </c>
      <c r="O47" s="644">
        <f>(POWER(O46/O19, 1/27)-1)*100</f>
        <v>-1.4495653026048827</v>
      </c>
      <c r="P47" s="644">
        <f>(POWER(P46/P19, 1/27)-1)*100</f>
        <v>-2.2181468058430687</v>
      </c>
      <c r="Q47" s="644">
        <f>Q46-Q19</f>
        <v>9.7072924420862905E-2</v>
      </c>
      <c r="R47" s="644">
        <f>(POWER(R46/R19, 1/27)-1)*100</f>
        <v>-1.5084530370835791</v>
      </c>
      <c r="S47" s="644">
        <f>(POWER(S46/S19, 1/27)-1)*100</f>
        <v>-6.2504196061505262</v>
      </c>
      <c r="T47" s="644">
        <f>(POWER(T46/T19, 1/27)-1)*100</f>
        <v>-7.664587998854655</v>
      </c>
      <c r="U47" s="644">
        <f>U46-U19</f>
        <v>0.75044825703820328</v>
      </c>
      <c r="V47" s="644">
        <f>(POWER(V46/V19, 1/27)-1)*100</f>
        <v>-2.999476179273175</v>
      </c>
      <c r="W47" s="644">
        <f>(POWER(W46/W19, 1/27)-1)*100</f>
        <v>-3.9003942661340885</v>
      </c>
      <c r="X47" s="644">
        <f>(POWER(X46/X19, 1/27)-1)*100</f>
        <v>-6.7828790484968371</v>
      </c>
      <c r="Y47" s="644">
        <f>Y46-Y19</f>
        <v>0.41281754703955909</v>
      </c>
      <c r="Z47" s="644">
        <f>(POWER(Z46/Z19, 1/27)-1)*100</f>
        <v>-2.5796997756424633</v>
      </c>
      <c r="AA47" s="644">
        <f>(POWER(AA46/AA19, 1/27)-1)*100</f>
        <v>0.49516864713214925</v>
      </c>
      <c r="AB47" s="644">
        <f>(POWER(AB46/AB19, 1/27)-1)*100</f>
        <v>-2.0973049929894239</v>
      </c>
      <c r="AC47" s="644">
        <f>AC46-AC19</f>
        <v>6.3847641516347697E-2</v>
      </c>
      <c r="AD47" s="644">
        <f>(POWER(AD46/AD19, 1/27)-1)*100</f>
        <v>-2.7316950493467274</v>
      </c>
      <c r="AE47" s="644">
        <f>(POWER(AE46/AE19, 1/27)-1)*100</f>
        <v>-1.2554723063144646</v>
      </c>
      <c r="AF47" s="644">
        <f>(POWER(AF46/AF19, 1/27)-1)*100</f>
        <v>-3.9528716808236775</v>
      </c>
      <c r="AG47" s="644">
        <f>AG46-AG19</f>
        <v>0.20899400582748617</v>
      </c>
      <c r="AH47" s="644">
        <f>(POWER(AH46/AH19, 1/27)-1)*100</f>
        <v>-4.0372404010071916</v>
      </c>
      <c r="AI47" s="644">
        <f>(POWER(AI46/AI19, 1/27)-1)*100</f>
        <v>-1.8939718550522566</v>
      </c>
      <c r="AJ47" s="644">
        <f>(POWER(AJ46/AJ19, 1/27)-1)*100</f>
        <v>-5.8547480591435663</v>
      </c>
      <c r="AK47" s="644">
        <f>AK46-AK19</f>
        <v>0.52693889883132927</v>
      </c>
      <c r="AL47" s="644">
        <f>(POWER(AL46/AL19, 1/27)-1)*100</f>
        <v>-10.528612858051067</v>
      </c>
      <c r="AM47" s="644">
        <f>(POWER(AM46/AM19, 1/27)-1)*100</f>
        <v>1.3986298145325815</v>
      </c>
      <c r="AN47" s="644">
        <f>(POWER(AN46/AN19, 1/27)-1)*100</f>
        <v>-9.2772393620078937</v>
      </c>
      <c r="AO47" s="644">
        <f>AO46-AO19</f>
        <v>0.3899460041885956</v>
      </c>
      <c r="AP47" s="644">
        <f>(POWER(AP46/AP19, 1/27)-1)*100</f>
        <v>-6.7236195240546799</v>
      </c>
      <c r="AQ47" s="644">
        <f>(POWER(AQ46/AQ19, 1/27)-1)*100</f>
        <v>0.65823078723226125</v>
      </c>
      <c r="AR47" s="644">
        <f>(POWER(AR46/AR19, 1/27)-1)*100</f>
        <v>-6.1096456705461266</v>
      </c>
      <c r="AS47" s="644">
        <f>AS46-AS19</f>
        <v>0.25272207537749369</v>
      </c>
      <c r="AT47" s="644"/>
      <c r="AU47" s="644"/>
      <c r="AV47" s="644"/>
      <c r="AW47" s="644"/>
      <c r="AX47" s="314"/>
      <c r="AY47" s="314"/>
      <c r="AZ47" s="314"/>
      <c r="BA47" s="314"/>
      <c r="BB47" s="314"/>
      <c r="BC47" s="314"/>
      <c r="BD47" s="314"/>
      <c r="BE47" s="314"/>
      <c r="BF47" s="314"/>
      <c r="BG47" s="314"/>
      <c r="BH47" s="314"/>
      <c r="BI47" s="314"/>
      <c r="BJ47" s="314"/>
      <c r="BK47" s="314"/>
      <c r="BL47" s="314"/>
      <c r="BM47" s="314"/>
      <c r="BN47" s="314"/>
      <c r="BO47" s="314"/>
      <c r="BP47" s="315"/>
      <c r="BQ47" s="315"/>
      <c r="BR47" s="315"/>
      <c r="BS47" s="315"/>
      <c r="BT47" s="315"/>
      <c r="BU47" s="315"/>
      <c r="BV47" s="315"/>
      <c r="BW47" s="315"/>
      <c r="BX47" s="315"/>
      <c r="BY47" s="315"/>
      <c r="BZ47" s="315"/>
      <c r="CA47" s="315"/>
      <c r="CB47" s="315"/>
      <c r="CC47" s="315"/>
      <c r="CD47" s="315"/>
      <c r="CE47" s="315"/>
      <c r="CF47" s="315"/>
      <c r="CG47" s="315"/>
      <c r="CH47" s="315"/>
      <c r="CI47" s="315"/>
      <c r="CJ47" s="315"/>
      <c r="CK47" s="315"/>
      <c r="CL47" s="315"/>
      <c r="CM47" s="315"/>
      <c r="CN47" s="315"/>
      <c r="CO47" s="315"/>
      <c r="CP47" s="315"/>
      <c r="CQ47" s="315"/>
      <c r="CR47" s="315"/>
      <c r="CS47" s="315"/>
      <c r="CT47" s="315"/>
      <c r="CU47" s="315"/>
      <c r="CV47" s="315"/>
      <c r="CW47" s="315"/>
      <c r="CX47" s="315"/>
      <c r="CY47" s="315"/>
      <c r="CZ47" s="315"/>
      <c r="DA47" s="315"/>
      <c r="DB47" s="315"/>
      <c r="DC47" s="315"/>
      <c r="DD47" s="315"/>
      <c r="DE47" s="315"/>
      <c r="DF47" s="315"/>
      <c r="DG47" s="315"/>
      <c r="DH47" s="315"/>
      <c r="DI47" s="315"/>
      <c r="DJ47" s="315"/>
      <c r="DK47" s="315"/>
      <c r="DL47" s="315"/>
      <c r="DM47" s="315"/>
      <c r="DN47" s="315"/>
      <c r="DO47" s="315"/>
      <c r="DP47" s="315"/>
      <c r="DQ47" s="315"/>
      <c r="DR47" s="315"/>
      <c r="DS47" s="315"/>
      <c r="DT47" s="315"/>
      <c r="DU47" s="315"/>
      <c r="DV47" s="315"/>
      <c r="DW47" s="315"/>
      <c r="DX47" s="315"/>
      <c r="DY47" s="315"/>
      <c r="DZ47" s="315"/>
      <c r="EA47" s="315"/>
      <c r="EB47" s="315"/>
      <c r="EC47" s="315"/>
      <c r="ED47" s="315"/>
      <c r="EE47" s="315"/>
      <c r="EF47" s="315"/>
      <c r="EG47" s="315"/>
      <c r="EH47" s="315"/>
    </row>
    <row r="48" spans="1:138">
      <c r="B48" s="309" t="s">
        <v>391</v>
      </c>
      <c r="N48" s="309" t="s">
        <v>136</v>
      </c>
      <c r="Z48" s="309" t="s">
        <v>136</v>
      </c>
      <c r="AL48" s="309" t="s">
        <v>136</v>
      </c>
    </row>
    <row r="49" spans="2:5">
      <c r="B49" s="318" t="s">
        <v>1305</v>
      </c>
    </row>
    <row r="50" spans="2:5">
      <c r="B50" s="318" t="s">
        <v>1491</v>
      </c>
    </row>
    <row r="51" spans="2:5">
      <c r="B51" s="318" t="s">
        <v>1492</v>
      </c>
    </row>
    <row r="52" spans="2:5">
      <c r="B52" s="319" t="s">
        <v>1493</v>
      </c>
    </row>
    <row r="53" spans="2:5">
      <c r="B53" s="318" t="s">
        <v>1494</v>
      </c>
    </row>
    <row r="54" spans="2:5">
      <c r="B54" s="319"/>
    </row>
    <row r="55" spans="2:5">
      <c r="B55" s="1" t="s">
        <v>139</v>
      </c>
      <c r="C55" s="361">
        <f>MAX(D19:D46,H19:H46,L19:L46,P19:P46,T19:T46,X19:X46,AB19:AB46,AF19:AF46,AJ19:AJ46,AN19:AN46,AR19:AR46)</f>
        <v>0.24220272221407591</v>
      </c>
      <c r="D55" s="1"/>
      <c r="E55" s="1">
        <v>1.89</v>
      </c>
    </row>
    <row r="56" spans="2:5">
      <c r="B56" s="1" t="s">
        <v>140</v>
      </c>
      <c r="C56" s="361">
        <f>MIN(D19:D46,H19:H46,L19:L46,P19:P46,T19:T46,X19:X46,AB19:AB46,AF19:AF46,AJ19:AJ46,AN19:AN46,AR19:AR46)</f>
        <v>4.4828502228719995E-3</v>
      </c>
      <c r="D56" s="1"/>
      <c r="E56" s="1"/>
    </row>
    <row r="57" spans="2:5">
      <c r="B57" s="1" t="s">
        <v>1295</v>
      </c>
      <c r="C57" s="1">
        <f>C55-C56</f>
        <v>0.2377198719912039</v>
      </c>
      <c r="D57" s="1"/>
      <c r="E57" s="1"/>
    </row>
    <row r="58" spans="2:5">
      <c r="B58" s="1" t="s">
        <v>1296</v>
      </c>
      <c r="C58" s="1">
        <f>C57/10</f>
        <v>2.3771987199120388E-2</v>
      </c>
      <c r="D58" s="1"/>
      <c r="E58" s="1"/>
    </row>
    <row r="59" spans="2:5">
      <c r="B59" s="1" t="s">
        <v>143</v>
      </c>
      <c r="C59" s="1">
        <f>C55+C58</f>
        <v>0.26597470941319629</v>
      </c>
      <c r="D59" s="1"/>
      <c r="E59" s="1"/>
    </row>
    <row r="60" spans="2:5">
      <c r="B60" s="1" t="s">
        <v>144</v>
      </c>
      <c r="C60" s="1">
        <f>C56-C58</f>
        <v>-1.928913697624839E-2</v>
      </c>
      <c r="D60" s="1"/>
      <c r="E60" s="1"/>
    </row>
    <row r="61" spans="2:5">
      <c r="B61" s="1" t="s">
        <v>145</v>
      </c>
      <c r="C61" s="1">
        <f>C59-C60</f>
        <v>0.28526384638944469</v>
      </c>
      <c r="D61" s="1"/>
      <c r="E61" s="1"/>
    </row>
  </sheetData>
  <phoneticPr fontId="40" type="noConversion"/>
  <pageMargins left="0.15748031496062992" right="0.15748031496062992" top="0.39370078740157483" bottom="0.39370078740157483" header="0.51181102362204722" footer="0.51181102362204722"/>
  <pageSetup scale="77" orientation="landscape" horizontalDpi="360" verticalDpi="360" r:id="rId1"/>
  <headerFooter alignWithMargins="0"/>
  <colBreaks count="3" manualBreakCount="3">
    <brk id="13" max="1048575" man="1"/>
    <brk id="25" max="1048575" man="1"/>
    <brk id="37" max="1048575" man="1"/>
  </colBreaks>
</worksheet>
</file>

<file path=xl/worksheets/sheet182.xml><?xml version="1.0" encoding="utf-8"?>
<worksheet xmlns="http://schemas.openxmlformats.org/spreadsheetml/2006/main" xmlns:r="http://schemas.openxmlformats.org/officeDocument/2006/relationships">
  <sheetPr codeName="Sheet177"/>
  <dimension ref="A1:FR46"/>
  <sheetViews>
    <sheetView view="pageBreakPreview" zoomScaleSheetLayoutView="100" workbookViewId="0">
      <pane xSplit="1" ySplit="14" topLeftCell="B1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3" width="9.140625" style="309"/>
    <col min="4" max="7" width="9.5703125" style="309" customWidth="1"/>
    <col min="8" max="16384" width="9.140625" style="309"/>
  </cols>
  <sheetData>
    <row r="1" spans="1:92" ht="15.75">
      <c r="B1" s="310" t="s">
        <v>2033</v>
      </c>
      <c r="C1" s="310"/>
      <c r="O1" s="309" t="s">
        <v>618</v>
      </c>
      <c r="AC1" s="310" t="s">
        <v>2034</v>
      </c>
      <c r="AD1" s="310"/>
      <c r="BD1" s="310" t="s">
        <v>2035</v>
      </c>
      <c r="BE1" s="310"/>
      <c r="CE1" s="310" t="s">
        <v>2036</v>
      </c>
    </row>
    <row r="3" spans="1:92" s="311" customFormat="1" ht="15">
      <c r="A3" s="1121"/>
      <c r="B3" s="311" t="s">
        <v>375</v>
      </c>
      <c r="K3" s="311" t="s">
        <v>1039</v>
      </c>
      <c r="T3" s="311" t="s">
        <v>1040</v>
      </c>
      <c r="AC3" s="311" t="s">
        <v>791</v>
      </c>
      <c r="AL3" s="311" t="s">
        <v>792</v>
      </c>
      <c r="AU3" s="311" t="s">
        <v>1041</v>
      </c>
      <c r="BD3" s="311" t="s">
        <v>738</v>
      </c>
      <c r="BM3" s="311" t="s">
        <v>739</v>
      </c>
      <c r="BV3" s="311" t="s">
        <v>740</v>
      </c>
      <c r="CE3" s="311" t="s">
        <v>741</v>
      </c>
      <c r="CJ3" s="311" t="s">
        <v>742</v>
      </c>
    </row>
    <row r="4" spans="1:92" s="312" customFormat="1" ht="117.6" customHeight="1">
      <c r="A4" s="367"/>
      <c r="B4" s="1149" t="s">
        <v>935</v>
      </c>
      <c r="C4" s="1149" t="s">
        <v>2289</v>
      </c>
      <c r="D4" s="1149" t="s">
        <v>221</v>
      </c>
      <c r="E4" s="1149" t="s">
        <v>2290</v>
      </c>
      <c r="F4" s="1149" t="s">
        <v>222</v>
      </c>
      <c r="G4" s="1149" t="s">
        <v>2291</v>
      </c>
      <c r="H4" s="1149" t="s">
        <v>223</v>
      </c>
      <c r="I4" s="1149" t="s">
        <v>2292</v>
      </c>
      <c r="J4" s="1051" t="s">
        <v>224</v>
      </c>
      <c r="K4" s="1149" t="s">
        <v>935</v>
      </c>
      <c r="L4" s="1149" t="s">
        <v>2289</v>
      </c>
      <c r="M4" s="1149" t="s">
        <v>221</v>
      </c>
      <c r="N4" s="1149" t="s">
        <v>2290</v>
      </c>
      <c r="O4" s="1149" t="s">
        <v>222</v>
      </c>
      <c r="P4" s="1149" t="s">
        <v>2291</v>
      </c>
      <c r="Q4" s="1149" t="s">
        <v>223</v>
      </c>
      <c r="R4" s="1149" t="s">
        <v>2292</v>
      </c>
      <c r="S4" s="1149" t="s">
        <v>224</v>
      </c>
      <c r="T4" s="1051" t="s">
        <v>935</v>
      </c>
      <c r="U4" s="1149"/>
      <c r="V4" s="1051" t="s">
        <v>221</v>
      </c>
      <c r="W4" s="1149"/>
      <c r="X4" s="1051" t="s">
        <v>222</v>
      </c>
      <c r="Y4" s="1149"/>
      <c r="Z4" s="1051" t="s">
        <v>223</v>
      </c>
      <c r="AA4" s="1149"/>
      <c r="AB4" s="1051" t="s">
        <v>224</v>
      </c>
      <c r="AC4" s="1051" t="s">
        <v>935</v>
      </c>
      <c r="AD4" s="1149"/>
      <c r="AE4" s="1051" t="s">
        <v>221</v>
      </c>
      <c r="AF4" s="1149"/>
      <c r="AG4" s="1051" t="s">
        <v>222</v>
      </c>
      <c r="AH4" s="1149"/>
      <c r="AI4" s="1051" t="s">
        <v>223</v>
      </c>
      <c r="AJ4" s="1149"/>
      <c r="AK4" s="1051" t="s">
        <v>224</v>
      </c>
      <c r="AL4" s="1051" t="s">
        <v>935</v>
      </c>
      <c r="AM4" s="1149"/>
      <c r="AN4" s="1051" t="s">
        <v>221</v>
      </c>
      <c r="AO4" s="1149"/>
      <c r="AP4" s="1051" t="s">
        <v>222</v>
      </c>
      <c r="AQ4" s="1149"/>
      <c r="AR4" s="1051" t="s">
        <v>223</v>
      </c>
      <c r="AS4" s="1149"/>
      <c r="AT4" s="1051" t="s">
        <v>224</v>
      </c>
      <c r="AU4" s="1051" t="s">
        <v>935</v>
      </c>
      <c r="AV4" s="1149"/>
      <c r="AW4" s="1051" t="s">
        <v>221</v>
      </c>
      <c r="AX4" s="1149"/>
      <c r="AY4" s="1051" t="s">
        <v>222</v>
      </c>
      <c r="AZ4" s="1149"/>
      <c r="BA4" s="1051" t="s">
        <v>223</v>
      </c>
      <c r="BB4" s="1149"/>
      <c r="BC4" s="1051" t="s">
        <v>224</v>
      </c>
      <c r="BD4" s="1051" t="s">
        <v>935</v>
      </c>
      <c r="BE4" s="1149"/>
      <c r="BF4" s="1051" t="s">
        <v>221</v>
      </c>
      <c r="BG4" s="1149"/>
      <c r="BH4" s="1051" t="s">
        <v>222</v>
      </c>
      <c r="BI4" s="1149"/>
      <c r="BJ4" s="1051" t="s">
        <v>223</v>
      </c>
      <c r="BK4" s="1149"/>
      <c r="BL4" s="1051" t="s">
        <v>224</v>
      </c>
      <c r="BM4" s="1051" t="s">
        <v>935</v>
      </c>
      <c r="BN4" s="1149"/>
      <c r="BO4" s="1051" t="s">
        <v>221</v>
      </c>
      <c r="BP4" s="1149"/>
      <c r="BQ4" s="1051" t="s">
        <v>222</v>
      </c>
      <c r="BR4" s="1149"/>
      <c r="BS4" s="1051" t="s">
        <v>223</v>
      </c>
      <c r="BT4" s="1149"/>
      <c r="BU4" s="1051" t="s">
        <v>224</v>
      </c>
      <c r="BV4" s="1051" t="s">
        <v>935</v>
      </c>
      <c r="BW4" s="1149"/>
      <c r="BX4" s="1051" t="s">
        <v>221</v>
      </c>
      <c r="BY4" s="1149"/>
      <c r="BZ4" s="1051" t="s">
        <v>222</v>
      </c>
      <c r="CA4" s="1149"/>
      <c r="CB4" s="1051" t="s">
        <v>223</v>
      </c>
      <c r="CC4" s="1149"/>
      <c r="CD4" s="1051" t="s">
        <v>224</v>
      </c>
      <c r="CE4" s="1051" t="s">
        <v>935</v>
      </c>
      <c r="CF4" s="1051" t="s">
        <v>221</v>
      </c>
      <c r="CG4" s="1051" t="s">
        <v>222</v>
      </c>
      <c r="CH4" s="1051" t="s">
        <v>223</v>
      </c>
      <c r="CI4" s="1051" t="s">
        <v>224</v>
      </c>
      <c r="CJ4" s="1051" t="s">
        <v>935</v>
      </c>
      <c r="CK4" s="1051" t="s">
        <v>221</v>
      </c>
      <c r="CL4" s="1051" t="s">
        <v>222</v>
      </c>
      <c r="CM4" s="1051" t="s">
        <v>223</v>
      </c>
      <c r="CN4" s="1051" t="s">
        <v>224</v>
      </c>
    </row>
    <row r="5" spans="1:92" ht="15.75" hidden="1" customHeight="1">
      <c r="A5" s="2">
        <v>1971</v>
      </c>
      <c r="B5" s="386">
        <f>[8]a29!C8</f>
        <v>0.26390532804543826</v>
      </c>
      <c r="C5" s="386"/>
      <c r="D5" s="386">
        <f>[8]a29!E8</f>
        <v>0.42100275768127526</v>
      </c>
      <c r="E5" s="386"/>
      <c r="F5" s="386">
        <f>[8]a29!G8</f>
        <v>0.23710829053802898</v>
      </c>
      <c r="G5" s="386"/>
      <c r="H5" s="386">
        <f>[8]a29!I8</f>
        <v>7.7983623735257593E-2</v>
      </c>
      <c r="I5" s="386"/>
      <c r="J5" s="46">
        <f>B5*'[8]4'!H8+'[8]8'!C5*'[8]5'!C6+'[8]8'!D5*'[8]6'!F8+'[8]8'!E5*'[8]7'!E8</f>
        <v>0.26435933368744485</v>
      </c>
      <c r="K5" s="386">
        <f>[8]a29!L8</f>
        <v>0.25093810467817362</v>
      </c>
      <c r="L5" s="386"/>
      <c r="M5" s="386">
        <f>[8]a29!N8</f>
        <v>0.4404534578974777</v>
      </c>
      <c r="N5" s="386"/>
      <c r="O5" s="386">
        <f>[8]a29!P8</f>
        <v>0.24173198882869287</v>
      </c>
      <c r="P5" s="386"/>
      <c r="Q5" s="386">
        <f>[8]a29!R8</f>
        <v>6.6876448595655835E-2</v>
      </c>
      <c r="R5" s="386"/>
      <c r="S5" s="46">
        <f>K5*'[8]4'!O8+'[8]8'!H5*'[8]5'!E6+'[8]8'!I5*'[8]6'!K8+'[8]8'!J5*'[8]7'!I8</f>
        <v>0.35127829942417188</v>
      </c>
      <c r="T5" s="386">
        <f>[8]a29!U8</f>
        <v>0.25220322977323278</v>
      </c>
      <c r="U5" s="386"/>
      <c r="V5" s="386">
        <f>[8]a29!W8</f>
        <v>0.43899964199864028</v>
      </c>
      <c r="W5" s="386"/>
      <c r="X5" s="386">
        <f>[8]a29!Y8</f>
        <v>0.22946674910275874</v>
      </c>
      <c r="Y5" s="386"/>
      <c r="Z5" s="386">
        <f>[8]a29!AA8</f>
        <v>7.9330379125368236E-2</v>
      </c>
      <c r="AA5" s="386"/>
      <c r="AB5" s="46">
        <f>T5*'[8]4'!V8+'[8]8'!M5*'[8]5'!G6+'[8]8'!N5*'[8]6'!P8+'[8]8'!O5*'[8]7'!M8</f>
        <v>0.19012625551232146</v>
      </c>
      <c r="AC5" s="386">
        <f>[8]a29!AD8</f>
        <v>0.26047179567760714</v>
      </c>
      <c r="AD5" s="386"/>
      <c r="AE5" s="386">
        <f>[8]a29!AF8</f>
        <v>0.43020016955044521</v>
      </c>
      <c r="AF5" s="386"/>
      <c r="AG5" s="386">
        <f>[8]a29!AH8</f>
        <v>0.22784376039200294</v>
      </c>
      <c r="AH5" s="386"/>
      <c r="AI5" s="386">
        <f>[8]a29!AJ8</f>
        <v>8.1484274379944696E-2</v>
      </c>
      <c r="AJ5" s="386"/>
      <c r="AK5" s="46">
        <f>AC5*'[8]4'!AC8+'[8]8'!R5*'[8]5'!I6+'[8]8'!S5*'[8]6'!U8+'[8]8'!T5*'[8]7'!Q8</f>
        <v>0.29797854543352253</v>
      </c>
      <c r="AL5" s="386">
        <f>[8]a29!AM8</f>
        <v>0.25761646633799451</v>
      </c>
      <c r="AM5" s="386"/>
      <c r="AN5" s="386">
        <f>[8]a29!AO8</f>
        <v>0.43186177527326886</v>
      </c>
      <c r="AO5" s="386"/>
      <c r="AP5" s="386">
        <f>[8]a29!AQ8</f>
        <v>0.23363119285178671</v>
      </c>
      <c r="AQ5" s="386"/>
      <c r="AR5" s="386">
        <f>[8]a29!AS8</f>
        <v>7.6890565536949923E-2</v>
      </c>
      <c r="AS5" s="386"/>
      <c r="AT5" s="46">
        <f>AL5*'[8]4'!AJ8+'[8]8'!W5*'[8]5'!K6+'[8]8'!X5*'[8]6'!Z8+'[8]8'!Y5*'[8]7'!U8</f>
        <v>0.35257220253183591</v>
      </c>
      <c r="AU5" s="386">
        <f>[8]a29!AV8</f>
        <v>0.26416543600323655</v>
      </c>
      <c r="AV5" s="386"/>
      <c r="AW5" s="386">
        <f>[8]a29!AX8</f>
        <v>0.41367737945674449</v>
      </c>
      <c r="AX5" s="386"/>
      <c r="AY5" s="386">
        <f>[8]a29!AZ8</f>
        <v>0.24835602049577177</v>
      </c>
      <c r="AZ5" s="386"/>
      <c r="BA5" s="386">
        <f>[8]a29!BB8</f>
        <v>7.3801164044247261E-2</v>
      </c>
      <c r="BB5" s="386"/>
      <c r="BC5" s="46">
        <f>AU5*'[8]4'!AQ8+'[8]8'!AB5*'[8]5'!M6+'[8]8'!AC5*'[8]6'!AE8+'[8]8'!AD5*'[8]7'!Y8</f>
        <v>0.22679203345741261</v>
      </c>
      <c r="BD5" s="386">
        <f>[8]a29!BE8</f>
        <v>0.26696008615343814</v>
      </c>
      <c r="BE5" s="386"/>
      <c r="BF5" s="386">
        <f>[8]a29!BG8</f>
        <v>0.42141467139556688</v>
      </c>
      <c r="BG5" s="386"/>
      <c r="BH5" s="386">
        <f>[8]a29!BI8</f>
        <v>0.23159862211354601</v>
      </c>
      <c r="BI5" s="386"/>
      <c r="BJ5" s="386">
        <f>[8]a29!BK8</f>
        <v>8.0026620337448923E-2</v>
      </c>
      <c r="BK5" s="386"/>
      <c r="BL5" s="46">
        <f>BD5*'[8]4'!AX8+'[8]8'!AG5*'[8]5'!O6+'[8]8'!AH5*'[8]6'!AJ8+'[8]8'!AI5*'[8]7'!AC8</f>
        <v>0.38821930938688515</v>
      </c>
      <c r="BM5" s="386">
        <f>[8]a29!BN8</f>
        <v>0.26397949315966501</v>
      </c>
      <c r="BN5" s="386"/>
      <c r="BO5" s="386">
        <f>[8]a29!BP8</f>
        <v>0.42892529211073627</v>
      </c>
      <c r="BP5" s="386"/>
      <c r="BQ5" s="386">
        <f>[8]a29!BR8</f>
        <v>0.22239604529714346</v>
      </c>
      <c r="BR5" s="386"/>
      <c r="BS5" s="386">
        <f>[8]a29!BT8</f>
        <v>8.4699169432455229E-2</v>
      </c>
      <c r="BT5" s="386"/>
      <c r="BU5" s="46">
        <f>BM5*'[8]4'!BE8+'[8]8'!AL5*'[8]5'!Q6+'[8]8'!AM5*'[8]6'!AO8+'[8]8'!AN5*'[8]7'!AG8</f>
        <v>0.2906517356585076</v>
      </c>
      <c r="BV5" s="386">
        <f>[8]a29!BW8</f>
        <v>0.25570475423534955</v>
      </c>
      <c r="BW5" s="386"/>
      <c r="BX5" s="386">
        <f>[8]a29!BY8</f>
        <v>0.42863361718095672</v>
      </c>
      <c r="BY5" s="386"/>
      <c r="BZ5" s="386">
        <f>[8]a29!CA8</f>
        <v>0.22940207768586107</v>
      </c>
      <c r="CA5" s="386"/>
      <c r="CB5" s="386">
        <f>[8]a29!CC8</f>
        <v>8.6259550897832729E-2</v>
      </c>
      <c r="CC5" s="386"/>
      <c r="CD5" s="46">
        <f>BV5*'[8]4'!BL8+'[8]8'!AQ5*'[8]5'!S6+'[8]8'!AR5*'[8]6'!AT8+'[8]8'!AS5*'[8]7'!AK8</f>
        <v>1.889719008311401E-2</v>
      </c>
      <c r="CE5" s="386">
        <f>[8]a29!CF8</f>
        <v>0.25676758851790638</v>
      </c>
      <c r="CF5" s="386">
        <f>[8]a29!CH8</f>
        <v>0.41723048649327327</v>
      </c>
      <c r="CG5" s="386">
        <f>[8]a29!CJ8</f>
        <v>0.25485354384307074</v>
      </c>
      <c r="CH5" s="386">
        <f>[8]a29!CL8</f>
        <v>7.1148381145749715E-2</v>
      </c>
      <c r="CI5" s="46">
        <f>CE5*'[8]4'!BS8+'[8]8'!AV5*'[8]5'!U6+'[8]8'!AW5*'[8]6'!AY8+'[8]8'!AX5*'[8]7'!AO8</f>
        <v>0.30354172523546452</v>
      </c>
      <c r="CJ5" s="386">
        <f>[8]a29!CO8</f>
        <v>0.26791642033892321</v>
      </c>
      <c r="CK5" s="386">
        <f>[8]a29!CQ8</f>
        <v>0.42445204851766727</v>
      </c>
      <c r="CL5" s="386">
        <f>[8]a29!CS8</f>
        <v>0.22405596357918073</v>
      </c>
      <c r="CM5" s="386">
        <f>[8]a29!CU8</f>
        <v>8.3575567564228875E-2</v>
      </c>
      <c r="CN5" s="46">
        <f>CJ5*'[8]4'!BZ8+'[8]8'!BA5*'[8]5'!W6+'[8]8'!BB5*'[8]6'!BD8+'[8]8'!BC5*'[8]7'!AS8</f>
        <v>0.11238295521123054</v>
      </c>
    </row>
    <row r="6" spans="1:92" hidden="1">
      <c r="A6" s="2">
        <v>1972</v>
      </c>
      <c r="B6" s="386">
        <f>[8]a29!C9</f>
        <v>0.26667494542840359</v>
      </c>
      <c r="C6" s="386"/>
      <c r="D6" s="386">
        <f>[8]a29!E9</f>
        <v>0.42103870962091017</v>
      </c>
      <c r="E6" s="386"/>
      <c r="F6" s="386">
        <f>[8]a29!G9</f>
        <v>0.23368355865084584</v>
      </c>
      <c r="G6" s="386"/>
      <c r="H6" s="386">
        <f>[8]a29!I9</f>
        <v>7.8602786299840396E-2</v>
      </c>
      <c r="I6" s="386"/>
      <c r="J6" s="46">
        <f>B6*'[8]4'!H9+'[8]8'!C6*'[8]5'!C7+'[8]8'!D6*'[8]6'!F9+'[8]8'!E6*'[8]7'!E9</f>
        <v>0.26767497622697833</v>
      </c>
      <c r="K6" s="386">
        <f>[8]a29!L9</f>
        <v>0.25386550616817644</v>
      </c>
      <c r="L6" s="386"/>
      <c r="M6" s="386">
        <f>[8]a29!N9</f>
        <v>0.44089206196901742</v>
      </c>
      <c r="N6" s="386"/>
      <c r="O6" s="386">
        <f>[8]a29!P9</f>
        <v>0.23814669483660988</v>
      </c>
      <c r="P6" s="386"/>
      <c r="Q6" s="386">
        <f>[8]a29!R9</f>
        <v>6.7095737026196214E-2</v>
      </c>
      <c r="R6" s="386"/>
      <c r="S6" s="46">
        <f>K6*'[8]4'!O9+'[8]8'!H6*'[8]5'!E7+'[8]8'!I6*'[8]6'!K9+'[8]8'!J6*'[8]7'!I9</f>
        <v>0.29299615698777037</v>
      </c>
      <c r="T6" s="386">
        <f>[8]a29!U9</f>
        <v>0.25458554212074569</v>
      </c>
      <c r="U6" s="386"/>
      <c r="V6" s="386">
        <f>[8]a29!W9</f>
        <v>0.4390031641472677</v>
      </c>
      <c r="W6" s="386"/>
      <c r="X6" s="386">
        <f>[8]a29!Y9</f>
        <v>0.22721653285585927</v>
      </c>
      <c r="Y6" s="386"/>
      <c r="Z6" s="386">
        <f>[8]a29!AA9</f>
        <v>7.9194760876127271E-2</v>
      </c>
      <c r="AA6" s="386"/>
      <c r="AB6" s="46">
        <f>T6*'[8]4'!V9+'[8]8'!M6*'[8]5'!G7+'[8]8'!N6*'[8]6'!P9+'[8]8'!O6*'[8]7'!M9</f>
        <v>0.15592986532116931</v>
      </c>
      <c r="AC6" s="386">
        <f>[8]a29!AD9</f>
        <v>0.26274677185322948</v>
      </c>
      <c r="AD6" s="386"/>
      <c r="AE6" s="386">
        <f>[8]a29!AF9</f>
        <v>0.43017490820952248</v>
      </c>
      <c r="AF6" s="386"/>
      <c r="AG6" s="386">
        <f>[8]a29!AH9</f>
        <v>0.22566832835871534</v>
      </c>
      <c r="AH6" s="386"/>
      <c r="AI6" s="386">
        <f>[8]a29!AJ9</f>
        <v>8.1409991578532764E-2</v>
      </c>
      <c r="AJ6" s="386"/>
      <c r="AK6" s="46">
        <f>AC6*'[8]4'!AC9+'[8]8'!R6*'[8]5'!I7+'[8]8'!S6*'[8]6'!U9+'[8]8'!T6*'[8]7'!Q9</f>
        <v>0.29907911117183328</v>
      </c>
      <c r="AL6" s="386">
        <f>[8]a29!AM9</f>
        <v>0.26039529652829524</v>
      </c>
      <c r="AM6" s="386"/>
      <c r="AN6" s="386">
        <f>[8]a29!AO9</f>
        <v>0.43185431218327236</v>
      </c>
      <c r="AO6" s="386"/>
      <c r="AP6" s="386">
        <f>[8]a29!AQ9</f>
        <v>0.23078517558505734</v>
      </c>
      <c r="AQ6" s="386"/>
      <c r="AR6" s="386">
        <f>[8]a29!AS9</f>
        <v>7.6965215703375139E-2</v>
      </c>
      <c r="AS6" s="386"/>
      <c r="AT6" s="46">
        <f>AL6*'[8]4'!AJ9+'[8]8'!W6*'[8]5'!K7+'[8]8'!X6*'[8]6'!Z9+'[8]8'!Y6*'[8]7'!U9</f>
        <v>0.33987673930114831</v>
      </c>
      <c r="AU6" s="386">
        <f>[8]a29!AV9</f>
        <v>0.26766264788034422</v>
      </c>
      <c r="AV6" s="386"/>
      <c r="AW6" s="386">
        <f>[8]a29!AX9</f>
        <v>0.41371429880409571</v>
      </c>
      <c r="AX6" s="386"/>
      <c r="AY6" s="386">
        <f>[8]a29!AZ9</f>
        <v>0.24387418215256246</v>
      </c>
      <c r="AZ6" s="386"/>
      <c r="BA6" s="386">
        <f>[8]a29!BB9</f>
        <v>7.4748871162997624E-2</v>
      </c>
      <c r="BB6" s="386"/>
      <c r="BC6" s="46">
        <f>AU6*'[8]4'!AQ9+'[8]8'!AB6*'[8]5'!M7+'[8]8'!AC6*'[8]6'!AE9+'[8]8'!AD6*'[8]7'!Y9</f>
        <v>0.25607504709936701</v>
      </c>
      <c r="BD6" s="386">
        <f>[8]a29!BE9</f>
        <v>0.26925158364456697</v>
      </c>
      <c r="BE6" s="386"/>
      <c r="BF6" s="386">
        <f>[8]a29!BG9</f>
        <v>0.42125700936329663</v>
      </c>
      <c r="BG6" s="386"/>
      <c r="BH6" s="386">
        <f>[8]a29!BI9</f>
        <v>0.22877394838879606</v>
      </c>
      <c r="BI6" s="386"/>
      <c r="BJ6" s="386">
        <f>[8]a29!BK9</f>
        <v>8.0717458603340272E-2</v>
      </c>
      <c r="BK6" s="386"/>
      <c r="BL6" s="46">
        <f>BD6*'[8]4'!AX9+'[8]8'!AG6*'[8]5'!O7+'[8]8'!AH6*'[8]6'!AJ9+'[8]8'!AI6*'[8]7'!AC9</f>
        <v>0.38376992719019071</v>
      </c>
      <c r="BM6" s="386">
        <f>[8]a29!BN9</f>
        <v>0.26603622779678116</v>
      </c>
      <c r="BN6" s="386"/>
      <c r="BO6" s="386">
        <f>[8]a29!BP9</f>
        <v>0.4295180191089546</v>
      </c>
      <c r="BP6" s="386"/>
      <c r="BQ6" s="386">
        <f>[8]a29!BR9</f>
        <v>0.21932412572504434</v>
      </c>
      <c r="BR6" s="386"/>
      <c r="BS6" s="386">
        <f>[8]a29!BT9</f>
        <v>8.5121627369219938E-2</v>
      </c>
      <c r="BT6" s="386"/>
      <c r="BU6" s="46">
        <f>BM6*'[8]4'!BE9+'[8]8'!AL6*'[8]5'!Q7+'[8]8'!AM6*'[8]6'!AO9+'[8]8'!AN6*'[8]7'!AG9</f>
        <v>0.28058969315270516</v>
      </c>
      <c r="BV6" s="386">
        <f>[8]a29!BW9</f>
        <v>0.25692668233285287</v>
      </c>
      <c r="BW6" s="386"/>
      <c r="BX6" s="386">
        <f>[8]a29!BY9</f>
        <v>0.4274969245225243</v>
      </c>
      <c r="BY6" s="386"/>
      <c r="BZ6" s="386">
        <f>[8]a29!CA9</f>
        <v>0.22878678261266283</v>
      </c>
      <c r="CA6" s="386"/>
      <c r="CB6" s="386">
        <f>[8]a29!CC9</f>
        <v>8.6789610531959951E-2</v>
      </c>
      <c r="CC6" s="386"/>
      <c r="CD6" s="46">
        <f>BV6*'[8]4'!BL9+'[8]8'!AQ6*'[8]5'!S7+'[8]8'!AR6*'[8]6'!AT9+'[8]8'!AS6*'[8]7'!AK9</f>
        <v>1.7991722961423748E-2</v>
      </c>
      <c r="CE6" s="386">
        <f>[8]a29!CF9</f>
        <v>0.26065019141103968</v>
      </c>
      <c r="CF6" s="386">
        <f>[8]a29!CH9</f>
        <v>0.41886412276989116</v>
      </c>
      <c r="CG6" s="386">
        <f>[8]a29!CJ9</f>
        <v>0.24870870011924076</v>
      </c>
      <c r="CH6" s="386">
        <f>[8]a29!CL9</f>
        <v>7.1776985699828336E-2</v>
      </c>
      <c r="CI6" s="46">
        <f>CE6*'[8]4'!BS9+'[8]8'!AV6*'[8]5'!U7+'[8]8'!AW6*'[8]6'!AY9+'[8]8'!AX6*'[8]7'!AO9</f>
        <v>0.29599291060019206</v>
      </c>
      <c r="CJ6" s="386">
        <f>[8]a29!CO9</f>
        <v>0.27045112947234629</v>
      </c>
      <c r="CK6" s="386">
        <f>[8]a29!CQ9</f>
        <v>0.4240683686970359</v>
      </c>
      <c r="CL6" s="386">
        <f>[8]a29!CS9</f>
        <v>0.22182145988586344</v>
      </c>
      <c r="CM6" s="386">
        <f>[8]a29!CU9</f>
        <v>8.3659041944754486E-2</v>
      </c>
      <c r="CN6" s="46">
        <f>CJ6*'[8]4'!BZ9+'[8]8'!BA6*'[8]5'!W7+'[8]8'!BB6*'[8]6'!BD9+'[8]8'!BC6*'[8]7'!AS9</f>
        <v>0.12587468333042195</v>
      </c>
    </row>
    <row r="7" spans="1:92" hidden="1">
      <c r="A7" s="2">
        <v>1973</v>
      </c>
      <c r="B7" s="386">
        <f>[8]a29!C10</f>
        <v>0.26862492168999313</v>
      </c>
      <c r="C7" s="386"/>
      <c r="D7" s="386">
        <f>[8]a29!E10</f>
        <v>0.41962961243458696</v>
      </c>
      <c r="E7" s="386"/>
      <c r="F7" s="386">
        <f>[8]a29!G10</f>
        <v>0.2329014860350492</v>
      </c>
      <c r="G7" s="386"/>
      <c r="H7" s="386">
        <f>[8]a29!I10</f>
        <v>7.8843979840370712E-2</v>
      </c>
      <c r="I7" s="386"/>
      <c r="J7" s="46">
        <f>B7*'[8]4'!H10+'[8]8'!C7*'[8]5'!C8+'[8]8'!D7*'[8]6'!F10+'[8]8'!E7*'[8]7'!E10</f>
        <v>0.27786420589854632</v>
      </c>
      <c r="K7" s="386">
        <f>[8]a29!L10</f>
        <v>0.25638645790235842</v>
      </c>
      <c r="L7" s="386"/>
      <c r="M7" s="386">
        <f>[8]a29!N10</f>
        <v>0.44117810915482769</v>
      </c>
      <c r="N7" s="386"/>
      <c r="O7" s="386">
        <f>[8]a29!P10</f>
        <v>0.23533117186103247</v>
      </c>
      <c r="P7" s="386"/>
      <c r="Q7" s="386">
        <f>[8]a29!R10</f>
        <v>6.710426108178158E-2</v>
      </c>
      <c r="R7" s="386"/>
      <c r="S7" s="46">
        <f>K7*'[8]4'!O10+'[8]8'!H7*'[8]5'!E8+'[8]8'!I7*'[8]6'!K10+'[8]8'!J7*'[8]7'!I10</f>
        <v>0.24519112410623622</v>
      </c>
      <c r="T7" s="386">
        <f>[8]a29!U10</f>
        <v>0.2574337316936457</v>
      </c>
      <c r="U7" s="386"/>
      <c r="V7" s="386">
        <f>[8]a29!W10</f>
        <v>0.43927610204736595</v>
      </c>
      <c r="W7" s="386"/>
      <c r="X7" s="386">
        <f>[8]a29!Y10</f>
        <v>0.22450636910502136</v>
      </c>
      <c r="Y7" s="386"/>
      <c r="Z7" s="386">
        <f>[8]a29!AA10</f>
        <v>7.8783797153967036E-2</v>
      </c>
      <c r="AA7" s="386"/>
      <c r="AB7" s="46">
        <f>T7*'[8]4'!V10+'[8]8'!M7*'[8]5'!G8+'[8]8'!N7*'[8]6'!P10+'[8]8'!O7*'[8]7'!M10</f>
        <v>0.17589211085199016</v>
      </c>
      <c r="AC7" s="386">
        <f>[8]a29!AD10</f>
        <v>0.26568950098503696</v>
      </c>
      <c r="AD7" s="386"/>
      <c r="AE7" s="386">
        <f>[8]a29!AF10</f>
        <v>0.43076970582070501</v>
      </c>
      <c r="AF7" s="386"/>
      <c r="AG7" s="386">
        <f>[8]a29!AH10</f>
        <v>0.22234886107156662</v>
      </c>
      <c r="AH7" s="386"/>
      <c r="AI7" s="386">
        <f>[8]a29!AJ10</f>
        <v>8.1191932122691407E-2</v>
      </c>
      <c r="AJ7" s="386"/>
      <c r="AK7" s="46">
        <f>AC7*'[8]4'!AC10+'[8]8'!R7*'[8]5'!I8+'[8]8'!S7*'[8]6'!U10+'[8]8'!T7*'[8]7'!Q10</f>
        <v>0.2954083068761546</v>
      </c>
      <c r="AL7" s="386">
        <f>[8]a29!AM10</f>
        <v>0.26340891362191188</v>
      </c>
      <c r="AM7" s="386"/>
      <c r="AN7" s="386">
        <f>[8]a29!AO10</f>
        <v>0.432155104962123</v>
      </c>
      <c r="AO7" s="386"/>
      <c r="AP7" s="386">
        <f>[8]a29!AQ10</f>
        <v>0.22752025750909949</v>
      </c>
      <c r="AQ7" s="386"/>
      <c r="AR7" s="386">
        <f>[8]a29!AS10</f>
        <v>7.6915723906865477E-2</v>
      </c>
      <c r="AS7" s="386"/>
      <c r="AT7" s="46">
        <f>AL7*'[8]4'!AJ10+'[8]8'!W7*'[8]5'!K8+'[8]8'!X7*'[8]6'!Z10+'[8]8'!Y7*'[8]7'!U10</f>
        <v>0.32214891765988862</v>
      </c>
      <c r="AU7" s="386">
        <f>[8]a29!AV10</f>
        <v>0.27122393961527091</v>
      </c>
      <c r="AV7" s="386"/>
      <c r="AW7" s="386">
        <f>[8]a29!AX10</f>
        <v>0.41372019350916206</v>
      </c>
      <c r="AX7" s="386"/>
      <c r="AY7" s="386">
        <f>[8]a29!AZ10</f>
        <v>0.23935208096591648</v>
      </c>
      <c r="AZ7" s="386"/>
      <c r="BA7" s="386">
        <f>[8]a29!BB10</f>
        <v>7.5703785909650614E-2</v>
      </c>
      <c r="BB7" s="386"/>
      <c r="BC7" s="46">
        <f>AU7*'[8]4'!AQ10+'[8]8'!AB7*'[8]5'!M8+'[8]8'!AC7*'[8]6'!AE10+'[8]8'!AD7*'[8]7'!Y10</f>
        <v>0.27848221051143784</v>
      </c>
      <c r="BD7" s="386">
        <f>[8]a29!BE10</f>
        <v>0.27162234704042798</v>
      </c>
      <c r="BE7" s="386"/>
      <c r="BF7" s="386">
        <f>[8]a29!BG10</f>
        <v>0.42104318875260927</v>
      </c>
      <c r="BG7" s="386"/>
      <c r="BH7" s="386">
        <f>[8]a29!BI10</f>
        <v>0.22604647936322342</v>
      </c>
      <c r="BI7" s="386"/>
      <c r="BJ7" s="386">
        <f>[8]a29!BK10</f>
        <v>8.1287984843739322E-2</v>
      </c>
      <c r="BK7" s="386"/>
      <c r="BL7" s="46">
        <f>BD7*'[8]4'!AX10+'[8]8'!AG7*'[8]5'!O8+'[8]8'!AH7*'[8]6'!AJ10+'[8]8'!AI7*'[8]7'!AC10</f>
        <v>0.39008530857131651</v>
      </c>
      <c r="BM7" s="386">
        <f>[8]a29!BN10</f>
        <v>0.26854218762352539</v>
      </c>
      <c r="BN7" s="386"/>
      <c r="BO7" s="386">
        <f>[8]a29!BP10</f>
        <v>0.43048012354324022</v>
      </c>
      <c r="BP7" s="386"/>
      <c r="BQ7" s="386">
        <f>[8]a29!BR10</f>
        <v>0.21569454387216705</v>
      </c>
      <c r="BR7" s="386"/>
      <c r="BS7" s="386">
        <f>[8]a29!BT10</f>
        <v>8.52831449610673E-2</v>
      </c>
      <c r="BT7" s="386"/>
      <c r="BU7" s="46">
        <f>BM7*'[8]4'!BE10+'[8]8'!AL7*'[8]5'!Q8+'[8]8'!AM7*'[8]6'!AO10+'[8]8'!AN7*'[8]7'!AG10</f>
        <v>0.3124073368995256</v>
      </c>
      <c r="BV7" s="386">
        <f>[8]a29!BW10</f>
        <v>0.258181458088872</v>
      </c>
      <c r="BW7" s="386"/>
      <c r="BX7" s="386">
        <f>[8]a29!BY10</f>
        <v>0.42692595167579694</v>
      </c>
      <c r="BY7" s="386"/>
      <c r="BZ7" s="386">
        <f>[8]a29!CA10</f>
        <v>0.22774302331379304</v>
      </c>
      <c r="CA7" s="386"/>
      <c r="CB7" s="386">
        <f>[8]a29!CC10</f>
        <v>8.7149566921537969E-2</v>
      </c>
      <c r="CC7" s="386"/>
      <c r="CD7" s="46">
        <f>BV7*'[8]4'!BL10+'[8]8'!AQ7*'[8]5'!S8+'[8]8'!AR7*'[8]6'!AT10+'[8]8'!AS7*'[8]7'!AK10</f>
        <v>0.1797710437943735</v>
      </c>
      <c r="CE7" s="386">
        <f>[8]a29!CF10</f>
        <v>0.26487853199954758</v>
      </c>
      <c r="CF7" s="386">
        <f>[8]a29!CH10</f>
        <v>0.42056941616505339</v>
      </c>
      <c r="CG7" s="386">
        <f>[8]a29!CJ10</f>
        <v>0.24225366120101041</v>
      </c>
      <c r="CH7" s="386">
        <f>[8]a29!CL10</f>
        <v>7.2298390634388629E-2</v>
      </c>
      <c r="CI7" s="46">
        <f>CE7*'[8]4'!BS10+'[8]8'!AV7*'[8]5'!U8+'[8]8'!AW7*'[8]6'!AY10+'[8]8'!AX7*'[8]7'!AO10</f>
        <v>0.30463926338455199</v>
      </c>
      <c r="CJ7" s="386">
        <f>[8]a29!CO10</f>
        <v>0.27318917092252309</v>
      </c>
      <c r="CK7" s="386">
        <f>[8]a29!CQ10</f>
        <v>0.42377986370651666</v>
      </c>
      <c r="CL7" s="386">
        <f>[8]a29!CS10</f>
        <v>0.21941593401000836</v>
      </c>
      <c r="CM7" s="386">
        <f>[8]a29!CU10</f>
        <v>8.3615031360951983E-2</v>
      </c>
      <c r="CN7" s="46">
        <f>CJ7*'[8]4'!BZ10+'[8]8'!BA7*'[8]5'!W8+'[8]8'!BB7*'[8]6'!BD10+'[8]8'!BC7*'[8]7'!AS10</f>
        <v>0.14258612615491206</v>
      </c>
    </row>
    <row r="8" spans="1:92" hidden="1">
      <c r="A8" s="2">
        <v>1974</v>
      </c>
      <c r="B8" s="386">
        <f>[8]a29!C11</f>
        <v>0.27070403249415242</v>
      </c>
      <c r="C8" s="386"/>
      <c r="D8" s="386">
        <f>[8]a29!E11</f>
        <v>0.41828296518930619</v>
      </c>
      <c r="E8" s="386"/>
      <c r="F8" s="386">
        <f>[8]a29!G11</f>
        <v>0.23215407418589193</v>
      </c>
      <c r="G8" s="386"/>
      <c r="H8" s="386">
        <f>[8]a29!I11</f>
        <v>7.8858928130649528E-2</v>
      </c>
      <c r="I8" s="386"/>
      <c r="J8" s="46">
        <f>B8*'[8]4'!H11+'[8]8'!C8*'[8]5'!C9+'[8]8'!D8*'[8]6'!F11+'[8]8'!E8*'[8]7'!E11</f>
        <v>0.30070240816557964</v>
      </c>
      <c r="K8" s="386">
        <f>[8]a29!L11</f>
        <v>0.25852605673429507</v>
      </c>
      <c r="L8" s="386"/>
      <c r="M8" s="386">
        <f>[8]a29!N11</f>
        <v>0.44089560256158528</v>
      </c>
      <c r="N8" s="386"/>
      <c r="O8" s="386">
        <f>[8]a29!P11</f>
        <v>0.23352454359802488</v>
      </c>
      <c r="P8" s="386"/>
      <c r="Q8" s="386">
        <f>[8]a29!R11</f>
        <v>6.7053797106094937E-2</v>
      </c>
      <c r="R8" s="386"/>
      <c r="S8" s="46">
        <f>K8*'[8]4'!O11+'[8]8'!H8*'[8]5'!E9+'[8]8'!I8*'[8]6'!K11+'[8]8'!J8*'[8]7'!I11</f>
        <v>0.21417985509930071</v>
      </c>
      <c r="T8" s="386">
        <f>[8]a29!U11</f>
        <v>0.26047965051054539</v>
      </c>
      <c r="U8" s="386"/>
      <c r="V8" s="386">
        <f>[8]a29!W11</f>
        <v>0.43960182143839199</v>
      </c>
      <c r="W8" s="386"/>
      <c r="X8" s="386">
        <f>[8]a29!Y11</f>
        <v>0.2214611217119575</v>
      </c>
      <c r="Y8" s="386"/>
      <c r="Z8" s="386">
        <f>[8]a29!AA11</f>
        <v>7.8457406339105043E-2</v>
      </c>
      <c r="AA8" s="386"/>
      <c r="AB8" s="46">
        <f>T8*'[8]4'!V11+'[8]8'!M8*'[8]5'!G9+'[8]8'!N8*'[8]6'!P11+'[8]8'!O8*'[8]7'!M11</f>
        <v>0.12672795318620872</v>
      </c>
      <c r="AC8" s="386">
        <f>[8]a29!AD11</f>
        <v>0.26832957618358733</v>
      </c>
      <c r="AD8" s="386"/>
      <c r="AE8" s="386">
        <f>[8]a29!AF11</f>
        <v>0.4308636529227447</v>
      </c>
      <c r="AF8" s="386"/>
      <c r="AG8" s="386">
        <f>[8]a29!AH11</f>
        <v>0.21978233326546459</v>
      </c>
      <c r="AH8" s="386"/>
      <c r="AI8" s="386">
        <f>[8]a29!AJ11</f>
        <v>8.10244376282033E-2</v>
      </c>
      <c r="AJ8" s="386"/>
      <c r="AK8" s="46">
        <f>AC8*'[8]4'!AC11+'[8]8'!R8*'[8]5'!I9+'[8]8'!S8*'[8]6'!U11+'[8]8'!T8*'[8]7'!Q11</f>
        <v>0.30175889026552843</v>
      </c>
      <c r="AL8" s="386">
        <f>[8]a29!AM11</f>
        <v>0.2662861836062127</v>
      </c>
      <c r="AM8" s="386"/>
      <c r="AN8" s="386">
        <f>[8]a29!AO11</f>
        <v>0.43261181559838957</v>
      </c>
      <c r="AO8" s="386"/>
      <c r="AP8" s="386">
        <f>[8]a29!AQ11</f>
        <v>0.22432155639301787</v>
      </c>
      <c r="AQ8" s="386"/>
      <c r="AR8" s="386">
        <f>[8]a29!AS11</f>
        <v>7.6780444402379869E-2</v>
      </c>
      <c r="AS8" s="386"/>
      <c r="AT8" s="46">
        <f>AL8*'[8]4'!AJ11+'[8]8'!W8*'[8]5'!K9+'[8]8'!X8*'[8]6'!Z11+'[8]8'!Y8*'[8]7'!U11</f>
        <v>0.29810005148969876</v>
      </c>
      <c r="AU8" s="386">
        <f>[8]a29!AV11</f>
        <v>0.274923635286769</v>
      </c>
      <c r="AV8" s="386"/>
      <c r="AW8" s="386">
        <f>[8]a29!AX11</f>
        <v>0.41410726320979935</v>
      </c>
      <c r="AX8" s="386"/>
      <c r="AY8" s="386">
        <f>[8]a29!AZ11</f>
        <v>0.23455908002301967</v>
      </c>
      <c r="AZ8" s="386"/>
      <c r="BA8" s="386">
        <f>[8]a29!BB11</f>
        <v>7.641002148041208E-2</v>
      </c>
      <c r="BB8" s="386"/>
      <c r="BC8" s="46">
        <f>AU8*'[8]4'!AQ11+'[8]8'!AB8*'[8]5'!M9+'[8]8'!AC8*'[8]6'!AE11+'[8]8'!AD8*'[8]7'!Y11</f>
        <v>0.30338685341711868</v>
      </c>
      <c r="BD8" s="386">
        <f>[8]a29!BE11</f>
        <v>0.27431970184120108</v>
      </c>
      <c r="BE8" s="386"/>
      <c r="BF8" s="386">
        <f>[8]a29!BG11</f>
        <v>0.42104409218763056</v>
      </c>
      <c r="BG8" s="386"/>
      <c r="BH8" s="386">
        <f>[8]a29!BI11</f>
        <v>0.22306366023794966</v>
      </c>
      <c r="BI8" s="386"/>
      <c r="BJ8" s="386">
        <f>[8]a29!BK11</f>
        <v>8.1572545733218774E-2</v>
      </c>
      <c r="BK8" s="386"/>
      <c r="BL8" s="46">
        <f>BD8*'[8]4'!AX11+'[8]8'!AG8*'[8]5'!O9+'[8]8'!AH8*'[8]6'!AJ11+'[8]8'!AI8*'[8]7'!AC11</f>
        <v>0.40366013592279931</v>
      </c>
      <c r="BM8" s="386">
        <f>[8]a29!BN11</f>
        <v>0.27169740800375908</v>
      </c>
      <c r="BN8" s="386"/>
      <c r="BO8" s="386">
        <f>[8]a29!BP11</f>
        <v>0.43201750949751544</v>
      </c>
      <c r="BP8" s="386"/>
      <c r="BQ8" s="386">
        <f>[8]a29!BR11</f>
        <v>0.21117415136703976</v>
      </c>
      <c r="BR8" s="386"/>
      <c r="BS8" s="386">
        <f>[8]a29!BT11</f>
        <v>8.5110931131685663E-2</v>
      </c>
      <c r="BT8" s="386"/>
      <c r="BU8" s="46">
        <f>BM8*'[8]4'!BE11+'[8]8'!AL8*'[8]5'!Q9+'[8]8'!AM8*'[8]6'!AO11+'[8]8'!AN8*'[8]7'!AG11</f>
        <v>0.32047201975746498</v>
      </c>
      <c r="BV8" s="386">
        <f>[8]a29!BW11</f>
        <v>0.26039506549511388</v>
      </c>
      <c r="BW8" s="386"/>
      <c r="BX8" s="386">
        <f>[8]a29!BY11</f>
        <v>0.4269053135043856</v>
      </c>
      <c r="BY8" s="386"/>
      <c r="BZ8" s="386">
        <f>[8]a29!CA11</f>
        <v>0.2255079389811846</v>
      </c>
      <c r="CA8" s="386"/>
      <c r="CB8" s="386">
        <f>[8]a29!CC11</f>
        <v>8.7191682019316E-2</v>
      </c>
      <c r="CC8" s="386"/>
      <c r="CD8" s="46">
        <f>BV8*'[8]4'!BL11+'[8]8'!AQ8*'[8]5'!S9+'[8]8'!AR8*'[8]6'!AT11+'[8]8'!AS8*'[8]7'!AK11</f>
        <v>0.2404249661681023</v>
      </c>
      <c r="CE8" s="386">
        <f>[8]a29!CF11</f>
        <v>0.26921744526025559</v>
      </c>
      <c r="CF8" s="386">
        <f>[8]a29!CH11</f>
        <v>0.4220138316388215</v>
      </c>
      <c r="CG8" s="386">
        <f>[8]a29!CJ11</f>
        <v>0.2359834338715599</v>
      </c>
      <c r="CH8" s="386">
        <f>[8]a29!CL11</f>
        <v>7.2785289229363045E-2</v>
      </c>
      <c r="CI8" s="46">
        <f>CE8*'[8]4'!BS11+'[8]8'!AV8*'[8]5'!U9+'[8]8'!AW8*'[8]6'!AY11+'[8]8'!AX8*'[8]7'!AO11</f>
        <v>0.31629976234341628</v>
      </c>
      <c r="CJ8" s="386">
        <f>[8]a29!CO11</f>
        <v>0.27626895415341551</v>
      </c>
      <c r="CK8" s="386">
        <f>[8]a29!CQ11</f>
        <v>0.42377270465685357</v>
      </c>
      <c r="CL8" s="386">
        <f>[8]a29!CS11</f>
        <v>0.21638220497229613</v>
      </c>
      <c r="CM8" s="386">
        <f>[8]a29!CU11</f>
        <v>8.3576136217434815E-2</v>
      </c>
      <c r="CN8" s="46">
        <f>CJ8*'[8]4'!BZ11+'[8]8'!BA8*'[8]5'!W9+'[8]8'!BB8*'[8]6'!BD11+'[8]8'!BC8*'[8]7'!AS11</f>
        <v>0.15117449342714373</v>
      </c>
    </row>
    <row r="9" spans="1:92" hidden="1">
      <c r="A9" s="2">
        <v>1975</v>
      </c>
      <c r="B9" s="386">
        <f>[8]a29!C12</f>
        <v>0.27575917827933472</v>
      </c>
      <c r="C9" s="386"/>
      <c r="D9" s="386">
        <f>[8]a29!E12</f>
        <v>0.42189930609362408</v>
      </c>
      <c r="E9" s="386"/>
      <c r="F9" s="386">
        <f>[8]a29!G12</f>
        <v>0.22260165875786797</v>
      </c>
      <c r="G9" s="386"/>
      <c r="H9" s="386">
        <f>[8]a29!I12</f>
        <v>7.9739856869173203E-2</v>
      </c>
      <c r="I9" s="386"/>
      <c r="J9" s="46">
        <f>B9*'[8]4'!H12+'[8]8'!C9*'[8]5'!C10+'[8]8'!D9*'[8]6'!F12+'[8]8'!E9*'[8]7'!E12</f>
        <v>0.31972443655324734</v>
      </c>
      <c r="K9" s="386">
        <f>[8]a29!L12</f>
        <v>0.26148144169005555</v>
      </c>
      <c r="L9" s="386"/>
      <c r="M9" s="386">
        <f>[8]a29!N12</f>
        <v>0.44100475982475018</v>
      </c>
      <c r="N9" s="386"/>
      <c r="O9" s="386">
        <f>[8]a29!P12</f>
        <v>0.23068329647835681</v>
      </c>
      <c r="P9" s="386"/>
      <c r="Q9" s="386">
        <f>[8]a29!R12</f>
        <v>6.6830502006837531E-2</v>
      </c>
      <c r="R9" s="386"/>
      <c r="S9" s="46">
        <f>K9*'[8]4'!O12+'[8]8'!H9*'[8]5'!E10+'[8]8'!I9*'[8]6'!K12+'[8]8'!J9*'[8]7'!I12</f>
        <v>0.17990466618550183</v>
      </c>
      <c r="T9" s="386">
        <f>[8]a29!U12</f>
        <v>0.26411240944833325</v>
      </c>
      <c r="U9" s="386"/>
      <c r="V9" s="386">
        <f>[8]a29!W12</f>
        <v>0.4399867712547213</v>
      </c>
      <c r="W9" s="386"/>
      <c r="X9" s="386">
        <f>[8]a29!Y12</f>
        <v>0.21766425479659235</v>
      </c>
      <c r="Y9" s="386"/>
      <c r="Z9" s="386">
        <f>[8]a29!AA12</f>
        <v>7.8236564500353198E-2</v>
      </c>
      <c r="AA9" s="386"/>
      <c r="AB9" s="46">
        <f>T9*'[8]4'!V12+'[8]8'!M9*'[8]5'!G10+'[8]8'!N9*'[8]6'!P12+'[8]8'!O9*'[8]7'!M12</f>
        <v>5.8131169297412723E-2</v>
      </c>
      <c r="AC9" s="386">
        <f>[8]a29!AD12</f>
        <v>0.27100091530098513</v>
      </c>
      <c r="AD9" s="386"/>
      <c r="AE9" s="386">
        <f>[8]a29!AF12</f>
        <v>0.43134905982817956</v>
      </c>
      <c r="AF9" s="386"/>
      <c r="AG9" s="386">
        <f>[8]a29!AH12</f>
        <v>0.21699713396277759</v>
      </c>
      <c r="AH9" s="386"/>
      <c r="AI9" s="386">
        <f>[8]a29!AJ12</f>
        <v>8.0652890908057703E-2</v>
      </c>
      <c r="AJ9" s="386"/>
      <c r="AK9" s="46">
        <f>AC9*'[8]4'!AC12+'[8]8'!R9*'[8]5'!I10+'[8]8'!S9*'[8]6'!U12+'[8]8'!T9*'[8]7'!Q12</f>
        <v>0.32566224951503087</v>
      </c>
      <c r="AL9" s="386">
        <f>[8]a29!AM12</f>
        <v>0.26961697353707187</v>
      </c>
      <c r="AM9" s="386"/>
      <c r="AN9" s="386">
        <f>[8]a29!AO12</f>
        <v>0.43384887060823019</v>
      </c>
      <c r="AO9" s="386"/>
      <c r="AP9" s="386">
        <f>[8]a29!AQ12</f>
        <v>0.22014376944284531</v>
      </c>
      <c r="AQ9" s="386"/>
      <c r="AR9" s="386">
        <f>[8]a29!AS12</f>
        <v>7.6390386411852626E-2</v>
      </c>
      <c r="AS9" s="386"/>
      <c r="AT9" s="46">
        <f>AL9*'[8]4'!AJ12+'[8]8'!W9*'[8]5'!K10+'[8]8'!X9*'[8]6'!Z12+'[8]8'!Y9*'[8]7'!U12</f>
        <v>0.29113451560424936</v>
      </c>
      <c r="AU9" s="386">
        <f>[8]a29!AV12</f>
        <v>0.2784058223588754</v>
      </c>
      <c r="AV9" s="386"/>
      <c r="AW9" s="386">
        <f>[8]a29!AX12</f>
        <v>0.41474532648529067</v>
      </c>
      <c r="AX9" s="386"/>
      <c r="AY9" s="386">
        <f>[8]a29!AZ12</f>
        <v>0.22975369069921764</v>
      </c>
      <c r="AZ9" s="386"/>
      <c r="BA9" s="386">
        <f>[8]a29!BB12</f>
        <v>7.7095160456616199E-2</v>
      </c>
      <c r="BB9" s="386"/>
      <c r="BC9" s="46">
        <f>AU9*'[8]4'!AQ12+'[8]8'!AB9*'[8]5'!M10+'[8]8'!AC9*'[8]6'!AE12+'[8]8'!AD9*'[8]7'!Y12</f>
        <v>0.33991324161545761</v>
      </c>
      <c r="BD9" s="386">
        <f>[8]a29!BE12</f>
        <v>0.27663047688550685</v>
      </c>
      <c r="BE9" s="386"/>
      <c r="BF9" s="386">
        <f>[8]a29!BG12</f>
        <v>0.42096037610585391</v>
      </c>
      <c r="BG9" s="386"/>
      <c r="BH9" s="386">
        <f>[8]a29!BI12</f>
        <v>0.2204771031412647</v>
      </c>
      <c r="BI9" s="386"/>
      <c r="BJ9" s="386">
        <f>[8]a29!BK12</f>
        <v>8.1932043867374571E-2</v>
      </c>
      <c r="BK9" s="386"/>
      <c r="BL9" s="46">
        <f>BD9*'[8]4'!AX12+'[8]8'!AG9*'[8]5'!O10+'[8]8'!AH9*'[8]6'!AJ12+'[8]8'!AI9*'[8]7'!AC12</f>
        <v>0.41049537606045899</v>
      </c>
      <c r="BM9" s="386">
        <f>[8]a29!BN12</f>
        <v>0.27447490419163117</v>
      </c>
      <c r="BN9" s="386"/>
      <c r="BO9" s="386">
        <f>[8]a29!BP12</f>
        <v>0.43320593781184769</v>
      </c>
      <c r="BP9" s="386"/>
      <c r="BQ9" s="386">
        <f>[8]a29!BR12</f>
        <v>0.20724888607126751</v>
      </c>
      <c r="BR9" s="386"/>
      <c r="BS9" s="386">
        <f>[8]a29!BT12</f>
        <v>8.5070271925253613E-2</v>
      </c>
      <c r="BT9" s="386"/>
      <c r="BU9" s="46">
        <f>BM9*'[8]4'!BE12+'[8]8'!AL9*'[8]5'!Q10+'[8]8'!AM9*'[8]6'!AO12+'[8]8'!AN9*'[8]7'!AG12</f>
        <v>0.34039954015533963</v>
      </c>
      <c r="BV9" s="386">
        <f>[8]a29!BW12</f>
        <v>0.26397034569778804</v>
      </c>
      <c r="BW9" s="386"/>
      <c r="BX9" s="386">
        <f>[8]a29!BY12</f>
        <v>0.42826500411510765</v>
      </c>
      <c r="BY9" s="386"/>
      <c r="BZ9" s="386">
        <f>[8]a29!CA12</f>
        <v>0.22080791690012427</v>
      </c>
      <c r="CA9" s="386"/>
      <c r="CB9" s="386">
        <f>[8]a29!CC12</f>
        <v>8.6956733286980073E-2</v>
      </c>
      <c r="CC9" s="386"/>
      <c r="CD9" s="46">
        <f>BV9*'[8]4'!BL12+'[8]8'!AQ9*'[8]5'!S10+'[8]8'!AR9*'[8]6'!AT12+'[8]8'!AS9*'[8]7'!AK12</f>
        <v>0.30392046711268716</v>
      </c>
      <c r="CE9" s="386">
        <f>[8]a29!CF12</f>
        <v>0.2745970411779361</v>
      </c>
      <c r="CF9" s="386">
        <f>[8]a29!CH12</f>
        <v>0.42485128385679433</v>
      </c>
      <c r="CG9" s="386">
        <f>[8]a29!CJ12</f>
        <v>0.22736677857349305</v>
      </c>
      <c r="CH9" s="386">
        <f>[8]a29!CL12</f>
        <v>7.318489639177643E-2</v>
      </c>
      <c r="CI9" s="46">
        <f>CE9*'[8]4'!BS12+'[8]8'!AV9*'[8]5'!U10+'[8]8'!AW9*'[8]6'!AY12+'[8]8'!AX9*'[8]7'!AO12</f>
        <v>0.33860213005941087</v>
      </c>
      <c r="CJ9" s="386">
        <f>[8]a29!CO12</f>
        <v>0.27863028718706012</v>
      </c>
      <c r="CK9" s="386">
        <f>[8]a29!CQ12</f>
        <v>0.42317791211670658</v>
      </c>
      <c r="CL9" s="386">
        <f>[8]a29!CS12</f>
        <v>0.21478970677915035</v>
      </c>
      <c r="CM9" s="386">
        <f>[8]a29!CU12</f>
        <v>8.3402093917082878E-2</v>
      </c>
      <c r="CN9" s="46">
        <f>CJ9*'[8]4'!BZ12+'[8]8'!BA9*'[8]5'!W10+'[8]8'!BB9*'[8]6'!BD12+'[8]8'!BC9*'[8]7'!AS12</f>
        <v>0.16634073778585651</v>
      </c>
    </row>
    <row r="10" spans="1:92" hidden="1">
      <c r="A10" s="2">
        <v>1976</v>
      </c>
      <c r="B10" s="386">
        <f>[8]a29!C13</f>
        <v>0.27985705969633135</v>
      </c>
      <c r="C10" s="386"/>
      <c r="D10" s="386">
        <f>[8]a29!E13</f>
        <v>0.42429160656646997</v>
      </c>
      <c r="E10" s="386"/>
      <c r="F10" s="386">
        <f>[8]a29!G13</f>
        <v>0.21552251858331364</v>
      </c>
      <c r="G10" s="386"/>
      <c r="H10" s="386">
        <f>[8]a29!I13</f>
        <v>8.0328815153885083E-2</v>
      </c>
      <c r="I10" s="386"/>
      <c r="J10" s="46">
        <f>B10*'[8]4'!H13+'[8]8'!C10*'[8]5'!C11+'[8]8'!D10*'[8]6'!F13+'[8]8'!E10*'[8]7'!E13</f>
        <v>0.30358084179495276</v>
      </c>
      <c r="K10" s="386">
        <f>[8]a29!L13</f>
        <v>0.26456429954578903</v>
      </c>
      <c r="L10" s="386"/>
      <c r="M10" s="386">
        <f>[8]a29!N13</f>
        <v>0.44106461987336693</v>
      </c>
      <c r="N10" s="386"/>
      <c r="O10" s="386">
        <f>[8]a29!P13</f>
        <v>0.2278743020983717</v>
      </c>
      <c r="P10" s="386"/>
      <c r="Q10" s="386">
        <f>[8]a29!R13</f>
        <v>6.6496778482472318E-2</v>
      </c>
      <c r="R10" s="386"/>
      <c r="S10" s="46">
        <f>K10*'[8]4'!O13+'[8]8'!H10*'[8]5'!E11+'[8]8'!I10*'[8]6'!K13+'[8]8'!J10*'[8]7'!I13</f>
        <v>-5.8704244156813967E-2</v>
      </c>
      <c r="T10" s="386">
        <f>[8]a29!U13</f>
        <v>0.26734233054633838</v>
      </c>
      <c r="U10" s="386"/>
      <c r="V10" s="386">
        <f>[8]a29!W13</f>
        <v>0.43983811487508201</v>
      </c>
      <c r="W10" s="386"/>
      <c r="X10" s="386">
        <f>[8]a29!Y13</f>
        <v>0.21514807377533365</v>
      </c>
      <c r="Y10" s="386"/>
      <c r="Z10" s="386">
        <f>[8]a29!AA13</f>
        <v>7.7671480803245915E-2</v>
      </c>
      <c r="AA10" s="386"/>
      <c r="AB10" s="46">
        <f>T10*'[8]4'!V13+'[8]8'!M10*'[8]5'!G11+'[8]8'!N10*'[8]6'!P13+'[8]8'!O10*'[8]7'!M13</f>
        <v>0.2281831317181319</v>
      </c>
      <c r="AC10" s="386">
        <f>[8]a29!AD13</f>
        <v>0.27397956035911181</v>
      </c>
      <c r="AD10" s="386"/>
      <c r="AE10" s="386">
        <f>[8]a29!AF13</f>
        <v>0.43191524290127997</v>
      </c>
      <c r="AF10" s="386"/>
      <c r="AG10" s="386">
        <f>[8]a29!AH13</f>
        <v>0.21400322965051</v>
      </c>
      <c r="AH10" s="386"/>
      <c r="AI10" s="386">
        <f>[8]a29!AJ13</f>
        <v>8.0101967089098239E-2</v>
      </c>
      <c r="AJ10" s="386"/>
      <c r="AK10" s="46">
        <f>AC10*'[8]4'!AC13+'[8]8'!R10*'[8]5'!I11+'[8]8'!S10*'[8]6'!U13+'[8]8'!T10*'[8]7'!Q13</f>
        <v>0.27453720724654468</v>
      </c>
      <c r="AL10" s="386">
        <f>[8]a29!AM13</f>
        <v>0.27308920459107527</v>
      </c>
      <c r="AM10" s="386"/>
      <c r="AN10" s="386">
        <f>[8]a29!AO13</f>
        <v>0.43506967143416042</v>
      </c>
      <c r="AO10" s="386"/>
      <c r="AP10" s="386">
        <f>[8]a29!AQ13</f>
        <v>0.21596040080920387</v>
      </c>
      <c r="AQ10" s="386"/>
      <c r="AR10" s="386">
        <f>[8]a29!AS13</f>
        <v>7.5880723165560479E-2</v>
      </c>
      <c r="AS10" s="386"/>
      <c r="AT10" s="46">
        <f>AL10*'[8]4'!AJ13+'[8]8'!W10*'[8]5'!K11+'[8]8'!X10*'[8]6'!Z13+'[8]8'!Y10*'[8]7'!U13</f>
        <v>0.31762419431270139</v>
      </c>
      <c r="AU10" s="386">
        <f>[8]a29!AV13</f>
        <v>0.28210677053737526</v>
      </c>
      <c r="AV10" s="386"/>
      <c r="AW10" s="386">
        <f>[8]a29!AX13</f>
        <v>0.41652856720295534</v>
      </c>
      <c r="AX10" s="386"/>
      <c r="AY10" s="386">
        <f>[8]a29!AZ13</f>
        <v>0.22353694502943117</v>
      </c>
      <c r="AZ10" s="386"/>
      <c r="BA10" s="386">
        <f>[8]a29!BB13</f>
        <v>7.7827717230238264E-2</v>
      </c>
      <c r="BB10" s="386"/>
      <c r="BC10" s="46">
        <f>AU10*'[8]4'!AQ13+'[8]8'!AB10*'[8]5'!M11+'[8]8'!AC10*'[8]6'!AE13+'[8]8'!AD10*'[8]7'!Y13</f>
        <v>0.37405035055199992</v>
      </c>
      <c r="BD10" s="386">
        <f>[8]a29!BE13</f>
        <v>0.28065395961472123</v>
      </c>
      <c r="BE10" s="386"/>
      <c r="BF10" s="386">
        <f>[8]a29!BG13</f>
        <v>0.42338248526238165</v>
      </c>
      <c r="BG10" s="386"/>
      <c r="BH10" s="386">
        <f>[8]a29!BI13</f>
        <v>0.21314140943541571</v>
      </c>
      <c r="BI10" s="386"/>
      <c r="BJ10" s="386">
        <f>[8]a29!BK13</f>
        <v>8.2822145687481571E-2</v>
      </c>
      <c r="BK10" s="386"/>
      <c r="BL10" s="46">
        <f>BD10*'[8]4'!AX13+'[8]8'!AG10*'[8]5'!O11+'[8]8'!AH10*'[8]6'!AJ13+'[8]8'!AI10*'[8]7'!AC13</f>
        <v>0.40174147710572522</v>
      </c>
      <c r="BM10" s="386">
        <f>[8]a29!BN13</f>
        <v>0.27731564081467669</v>
      </c>
      <c r="BN10" s="386"/>
      <c r="BO10" s="386">
        <f>[8]a29!BP13</f>
        <v>0.43451535712595984</v>
      </c>
      <c r="BP10" s="386"/>
      <c r="BQ10" s="386">
        <f>[8]a29!BR13</f>
        <v>0.20326532885788276</v>
      </c>
      <c r="BR10" s="386"/>
      <c r="BS10" s="386">
        <f>[8]a29!BT13</f>
        <v>8.4903673201480512E-2</v>
      </c>
      <c r="BT10" s="386"/>
      <c r="BU10" s="46">
        <f>BM10*'[8]4'!BE13+'[8]8'!AL10*'[8]5'!Q11+'[8]8'!AM10*'[8]6'!AO13+'[8]8'!AN10*'[8]7'!AG13</f>
        <v>0.34414526901657072</v>
      </c>
      <c r="BV10" s="386">
        <f>[8]a29!BW13</f>
        <v>0.26782690043170559</v>
      </c>
      <c r="BW10" s="386"/>
      <c r="BX10" s="386">
        <f>[8]a29!BY13</f>
        <v>0.43057205228948364</v>
      </c>
      <c r="BY10" s="386"/>
      <c r="BZ10" s="386">
        <f>[8]a29!CA13</f>
        <v>0.21528919518357295</v>
      </c>
      <c r="CA10" s="386"/>
      <c r="CB10" s="386">
        <f>[8]a29!CC13</f>
        <v>8.6311852095237826E-2</v>
      </c>
      <c r="CC10" s="386"/>
      <c r="CD10" s="46">
        <f>BV10*'[8]4'!BL13+'[8]8'!AQ10*'[8]5'!S11+'[8]8'!AR10*'[8]6'!AT13+'[8]8'!AS10*'[8]7'!AK13</f>
        <v>0.27615835550418866</v>
      </c>
      <c r="CE10" s="386">
        <f>[8]a29!CF13</f>
        <v>0.27996877689142446</v>
      </c>
      <c r="CF10" s="386">
        <f>[8]a29!CH13</f>
        <v>0.4280720572009804</v>
      </c>
      <c r="CG10" s="386">
        <f>[8]a29!CJ13</f>
        <v>0.21848621162980914</v>
      </c>
      <c r="CH10" s="386">
        <f>[8]a29!CL13</f>
        <v>7.3472954277786051E-2</v>
      </c>
      <c r="CI10" s="46">
        <f>CE10*'[8]4'!BS13+'[8]8'!AV10*'[8]5'!U11+'[8]8'!AW10*'[8]6'!AY13+'[8]8'!AX10*'[8]7'!AO13</f>
        <v>0.3533479269387681</v>
      </c>
      <c r="CJ10" s="386">
        <f>[8]a29!CO13</f>
        <v>0.28459807825062006</v>
      </c>
      <c r="CK10" s="386">
        <f>[8]a29!CQ13</f>
        <v>0.4284784244953635</v>
      </c>
      <c r="CL10" s="386">
        <f>[8]a29!CS13</f>
        <v>0.20224045092756601</v>
      </c>
      <c r="CM10" s="386">
        <f>[8]a29!CU13</f>
        <v>8.4683046326450448E-2</v>
      </c>
      <c r="CN10" s="46">
        <f>CJ10*'[8]4'!BZ13+'[8]8'!BA10*'[8]5'!W11+'[8]8'!BB10*'[8]6'!BD13+'[8]8'!BC10*'[8]7'!AS13</f>
        <v>9.1221035052811469E-2</v>
      </c>
    </row>
    <row r="11" spans="1:92" hidden="1">
      <c r="A11" s="2">
        <v>1977</v>
      </c>
      <c r="B11" s="386">
        <f>[8]a29!C14</f>
        <v>0.28362083168909269</v>
      </c>
      <c r="C11" s="386"/>
      <c r="D11" s="386">
        <f>[8]a29!E14</f>
        <v>0.4266767175303266</v>
      </c>
      <c r="E11" s="386"/>
      <c r="F11" s="386">
        <f>[8]a29!G14</f>
        <v>0.20877860602655771</v>
      </c>
      <c r="G11" s="386"/>
      <c r="H11" s="386">
        <f>[8]a29!I14</f>
        <v>8.0923844754022964E-2</v>
      </c>
      <c r="I11" s="386"/>
      <c r="J11" s="46">
        <f>B11*'[8]4'!H14+'[8]8'!C11*'[8]5'!C12+'[8]8'!D11*'[8]6'!F14+'[8]8'!E11*'[8]7'!E14</f>
        <v>0.2644730035253145</v>
      </c>
      <c r="K11" s="386">
        <f>[8]a29!L14</f>
        <v>0.2665429113677889</v>
      </c>
      <c r="L11" s="386"/>
      <c r="M11" s="386">
        <f>[8]a29!N14</f>
        <v>0.44066020868416439</v>
      </c>
      <c r="N11" s="386"/>
      <c r="O11" s="386">
        <f>[8]a29!P14</f>
        <v>0.22624339100936533</v>
      </c>
      <c r="P11" s="386"/>
      <c r="Q11" s="386">
        <f>[8]a29!R14</f>
        <v>6.655348893868139E-2</v>
      </c>
      <c r="R11" s="386"/>
      <c r="S11" s="46">
        <f>K11*'[8]4'!O14+'[8]8'!H11*'[8]5'!E12+'[8]8'!I11*'[8]6'!K14+'[8]8'!J11*'[8]7'!I14</f>
        <v>-0.32674900826052178</v>
      </c>
      <c r="T11" s="386">
        <f>[8]a29!U14</f>
        <v>0.26966290994848269</v>
      </c>
      <c r="U11" s="386"/>
      <c r="V11" s="386">
        <f>[8]a29!W14</f>
        <v>0.4407515011850312</v>
      </c>
      <c r="W11" s="386"/>
      <c r="X11" s="386">
        <f>[8]a29!Y14</f>
        <v>0.21220594207130689</v>
      </c>
      <c r="Y11" s="386"/>
      <c r="Z11" s="386">
        <f>[8]a29!AA14</f>
        <v>7.7379646795179266E-2</v>
      </c>
      <c r="AA11" s="386"/>
      <c r="AB11" s="46">
        <f>T11*'[8]4'!V14+'[8]8'!M11*'[8]5'!G12+'[8]8'!N11*'[8]6'!P14+'[8]8'!O11*'[8]7'!M14</f>
        <v>0.26560193179546793</v>
      </c>
      <c r="AC11" s="386">
        <f>[8]a29!AD14</f>
        <v>0.27635444983038054</v>
      </c>
      <c r="AD11" s="386"/>
      <c r="AE11" s="386">
        <f>[8]a29!AF14</f>
        <v>0.43191788597309017</v>
      </c>
      <c r="AF11" s="386"/>
      <c r="AG11" s="386">
        <f>[8]a29!AH14</f>
        <v>0.21168690110679497</v>
      </c>
      <c r="AH11" s="386"/>
      <c r="AI11" s="386">
        <f>[8]a29!AJ14</f>
        <v>8.0040763089734346E-2</v>
      </c>
      <c r="AJ11" s="386"/>
      <c r="AK11" s="46">
        <f>AC11*'[8]4'!AC14+'[8]8'!R11*'[8]5'!I12+'[8]8'!S11*'[8]6'!U14+'[8]8'!T11*'[8]7'!Q14</f>
        <v>0.35205778876323379</v>
      </c>
      <c r="AL11" s="386">
        <f>[8]a29!AM14</f>
        <v>0.27541862672381218</v>
      </c>
      <c r="AM11" s="386"/>
      <c r="AN11" s="386">
        <f>[8]a29!AO14</f>
        <v>0.43540105092438869</v>
      </c>
      <c r="AO11" s="386"/>
      <c r="AP11" s="386">
        <f>[8]a29!AQ14</f>
        <v>0.21330481418166386</v>
      </c>
      <c r="AQ11" s="386"/>
      <c r="AR11" s="386">
        <f>[8]a29!AS14</f>
        <v>7.5875508170135275E-2</v>
      </c>
      <c r="AS11" s="386"/>
      <c r="AT11" s="46">
        <f>AL11*'[8]4'!AJ14+'[8]8'!W11*'[8]5'!K12+'[8]8'!X11*'[8]6'!Z14+'[8]8'!Y11*'[8]7'!U14</f>
        <v>0.27935029077880102</v>
      </c>
      <c r="AU11" s="386">
        <f>[8]a29!AV14</f>
        <v>0.28514764591809577</v>
      </c>
      <c r="AV11" s="386"/>
      <c r="AW11" s="386">
        <f>[8]a29!AX14</f>
        <v>0.41783385827040287</v>
      </c>
      <c r="AX11" s="386"/>
      <c r="AY11" s="386">
        <f>[8]a29!AZ14</f>
        <v>0.21828829890844242</v>
      </c>
      <c r="AZ11" s="386"/>
      <c r="BA11" s="386">
        <f>[8]a29!BB14</f>
        <v>7.8730196903058949E-2</v>
      </c>
      <c r="BB11" s="386"/>
      <c r="BC11" s="46">
        <f>AU11*'[8]4'!AQ14+'[8]8'!AB11*'[8]5'!M12+'[8]8'!AC11*'[8]6'!AE14+'[8]8'!AD11*'[8]7'!Y14</f>
        <v>0.37657743832417884</v>
      </c>
      <c r="BD11" s="386">
        <f>[8]a29!BE14</f>
        <v>0.28435675949631267</v>
      </c>
      <c r="BE11" s="386"/>
      <c r="BF11" s="386">
        <f>[8]a29!BG14</f>
        <v>0.4259715303573095</v>
      </c>
      <c r="BG11" s="386"/>
      <c r="BH11" s="386">
        <f>[8]a29!BI14</f>
        <v>0.20599011350091614</v>
      </c>
      <c r="BI11" s="386"/>
      <c r="BJ11" s="386">
        <f>[8]a29!BK14</f>
        <v>8.3681596645461681E-2</v>
      </c>
      <c r="BK11" s="386"/>
      <c r="BL11" s="46">
        <f>BD11*'[8]4'!AX14+'[8]8'!AG11*'[8]5'!O12+'[8]8'!AH11*'[8]6'!AJ14+'[8]8'!AI11*'[8]7'!AC14</f>
        <v>0.35192820265680863</v>
      </c>
      <c r="BM11" s="386">
        <f>[8]a29!BN14</f>
        <v>0.2797542739977199</v>
      </c>
      <c r="BN11" s="386"/>
      <c r="BO11" s="386">
        <f>[8]a29!BP14</f>
        <v>0.43612286238368086</v>
      </c>
      <c r="BP11" s="386"/>
      <c r="BQ11" s="386">
        <f>[8]a29!BR14</f>
        <v>0.19940812105717692</v>
      </c>
      <c r="BR11" s="386"/>
      <c r="BS11" s="386">
        <f>[8]a29!BT14</f>
        <v>8.4714742561422265E-2</v>
      </c>
      <c r="BT11" s="386"/>
      <c r="BU11" s="46">
        <f>BM11*'[8]4'!BE14+'[8]8'!AL11*'[8]5'!Q12+'[8]8'!AM11*'[8]6'!AO14+'[8]8'!AN11*'[8]7'!AG14</f>
        <v>0.28202618478410257</v>
      </c>
      <c r="BV11" s="386">
        <f>[8]a29!BW14</f>
        <v>0.27102918417284194</v>
      </c>
      <c r="BW11" s="386"/>
      <c r="BX11" s="386">
        <f>[8]a29!BY14</f>
        <v>0.43316007780528792</v>
      </c>
      <c r="BY11" s="386"/>
      <c r="BZ11" s="386">
        <f>[8]a29!CA14</f>
        <v>0.21009528968242672</v>
      </c>
      <c r="CA11" s="386"/>
      <c r="CB11" s="386">
        <f>[8]a29!CC14</f>
        <v>8.5715448339443376E-2</v>
      </c>
      <c r="CC11" s="386"/>
      <c r="CD11" s="46">
        <f>BV11*'[8]4'!BL14+'[8]8'!AQ11*'[8]5'!S12+'[8]8'!AR11*'[8]6'!AT14+'[8]8'!AS11*'[8]7'!AK14</f>
        <v>0.17611678223193744</v>
      </c>
      <c r="CE11" s="386">
        <f>[8]a29!CF14</f>
        <v>0.28675180505528086</v>
      </c>
      <c r="CF11" s="386">
        <f>[8]a29!CH14</f>
        <v>0.43189461845060195</v>
      </c>
      <c r="CG11" s="386">
        <f>[8]a29!CJ14</f>
        <v>0.20823588654814704</v>
      </c>
      <c r="CH11" s="386">
        <f>[8]a29!CL14</f>
        <v>7.3117689945970218E-2</v>
      </c>
      <c r="CI11" s="46">
        <f>CE11*'[8]4'!BS14+'[8]8'!AV11*'[8]5'!U12+'[8]8'!AW11*'[8]6'!AY14+'[8]8'!AX11*'[8]7'!AO14</f>
        <v>0.35710356947428118</v>
      </c>
      <c r="CJ11" s="386">
        <f>[8]a29!CO14</f>
        <v>0.29031875154351905</v>
      </c>
      <c r="CK11" s="386">
        <f>[8]a29!CQ14</f>
        <v>0.43415262559402917</v>
      </c>
      <c r="CL11" s="386">
        <f>[8]a29!CS14</f>
        <v>0.18976998775961623</v>
      </c>
      <c r="CM11" s="386">
        <f>[8]a29!CU14</f>
        <v>8.5758635102835601E-2</v>
      </c>
      <c r="CN11" s="46">
        <f>CJ11*'[8]4'!BZ14+'[8]8'!BA11*'[8]5'!W12+'[8]8'!BB11*'[8]6'!BD14+'[8]8'!BC11*'[8]7'!AS14</f>
        <v>4.1115247130035046E-2</v>
      </c>
    </row>
    <row r="12" spans="1:92" hidden="1">
      <c r="A12" s="2">
        <v>1978</v>
      </c>
      <c r="B12" s="386">
        <f>[8]a29!C15</f>
        <v>0.28662579836149588</v>
      </c>
      <c r="C12" s="386"/>
      <c r="D12" s="386">
        <f>[8]a29!E15</f>
        <v>0.42783625661915103</v>
      </c>
      <c r="E12" s="386"/>
      <c r="F12" s="386">
        <f>[8]a29!G15</f>
        <v>0.20421615713817404</v>
      </c>
      <c r="G12" s="386"/>
      <c r="H12" s="386">
        <f>[8]a29!I15</f>
        <v>8.1321787881178997E-2</v>
      </c>
      <c r="I12" s="386"/>
      <c r="J12" s="46">
        <f>B12*'[8]4'!H15+'[8]8'!C12*'[8]5'!C13+'[8]8'!D12*'[8]6'!F15+'[8]8'!E12*'[8]7'!E15</f>
        <v>0.2609058206205912</v>
      </c>
      <c r="K12" s="386">
        <f>[8]a29!L15</f>
        <v>0.26692693203861978</v>
      </c>
      <c r="L12" s="386"/>
      <c r="M12" s="386">
        <f>[8]a29!N15</f>
        <v>0.43742471456459264</v>
      </c>
      <c r="N12" s="386"/>
      <c r="O12" s="386">
        <f>[8]a29!P15</f>
        <v>0.22926797791723927</v>
      </c>
      <c r="P12" s="386"/>
      <c r="Q12" s="386">
        <f>[8]a29!R15</f>
        <v>6.6380375479548448E-2</v>
      </c>
      <c r="R12" s="386"/>
      <c r="S12" s="46">
        <f>K12*'[8]4'!O15+'[8]8'!H12*'[8]5'!E13+'[8]8'!I12*'[8]6'!K15+'[8]8'!J12*'[8]7'!I15</f>
        <v>-0.43437507954720794</v>
      </c>
      <c r="T12" s="386">
        <f>[8]a29!U15</f>
        <v>0.27199326264216483</v>
      </c>
      <c r="U12" s="386"/>
      <c r="V12" s="386">
        <f>[8]a29!W15</f>
        <v>0.44009661897595748</v>
      </c>
      <c r="W12" s="386"/>
      <c r="X12" s="386">
        <f>[8]a29!Y15</f>
        <v>0.21129077010558625</v>
      </c>
      <c r="Y12" s="386"/>
      <c r="Z12" s="386">
        <f>[8]a29!AA15</f>
        <v>7.6619348276291466E-2</v>
      </c>
      <c r="AA12" s="386"/>
      <c r="AB12" s="46">
        <f>T12*'[8]4'!V15+'[8]8'!M12*'[8]5'!G13+'[8]8'!N12*'[8]6'!P15+'[8]8'!O12*'[8]7'!M15</f>
        <v>0.17971604033414618</v>
      </c>
      <c r="AC12" s="386">
        <f>[8]a29!AD15</f>
        <v>0.2786440932358985</v>
      </c>
      <c r="AD12" s="386"/>
      <c r="AE12" s="386">
        <f>[8]a29!AF15</f>
        <v>0.43180746313804025</v>
      </c>
      <c r="AF12" s="386"/>
      <c r="AG12" s="386">
        <f>[8]a29!AH15</f>
        <v>0.2096735550005179</v>
      </c>
      <c r="AH12" s="386"/>
      <c r="AI12" s="386">
        <f>[8]a29!AJ15</f>
        <v>7.9874888625543428E-2</v>
      </c>
      <c r="AJ12" s="386"/>
      <c r="AK12" s="46">
        <f>AC12*'[8]4'!AC15+'[8]8'!R12*'[8]5'!I13+'[8]8'!S12*'[8]6'!U15+'[8]8'!T12*'[8]7'!Q15</f>
        <v>0.35608119371571439</v>
      </c>
      <c r="AL12" s="386">
        <f>[8]a29!AM15</f>
        <v>0.27664096180777481</v>
      </c>
      <c r="AM12" s="386"/>
      <c r="AN12" s="386">
        <f>[8]a29!AO15</f>
        <v>0.43357902224411915</v>
      </c>
      <c r="AO12" s="386"/>
      <c r="AP12" s="386">
        <f>[8]a29!AQ15</f>
        <v>0.21429940552904297</v>
      </c>
      <c r="AQ12" s="386"/>
      <c r="AR12" s="386">
        <f>[8]a29!AS15</f>
        <v>7.5480610419063024E-2</v>
      </c>
      <c r="AS12" s="386"/>
      <c r="AT12" s="46">
        <f>AL12*'[8]4'!AJ15+'[8]8'!W12*'[8]5'!K13+'[8]8'!X12*'[8]6'!Z15+'[8]8'!Y12*'[8]7'!U15</f>
        <v>0.23411204631859889</v>
      </c>
      <c r="AU12" s="386">
        <f>[8]a29!AV15</f>
        <v>0.29016526562507167</v>
      </c>
      <c r="AV12" s="386"/>
      <c r="AW12" s="386">
        <f>[8]a29!AX15</f>
        <v>0.42200696271773525</v>
      </c>
      <c r="AX12" s="386"/>
      <c r="AY12" s="386">
        <f>[8]a29!AZ15</f>
        <v>0.20764537213277279</v>
      </c>
      <c r="AZ12" s="386"/>
      <c r="BA12" s="386">
        <f>[8]a29!BB15</f>
        <v>8.0182399524420314E-2</v>
      </c>
      <c r="BB12" s="386"/>
      <c r="BC12" s="46">
        <f>AU12*'[8]4'!AQ15+'[8]8'!AB12*'[8]5'!M13+'[8]8'!AC12*'[8]6'!AE15+'[8]8'!AD12*'[8]7'!Y15</f>
        <v>0.38057643007914893</v>
      </c>
      <c r="BD12" s="386">
        <f>[8]a29!BE15</f>
        <v>0.28690079887864733</v>
      </c>
      <c r="BE12" s="386"/>
      <c r="BF12" s="386">
        <f>[8]a29!BG15</f>
        <v>0.42652468969261786</v>
      </c>
      <c r="BG12" s="386"/>
      <c r="BH12" s="386">
        <f>[8]a29!BI15</f>
        <v>0.20237379745837039</v>
      </c>
      <c r="BI12" s="386"/>
      <c r="BJ12" s="386">
        <f>[8]a29!BK15</f>
        <v>8.4200713970364341E-2</v>
      </c>
      <c r="BK12" s="386"/>
      <c r="BL12" s="46">
        <f>BD12*'[8]4'!AX15+'[8]8'!AG12*'[8]5'!O13+'[8]8'!AH12*'[8]6'!AJ15+'[8]8'!AI12*'[8]7'!AC15</f>
        <v>0.32751263069185987</v>
      </c>
      <c r="BM12" s="386">
        <f>[8]a29!BN15</f>
        <v>0.28116533580569514</v>
      </c>
      <c r="BN12" s="386"/>
      <c r="BO12" s="386">
        <f>[8]a29!BP15</f>
        <v>0.43596960580405802</v>
      </c>
      <c r="BP12" s="386"/>
      <c r="BQ12" s="386">
        <f>[8]a29!BR15</f>
        <v>0.19846286878840758</v>
      </c>
      <c r="BR12" s="386"/>
      <c r="BS12" s="386">
        <f>[8]a29!BT15</f>
        <v>8.4402189601839164E-2</v>
      </c>
      <c r="BT12" s="386"/>
      <c r="BU12" s="46">
        <f>BM12*'[8]4'!BE15+'[8]8'!AL12*'[8]5'!Q13+'[8]8'!AM12*'[8]6'!AO15+'[8]8'!AN12*'[8]7'!AG15</f>
        <v>0.32965304721588823</v>
      </c>
      <c r="BV12" s="386">
        <f>[8]a29!BW15</f>
        <v>0.27177471005761628</v>
      </c>
      <c r="BW12" s="386"/>
      <c r="BX12" s="386">
        <f>[8]a29!BY15</f>
        <v>0.43172270135141272</v>
      </c>
      <c r="BY12" s="386"/>
      <c r="BZ12" s="386">
        <f>[8]a29!CA15</f>
        <v>0.21171846121998186</v>
      </c>
      <c r="CA12" s="386"/>
      <c r="CB12" s="386">
        <f>[8]a29!CC15</f>
        <v>8.4784127370989032E-2</v>
      </c>
      <c r="CC12" s="386"/>
      <c r="CD12" s="46">
        <f>BV12*'[8]4'!BL15+'[8]8'!AQ12*'[8]5'!S13+'[8]8'!AR12*'[8]6'!AT15+'[8]8'!AS12*'[8]7'!AK15</f>
        <v>0.28388582988145233</v>
      </c>
      <c r="CE12" s="386">
        <f>[8]a29!CF15</f>
        <v>0.29066835731460372</v>
      </c>
      <c r="CF12" s="386">
        <f>[8]a29!CH15</f>
        <v>0.43256802326327848</v>
      </c>
      <c r="CG12" s="386">
        <f>[8]a29!CJ15</f>
        <v>0.20433343177212301</v>
      </c>
      <c r="CH12" s="386">
        <f>[8]a29!CL15</f>
        <v>7.2430187649994815E-2</v>
      </c>
      <c r="CI12" s="46">
        <f>CE12*'[8]4'!BS15+'[8]8'!AV12*'[8]5'!U13+'[8]8'!AW12*'[8]6'!AY15+'[8]8'!AX12*'[8]7'!AO15</f>
        <v>0.38492094118067899</v>
      </c>
      <c r="CJ12" s="386">
        <f>[8]a29!CO15</f>
        <v>0.29193690381163073</v>
      </c>
      <c r="CK12" s="386">
        <f>[8]a29!CQ15</f>
        <v>0.43348887350166154</v>
      </c>
      <c r="CL12" s="386">
        <f>[8]a29!CS15</f>
        <v>0.18922527269913847</v>
      </c>
      <c r="CM12" s="386">
        <f>[8]a29!CU15</f>
        <v>8.5348949987569284E-2</v>
      </c>
      <c r="CN12" s="46">
        <f>CJ12*'[8]4'!BZ15+'[8]8'!BA12*'[8]5'!W13+'[8]8'!BB12*'[8]6'!BD15+'[8]8'!BC12*'[8]7'!AS15</f>
        <v>9.8012633901558288E-2</v>
      </c>
    </row>
    <row r="13" spans="1:92" hidden="1">
      <c r="A13" s="2">
        <v>1979</v>
      </c>
      <c r="B13" s="386">
        <f>[8]a29!C16</f>
        <v>0.28916684375277485</v>
      </c>
      <c r="C13" s="386"/>
      <c r="D13" s="386">
        <f>[8]a29!E16</f>
        <v>0.42866081094838154</v>
      </c>
      <c r="E13" s="386"/>
      <c r="F13" s="386">
        <f>[8]a29!G16</f>
        <v>0.20081804649108151</v>
      </c>
      <c r="G13" s="386"/>
      <c r="H13" s="386">
        <f>[8]a29!I16</f>
        <v>8.1354298807762127E-2</v>
      </c>
      <c r="I13" s="386"/>
      <c r="J13" s="46">
        <f>B13*'[8]4'!H16+'[8]8'!C13*'[8]5'!C14+'[8]8'!D13*'[8]6'!F16+'[8]8'!E13*'[8]7'!E16</f>
        <v>0.26173011402013435</v>
      </c>
      <c r="K13" s="386">
        <f>[8]a29!L16</f>
        <v>0.26901002500495258</v>
      </c>
      <c r="L13" s="386"/>
      <c r="M13" s="386">
        <f>[8]a29!N16</f>
        <v>0.43621071888577045</v>
      </c>
      <c r="N13" s="386"/>
      <c r="O13" s="386">
        <f>[8]a29!P16</f>
        <v>0.22869163823232858</v>
      </c>
      <c r="P13" s="386"/>
      <c r="Q13" s="386">
        <f>[8]a29!R16</f>
        <v>6.6087617876948362E-2</v>
      </c>
      <c r="R13" s="386"/>
      <c r="S13" s="46">
        <f>K13*'[8]4'!O16+'[8]8'!H13*'[8]5'!E14+'[8]8'!I13*'[8]6'!K16+'[8]8'!J13*'[8]7'!I16</f>
        <v>-0.420810199386215</v>
      </c>
      <c r="T13" s="386">
        <f>[8]a29!U16</f>
        <v>0.27700475797185459</v>
      </c>
      <c r="U13" s="386"/>
      <c r="V13" s="386">
        <f>[8]a29!W16</f>
        <v>0.44353504069440586</v>
      </c>
      <c r="W13" s="386"/>
      <c r="X13" s="386">
        <f>[8]a29!Y16</f>
        <v>0.20287884505780748</v>
      </c>
      <c r="Y13" s="386"/>
      <c r="Z13" s="386">
        <f>[8]a29!AA16</f>
        <v>7.6581356275932114E-2</v>
      </c>
      <c r="AA13" s="386"/>
      <c r="AB13" s="46">
        <f>T13*'[8]4'!V16+'[8]8'!M13*'[8]5'!G14+'[8]8'!N13*'[8]6'!P16+'[8]8'!O13*'[8]7'!M16</f>
        <v>-0.18199586461340336</v>
      </c>
      <c r="AC13" s="386">
        <f>[8]a29!AD16</f>
        <v>0.28268869677577801</v>
      </c>
      <c r="AD13" s="386"/>
      <c r="AE13" s="386">
        <f>[8]a29!AF16</f>
        <v>0.43447305795257091</v>
      </c>
      <c r="AF13" s="386"/>
      <c r="AG13" s="386">
        <f>[8]a29!AH16</f>
        <v>0.20290916764753741</v>
      </c>
      <c r="AH13" s="386"/>
      <c r="AI13" s="386">
        <f>[8]a29!AJ16</f>
        <v>7.9929077624113692E-2</v>
      </c>
      <c r="AJ13" s="386"/>
      <c r="AK13" s="46">
        <f>AC13*'[8]4'!AC16+'[8]8'!R13*'[8]5'!I14+'[8]8'!S13*'[8]6'!U16+'[8]8'!T13*'[8]7'!Q16</f>
        <v>0.30569597665130921</v>
      </c>
      <c r="AL13" s="386">
        <f>[8]a29!AM16</f>
        <v>0.2810169612035765</v>
      </c>
      <c r="AM13" s="386"/>
      <c r="AN13" s="386">
        <f>[8]a29!AO16</f>
        <v>0.43647374680673451</v>
      </c>
      <c r="AO13" s="386"/>
      <c r="AP13" s="386">
        <f>[8]a29!AQ16</f>
        <v>0.20689039008594678</v>
      </c>
      <c r="AQ13" s="386"/>
      <c r="AR13" s="386">
        <f>[8]a29!AS16</f>
        <v>7.5618901903742181E-2</v>
      </c>
      <c r="AS13" s="386"/>
      <c r="AT13" s="46">
        <f>AL13*'[8]4'!AJ16+'[8]8'!W13*'[8]5'!K14+'[8]8'!X13*'[8]6'!Z16+'[8]8'!Y13*'[8]7'!U16</f>
        <v>0.13533077525048071</v>
      </c>
      <c r="AU13" s="386">
        <f>[8]a29!AV16</f>
        <v>0.2910251853000303</v>
      </c>
      <c r="AV13" s="386"/>
      <c r="AW13" s="386">
        <f>[8]a29!AX16</f>
        <v>0.42057615577779639</v>
      </c>
      <c r="AX13" s="386"/>
      <c r="AY13" s="386">
        <f>[8]a29!AZ16</f>
        <v>0.20830320204927813</v>
      </c>
      <c r="AZ13" s="386"/>
      <c r="BA13" s="386">
        <f>[8]a29!BB16</f>
        <v>8.0095456872895265E-2</v>
      </c>
      <c r="BB13" s="386"/>
      <c r="BC13" s="46">
        <f>AU13*'[8]4'!AQ16+'[8]8'!AB13*'[8]5'!M14+'[8]8'!AC13*'[8]6'!AE16+'[8]8'!AD13*'[8]7'!Y16</f>
        <v>0.42127754199802014</v>
      </c>
      <c r="BD13" s="386">
        <f>[8]a29!BE16</f>
        <v>0.2898007522440359</v>
      </c>
      <c r="BE13" s="386"/>
      <c r="BF13" s="386">
        <f>[8]a29!BG16</f>
        <v>0.42776256580539318</v>
      </c>
      <c r="BG13" s="386"/>
      <c r="BH13" s="386">
        <f>[8]a29!BI16</f>
        <v>0.19777138988383489</v>
      </c>
      <c r="BI13" s="386"/>
      <c r="BJ13" s="386">
        <f>[8]a29!BK16</f>
        <v>8.466529206673605E-2</v>
      </c>
      <c r="BK13" s="386"/>
      <c r="BL13" s="46">
        <f>BD13*'[8]4'!AX16+'[8]8'!AG13*'[8]5'!O14+'[8]8'!AH13*'[8]6'!AJ16+'[8]8'!AI13*'[8]7'!AC16</f>
        <v>0.30141346899455412</v>
      </c>
      <c r="BM13" s="386">
        <f>[8]a29!BN16</f>
        <v>0.28285041999023458</v>
      </c>
      <c r="BN13" s="386"/>
      <c r="BO13" s="386">
        <f>[8]a29!BP16</f>
        <v>0.43668339580387816</v>
      </c>
      <c r="BP13" s="386"/>
      <c r="BQ13" s="386">
        <f>[8]a29!BR16</f>
        <v>0.19618084894745025</v>
      </c>
      <c r="BR13" s="386"/>
      <c r="BS13" s="386">
        <f>[8]a29!BT16</f>
        <v>8.4285335258436997E-2</v>
      </c>
      <c r="BT13" s="386"/>
      <c r="BU13" s="46">
        <f>BM13*'[8]4'!BE16+'[8]8'!AL13*'[8]5'!Q14+'[8]8'!AM13*'[8]6'!AO16+'[8]8'!AN13*'[8]7'!AG16</f>
        <v>0.30104879418638963</v>
      </c>
      <c r="BV13" s="386">
        <f>[8]a29!BW16</f>
        <v>0.27380332110316447</v>
      </c>
      <c r="BW13" s="386"/>
      <c r="BX13" s="386">
        <f>[8]a29!BY16</f>
        <v>0.43305172311402784</v>
      </c>
      <c r="BY13" s="386"/>
      <c r="BZ13" s="386">
        <f>[8]a29!CA16</f>
        <v>0.20909667404961013</v>
      </c>
      <c r="CA13" s="386"/>
      <c r="CB13" s="386">
        <f>[8]a29!CC16</f>
        <v>8.404828173319763E-2</v>
      </c>
      <c r="CC13" s="386"/>
      <c r="CD13" s="46">
        <f>BV13*'[8]4'!BL16+'[8]8'!AQ13*'[8]5'!S14+'[8]8'!AR13*'[8]6'!AT16+'[8]8'!AS13*'[8]7'!AK16</f>
        <v>0.30522560486774264</v>
      </c>
      <c r="CE13" s="386">
        <f>[8]a29!CF16</f>
        <v>0.29472030942100069</v>
      </c>
      <c r="CF13" s="386">
        <f>[8]a29!CH16</f>
        <v>0.43455721188783059</v>
      </c>
      <c r="CG13" s="386">
        <f>[8]a29!CJ16</f>
        <v>0.19906616323332155</v>
      </c>
      <c r="CH13" s="386">
        <f>[8]a29!CL16</f>
        <v>7.165631545784712E-2</v>
      </c>
      <c r="CI13" s="46">
        <f>CE13*'[8]4'!BS16+'[8]8'!AV13*'[8]5'!U14+'[8]8'!AW13*'[8]6'!AY16+'[8]8'!AX13*'[8]7'!AO16</f>
        <v>0.41984812954798728</v>
      </c>
      <c r="CJ13" s="386">
        <f>[8]a29!CO16</f>
        <v>0.29561585036864302</v>
      </c>
      <c r="CK13" s="386">
        <f>[8]a29!CQ16</f>
        <v>0.436618130888144</v>
      </c>
      <c r="CL13" s="386">
        <f>[8]a29!CS16</f>
        <v>0.18235004221987636</v>
      </c>
      <c r="CM13" s="386">
        <f>[8]a29!CU16</f>
        <v>8.5415976523336601E-2</v>
      </c>
      <c r="CN13" s="46">
        <f>CJ13*'[8]4'!BZ16+'[8]8'!BA13*'[8]5'!W14+'[8]8'!BB13*'[8]6'!BD16+'[8]8'!BC13*'[8]7'!AS16</f>
        <v>0.15243120272409716</v>
      </c>
    </row>
    <row r="14" spans="1:92" hidden="1">
      <c r="A14" s="2">
        <v>1980</v>
      </c>
      <c r="B14" s="386">
        <f>[8]a29!C17</f>
        <v>0.29160962697805876</v>
      </c>
      <c r="C14" s="386"/>
      <c r="D14" s="386">
        <f>[8]a29!E17</f>
        <v>0.42974200948575714</v>
      </c>
      <c r="E14" s="386"/>
      <c r="F14" s="386">
        <f>[8]a29!G17</f>
        <v>0.19736523621769581</v>
      </c>
      <c r="G14" s="386"/>
      <c r="H14" s="386">
        <f>[8]a29!I17</f>
        <v>8.1283127318488385E-2</v>
      </c>
      <c r="I14" s="386"/>
      <c r="J14" s="46">
        <f>B14*'[8]4'!H17+'[8]8'!C14*'[8]5'!C15+'[8]8'!D14*'[8]6'!F17+'[8]8'!E14*'[8]7'!E17</f>
        <v>0.26215792052674314</v>
      </c>
      <c r="K14" s="386">
        <f>[8]a29!L17</f>
        <v>0.2737419044166845</v>
      </c>
      <c r="L14" s="386"/>
      <c r="M14" s="386">
        <f>[8]a29!N17</f>
        <v>0.43862144650843354</v>
      </c>
      <c r="N14" s="386"/>
      <c r="O14" s="386">
        <f>[8]a29!P17</f>
        <v>0.22120309903912158</v>
      </c>
      <c r="P14" s="386"/>
      <c r="Q14" s="386">
        <f>[8]a29!R17</f>
        <v>6.6433550035760333E-2</v>
      </c>
      <c r="R14" s="386"/>
      <c r="S14" s="46">
        <f>K14*'[8]4'!O17+'[8]8'!H14*'[8]5'!E15+'[8]8'!I14*'[8]6'!K17+'[8]8'!J14*'[8]7'!I17</f>
        <v>-0.39978983017871739</v>
      </c>
      <c r="T14" s="386">
        <f>[8]a29!U17</f>
        <v>0.27583612421928361</v>
      </c>
      <c r="U14" s="386"/>
      <c r="V14" s="386">
        <f>[8]a29!W17</f>
        <v>0.43814641176443131</v>
      </c>
      <c r="W14" s="386"/>
      <c r="X14" s="386">
        <f>[8]a29!Y17</f>
        <v>0.21049647103753957</v>
      </c>
      <c r="Y14" s="386"/>
      <c r="Z14" s="386">
        <f>[8]a29!AA17</f>
        <v>7.5520992978745469E-2</v>
      </c>
      <c r="AA14" s="386"/>
      <c r="AB14" s="46">
        <f>T14*'[8]4'!V17+'[8]8'!M14*'[8]5'!G15+'[8]8'!N14*'[8]6'!P17+'[8]8'!O14*'[8]7'!M17</f>
        <v>-0.50347313663000925</v>
      </c>
      <c r="AC14" s="386">
        <f>[8]a29!AD17</f>
        <v>0.28296978722567245</v>
      </c>
      <c r="AD14" s="386"/>
      <c r="AE14" s="386">
        <f>[8]a29!AF17</f>
        <v>0.43170836952754282</v>
      </c>
      <c r="AF14" s="386"/>
      <c r="AG14" s="386">
        <f>[8]a29!AH17</f>
        <v>0.20620146193288538</v>
      </c>
      <c r="AH14" s="386"/>
      <c r="AI14" s="386">
        <f>[8]a29!AJ17</f>
        <v>7.9120381313899243E-2</v>
      </c>
      <c r="AJ14" s="386"/>
      <c r="AK14" s="46">
        <f>AC14*'[8]4'!AC17+'[8]8'!R14*'[8]5'!I15+'[8]8'!S14*'[8]6'!U17+'[8]8'!T14*'[8]7'!Q17</f>
        <v>0.28185273829320739</v>
      </c>
      <c r="AL14" s="386">
        <f>[8]a29!AM17</f>
        <v>0.28237860359601197</v>
      </c>
      <c r="AM14" s="386"/>
      <c r="AN14" s="386">
        <f>[8]a29!AO17</f>
        <v>0.43517646524562265</v>
      </c>
      <c r="AO14" s="386"/>
      <c r="AP14" s="386">
        <f>[8]a29!AQ17</f>
        <v>0.20720161752080493</v>
      </c>
      <c r="AQ14" s="386"/>
      <c r="AR14" s="386">
        <f>[8]a29!AS17</f>
        <v>7.5243313637560372E-2</v>
      </c>
      <c r="AS14" s="386"/>
      <c r="AT14" s="46">
        <f>AL14*'[8]4'!AJ17+'[8]8'!W14*'[8]5'!K15+'[8]8'!X14*'[8]6'!Z17+'[8]8'!Y14*'[8]7'!U17</f>
        <v>5.149292386406934E-2</v>
      </c>
      <c r="AU14" s="386">
        <f>[8]a29!AV17</f>
        <v>0.29422188247037923</v>
      </c>
      <c r="AV14" s="386"/>
      <c r="AW14" s="386">
        <f>[8]a29!AX17</f>
        <v>0.42293607921605414</v>
      </c>
      <c r="AX14" s="386"/>
      <c r="AY14" s="386">
        <f>[8]a29!AZ17</f>
        <v>0.20221009052453345</v>
      </c>
      <c r="AZ14" s="386"/>
      <c r="BA14" s="386">
        <f>[8]a29!BB17</f>
        <v>8.0631947789033098E-2</v>
      </c>
      <c r="BB14" s="386"/>
      <c r="BC14" s="46">
        <f>AU14*'[8]4'!AQ17+'[8]8'!AB14*'[8]5'!M15+'[8]8'!AC14*'[8]6'!AE17+'[8]8'!AD14*'[8]7'!Y17</f>
        <v>0.39285639786097398</v>
      </c>
      <c r="BD14" s="386">
        <f>[8]a29!BE17</f>
        <v>0.29137419119729741</v>
      </c>
      <c r="BE14" s="386"/>
      <c r="BF14" s="386">
        <f>[8]a29!BG17</f>
        <v>0.42739730771686135</v>
      </c>
      <c r="BG14" s="386"/>
      <c r="BH14" s="386">
        <f>[8]a29!BI17</f>
        <v>0.19650631946229469</v>
      </c>
      <c r="BI14" s="386"/>
      <c r="BJ14" s="386">
        <f>[8]a29!BK17</f>
        <v>8.4722181623546666E-2</v>
      </c>
      <c r="BK14" s="386"/>
      <c r="BL14" s="46">
        <f>BD14*'[8]4'!AX17+'[8]8'!AG14*'[8]5'!O15+'[8]8'!AH14*'[8]6'!AJ17+'[8]8'!AI14*'[8]7'!AC17</f>
        <v>0.31482899686172183</v>
      </c>
      <c r="BM14" s="386">
        <f>[8]a29!BN17</f>
        <v>0.28501652985650883</v>
      </c>
      <c r="BN14" s="386"/>
      <c r="BO14" s="386">
        <f>[8]a29!BP17</f>
        <v>0.43857233320282973</v>
      </c>
      <c r="BP14" s="386"/>
      <c r="BQ14" s="386">
        <f>[8]a29!BR17</f>
        <v>0.1922294240529531</v>
      </c>
      <c r="BR14" s="386"/>
      <c r="BS14" s="386">
        <f>[8]a29!BT17</f>
        <v>8.4181712887708426E-2</v>
      </c>
      <c r="BT14" s="386"/>
      <c r="BU14" s="46">
        <f>BM14*'[8]4'!BE17+'[8]8'!AL14*'[8]5'!Q15+'[8]8'!AM14*'[8]6'!AO17+'[8]8'!AN14*'[8]7'!AG17</f>
        <v>0.23514673521814169</v>
      </c>
      <c r="BV14" s="386">
        <f>[8]a29!BW17</f>
        <v>0.2793860420905056</v>
      </c>
      <c r="BW14" s="386"/>
      <c r="BX14" s="386">
        <f>[8]a29!BY17</f>
        <v>0.44022817903985056</v>
      </c>
      <c r="BY14" s="386"/>
      <c r="BZ14" s="386">
        <f>[8]a29!CA17</f>
        <v>0.19611834094128019</v>
      </c>
      <c r="CA14" s="386"/>
      <c r="CB14" s="386">
        <f>[8]a29!CC17</f>
        <v>8.4267437928363595E-2</v>
      </c>
      <c r="CC14" s="386"/>
      <c r="CD14" s="46">
        <f>BV14*'[8]4'!BL17+'[8]8'!AQ14*'[8]5'!S15+'[8]8'!AR14*'[8]6'!AT17+'[8]8'!AS14*'[8]7'!AK17</f>
        <v>0.33750553514994952</v>
      </c>
      <c r="CE14" s="386">
        <f>[8]a29!CF17</f>
        <v>0.29771928912965745</v>
      </c>
      <c r="CF14" s="386">
        <f>[8]a29!CH17</f>
        <v>0.43555510777830708</v>
      </c>
      <c r="CG14" s="386">
        <f>[8]a29!CJ17</f>
        <v>0.19638445713981695</v>
      </c>
      <c r="CH14" s="386">
        <f>[8]a29!CL17</f>
        <v>7.0341145952218506E-2</v>
      </c>
      <c r="CI14" s="46">
        <f>CE14*'[8]4'!BS17+'[8]8'!AV14*'[8]5'!U15+'[8]8'!AW14*'[8]6'!AY17+'[8]8'!AX14*'[8]7'!AO17</f>
        <v>0.40090143122949817</v>
      </c>
      <c r="CJ14" s="386">
        <f>[8]a29!CO17</f>
        <v>0.29785765296885125</v>
      </c>
      <c r="CK14" s="386">
        <f>[8]a29!CQ17</f>
        <v>0.43842182477503128</v>
      </c>
      <c r="CL14" s="386">
        <f>[8]a29!CS17</f>
        <v>0.17896722256665606</v>
      </c>
      <c r="CM14" s="386">
        <f>[8]a29!CU17</f>
        <v>8.4753299689461367E-2</v>
      </c>
      <c r="CN14" s="46">
        <f>CJ14*'[8]4'!BZ17+'[8]8'!BA14*'[8]5'!W15+'[8]8'!BB14*'[8]6'!BD17+'[8]8'!BC14*'[8]7'!AS17</f>
        <v>0.12253385726584815</v>
      </c>
    </row>
    <row r="15" spans="1:92">
      <c r="A15" s="2"/>
      <c r="B15" s="386"/>
      <c r="C15" s="386"/>
      <c r="D15" s="386"/>
      <c r="E15" s="386"/>
      <c r="F15" s="386"/>
      <c r="G15" s="386"/>
      <c r="H15" s="386"/>
      <c r="I15" s="386"/>
      <c r="J15" s="46"/>
      <c r="K15" s="386"/>
      <c r="L15" s="386"/>
      <c r="M15" s="386"/>
      <c r="N15" s="386"/>
      <c r="O15" s="386"/>
      <c r="P15" s="386"/>
      <c r="Q15" s="386"/>
      <c r="R15" s="386"/>
      <c r="S15" s="46"/>
      <c r="T15" s="386"/>
      <c r="U15" s="386"/>
      <c r="V15" s="386"/>
      <c r="W15" s="386"/>
      <c r="X15" s="386"/>
      <c r="Y15" s="386"/>
      <c r="Z15" s="386"/>
      <c r="AA15" s="386"/>
      <c r="AB15" s="46"/>
      <c r="AC15" s="386"/>
      <c r="AD15" s="386"/>
      <c r="AE15" s="386"/>
      <c r="AF15" s="386"/>
      <c r="AG15" s="386"/>
      <c r="AH15" s="386"/>
      <c r="AI15" s="386"/>
      <c r="AJ15" s="386"/>
      <c r="AK15" s="46"/>
      <c r="AL15" s="386"/>
      <c r="AM15" s="386"/>
      <c r="AN15" s="386"/>
      <c r="AO15" s="386"/>
      <c r="AP15" s="386"/>
      <c r="AQ15" s="386"/>
      <c r="AR15" s="386"/>
      <c r="AS15" s="386"/>
      <c r="AT15" s="46"/>
      <c r="AU15" s="386"/>
      <c r="AV15" s="386"/>
      <c r="AW15" s="386"/>
      <c r="AX15" s="386"/>
      <c r="AY15" s="386"/>
      <c r="AZ15" s="386"/>
      <c r="BA15" s="386"/>
      <c r="BB15" s="386"/>
      <c r="BC15" s="46"/>
      <c r="BD15" s="386"/>
      <c r="BE15" s="386"/>
      <c r="BF15" s="386"/>
      <c r="BG15" s="386"/>
      <c r="BH15" s="386"/>
      <c r="BI15" s="386"/>
      <c r="BJ15" s="386"/>
      <c r="BK15" s="386"/>
      <c r="BL15" s="46"/>
      <c r="BM15" s="386"/>
      <c r="BN15" s="386"/>
      <c r="BO15" s="386"/>
      <c r="BP15" s="386"/>
      <c r="BQ15" s="386"/>
      <c r="BR15" s="386"/>
      <c r="BS15" s="386"/>
      <c r="BT15" s="386"/>
      <c r="BU15" s="46"/>
      <c r="BV15" s="386"/>
      <c r="BW15" s="386"/>
      <c r="BX15" s="386"/>
      <c r="BY15" s="386"/>
      <c r="BZ15" s="386"/>
      <c r="CA15" s="386"/>
      <c r="CB15" s="386"/>
      <c r="CC15" s="386"/>
      <c r="CD15" s="46"/>
      <c r="CE15" s="386"/>
      <c r="CF15" s="386"/>
      <c r="CG15" s="386"/>
      <c r="CH15" s="386"/>
      <c r="CI15" s="46"/>
      <c r="CJ15" s="386"/>
      <c r="CK15" s="386"/>
      <c r="CL15" s="386"/>
      <c r="CM15" s="386"/>
      <c r="CN15" s="46"/>
    </row>
    <row r="16" spans="1:92">
      <c r="A16" s="2">
        <v>1981</v>
      </c>
      <c r="B16" s="691">
        <v>0.2932903326236963</v>
      </c>
      <c r="C16" s="691">
        <f>B16*'51a-j'!H19</f>
        <v>0.1834846971403746</v>
      </c>
      <c r="D16" s="691">
        <v>0.43047471796075265</v>
      </c>
      <c r="E16" s="691">
        <f>D16*'52'!C17</f>
        <v>0.34511445383403716</v>
      </c>
      <c r="F16" s="691">
        <v>0.19487654473183302</v>
      </c>
      <c r="G16" s="691">
        <f>F16*'53'!F19</f>
        <v>8.2885583690643777E-2</v>
      </c>
      <c r="H16" s="691">
        <v>8.1358404683717855E-2</v>
      </c>
      <c r="I16" s="691">
        <f>H16*'54'!E19</f>
        <v>4.8780152310547421E-2</v>
      </c>
      <c r="J16" s="690">
        <f>SUM(C16,E16,G16,I16)</f>
        <v>0.66026488697560304</v>
      </c>
      <c r="K16" s="691">
        <v>0.27677691365150131</v>
      </c>
      <c r="L16" s="691">
        <f>K16*'51a-j'!O19</f>
        <v>0.12338859997002893</v>
      </c>
      <c r="M16" s="691">
        <v>0.43845894491816534</v>
      </c>
      <c r="N16" s="691">
        <f>M16*'52'!E17</f>
        <v>0.13161200268052869</v>
      </c>
      <c r="O16" s="691">
        <v>0.21816251258407762</v>
      </c>
      <c r="P16" s="691">
        <f>O16*'53'!K19</f>
        <v>0.15801363713595648</v>
      </c>
      <c r="Q16" s="691">
        <v>6.6601628846255756E-2</v>
      </c>
      <c r="R16" s="691">
        <f>Q16*'54'!I19</f>
        <v>4.1125174549685957E-2</v>
      </c>
      <c r="S16" s="690">
        <f>SUM(L16,N16,P16,R16)</f>
        <v>0.45413941433620003</v>
      </c>
      <c r="T16" s="691">
        <v>0.27675217861579327</v>
      </c>
      <c r="U16" s="691">
        <f>T16*'51a-j'!V19</f>
        <v>0.15076522826854863</v>
      </c>
      <c r="V16" s="691">
        <v>0.43801811895725085</v>
      </c>
      <c r="W16" s="691">
        <f>V16*'52'!G17</f>
        <v>0.1376994016067597</v>
      </c>
      <c r="X16" s="691">
        <v>0.20893256247601261</v>
      </c>
      <c r="Y16" s="691">
        <f>X16*'53'!P19</f>
        <v>0.1398215279589694</v>
      </c>
      <c r="Z16" s="691">
        <v>7.6297139950943296E-2</v>
      </c>
      <c r="AA16" s="691">
        <f>Z16*'54'!M19</f>
        <v>3.3528927523023028E-2</v>
      </c>
      <c r="AB16" s="690">
        <f>SUM(U16,W16,Y16,AA16)</f>
        <v>0.46181508535730076</v>
      </c>
      <c r="AC16" s="691">
        <v>0.28431517254963307</v>
      </c>
      <c r="AD16" s="691">
        <f>AC16*'51a-j'!AC19</f>
        <v>0.15676213035026565</v>
      </c>
      <c r="AE16" s="691">
        <v>0.43177223698734168</v>
      </c>
      <c r="AF16" s="691">
        <f>AE16*'52'!I17</f>
        <v>0.36499597699108438</v>
      </c>
      <c r="AG16" s="691">
        <v>0.20490150002585417</v>
      </c>
      <c r="AH16" s="691">
        <f>AG16*'53'!U19</f>
        <v>0.10285459411194364</v>
      </c>
      <c r="AI16" s="691">
        <v>7.9011090437170986E-2</v>
      </c>
      <c r="AJ16" s="691">
        <f>AI16*'54'!Q19</f>
        <v>5.6784817774624873E-2</v>
      </c>
      <c r="AK16" s="690">
        <v>0.68139751922791847</v>
      </c>
      <c r="AL16" s="691">
        <v>0.28395837404949464</v>
      </c>
      <c r="AM16" s="691">
        <f>AL16*'51a-j'!AJ19</f>
        <v>0.14728903846708935</v>
      </c>
      <c r="AN16" s="691">
        <v>0.43530971128963186</v>
      </c>
      <c r="AO16" s="691">
        <f>AN16*'52'!K17</f>
        <v>0.29364702029849721</v>
      </c>
      <c r="AP16" s="691">
        <v>0.20524388006826053</v>
      </c>
      <c r="AQ16" s="691">
        <f>AP16*'53'!Z19</f>
        <v>9.7951765140262298E-2</v>
      </c>
      <c r="AR16" s="691">
        <v>7.5488034592613024E-2</v>
      </c>
      <c r="AS16" s="691">
        <f>AR16*'54'!U19</f>
        <v>6.290669549384416E-3</v>
      </c>
      <c r="AT16" s="690">
        <v>0.54517849345523328</v>
      </c>
      <c r="AU16" s="691">
        <v>0.29572740632989319</v>
      </c>
      <c r="AV16" s="691">
        <f>AU16*'51a-j'!AQ19</f>
        <v>0.15138924071433291</v>
      </c>
      <c r="AW16" s="691">
        <v>0.4239961390359322</v>
      </c>
      <c r="AX16" s="691">
        <f>AW16*'52'!M17</f>
        <v>0.35386212925144972</v>
      </c>
      <c r="AY16" s="691">
        <v>0.1992124065623517</v>
      </c>
      <c r="AZ16" s="691">
        <f>AY16*'53'!AE19</f>
        <v>9.6609889020994766E-2</v>
      </c>
      <c r="BA16" s="691">
        <v>8.1064048071822783E-2</v>
      </c>
      <c r="BB16" s="691">
        <f>BA16*'54'!Y19</f>
        <v>3.6207744660874334E-2</v>
      </c>
      <c r="BC16" s="690">
        <v>0.63806900364765162</v>
      </c>
      <c r="BD16" s="691">
        <v>0.29253062495724075</v>
      </c>
      <c r="BE16" s="691">
        <f>BD16*'51a-j'!AX19</f>
        <v>0.18882667779908391</v>
      </c>
      <c r="BF16" s="691">
        <v>0.42725294313504958</v>
      </c>
      <c r="BG16" s="691">
        <f>BF16*'52'!O17</f>
        <v>0.34202260073977592</v>
      </c>
      <c r="BH16" s="691">
        <v>0.19510717879457878</v>
      </c>
      <c r="BI16" s="691">
        <f>BH16*'53'!AJ19</f>
        <v>0.13163792277994715</v>
      </c>
      <c r="BJ16" s="691">
        <v>8.5109253113130848E-2</v>
      </c>
      <c r="BK16" s="691">
        <f>BJ16*'54'!AC19</f>
        <v>6.688437382206304E-2</v>
      </c>
      <c r="BL16" s="690">
        <v>0.72937157514087003</v>
      </c>
      <c r="BM16" s="691">
        <v>0.28568106368116275</v>
      </c>
      <c r="BN16" s="691">
        <f>BM16*'51a-j'!BE19</f>
        <v>0.19384388468609329</v>
      </c>
      <c r="BO16" s="691">
        <v>0.43867789241927357</v>
      </c>
      <c r="BP16" s="691">
        <f>BO16*'52'!Q17</f>
        <v>0.32386540675347858</v>
      </c>
      <c r="BQ16" s="691">
        <v>0.19167526254151138</v>
      </c>
      <c r="BR16" s="691">
        <f>BQ16*'53'!AO19</f>
        <v>0.10236518989393228</v>
      </c>
      <c r="BS16" s="691">
        <v>8.3965781358052244E-2</v>
      </c>
      <c r="BT16" s="691">
        <f>BS16*'54'!AG19</f>
        <v>5.1837105339451565E-2</v>
      </c>
      <c r="BU16" s="690">
        <v>0.6719115866729557</v>
      </c>
      <c r="BV16" s="691">
        <v>0.27996589888288281</v>
      </c>
      <c r="BW16" s="691"/>
      <c r="BX16" s="691">
        <v>0.44073964300613544</v>
      </c>
      <c r="BY16" s="691"/>
      <c r="BZ16" s="691">
        <v>0.19607888345545071</v>
      </c>
      <c r="CA16" s="691"/>
      <c r="CB16" s="691">
        <v>8.321557465553106E-2</v>
      </c>
      <c r="CC16" s="691"/>
      <c r="CD16" s="690">
        <v>0.74165949796149311</v>
      </c>
      <c r="CE16" s="691">
        <v>0.30185824916684456</v>
      </c>
      <c r="CF16" s="691">
        <v>0.43834438113209201</v>
      </c>
      <c r="CG16" s="691">
        <v>0.19040721753768264</v>
      </c>
      <c r="CH16" s="691">
        <v>6.9390152163380847E-2</v>
      </c>
      <c r="CI16" s="690">
        <v>0.77659433614159634</v>
      </c>
      <c r="CJ16" s="691">
        <v>0.29993661486411016</v>
      </c>
      <c r="CK16" s="691">
        <v>0.44005605795920233</v>
      </c>
      <c r="CL16" s="691">
        <v>0.1755579977495241</v>
      </c>
      <c r="CM16" s="691">
        <v>8.4449329427163364E-2</v>
      </c>
      <c r="CN16" s="690">
        <v>0.63374983460607681</v>
      </c>
    </row>
    <row r="17" spans="1:92">
      <c r="A17" s="2">
        <v>1982</v>
      </c>
      <c r="B17" s="691">
        <v>0.2945424226999977</v>
      </c>
      <c r="C17" s="691">
        <f>B17*'51a-j'!H20</f>
        <v>0.14710434857480786</v>
      </c>
      <c r="D17" s="691">
        <v>0.43137158214170229</v>
      </c>
      <c r="E17" s="691">
        <f>D17*'52'!C18</f>
        <v>0.33651148872545034</v>
      </c>
      <c r="F17" s="691">
        <v>0.1925705579308071</v>
      </c>
      <c r="G17" s="691">
        <f>F17*'53'!F20</f>
        <v>8.9472350867964207E-2</v>
      </c>
      <c r="H17" s="691">
        <v>8.1515437227492868E-2</v>
      </c>
      <c r="I17" s="691">
        <f>H17*'54'!E20</f>
        <v>6.0050060533975519E-2</v>
      </c>
      <c r="J17" s="690">
        <f t="shared" ref="J17:J43" si="0">SUM(C17,E17,G17,I17)</f>
        <v>0.63313824870219793</v>
      </c>
      <c r="K17" s="691">
        <v>0.27855859854644321</v>
      </c>
      <c r="L17" s="691">
        <f>K17*'51a-j'!O20</f>
        <v>9.4911540881761791E-2</v>
      </c>
      <c r="M17" s="691">
        <v>0.43823694369703226</v>
      </c>
      <c r="N17" s="691">
        <f>M17*'52'!E18</f>
        <v>0.15892229578214503</v>
      </c>
      <c r="O17" s="691">
        <v>0.21604241884387132</v>
      </c>
      <c r="P17" s="691">
        <f>O17*'53'!K20</f>
        <v>0.1549159466447334</v>
      </c>
      <c r="Q17" s="691">
        <v>6.7162038912653349E-2</v>
      </c>
      <c r="R17" s="691">
        <f>Q17*'54'!I20</f>
        <v>4.2437715548590604E-2</v>
      </c>
      <c r="S17" s="690">
        <v>0.45118749885723081</v>
      </c>
      <c r="T17" s="691">
        <v>0.27715326507313148</v>
      </c>
      <c r="U17" s="691">
        <f>T17*'51a-j'!V20</f>
        <v>0.13880586464465786</v>
      </c>
      <c r="V17" s="691">
        <v>0.43850903476877012</v>
      </c>
      <c r="W17" s="691">
        <f>V17*'52'!G18</f>
        <v>0.17837968855546985</v>
      </c>
      <c r="X17" s="691">
        <v>0.20748827153997365</v>
      </c>
      <c r="Y17" s="691">
        <f>X17*'53'!P20</f>
        <v>0.15347823590184839</v>
      </c>
      <c r="Z17" s="691">
        <v>7.684942861812466E-2</v>
      </c>
      <c r="AA17" s="691">
        <f>Z17*'54'!M20</f>
        <v>4.1409963011454026E-2</v>
      </c>
      <c r="AB17" s="690">
        <f t="shared" ref="AB17:AB43" si="1">SUM(U17,W17,Y17,AA17)</f>
        <v>0.51207375211343009</v>
      </c>
      <c r="AC17" s="691">
        <v>0.28560043237105065</v>
      </c>
      <c r="AD17" s="691">
        <f>AC17*'51a-j'!AC20</f>
        <v>0.12715937253419363</v>
      </c>
      <c r="AE17" s="691">
        <v>0.43244348910730923</v>
      </c>
      <c r="AF17" s="691">
        <f>AE17*'52'!I18</f>
        <v>0.35233175082724238</v>
      </c>
      <c r="AG17" s="691">
        <v>0.20302730627043</v>
      </c>
      <c r="AH17" s="691">
        <f>AG17*'53'!U20</f>
        <v>0.13064426457286241</v>
      </c>
      <c r="AI17" s="691">
        <v>7.8928772251210089E-2</v>
      </c>
      <c r="AJ17" s="691">
        <f>AI17*'54'!Q20</f>
        <v>6.2358203718022358E-2</v>
      </c>
      <c r="AK17" s="690">
        <v>0.67249359165232081</v>
      </c>
      <c r="AL17" s="691">
        <v>0.28543968386886798</v>
      </c>
      <c r="AM17" s="691">
        <f>AL17*'51a-j'!AJ20</f>
        <v>0.1218268317818809</v>
      </c>
      <c r="AN17" s="691">
        <v>0.43585851806861914</v>
      </c>
      <c r="AO17" s="691">
        <f>AN17*'52'!K18</f>
        <v>0.28001289190393275</v>
      </c>
      <c r="AP17" s="691">
        <v>0.20298225688023977</v>
      </c>
      <c r="AQ17" s="691">
        <f>AP17*'53'!Z20</f>
        <v>9.4135848556231361E-2</v>
      </c>
      <c r="AR17" s="691">
        <v>7.5719541182273253E-2</v>
      </c>
      <c r="AS17" s="691">
        <f>AR17*'54'!U20</f>
        <v>1.1786108221372705E-2</v>
      </c>
      <c r="AT17" s="690">
        <v>0.50776168046341774</v>
      </c>
      <c r="AU17" s="691">
        <v>0.29690091531184037</v>
      </c>
      <c r="AV17" s="691"/>
      <c r="AW17" s="691">
        <v>0.42510435995825779</v>
      </c>
      <c r="AX17" s="691"/>
      <c r="AY17" s="691">
        <v>0.19647282382075759</v>
      </c>
      <c r="AZ17" s="691"/>
      <c r="BA17" s="691">
        <v>8.1521900909144268E-2</v>
      </c>
      <c r="BB17" s="691"/>
      <c r="BC17" s="690">
        <v>0.62333717441163916</v>
      </c>
      <c r="BD17" s="691">
        <v>0.29373717432740698</v>
      </c>
      <c r="BE17" s="691"/>
      <c r="BF17" s="691">
        <v>0.427818222464525</v>
      </c>
      <c r="BG17" s="691"/>
      <c r="BH17" s="691">
        <v>0.19305604198634549</v>
      </c>
      <c r="BI17" s="691"/>
      <c r="BJ17" s="691">
        <v>8.5388561221722614E-2</v>
      </c>
      <c r="BK17" s="691"/>
      <c r="BL17" s="690">
        <v>0.67696847767623614</v>
      </c>
      <c r="BM17" s="691">
        <v>0.28688221358121335</v>
      </c>
      <c r="BN17" s="691"/>
      <c r="BO17" s="691">
        <v>0.43979949429337278</v>
      </c>
      <c r="BP17" s="691"/>
      <c r="BQ17" s="691">
        <v>0.18999477998166336</v>
      </c>
      <c r="BR17" s="691"/>
      <c r="BS17" s="691">
        <v>8.3323512143750472E-2</v>
      </c>
      <c r="BT17" s="691"/>
      <c r="BU17" s="690">
        <v>0.68003901007675227</v>
      </c>
      <c r="BV17" s="691">
        <v>0.28032779531096946</v>
      </c>
      <c r="BW17" s="691"/>
      <c r="BX17" s="691">
        <v>0.44182752404864029</v>
      </c>
      <c r="BY17" s="691"/>
      <c r="BZ17" s="691">
        <v>0.19568278748598483</v>
      </c>
      <c r="CA17" s="691"/>
      <c r="CB17" s="691">
        <v>8.2161893154405544E-2</v>
      </c>
      <c r="CC17" s="691"/>
      <c r="CD17" s="690">
        <v>0.77148567078236963</v>
      </c>
      <c r="CE17" s="691">
        <v>0.30408902115399244</v>
      </c>
      <c r="CF17" s="691">
        <v>0.4400132941748679</v>
      </c>
      <c r="CG17" s="691">
        <v>0.18673238601162809</v>
      </c>
      <c r="CH17" s="691">
        <v>6.9165298659511529E-2</v>
      </c>
      <c r="CI17" s="690">
        <v>0.71018081068757821</v>
      </c>
      <c r="CJ17" s="691">
        <v>0.30061135919746246</v>
      </c>
      <c r="CK17" s="691">
        <v>0.4408784212218026</v>
      </c>
      <c r="CL17" s="691">
        <v>0.17388723454286259</v>
      </c>
      <c r="CM17" s="691">
        <v>8.4622985037872342E-2</v>
      </c>
      <c r="CN17" s="690">
        <v>0.56064845696709042</v>
      </c>
    </row>
    <row r="18" spans="1:92">
      <c r="A18" s="2">
        <v>1983</v>
      </c>
      <c r="B18" s="691">
        <v>0.29546153610861459</v>
      </c>
      <c r="C18" s="691">
        <f>B18*'51a-j'!H21</f>
        <v>0.13563425128790069</v>
      </c>
      <c r="D18" s="691">
        <v>0.4321150347594106</v>
      </c>
      <c r="E18" s="691">
        <f>D18*'52'!C19</f>
        <v>0.32837391339510535</v>
      </c>
      <c r="F18" s="691">
        <v>0.19059153639118545</v>
      </c>
      <c r="G18" s="691">
        <f>F18*'53'!F21</f>
        <v>9.376748868445102E-2</v>
      </c>
      <c r="H18" s="691">
        <v>8.1831892740789461E-2</v>
      </c>
      <c r="I18" s="691">
        <f>H18*'54'!E21</f>
        <v>6.0102106835986172E-2</v>
      </c>
      <c r="J18" s="690">
        <f t="shared" si="0"/>
        <v>0.6178777602034432</v>
      </c>
      <c r="K18" s="691">
        <v>0.28175272672593177</v>
      </c>
      <c r="L18" s="691">
        <f>K18*'51a-j'!O21</f>
        <v>7.5053934481530846E-2</v>
      </c>
      <c r="M18" s="691">
        <v>0.43872238502765865</v>
      </c>
      <c r="N18" s="691">
        <f>M18*'52'!E19</f>
        <v>0.14547810614728893</v>
      </c>
      <c r="O18" s="691">
        <v>0.2123648300691624</v>
      </c>
      <c r="P18" s="691">
        <f>O18*'53'!K21</f>
        <v>0.15061316739605196</v>
      </c>
      <c r="Q18" s="691">
        <v>6.7160058177247184E-2</v>
      </c>
      <c r="R18" s="691">
        <f>Q18*'54'!I21</f>
        <v>4.2279382090501791E-2</v>
      </c>
      <c r="S18" s="690">
        <v>0.41342459011537352</v>
      </c>
      <c r="T18" s="691">
        <v>0.27974260153294089</v>
      </c>
      <c r="U18" s="691">
        <f>T18*'51a-j'!V21</f>
        <v>0.14468692473974415</v>
      </c>
      <c r="V18" s="691">
        <v>0.43974114064352088</v>
      </c>
      <c r="W18" s="691">
        <f>V18*'52'!G19</f>
        <v>0.20263826782351788</v>
      </c>
      <c r="X18" s="691">
        <v>0.20398986837372846</v>
      </c>
      <c r="Y18" s="691">
        <f>X18*'53'!P21</f>
        <v>0.16036093936869117</v>
      </c>
      <c r="Z18" s="691">
        <v>7.6526389449809704E-2</v>
      </c>
      <c r="AA18" s="691">
        <f>Z18*'54'!M21</f>
        <v>4.4442428503176638E-2</v>
      </c>
      <c r="AB18" s="690">
        <f t="shared" si="1"/>
        <v>0.55212856043512981</v>
      </c>
      <c r="AC18" s="691">
        <v>0.28749131636919967</v>
      </c>
      <c r="AD18" s="691">
        <f>AC18*'51a-j'!AC21</f>
        <v>0.12104003708964552</v>
      </c>
      <c r="AE18" s="691">
        <v>0.43342509267315005</v>
      </c>
      <c r="AF18" s="691">
        <f>AE18*'52'!I19</f>
        <v>0.34901103906306824</v>
      </c>
      <c r="AG18" s="691">
        <v>0.20042315306932001</v>
      </c>
      <c r="AH18" s="691">
        <f>AG18*'53'!U21</f>
        <v>0.10625437897471213</v>
      </c>
      <c r="AI18" s="691">
        <v>7.8660437888330201E-2</v>
      </c>
      <c r="AJ18" s="691">
        <f>AI18*'54'!Q21</f>
        <v>6.2773398799997396E-2</v>
      </c>
      <c r="AK18" s="690">
        <v>0.63907885392742325</v>
      </c>
      <c r="AL18" s="691">
        <v>0.28772197174003772</v>
      </c>
      <c r="AM18" s="691">
        <f>AL18*'51a-j'!AJ21</f>
        <v>0.11378164391532601</v>
      </c>
      <c r="AN18" s="691">
        <v>0.43706768807621216</v>
      </c>
      <c r="AO18" s="691">
        <f>AN18*'52'!K19</f>
        <v>0.27024928988806174</v>
      </c>
      <c r="AP18" s="691">
        <v>0.19956868925900212</v>
      </c>
      <c r="AQ18" s="691">
        <f>AP18*'53'!Z21</f>
        <v>7.1224890314691008E-2</v>
      </c>
      <c r="AR18" s="691">
        <v>7.5641650924747839E-2</v>
      </c>
      <c r="AS18" s="691">
        <f>AR18*'54'!U21</f>
        <v>2.3723646253870492E-2</v>
      </c>
      <c r="AT18" s="690">
        <v>0.47897947037194921</v>
      </c>
      <c r="AU18" s="691">
        <v>0.29785072559838893</v>
      </c>
      <c r="AV18" s="691"/>
      <c r="AW18" s="691">
        <v>0.42612898930090098</v>
      </c>
      <c r="AX18" s="691"/>
      <c r="AY18" s="691">
        <v>0.19396043772315044</v>
      </c>
      <c r="AZ18" s="691"/>
      <c r="BA18" s="691">
        <v>8.20598473775596E-2</v>
      </c>
      <c r="BB18" s="691"/>
      <c r="BC18" s="690">
        <v>0.62985573281727381</v>
      </c>
      <c r="BD18" s="691">
        <v>0.29488985327510192</v>
      </c>
      <c r="BE18" s="691"/>
      <c r="BF18" s="691">
        <v>0.4284613475753617</v>
      </c>
      <c r="BG18" s="691"/>
      <c r="BH18" s="691">
        <v>0.19091414593797132</v>
      </c>
      <c r="BI18" s="691"/>
      <c r="BJ18" s="691">
        <v>8.5734653211564996E-2</v>
      </c>
      <c r="BK18" s="691"/>
      <c r="BL18" s="690">
        <v>0.65227202129368311</v>
      </c>
      <c r="BM18" s="691">
        <v>0.28839488722508655</v>
      </c>
      <c r="BN18" s="691"/>
      <c r="BO18" s="691">
        <v>0.44113232007921199</v>
      </c>
      <c r="BP18" s="691"/>
      <c r="BQ18" s="691">
        <v>0.18773613147346802</v>
      </c>
      <c r="BR18" s="691"/>
      <c r="BS18" s="691">
        <v>8.2736661222233429E-2</v>
      </c>
      <c r="BT18" s="691"/>
      <c r="BU18" s="690">
        <v>0.66060838784650777</v>
      </c>
      <c r="BV18" s="691">
        <v>0.28112836194606916</v>
      </c>
      <c r="BW18" s="691"/>
      <c r="BX18" s="691">
        <v>0.44308499551395281</v>
      </c>
      <c r="BY18" s="691"/>
      <c r="BZ18" s="691">
        <v>0.19475500061717518</v>
      </c>
      <c r="CA18" s="691"/>
      <c r="CB18" s="691">
        <v>8.1031641922802808E-2</v>
      </c>
      <c r="CC18" s="691"/>
      <c r="CD18" s="690">
        <v>0.73270296970634052</v>
      </c>
      <c r="CE18" s="691">
        <v>0.30356384399007069</v>
      </c>
      <c r="CF18" s="691">
        <v>0.44012722182896569</v>
      </c>
      <c r="CG18" s="691">
        <v>0.18659686079727592</v>
      </c>
      <c r="CH18" s="691">
        <v>6.9712073383687803E-2</v>
      </c>
      <c r="CI18" s="690">
        <v>0.69025461767045526</v>
      </c>
      <c r="CJ18" s="691">
        <v>0.30061217715065797</v>
      </c>
      <c r="CK18" s="691">
        <v>0.4411098553774877</v>
      </c>
      <c r="CL18" s="691">
        <v>0.17301463915349266</v>
      </c>
      <c r="CM18" s="691">
        <v>8.5263328318361503E-2</v>
      </c>
      <c r="CN18" s="690">
        <v>0.54911404736915526</v>
      </c>
    </row>
    <row r="19" spans="1:92">
      <c r="A19" s="2">
        <v>1984</v>
      </c>
      <c r="B19" s="691">
        <v>0.29623679410115122</v>
      </c>
      <c r="C19" s="691">
        <f>B19*'51a-j'!H22</f>
        <v>0.14400801815493144</v>
      </c>
      <c r="D19" s="691">
        <v>0.43284778083479752</v>
      </c>
      <c r="E19" s="691">
        <f>D19*'52'!C20</f>
        <v>0.32518578424758449</v>
      </c>
      <c r="F19" s="691">
        <v>0.18872019007058491</v>
      </c>
      <c r="G19" s="691">
        <f>F19*'53'!F22</f>
        <v>9.9853539445586809E-2</v>
      </c>
      <c r="H19" s="691">
        <v>8.2195234993466454E-2</v>
      </c>
      <c r="I19" s="691">
        <f>H19*'54'!E22</f>
        <v>6.0340035028320152E-2</v>
      </c>
      <c r="J19" s="690">
        <f t="shared" si="0"/>
        <v>0.62938737687642299</v>
      </c>
      <c r="K19" s="691">
        <v>0.2839806949831537</v>
      </c>
      <c r="L19" s="691">
        <f>K19*'51a-j'!O22</f>
        <v>5.0136677009517579E-2</v>
      </c>
      <c r="M19" s="691">
        <v>0.43853128799683494</v>
      </c>
      <c r="N19" s="691">
        <f>M19*'52'!E20</f>
        <v>0.23678040976947165</v>
      </c>
      <c r="O19" s="691">
        <v>0.20999351842109334</v>
      </c>
      <c r="P19" s="691">
        <f>O19*'53'!K22</f>
        <v>0.16444581701274275</v>
      </c>
      <c r="Q19" s="691">
        <v>6.7494498598918096E-2</v>
      </c>
      <c r="R19" s="691">
        <f>Q19*'54'!I22</f>
        <v>4.2330830123051034E-2</v>
      </c>
      <c r="S19" s="690">
        <v>0.49369373391478305</v>
      </c>
      <c r="T19" s="691">
        <v>0.28211939144709225</v>
      </c>
      <c r="U19" s="691">
        <f>T19*'51a-j'!V22</f>
        <v>0.14771879004578714</v>
      </c>
      <c r="V19" s="691">
        <v>0.44056853031918491</v>
      </c>
      <c r="W19" s="691">
        <f>V19*'52'!G20</f>
        <v>0.23041187185317299</v>
      </c>
      <c r="X19" s="691">
        <v>0.20104637711441453</v>
      </c>
      <c r="Y19" s="691">
        <f>X19*'53'!P22</f>
        <v>0.17113049085329865</v>
      </c>
      <c r="Z19" s="691">
        <v>7.6265701119308346E-2</v>
      </c>
      <c r="AA19" s="691">
        <f>Z19*'54'!M22</f>
        <v>4.7146398507459657E-2</v>
      </c>
      <c r="AB19" s="690">
        <f t="shared" si="1"/>
        <v>0.59640755125971845</v>
      </c>
      <c r="AC19" s="691">
        <v>0.28914538444368543</v>
      </c>
      <c r="AD19" s="691">
        <f>AC19*'51a-j'!AC22</f>
        <v>0.12576360920375979</v>
      </c>
      <c r="AE19" s="691">
        <v>0.43427906993570131</v>
      </c>
      <c r="AF19" s="691">
        <f>AE19*'52'!I20</f>
        <v>0.33802864253416331</v>
      </c>
      <c r="AG19" s="691">
        <v>0.19808152563279349</v>
      </c>
      <c r="AH19" s="691">
        <f>AG19*'53'!U22</f>
        <v>8.5395674614836853E-2</v>
      </c>
      <c r="AI19" s="691">
        <v>7.8494019987819866E-2</v>
      </c>
      <c r="AJ19" s="691">
        <f>AI19*'54'!Q22</f>
        <v>6.3231396915036903E-2</v>
      </c>
      <c r="AK19" s="690">
        <v>0.6124193232677968</v>
      </c>
      <c r="AL19" s="691">
        <v>0.28957917357274238</v>
      </c>
      <c r="AM19" s="691">
        <f>AL19*'51a-j'!AJ22</f>
        <v>0.12017759968268193</v>
      </c>
      <c r="AN19" s="691">
        <v>0.43810778833805381</v>
      </c>
      <c r="AO19" s="691">
        <f>AN19*'52'!K20</f>
        <v>0.25547310440936299</v>
      </c>
      <c r="AP19" s="691">
        <v>0.19653463415953859</v>
      </c>
      <c r="AQ19" s="691">
        <f>AP19*'53'!Z22</f>
        <v>0.10095821689879295</v>
      </c>
      <c r="AR19" s="691">
        <v>7.5778403929665172E-2</v>
      </c>
      <c r="AS19" s="691">
        <f>AR19*'54'!U22</f>
        <v>3.3302984299056988E-2</v>
      </c>
      <c r="AT19" s="690">
        <v>0.50991190528989483</v>
      </c>
      <c r="AU19" s="691">
        <v>0.29872231972344598</v>
      </c>
      <c r="AV19" s="691"/>
      <c r="AW19" s="691">
        <v>0.42721241967424639</v>
      </c>
      <c r="AX19" s="691"/>
      <c r="AY19" s="691">
        <v>0.1913131399257422</v>
      </c>
      <c r="AZ19" s="691"/>
      <c r="BA19" s="691">
        <v>8.275212067656551E-2</v>
      </c>
      <c r="BB19" s="691"/>
      <c r="BC19" s="690">
        <v>0.65129806628659626</v>
      </c>
      <c r="BD19" s="691">
        <v>0.29600721719371442</v>
      </c>
      <c r="BE19" s="691"/>
      <c r="BF19" s="691">
        <v>0.42929002713362352</v>
      </c>
      <c r="BG19" s="691"/>
      <c r="BH19" s="691">
        <v>0.18868983562947722</v>
      </c>
      <c r="BI19" s="691"/>
      <c r="BJ19" s="691">
        <v>8.601292004318474E-2</v>
      </c>
      <c r="BK19" s="691"/>
      <c r="BL19" s="690">
        <v>0.66297501083166566</v>
      </c>
      <c r="BM19" s="691">
        <v>0.28956618606126439</v>
      </c>
      <c r="BN19" s="691"/>
      <c r="BO19" s="691">
        <v>0.44224109224043656</v>
      </c>
      <c r="BP19" s="691"/>
      <c r="BQ19" s="691">
        <v>0.18604466767993272</v>
      </c>
      <c r="BR19" s="691"/>
      <c r="BS19" s="691">
        <v>8.2148054018366334E-2</v>
      </c>
      <c r="BT19" s="691"/>
      <c r="BU19" s="690">
        <v>0.69249129936530285</v>
      </c>
      <c r="BV19" s="691">
        <v>0.28188492775673524</v>
      </c>
      <c r="BW19" s="691"/>
      <c r="BX19" s="691">
        <v>0.44422114392203566</v>
      </c>
      <c r="BY19" s="691"/>
      <c r="BZ19" s="691">
        <v>0.1939926592661298</v>
      </c>
      <c r="CA19" s="691"/>
      <c r="CB19" s="691">
        <v>7.990126905509945E-2</v>
      </c>
      <c r="CC19" s="691"/>
      <c r="CD19" s="690">
        <v>0.70934383453134664</v>
      </c>
      <c r="CE19" s="691">
        <v>0.30204630710369357</v>
      </c>
      <c r="CF19" s="691">
        <v>0.4394701401667282</v>
      </c>
      <c r="CG19" s="691">
        <v>0.18787939958662672</v>
      </c>
      <c r="CH19" s="691">
        <v>7.0604153142951459E-2</v>
      </c>
      <c r="CI19" s="690">
        <v>0.67351116999851779</v>
      </c>
      <c r="CJ19" s="691">
        <v>0.30093485257205999</v>
      </c>
      <c r="CK19" s="691">
        <v>0.44158660772510711</v>
      </c>
      <c r="CL19" s="691">
        <v>0.17181689806096007</v>
      </c>
      <c r="CM19" s="691">
        <v>8.5661641641872829E-2</v>
      </c>
      <c r="CN19" s="690">
        <v>0.53728688453755968</v>
      </c>
    </row>
    <row r="20" spans="1:92">
      <c r="A20" s="2">
        <v>1985</v>
      </c>
      <c r="B20" s="691">
        <v>0.29693966897729723</v>
      </c>
      <c r="C20" s="691">
        <f>B20*'51a-j'!H23</f>
        <v>0.15301037264055156</v>
      </c>
      <c r="D20" s="691">
        <v>0.43380085860262901</v>
      </c>
      <c r="E20" s="691">
        <f>D20*'52'!C21</f>
        <v>0.31963764008899848</v>
      </c>
      <c r="F20" s="691">
        <v>0.18702144200017265</v>
      </c>
      <c r="G20" s="691">
        <f>F20*'53'!F23</f>
        <v>0.10071707801563042</v>
      </c>
      <c r="H20" s="691">
        <v>8.2238030419901118E-2</v>
      </c>
      <c r="I20" s="691">
        <f>H20*'54'!E23</f>
        <v>6.2229703466581639E-2</v>
      </c>
      <c r="J20" s="690">
        <f t="shared" si="0"/>
        <v>0.63559479421176213</v>
      </c>
      <c r="K20" s="691">
        <v>0.28582253388493584</v>
      </c>
      <c r="L20" s="691">
        <f>K20*'51a-j'!O23</f>
        <v>5.1322049772221233E-2</v>
      </c>
      <c r="M20" s="691">
        <v>0.43836802167932992</v>
      </c>
      <c r="N20" s="691">
        <f>M20*'52'!E21</f>
        <v>0.24844039238404919</v>
      </c>
      <c r="O20" s="691">
        <v>0.20817162921899471</v>
      </c>
      <c r="P20" s="691">
        <f>O20*'53'!K23</f>
        <v>0.1556401236989422</v>
      </c>
      <c r="Q20" s="691">
        <v>6.7637815216739602E-2</v>
      </c>
      <c r="R20" s="691">
        <f>Q20*'54'!I23</f>
        <v>4.7369050789564902E-2</v>
      </c>
      <c r="S20" s="690">
        <v>0.50277161664477754</v>
      </c>
      <c r="T20" s="691">
        <v>0.28357009891281765</v>
      </c>
      <c r="U20" s="691">
        <f>T20*'51a-j'!V23</f>
        <v>0.1321797106139885</v>
      </c>
      <c r="V20" s="691">
        <v>0.44169472798363124</v>
      </c>
      <c r="W20" s="691">
        <f>V20*'52'!G21</f>
        <v>0.22908662996417251</v>
      </c>
      <c r="X20" s="691">
        <v>0.19847111108207055</v>
      </c>
      <c r="Y20" s="691">
        <f>X20*'53'!P23</f>
        <v>0.16504780111952286</v>
      </c>
      <c r="Z20" s="691">
        <v>7.626406202148045E-2</v>
      </c>
      <c r="AA20" s="691">
        <f>Z20*'54'!M23</f>
        <v>4.6864376686019789E-2</v>
      </c>
      <c r="AB20" s="690">
        <f t="shared" si="1"/>
        <v>0.57317851838370371</v>
      </c>
      <c r="AC20" s="691">
        <v>0.29062926124297161</v>
      </c>
      <c r="AD20" s="691">
        <f>AC20*'51a-j'!AC23</f>
        <v>0.12053359541059665</v>
      </c>
      <c r="AE20" s="691">
        <v>0.43543244130501851</v>
      </c>
      <c r="AF20" s="691">
        <f>AE20*'52'!I21</f>
        <v>0.32728461793941643</v>
      </c>
      <c r="AG20" s="691">
        <v>0.19592598910218223</v>
      </c>
      <c r="AH20" s="691">
        <f>AG20*'53'!U23</f>
        <v>8.9553302633566492E-2</v>
      </c>
      <c r="AI20" s="691">
        <v>7.8012308349827697E-2</v>
      </c>
      <c r="AJ20" s="691">
        <f>AI20*'54'!Q23</f>
        <v>6.3004964565891552E-2</v>
      </c>
      <c r="AK20" s="690">
        <v>0.60037648054947113</v>
      </c>
      <c r="AL20" s="691">
        <v>0.29106803207903842</v>
      </c>
      <c r="AM20" s="691">
        <f>AL20*'51a-j'!AJ23</f>
        <v>0.11143242124579536</v>
      </c>
      <c r="AN20" s="691">
        <v>0.43889059454247642</v>
      </c>
      <c r="AO20" s="691">
        <f>AN20*'52'!K21</f>
        <v>0.26485867359272008</v>
      </c>
      <c r="AP20" s="691">
        <v>0.19422170596004348</v>
      </c>
      <c r="AQ20" s="691">
        <f>AP20*'53'!Z23</f>
        <v>0.1096213082765071</v>
      </c>
      <c r="AR20" s="691">
        <v>7.5819667418441691E-2</v>
      </c>
      <c r="AS20" s="691">
        <f>AR20*'54'!U23</f>
        <v>4.235026827185847E-2</v>
      </c>
      <c r="AT20" s="690">
        <v>0.52826267138688099</v>
      </c>
      <c r="AU20" s="691">
        <v>0.2996551102022314</v>
      </c>
      <c r="AV20" s="691"/>
      <c r="AW20" s="691">
        <v>0.42843576008360362</v>
      </c>
      <c r="AX20" s="691"/>
      <c r="AY20" s="691">
        <v>0.18858123385055731</v>
      </c>
      <c r="AZ20" s="691"/>
      <c r="BA20" s="691">
        <v>8.3327895863607754E-2</v>
      </c>
      <c r="BB20" s="691"/>
      <c r="BC20" s="690">
        <v>0.6411184994503103</v>
      </c>
      <c r="BD20" s="691">
        <v>0.29698286871943741</v>
      </c>
      <c r="BE20" s="691"/>
      <c r="BF20" s="691">
        <v>0.4304554164033636</v>
      </c>
      <c r="BG20" s="691"/>
      <c r="BH20" s="691">
        <v>0.18676783509626024</v>
      </c>
      <c r="BI20" s="691"/>
      <c r="BJ20" s="691">
        <v>8.5793879780938748E-2</v>
      </c>
      <c r="BK20" s="691"/>
      <c r="BL20" s="690">
        <v>0.6814729040763986</v>
      </c>
      <c r="BM20" s="691">
        <v>0.29061348597454412</v>
      </c>
      <c r="BN20" s="691"/>
      <c r="BO20" s="691">
        <v>0.44351658670556043</v>
      </c>
      <c r="BP20" s="691"/>
      <c r="BQ20" s="691">
        <v>0.18452143956039954</v>
      </c>
      <c r="BR20" s="691"/>
      <c r="BS20" s="691">
        <v>8.1348487759495991E-2</v>
      </c>
      <c r="BT20" s="691"/>
      <c r="BU20" s="690">
        <v>0.67706403307693386</v>
      </c>
      <c r="BV20" s="691">
        <v>0.28211316405159631</v>
      </c>
      <c r="BW20" s="691"/>
      <c r="BX20" s="691">
        <v>0.44528205109243107</v>
      </c>
      <c r="BY20" s="691"/>
      <c r="BZ20" s="691">
        <v>0.19391075069691324</v>
      </c>
      <c r="CA20" s="691"/>
      <c r="CB20" s="691">
        <v>7.8694034159059373E-2</v>
      </c>
      <c r="CC20" s="691"/>
      <c r="CD20" s="690">
        <v>0.68663866903139026</v>
      </c>
      <c r="CE20" s="691">
        <v>0.30127752108617378</v>
      </c>
      <c r="CF20" s="691">
        <v>0.4393233883766039</v>
      </c>
      <c r="CG20" s="691">
        <v>0.1883436953836202</v>
      </c>
      <c r="CH20" s="691">
        <v>7.1055395153602013E-2</v>
      </c>
      <c r="CI20" s="690">
        <v>0.71456437117003102</v>
      </c>
      <c r="CJ20" s="691">
        <v>0.30075856124712402</v>
      </c>
      <c r="CK20" s="691">
        <v>0.44214537251537611</v>
      </c>
      <c r="CL20" s="691">
        <v>0.17134385230924343</v>
      </c>
      <c r="CM20" s="691">
        <v>8.5752213928256354E-2</v>
      </c>
      <c r="CN20" s="690">
        <v>0.53168747550300399</v>
      </c>
    </row>
    <row r="21" spans="1:92">
      <c r="A21" s="2">
        <v>1986</v>
      </c>
      <c r="B21" s="691">
        <v>0.29775291750040456</v>
      </c>
      <c r="C21" s="691">
        <f>B21*'51a-j'!H24</f>
        <v>0.16533473929878151</v>
      </c>
      <c r="D21" s="691">
        <v>0.43468966099744405</v>
      </c>
      <c r="E21" s="691">
        <f>D21*'52'!C22</f>
        <v>0.30805597930738809</v>
      </c>
      <c r="F21" s="691">
        <v>0.18515306431376291</v>
      </c>
      <c r="G21" s="691">
        <f>F21*'53'!F24</f>
        <v>9.2807215588779093E-2</v>
      </c>
      <c r="H21" s="691">
        <v>8.2404357188388483E-2</v>
      </c>
      <c r="I21" s="691">
        <f>H21*'54'!E24</f>
        <v>6.4228934873484009E-2</v>
      </c>
      <c r="J21" s="690">
        <f t="shared" si="0"/>
        <v>0.6304268690684327</v>
      </c>
      <c r="K21" s="691">
        <v>0.28739607829180847</v>
      </c>
      <c r="L21" s="691">
        <f>K21*'51a-j'!O24</f>
        <v>7.0771996164782844E-2</v>
      </c>
      <c r="M21" s="691">
        <v>0.43752713422366363</v>
      </c>
      <c r="N21" s="691">
        <f>M21*'52'!E22</f>
        <v>0.30693421359911466</v>
      </c>
      <c r="O21" s="691">
        <v>0.20671758556789493</v>
      </c>
      <c r="P21" s="691">
        <f>O21*'53'!K24</f>
        <v>0.14076442666006711</v>
      </c>
      <c r="Q21" s="691">
        <v>6.8359201916633042E-2</v>
      </c>
      <c r="R21" s="691">
        <f>Q21*'54'!I24</f>
        <v>4.8541163670397645E-2</v>
      </c>
      <c r="S21" s="690">
        <v>0.56701180009436225</v>
      </c>
      <c r="T21" s="691">
        <v>0.28481049201753961</v>
      </c>
      <c r="U21" s="691">
        <f>T21*'51a-j'!V24</f>
        <v>0.14192344653381991</v>
      </c>
      <c r="V21" s="691">
        <v>0.44238487268726678</v>
      </c>
      <c r="W21" s="691">
        <f>V21*'52'!G22</f>
        <v>0.28385206037393834</v>
      </c>
      <c r="X21" s="691">
        <v>0.19619774973789272</v>
      </c>
      <c r="Y21" s="691">
        <f>X21*'53'!P24</f>
        <v>0.13463576710420364</v>
      </c>
      <c r="Z21" s="691">
        <v>7.6606885557300899E-2</v>
      </c>
      <c r="AA21" s="691">
        <f>Z21*'54'!M24</f>
        <v>4.6966731964046632E-2</v>
      </c>
      <c r="AB21" s="690">
        <f t="shared" si="1"/>
        <v>0.60737800597600855</v>
      </c>
      <c r="AC21" s="691">
        <v>0.29180104743534196</v>
      </c>
      <c r="AD21" s="691">
        <f>AC21*'51a-j'!AC24</f>
        <v>0.12317161889675486</v>
      </c>
      <c r="AE21" s="691">
        <v>0.43578752865839659</v>
      </c>
      <c r="AF21" s="691">
        <f>AE21*'52'!I22</f>
        <v>0.28476424805455847</v>
      </c>
      <c r="AG21" s="691">
        <v>0.19425918176692297</v>
      </c>
      <c r="AH21" s="691">
        <f>AG21*'53'!U24</f>
        <v>8.1913821652766824E-2</v>
      </c>
      <c r="AI21" s="691">
        <v>7.8152242139338496E-2</v>
      </c>
      <c r="AJ21" s="691">
        <f>AI21*'54'!Q24</f>
        <v>6.4887086880536349E-2</v>
      </c>
      <c r="AK21" s="690">
        <v>0.55473677548461653</v>
      </c>
      <c r="AL21" s="691">
        <v>0.29247196254588914</v>
      </c>
      <c r="AM21" s="691">
        <f>AL21*'51a-j'!AJ24</f>
        <v>0.12161483965109376</v>
      </c>
      <c r="AN21" s="691">
        <v>0.43926503846444725</v>
      </c>
      <c r="AO21" s="691">
        <f>AN21*'52'!K22</f>
        <v>0.27338277397036009</v>
      </c>
      <c r="AP21" s="691">
        <v>0.19206432646163793</v>
      </c>
      <c r="AQ21" s="691">
        <f>AP21*'53'!Z24</f>
        <v>0.10088356943853662</v>
      </c>
      <c r="AR21" s="691">
        <v>7.6198672528025632E-2</v>
      </c>
      <c r="AS21" s="691">
        <f>AR21*'54'!U24</f>
        <v>4.3363334214349528E-2</v>
      </c>
      <c r="AT21" s="690">
        <v>0.53924451727433997</v>
      </c>
      <c r="AU21" s="691">
        <v>0.30055615722204493</v>
      </c>
      <c r="AV21" s="691"/>
      <c r="AW21" s="691">
        <v>0.42968556868151819</v>
      </c>
      <c r="AX21" s="691"/>
      <c r="AY21" s="691">
        <v>0.18565906369624119</v>
      </c>
      <c r="AZ21" s="691"/>
      <c r="BA21" s="691">
        <v>8.4099210400195759E-2</v>
      </c>
      <c r="BB21" s="691"/>
      <c r="BC21" s="690">
        <v>0.62432723550422919</v>
      </c>
      <c r="BD21" s="691">
        <v>0.29812071774088977</v>
      </c>
      <c r="BE21" s="691"/>
      <c r="BF21" s="691">
        <v>0.43172153228490218</v>
      </c>
      <c r="BG21" s="691"/>
      <c r="BH21" s="691">
        <v>0.18465721954807343</v>
      </c>
      <c r="BI21" s="691"/>
      <c r="BJ21" s="691">
        <v>8.5500530426134466E-2</v>
      </c>
      <c r="BK21" s="691"/>
      <c r="BL21" s="690">
        <v>0.68608184693414942</v>
      </c>
      <c r="BM21" s="691">
        <v>0.29171062998933406</v>
      </c>
      <c r="BN21" s="691"/>
      <c r="BO21" s="691">
        <v>0.44438054096775559</v>
      </c>
      <c r="BP21" s="691"/>
      <c r="BQ21" s="691">
        <v>0.18302198887155843</v>
      </c>
      <c r="BR21" s="691"/>
      <c r="BS21" s="691">
        <v>8.0886840171351879E-2</v>
      </c>
      <c r="BT21" s="691"/>
      <c r="BU21" s="690">
        <v>0.63641251528098752</v>
      </c>
      <c r="BV21" s="691">
        <v>0.28245329383636114</v>
      </c>
      <c r="BW21" s="691"/>
      <c r="BX21" s="691">
        <v>0.44489030750781117</v>
      </c>
      <c r="BY21" s="691"/>
      <c r="BZ21" s="691">
        <v>0.19436590690143407</v>
      </c>
      <c r="CA21" s="691"/>
      <c r="CB21" s="691">
        <v>7.8290491754393579E-2</v>
      </c>
      <c r="CC21" s="691"/>
      <c r="CD21" s="690">
        <v>0.65047920428347583</v>
      </c>
      <c r="CE21" s="691">
        <v>0.30141015612584743</v>
      </c>
      <c r="CF21" s="691">
        <v>0.43944949463280608</v>
      </c>
      <c r="CG21" s="691">
        <v>0.1877489752576546</v>
      </c>
      <c r="CH21" s="691">
        <v>7.1391373983691858E-2</v>
      </c>
      <c r="CI21" s="690">
        <v>0.70354248604074043</v>
      </c>
      <c r="CJ21" s="691">
        <v>0.30064612226354653</v>
      </c>
      <c r="CK21" s="691">
        <v>0.44250151729837917</v>
      </c>
      <c r="CL21" s="691">
        <v>0.17074946853308523</v>
      </c>
      <c r="CM21" s="691">
        <v>8.6102891904989015E-2</v>
      </c>
      <c r="CN21" s="690">
        <v>0.52293190674455026</v>
      </c>
    </row>
    <row r="22" spans="1:92">
      <c r="A22" s="2">
        <v>1987</v>
      </c>
      <c r="B22" s="691">
        <v>0.29818543526024949</v>
      </c>
      <c r="C22" s="691">
        <f>B22*'51a-j'!H25</f>
        <v>0.17663204939668892</v>
      </c>
      <c r="D22" s="691">
        <v>0.43612294512720823</v>
      </c>
      <c r="E22" s="691">
        <f>D22*'52'!C23</f>
        <v>0.30405512185532058</v>
      </c>
      <c r="F22" s="691">
        <v>0.18297554160723259</v>
      </c>
      <c r="G22" s="691">
        <f>F22*'53'!F25</f>
        <v>7.7204222799057892E-2</v>
      </c>
      <c r="H22" s="691">
        <v>8.2716078005309709E-2</v>
      </c>
      <c r="I22" s="691">
        <f>H22*'54'!E25</f>
        <v>6.5877292455014905E-2</v>
      </c>
      <c r="J22" s="690">
        <f t="shared" si="0"/>
        <v>0.6237686865060823</v>
      </c>
      <c r="K22" s="691">
        <v>0.28908062704743054</v>
      </c>
      <c r="L22" s="691">
        <f>K22*'51a-j'!O25</f>
        <v>8.7315209533787033E-2</v>
      </c>
      <c r="M22" s="691">
        <v>0.43697396956005496</v>
      </c>
      <c r="N22" s="691">
        <f>M22*'52'!E23</f>
        <v>0.30562727100843307</v>
      </c>
      <c r="O22" s="691">
        <v>0.2049318019717202</v>
      </c>
      <c r="P22" s="691">
        <f>O22*'53'!K25</f>
        <v>9.6080984600028091E-2</v>
      </c>
      <c r="Q22" s="691">
        <v>6.9013601420794296E-2</v>
      </c>
      <c r="R22" s="691">
        <f>Q22*'54'!I25</f>
        <v>5.2825019441372759E-2</v>
      </c>
      <c r="S22" s="690">
        <v>0.54184848458362089</v>
      </c>
      <c r="T22" s="691">
        <v>0.28530255441305197</v>
      </c>
      <c r="U22" s="691">
        <f>T22*'51a-j'!V25</f>
        <v>0.15504149554616728</v>
      </c>
      <c r="V22" s="691">
        <v>0.44289238188745256</v>
      </c>
      <c r="W22" s="691">
        <f>V22*'52'!G23</f>
        <v>0.27742921129003628</v>
      </c>
      <c r="X22" s="691">
        <v>0.19475395630262216</v>
      </c>
      <c r="Y22" s="691">
        <f>X22*'53'!P25</f>
        <v>9.3369926317859731E-2</v>
      </c>
      <c r="Z22" s="691">
        <v>7.7051107396873375E-2</v>
      </c>
      <c r="AA22" s="691">
        <f>Z22*'54'!M25</f>
        <v>6.0117064812577031E-2</v>
      </c>
      <c r="AB22" s="690">
        <f t="shared" si="1"/>
        <v>0.58595769796664032</v>
      </c>
      <c r="AC22" s="691">
        <v>0.29243693164009321</v>
      </c>
      <c r="AD22" s="691">
        <f>AC22*'51a-j'!AC25</f>
        <v>0.14098561820761762</v>
      </c>
      <c r="AE22" s="691">
        <v>0.43636445064443102</v>
      </c>
      <c r="AF22" s="691">
        <f>AE22*'52'!I23</f>
        <v>0.27259837695029215</v>
      </c>
      <c r="AG22" s="691">
        <v>0.19276732222254558</v>
      </c>
      <c r="AH22" s="691">
        <f>AG22*'53'!U25</f>
        <v>9.2263176687930035E-2</v>
      </c>
      <c r="AI22" s="691">
        <v>7.8431295492930084E-2</v>
      </c>
      <c r="AJ22" s="691">
        <f>AI22*'54'!Q25</f>
        <v>6.8363411406200003E-2</v>
      </c>
      <c r="AK22" s="690">
        <v>0.57421058325203989</v>
      </c>
      <c r="AL22" s="691">
        <v>0.29354619922493469</v>
      </c>
      <c r="AM22" s="691">
        <f>AL22*'51a-j'!AJ25</f>
        <v>0.14027154664183697</v>
      </c>
      <c r="AN22" s="691">
        <v>0.43996080992296188</v>
      </c>
      <c r="AO22" s="691">
        <f>AN22*'52'!K23</f>
        <v>0.27368377267717897</v>
      </c>
      <c r="AP22" s="691">
        <v>0.18972014146031022</v>
      </c>
      <c r="AQ22" s="691">
        <f>AP22*'53'!Z25</f>
        <v>6.2797323249407788E-2</v>
      </c>
      <c r="AR22" s="691">
        <v>7.6772849391793199E-2</v>
      </c>
      <c r="AS22" s="691">
        <f>AR22*'54'!U25</f>
        <v>4.0546789721987213E-2</v>
      </c>
      <c r="AT22" s="690">
        <v>0.51729943229041098</v>
      </c>
      <c r="AU22" s="691">
        <v>0.30127033741360648</v>
      </c>
      <c r="AV22" s="691"/>
      <c r="AW22" s="691">
        <v>0.43148374944036022</v>
      </c>
      <c r="AX22" s="691"/>
      <c r="AY22" s="691">
        <v>0.18222254593599452</v>
      </c>
      <c r="AZ22" s="691"/>
      <c r="BA22" s="691">
        <v>8.5023367210038753E-2</v>
      </c>
      <c r="BB22" s="691"/>
      <c r="BC22" s="690">
        <v>0.62824183836175573</v>
      </c>
      <c r="BD22" s="691">
        <v>0.29906135206103696</v>
      </c>
      <c r="BE22" s="691"/>
      <c r="BF22" s="691">
        <v>0.43382964991840095</v>
      </c>
      <c r="BG22" s="691"/>
      <c r="BH22" s="691">
        <v>0.18173940611207517</v>
      </c>
      <c r="BI22" s="691"/>
      <c r="BJ22" s="691">
        <v>8.5369591908486905E-2</v>
      </c>
      <c r="BK22" s="691"/>
      <c r="BL22" s="690">
        <v>0.68488684027522828</v>
      </c>
      <c r="BM22" s="691">
        <v>0.291723180560852</v>
      </c>
      <c r="BN22" s="691"/>
      <c r="BO22" s="691">
        <v>0.44564297615904791</v>
      </c>
      <c r="BP22" s="691"/>
      <c r="BQ22" s="691">
        <v>0.18220677899678669</v>
      </c>
      <c r="BR22" s="691"/>
      <c r="BS22" s="691">
        <v>8.0427064283313365E-2</v>
      </c>
      <c r="BT22" s="691"/>
      <c r="BU22" s="690">
        <v>0.65933744414501216</v>
      </c>
      <c r="BV22" s="691">
        <v>0.28238995567901204</v>
      </c>
      <c r="BW22" s="691"/>
      <c r="BX22" s="691">
        <v>0.44465909248242796</v>
      </c>
      <c r="BY22" s="691"/>
      <c r="BZ22" s="691">
        <v>0.19497758320402961</v>
      </c>
      <c r="CA22" s="691"/>
      <c r="CB22" s="691">
        <v>7.7973368634530471E-2</v>
      </c>
      <c r="CC22" s="691"/>
      <c r="CD22" s="690">
        <v>0.60964168394047324</v>
      </c>
      <c r="CE22" s="691">
        <v>0.29996142231447759</v>
      </c>
      <c r="CF22" s="691">
        <v>0.43919744785265519</v>
      </c>
      <c r="CG22" s="691">
        <v>0.18875387892646883</v>
      </c>
      <c r="CH22" s="691">
        <v>7.2087250906398448E-2</v>
      </c>
      <c r="CI22" s="690">
        <v>0.68220211180437873</v>
      </c>
      <c r="CJ22" s="691">
        <v>0.30029355112416767</v>
      </c>
      <c r="CK22" s="691">
        <v>0.44363830659113745</v>
      </c>
      <c r="CL22" s="691">
        <v>0.16970083709137956</v>
      </c>
      <c r="CM22" s="691">
        <v>8.6367305193315341E-2</v>
      </c>
      <c r="CN22" s="690">
        <v>0.50985741252223871</v>
      </c>
    </row>
    <row r="23" spans="1:92">
      <c r="A23" s="2">
        <v>1988</v>
      </c>
      <c r="B23" s="691">
        <v>0.29795273039553677</v>
      </c>
      <c r="C23" s="691">
        <f>B23*'51a-j'!H26</f>
        <v>0.19091223256459705</v>
      </c>
      <c r="D23" s="691">
        <v>0.43649296698268253</v>
      </c>
      <c r="E23" s="691">
        <f>D23*'52'!C24</f>
        <v>0.3044555471414449</v>
      </c>
      <c r="F23" s="691">
        <v>0.18229285763626657</v>
      </c>
      <c r="G23" s="691">
        <f>F23*'53'!F26</f>
        <v>9.4357535274650642E-2</v>
      </c>
      <c r="H23" s="691">
        <v>8.3261444985514188E-2</v>
      </c>
      <c r="I23" s="691">
        <f>H23*'54'!E26</f>
        <v>6.4602056263044869E-2</v>
      </c>
      <c r="J23" s="690">
        <f t="shared" si="0"/>
        <v>0.65432737124373741</v>
      </c>
      <c r="K23" s="691">
        <v>0.29099024979674459</v>
      </c>
      <c r="L23" s="691">
        <f>K23*'51a-j'!O26</f>
        <v>0.11282090267665001</v>
      </c>
      <c r="M23" s="691">
        <v>0.43651764005247107</v>
      </c>
      <c r="N23" s="691">
        <f>M23*'52'!E24</f>
        <v>0.31320862648767833</v>
      </c>
      <c r="O23" s="691">
        <v>0.20211643105957094</v>
      </c>
      <c r="P23" s="691">
        <f>O23*'53'!K26</f>
        <v>0.11386901934030401</v>
      </c>
      <c r="Q23" s="691">
        <v>7.0375679091213311E-2</v>
      </c>
      <c r="R23" s="691">
        <f>Q23*'54'!I26</f>
        <v>5.0929365430842206E-2</v>
      </c>
      <c r="S23" s="690">
        <v>0.59082791393547462</v>
      </c>
      <c r="T23" s="691">
        <v>0.28581701540959792</v>
      </c>
      <c r="U23" s="691">
        <f>T23*'51a-j'!V26</f>
        <v>0.15722090095009641</v>
      </c>
      <c r="V23" s="691">
        <v>0.44398649651918182</v>
      </c>
      <c r="W23" s="691">
        <f>V23*'52'!G24</f>
        <v>0.2886618409166033</v>
      </c>
      <c r="X23" s="691">
        <v>0.19272747388612937</v>
      </c>
      <c r="Y23" s="691">
        <f>X23*'53'!P26</f>
        <v>0.11631853461613528</v>
      </c>
      <c r="Z23" s="691">
        <v>7.7469014185090931E-2</v>
      </c>
      <c r="AA23" s="691">
        <f>Z23*'54'!M26</f>
        <v>4.8738897425960777E-2</v>
      </c>
      <c r="AB23" s="690">
        <f t="shared" si="1"/>
        <v>0.61094017390879585</v>
      </c>
      <c r="AC23" s="691">
        <v>0.29307495006903117</v>
      </c>
      <c r="AD23" s="691">
        <f>AC23*'51a-j'!AC26</f>
        <v>0.166556603416951</v>
      </c>
      <c r="AE23" s="691">
        <v>0.43682704507812148</v>
      </c>
      <c r="AF23" s="691">
        <f>AE23*'52'!I24</f>
        <v>0.27656401807712033</v>
      </c>
      <c r="AG23" s="691">
        <v>0.19071443069351166</v>
      </c>
      <c r="AH23" s="691">
        <f>AG23*'53'!U26</f>
        <v>0.12255655493090442</v>
      </c>
      <c r="AI23" s="691">
        <v>7.9383574159335793E-2</v>
      </c>
      <c r="AJ23" s="691">
        <f>AI23*'54'!Q26</f>
        <v>6.6194274917286203E-2</v>
      </c>
      <c r="AK23" s="690">
        <v>0.63187145134226197</v>
      </c>
      <c r="AL23" s="691">
        <v>0.2944700667895771</v>
      </c>
      <c r="AM23" s="691">
        <f>AL23*'51a-j'!AJ26</f>
        <v>0.16252759599313935</v>
      </c>
      <c r="AN23" s="691">
        <v>0.44010640927930789</v>
      </c>
      <c r="AO23" s="691">
        <f>AN23*'52'!K24</f>
        <v>0.27281548819389217</v>
      </c>
      <c r="AP23" s="691">
        <v>0.18769569036097331</v>
      </c>
      <c r="AQ23" s="691">
        <f>AP23*'53'!Z26</f>
        <v>9.282974113841623E-2</v>
      </c>
      <c r="AR23" s="691">
        <v>7.7727833570141625E-2</v>
      </c>
      <c r="AS23" s="691">
        <f>AR23*'54'!U26</f>
        <v>3.8694166492481093E-2</v>
      </c>
      <c r="AT23" s="690">
        <v>0.56686699181792888</v>
      </c>
      <c r="AU23" s="691">
        <v>0.30084482322923145</v>
      </c>
      <c r="AV23" s="691"/>
      <c r="AW23" s="691">
        <v>0.43182893056947402</v>
      </c>
      <c r="AX23" s="691"/>
      <c r="AY23" s="691">
        <v>0.18111914295804205</v>
      </c>
      <c r="AZ23" s="691"/>
      <c r="BA23" s="691">
        <v>8.6207103243252467E-2</v>
      </c>
      <c r="BB23" s="691"/>
      <c r="BC23" s="690">
        <v>0.65124643953273098</v>
      </c>
      <c r="BD23" s="691">
        <v>0.29901145826047149</v>
      </c>
      <c r="BE23" s="691"/>
      <c r="BF23" s="691">
        <v>0.43453582490927994</v>
      </c>
      <c r="BG23" s="691"/>
      <c r="BH23" s="691">
        <v>0.18114318082424935</v>
      </c>
      <c r="BI23" s="691"/>
      <c r="BJ23" s="691">
        <v>8.5309536005999276E-2</v>
      </c>
      <c r="BK23" s="691"/>
      <c r="BL23" s="690">
        <v>0.70054495854841792</v>
      </c>
      <c r="BM23" s="691">
        <v>0.29163522030876371</v>
      </c>
      <c r="BN23" s="691"/>
      <c r="BO23" s="691">
        <v>0.44647570259118669</v>
      </c>
      <c r="BP23" s="691"/>
      <c r="BQ23" s="691">
        <v>0.18143852662470519</v>
      </c>
      <c r="BR23" s="691"/>
      <c r="BS23" s="691">
        <v>8.0450550475344509E-2</v>
      </c>
      <c r="BT23" s="691"/>
      <c r="BU23" s="690">
        <v>0.69779135838404482</v>
      </c>
      <c r="BV23" s="691">
        <v>0.28144770497922866</v>
      </c>
      <c r="BW23" s="691"/>
      <c r="BX23" s="691">
        <v>0.44629004180646076</v>
      </c>
      <c r="BY23" s="691"/>
      <c r="BZ23" s="691">
        <v>0.19407611813133796</v>
      </c>
      <c r="CA23" s="691"/>
      <c r="CB23" s="691">
        <v>7.8186135082972702E-2</v>
      </c>
      <c r="CC23" s="691"/>
      <c r="CD23" s="690">
        <v>0.6568269023529224</v>
      </c>
      <c r="CE23" s="691">
        <v>0.29878282446594995</v>
      </c>
      <c r="CF23" s="691">
        <v>0.43894283862117917</v>
      </c>
      <c r="CG23" s="691">
        <v>0.18921094352529541</v>
      </c>
      <c r="CH23" s="691">
        <v>7.3063393387575351E-2</v>
      </c>
      <c r="CI23" s="690">
        <v>0.68508526484124377</v>
      </c>
      <c r="CJ23" s="691">
        <v>0.29936709392642502</v>
      </c>
      <c r="CK23" s="691">
        <v>0.44327966454914147</v>
      </c>
      <c r="CL23" s="691">
        <v>0.17063852441908686</v>
      </c>
      <c r="CM23" s="691">
        <v>8.6714717105346603E-2</v>
      </c>
      <c r="CN23" s="690">
        <v>0.56319379305762118</v>
      </c>
    </row>
    <row r="24" spans="1:92">
      <c r="A24" s="2">
        <v>1989</v>
      </c>
      <c r="B24" s="691">
        <v>0.29812873457314759</v>
      </c>
      <c r="C24" s="691">
        <f>B24*'51a-j'!H27</f>
        <v>0.19538090254453472</v>
      </c>
      <c r="D24" s="691">
        <v>0.43733962174167695</v>
      </c>
      <c r="E24" s="691">
        <f>D24*'52'!C25</f>
        <v>0.3019415189726859</v>
      </c>
      <c r="F24" s="691">
        <v>0.18090053190978744</v>
      </c>
      <c r="G24" s="691">
        <f>F24*'53'!F27</f>
        <v>0.10255580792089118</v>
      </c>
      <c r="H24" s="691">
        <v>8.3631111775388123E-2</v>
      </c>
      <c r="I24" s="691">
        <f>H24*'54'!E27</f>
        <v>6.7475128628519815E-2</v>
      </c>
      <c r="J24" s="690">
        <f t="shared" si="0"/>
        <v>0.66735335806663154</v>
      </c>
      <c r="K24" s="691">
        <v>0.29312709357558137</v>
      </c>
      <c r="L24" s="691">
        <f>K24*'51a-j'!O27</f>
        <v>0.12795230275124581</v>
      </c>
      <c r="M24" s="691">
        <v>0.43618332549100813</v>
      </c>
      <c r="N24" s="691">
        <f>M24*'52'!E25</f>
        <v>0.32306153818555233</v>
      </c>
      <c r="O24" s="691">
        <v>0.19882064414955383</v>
      </c>
      <c r="P24" s="691">
        <f>O24*'53'!K27</f>
        <v>0.12473983904916373</v>
      </c>
      <c r="Q24" s="691">
        <v>7.1868936783856585E-2</v>
      </c>
      <c r="R24" s="691">
        <f>Q24*'54'!I27</f>
        <v>5.5608490958095252E-2</v>
      </c>
      <c r="S24" s="690">
        <v>0.63136217094405711</v>
      </c>
      <c r="T24" s="691">
        <v>0.28614194835431822</v>
      </c>
      <c r="U24" s="691">
        <f>T24*'51a-j'!V27</f>
        <v>0.1388966904448487</v>
      </c>
      <c r="V24" s="691">
        <v>0.44484803932392381</v>
      </c>
      <c r="W24" s="691">
        <f>V24*'52'!G25</f>
        <v>0.26842002213325428</v>
      </c>
      <c r="X24" s="691">
        <v>0.19047384144913024</v>
      </c>
      <c r="Y24" s="691">
        <f>X24*'53'!P27</f>
        <v>0.10069850014130026</v>
      </c>
      <c r="Z24" s="691">
        <v>7.8536170872627764E-2</v>
      </c>
      <c r="AA24" s="691">
        <f>Z24*'54'!M27</f>
        <v>5.0359516727673873E-2</v>
      </c>
      <c r="AB24" s="690">
        <f t="shared" si="1"/>
        <v>0.55837472944707711</v>
      </c>
      <c r="AC24" s="691">
        <v>0.29389712041034965</v>
      </c>
      <c r="AD24" s="691">
        <f>AC24*'51a-j'!AC27</f>
        <v>0.17360221230218964</v>
      </c>
      <c r="AE24" s="691">
        <v>0.43758332008706136</v>
      </c>
      <c r="AF24" s="691">
        <f>AE24*'52'!I25</f>
        <v>0.26842241596500449</v>
      </c>
      <c r="AG24" s="691">
        <v>0.18827667407859291</v>
      </c>
      <c r="AH24" s="691">
        <f>AG24*'53'!U27</f>
        <v>0.11748380204708096</v>
      </c>
      <c r="AI24" s="691">
        <v>8.0242885423995922E-2</v>
      </c>
      <c r="AJ24" s="691">
        <f>AI24*'54'!Q27</f>
        <v>6.8020455464394697E-2</v>
      </c>
      <c r="AK24" s="690">
        <v>0.62752888577866983</v>
      </c>
      <c r="AL24" s="691">
        <v>0.29543698923419603</v>
      </c>
      <c r="AM24" s="691">
        <f>AL24*'51a-j'!AJ27</f>
        <v>0.15757787425989248</v>
      </c>
      <c r="AN24" s="691">
        <v>0.44049232116634507</v>
      </c>
      <c r="AO24" s="691">
        <f>AN24*'52'!K25</f>
        <v>0.27611306744673308</v>
      </c>
      <c r="AP24" s="691">
        <v>0.18519505524901073</v>
      </c>
      <c r="AQ24" s="691">
        <f>AP24*'53'!Z27</f>
        <v>0.10068061561089449</v>
      </c>
      <c r="AR24" s="691">
        <v>7.8875634350448254E-2</v>
      </c>
      <c r="AS24" s="691">
        <f>AR24*'54'!U27</f>
        <v>5.526299784237574E-2</v>
      </c>
      <c r="AT24" s="690">
        <v>0.58963455515989582</v>
      </c>
      <c r="AU24" s="691">
        <v>0.30081780801211205</v>
      </c>
      <c r="AV24" s="691"/>
      <c r="AW24" s="691">
        <v>0.43260855235194379</v>
      </c>
      <c r="AX24" s="691"/>
      <c r="AY24" s="691">
        <v>0.17935537043015806</v>
      </c>
      <c r="AZ24" s="691"/>
      <c r="BA24" s="691">
        <v>8.7218269205786167E-2</v>
      </c>
      <c r="BB24" s="691"/>
      <c r="BC24" s="690">
        <v>0.6419313879396491</v>
      </c>
      <c r="BD24" s="691">
        <v>0.29959100717450576</v>
      </c>
      <c r="BE24" s="691"/>
      <c r="BF24" s="691">
        <v>0.4358148656407172</v>
      </c>
      <c r="BG24" s="691"/>
      <c r="BH24" s="691">
        <v>0.17962167988030878</v>
      </c>
      <c r="BI24" s="691"/>
      <c r="BJ24" s="691">
        <v>8.4972447304468235E-2</v>
      </c>
      <c r="BK24" s="691"/>
      <c r="BL24" s="690">
        <v>0.72043134061218861</v>
      </c>
      <c r="BM24" s="691">
        <v>0.29118980518024729</v>
      </c>
      <c r="BN24" s="691"/>
      <c r="BO24" s="691">
        <v>0.44708810150954365</v>
      </c>
      <c r="BP24" s="691"/>
      <c r="BQ24" s="691">
        <v>0.18101153436160766</v>
      </c>
      <c r="BR24" s="691"/>
      <c r="BS24" s="691">
        <v>8.0710558948601449E-2</v>
      </c>
      <c r="BT24" s="691"/>
      <c r="BU24" s="690">
        <v>0.70197595704918847</v>
      </c>
      <c r="BV24" s="691">
        <v>0.27909079498000289</v>
      </c>
      <c r="BW24" s="691"/>
      <c r="BX24" s="691">
        <v>0.44853066604851821</v>
      </c>
      <c r="BY24" s="691"/>
      <c r="BZ24" s="691">
        <v>0.19417848390550971</v>
      </c>
      <c r="CA24" s="691"/>
      <c r="CB24" s="691">
        <v>7.8200055065969165E-2</v>
      </c>
      <c r="CC24" s="691"/>
      <c r="CD24" s="690">
        <v>0.63636308141154518</v>
      </c>
      <c r="CE24" s="691">
        <v>0.29816722769921716</v>
      </c>
      <c r="CF24" s="691">
        <v>0.4396151496369366</v>
      </c>
      <c r="CG24" s="691">
        <v>0.18840549427236214</v>
      </c>
      <c r="CH24" s="691">
        <v>7.3812128391484183E-2</v>
      </c>
      <c r="CI24" s="690">
        <v>0.70093842315914856</v>
      </c>
      <c r="CJ24" s="691">
        <v>0.29884624937476995</v>
      </c>
      <c r="CK24" s="691">
        <v>0.44345414641409237</v>
      </c>
      <c r="CL24" s="691">
        <v>0.17080910117226006</v>
      </c>
      <c r="CM24" s="691">
        <v>8.6890503038877534E-2</v>
      </c>
      <c r="CN24" s="690">
        <v>0.61768895292368964</v>
      </c>
    </row>
    <row r="25" spans="1:92">
      <c r="A25" s="2">
        <v>1990</v>
      </c>
      <c r="B25" s="691">
        <v>0.29793797514132475</v>
      </c>
      <c r="C25" s="691">
        <f>B25*'51a-j'!H28</f>
        <v>0.1889335841953203</v>
      </c>
      <c r="D25" s="691">
        <v>0.4379744696007899</v>
      </c>
      <c r="E25" s="691">
        <f>D25*'52'!C26</f>
        <v>0.29236073259756412</v>
      </c>
      <c r="F25" s="691">
        <v>0.17995519991847084</v>
      </c>
      <c r="G25" s="691">
        <f>F25*'53'!F28</f>
        <v>0.10162225671501328</v>
      </c>
      <c r="H25" s="691">
        <v>8.4132355339414683E-2</v>
      </c>
      <c r="I25" s="691">
        <f>H25*'54'!E28</f>
        <v>7.0962962257871659E-2</v>
      </c>
      <c r="J25" s="690">
        <f t="shared" si="0"/>
        <v>0.6538795357657694</v>
      </c>
      <c r="K25" s="691">
        <v>0.2950958619759213</v>
      </c>
      <c r="L25" s="691">
        <f>K25*'51a-j'!O28</f>
        <v>0.10550098739008362</v>
      </c>
      <c r="M25" s="691">
        <v>0.43590553094778656</v>
      </c>
      <c r="N25" s="691">
        <f>M25*'52'!E26</f>
        <v>0.31952005772488751</v>
      </c>
      <c r="O25" s="691">
        <v>0.1954892646452408</v>
      </c>
      <c r="P25" s="691">
        <f>O25*'53'!K28</f>
        <v>9.3208437190946014E-2</v>
      </c>
      <c r="Q25" s="691">
        <v>7.3509342431051325E-2</v>
      </c>
      <c r="R25" s="691">
        <f>Q25*'54'!I28</f>
        <v>6.0458510926078471E-2</v>
      </c>
      <c r="S25" s="690">
        <v>0.5786879932319956</v>
      </c>
      <c r="T25" s="691">
        <v>0.28629316221277051</v>
      </c>
      <c r="U25" s="691">
        <f>T25*'51a-j'!V28</f>
        <v>0.12727064800030574</v>
      </c>
      <c r="V25" s="691">
        <v>0.44538286797568866</v>
      </c>
      <c r="W25" s="691">
        <f>V25*'52'!G26</f>
        <v>0.26123244002948814</v>
      </c>
      <c r="X25" s="691">
        <v>0.18861176193690057</v>
      </c>
      <c r="Y25" s="691">
        <f>X25*'53'!P28</f>
        <v>0.12208436839930192</v>
      </c>
      <c r="Z25" s="691">
        <v>7.9712207874640326E-2</v>
      </c>
      <c r="AA25" s="691">
        <f>Z25*'54'!M28</f>
        <v>5.7024260006247864E-2</v>
      </c>
      <c r="AB25" s="690">
        <f t="shared" si="1"/>
        <v>0.56761171643534358</v>
      </c>
      <c r="AC25" s="691">
        <v>0.29447982798443922</v>
      </c>
      <c r="AD25" s="691">
        <f>AC25*'51a-j'!AC28</f>
        <v>0.16354232574907657</v>
      </c>
      <c r="AE25" s="691">
        <v>0.43824130024152386</v>
      </c>
      <c r="AF25" s="691">
        <f>AE25*'52'!I26</f>
        <v>0.2703113304904517</v>
      </c>
      <c r="AG25" s="691">
        <v>0.18597146949440019</v>
      </c>
      <c r="AH25" s="691">
        <f>AG25*'53'!U28</f>
        <v>0.10610055047752824</v>
      </c>
      <c r="AI25" s="691">
        <v>8.1307402279636676E-2</v>
      </c>
      <c r="AJ25" s="691">
        <f>AI25*'54'!Q28</f>
        <v>7.2764210231518966E-2</v>
      </c>
      <c r="AK25" s="690">
        <v>0.61271841694857554</v>
      </c>
      <c r="AL25" s="691">
        <v>0.29631959962580118</v>
      </c>
      <c r="AM25" s="691">
        <f>AL25*'51a-j'!AJ28</f>
        <v>0.15897462298300497</v>
      </c>
      <c r="AN25" s="691">
        <v>0.44100483502867238</v>
      </c>
      <c r="AO25" s="691">
        <f>AN25*'52'!K26</f>
        <v>0.25373364096279327</v>
      </c>
      <c r="AP25" s="691">
        <v>0.18277101088512876</v>
      </c>
      <c r="AQ25" s="691">
        <f>AP25*'53'!Z28</f>
        <v>9.2027083334562484E-2</v>
      </c>
      <c r="AR25" s="691">
        <v>7.9904554460397764E-2</v>
      </c>
      <c r="AS25" s="691">
        <f>AR25*'54'!U28</f>
        <v>5.8413977947620849E-2</v>
      </c>
      <c r="AT25" s="690">
        <v>0.56314932522798156</v>
      </c>
      <c r="AU25" s="691">
        <v>0.3004261774548474</v>
      </c>
      <c r="AV25" s="691"/>
      <c r="AW25" s="691">
        <v>0.43317783696982137</v>
      </c>
      <c r="AX25" s="691"/>
      <c r="AY25" s="691">
        <v>0.17792884674886952</v>
      </c>
      <c r="AZ25" s="691"/>
      <c r="BA25" s="691">
        <v>8.8467138826461747E-2</v>
      </c>
      <c r="BB25" s="691"/>
      <c r="BC25" s="690">
        <v>0.63088470736523483</v>
      </c>
      <c r="BD25" s="691">
        <v>0.29923322196170965</v>
      </c>
      <c r="BE25" s="691"/>
      <c r="BF25" s="691">
        <v>0.43657663905138289</v>
      </c>
      <c r="BG25" s="691"/>
      <c r="BH25" s="691">
        <v>0.17929469625906427</v>
      </c>
      <c r="BI25" s="691"/>
      <c r="BJ25" s="691">
        <v>8.4895442727843218E-2</v>
      </c>
      <c r="BK25" s="691"/>
      <c r="BL25" s="690">
        <v>0.68907613220905306</v>
      </c>
      <c r="BM25" s="691">
        <v>0.29081724838939577</v>
      </c>
      <c r="BN25" s="691"/>
      <c r="BO25" s="691">
        <v>0.4477218669710028</v>
      </c>
      <c r="BP25" s="691"/>
      <c r="BQ25" s="691">
        <v>0.18049054208639495</v>
      </c>
      <c r="BR25" s="691"/>
      <c r="BS25" s="691">
        <v>8.0970342553206454E-2</v>
      </c>
      <c r="BT25" s="691"/>
      <c r="BU25" s="690">
        <v>0.67729737799151968</v>
      </c>
      <c r="BV25" s="691">
        <v>0.27596906186665826</v>
      </c>
      <c r="BW25" s="691"/>
      <c r="BX25" s="691">
        <v>0.45087089555150972</v>
      </c>
      <c r="BY25" s="691"/>
      <c r="BZ25" s="691">
        <v>0.19494576481132136</v>
      </c>
      <c r="CA25" s="691"/>
      <c r="CB25" s="691">
        <v>7.8214277770510723E-2</v>
      </c>
      <c r="CC25" s="691"/>
      <c r="CD25" s="690">
        <v>0.64058970789121672</v>
      </c>
      <c r="CE25" s="691">
        <v>0.29799895114359148</v>
      </c>
      <c r="CF25" s="691">
        <v>0.44059679047647782</v>
      </c>
      <c r="CG25" s="691">
        <v>0.18697455848578171</v>
      </c>
      <c r="CH25" s="691">
        <v>7.4429699894149021E-2</v>
      </c>
      <c r="CI25" s="690">
        <v>0.69562288995198607</v>
      </c>
      <c r="CJ25" s="691">
        <v>0.2988129167686211</v>
      </c>
      <c r="CK25" s="691">
        <v>0.4437373343858777</v>
      </c>
      <c r="CL25" s="691">
        <v>0.17050146027271743</v>
      </c>
      <c r="CM25" s="691">
        <v>8.6948288572783736E-2</v>
      </c>
      <c r="CN25" s="690">
        <v>0.62428367136385321</v>
      </c>
    </row>
    <row r="26" spans="1:92">
      <c r="A26" s="2">
        <v>1991</v>
      </c>
      <c r="B26" s="691">
        <v>0.29738580487536775</v>
      </c>
      <c r="C26" s="691">
        <f>B26*'51a-j'!H29</f>
        <v>0.16134098559832566</v>
      </c>
      <c r="D26" s="691">
        <v>0.43816110764605021</v>
      </c>
      <c r="E26" s="691">
        <f>D26*'52'!C27</f>
        <v>0.27897749261780008</v>
      </c>
      <c r="F26" s="691">
        <v>0.17938364105071042</v>
      </c>
      <c r="G26" s="691">
        <f>F26*'53'!F29</f>
        <v>0.10625244042414496</v>
      </c>
      <c r="H26" s="691">
        <v>8.5069446427871606E-2</v>
      </c>
      <c r="I26" s="691">
        <f>H26*'54'!E29</f>
        <v>7.4177640361006603E-2</v>
      </c>
      <c r="J26" s="690">
        <f t="shared" si="0"/>
        <v>0.62074855900127734</v>
      </c>
      <c r="K26" s="691">
        <v>0.29693268295097736</v>
      </c>
      <c r="L26" s="691">
        <f>K26*'51a-j'!O29</f>
        <v>9.5403015118899759E-2</v>
      </c>
      <c r="M26" s="691">
        <v>0.43535015410798134</v>
      </c>
      <c r="N26" s="691">
        <f>M26*'52'!E27</f>
        <v>0.30146637576011404</v>
      </c>
      <c r="O26" s="691">
        <v>0.19206091233962891</v>
      </c>
      <c r="P26" s="691">
        <f>O26*'53'!K29</f>
        <v>0.10950482719449157</v>
      </c>
      <c r="Q26" s="691">
        <v>7.5656250601412553E-2</v>
      </c>
      <c r="R26" s="691">
        <f>Q26*'54'!I29</f>
        <v>6.2468464155361843E-2</v>
      </c>
      <c r="S26" s="690">
        <v>0.56884268222886725</v>
      </c>
      <c r="T26" s="691">
        <v>0.28626669811669553</v>
      </c>
      <c r="U26" s="691">
        <f>T26*'51a-j'!V29</f>
        <v>0.10425301367323449</v>
      </c>
      <c r="V26" s="691">
        <v>0.44492493045750442</v>
      </c>
      <c r="W26" s="691">
        <f>V26*'52'!G27</f>
        <v>0.24401207584518519</v>
      </c>
      <c r="X26" s="691">
        <v>0.18731382583294637</v>
      </c>
      <c r="Y26" s="691">
        <f>X26*'53'!P29</f>
        <v>0.10573627402857938</v>
      </c>
      <c r="Z26" s="691">
        <v>8.1494545592853726E-2</v>
      </c>
      <c r="AA26" s="691">
        <f>Z26*'54'!M29</f>
        <v>6.4247539918722091E-2</v>
      </c>
      <c r="AB26" s="690">
        <f t="shared" si="1"/>
        <v>0.51824890346572117</v>
      </c>
      <c r="AC26" s="691">
        <v>0.29484322578726296</v>
      </c>
      <c r="AD26" s="691">
        <f>AC26*'51a-j'!AC29</f>
        <v>0.14681264437464328</v>
      </c>
      <c r="AE26" s="691">
        <v>0.43865218780289889</v>
      </c>
      <c r="AF26" s="691">
        <f>AE26*'52'!I27</f>
        <v>0.26430901708755017</v>
      </c>
      <c r="AG26" s="691">
        <v>0.18365692061784841</v>
      </c>
      <c r="AH26" s="691">
        <f>AG26*'53'!U29</f>
        <v>0.11572754474380118</v>
      </c>
      <c r="AI26" s="691">
        <v>8.284766579198985E-2</v>
      </c>
      <c r="AJ26" s="691">
        <f>AI26*'54'!Q29</f>
        <v>7.3637364253225743E-2</v>
      </c>
      <c r="AK26" s="690">
        <v>0.60048657045922038</v>
      </c>
      <c r="AL26" s="691">
        <v>0.29718764574232814</v>
      </c>
      <c r="AM26" s="691">
        <f>AL26*'51a-j'!AJ29</f>
        <v>0.15498163640667803</v>
      </c>
      <c r="AN26" s="691">
        <v>0.44138635416592703</v>
      </c>
      <c r="AO26" s="691">
        <f>AN26*'52'!K27</f>
        <v>0.23269652665888907</v>
      </c>
      <c r="AP26" s="691">
        <v>0.18017084813091255</v>
      </c>
      <c r="AQ26" s="691">
        <f>AP26*'53'!Z29</f>
        <v>0.10503560275446254</v>
      </c>
      <c r="AR26" s="691">
        <v>8.1255151960832259E-2</v>
      </c>
      <c r="AS26" s="691">
        <f>AR26*'54'!U29</f>
        <v>6.5481257284558766E-2</v>
      </c>
      <c r="AT26" s="690">
        <v>0.55819502310458846</v>
      </c>
      <c r="AU26" s="691">
        <v>0.29976234857005318</v>
      </c>
      <c r="AV26" s="691"/>
      <c r="AW26" s="691">
        <v>0.43358535256367292</v>
      </c>
      <c r="AX26" s="691"/>
      <c r="AY26" s="691">
        <v>0.17678196890210951</v>
      </c>
      <c r="AZ26" s="691"/>
      <c r="BA26" s="691">
        <v>8.9870329964164386E-2</v>
      </c>
      <c r="BB26" s="691"/>
      <c r="BC26" s="690">
        <v>0.61575880605010491</v>
      </c>
      <c r="BD26" s="691">
        <v>0.2981680450342194</v>
      </c>
      <c r="BE26" s="691"/>
      <c r="BF26" s="691">
        <v>0.43662720800868982</v>
      </c>
      <c r="BG26" s="691"/>
      <c r="BH26" s="691">
        <v>0.17972664585617706</v>
      </c>
      <c r="BI26" s="691"/>
      <c r="BJ26" s="691">
        <v>8.5478101100913612E-2</v>
      </c>
      <c r="BK26" s="691"/>
      <c r="BL26" s="690">
        <v>0.62788604835177586</v>
      </c>
      <c r="BM26" s="691">
        <v>0.2906421000349857</v>
      </c>
      <c r="BN26" s="691"/>
      <c r="BO26" s="691">
        <v>0.4481056964269669</v>
      </c>
      <c r="BP26" s="691"/>
      <c r="BQ26" s="691">
        <v>0.17955963112589116</v>
      </c>
      <c r="BR26" s="691"/>
      <c r="BS26" s="691">
        <v>8.16925724121563E-2</v>
      </c>
      <c r="BT26" s="691"/>
      <c r="BU26" s="690">
        <v>0.66475301890337291</v>
      </c>
      <c r="BV26" s="691">
        <v>0.27492450287391668</v>
      </c>
      <c r="BW26" s="691"/>
      <c r="BX26" s="691">
        <v>0.45251966536892346</v>
      </c>
      <c r="BY26" s="691"/>
      <c r="BZ26" s="691">
        <v>0.19392624951588158</v>
      </c>
      <c r="CA26" s="691"/>
      <c r="CB26" s="691">
        <v>7.8629582241278292E-2</v>
      </c>
      <c r="CC26" s="691"/>
      <c r="CD26" s="690">
        <v>0.62855523592264351</v>
      </c>
      <c r="CE26" s="691">
        <v>0.29772584297273746</v>
      </c>
      <c r="CF26" s="691">
        <v>0.44103387375749947</v>
      </c>
      <c r="CG26" s="691">
        <v>0.18589296012418299</v>
      </c>
      <c r="CH26" s="691">
        <v>7.5347323145580167E-2</v>
      </c>
      <c r="CI26" s="690">
        <v>0.68118763458539866</v>
      </c>
      <c r="CJ26" s="691">
        <v>0.29844979310422792</v>
      </c>
      <c r="CK26" s="691">
        <v>0.44339338658120325</v>
      </c>
      <c r="CL26" s="691">
        <v>0.17054101379445039</v>
      </c>
      <c r="CM26" s="691">
        <v>8.7615806520118425E-2</v>
      </c>
      <c r="CN26" s="690">
        <v>0.60679001052509829</v>
      </c>
    </row>
    <row r="27" spans="1:92">
      <c r="A27" s="2">
        <v>1992</v>
      </c>
      <c r="B27" s="691">
        <v>0.29672122637359999</v>
      </c>
      <c r="C27" s="691">
        <f>B27*'51a-j'!H30</f>
        <v>0.14802357625508922</v>
      </c>
      <c r="D27" s="691">
        <v>0.43828217981695328</v>
      </c>
      <c r="E27" s="691">
        <f>D27*'52'!C28</f>
        <v>0.26582669523971447</v>
      </c>
      <c r="F27" s="691">
        <v>0.17821428560745947</v>
      </c>
      <c r="G27" s="691">
        <f>F27*'53'!F30</f>
        <v>0.11385012199447635</v>
      </c>
      <c r="H27" s="691">
        <v>8.6782308201987207E-2</v>
      </c>
      <c r="I27" s="691">
        <f>H27*'54'!E30</f>
        <v>7.5235423117578776E-2</v>
      </c>
      <c r="J27" s="690">
        <f t="shared" si="0"/>
        <v>0.6029358166068588</v>
      </c>
      <c r="K27" s="691">
        <v>0.29826771373956851</v>
      </c>
      <c r="L27" s="691">
        <f>K27*'51a-j'!O30</f>
        <v>6.9294342630645836E-2</v>
      </c>
      <c r="M27" s="691">
        <v>0.43523308938138244</v>
      </c>
      <c r="N27" s="691">
        <f>M27*'52'!E28</f>
        <v>0.28531976428263545</v>
      </c>
      <c r="O27" s="691">
        <v>0.18827024508428733</v>
      </c>
      <c r="P27" s="691">
        <f>O27*'53'!K30</f>
        <v>9.3798811378506028E-2</v>
      </c>
      <c r="Q27" s="691">
        <v>7.8228951794761623E-2</v>
      </c>
      <c r="R27" s="691">
        <f>Q27*'54'!I30</f>
        <v>6.2448670629864061E-2</v>
      </c>
      <c r="S27" s="690">
        <v>0.51086158892165134</v>
      </c>
      <c r="T27" s="691">
        <v>0.28660648376528997</v>
      </c>
      <c r="U27" s="691">
        <f>T27*'51a-j'!V30</f>
        <v>9.043470587616266E-2</v>
      </c>
      <c r="V27" s="691">
        <v>0.44436912125576666</v>
      </c>
      <c r="W27" s="691">
        <f>V27*'52'!G28</f>
        <v>0.21110226896614781</v>
      </c>
      <c r="X27" s="691">
        <v>0.18479510386242703</v>
      </c>
      <c r="Y27" s="691">
        <f>X27*'53'!P30</f>
        <v>0.12850396291156713</v>
      </c>
      <c r="Z27" s="691">
        <v>8.4229291116516489E-2</v>
      </c>
      <c r="AA27" s="691">
        <f>Z27*'54'!M30</f>
        <v>6.6409976828696621E-2</v>
      </c>
      <c r="AB27" s="690">
        <f t="shared" si="1"/>
        <v>0.49645091458257418</v>
      </c>
      <c r="AC27" s="691">
        <v>0.29493655950602715</v>
      </c>
      <c r="AD27" s="691">
        <f>AC27*'51a-j'!AC30</f>
        <v>0.13327639356950319</v>
      </c>
      <c r="AE27" s="691">
        <v>0.43873113504995337</v>
      </c>
      <c r="AF27" s="691">
        <f>AE27*'52'!I28</f>
        <v>0.25187731730511054</v>
      </c>
      <c r="AG27" s="691">
        <v>0.18096437126672577</v>
      </c>
      <c r="AH27" s="691">
        <f>AG27*'53'!U30</f>
        <v>0.1068159465920497</v>
      </c>
      <c r="AI27" s="691">
        <v>8.5367934177293797E-2</v>
      </c>
      <c r="AJ27" s="691">
        <f>AI27*'54'!Q30</f>
        <v>7.5703770284432093E-2</v>
      </c>
      <c r="AK27" s="690">
        <v>0.56767342775109553</v>
      </c>
      <c r="AL27" s="691">
        <v>0.29772410761128498</v>
      </c>
      <c r="AM27" s="691">
        <f>AL27*'51a-j'!AJ30</f>
        <v>0.15081440411770672</v>
      </c>
      <c r="AN27" s="691">
        <v>0.44091530461567208</v>
      </c>
      <c r="AO27" s="691">
        <f>AN27*'52'!K28</f>
        <v>0.22471605381905382</v>
      </c>
      <c r="AP27" s="691">
        <v>0.17749944818590593</v>
      </c>
      <c r="AQ27" s="691">
        <f>AP27*'53'!Z30</f>
        <v>8.3604851098256772E-2</v>
      </c>
      <c r="AR27" s="691">
        <v>8.3861139587137104E-2</v>
      </c>
      <c r="AS27" s="691">
        <f>AR27*'54'!U30</f>
        <v>6.2481155876521567E-2</v>
      </c>
      <c r="AT27" s="690">
        <v>0.5216164649115389</v>
      </c>
      <c r="AU27" s="691">
        <v>0.29928844606971527</v>
      </c>
      <c r="AV27" s="691"/>
      <c r="AW27" s="691">
        <v>0.43399516850289466</v>
      </c>
      <c r="AX27" s="691"/>
      <c r="AY27" s="691">
        <v>0.17516477559546448</v>
      </c>
      <c r="AZ27" s="691"/>
      <c r="BA27" s="691">
        <v>9.1551609831925493E-2</v>
      </c>
      <c r="BB27" s="691"/>
      <c r="BC27" s="690">
        <v>0.58836398165408088</v>
      </c>
      <c r="BD27" s="691">
        <v>0.29685081896049043</v>
      </c>
      <c r="BE27" s="691"/>
      <c r="BF27" s="691">
        <v>0.43667259854985346</v>
      </c>
      <c r="BG27" s="691"/>
      <c r="BH27" s="691">
        <v>0.17938166631974048</v>
      </c>
      <c r="BI27" s="691"/>
      <c r="BJ27" s="691">
        <v>8.7094916169915632E-2</v>
      </c>
      <c r="BK27" s="691"/>
      <c r="BL27" s="690">
        <v>0.61864688534600232</v>
      </c>
      <c r="BM27" s="691">
        <v>0.29002859185173463</v>
      </c>
      <c r="BN27" s="691"/>
      <c r="BO27" s="691">
        <v>0.44829090745274469</v>
      </c>
      <c r="BP27" s="691"/>
      <c r="BQ27" s="691">
        <v>0.17843745089153343</v>
      </c>
      <c r="BR27" s="691"/>
      <c r="BS27" s="691">
        <v>8.3243049803987321E-2</v>
      </c>
      <c r="BT27" s="691"/>
      <c r="BU27" s="690">
        <v>0.63923542587598658</v>
      </c>
      <c r="BV27" s="691">
        <v>0.27555271321658037</v>
      </c>
      <c r="BW27" s="691"/>
      <c r="BX27" s="691">
        <v>0.45321132118447055</v>
      </c>
      <c r="BY27" s="691"/>
      <c r="BZ27" s="691">
        <v>0.19133748069520204</v>
      </c>
      <c r="CA27" s="691"/>
      <c r="CB27" s="691">
        <v>7.9898484903747055E-2</v>
      </c>
      <c r="CC27" s="691"/>
      <c r="CD27" s="690">
        <v>0.60168483882995072</v>
      </c>
      <c r="CE27" s="691">
        <v>0.29714161875928269</v>
      </c>
      <c r="CF27" s="691">
        <v>0.44106177122521573</v>
      </c>
      <c r="CG27" s="691">
        <v>0.18459682772498048</v>
      </c>
      <c r="CH27" s="691">
        <v>7.7199782290521046E-2</v>
      </c>
      <c r="CI27" s="690">
        <v>0.65167765994775217</v>
      </c>
      <c r="CJ27" s="691">
        <v>0.29805355472189704</v>
      </c>
      <c r="CK27" s="691">
        <v>0.4430382869656137</v>
      </c>
      <c r="CL27" s="691">
        <v>0.16972963987644121</v>
      </c>
      <c r="CM27" s="691">
        <v>8.9178518436048071E-2</v>
      </c>
      <c r="CN27" s="690">
        <v>0.5875200866164203</v>
      </c>
    </row>
    <row r="28" spans="1:92">
      <c r="A28" s="2">
        <v>1993</v>
      </c>
      <c r="B28" s="691">
        <v>0.29626233270132479</v>
      </c>
      <c r="C28" s="691">
        <f>B28*'51a-j'!H31</f>
        <v>0.14314223909434021</v>
      </c>
      <c r="D28" s="691">
        <v>0.43822029390373468</v>
      </c>
      <c r="E28" s="691">
        <f>D28*'52'!C29</f>
        <v>0.2494562895919189</v>
      </c>
      <c r="F28" s="691">
        <v>0.17703727171602152</v>
      </c>
      <c r="G28" s="691">
        <f>F28*'53'!F31</f>
        <v>0.12330861132334285</v>
      </c>
      <c r="H28" s="691">
        <v>8.8480101678918968E-2</v>
      </c>
      <c r="I28" s="691">
        <f>H28*'54'!E31</f>
        <v>7.6338227130772054E-2</v>
      </c>
      <c r="J28" s="690">
        <f t="shared" si="0"/>
        <v>0.59224536714037401</v>
      </c>
      <c r="K28" s="691">
        <v>0.29910741649202205</v>
      </c>
      <c r="L28" s="691">
        <f>K28*'51a-j'!O31</f>
        <v>6.1344027968772911E-2</v>
      </c>
      <c r="M28" s="691">
        <v>0.43417483104775723</v>
      </c>
      <c r="N28" s="691">
        <f>M28*'52'!E29</f>
        <v>0.27651736802607807</v>
      </c>
      <c r="O28" s="691">
        <v>0.18580681273450103</v>
      </c>
      <c r="P28" s="691">
        <f>O28*'53'!K31</f>
        <v>0.12303029876084705</v>
      </c>
      <c r="Q28" s="691">
        <v>8.0910939725719624E-2</v>
      </c>
      <c r="R28" s="691">
        <f>Q28*'54'!I31</f>
        <v>6.7830529828286495E-2</v>
      </c>
      <c r="S28" s="690">
        <v>0.52872222458398455</v>
      </c>
      <c r="T28" s="691">
        <v>0.28687900599255456</v>
      </c>
      <c r="U28" s="691">
        <f>T28*'51a-j'!V31</f>
        <v>0.10062618861183159</v>
      </c>
      <c r="V28" s="691">
        <v>0.44348443749944905</v>
      </c>
      <c r="W28" s="691">
        <f>V28*'52'!G29</f>
        <v>0.19911647068046101</v>
      </c>
      <c r="X28" s="691">
        <v>0.18330309409548645</v>
      </c>
      <c r="Y28" s="691">
        <f>X28*'53'!P31</f>
        <v>0.14317623931728618</v>
      </c>
      <c r="Z28" s="691">
        <v>8.6333462412509915E-2</v>
      </c>
      <c r="AA28" s="691">
        <f>Z28*'54'!M31</f>
        <v>7.6125127933727901E-2</v>
      </c>
      <c r="AB28" s="690">
        <f t="shared" si="1"/>
        <v>0.51904402654330672</v>
      </c>
      <c r="AC28" s="691">
        <v>0.29511396570997717</v>
      </c>
      <c r="AD28" s="691">
        <f>AC28*'51a-j'!AC31</f>
        <v>0.11591416206154138</v>
      </c>
      <c r="AE28" s="691">
        <v>0.43872001114822862</v>
      </c>
      <c r="AF28" s="691">
        <f>AE28*'52'!I29</f>
        <v>0.24542628093492405</v>
      </c>
      <c r="AG28" s="691">
        <v>0.17825962434985973</v>
      </c>
      <c r="AH28" s="691">
        <f>AG28*'53'!U31</f>
        <v>9.4742559895174647E-2</v>
      </c>
      <c r="AI28" s="691">
        <v>8.7906398791934529E-2</v>
      </c>
      <c r="AJ28" s="691">
        <f>AI28*'54'!Q31</f>
        <v>7.8127254850939146E-2</v>
      </c>
      <c r="AK28" s="690">
        <v>0.53421025774257924</v>
      </c>
      <c r="AL28" s="691">
        <v>0.29785531206630333</v>
      </c>
      <c r="AM28" s="691">
        <f>AL28*'51a-j'!AJ31</f>
        <v>0.15570719202955532</v>
      </c>
      <c r="AN28" s="691">
        <v>0.44055771900516477</v>
      </c>
      <c r="AO28" s="691">
        <f>AN28*'52'!K29</f>
        <v>0.20717928134338998</v>
      </c>
      <c r="AP28" s="691">
        <v>0.17505535934144911</v>
      </c>
      <c r="AQ28" s="691">
        <f>AP28*'53'!Z31</f>
        <v>0.10446886456627277</v>
      </c>
      <c r="AR28" s="691">
        <v>8.6531609587082781E-2</v>
      </c>
      <c r="AS28" s="691">
        <f>AR28*'54'!U31</f>
        <v>7.0940947425250783E-2</v>
      </c>
      <c r="AT28" s="690">
        <v>0.53829628536446894</v>
      </c>
      <c r="AU28" s="691">
        <v>0.29915109362456532</v>
      </c>
      <c r="AV28" s="691"/>
      <c r="AW28" s="691">
        <v>0.4344080626284379</v>
      </c>
      <c r="AX28" s="691"/>
      <c r="AY28" s="691">
        <v>0.17321856343145264</v>
      </c>
      <c r="AZ28" s="691"/>
      <c r="BA28" s="691">
        <v>9.3222280315544082E-2</v>
      </c>
      <c r="BB28" s="691"/>
      <c r="BC28" s="690">
        <v>0.56318682510352047</v>
      </c>
      <c r="BD28" s="691">
        <v>0.29603309691844876</v>
      </c>
      <c r="BE28" s="691"/>
      <c r="BF28" s="691">
        <v>0.4370198041376509</v>
      </c>
      <c r="BG28" s="691"/>
      <c r="BH28" s="691">
        <v>0.17816195603912097</v>
      </c>
      <c r="BI28" s="691"/>
      <c r="BJ28" s="691">
        <v>8.8785142904779318E-2</v>
      </c>
      <c r="BK28" s="691"/>
      <c r="BL28" s="690">
        <v>0.5968243175057244</v>
      </c>
      <c r="BM28" s="691">
        <v>0.28961447465120904</v>
      </c>
      <c r="BN28" s="691"/>
      <c r="BO28" s="691">
        <v>0.44805911111797325</v>
      </c>
      <c r="BP28" s="691"/>
      <c r="BQ28" s="691">
        <v>0.17760868498432603</v>
      </c>
      <c r="BR28" s="691"/>
      <c r="BS28" s="691">
        <v>8.4717729246491763E-2</v>
      </c>
      <c r="BT28" s="691"/>
      <c r="BU28" s="690">
        <v>0.63012296682808067</v>
      </c>
      <c r="BV28" s="691">
        <v>0.27534941263233004</v>
      </c>
      <c r="BW28" s="691"/>
      <c r="BX28" s="691">
        <v>0.45145816097026142</v>
      </c>
      <c r="BY28" s="691"/>
      <c r="BZ28" s="691">
        <v>0.19254683313526999</v>
      </c>
      <c r="CA28" s="691"/>
      <c r="CB28" s="691">
        <v>8.0645593262138535E-2</v>
      </c>
      <c r="CC28" s="691"/>
      <c r="CD28" s="690">
        <v>0.5893058747089247</v>
      </c>
      <c r="CE28" s="691">
        <v>0.29627391841817591</v>
      </c>
      <c r="CF28" s="691">
        <v>0.44007511909215685</v>
      </c>
      <c r="CG28" s="691">
        <v>0.18462743633823778</v>
      </c>
      <c r="CH28" s="691">
        <v>7.9023526151429449E-2</v>
      </c>
      <c r="CI28" s="690">
        <v>0.65897845222234352</v>
      </c>
      <c r="CJ28" s="691">
        <v>0.29776991579985729</v>
      </c>
      <c r="CK28" s="691">
        <v>0.4419343098350938</v>
      </c>
      <c r="CL28" s="691">
        <v>0.1696964240807973</v>
      </c>
      <c r="CM28" s="691">
        <v>9.0599350284251617E-2</v>
      </c>
      <c r="CN28" s="690">
        <v>0.58920051881923219</v>
      </c>
    </row>
    <row r="29" spans="1:92">
      <c r="A29" s="2">
        <v>1994</v>
      </c>
      <c r="B29" s="691">
        <v>0.29652811195635548</v>
      </c>
      <c r="C29" s="691">
        <f>B29*'51a-j'!H32</f>
        <v>0.15217733790516902</v>
      </c>
      <c r="D29" s="691">
        <v>0.438634321476436</v>
      </c>
      <c r="E29" s="691">
        <f>D29*'52'!C30</f>
        <v>0.23965726383226219</v>
      </c>
      <c r="F29" s="691">
        <v>0.1745273957572068</v>
      </c>
      <c r="G29" s="691">
        <f>F29*'53'!F32</f>
        <v>0.12118964796469132</v>
      </c>
      <c r="H29" s="691">
        <v>9.0310170810001686E-2</v>
      </c>
      <c r="I29" s="691">
        <f>H29*'54'!E32</f>
        <v>7.9110266044239055E-2</v>
      </c>
      <c r="J29" s="690">
        <f t="shared" si="0"/>
        <v>0.59213451574636167</v>
      </c>
      <c r="K29" s="691">
        <v>0.29970145639031481</v>
      </c>
      <c r="L29" s="691">
        <f>K29*'51a-j'!O32</f>
        <v>5.4622898426896598E-2</v>
      </c>
      <c r="M29" s="691">
        <v>0.43333710080521554</v>
      </c>
      <c r="N29" s="691">
        <f>M29*'52'!E30</f>
        <v>0.26318104191221048</v>
      </c>
      <c r="O29" s="691">
        <v>0.18267936586681355</v>
      </c>
      <c r="P29" s="691">
        <f>O29*'53'!K32</f>
        <v>0.11481918374337015</v>
      </c>
      <c r="Q29" s="691">
        <v>8.4282076937656089E-2</v>
      </c>
      <c r="R29" s="691">
        <f>Q29*'54'!I32</f>
        <v>7.1614170436300195E-2</v>
      </c>
      <c r="S29" s="690">
        <v>0.50423729451877741</v>
      </c>
      <c r="T29" s="691">
        <v>0.28752861624722637</v>
      </c>
      <c r="U29" s="691">
        <f>T29*'51a-j'!V32</f>
        <v>9.8977254536794387E-2</v>
      </c>
      <c r="V29" s="691">
        <v>0.44262754921759517</v>
      </c>
      <c r="W29" s="691">
        <f>V29*'52'!G30</f>
        <v>0.18342667063401008</v>
      </c>
      <c r="X29" s="691">
        <v>0.18124335760897403</v>
      </c>
      <c r="Y29" s="691">
        <f>X29*'53'!P32</f>
        <v>0.12639114909220162</v>
      </c>
      <c r="Z29" s="691">
        <v>8.8600476926204624E-2</v>
      </c>
      <c r="AA29" s="691">
        <f>Z29*'54'!M32</f>
        <v>7.7397077039989493E-2</v>
      </c>
      <c r="AB29" s="690">
        <f t="shared" si="1"/>
        <v>0.48619215130299559</v>
      </c>
      <c r="AC29" s="691">
        <v>0.295511797405693</v>
      </c>
      <c r="AD29" s="691">
        <f>AC29*'51a-j'!AC32</f>
        <v>0.12420592365326469</v>
      </c>
      <c r="AE29" s="691">
        <v>0.43882626980750705</v>
      </c>
      <c r="AF29" s="691">
        <f>AE29*'52'!I30</f>
        <v>0.23097287882809892</v>
      </c>
      <c r="AG29" s="691">
        <v>0.17515739684123363</v>
      </c>
      <c r="AH29" s="691">
        <f>AG29*'53'!U32</f>
        <v>0.10684333034201741</v>
      </c>
      <c r="AI29" s="691">
        <v>9.0504535945566372E-2</v>
      </c>
      <c r="AJ29" s="691">
        <f>AI29*'54'!Q32</f>
        <v>8.1300482375422936E-2</v>
      </c>
      <c r="AK29" s="690">
        <v>0.54332261519880398</v>
      </c>
      <c r="AL29" s="691">
        <v>0.29834109890453214</v>
      </c>
      <c r="AM29" s="691">
        <f>AL29*'51a-j'!AJ32</f>
        <v>0.15326126659054731</v>
      </c>
      <c r="AN29" s="691">
        <v>0.44033449861137458</v>
      </c>
      <c r="AO29" s="691">
        <f>AN29*'52'!K30</f>
        <v>0.19953432841257962</v>
      </c>
      <c r="AP29" s="691">
        <v>0.17201254388960055</v>
      </c>
      <c r="AQ29" s="691">
        <f>AP29*'53'!Z32</f>
        <v>0.10711785717835795</v>
      </c>
      <c r="AR29" s="691">
        <v>8.9311858594492741E-2</v>
      </c>
      <c r="AS29" s="691">
        <f>AR29*'54'!U32</f>
        <v>7.1454075767326111E-2</v>
      </c>
      <c r="AT29" s="690">
        <v>0.53136752794881104</v>
      </c>
      <c r="AU29" s="691">
        <v>0.29943366161210622</v>
      </c>
      <c r="AV29" s="691"/>
      <c r="AW29" s="691">
        <v>0.43484532420962357</v>
      </c>
      <c r="AX29" s="691"/>
      <c r="AY29" s="691">
        <v>0.17058186181762988</v>
      </c>
      <c r="AZ29" s="691"/>
      <c r="BA29" s="691">
        <v>9.5139152360640369E-2</v>
      </c>
      <c r="BB29" s="691"/>
      <c r="BC29" s="690">
        <v>0.57784460696917372</v>
      </c>
      <c r="BD29" s="691">
        <v>0.2960235778737903</v>
      </c>
      <c r="BE29" s="691"/>
      <c r="BF29" s="691">
        <v>0.43779418286878974</v>
      </c>
      <c r="BG29" s="691"/>
      <c r="BH29" s="691">
        <v>0.17571880959640104</v>
      </c>
      <c r="BI29" s="691"/>
      <c r="BJ29" s="691">
        <v>9.0463429661019001E-2</v>
      </c>
      <c r="BK29" s="691"/>
      <c r="BL29" s="690">
        <v>0.59628500562547104</v>
      </c>
      <c r="BM29" s="691">
        <v>0.28965581033461868</v>
      </c>
      <c r="BN29" s="691"/>
      <c r="BO29" s="691">
        <v>0.44840065084870656</v>
      </c>
      <c r="BP29" s="691"/>
      <c r="BQ29" s="691">
        <v>0.17563989672584726</v>
      </c>
      <c r="BR29" s="691"/>
      <c r="BS29" s="691">
        <v>8.6303642090827512E-2</v>
      </c>
      <c r="BT29" s="691"/>
      <c r="BU29" s="690">
        <v>0.61503597861659676</v>
      </c>
      <c r="BV29" s="691">
        <v>0.27761914969330687</v>
      </c>
      <c r="BW29" s="691"/>
      <c r="BX29" s="691">
        <v>0.45308247655181078</v>
      </c>
      <c r="BY29" s="691"/>
      <c r="BZ29" s="691">
        <v>0.18717356381159575</v>
      </c>
      <c r="CA29" s="691"/>
      <c r="CB29" s="691">
        <v>8.2124809943286553E-2</v>
      </c>
      <c r="CC29" s="691"/>
      <c r="CD29" s="690">
        <v>0.57614328545591598</v>
      </c>
      <c r="CE29" s="691">
        <v>0.29643959183059604</v>
      </c>
      <c r="CF29" s="691">
        <v>0.43991426661878219</v>
      </c>
      <c r="CG29" s="691">
        <v>0.18274109330744334</v>
      </c>
      <c r="CH29" s="691">
        <v>8.0905048243178457E-2</v>
      </c>
      <c r="CI29" s="690">
        <v>0.648306489140972</v>
      </c>
      <c r="CJ29" s="691">
        <v>0.29833344895869235</v>
      </c>
      <c r="CK29" s="691">
        <v>0.44157696454762058</v>
      </c>
      <c r="CL29" s="691">
        <v>0.16792440811004003</v>
      </c>
      <c r="CM29" s="691">
        <v>9.2165178383647101E-2</v>
      </c>
      <c r="CN29" s="690">
        <v>0.5941734612995504</v>
      </c>
    </row>
    <row r="30" spans="1:92">
      <c r="A30" s="2">
        <v>1995</v>
      </c>
      <c r="B30" s="691">
        <v>0.29690348453780302</v>
      </c>
      <c r="C30" s="691">
        <f>B30*'51a-j'!H33</f>
        <v>0.16074747555551078</v>
      </c>
      <c r="D30" s="691">
        <v>0.43891914989278946</v>
      </c>
      <c r="E30" s="691">
        <f>D30*'52'!C31</f>
        <v>0.23879983751317768</v>
      </c>
      <c r="F30" s="691">
        <v>0.17214383313047368</v>
      </c>
      <c r="G30" s="691">
        <f>F30*'53'!F33</f>
        <v>0.11731555550185394</v>
      </c>
      <c r="H30" s="691">
        <v>9.2033532438933904E-2</v>
      </c>
      <c r="I30" s="691">
        <f>H30*'54'!E33</f>
        <v>8.1771048621912409E-2</v>
      </c>
      <c r="J30" s="690">
        <f t="shared" si="0"/>
        <v>0.59863391719245485</v>
      </c>
      <c r="K30" s="691">
        <v>0.30011345197179684</v>
      </c>
      <c r="L30" s="691">
        <f>K30*'51a-j'!O33</f>
        <v>7.5306583254653336E-2</v>
      </c>
      <c r="M30" s="691">
        <v>0.43235835222837654</v>
      </c>
      <c r="N30" s="691">
        <f>M30*'52'!E31</f>
        <v>0.27056686843066641</v>
      </c>
      <c r="O30" s="691">
        <v>0.17972942051179061</v>
      </c>
      <c r="P30" s="691">
        <f>O30*'53'!K33</f>
        <v>8.4107232504038495E-2</v>
      </c>
      <c r="Q30" s="691">
        <v>8.7798775288036021E-2</v>
      </c>
      <c r="R30" s="691">
        <f>Q30*'54'!I33</f>
        <v>7.7575571359431272E-2</v>
      </c>
      <c r="S30" s="690">
        <v>0.50755625554878958</v>
      </c>
      <c r="T30" s="691">
        <v>0.28777587263812537</v>
      </c>
      <c r="U30" s="691">
        <f>T30*'51a-j'!V33</f>
        <v>0.11557378710865626</v>
      </c>
      <c r="V30" s="691">
        <v>0.44145755541591869</v>
      </c>
      <c r="W30" s="691">
        <f>V30*'52'!G31</f>
        <v>0.16432943183845605</v>
      </c>
      <c r="X30" s="691">
        <v>0.17966371043732846</v>
      </c>
      <c r="Y30" s="691">
        <f>X30*'53'!P33</f>
        <v>0.13323439688627364</v>
      </c>
      <c r="Z30" s="691">
        <v>9.1102861508627522E-2</v>
      </c>
      <c r="AA30" s="691">
        <f>Z30*'54'!M33</f>
        <v>7.4951319262290705E-2</v>
      </c>
      <c r="AB30" s="690">
        <f t="shared" si="1"/>
        <v>0.48808893509567669</v>
      </c>
      <c r="AC30" s="691">
        <v>0.29603518521264366</v>
      </c>
      <c r="AD30" s="691">
        <f>AC30*'51a-j'!AC33</f>
        <v>0.13646954814478338</v>
      </c>
      <c r="AE30" s="691">
        <v>0.43897424704956639</v>
      </c>
      <c r="AF30" s="691">
        <f>AE30*'52'!I31</f>
        <v>0.23201645475614566</v>
      </c>
      <c r="AG30" s="691">
        <v>0.17191735712773751</v>
      </c>
      <c r="AH30" s="691">
        <f>AG30*'53'!U33</f>
        <v>9.3887913295031475E-2</v>
      </c>
      <c r="AI30" s="691">
        <v>9.3073210610052429E-2</v>
      </c>
      <c r="AJ30" s="691">
        <f>AI30*'54'!Q33</f>
        <v>8.2030041985710289E-2</v>
      </c>
      <c r="AK30" s="690">
        <v>0.54440395818167087</v>
      </c>
      <c r="AL30" s="691">
        <v>0.29897028798640612</v>
      </c>
      <c r="AM30" s="691">
        <f>AL30*'51a-j'!AJ33</f>
        <v>0.16152879217862176</v>
      </c>
      <c r="AN30" s="691">
        <v>0.44005277460735215</v>
      </c>
      <c r="AO30" s="691">
        <f>AN30*'52'!K31</f>
        <v>0.22909235422075508</v>
      </c>
      <c r="AP30" s="691">
        <v>0.168997754492033</v>
      </c>
      <c r="AQ30" s="691">
        <f>AP30*'53'!Z33</f>
        <v>9.8574518751982046E-2</v>
      </c>
      <c r="AR30" s="691">
        <v>9.1979182914208688E-2</v>
      </c>
      <c r="AS30" s="691">
        <f>AR30*'54'!U33</f>
        <v>7.3621279108322946E-2</v>
      </c>
      <c r="AT30" s="690">
        <v>0.56281694425968176</v>
      </c>
      <c r="AU30" s="691">
        <v>0.29997335749025467</v>
      </c>
      <c r="AV30" s="691"/>
      <c r="AW30" s="691">
        <v>0.4352476469963581</v>
      </c>
      <c r="AX30" s="691"/>
      <c r="AY30" s="691">
        <v>0.16779749931478161</v>
      </c>
      <c r="AZ30" s="691"/>
      <c r="BA30" s="691">
        <v>9.698149619860566E-2</v>
      </c>
      <c r="BB30" s="691"/>
      <c r="BC30" s="690">
        <v>0.58871398211110504</v>
      </c>
      <c r="BD30" s="691">
        <v>0.29615249166318769</v>
      </c>
      <c r="BE30" s="691"/>
      <c r="BF30" s="691">
        <v>0.43853020948489158</v>
      </c>
      <c r="BG30" s="691"/>
      <c r="BH30" s="691">
        <v>0.17338218165195746</v>
      </c>
      <c r="BI30" s="691"/>
      <c r="BJ30" s="691">
        <v>9.1935117199963279E-2</v>
      </c>
      <c r="BK30" s="691"/>
      <c r="BL30" s="690">
        <v>0.58292762100211626</v>
      </c>
      <c r="BM30" s="691">
        <v>0.28974945488922055</v>
      </c>
      <c r="BN30" s="691"/>
      <c r="BO30" s="691">
        <v>0.44852850644977171</v>
      </c>
      <c r="BP30" s="691"/>
      <c r="BQ30" s="691">
        <v>0.17388608335684722</v>
      </c>
      <c r="BR30" s="691"/>
      <c r="BS30" s="691">
        <v>8.7835955304160551E-2</v>
      </c>
      <c r="BT30" s="691"/>
      <c r="BU30" s="690">
        <v>0.65118098210092146</v>
      </c>
      <c r="BV30" s="691">
        <v>0.27946082920881005</v>
      </c>
      <c r="BW30" s="691"/>
      <c r="BX30" s="691">
        <v>0.45234816318774013</v>
      </c>
      <c r="BY30" s="691"/>
      <c r="BZ30" s="691">
        <v>0.18471602742204765</v>
      </c>
      <c r="CA30" s="691"/>
      <c r="CB30" s="691">
        <v>8.3474980181402175E-2</v>
      </c>
      <c r="CC30" s="691"/>
      <c r="CD30" s="690">
        <v>0.59854418129798492</v>
      </c>
      <c r="CE30" s="691">
        <v>0.29674580867313716</v>
      </c>
      <c r="CF30" s="691">
        <v>0.43967661711597961</v>
      </c>
      <c r="CG30" s="691">
        <v>0.18080301670090573</v>
      </c>
      <c r="CH30" s="691">
        <v>8.2774557509977489E-2</v>
      </c>
      <c r="CI30" s="690">
        <v>0.67009163087169932</v>
      </c>
      <c r="CJ30" s="691">
        <v>0.29893393762800641</v>
      </c>
      <c r="CK30" s="691">
        <v>0.44106781639693604</v>
      </c>
      <c r="CL30" s="691">
        <v>0.16619629873405734</v>
      </c>
      <c r="CM30" s="691">
        <v>9.3801947241000216E-2</v>
      </c>
      <c r="CN30" s="690">
        <v>0.63385266130407392</v>
      </c>
    </row>
    <row r="31" spans="1:92">
      <c r="A31" s="2">
        <v>1996</v>
      </c>
      <c r="B31" s="691">
        <v>0.29740625874066828</v>
      </c>
      <c r="C31" s="691">
        <f>B31*'51a-j'!H34</f>
        <v>0.15847909243601471</v>
      </c>
      <c r="D31" s="691">
        <v>0.43932146156038016</v>
      </c>
      <c r="E31" s="691">
        <f>D31*'52'!C32</f>
        <v>0.23606367601675224</v>
      </c>
      <c r="F31" s="691">
        <v>0.16949869877420279</v>
      </c>
      <c r="G31" s="691">
        <f>F31*'53'!F34</f>
        <v>0.11092495752407494</v>
      </c>
      <c r="H31" s="691">
        <v>9.3773580924748884E-2</v>
      </c>
      <c r="I31" s="691">
        <f>H31*'54'!E34</f>
        <v>8.088142284171676E-2</v>
      </c>
      <c r="J31" s="690">
        <f t="shared" si="0"/>
        <v>0.5863491488185586</v>
      </c>
      <c r="K31" s="691">
        <v>0.30022965272659535</v>
      </c>
      <c r="L31" s="691">
        <f>K31*'51a-j'!O34</f>
        <v>6.0271567532784349E-2</v>
      </c>
      <c r="M31" s="691">
        <v>0.43108757355507943</v>
      </c>
      <c r="N31" s="691">
        <f>M31*'52'!E32</f>
        <v>0.2825004615042207</v>
      </c>
      <c r="O31" s="691">
        <v>0.17702184431341519</v>
      </c>
      <c r="P31" s="691">
        <f>O31*'53'!K34</f>
        <v>0.10116521618836444</v>
      </c>
      <c r="Q31" s="691">
        <v>9.1660929404910038E-2</v>
      </c>
      <c r="R31" s="691">
        <f>Q31*'54'!I34</f>
        <v>7.9250770799138781E-2</v>
      </c>
      <c r="S31" s="690">
        <v>0.52318801602450826</v>
      </c>
      <c r="T31" s="691">
        <v>0.28863189355068469</v>
      </c>
      <c r="U31" s="691">
        <f>T31*'51a-j'!V34</f>
        <v>0.11190243959589252</v>
      </c>
      <c r="V31" s="691">
        <v>0.44033613944555411</v>
      </c>
      <c r="W31" s="691">
        <f>V31*'52'!G32</f>
        <v>0.15974872178549401</v>
      </c>
      <c r="X31" s="691">
        <v>0.17777233008250332</v>
      </c>
      <c r="Y31" s="691">
        <f>X31*'53'!P34</f>
        <v>0.12883764414776064</v>
      </c>
      <c r="Z31" s="691">
        <v>9.3259636921257938E-2</v>
      </c>
      <c r="AA31" s="691">
        <f>Z31*'54'!M34</f>
        <v>7.7081891778235004E-2</v>
      </c>
      <c r="AB31" s="690">
        <f t="shared" si="1"/>
        <v>0.47757069730738222</v>
      </c>
      <c r="AC31" s="691">
        <v>0.29681115050280993</v>
      </c>
      <c r="AD31" s="691">
        <f>AC31*'51a-j'!AC34</f>
        <v>0.13227660955946782</v>
      </c>
      <c r="AE31" s="691">
        <v>0.4396249230485772</v>
      </c>
      <c r="AF31" s="691">
        <f>AE31*'52'!I32</f>
        <v>0.21698488850318257</v>
      </c>
      <c r="AG31" s="691">
        <v>0.16795571240123219</v>
      </c>
      <c r="AH31" s="691">
        <f>AG31*'53'!U34</f>
        <v>0.10497574496663203</v>
      </c>
      <c r="AI31" s="691">
        <v>9.5608214047380694E-2</v>
      </c>
      <c r="AJ31" s="691">
        <f>AI31*'54'!Q34</f>
        <v>8.4432971738928608E-2</v>
      </c>
      <c r="AK31" s="690">
        <v>0.53867021476821098</v>
      </c>
      <c r="AL31" s="691">
        <v>0.29931448743074096</v>
      </c>
      <c r="AM31" s="691">
        <f>AL31*'51a-j'!AJ34</f>
        <v>0.1569224404575128</v>
      </c>
      <c r="AN31" s="691">
        <v>0.43924635756696756</v>
      </c>
      <c r="AO31" s="691">
        <f>AN31*'52'!K32</f>
        <v>0.23687052484277454</v>
      </c>
      <c r="AP31" s="691">
        <v>0.16692797923134012</v>
      </c>
      <c r="AQ31" s="691">
        <f>AP31*'53'!Z34</f>
        <v>0.10196799443137396</v>
      </c>
      <c r="AR31" s="691">
        <v>9.4511175770951403E-2</v>
      </c>
      <c r="AS31" s="691">
        <f>AR31*'54'!U34</f>
        <v>7.3684782692681777E-2</v>
      </c>
      <c r="AT31" s="690">
        <v>0.56944574242434309</v>
      </c>
      <c r="AU31" s="691">
        <v>0.30058346711738743</v>
      </c>
      <c r="AV31" s="691"/>
      <c r="AW31" s="691">
        <v>0.43591048247632863</v>
      </c>
      <c r="AX31" s="691"/>
      <c r="AY31" s="691">
        <v>0.16451170067455323</v>
      </c>
      <c r="AZ31" s="691"/>
      <c r="BA31" s="691">
        <v>9.8994349731730727E-2</v>
      </c>
      <c r="BB31" s="691"/>
      <c r="BC31" s="690">
        <v>0.57372533758050903</v>
      </c>
      <c r="BD31" s="691">
        <v>0.29605909103493439</v>
      </c>
      <c r="BE31" s="691"/>
      <c r="BF31" s="691">
        <v>0.43908626593863048</v>
      </c>
      <c r="BG31" s="691"/>
      <c r="BH31" s="691">
        <v>0.17145431730646321</v>
      </c>
      <c r="BI31" s="691"/>
      <c r="BJ31" s="691">
        <v>9.3400325719971852E-2</v>
      </c>
      <c r="BK31" s="691"/>
      <c r="BL31" s="690">
        <v>0.56799428405353736</v>
      </c>
      <c r="BM31" s="691">
        <v>0.2903628401684491</v>
      </c>
      <c r="BN31" s="691"/>
      <c r="BO31" s="691">
        <v>0.44863774889579544</v>
      </c>
      <c r="BP31" s="691"/>
      <c r="BQ31" s="691">
        <v>0.17136014919989176</v>
      </c>
      <c r="BR31" s="691"/>
      <c r="BS31" s="691">
        <v>8.9639261735863618E-2</v>
      </c>
      <c r="BT31" s="691"/>
      <c r="BU31" s="690">
        <v>0.61327036278280989</v>
      </c>
      <c r="BV31" s="691">
        <v>0.28137519141462786</v>
      </c>
      <c r="BW31" s="691"/>
      <c r="BX31" s="691">
        <v>0.45142994247923152</v>
      </c>
      <c r="BY31" s="691"/>
      <c r="BZ31" s="691">
        <v>0.18243638265413184</v>
      </c>
      <c r="CA31" s="691"/>
      <c r="CB31" s="691">
        <v>8.4758483452008704E-2</v>
      </c>
      <c r="CC31" s="691"/>
      <c r="CD31" s="690">
        <v>0.61757262714798722</v>
      </c>
      <c r="CE31" s="691">
        <v>0.29741732903435691</v>
      </c>
      <c r="CF31" s="691">
        <v>0.43934652866684837</v>
      </c>
      <c r="CG31" s="691">
        <v>0.17875551620978883</v>
      </c>
      <c r="CH31" s="691">
        <v>8.4480626089005806E-2</v>
      </c>
      <c r="CI31" s="690">
        <v>0.66657981706805358</v>
      </c>
      <c r="CJ31" s="691">
        <v>0.30064746541677134</v>
      </c>
      <c r="CK31" s="691">
        <v>0.44170353633675746</v>
      </c>
      <c r="CL31" s="691">
        <v>0.16228395525674544</v>
      </c>
      <c r="CM31" s="691">
        <v>9.5365042989725812E-2</v>
      </c>
      <c r="CN31" s="690">
        <v>0.61591210031597421</v>
      </c>
    </row>
    <row r="32" spans="1:92">
      <c r="A32" s="2">
        <v>1997</v>
      </c>
      <c r="B32" s="691">
        <v>0.2978046612815714</v>
      </c>
      <c r="C32" s="691">
        <f>B32*'51a-j'!H35</f>
        <v>0.16221483177791432</v>
      </c>
      <c r="D32" s="691">
        <v>0.43929563162984164</v>
      </c>
      <c r="E32" s="691">
        <f>D32*'52'!C33</f>
        <v>0.22377499793871949</v>
      </c>
      <c r="F32" s="691">
        <v>0.16729357281722906</v>
      </c>
      <c r="G32" s="691">
        <f>F32*'53'!F35</f>
        <v>0.1088092700894224</v>
      </c>
      <c r="H32" s="691">
        <v>9.5606134271357987E-2</v>
      </c>
      <c r="I32" s="691">
        <f>H32*'54'!E35</f>
        <v>8.0355709015167434E-2</v>
      </c>
      <c r="J32" s="690">
        <f t="shared" si="0"/>
        <v>0.57515480882122361</v>
      </c>
      <c r="K32" s="691">
        <v>0.30175897446569006</v>
      </c>
      <c r="L32" s="691">
        <f>K32*'51a-j'!O35</f>
        <v>6.7224520732932364E-2</v>
      </c>
      <c r="M32" s="691">
        <v>0.43169063917014922</v>
      </c>
      <c r="N32" s="691">
        <f>M32*'52'!E33</f>
        <v>0.276315836867354</v>
      </c>
      <c r="O32" s="691">
        <v>0.17039554768319595</v>
      </c>
      <c r="P32" s="691">
        <f>O32*'53'!K35</f>
        <v>0.10970336766460914</v>
      </c>
      <c r="Q32" s="691">
        <v>9.6154838680964819E-2</v>
      </c>
      <c r="R32" s="691">
        <f>Q32*'54'!I35</f>
        <v>8.1970556962835533E-2</v>
      </c>
      <c r="S32" s="690">
        <v>0.53521428222773104</v>
      </c>
      <c r="T32" s="691">
        <v>0.28868919523805231</v>
      </c>
      <c r="U32" s="691">
        <f>T32*'51a-j'!V35</f>
        <v>0.1026570767589043</v>
      </c>
      <c r="V32" s="691">
        <v>0.43865660372595627</v>
      </c>
      <c r="W32" s="691">
        <f>V32*'52'!G33</f>
        <v>0.15230568502261804</v>
      </c>
      <c r="X32" s="691">
        <v>0.17725819456641395</v>
      </c>
      <c r="Y32" s="691">
        <f>X32*'53'!P35</f>
        <v>0.11886608452643836</v>
      </c>
      <c r="Z32" s="691">
        <v>9.5396006469577341E-2</v>
      </c>
      <c r="AA32" s="691">
        <f>Z32*'54'!M35</f>
        <v>7.8706261883637274E-2</v>
      </c>
      <c r="AB32" s="690">
        <f t="shared" si="1"/>
        <v>0.45253510819159798</v>
      </c>
      <c r="AC32" s="691">
        <v>0.29834634119142051</v>
      </c>
      <c r="AD32" s="691">
        <f>AC32*'51a-j'!AC35</f>
        <v>0.13184891413648733</v>
      </c>
      <c r="AE32" s="691">
        <v>0.44102220534239361</v>
      </c>
      <c r="AF32" s="691">
        <f>AE32*'52'!I33</f>
        <v>0.20775110512942205</v>
      </c>
      <c r="AG32" s="691">
        <v>0.16204068740244601</v>
      </c>
      <c r="AH32" s="691">
        <f>AG32*'53'!U35</f>
        <v>9.1009048930946135E-2</v>
      </c>
      <c r="AI32" s="691">
        <v>9.8590766063739871E-2</v>
      </c>
      <c r="AJ32" s="691">
        <f>AI32*'54'!Q35</f>
        <v>8.5300803105020168E-2</v>
      </c>
      <c r="AK32" s="690">
        <v>0.51590987130187571</v>
      </c>
      <c r="AL32" s="691">
        <v>0.29984405056967467</v>
      </c>
      <c r="AM32" s="691">
        <f>AL32*'51a-j'!AJ35</f>
        <v>0.13505399802132259</v>
      </c>
      <c r="AN32" s="691">
        <v>0.43913080420189882</v>
      </c>
      <c r="AO32" s="691">
        <f>AN32*'52'!K33</f>
        <v>0.20232523162471563</v>
      </c>
      <c r="AP32" s="691">
        <v>0.16380738302053918</v>
      </c>
      <c r="AQ32" s="691">
        <f>AP32*'53'!Z35</f>
        <v>0.10810917326743782</v>
      </c>
      <c r="AR32" s="691">
        <v>9.7217762207887373E-2</v>
      </c>
      <c r="AS32" s="691">
        <f>AR32*'54'!U35</f>
        <v>8.1025040757874964E-2</v>
      </c>
      <c r="AT32" s="690">
        <v>0.526513443671351</v>
      </c>
      <c r="AU32" s="691">
        <v>0.30142867838833681</v>
      </c>
      <c r="AV32" s="691"/>
      <c r="AW32" s="691">
        <v>0.43688219186189708</v>
      </c>
      <c r="AX32" s="691"/>
      <c r="AY32" s="691">
        <v>0.1604254126390863</v>
      </c>
      <c r="AZ32" s="691"/>
      <c r="BA32" s="691">
        <v>0.1012637171106799</v>
      </c>
      <c r="BB32" s="691"/>
      <c r="BC32" s="690">
        <v>0.56656164513784424</v>
      </c>
      <c r="BD32" s="691">
        <v>0.29602411218375363</v>
      </c>
      <c r="BE32" s="691"/>
      <c r="BF32" s="691">
        <v>0.43880311819946832</v>
      </c>
      <c r="BG32" s="691"/>
      <c r="BH32" s="691">
        <v>0.17038729467716537</v>
      </c>
      <c r="BI32" s="691"/>
      <c r="BJ32" s="691">
        <v>9.4785474939612521E-2</v>
      </c>
      <c r="BK32" s="691"/>
      <c r="BL32" s="690">
        <v>0.5612261638442716</v>
      </c>
      <c r="BM32" s="691">
        <v>0.2910070804463476</v>
      </c>
      <c r="BN32" s="691"/>
      <c r="BO32" s="691">
        <v>0.44890021410774</v>
      </c>
      <c r="BP32" s="691"/>
      <c r="BQ32" s="691">
        <v>0.16850959885244857</v>
      </c>
      <c r="BR32" s="691"/>
      <c r="BS32" s="691">
        <v>9.1583106593463887E-2</v>
      </c>
      <c r="BT32" s="691"/>
      <c r="BU32" s="690">
        <v>0.58726889566276219</v>
      </c>
      <c r="BV32" s="691">
        <v>0.28208275146334993</v>
      </c>
      <c r="BW32" s="691"/>
      <c r="BX32" s="691">
        <v>0.45137785104492095</v>
      </c>
      <c r="BY32" s="691"/>
      <c r="BZ32" s="691">
        <v>0.1802458735773067</v>
      </c>
      <c r="CA32" s="691"/>
      <c r="CB32" s="691">
        <v>8.6293523914422382E-2</v>
      </c>
      <c r="CC32" s="691"/>
      <c r="CD32" s="690">
        <v>0.60978758131542588</v>
      </c>
      <c r="CE32" s="691">
        <v>0.29858014882829959</v>
      </c>
      <c r="CF32" s="691">
        <v>0.43933311859063079</v>
      </c>
      <c r="CG32" s="691">
        <v>0.17589689902292732</v>
      </c>
      <c r="CH32" s="691">
        <v>8.6189833558142304E-2</v>
      </c>
      <c r="CI32" s="690">
        <v>0.63568207791262543</v>
      </c>
      <c r="CJ32" s="691">
        <v>0.30028720519795937</v>
      </c>
      <c r="CK32" s="691">
        <v>0.44017070400132979</v>
      </c>
      <c r="CL32" s="691">
        <v>0.16249755469374849</v>
      </c>
      <c r="CM32" s="691">
        <v>9.7044536106962315E-2</v>
      </c>
      <c r="CN32" s="690">
        <v>0.61472402088207168</v>
      </c>
    </row>
    <row r="33" spans="1:174">
      <c r="A33" s="2">
        <v>1998</v>
      </c>
      <c r="B33" s="691">
        <v>0.29820334360691902</v>
      </c>
      <c r="C33" s="691">
        <f>B33*'51a-j'!H36</f>
        <v>0.17244908035892428</v>
      </c>
      <c r="D33" s="691">
        <v>0.43924587934160236</v>
      </c>
      <c r="E33" s="691">
        <f>D33*'52'!C34</f>
        <v>0.21944406547205031</v>
      </c>
      <c r="F33" s="691">
        <v>0.16481304820397322</v>
      </c>
      <c r="G33" s="691">
        <f>F33*'53'!F36</f>
        <v>0.10842477794181037</v>
      </c>
      <c r="H33" s="691">
        <v>9.7737728847505354E-2</v>
      </c>
      <c r="I33" s="691">
        <f>H33*'54'!E36</f>
        <v>8.0926239875939637E-2</v>
      </c>
      <c r="J33" s="690">
        <f t="shared" si="0"/>
        <v>0.58124416364872455</v>
      </c>
      <c r="K33" s="691">
        <v>0.30168501149708249</v>
      </c>
      <c r="L33" s="691">
        <f>K33*'51a-j'!O36</f>
        <v>7.3160805323288322E-2</v>
      </c>
      <c r="M33" s="691">
        <v>0.43050250500021009</v>
      </c>
      <c r="N33" s="691">
        <f>M33*'52'!E34</f>
        <v>0.24105770934020262</v>
      </c>
      <c r="O33" s="691">
        <v>0.16723300309238165</v>
      </c>
      <c r="P33" s="691">
        <f>O33*'53'!K36</f>
        <v>0.11087968857534215</v>
      </c>
      <c r="Q33" s="691">
        <v>0.10057948041032579</v>
      </c>
      <c r="R33" s="691">
        <f>Q33*'54'!I36</f>
        <v>8.3667697912851946E-2</v>
      </c>
      <c r="S33" s="690">
        <v>0.50876590115168496</v>
      </c>
      <c r="T33" s="691">
        <v>0.28942711642020796</v>
      </c>
      <c r="U33" s="691">
        <f>T33*'51a-j'!V36</f>
        <v>0.12263381800733569</v>
      </c>
      <c r="V33" s="691">
        <v>0.43846546990093949</v>
      </c>
      <c r="W33" s="691">
        <f>V33*'52'!G34</f>
        <v>0.1483252912805347</v>
      </c>
      <c r="X33" s="691">
        <v>0.17382042776735954</v>
      </c>
      <c r="Y33" s="691">
        <f>X33*'53'!P36</f>
        <v>0.13480389886284769</v>
      </c>
      <c r="Z33" s="691">
        <v>9.8286985911493027E-2</v>
      </c>
      <c r="AA33" s="691">
        <f>Z33*'54'!M36</f>
        <v>7.5855769058353617E-2</v>
      </c>
      <c r="AB33" s="690">
        <f t="shared" si="1"/>
        <v>0.4816187772090717</v>
      </c>
      <c r="AC33" s="691">
        <v>0.29846131823359584</v>
      </c>
      <c r="AD33" s="691">
        <f>AC33*'51a-j'!AC36</f>
        <v>0.15488834940899435</v>
      </c>
      <c r="AE33" s="691">
        <v>0.44005784949315108</v>
      </c>
      <c r="AF33" s="691">
        <f>AE33*'52'!I34</f>
        <v>0.19149009836815928</v>
      </c>
      <c r="AG33" s="691">
        <v>0.16019021041877643</v>
      </c>
      <c r="AH33" s="691">
        <f>AG33*'53'!U36</f>
        <v>0.10348739937247972</v>
      </c>
      <c r="AI33" s="691">
        <v>0.10129062185447653</v>
      </c>
      <c r="AJ33" s="691">
        <f>AI33*'54'!Q36</f>
        <v>7.1815124636488981E-2</v>
      </c>
      <c r="AK33" s="690">
        <v>0.52168097178612238</v>
      </c>
      <c r="AL33" s="691">
        <v>0.3002003361833574</v>
      </c>
      <c r="AM33" s="691">
        <f>AL33*'51a-j'!AJ36</f>
        <v>0.14211292296077949</v>
      </c>
      <c r="AN33" s="691">
        <v>0.43856433725752997</v>
      </c>
      <c r="AO33" s="691">
        <f>AN33*'52'!K34</f>
        <v>0.21867711824372485</v>
      </c>
      <c r="AP33" s="691">
        <v>0.16089079178118923</v>
      </c>
      <c r="AQ33" s="691">
        <f>AP33*'53'!Z36</f>
        <v>0.10453897949387043</v>
      </c>
      <c r="AR33" s="691">
        <v>0.10034453477792336</v>
      </c>
      <c r="AS33" s="691">
        <f>AR33*'54'!U36</f>
        <v>8.0204933472411269E-2</v>
      </c>
      <c r="AT33" s="690">
        <v>0.54553395417078598</v>
      </c>
      <c r="AU33" s="691">
        <v>0.30242304779649565</v>
      </c>
      <c r="AV33" s="691"/>
      <c r="AW33" s="691">
        <v>0.43822986775899297</v>
      </c>
      <c r="AX33" s="691"/>
      <c r="AY33" s="691">
        <v>0.15544381522500397</v>
      </c>
      <c r="AZ33" s="691"/>
      <c r="BA33" s="691">
        <v>0.10390326921950732</v>
      </c>
      <c r="BB33" s="691"/>
      <c r="BC33" s="690">
        <v>0.5928999039341063</v>
      </c>
      <c r="BD33" s="691">
        <v>0.29618561985508896</v>
      </c>
      <c r="BE33" s="691"/>
      <c r="BF33" s="691">
        <v>0.43875291672644473</v>
      </c>
      <c r="BG33" s="691"/>
      <c r="BH33" s="691">
        <v>0.16862125770455719</v>
      </c>
      <c r="BI33" s="691"/>
      <c r="BJ33" s="691">
        <v>9.6440205713909169E-2</v>
      </c>
      <c r="BK33" s="691"/>
      <c r="BL33" s="690">
        <v>0.5662069449709769</v>
      </c>
      <c r="BM33" s="691">
        <v>0.29109768741666076</v>
      </c>
      <c r="BN33" s="691"/>
      <c r="BO33" s="691">
        <v>0.44810796335497272</v>
      </c>
      <c r="BP33" s="691"/>
      <c r="BQ33" s="691">
        <v>0.16714301562910744</v>
      </c>
      <c r="BR33" s="691"/>
      <c r="BS33" s="691">
        <v>9.3651333599259076E-2</v>
      </c>
      <c r="BT33" s="691"/>
      <c r="BU33" s="690">
        <v>0.60894812431354672</v>
      </c>
      <c r="BV33" s="691">
        <v>0.28220880081477684</v>
      </c>
      <c r="BW33" s="691"/>
      <c r="BX33" s="691">
        <v>0.44979981668200719</v>
      </c>
      <c r="BY33" s="691"/>
      <c r="BZ33" s="691">
        <v>0.18001249547507606</v>
      </c>
      <c r="CA33" s="691"/>
      <c r="CB33" s="691">
        <v>8.7978887028139885E-2</v>
      </c>
      <c r="CC33" s="691"/>
      <c r="CD33" s="690">
        <v>0.65671507231277593</v>
      </c>
      <c r="CE33" s="691">
        <v>0.30000447258735058</v>
      </c>
      <c r="CF33" s="691">
        <v>0.43913521660356331</v>
      </c>
      <c r="CG33" s="691">
        <v>0.17281578008242987</v>
      </c>
      <c r="CH33" s="691">
        <v>8.8044530726656287E-2</v>
      </c>
      <c r="CI33" s="690">
        <v>0.64730564914484201</v>
      </c>
      <c r="CJ33" s="691">
        <v>0.29980184617672684</v>
      </c>
      <c r="CK33" s="691">
        <v>0.43869748012067528</v>
      </c>
      <c r="CL33" s="691">
        <v>0.16207766142554372</v>
      </c>
      <c r="CM33" s="691">
        <v>9.9423012277054121E-2</v>
      </c>
      <c r="CN33" s="690">
        <v>0.58199861985500978</v>
      </c>
    </row>
    <row r="34" spans="1:174">
      <c r="A34" s="2">
        <v>1999</v>
      </c>
      <c r="B34" s="691">
        <v>0.29787305006994896</v>
      </c>
      <c r="C34" s="691">
        <f>B34*'51a-j'!H37</f>
        <v>0.18053538118411439</v>
      </c>
      <c r="D34" s="691">
        <v>0.43755386721858813</v>
      </c>
      <c r="E34" s="691">
        <f>D34*'52'!C35</f>
        <v>0.2053603233039171</v>
      </c>
      <c r="F34" s="691">
        <v>0.16479114367338418</v>
      </c>
      <c r="G34" s="691">
        <f>F34*'53'!F37</f>
        <v>0.1141542591176794</v>
      </c>
      <c r="H34" s="691">
        <v>9.9781939038078651E-2</v>
      </c>
      <c r="I34" s="691">
        <f>H34*'54'!E37</f>
        <v>8.4427302176812324E-2</v>
      </c>
      <c r="J34" s="690">
        <f t="shared" si="0"/>
        <v>0.58447726578252324</v>
      </c>
      <c r="K34" s="691">
        <v>0.3022173579741016</v>
      </c>
      <c r="L34" s="691">
        <f>K34*'51a-j'!O37</f>
        <v>8.6652532016309763E-2</v>
      </c>
      <c r="M34" s="691">
        <v>0.42967238024282406</v>
      </c>
      <c r="N34" s="691">
        <f>M34*'52'!E35</f>
        <v>0.25133294059662609</v>
      </c>
      <c r="O34" s="691">
        <v>0.16330184340918202</v>
      </c>
      <c r="P34" s="691">
        <f>O34*'53'!K37</f>
        <v>0.11583137902043647</v>
      </c>
      <c r="Q34" s="691">
        <v>0.1048084183738925</v>
      </c>
      <c r="R34" s="691">
        <f>Q34*'54'!I37</f>
        <v>8.53254790016027E-2</v>
      </c>
      <c r="S34" s="690">
        <v>0.53914233063497508</v>
      </c>
      <c r="T34" s="691">
        <v>0.2901939508836156</v>
      </c>
      <c r="U34" s="691">
        <f>T34*'51a-j'!V37</f>
        <v>0.11468091404918666</v>
      </c>
      <c r="V34" s="691">
        <v>0.43820411989329661</v>
      </c>
      <c r="W34" s="691">
        <f>V34*'52'!G35</f>
        <v>0.14797969725454108</v>
      </c>
      <c r="X34" s="691">
        <v>0.17033147511694399</v>
      </c>
      <c r="Y34" s="691">
        <f>X34*'53'!P37</f>
        <v>0.12112248177873043</v>
      </c>
      <c r="Z34" s="691">
        <v>0.10127045410614374</v>
      </c>
      <c r="AA34" s="691">
        <f>Z34*'54'!M37</f>
        <v>7.4723663573683707E-2</v>
      </c>
      <c r="AB34" s="690">
        <f t="shared" si="1"/>
        <v>0.45850675665614188</v>
      </c>
      <c r="AC34" s="691">
        <v>0.29885590255634725</v>
      </c>
      <c r="AD34" s="691">
        <f>AC34*'51a-j'!AC37</f>
        <v>0.16686583051739512</v>
      </c>
      <c r="AE34" s="691">
        <v>0.43906396386484503</v>
      </c>
      <c r="AF34" s="691">
        <f>AE34*'52'!I35</f>
        <v>0.20406609188703267</v>
      </c>
      <c r="AG34" s="691">
        <v>0.15786013553364228</v>
      </c>
      <c r="AH34" s="691">
        <f>AG34*'53'!U37</f>
        <v>0.13555724256733603</v>
      </c>
      <c r="AI34" s="691">
        <v>0.10421999804516545</v>
      </c>
      <c r="AJ34" s="691">
        <f>AI34*'54'!Q37</f>
        <v>7.607561982809373E-2</v>
      </c>
      <c r="AK34" s="690">
        <v>0.58256478479985752</v>
      </c>
      <c r="AL34" s="691">
        <v>0.29960716234784696</v>
      </c>
      <c r="AM34" s="691">
        <f>AL34*'51a-j'!AJ37</f>
        <v>0.16878438095830367</v>
      </c>
      <c r="AN34" s="691">
        <v>0.43603489991382716</v>
      </c>
      <c r="AO34" s="691">
        <f>AN34*'52'!K35</f>
        <v>0.19924573450112057</v>
      </c>
      <c r="AP34" s="691">
        <v>0.16119800377008273</v>
      </c>
      <c r="AQ34" s="691">
        <f>AP34*'53'!Z37</f>
        <v>0.10024796828631315</v>
      </c>
      <c r="AR34" s="691">
        <v>0.10315993396824312</v>
      </c>
      <c r="AS34" s="691">
        <f>AR34*'54'!U37</f>
        <v>8.475242794574793E-2</v>
      </c>
      <c r="AT34" s="690">
        <v>0.55303051169148532</v>
      </c>
      <c r="AU34" s="691">
        <v>0.30195815712832136</v>
      </c>
      <c r="AV34" s="691"/>
      <c r="AW34" s="691">
        <v>0.43682800085140266</v>
      </c>
      <c r="AX34" s="691"/>
      <c r="AY34" s="691">
        <v>0.15493542214317799</v>
      </c>
      <c r="AZ34" s="691"/>
      <c r="BA34" s="691">
        <v>0.10627841987709798</v>
      </c>
      <c r="BB34" s="691"/>
      <c r="BC34" s="690">
        <v>0.5886558917980329</v>
      </c>
      <c r="BD34" s="691">
        <v>0.29571870436198333</v>
      </c>
      <c r="BE34" s="691"/>
      <c r="BF34" s="691">
        <v>0.43708935666545051</v>
      </c>
      <c r="BG34" s="691"/>
      <c r="BH34" s="691">
        <v>0.16925808909470808</v>
      </c>
      <c r="BI34" s="691"/>
      <c r="BJ34" s="691">
        <v>9.793384987785822E-2</v>
      </c>
      <c r="BK34" s="691"/>
      <c r="BL34" s="690">
        <v>0.56913176503243312</v>
      </c>
      <c r="BM34" s="691">
        <v>0.28945592717999769</v>
      </c>
      <c r="BN34" s="691"/>
      <c r="BO34" s="691">
        <v>0.44386624899657995</v>
      </c>
      <c r="BP34" s="691"/>
      <c r="BQ34" s="691">
        <v>0.17159132368234448</v>
      </c>
      <c r="BR34" s="691"/>
      <c r="BS34" s="691">
        <v>9.5086500141077737E-2</v>
      </c>
      <c r="BT34" s="691"/>
      <c r="BU34" s="690">
        <v>0.57937890287968918</v>
      </c>
      <c r="BV34" s="691">
        <v>0.28190653429102086</v>
      </c>
      <c r="BW34" s="691"/>
      <c r="BX34" s="691">
        <v>0.44801774945816569</v>
      </c>
      <c r="BY34" s="691"/>
      <c r="BZ34" s="691">
        <v>0.17997097004609244</v>
      </c>
      <c r="CA34" s="691"/>
      <c r="CB34" s="691">
        <v>9.0104746204720837E-2</v>
      </c>
      <c r="CC34" s="691"/>
      <c r="CD34" s="690">
        <v>0.62752150565886133</v>
      </c>
      <c r="CE34" s="691">
        <v>0.29943216070431422</v>
      </c>
      <c r="CF34" s="691">
        <v>0.43612028105581863</v>
      </c>
      <c r="CG34" s="691">
        <v>0.17444911549897385</v>
      </c>
      <c r="CH34" s="691">
        <v>8.9998442740893234E-2</v>
      </c>
      <c r="CI34" s="690">
        <v>0.65376147780737404</v>
      </c>
      <c r="CJ34" s="691">
        <v>0.30065710908625254</v>
      </c>
      <c r="CK34" s="691">
        <v>0.43859463734511295</v>
      </c>
      <c r="CL34" s="691">
        <v>0.1585363912906326</v>
      </c>
      <c r="CM34" s="691">
        <v>0.1022118622780019</v>
      </c>
      <c r="CN34" s="690">
        <v>0.58694737223819704</v>
      </c>
    </row>
    <row r="35" spans="1:174">
      <c r="A35" s="2">
        <v>2000</v>
      </c>
      <c r="B35" s="691">
        <v>0.29861917589984577</v>
      </c>
      <c r="C35" s="691">
        <f>B35*'51a-j'!H38</f>
        <v>0.19032788368958894</v>
      </c>
      <c r="D35" s="691">
        <v>0.43738579341391443</v>
      </c>
      <c r="E35" s="691">
        <f>D35*'52'!C36</f>
        <v>0.20391543966439096</v>
      </c>
      <c r="F35" s="691">
        <v>0.1618036574078863</v>
      </c>
      <c r="G35" s="691">
        <f>F35*'53'!F38</f>
        <v>0.11601696885235505</v>
      </c>
      <c r="H35" s="691">
        <v>0.10219137327835345</v>
      </c>
      <c r="I35" s="691">
        <f>H35*'54'!E38</f>
        <v>8.3005034649000803E-2</v>
      </c>
      <c r="J35" s="690">
        <f t="shared" si="0"/>
        <v>0.59326532685533573</v>
      </c>
      <c r="K35" s="691">
        <v>0.3022173135325657</v>
      </c>
      <c r="L35" s="691">
        <f>K35*'51a-j'!O38</f>
        <v>8.808915995091067E-2</v>
      </c>
      <c r="M35" s="691">
        <v>0.4283720945673325</v>
      </c>
      <c r="N35" s="691">
        <f>M35*'52'!E36</f>
        <v>0.22621119509217683</v>
      </c>
      <c r="O35" s="691">
        <v>0.16082587732388648</v>
      </c>
      <c r="P35" s="691">
        <f>O35*'53'!K38</f>
        <v>0.11179350240112515</v>
      </c>
      <c r="Q35" s="691">
        <v>0.10858471457621534</v>
      </c>
      <c r="R35" s="691">
        <f>Q35*'54'!I38</f>
        <v>8.0372614580657434E-2</v>
      </c>
      <c r="S35" s="690">
        <v>0.50646647202487016</v>
      </c>
      <c r="T35" s="691">
        <v>0.2908175153041464</v>
      </c>
      <c r="U35" s="691">
        <f>T35*'51a-j'!V38</f>
        <v>0.14458875737439023</v>
      </c>
      <c r="V35" s="691">
        <v>0.43712955231250394</v>
      </c>
      <c r="W35" s="691">
        <f>V35*'52'!G36</f>
        <v>0.15919504694999273</v>
      </c>
      <c r="X35" s="691">
        <v>0.16786190081874849</v>
      </c>
      <c r="Y35" s="691">
        <f>X35*'53'!P38</f>
        <v>0.12987806761922113</v>
      </c>
      <c r="Z35" s="691">
        <v>0.10419103156460122</v>
      </c>
      <c r="AA35" s="691">
        <f>Z35*'54'!M38</f>
        <v>7.7377603240638346E-2</v>
      </c>
      <c r="AB35" s="690">
        <f t="shared" si="1"/>
        <v>0.51103947518424242</v>
      </c>
      <c r="AC35" s="691">
        <v>0.29943730003963287</v>
      </c>
      <c r="AD35" s="691">
        <f>AC35*'51a-j'!AC38</f>
        <v>0.17448485933441618</v>
      </c>
      <c r="AE35" s="691">
        <v>0.43883431780208421</v>
      </c>
      <c r="AF35" s="691">
        <f>AE35*'52'!I36</f>
        <v>0.1826352669046821</v>
      </c>
      <c r="AG35" s="691">
        <v>0.15454252636308877</v>
      </c>
      <c r="AH35" s="691">
        <f>AG35*'53'!U38</f>
        <v>0.13504766739994054</v>
      </c>
      <c r="AI35" s="691">
        <v>0.10718585579519413</v>
      </c>
      <c r="AJ35" s="691">
        <f>AI35*'54'!Q38</f>
        <v>8.1939922457126585E-2</v>
      </c>
      <c r="AK35" s="690">
        <v>0.5741077160961654</v>
      </c>
      <c r="AL35" s="691">
        <v>0.30016589522424963</v>
      </c>
      <c r="AM35" s="691">
        <f>AL35*'51a-j'!AJ38</f>
        <v>0.16964517125453835</v>
      </c>
      <c r="AN35" s="691">
        <v>0.43526067226332499</v>
      </c>
      <c r="AO35" s="691">
        <f>AN35*'52'!K36</f>
        <v>0.19362418062886766</v>
      </c>
      <c r="AP35" s="691">
        <v>0.15809559900982104</v>
      </c>
      <c r="AQ35" s="691">
        <f>AP35*'53'!Z38</f>
        <v>0.10950902461393278</v>
      </c>
      <c r="AR35" s="691">
        <v>0.10647783350260447</v>
      </c>
      <c r="AS35" s="691">
        <f>AR35*'54'!U38</f>
        <v>8.3190019549621352E-2</v>
      </c>
      <c r="AT35" s="690">
        <v>0.55596839604696013</v>
      </c>
      <c r="AU35" s="691">
        <v>0.3020881069317724</v>
      </c>
      <c r="AV35" s="691"/>
      <c r="AW35" s="691">
        <v>0.43648178524387776</v>
      </c>
      <c r="AX35" s="691"/>
      <c r="AY35" s="691">
        <v>0.15247915011538349</v>
      </c>
      <c r="AZ35" s="691"/>
      <c r="BA35" s="691">
        <v>0.10895095770896633</v>
      </c>
      <c r="BB35" s="691"/>
      <c r="BC35" s="690">
        <v>0.59541140357871458</v>
      </c>
      <c r="BD35" s="691">
        <v>0.29713773535603338</v>
      </c>
      <c r="BE35" s="691"/>
      <c r="BF35" s="691">
        <v>0.43786486396828178</v>
      </c>
      <c r="BG35" s="691"/>
      <c r="BH35" s="691">
        <v>0.16511200951056115</v>
      </c>
      <c r="BI35" s="691"/>
      <c r="BJ35" s="691">
        <v>9.9885391165123627E-2</v>
      </c>
      <c r="BK35" s="691"/>
      <c r="BL35" s="690">
        <v>0.58013355712962789</v>
      </c>
      <c r="BM35" s="691">
        <v>0.28872850139430645</v>
      </c>
      <c r="BN35" s="691"/>
      <c r="BO35" s="691">
        <v>0.4412860484314175</v>
      </c>
      <c r="BP35" s="691"/>
      <c r="BQ35" s="691">
        <v>0.17300862236080361</v>
      </c>
      <c r="BR35" s="691"/>
      <c r="BS35" s="691">
        <v>9.6976827813472499E-2</v>
      </c>
      <c r="BT35" s="691"/>
      <c r="BU35" s="690">
        <v>0.59334441784325698</v>
      </c>
      <c r="BV35" s="691">
        <v>0.28141514510410526</v>
      </c>
      <c r="BW35" s="691"/>
      <c r="BX35" s="691">
        <v>0.44795892917137037</v>
      </c>
      <c r="BY35" s="691"/>
      <c r="BZ35" s="691">
        <v>0.17797587439550211</v>
      </c>
      <c r="CA35" s="691"/>
      <c r="CB35" s="691">
        <v>9.2650051329022307E-2</v>
      </c>
      <c r="CC35" s="691"/>
      <c r="CD35" s="690">
        <v>0.61738166820819318</v>
      </c>
      <c r="CE35" s="691">
        <v>0.30058078345109823</v>
      </c>
      <c r="CF35" s="691">
        <v>0.435768876827686</v>
      </c>
      <c r="CG35" s="691">
        <v>0.17089208142827436</v>
      </c>
      <c r="CH35" s="691">
        <v>9.2758258292941473E-2</v>
      </c>
      <c r="CI35" s="690">
        <v>0.64855990000324526</v>
      </c>
      <c r="CJ35" s="691">
        <v>0.3005902102543373</v>
      </c>
      <c r="CK35" s="691">
        <v>0.43698759671833676</v>
      </c>
      <c r="CL35" s="691">
        <v>0.15770314281689041</v>
      </c>
      <c r="CM35" s="691">
        <v>0.10471905021043558</v>
      </c>
      <c r="CN35" s="690">
        <v>0.61206390174630443</v>
      </c>
    </row>
    <row r="36" spans="1:174">
      <c r="A36" s="2">
        <v>2001</v>
      </c>
      <c r="B36" s="691">
        <v>0.29929770547333739</v>
      </c>
      <c r="C36" s="691">
        <f>B36*'51a-j'!H39</f>
        <v>0.18653927154937844</v>
      </c>
      <c r="D36" s="691">
        <v>0.4370467119998141</v>
      </c>
      <c r="E36" s="691">
        <f>D36*'52'!C37</f>
        <v>0.18374878988509452</v>
      </c>
      <c r="F36" s="691">
        <v>0.15920562806044428</v>
      </c>
      <c r="G36" s="691">
        <f>F36*'53'!F39</f>
        <v>0.11364944608736779</v>
      </c>
      <c r="H36" s="691">
        <v>0.10444995446640434</v>
      </c>
      <c r="I36" s="691">
        <f>H36*'54'!E39</f>
        <v>8.691627365799974E-2</v>
      </c>
      <c r="J36" s="690">
        <f t="shared" si="0"/>
        <v>0.57085378117984042</v>
      </c>
      <c r="K36" s="691">
        <v>0.30332452363602075</v>
      </c>
      <c r="L36" s="691">
        <f>K36*'51a-j'!O39</f>
        <v>9.822349021912434E-2</v>
      </c>
      <c r="M36" s="691">
        <v>0.42872532367813615</v>
      </c>
      <c r="N36" s="691">
        <f>M36*'52'!E37</f>
        <v>0.22132233491851633</v>
      </c>
      <c r="O36" s="691">
        <v>0.1552435833304715</v>
      </c>
      <c r="P36" s="691">
        <f>O36*'53'!K39</f>
        <v>0.11557031062384139</v>
      </c>
      <c r="Q36" s="691">
        <v>0.11270656935537159</v>
      </c>
      <c r="R36" s="691">
        <f>Q36*'54'!I39</f>
        <v>8.0581125750812554E-2</v>
      </c>
      <c r="S36" s="690">
        <v>0.51569726151229456</v>
      </c>
      <c r="T36" s="691">
        <v>0.29216493295402335</v>
      </c>
      <c r="U36" s="691">
        <f>T36*'51a-j'!V39</f>
        <v>0.14762354244937578</v>
      </c>
      <c r="V36" s="691">
        <v>0.43721884117139931</v>
      </c>
      <c r="W36" s="691">
        <f>V36*'52'!G37</f>
        <v>9.652336046373905E-2</v>
      </c>
      <c r="X36" s="691">
        <v>0.16319827214042176</v>
      </c>
      <c r="Y36" s="691">
        <f>X36*'53'!P39</f>
        <v>0.11843643876867632</v>
      </c>
      <c r="Z36" s="691">
        <v>0.10741795373415558</v>
      </c>
      <c r="AA36" s="691">
        <f>Z36*'54'!M39</f>
        <v>7.664398145438886E-2</v>
      </c>
      <c r="AB36" s="690">
        <f t="shared" si="1"/>
        <v>0.43922732313618007</v>
      </c>
      <c r="AC36" s="691">
        <v>0.30002343970633211</v>
      </c>
      <c r="AD36" s="691">
        <f>AC36*'51a-j'!AC39</f>
        <v>0.16598953107216219</v>
      </c>
      <c r="AE36" s="691">
        <v>0.43832530313364698</v>
      </c>
      <c r="AF36" s="691">
        <f>AE36*'52'!I37</f>
        <v>0.16443750280942274</v>
      </c>
      <c r="AG36" s="691">
        <v>0.15131616269356973</v>
      </c>
      <c r="AH36" s="691">
        <f>AG36*'53'!U39</f>
        <v>0.12601355787910926</v>
      </c>
      <c r="AI36" s="691">
        <v>0.11033509446645112</v>
      </c>
      <c r="AJ36" s="691">
        <f>AI36*'54'!Q39</f>
        <v>8.9442912568604621E-2</v>
      </c>
      <c r="AK36" s="690">
        <v>0.54588350432929877</v>
      </c>
      <c r="AL36" s="691">
        <v>0.30161080174710442</v>
      </c>
      <c r="AM36" s="691">
        <f>AL36*'51a-j'!AJ39</f>
        <v>0.15694488712792184</v>
      </c>
      <c r="AN36" s="691">
        <v>0.43604225058861995</v>
      </c>
      <c r="AO36" s="691">
        <f>AN36*'52'!K37</f>
        <v>0.15521634858496985</v>
      </c>
      <c r="AP36" s="691">
        <v>0.15249387318992877</v>
      </c>
      <c r="AQ36" s="691">
        <f>AP36*'53'!Z39</f>
        <v>9.7544831859467662E-2</v>
      </c>
      <c r="AR36" s="691">
        <v>0.10985307447434681</v>
      </c>
      <c r="AS36" s="691">
        <f>AR36*'54'!U39</f>
        <v>8.7687804497247598E-2</v>
      </c>
      <c r="AT36" s="690">
        <v>0.49739387206960695</v>
      </c>
      <c r="AU36" s="691">
        <v>0.30299893002812506</v>
      </c>
      <c r="AV36" s="691"/>
      <c r="AW36" s="691">
        <v>0.4371399974279403</v>
      </c>
      <c r="AX36" s="691"/>
      <c r="AY36" s="691">
        <v>0.14815286508829295</v>
      </c>
      <c r="AZ36" s="691"/>
      <c r="BA36" s="691">
        <v>0.11170820745564168</v>
      </c>
      <c r="BB36" s="691"/>
      <c r="BC36" s="690">
        <v>0.58240267777007171</v>
      </c>
      <c r="BD36" s="691">
        <v>0.29759084076705955</v>
      </c>
      <c r="BE36" s="691"/>
      <c r="BF36" s="691">
        <v>0.43716381662560144</v>
      </c>
      <c r="BG36" s="691"/>
      <c r="BH36" s="691">
        <v>0.16386639759117713</v>
      </c>
      <c r="BI36" s="691"/>
      <c r="BJ36" s="691">
        <v>0.10137894501616183</v>
      </c>
      <c r="BK36" s="691"/>
      <c r="BL36" s="690">
        <v>0.55425167315654145</v>
      </c>
      <c r="BM36" s="691">
        <v>0.29005136890687983</v>
      </c>
      <c r="BN36" s="691"/>
      <c r="BO36" s="691">
        <v>0.44168834464007645</v>
      </c>
      <c r="BP36" s="691"/>
      <c r="BQ36" s="691">
        <v>0.16876562714905055</v>
      </c>
      <c r="BR36" s="691"/>
      <c r="BS36" s="691">
        <v>9.9494659303993135E-2</v>
      </c>
      <c r="BT36" s="691"/>
      <c r="BU36" s="690">
        <v>0.56396341664585214</v>
      </c>
      <c r="BV36" s="691">
        <v>0.28219155460076872</v>
      </c>
      <c r="BW36" s="691"/>
      <c r="BX36" s="691">
        <v>0.44993947107939897</v>
      </c>
      <c r="BY36" s="691"/>
      <c r="BZ36" s="691">
        <v>0.17227246473530342</v>
      </c>
      <c r="CA36" s="691"/>
      <c r="CB36" s="691">
        <v>9.5596509584528838E-2</v>
      </c>
      <c r="CC36" s="691"/>
      <c r="CD36" s="690">
        <v>0.58424641225723684</v>
      </c>
      <c r="CE36" s="691">
        <v>0.30079160713536723</v>
      </c>
      <c r="CF36" s="691">
        <v>0.43387970769710327</v>
      </c>
      <c r="CG36" s="691">
        <v>0.17009190934981075</v>
      </c>
      <c r="CH36" s="691">
        <v>9.5236775817718736E-2</v>
      </c>
      <c r="CI36" s="690">
        <v>0.6435683201879282</v>
      </c>
      <c r="CJ36" s="691">
        <v>0.30181851716872166</v>
      </c>
      <c r="CK36" s="691">
        <v>0.43735845428990983</v>
      </c>
      <c r="CL36" s="691">
        <v>0.15327415094725233</v>
      </c>
      <c r="CM36" s="691">
        <v>0.10754887759411624</v>
      </c>
      <c r="CN36" s="690">
        <v>0.56768126287722587</v>
      </c>
    </row>
    <row r="37" spans="1:174">
      <c r="A37" s="2">
        <v>2002</v>
      </c>
      <c r="B37" s="691">
        <v>0.30003096922228634</v>
      </c>
      <c r="C37" s="691">
        <f>B37*'51a-j'!H40</f>
        <v>0.18086228795731779</v>
      </c>
      <c r="D37" s="691">
        <v>0.43688042033947477</v>
      </c>
      <c r="E37" s="691">
        <f>D37*'52'!C38</f>
        <v>0.16442960753429844</v>
      </c>
      <c r="F37" s="691">
        <v>0.15600715838049423</v>
      </c>
      <c r="G37" s="691">
        <f>F37*'53'!F40</f>
        <v>0.1029336429536261</v>
      </c>
      <c r="H37" s="691">
        <v>0.10708145205774469</v>
      </c>
      <c r="I37" s="691">
        <f>H37*'54'!E40</f>
        <v>8.8834301714758063E-2</v>
      </c>
      <c r="J37" s="690">
        <f t="shared" si="0"/>
        <v>0.53705984016000041</v>
      </c>
      <c r="K37" s="691">
        <v>0.30387335741610755</v>
      </c>
      <c r="L37" s="691">
        <f>K37*'51a-j'!O40</f>
        <v>9.1089770369423367E-2</v>
      </c>
      <c r="M37" s="691">
        <v>0.42891623967046516</v>
      </c>
      <c r="N37" s="691">
        <f>M37*'52'!E38</f>
        <v>0.2050423688048805</v>
      </c>
      <c r="O37" s="691">
        <v>0.15083036869482153</v>
      </c>
      <c r="P37" s="691">
        <f>O37*'53'!K40</f>
        <v>0.10567366327855425</v>
      </c>
      <c r="Q37" s="691">
        <v>0.11638003421860577</v>
      </c>
      <c r="R37" s="691">
        <f>Q37*'54'!I40</f>
        <v>9.1093084284133999E-2</v>
      </c>
      <c r="S37" s="690">
        <v>0.49289888673699211</v>
      </c>
      <c r="T37" s="691">
        <v>0.29344033709121553</v>
      </c>
      <c r="U37" s="691">
        <f>T37*'51a-j'!V40</f>
        <v>0.14742883984684926</v>
      </c>
      <c r="V37" s="691">
        <v>0.4367415819028676</v>
      </c>
      <c r="W37" s="691">
        <f>V37*'52'!G38</f>
        <v>0.12279714145200558</v>
      </c>
      <c r="X37" s="691">
        <v>0.15954143782416838</v>
      </c>
      <c r="Y37" s="691">
        <f>X37*'53'!P40</f>
        <v>0.12653724984582068</v>
      </c>
      <c r="Z37" s="691">
        <v>0.11027664318174851</v>
      </c>
      <c r="AA37" s="691">
        <f>Z37*'54'!M40</f>
        <v>7.9537613537872601E-2</v>
      </c>
      <c r="AB37" s="690">
        <f t="shared" si="1"/>
        <v>0.47630084468254807</v>
      </c>
      <c r="AC37" s="691">
        <v>0.29957008524632689</v>
      </c>
      <c r="AD37" s="691">
        <f>AC37*'51a-j'!AC40</f>
        <v>0.16766662327859871</v>
      </c>
      <c r="AE37" s="691">
        <v>0.43579851580372952</v>
      </c>
      <c r="AF37" s="691">
        <f>AE37*'52'!I38</f>
        <v>0.12559823239693263</v>
      </c>
      <c r="AG37" s="691">
        <v>0.15148966527259761</v>
      </c>
      <c r="AH37" s="691">
        <f>AG37*'53'!U40</f>
        <v>0.10790218924338613</v>
      </c>
      <c r="AI37" s="691">
        <v>0.11314173367734608</v>
      </c>
      <c r="AJ37" s="691">
        <f>AI37*'54'!Q40</f>
        <v>9.0584539067046249E-2</v>
      </c>
      <c r="AK37" s="690">
        <v>0.49175158398596375</v>
      </c>
      <c r="AL37" s="691">
        <v>0.30208901146297773</v>
      </c>
      <c r="AM37" s="691">
        <f>AL37*'51a-j'!AJ40</f>
        <v>0.16985572424813206</v>
      </c>
      <c r="AN37" s="691">
        <v>0.43577589661521093</v>
      </c>
      <c r="AO37" s="691">
        <f>AN37*'52'!K38</f>
        <v>0.13469706829053599</v>
      </c>
      <c r="AP37" s="691">
        <v>0.14860019083204221</v>
      </c>
      <c r="AQ37" s="691">
        <f>AP37*'53'!Z40</f>
        <v>0.10412635844121043</v>
      </c>
      <c r="AR37" s="691">
        <v>0.11353490108976912</v>
      </c>
      <c r="AS37" s="691">
        <f>AR37*'54'!U40</f>
        <v>9.1311250191963123E-2</v>
      </c>
      <c r="AT37" s="690">
        <v>0.49999040117184163</v>
      </c>
      <c r="AU37" s="691">
        <v>0.3032034391055709</v>
      </c>
      <c r="AV37" s="691"/>
      <c r="AW37" s="691">
        <v>0.43702092047711039</v>
      </c>
      <c r="AX37" s="691"/>
      <c r="AY37" s="691">
        <v>0.14523363292893643</v>
      </c>
      <c r="AZ37" s="691"/>
      <c r="BA37" s="691">
        <v>0.11454200748838228</v>
      </c>
      <c r="BB37" s="691"/>
      <c r="BC37" s="690">
        <v>0.561866224612526</v>
      </c>
      <c r="BD37" s="691">
        <v>0.29818337138433476</v>
      </c>
      <c r="BE37" s="691"/>
      <c r="BF37" s="691">
        <v>0.43656189502901638</v>
      </c>
      <c r="BG37" s="691"/>
      <c r="BH37" s="691">
        <v>0.16184877415358237</v>
      </c>
      <c r="BI37" s="691"/>
      <c r="BJ37" s="691">
        <v>0.10340595943306652</v>
      </c>
      <c r="BK37" s="691"/>
      <c r="BL37" s="690">
        <v>0.50936768705392521</v>
      </c>
      <c r="BM37" s="691">
        <v>0.29040005338567004</v>
      </c>
      <c r="BN37" s="691"/>
      <c r="BO37" s="691">
        <v>0.44042389749493199</v>
      </c>
      <c r="BP37" s="691"/>
      <c r="BQ37" s="691">
        <v>0.16716799921141237</v>
      </c>
      <c r="BR37" s="691"/>
      <c r="BS37" s="691">
        <v>0.10200804990798551</v>
      </c>
      <c r="BT37" s="691"/>
      <c r="BU37" s="690">
        <v>0.56167264603364775</v>
      </c>
      <c r="BV37" s="691">
        <v>0.28285797204881541</v>
      </c>
      <c r="BW37" s="691"/>
      <c r="BX37" s="691">
        <v>0.45070239388102129</v>
      </c>
      <c r="BY37" s="691"/>
      <c r="BZ37" s="691">
        <v>0.16797060757666049</v>
      </c>
      <c r="CA37" s="691"/>
      <c r="CB37" s="691">
        <v>9.8469026493502781E-2</v>
      </c>
      <c r="CC37" s="691"/>
      <c r="CD37" s="690">
        <v>0.57202909096433729</v>
      </c>
      <c r="CE37" s="691">
        <v>0.30292747169705281</v>
      </c>
      <c r="CF37" s="691">
        <v>0.43481592621138687</v>
      </c>
      <c r="CG37" s="691">
        <v>0.1639680856976837</v>
      </c>
      <c r="CH37" s="691">
        <v>9.8288516393876563E-2</v>
      </c>
      <c r="CI37" s="690">
        <v>0.61940069921439289</v>
      </c>
      <c r="CJ37" s="691">
        <v>0.30250993400633197</v>
      </c>
      <c r="CK37" s="691">
        <v>0.43741022609199182</v>
      </c>
      <c r="CL37" s="691">
        <v>0.14927555649170796</v>
      </c>
      <c r="CM37" s="691">
        <v>0.11080428340996826</v>
      </c>
      <c r="CN37" s="690">
        <v>0.52534703940606486</v>
      </c>
    </row>
    <row r="38" spans="1:174">
      <c r="A38" s="2">
        <v>2003</v>
      </c>
      <c r="B38" s="691">
        <v>0.30004440168864199</v>
      </c>
      <c r="C38" s="691">
        <f>B38*'51a-j'!H41</f>
        <v>0.18200276409287686</v>
      </c>
      <c r="D38" s="691">
        <v>0.4358802536801068</v>
      </c>
      <c r="E38" s="691">
        <f>D38*'52'!C39</f>
        <v>0.15753795287543179</v>
      </c>
      <c r="F38" s="691">
        <v>0.1545375081960495</v>
      </c>
      <c r="G38" s="691">
        <f>F38*'53'!F41</f>
        <v>0.10346226461566906</v>
      </c>
      <c r="H38" s="691">
        <v>0.1095378364352018</v>
      </c>
      <c r="I38" s="691">
        <f>H38*'54'!E41</f>
        <v>9.068626327416339E-2</v>
      </c>
      <c r="J38" s="690">
        <f t="shared" si="0"/>
        <v>0.53368924485814107</v>
      </c>
      <c r="K38" s="691">
        <v>0.30448722007696138</v>
      </c>
      <c r="L38" s="691">
        <f>K38*'51a-j'!O41</f>
        <v>9.3135051376362535E-2</v>
      </c>
      <c r="M38" s="691">
        <v>0.42893353479470886</v>
      </c>
      <c r="N38" s="691">
        <f>M38*'52'!E39</f>
        <v>0.18115921242610911</v>
      </c>
      <c r="O38" s="691">
        <v>0.14670170290281237</v>
      </c>
      <c r="P38" s="691">
        <f>O38*'53'!K41</f>
        <v>0.11199828328246825</v>
      </c>
      <c r="Q38" s="691">
        <v>0.1198775422255173</v>
      </c>
      <c r="R38" s="691">
        <f>Q38*'54'!I41</f>
        <v>9.6374338242331561E-2</v>
      </c>
      <c r="S38" s="690">
        <v>0.48266688532727142</v>
      </c>
      <c r="T38" s="691">
        <v>0.29305771953138621</v>
      </c>
      <c r="U38" s="691">
        <f>T38*'51a-j'!V41</f>
        <v>0.16144559863622782</v>
      </c>
      <c r="V38" s="691">
        <v>0.43445590833954206</v>
      </c>
      <c r="W38" s="691">
        <f>V38*'52'!G39</f>
        <v>8.3604972693033172E-2</v>
      </c>
      <c r="X38" s="691">
        <v>0.1599820451897746</v>
      </c>
      <c r="Y38" s="691">
        <f>X38*'53'!P41</f>
        <v>0.14440482916204633</v>
      </c>
      <c r="Z38" s="691">
        <v>0.11250432693929709</v>
      </c>
      <c r="AA38" s="691">
        <f>Z38*'54'!M41</f>
        <v>8.2084510185433404E-2</v>
      </c>
      <c r="AB38" s="690">
        <f t="shared" si="1"/>
        <v>0.47153991067674073</v>
      </c>
      <c r="AC38" s="691">
        <v>0.29967732437004857</v>
      </c>
      <c r="AD38" s="691">
        <f>AC38*'51a-j'!AC41</f>
        <v>0.17417551748819524</v>
      </c>
      <c r="AE38" s="691">
        <v>0.43460439284355379</v>
      </c>
      <c r="AF38" s="691">
        <f>AE38*'52'!I39</f>
        <v>0.10490869793980859</v>
      </c>
      <c r="AG38" s="691">
        <v>0.14972438594667203</v>
      </c>
      <c r="AH38" s="691">
        <f>AG38*'53'!U41</f>
        <v>0.12266601145324434</v>
      </c>
      <c r="AI38" s="691">
        <v>0.1159938968397257</v>
      </c>
      <c r="AJ38" s="691">
        <f>AI38*'54'!Q41</f>
        <v>9.0308885307922498E-2</v>
      </c>
      <c r="AK38" s="690">
        <v>0.49205911218917064</v>
      </c>
      <c r="AL38" s="691">
        <v>0.30278433949058153</v>
      </c>
      <c r="AM38" s="691">
        <f>AL38*'51a-j'!AJ41</f>
        <v>0.16746275765076726</v>
      </c>
      <c r="AN38" s="691">
        <v>0.43610919561495975</v>
      </c>
      <c r="AO38" s="691">
        <f>AN38*'52'!K39</f>
        <v>0.12510391186001049</v>
      </c>
      <c r="AP38" s="691">
        <v>0.14396514044836295</v>
      </c>
      <c r="AQ38" s="691">
        <f>AP38*'53'!Z41</f>
        <v>9.368138199500925E-2</v>
      </c>
      <c r="AR38" s="691">
        <v>0.11714132444609575</v>
      </c>
      <c r="AS38" s="691">
        <f>AR38*'54'!U41</f>
        <v>9.4271857009208079E-2</v>
      </c>
      <c r="AT38" s="690">
        <v>0.4805199085149951</v>
      </c>
      <c r="AU38" s="691">
        <v>0.30255928326119308</v>
      </c>
      <c r="AV38" s="691"/>
      <c r="AW38" s="691">
        <v>0.43587222755734456</v>
      </c>
      <c r="AX38" s="691"/>
      <c r="AY38" s="691">
        <v>0.14455406033824594</v>
      </c>
      <c r="AZ38" s="691"/>
      <c r="BA38" s="691">
        <v>0.11701442884321638</v>
      </c>
      <c r="BB38" s="691"/>
      <c r="BC38" s="690">
        <v>0.5537541565166948</v>
      </c>
      <c r="BD38" s="691">
        <v>0.29799046173300936</v>
      </c>
      <c r="BE38" s="691"/>
      <c r="BF38" s="691">
        <v>0.43491832811592529</v>
      </c>
      <c r="BG38" s="691"/>
      <c r="BH38" s="691">
        <v>0.16169102207414032</v>
      </c>
      <c r="BI38" s="691"/>
      <c r="BJ38" s="691">
        <v>0.10540018807692501</v>
      </c>
      <c r="BK38" s="691"/>
      <c r="BL38" s="690">
        <v>0.50547401183636465</v>
      </c>
      <c r="BM38" s="691">
        <v>0.29105558368180817</v>
      </c>
      <c r="BN38" s="691"/>
      <c r="BO38" s="691">
        <v>0.43977983270795895</v>
      </c>
      <c r="BP38" s="691"/>
      <c r="BQ38" s="691">
        <v>0.16471461080663968</v>
      </c>
      <c r="BR38" s="691"/>
      <c r="BS38" s="691">
        <v>0.10444997280359322</v>
      </c>
      <c r="BT38" s="691"/>
      <c r="BU38" s="690">
        <v>0.56072868401900466</v>
      </c>
      <c r="BV38" s="691">
        <v>0.28384172053821227</v>
      </c>
      <c r="BW38" s="691"/>
      <c r="BX38" s="691">
        <v>0.4501485206879956</v>
      </c>
      <c r="BY38" s="691"/>
      <c r="BZ38" s="691">
        <v>0.16474999213115571</v>
      </c>
      <c r="CA38" s="691"/>
      <c r="CB38" s="691">
        <v>0.10125976664263636</v>
      </c>
      <c r="CC38" s="691"/>
      <c r="CD38" s="690">
        <v>0.57373351693210406</v>
      </c>
      <c r="CE38" s="691">
        <v>0.30417723356448562</v>
      </c>
      <c r="CF38" s="691">
        <v>0.43513960071929564</v>
      </c>
      <c r="CG38" s="691">
        <v>0.15943427942434849</v>
      </c>
      <c r="CH38" s="691">
        <v>0.10124888629187023</v>
      </c>
      <c r="CI38" s="690">
        <v>0.62698275604297515</v>
      </c>
      <c r="CJ38" s="691">
        <v>0.30311081403890799</v>
      </c>
      <c r="CK38" s="691">
        <v>0.43769291625578122</v>
      </c>
      <c r="CL38" s="691">
        <v>0.14517197307630275</v>
      </c>
      <c r="CM38" s="691">
        <v>0.11402429662900802</v>
      </c>
      <c r="CN38" s="690">
        <v>0.5165128622444457</v>
      </c>
    </row>
    <row r="39" spans="1:174">
      <c r="A39" s="2">
        <v>2004</v>
      </c>
      <c r="B39" s="691">
        <v>0.29986593471879702</v>
      </c>
      <c r="C39" s="691">
        <f>B39*'51a-j'!H42</f>
        <v>0.18646851503216694</v>
      </c>
      <c r="D39" s="691">
        <v>0.43447981359084104</v>
      </c>
      <c r="E39" s="691">
        <f>D39*'52'!C40</f>
        <v>0.15411604323485006</v>
      </c>
      <c r="F39" s="691">
        <v>0.1539297377524913</v>
      </c>
      <c r="G39" s="691">
        <f>F39*'53'!F42</f>
        <v>0.1123305531291562</v>
      </c>
      <c r="H39" s="691">
        <v>0.11172451393787072</v>
      </c>
      <c r="I39" s="691">
        <f>H39*'54'!E42</f>
        <v>9.611234062858319E-2</v>
      </c>
      <c r="J39" s="690">
        <f t="shared" si="0"/>
        <v>0.54902745202475634</v>
      </c>
      <c r="K39" s="691">
        <v>0.30412616781699259</v>
      </c>
      <c r="L39" s="691">
        <f>K39*'51a-j'!O42</f>
        <v>0.10429290668895887</v>
      </c>
      <c r="M39" s="691">
        <v>0.42799183326914747</v>
      </c>
      <c r="N39" s="691">
        <f>M39*'52'!E40</f>
        <v>0.17088051850422226</v>
      </c>
      <c r="O39" s="691">
        <v>0.14515776191700863</v>
      </c>
      <c r="P39" s="691">
        <f>O39*'53'!K42</f>
        <v>0.11182703075198798</v>
      </c>
      <c r="Q39" s="691">
        <v>0.12272423699685139</v>
      </c>
      <c r="R39" s="691">
        <f>Q39*'54'!I42</f>
        <v>0.10120926768971711</v>
      </c>
      <c r="S39" s="690">
        <v>0.48820972363488618</v>
      </c>
      <c r="T39" s="691">
        <v>0.29290359822115131</v>
      </c>
      <c r="U39" s="691">
        <f>T39*'51a-j'!V42</f>
        <v>0.1558943400628274</v>
      </c>
      <c r="V39" s="691">
        <v>0.4322009172525646</v>
      </c>
      <c r="W39" s="691">
        <f>V39*'52'!G40</f>
        <v>0.10187452316616018</v>
      </c>
      <c r="X39" s="691">
        <v>0.16032962405724069</v>
      </c>
      <c r="Y39" s="691">
        <f>X39*'53'!P42</f>
        <v>0.13197519540332214</v>
      </c>
      <c r="Z39" s="691">
        <v>0.11456586046904348</v>
      </c>
      <c r="AA39" s="691">
        <f>Z39*'54'!M42</f>
        <v>9.3563266441989437E-2</v>
      </c>
      <c r="AB39" s="690">
        <f t="shared" si="1"/>
        <v>0.48330732507429913</v>
      </c>
      <c r="AC39" s="691">
        <v>0.30018004883685356</v>
      </c>
      <c r="AD39" s="691">
        <f>AC39*'51a-j'!AC42</f>
        <v>0.17790398460935392</v>
      </c>
      <c r="AE39" s="691">
        <v>0.43398794845396227</v>
      </c>
      <c r="AF39" s="691">
        <f>AE39*'52'!I40</f>
        <v>0.11830610393277842</v>
      </c>
      <c r="AG39" s="691">
        <v>0.14696412953207846</v>
      </c>
      <c r="AH39" s="691">
        <f>AG39*'53'!U42</f>
        <v>0.12924867578029736</v>
      </c>
      <c r="AI39" s="691">
        <v>0.11886787317710572</v>
      </c>
      <c r="AJ39" s="691">
        <f>AI39*'54'!Q42</f>
        <v>9.6972733608695946E-2</v>
      </c>
      <c r="AK39" s="690">
        <v>0.52243149793112564</v>
      </c>
      <c r="AL39" s="691">
        <v>0.30220062973301975</v>
      </c>
      <c r="AM39" s="691">
        <f>AL39*'51a-j'!AJ42</f>
        <v>0.17413684555845999</v>
      </c>
      <c r="AN39" s="691">
        <v>0.43467787567426058</v>
      </c>
      <c r="AO39" s="691">
        <f>AN39*'52'!K40</f>
        <v>0.13111175067280778</v>
      </c>
      <c r="AP39" s="691">
        <v>0.14335449101775558</v>
      </c>
      <c r="AQ39" s="691">
        <f>AP39*'53'!Z42</f>
        <v>0.1008023305285516</v>
      </c>
      <c r="AR39" s="691">
        <v>0.11976700357496411</v>
      </c>
      <c r="AS39" s="691">
        <f>AR39*'54'!U42</f>
        <v>9.7385490177643863E-2</v>
      </c>
      <c r="AT39" s="690">
        <v>0.50343641693746322</v>
      </c>
      <c r="AU39" s="691">
        <v>0.3015045788345041</v>
      </c>
      <c r="AV39" s="691"/>
      <c r="AW39" s="691">
        <v>0.43392116549032572</v>
      </c>
      <c r="AX39" s="691"/>
      <c r="AY39" s="691">
        <v>0.14559132924523305</v>
      </c>
      <c r="AZ39" s="691"/>
      <c r="BA39" s="691">
        <v>0.1189829264299372</v>
      </c>
      <c r="BB39" s="691"/>
      <c r="BC39" s="690">
        <v>0.5828666344927953</v>
      </c>
      <c r="BD39" s="691">
        <v>0.29874982490654661</v>
      </c>
      <c r="BE39" s="691"/>
      <c r="BF39" s="691">
        <v>0.43468602826697217</v>
      </c>
      <c r="BG39" s="691"/>
      <c r="BH39" s="691">
        <v>0.15887352152976689</v>
      </c>
      <c r="BI39" s="691"/>
      <c r="BJ39" s="691">
        <v>0.10769062529671421</v>
      </c>
      <c r="BK39" s="691"/>
      <c r="BL39" s="690">
        <v>0.51268290779905146</v>
      </c>
      <c r="BM39" s="691">
        <v>0.29007895524948968</v>
      </c>
      <c r="BN39" s="691"/>
      <c r="BO39" s="691">
        <v>0.43623209102786159</v>
      </c>
      <c r="BP39" s="691"/>
      <c r="BQ39" s="691">
        <v>0.16758290567430456</v>
      </c>
      <c r="BR39" s="691"/>
      <c r="BS39" s="691">
        <v>0.10610604804834418</v>
      </c>
      <c r="BT39" s="691"/>
      <c r="BU39" s="690">
        <v>0.57231540843074569</v>
      </c>
      <c r="BV39" s="691">
        <v>0.28451714940823081</v>
      </c>
      <c r="BW39" s="691"/>
      <c r="BX39" s="691">
        <v>0.44812897142251801</v>
      </c>
      <c r="BY39" s="691"/>
      <c r="BZ39" s="691">
        <v>0.16359288531393912</v>
      </c>
      <c r="CA39" s="691"/>
      <c r="CB39" s="691">
        <v>0.10376099385531208</v>
      </c>
      <c r="CC39" s="691"/>
      <c r="CD39" s="690">
        <v>0.60662886124433935</v>
      </c>
      <c r="CE39" s="691">
        <v>0.30301678531888171</v>
      </c>
      <c r="CF39" s="691">
        <v>0.43187091598512889</v>
      </c>
      <c r="CG39" s="691">
        <v>0.16184043306040141</v>
      </c>
      <c r="CH39" s="691">
        <v>0.10327186563558809</v>
      </c>
      <c r="CI39" s="690">
        <v>0.62406864400084183</v>
      </c>
      <c r="CJ39" s="691">
        <v>0.30273523617014175</v>
      </c>
      <c r="CK39" s="691">
        <v>0.43622109323895164</v>
      </c>
      <c r="CL39" s="691">
        <v>0.14460994850877987</v>
      </c>
      <c r="CM39" s="691">
        <v>0.11643372208212668</v>
      </c>
      <c r="CN39" s="690">
        <v>0.52890951305595757</v>
      </c>
    </row>
    <row r="40" spans="1:174">
      <c r="A40" s="2">
        <v>2005</v>
      </c>
      <c r="B40" s="691">
        <v>0.30025623319239475</v>
      </c>
      <c r="C40" s="691">
        <f>B40*'51a-j'!H43</f>
        <v>0.19120025984826713</v>
      </c>
      <c r="D40" s="691">
        <v>0.43364208799803761</v>
      </c>
      <c r="E40" s="691">
        <f>D40*'52'!C41</f>
        <v>0.14173135366634126</v>
      </c>
      <c r="F40" s="691">
        <v>0.15206433921311566</v>
      </c>
      <c r="G40" s="691">
        <f>F40*'53'!F43</f>
        <v>0.11341503111715404</v>
      </c>
      <c r="H40" s="691">
        <v>0.11403733959645215</v>
      </c>
      <c r="I40" s="691">
        <f>H40*'54'!E43</f>
        <v>9.7260720359931108E-2</v>
      </c>
      <c r="J40" s="690">
        <f t="shared" si="0"/>
        <v>0.54360736499169349</v>
      </c>
      <c r="K40" s="691">
        <v>0.3050966690409852</v>
      </c>
      <c r="L40" s="691">
        <f>K40*'51a-j'!O43</f>
        <v>0.11211379176844435</v>
      </c>
      <c r="M40" s="691">
        <v>0.42868969863121337</v>
      </c>
      <c r="N40" s="691">
        <f>M40*'52'!E41</f>
        <v>0.14187330428342748</v>
      </c>
      <c r="O40" s="691">
        <v>0.13992526406552</v>
      </c>
      <c r="P40" s="691">
        <f>O40*'53'!K43</f>
        <v>0.10846854623671803</v>
      </c>
      <c r="Q40" s="691">
        <v>0.12628836826228143</v>
      </c>
      <c r="R40" s="691">
        <f>Q40*'54'!I43</f>
        <v>0.10038744712622263</v>
      </c>
      <c r="S40" s="690">
        <v>0.46284308941481256</v>
      </c>
      <c r="T40" s="691">
        <v>0.29500779245576852</v>
      </c>
      <c r="U40" s="691">
        <f>T40*'51a-j'!V43</f>
        <v>0.16354430073132475</v>
      </c>
      <c r="V40" s="691">
        <v>0.43378138852774151</v>
      </c>
      <c r="W40" s="691">
        <f>V40*'52'!G41</f>
        <v>0.10995346665694673</v>
      </c>
      <c r="X40" s="691">
        <v>0.15334155511557251</v>
      </c>
      <c r="Y40" s="691">
        <f>X40*'53'!P43</f>
        <v>0.12724338250969658</v>
      </c>
      <c r="Z40" s="691">
        <v>0.11786926390091751</v>
      </c>
      <c r="AA40" s="691">
        <f>Z40*'54'!M43</f>
        <v>9.2835709017048448E-2</v>
      </c>
      <c r="AB40" s="690">
        <f t="shared" si="1"/>
        <v>0.49357685891501651</v>
      </c>
      <c r="AC40" s="691">
        <v>0.29963441376964461</v>
      </c>
      <c r="AD40" s="691">
        <f>AC40*'51a-j'!AC43</f>
        <v>0.18253481930771792</v>
      </c>
      <c r="AE40" s="691">
        <v>0.43171675008258958</v>
      </c>
      <c r="AF40" s="691">
        <f>AE40*'52'!I41</f>
        <v>0.10902872760847797</v>
      </c>
      <c r="AG40" s="691">
        <v>0.14712167176236626</v>
      </c>
      <c r="AH40" s="691">
        <f>AG40*'53'!U43</f>
        <v>0.13486153244883572</v>
      </c>
      <c r="AI40" s="691">
        <v>0.12152716438539946</v>
      </c>
      <c r="AJ40" s="691">
        <f>AI40*'54'!Q43</f>
        <v>0.10306381630946169</v>
      </c>
      <c r="AK40" s="690">
        <v>0.52948889567449331</v>
      </c>
      <c r="AL40" s="691">
        <v>0.30112230902054132</v>
      </c>
      <c r="AM40" s="691">
        <f>AL40*'51a-j'!AJ43</f>
        <v>0.17434594183565982</v>
      </c>
      <c r="AN40" s="691">
        <v>0.43261056396747766</v>
      </c>
      <c r="AO40" s="691">
        <f>AN40*'52'!K41</f>
        <v>8.0806523022581289E-2</v>
      </c>
      <c r="AP40" s="691">
        <v>0.1438393090998466</v>
      </c>
      <c r="AQ40" s="691">
        <f>AP40*'53'!Z43</f>
        <v>0.10256513520414681</v>
      </c>
      <c r="AR40" s="691">
        <v>0.12242781791213429</v>
      </c>
      <c r="AS40" s="691">
        <f>AR40*'54'!U43</f>
        <v>9.8917603750137181E-2</v>
      </c>
      <c r="AT40" s="690">
        <v>0.45663520381252515</v>
      </c>
      <c r="AU40" s="691">
        <v>0.30212972411036881</v>
      </c>
      <c r="AV40" s="691"/>
      <c r="AW40" s="691">
        <v>0.43400626944775972</v>
      </c>
      <c r="AX40" s="691"/>
      <c r="AY40" s="691">
        <v>0.14241157604038318</v>
      </c>
      <c r="AZ40" s="691"/>
      <c r="BA40" s="691">
        <v>0.12145243040148831</v>
      </c>
      <c r="BB40" s="691"/>
      <c r="BC40" s="690">
        <v>0.56539810299151894</v>
      </c>
      <c r="BD40" s="691">
        <v>0.29896572683695755</v>
      </c>
      <c r="BE40" s="691"/>
      <c r="BF40" s="691">
        <v>0.43339792933725668</v>
      </c>
      <c r="BG40" s="691"/>
      <c r="BH40" s="691">
        <v>0.15779140533994732</v>
      </c>
      <c r="BI40" s="691"/>
      <c r="BJ40" s="691">
        <v>0.1098449384858385</v>
      </c>
      <c r="BK40" s="691"/>
      <c r="BL40" s="690">
        <v>0.49752774229863933</v>
      </c>
      <c r="BM40" s="691">
        <v>0.29202800643586135</v>
      </c>
      <c r="BN40" s="691"/>
      <c r="BO40" s="691">
        <v>0.43703556393005571</v>
      </c>
      <c r="BP40" s="691"/>
      <c r="BQ40" s="691">
        <v>0.16174921568717335</v>
      </c>
      <c r="BR40" s="691"/>
      <c r="BS40" s="691">
        <v>0.10918721394690972</v>
      </c>
      <c r="BT40" s="691"/>
      <c r="BU40" s="690">
        <v>0.5655226020503813</v>
      </c>
      <c r="BV40" s="691">
        <v>0.28311502387322696</v>
      </c>
      <c r="BW40" s="691"/>
      <c r="BX40" s="691">
        <v>0.44530716149632038</v>
      </c>
      <c r="BY40" s="691"/>
      <c r="BZ40" s="691">
        <v>0.16578267150108275</v>
      </c>
      <c r="CA40" s="691"/>
      <c r="CB40" s="691">
        <v>0.10579514312936997</v>
      </c>
      <c r="CC40" s="691"/>
      <c r="CD40" s="690">
        <v>0.58943325237915256</v>
      </c>
      <c r="CE40" s="691">
        <v>0.30340584030592271</v>
      </c>
      <c r="CF40" s="691">
        <v>0.43045644153305096</v>
      </c>
      <c r="CG40" s="691">
        <v>0.16094021216372248</v>
      </c>
      <c r="CH40" s="691">
        <v>0.10519750599730376</v>
      </c>
      <c r="CI40" s="690">
        <v>0.64677573178645575</v>
      </c>
      <c r="CJ40" s="691">
        <v>0.30339023417264921</v>
      </c>
      <c r="CK40" s="691">
        <v>0.43605710034420608</v>
      </c>
      <c r="CL40" s="691">
        <v>0.14158296470737999</v>
      </c>
      <c r="CM40" s="691">
        <v>0.11896970077576473</v>
      </c>
      <c r="CN40" s="690">
        <v>0.55704846626719584</v>
      </c>
    </row>
    <row r="41" spans="1:174">
      <c r="A41" s="2">
        <v>2006</v>
      </c>
      <c r="B41" s="691">
        <v>0.30055885917518788</v>
      </c>
      <c r="C41" s="691">
        <f>B41*'51a-j'!H44</f>
        <v>0.19759228331646828</v>
      </c>
      <c r="D41" s="691">
        <v>0.43324164403064741</v>
      </c>
      <c r="E41" s="691">
        <f>D41*'52'!C42</f>
        <v>0.14685967012522563</v>
      </c>
      <c r="F41" s="691">
        <v>0.14993394754820866</v>
      </c>
      <c r="G41" s="691">
        <f>F41*'53'!F44</f>
        <v>0.11435800937151046</v>
      </c>
      <c r="H41" s="691">
        <v>0.1162655492459562</v>
      </c>
      <c r="I41" s="691">
        <f>H41*'54'!E44</f>
        <v>9.9192791112882914E-2</v>
      </c>
      <c r="J41" s="690">
        <f t="shared" si="0"/>
        <v>0.55800275392608722</v>
      </c>
      <c r="K41" s="691">
        <v>0.30405045993759711</v>
      </c>
      <c r="L41" s="691">
        <f>K41*'51a-j'!O44</f>
        <v>0.1178136057318855</v>
      </c>
      <c r="M41" s="691">
        <v>0.42754768375029267</v>
      </c>
      <c r="N41" s="691">
        <f>M41*'52'!E42</f>
        <v>0.2095926407968097</v>
      </c>
      <c r="O41" s="691">
        <v>0.13907679411754501</v>
      </c>
      <c r="P41" s="691">
        <f>O41*'53'!K44</f>
        <v>0.11014374195361304</v>
      </c>
      <c r="Q41" s="691">
        <v>0.12932506219456524</v>
      </c>
      <c r="R41" s="691">
        <f>Q41*'54'!I44</f>
        <v>0.10476743801239777</v>
      </c>
      <c r="S41" s="690">
        <v>0.54231742649470605</v>
      </c>
      <c r="T41" s="691">
        <v>0.29353620983950163</v>
      </c>
      <c r="U41" s="691">
        <f>T41*'51a-j'!V44</f>
        <v>0.16116230840659468</v>
      </c>
      <c r="V41" s="691">
        <v>0.43084674145760715</v>
      </c>
      <c r="W41" s="691">
        <f>V41*'52'!G42</f>
        <v>9.7923905259383714E-2</v>
      </c>
      <c r="X41" s="691">
        <v>0.15541605596938041</v>
      </c>
      <c r="Y41" s="691">
        <f>X41*'53'!P44</f>
        <v>0.12249729143464742</v>
      </c>
      <c r="Z41" s="691">
        <v>0.1202009927335108</v>
      </c>
      <c r="AA41" s="691">
        <f>Z41*'54'!M44</f>
        <v>9.6302843124538851E-2</v>
      </c>
      <c r="AB41" s="690">
        <f t="shared" si="1"/>
        <v>0.47788634822516468</v>
      </c>
      <c r="AC41" s="691">
        <v>0.3003210460043223</v>
      </c>
      <c r="AD41" s="691">
        <f>AC41*'51a-j'!AC44</f>
        <v>0.19121037190694787</v>
      </c>
      <c r="AE41" s="691">
        <v>0.43199266430280192</v>
      </c>
      <c r="AF41" s="691">
        <f>AE41*'52'!I42</f>
        <v>0.10202548683382254</v>
      </c>
      <c r="AG41" s="691">
        <v>0.14295825770978018</v>
      </c>
      <c r="AH41" s="691">
        <f>AG41*'53'!U44</f>
        <v>0.12986656662822582</v>
      </c>
      <c r="AI41" s="691">
        <v>0.12472803198309564</v>
      </c>
      <c r="AJ41" s="691">
        <f>AI41*'54'!Q44</f>
        <v>0.10174903641809323</v>
      </c>
      <c r="AK41" s="690">
        <v>0.52485146178708941</v>
      </c>
      <c r="AL41" s="691">
        <v>0.30084680647957052</v>
      </c>
      <c r="AM41" s="691">
        <f>AL41*'51a-j'!AJ44</f>
        <v>0.1871320973474109</v>
      </c>
      <c r="AN41" s="691">
        <v>0.43243455483046844</v>
      </c>
      <c r="AO41" s="691">
        <f>AN41*'52'!K42</f>
        <v>6.9077745252659736E-2</v>
      </c>
      <c r="AP41" s="691">
        <v>0.14141727094823303</v>
      </c>
      <c r="AQ41" s="691">
        <f>AP41*'53'!Z44</f>
        <v>0.1051775419335485</v>
      </c>
      <c r="AR41" s="691">
        <v>0.12530136774172784</v>
      </c>
      <c r="AS41" s="691">
        <f>AR41*'54'!U44</f>
        <v>0.10447397367142659</v>
      </c>
      <c r="AT41" s="690">
        <v>0.46586135820504571</v>
      </c>
      <c r="AU41" s="691">
        <v>0.30159773082549324</v>
      </c>
      <c r="AV41" s="691"/>
      <c r="AW41" s="691">
        <v>0.43293412329067327</v>
      </c>
      <c r="AX41" s="691"/>
      <c r="AY41" s="691">
        <v>0.14226801165689842</v>
      </c>
      <c r="AZ41" s="691"/>
      <c r="BA41" s="691">
        <v>0.12320013422693504</v>
      </c>
      <c r="BB41" s="691"/>
      <c r="BC41" s="690">
        <v>0.56931504999481219</v>
      </c>
      <c r="BD41" s="691">
        <v>0.29923148697854118</v>
      </c>
      <c r="BE41" s="691"/>
      <c r="BF41" s="691">
        <v>0.43275710153328223</v>
      </c>
      <c r="BG41" s="691"/>
      <c r="BH41" s="691">
        <v>0.1557970924793545</v>
      </c>
      <c r="BI41" s="691"/>
      <c r="BJ41" s="691">
        <v>0.11221431900882198</v>
      </c>
      <c r="BK41" s="691"/>
      <c r="BL41" s="690">
        <v>0.50802148446515127</v>
      </c>
      <c r="BM41" s="691">
        <v>0.29218542388553181</v>
      </c>
      <c r="BN41" s="691"/>
      <c r="BO41" s="691">
        <v>0.43597936226693618</v>
      </c>
      <c r="BP41" s="691"/>
      <c r="BQ41" s="691">
        <v>0.1603776514688843</v>
      </c>
      <c r="BR41" s="691"/>
      <c r="BS41" s="691">
        <v>0.11145756237864762</v>
      </c>
      <c r="BT41" s="691"/>
      <c r="BU41" s="690">
        <v>0.58748790385397065</v>
      </c>
      <c r="BV41" s="691">
        <v>0.2845688502100015</v>
      </c>
      <c r="BW41" s="691"/>
      <c r="BX41" s="691">
        <v>0.44680304302132512</v>
      </c>
      <c r="BY41" s="691"/>
      <c r="BZ41" s="691">
        <v>0.16003038407766201</v>
      </c>
      <c r="CA41" s="691"/>
      <c r="CB41" s="691">
        <v>0.10859772269101145</v>
      </c>
      <c r="CC41" s="691"/>
      <c r="CD41" s="690">
        <v>0.59489145061362292</v>
      </c>
      <c r="CE41" s="691">
        <v>0.30484402048032</v>
      </c>
      <c r="CF41" s="691">
        <v>0.43087591920960988</v>
      </c>
      <c r="CG41" s="691">
        <v>0.15718326038149621</v>
      </c>
      <c r="CH41" s="691">
        <v>0.107096799928574</v>
      </c>
      <c r="CI41" s="690">
        <v>0.69351270195105608</v>
      </c>
      <c r="CJ41" s="691">
        <v>0.3031428203949954</v>
      </c>
      <c r="CK41" s="691">
        <v>0.43521784383977546</v>
      </c>
      <c r="CL41" s="691">
        <v>0.14060008420846226</v>
      </c>
      <c r="CM41" s="691">
        <v>0.12103925155676683</v>
      </c>
      <c r="CN41" s="690">
        <v>0.56788510516281077</v>
      </c>
    </row>
    <row r="42" spans="1:174">
      <c r="A42" s="2">
        <v>2007</v>
      </c>
      <c r="B42" s="691">
        <v>0.30025286663296386</v>
      </c>
      <c r="C42" s="691">
        <f>B42*'51a-j'!H45</f>
        <v>0.20093165673578059</v>
      </c>
      <c r="D42" s="691">
        <v>0.43219616466617372</v>
      </c>
      <c r="E42" s="691">
        <f>D42*'52'!C43</f>
        <v>0.1466466347939995</v>
      </c>
      <c r="F42" s="691">
        <v>0.14957213364976299</v>
      </c>
      <c r="G42" s="691">
        <f>F42*'53'!F45</f>
        <v>0.11432282210682156</v>
      </c>
      <c r="H42" s="691">
        <v>0.11797883505109943</v>
      </c>
      <c r="I42" s="691">
        <f>H42*'54'!E45</f>
        <v>0.10065449324295006</v>
      </c>
      <c r="J42" s="690">
        <f t="shared" si="0"/>
        <v>0.56255560687955164</v>
      </c>
      <c r="K42" s="691">
        <v>0.30237640344066963</v>
      </c>
      <c r="L42" s="691">
        <f>K42*'51a-j'!O45</f>
        <v>0.1330464406189053</v>
      </c>
      <c r="M42" s="691">
        <v>0.42678296479963351</v>
      </c>
      <c r="N42" s="691">
        <f>M42*'52'!E43</f>
        <v>0.18443389427850956</v>
      </c>
      <c r="O42" s="691">
        <v>0.13882803903337354</v>
      </c>
      <c r="P42" s="691">
        <f>O42*'53'!K45</f>
        <v>0.11070133862454483</v>
      </c>
      <c r="Q42" s="691">
        <v>0.13201259272632332</v>
      </c>
      <c r="R42" s="691">
        <f>Q42*'54'!I45</f>
        <v>0.10694463154019816</v>
      </c>
      <c r="S42" s="690">
        <v>0.53512630506215786</v>
      </c>
      <c r="T42" s="691">
        <v>0.29276356298138712</v>
      </c>
      <c r="U42" s="691">
        <f>T42*'51a-j'!V45</f>
        <v>0.17076449158048171</v>
      </c>
      <c r="V42" s="691">
        <v>0.42957524478766845</v>
      </c>
      <c r="W42" s="691">
        <f>V42*'52'!G43</f>
        <v>9.0280616430625557E-2</v>
      </c>
      <c r="X42" s="691">
        <v>0.15495739868221714</v>
      </c>
      <c r="Y42" s="691">
        <f>X42*'53'!P45</f>
        <v>0.12215669651654389</v>
      </c>
      <c r="Z42" s="691">
        <v>0.12270379354872714</v>
      </c>
      <c r="AA42" s="691">
        <f>Z42*'54'!M45</f>
        <v>9.8308041491029133E-2</v>
      </c>
      <c r="AB42" s="690">
        <f t="shared" si="1"/>
        <v>0.48150984601868024</v>
      </c>
      <c r="AC42" s="691">
        <v>0.2993057691471297</v>
      </c>
      <c r="AD42" s="691">
        <f>AC42*'51a-j'!AC45</f>
        <v>0.18797421145350157</v>
      </c>
      <c r="AE42" s="691">
        <v>0.43088634840519613</v>
      </c>
      <c r="AF42" s="691">
        <f>AE42*'52'!I43</f>
        <v>0.10212308116392908</v>
      </c>
      <c r="AG42" s="691">
        <v>0.14259214734201825</v>
      </c>
      <c r="AH42" s="691">
        <f>AG42*'53'!U45</f>
        <v>0.12963870739949776</v>
      </c>
      <c r="AI42" s="691">
        <v>0.12721573510565606</v>
      </c>
      <c r="AJ42" s="691">
        <f>AI42*'54'!Q45</f>
        <v>0.10377842300898492</v>
      </c>
      <c r="AK42" s="690">
        <v>0.52351442302591333</v>
      </c>
      <c r="AL42" s="691">
        <v>0.29976523646874714</v>
      </c>
      <c r="AM42" s="691">
        <f>AL42*'51a-j'!AJ45</f>
        <v>0.20443888471407046</v>
      </c>
      <c r="AN42" s="691">
        <v>0.43155860313961403</v>
      </c>
      <c r="AO42" s="691">
        <f>AN42*'52'!K43</f>
        <v>5.3653744296488157E-2</v>
      </c>
      <c r="AP42" s="691">
        <v>0.14113081211597878</v>
      </c>
      <c r="AQ42" s="691">
        <f>AP42*'53'!Z45</f>
        <v>0.10618967755846498</v>
      </c>
      <c r="AR42" s="691">
        <v>0.12754534827566003</v>
      </c>
      <c r="AS42" s="691">
        <f>AR42*'54'!U45</f>
        <v>0.10634496332977134</v>
      </c>
      <c r="AT42" s="690">
        <v>0.47062726989879494</v>
      </c>
      <c r="AU42" s="691">
        <v>0.3010067958500946</v>
      </c>
      <c r="AV42" s="691"/>
      <c r="AW42" s="691">
        <v>0.43228946519309647</v>
      </c>
      <c r="AX42" s="691"/>
      <c r="AY42" s="691">
        <v>0.14205616828210585</v>
      </c>
      <c r="AZ42" s="691"/>
      <c r="BA42" s="691">
        <v>0.12464757067470303</v>
      </c>
      <c r="BB42" s="691"/>
      <c r="BC42" s="690">
        <v>0.58026999014545011</v>
      </c>
      <c r="BD42" s="691">
        <v>0.29893560733459817</v>
      </c>
      <c r="BE42" s="691"/>
      <c r="BF42" s="691">
        <v>0.4315047013419071</v>
      </c>
      <c r="BG42" s="691"/>
      <c r="BH42" s="691">
        <v>0.1553462152834737</v>
      </c>
      <c r="BI42" s="691"/>
      <c r="BJ42" s="691">
        <v>0.11421347604002084</v>
      </c>
      <c r="BK42" s="691"/>
      <c r="BL42" s="690">
        <v>0.50042368806583615</v>
      </c>
      <c r="BM42" s="691">
        <v>0.29209710935665584</v>
      </c>
      <c r="BN42" s="691"/>
      <c r="BO42" s="691">
        <v>0.43485830497872585</v>
      </c>
      <c r="BP42" s="691"/>
      <c r="BQ42" s="691">
        <v>0.15996526374917575</v>
      </c>
      <c r="BR42" s="691"/>
      <c r="BS42" s="691">
        <v>0.11307932191544245</v>
      </c>
      <c r="BT42" s="691"/>
      <c r="BU42" s="690">
        <v>0.59065721948944749</v>
      </c>
      <c r="BV42" s="691">
        <v>0.28582604761492264</v>
      </c>
      <c r="BW42" s="691"/>
      <c r="BX42" s="691">
        <v>0.44419319831169152</v>
      </c>
      <c r="BY42" s="691"/>
      <c r="BZ42" s="691">
        <v>0.15909562220038942</v>
      </c>
      <c r="CA42" s="691"/>
      <c r="CB42" s="691">
        <v>0.11088513187299644</v>
      </c>
      <c r="CC42" s="691"/>
      <c r="CD42" s="690">
        <v>0.62471422512183061</v>
      </c>
      <c r="CE42" s="691">
        <v>0.3053142352345668</v>
      </c>
      <c r="CF42" s="691">
        <v>0.42959270650287518</v>
      </c>
      <c r="CG42" s="691">
        <v>0.15671514520491006</v>
      </c>
      <c r="CH42" s="691">
        <v>0.10837791305764793</v>
      </c>
      <c r="CI42" s="690">
        <v>0.70274686473311965</v>
      </c>
      <c r="CJ42" s="691">
        <v>0.30292379562763355</v>
      </c>
      <c r="CK42" s="691">
        <v>0.4342678214311072</v>
      </c>
      <c r="CL42" s="691">
        <v>0.14029317300859001</v>
      </c>
      <c r="CM42" s="691">
        <v>0.12251520993266916</v>
      </c>
      <c r="CN42" s="690">
        <v>0.58226492566394561</v>
      </c>
      <c r="CO42" s="314"/>
      <c r="CP42" s="314"/>
      <c r="CQ42" s="314"/>
      <c r="CR42" s="314"/>
      <c r="CS42" s="314"/>
      <c r="CT42" s="314"/>
      <c r="CU42" s="314"/>
      <c r="CV42" s="314"/>
      <c r="CW42" s="314"/>
      <c r="CX42" s="314"/>
      <c r="CY42" s="314"/>
      <c r="CZ42" s="315"/>
      <c r="DA42" s="315"/>
      <c r="DB42" s="315"/>
      <c r="DC42" s="315"/>
      <c r="DD42" s="315"/>
      <c r="DE42" s="315"/>
      <c r="DF42" s="315"/>
      <c r="DG42" s="315"/>
      <c r="DH42" s="315"/>
      <c r="DI42" s="315"/>
      <c r="DJ42" s="315"/>
      <c r="DK42" s="315"/>
      <c r="DL42" s="315"/>
      <c r="DM42" s="315"/>
      <c r="DN42" s="315"/>
      <c r="DO42" s="315"/>
      <c r="DP42" s="315"/>
      <c r="DQ42" s="315"/>
      <c r="DR42" s="315"/>
      <c r="DS42" s="315"/>
      <c r="DT42" s="315"/>
      <c r="DU42" s="315"/>
      <c r="DV42" s="315"/>
      <c r="DW42" s="315"/>
      <c r="DX42" s="315"/>
      <c r="DY42" s="315"/>
      <c r="DZ42" s="315"/>
      <c r="EA42" s="315"/>
      <c r="EB42" s="315"/>
      <c r="EC42" s="315"/>
      <c r="ED42" s="315"/>
      <c r="EE42" s="315"/>
      <c r="EF42" s="315"/>
      <c r="EG42" s="315"/>
      <c r="EH42" s="315"/>
      <c r="EI42" s="315"/>
      <c r="EJ42" s="315"/>
      <c r="EK42" s="315"/>
      <c r="EL42" s="315"/>
      <c r="EM42" s="315"/>
      <c r="EN42" s="315"/>
      <c r="EO42" s="315"/>
      <c r="EP42" s="315"/>
      <c r="EQ42" s="315"/>
      <c r="ER42" s="315"/>
      <c r="ES42" s="315"/>
      <c r="ET42" s="315"/>
      <c r="EU42" s="315"/>
      <c r="EV42" s="315"/>
      <c r="EW42" s="315"/>
      <c r="EX42" s="315"/>
      <c r="EY42" s="315"/>
      <c r="EZ42" s="315"/>
      <c r="FA42" s="315"/>
      <c r="FB42" s="315"/>
      <c r="FC42" s="315"/>
      <c r="FD42" s="315"/>
      <c r="FE42" s="315"/>
      <c r="FF42" s="315"/>
      <c r="FG42" s="315"/>
      <c r="FH42" s="315"/>
      <c r="FI42" s="315"/>
      <c r="FJ42" s="315"/>
      <c r="FK42" s="315"/>
      <c r="FL42" s="315"/>
      <c r="FM42" s="315"/>
      <c r="FN42" s="315"/>
      <c r="FO42" s="315"/>
      <c r="FP42" s="315"/>
      <c r="FQ42" s="315"/>
      <c r="FR42" s="315"/>
    </row>
    <row r="43" spans="1:174">
      <c r="A43" s="2">
        <v>2008</v>
      </c>
      <c r="B43" s="691">
        <v>0.30033190596378523</v>
      </c>
      <c r="C43" s="691">
        <f>B43*'51a-j'!H46</f>
        <v>0.1996319237438457</v>
      </c>
      <c r="D43" s="691">
        <v>0.4321473463230755</v>
      </c>
      <c r="E43" s="691">
        <f>D43*'52'!C44</f>
        <v>0.14334810198161876</v>
      </c>
      <c r="F43" s="691">
        <v>0.1495552388590744</v>
      </c>
      <c r="G43" s="691">
        <f>F43*'53'!F46</f>
        <v>0.11455437207485011</v>
      </c>
      <c r="H43" s="691">
        <v>0.11796550885406504</v>
      </c>
      <c r="I43" s="691">
        <f>H43*'54'!E46</f>
        <v>0.10064312390192569</v>
      </c>
      <c r="J43" s="690">
        <f t="shared" si="0"/>
        <v>0.55817752170224022</v>
      </c>
      <c r="K43" s="691">
        <v>0.30087590686440613</v>
      </c>
      <c r="L43" s="691">
        <f>K43*'51a-j'!O46</f>
        <v>0.13829683272113963</v>
      </c>
      <c r="M43" s="691">
        <v>0.42643845847304174</v>
      </c>
      <c r="N43" s="691">
        <f>M43*'52'!E44</f>
        <v>0.18023736987526986</v>
      </c>
      <c r="O43" s="691">
        <v>0.13871597472504818</v>
      </c>
      <c r="P43" s="691">
        <f>O43*'53'!K46</f>
        <v>0.11139793097585349</v>
      </c>
      <c r="Q43" s="691">
        <v>0.1339696599375039</v>
      </c>
      <c r="R43" s="691">
        <f>Q43*'54'!I46</f>
        <v>0.1085300699251029</v>
      </c>
      <c r="S43" s="690">
        <v>0.53846220349736595</v>
      </c>
      <c r="T43" s="691">
        <v>0.2919322678004353</v>
      </c>
      <c r="U43" s="691">
        <f>T43*'51a-j'!V46</f>
        <v>0.16192820387322604</v>
      </c>
      <c r="V43" s="691">
        <v>0.42835809146294668</v>
      </c>
      <c r="W43" s="691">
        <f>V43*'52'!G44</f>
        <v>8.3686097096466697E-2</v>
      </c>
      <c r="X43" s="691">
        <v>0.15451834425511782</v>
      </c>
      <c r="Y43" s="691">
        <f>X43*'53'!P46</f>
        <v>0.12174153381471883</v>
      </c>
      <c r="Z43" s="691">
        <v>0.12519129648150015</v>
      </c>
      <c r="AA43" s="691">
        <f>Z43*'54'!M46</f>
        <v>0.10030098347311216</v>
      </c>
      <c r="AB43" s="690">
        <f t="shared" si="1"/>
        <v>0.46765681825752375</v>
      </c>
      <c r="AC43" s="691">
        <v>0.29840964619207744</v>
      </c>
      <c r="AD43" s="691">
        <f>AC43*'51a-j'!AC46</f>
        <v>0.19187426000624641</v>
      </c>
      <c r="AE43" s="691">
        <v>0.43003206052145582</v>
      </c>
      <c r="AF43" s="691">
        <f>AE43*'52'!I44</f>
        <v>9.7382395522249435E-2</v>
      </c>
      <c r="AG43" s="691">
        <v>0.14230943997790318</v>
      </c>
      <c r="AH43" s="691">
        <f>AG43*'53'!U46</f>
        <v>0.12949040118343436</v>
      </c>
      <c r="AI43" s="691">
        <v>0.12924885330856364</v>
      </c>
      <c r="AJ43" s="691">
        <f>AI43*'54'!Q46</f>
        <v>0.10543697413643291</v>
      </c>
      <c r="AK43" s="690">
        <v>0.52418403084836307</v>
      </c>
      <c r="AL43" s="691">
        <v>0.29864833679320657</v>
      </c>
      <c r="AM43" s="691">
        <f>AL43*'51a-j'!AJ46</f>
        <v>0.18506040076517669</v>
      </c>
      <c r="AN43" s="691">
        <v>0.43090861580182044</v>
      </c>
      <c r="AO43" s="691">
        <f>AN43*'52'!K44</f>
        <v>3.5909051316818347E-2</v>
      </c>
      <c r="AP43" s="691">
        <v>0.1409182494647408</v>
      </c>
      <c r="AQ43" s="691">
        <f>AP43*'53'!Z46</f>
        <v>0.10718204615484377</v>
      </c>
      <c r="AR43" s="691">
        <v>0.12952479794023211</v>
      </c>
      <c r="AS43" s="691">
        <f>AR43*'54'!U46</f>
        <v>0.10799539201915866</v>
      </c>
      <c r="AT43" s="690">
        <v>0.43614689025599745</v>
      </c>
      <c r="AU43" s="691">
        <v>0.30016553890320125</v>
      </c>
      <c r="AV43" s="691"/>
      <c r="AW43" s="691">
        <v>0.43196802509392379</v>
      </c>
      <c r="AX43" s="691"/>
      <c r="AY43" s="691">
        <v>0.14195053871558311</v>
      </c>
      <c r="AZ43" s="691"/>
      <c r="BA43" s="691">
        <v>0.12591589728729186</v>
      </c>
      <c r="BB43" s="691"/>
      <c r="BC43" s="690">
        <v>0.57336413440511191</v>
      </c>
      <c r="BD43" s="691">
        <v>0.29847035032522368</v>
      </c>
      <c r="BE43" s="691"/>
      <c r="BF43" s="691">
        <v>0.43038006768818832</v>
      </c>
      <c r="BG43" s="691"/>
      <c r="BH43" s="691">
        <v>0.15494133538032936</v>
      </c>
      <c r="BI43" s="691"/>
      <c r="BJ43" s="691">
        <v>0.11620824660625853</v>
      </c>
      <c r="BK43" s="691"/>
      <c r="BL43" s="690">
        <v>0.49478476166986429</v>
      </c>
      <c r="BM43" s="691">
        <v>0.29194447366304754</v>
      </c>
      <c r="BN43" s="691"/>
      <c r="BO43" s="691">
        <v>0.43413283410154957</v>
      </c>
      <c r="BP43" s="691"/>
      <c r="BQ43" s="691">
        <v>0.15969839488894891</v>
      </c>
      <c r="BR43" s="691"/>
      <c r="BS43" s="691">
        <v>0.1142242973464538</v>
      </c>
      <c r="BT43" s="691"/>
      <c r="BU43" s="690">
        <v>0.59468983275714704</v>
      </c>
      <c r="BV43" s="691">
        <v>0.28854545042656127</v>
      </c>
      <c r="BW43" s="691"/>
      <c r="BX43" s="691">
        <v>0.44044467869723603</v>
      </c>
      <c r="BY43" s="691"/>
      <c r="BZ43" s="691">
        <v>0.157753023838553</v>
      </c>
      <c r="CA43" s="691"/>
      <c r="CB43" s="691">
        <v>0.11325684703764972</v>
      </c>
      <c r="CC43" s="691"/>
      <c r="CD43" s="690">
        <v>0.63077448416607984</v>
      </c>
      <c r="CE43" s="691">
        <v>0.30556731034863488</v>
      </c>
      <c r="CF43" s="691">
        <v>0.42852680102467794</v>
      </c>
      <c r="CG43" s="691">
        <v>0.15632630356662852</v>
      </c>
      <c r="CH43" s="691">
        <v>0.10957958506005867</v>
      </c>
      <c r="CI43" s="690">
        <v>0.70804170884688278</v>
      </c>
      <c r="CJ43" s="691">
        <v>0.30259984053058764</v>
      </c>
      <c r="CK43" s="691">
        <v>0.43342235879265029</v>
      </c>
      <c r="CL43" s="691">
        <v>0.14002004055355696</v>
      </c>
      <c r="CM43" s="691">
        <v>0.12395776012320521</v>
      </c>
      <c r="CN43" s="690">
        <v>0.57442106849182573</v>
      </c>
      <c r="CO43" s="314"/>
      <c r="CP43" s="314"/>
      <c r="CQ43" s="314"/>
      <c r="CR43" s="314"/>
      <c r="CS43" s="314"/>
      <c r="CT43" s="314"/>
      <c r="CU43" s="314"/>
      <c r="CV43" s="314"/>
      <c r="CW43" s="314"/>
      <c r="CX43" s="314"/>
      <c r="CY43" s="314"/>
      <c r="CZ43" s="315"/>
      <c r="DA43" s="315"/>
      <c r="DB43" s="315"/>
      <c r="DC43" s="315"/>
      <c r="DD43" s="315"/>
      <c r="DE43" s="315"/>
      <c r="DF43" s="315"/>
      <c r="DG43" s="315"/>
      <c r="DH43" s="315"/>
      <c r="DI43" s="315"/>
      <c r="DJ43" s="315"/>
      <c r="DK43" s="315"/>
      <c r="DL43" s="315"/>
      <c r="DM43" s="315"/>
      <c r="DN43" s="315"/>
      <c r="DO43" s="315"/>
      <c r="DP43" s="315"/>
      <c r="DQ43" s="315"/>
      <c r="DR43" s="315"/>
      <c r="DS43" s="315"/>
      <c r="DT43" s="315"/>
      <c r="DU43" s="315"/>
      <c r="DV43" s="315"/>
      <c r="DW43" s="315"/>
      <c r="DX43" s="315"/>
      <c r="DY43" s="315"/>
      <c r="DZ43" s="315"/>
      <c r="EA43" s="315"/>
      <c r="EB43" s="315"/>
      <c r="EC43" s="315"/>
      <c r="ED43" s="315"/>
      <c r="EE43" s="315"/>
      <c r="EF43" s="315"/>
      <c r="EG43" s="315"/>
      <c r="EH43" s="315"/>
      <c r="EI43" s="315"/>
      <c r="EJ43" s="315"/>
      <c r="EK43" s="315"/>
      <c r="EL43" s="315"/>
      <c r="EM43" s="315"/>
      <c r="EN43" s="315"/>
      <c r="EO43" s="315"/>
      <c r="EP43" s="315"/>
      <c r="EQ43" s="315"/>
      <c r="ER43" s="315"/>
      <c r="ES43" s="315"/>
      <c r="ET43" s="315"/>
      <c r="EU43" s="315"/>
      <c r="EV43" s="315"/>
      <c r="EW43" s="315"/>
      <c r="EX43" s="315"/>
      <c r="EY43" s="315"/>
      <c r="EZ43" s="315"/>
      <c r="FA43" s="315"/>
      <c r="FB43" s="315"/>
      <c r="FC43" s="315"/>
      <c r="FD43" s="315"/>
      <c r="FE43" s="315"/>
      <c r="FF43" s="315"/>
      <c r="FG43" s="315"/>
      <c r="FH43" s="315"/>
      <c r="FI43" s="315"/>
      <c r="FJ43" s="315"/>
      <c r="FK43" s="315"/>
      <c r="FL43" s="315"/>
      <c r="FM43" s="315"/>
      <c r="FN43" s="315"/>
      <c r="FO43" s="315"/>
      <c r="FP43" s="315"/>
      <c r="FQ43" s="315"/>
      <c r="FR43" s="315"/>
    </row>
    <row r="44" spans="1:174">
      <c r="A44" s="2" t="s">
        <v>1707</v>
      </c>
      <c r="B44" s="1148">
        <f t="shared" ref="B44:G44" si="2">(POWER(B43/B16, 1/27)-1)*100</f>
        <v>8.7909734943703022E-2</v>
      </c>
      <c r="C44" s="1148">
        <f>(POWER(C43/C16, 1/27)-1)*100</f>
        <v>0.31287369046697489</v>
      </c>
      <c r="D44" s="1148">
        <f t="shared" si="2"/>
        <v>1.4364048385262507E-2</v>
      </c>
      <c r="E44" s="1148">
        <f t="shared" si="2"/>
        <v>-3.2016993069879596</v>
      </c>
      <c r="F44" s="1148">
        <f t="shared" si="2"/>
        <v>-0.97558201546966705</v>
      </c>
      <c r="G44" s="1148">
        <f t="shared" si="2"/>
        <v>1.2056861573576771</v>
      </c>
      <c r="H44" s="644">
        <f>(POWER(H43/H16, 1/27)-1)*100</f>
        <v>1.3855410187863848</v>
      </c>
      <c r="I44" s="1148">
        <v>2.7187356421572995</v>
      </c>
      <c r="J44" s="644">
        <f>J43-J16</f>
        <v>-0.10208736527336282</v>
      </c>
      <c r="K44" s="1148">
        <v>0.30968629718168827</v>
      </c>
      <c r="L44" s="1148">
        <f>(POWER(L43/L16, 1/27)-1)*100</f>
        <v>0.42335143482521431</v>
      </c>
      <c r="M44" s="1148">
        <v>-0.10290301495421428</v>
      </c>
      <c r="N44" s="1148">
        <v>1.171312254441137</v>
      </c>
      <c r="O44" s="1148">
        <v>-1.663095884483945</v>
      </c>
      <c r="P44" s="1148">
        <v>-1.2863679236722936</v>
      </c>
      <c r="Q44" s="1148">
        <f>(POWER(Q43/Q16, 1/27)-1)*100</f>
        <v>2.6222520181193865</v>
      </c>
      <c r="R44" s="1148">
        <v>3.6594678816491699</v>
      </c>
      <c r="S44" s="1148">
        <f>S43-S16</f>
        <v>8.4322789161165923E-2</v>
      </c>
      <c r="T44" s="1148">
        <v>0.19797115676460919</v>
      </c>
      <c r="U44" s="1148">
        <f>(POWER(U43/U16, 1/27)-1)*100</f>
        <v>0.26490285593268048</v>
      </c>
      <c r="V44" s="1148">
        <v>-8.2561339842412984E-2</v>
      </c>
      <c r="W44" s="1148">
        <v>-1.8275393952795982</v>
      </c>
      <c r="X44" s="1148">
        <v>-1.1111828745163588</v>
      </c>
      <c r="Y44" s="1148">
        <v>-0.51152643584980728</v>
      </c>
      <c r="Z44" s="1148">
        <f>(POWER(Z43/Z16, 1/27)-1)*100</f>
        <v>1.8510247501200228</v>
      </c>
      <c r="AA44" s="1148">
        <v>4.1418743775832656</v>
      </c>
      <c r="AB44" s="1148">
        <f>AB43-AB16</f>
        <v>5.8417329002229956E-3</v>
      </c>
      <c r="AC44" s="644">
        <f>(POWER(AC43/AC16, 1/27)-1)*100</f>
        <v>0.17935994995468274</v>
      </c>
      <c r="AD44" s="1148"/>
      <c r="AE44" s="644">
        <f>(POWER(AE43/AE16, 1/27)-1)*100</f>
        <v>-1.4956121288567381E-2</v>
      </c>
      <c r="AF44" s="1148"/>
      <c r="AG44" s="644">
        <f>(POWER(AG43/AG16, 1/27)-1)*100</f>
        <v>-1.3410216723585555</v>
      </c>
      <c r="AH44" s="1148"/>
      <c r="AI44" s="644">
        <f>(POWER(AI43/AI16, 1/27)-1)*100</f>
        <v>1.8394971021906459</v>
      </c>
      <c r="AJ44" s="1148"/>
      <c r="AK44" s="644">
        <f>AK43-AK16</f>
        <v>-0.1572134883795554</v>
      </c>
      <c r="AL44" s="644">
        <f>(POWER(AL43/AL16, 1/27)-1)*100</f>
        <v>0.18698605652496259</v>
      </c>
      <c r="AM44" s="1148"/>
      <c r="AN44" s="644">
        <f>(POWER(AN43/AN16, 1/27)-1)*100</f>
        <v>-3.7628912647480472E-2</v>
      </c>
      <c r="AO44" s="1148"/>
      <c r="AP44" s="644">
        <f>(POWER(AP43/AP16, 1/27)-1)*100</f>
        <v>-1.3830102730633009</v>
      </c>
      <c r="AQ44" s="1148"/>
      <c r="AR44" s="644">
        <f>(POWER(AR43/AR16, 1/27)-1)*100</f>
        <v>2.0197493165176272</v>
      </c>
      <c r="AS44" s="1148"/>
      <c r="AT44" s="644">
        <f>AT43-AT16</f>
        <v>-0.10903160319923583</v>
      </c>
      <c r="AU44" s="644">
        <f>(POWER(AU43/AU16, 1/27)-1)*100</f>
        <v>5.5185641546584563E-2</v>
      </c>
      <c r="AV44" s="1148"/>
      <c r="AW44" s="644">
        <f>(POWER(AW43/AW16, 1/27)-1)*100</f>
        <v>6.9013508464532691E-2</v>
      </c>
      <c r="AX44" s="1148"/>
      <c r="AY44" s="644">
        <f>(POWER(AY43/AY16, 1/27)-1)*100</f>
        <v>-1.2473147957195008</v>
      </c>
      <c r="AZ44" s="1148"/>
      <c r="BA44" s="644">
        <f>(POWER(BA43/BA16, 1/27)-1)*100</f>
        <v>1.6443908922408657</v>
      </c>
      <c r="BB44" s="1148"/>
      <c r="BC44" s="644">
        <f>BC43-BC16</f>
        <v>-6.4704869242539709E-2</v>
      </c>
      <c r="BD44" s="644">
        <f>(POWER(BD43/BD16, 1/27)-1)*100</f>
        <v>7.4476746484086753E-2</v>
      </c>
      <c r="BE44" s="1148"/>
      <c r="BF44" s="644">
        <f>(POWER(BF43/BF16, 1/27)-1)*100</f>
        <v>2.701285564823408E-2</v>
      </c>
      <c r="BG44" s="1148"/>
      <c r="BH44" s="644">
        <f>(POWER(BH43/BH16, 1/27)-1)*100</f>
        <v>-0.85007910313200652</v>
      </c>
      <c r="BI44" s="1148"/>
      <c r="BJ44" s="644">
        <f>(POWER(BJ43/BJ16, 1/27)-1)*100</f>
        <v>1.1601898891152596</v>
      </c>
      <c r="BK44" s="1148"/>
      <c r="BL44" s="644">
        <f>BL43-BL16</f>
        <v>-0.23458681347100574</v>
      </c>
      <c r="BM44" s="644">
        <f>(POWER(BM43/BM16, 1/27)-1)*100</f>
        <v>8.0356709041962127E-2</v>
      </c>
      <c r="BN44" s="1148"/>
      <c r="BO44" s="644">
        <f>(POWER(BO43/BO16, 1/27)-1)*100</f>
        <v>-3.8566105372472848E-2</v>
      </c>
      <c r="BP44" s="1148"/>
      <c r="BQ44" s="644">
        <f>(POWER(BQ43/BQ16, 1/27)-1)*100</f>
        <v>-0.67370405421642854</v>
      </c>
      <c r="BR44" s="1148"/>
      <c r="BS44" s="644">
        <f>(POWER(BS43/BS16, 1/27)-1)*100</f>
        <v>1.1463530050510373</v>
      </c>
      <c r="BT44" s="1148"/>
      <c r="BU44" s="644">
        <f>BU43-BU16</f>
        <v>-7.7221753915808655E-2</v>
      </c>
      <c r="BV44" s="644">
        <f>(POWER(BV43/BV16, 1/27)-1)*100</f>
        <v>0.11185809961380411</v>
      </c>
      <c r="BW44" s="1148"/>
      <c r="BX44" s="644">
        <f>(POWER(BX43/BX16, 1/27)-1)*100</f>
        <v>-2.4794969075370155E-3</v>
      </c>
      <c r="BY44" s="1148"/>
      <c r="BZ44" s="644">
        <f>(POWER(BZ43/BZ16, 1/27)-1)*100</f>
        <v>-0.80226959383479235</v>
      </c>
      <c r="CA44" s="1148"/>
      <c r="CB44" s="644">
        <f>(POWER(CB43/CB16, 1/27)-1)*100</f>
        <v>1.1481100128578836</v>
      </c>
      <c r="CC44" s="1148"/>
      <c r="CD44" s="644">
        <f>CD43-CD16</f>
        <v>-0.11088501379541327</v>
      </c>
      <c r="CE44" s="644">
        <f>(POWER(CE43/CE16, 1/27)-1)*100</f>
        <v>4.5241894953895745E-2</v>
      </c>
      <c r="CF44" s="644">
        <f>(POWER(CF43/CF16, 1/27)-1)*100</f>
        <v>-8.385954968812559E-2</v>
      </c>
      <c r="CG44" s="644">
        <f>(POWER(CG43/CG16, 1/27)-1)*100</f>
        <v>-0.72778140541215341</v>
      </c>
      <c r="CH44" s="644">
        <f>(POWER(CH43/CH16, 1/27)-1)*100</f>
        <v>1.7066445073979253</v>
      </c>
      <c r="CI44" s="644">
        <f>CI43-CI16</f>
        <v>-6.8552627294713564E-2</v>
      </c>
      <c r="CJ44" s="644">
        <f>(POWER(CJ43/CJ16, 1/27)-1)*100</f>
        <v>3.2746493124879983E-2</v>
      </c>
      <c r="CK44" s="644">
        <f>(POWER(CK43/CK16, 1/27)-1)*100</f>
        <v>-5.6241386752309275E-2</v>
      </c>
      <c r="CL44" s="644">
        <f>(POWER(CL43/CL16, 1/27)-1)*100</f>
        <v>-0.83421906966222314</v>
      </c>
      <c r="CM44" s="644">
        <f>(POWER(CM43/CM16, 1/27)-1)*100</f>
        <v>1.4315918506264014</v>
      </c>
      <c r="CN44" s="644">
        <f>CN43-CN16</f>
        <v>-5.9328766114251086E-2</v>
      </c>
      <c r="CO44" s="644"/>
      <c r="CP44" s="644"/>
      <c r="CQ44" s="644"/>
      <c r="CR44" s="644"/>
      <c r="CS44" s="644"/>
    </row>
    <row r="45" spans="1:174">
      <c r="B45" s="309" t="s">
        <v>391</v>
      </c>
      <c r="J45" s="317"/>
    </row>
    <row r="46" spans="1:174">
      <c r="B46" s="309" t="s">
        <v>225</v>
      </c>
      <c r="J46" s="317"/>
      <c r="S46" s="317"/>
      <c r="AB46" s="317"/>
      <c r="AK46" s="317"/>
      <c r="AT46" s="317"/>
      <c r="BC46" s="317"/>
      <c r="BL46" s="317"/>
      <c r="BU46" s="317"/>
      <c r="CD46" s="317"/>
      <c r="CI46" s="317"/>
      <c r="CN46" s="317"/>
    </row>
  </sheetData>
  <phoneticPr fontId="40" type="noConversion"/>
  <pageMargins left="0.35433070866141736" right="0.35433070866141736" top="0.59055118110236227" bottom="0.59055118110236227" header="0.51181102362204722" footer="0.51181102362204722"/>
  <pageSetup scale="72" orientation="landscape" horizontalDpi="360" verticalDpi="360" r:id="rId1"/>
  <headerFooter alignWithMargins="0"/>
  <colBreaks count="3" manualBreakCount="3">
    <brk id="10" max="45" man="1"/>
    <brk id="55" max="1048575" man="1"/>
    <brk id="82" max="1048575" man="1"/>
  </colBreaks>
</worksheet>
</file>

<file path=xl/worksheets/sheet183.xml><?xml version="1.0" encoding="utf-8"?>
<worksheet xmlns="http://schemas.openxmlformats.org/spreadsheetml/2006/main" xmlns:r="http://schemas.openxmlformats.org/officeDocument/2006/relationships">
  <sheetPr codeName="Sheet126"/>
  <dimension ref="A1:AW38"/>
  <sheetViews>
    <sheetView view="pageBreakPreview" zoomScale="70" zoomScaleSheetLayoutView="70" workbookViewId="0">
      <pane xSplit="1" ySplit="6" topLeftCell="B7"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4.5703125" style="449" customWidth="1"/>
    <col min="3" max="3" width="9.28515625" style="449" customWidth="1"/>
    <col min="4" max="5" width="9" style="449" customWidth="1"/>
    <col min="6" max="6" width="9.28515625" style="449" customWidth="1"/>
    <col min="7" max="7" width="9.140625" style="449" customWidth="1"/>
    <col min="8" max="8" width="11.85546875" style="449" customWidth="1"/>
    <col min="9" max="9" width="7.5703125" style="449" customWidth="1"/>
    <col min="10" max="10" width="10.140625" style="449" customWidth="1"/>
    <col min="11" max="11" width="9" style="449" customWidth="1"/>
    <col min="12" max="12" width="11.140625" style="449" customWidth="1"/>
    <col min="13" max="13" width="12" style="449" customWidth="1"/>
    <col min="14" max="14" width="16.42578125" style="449" customWidth="1"/>
    <col min="15" max="16" width="10" style="449" customWidth="1"/>
    <col min="17" max="17" width="12" style="449" customWidth="1"/>
    <col min="18" max="18" width="11.42578125" style="449" customWidth="1"/>
    <col min="19" max="19" width="10.85546875" style="449" customWidth="1"/>
    <col min="20" max="20" width="13.28515625" style="449" customWidth="1"/>
    <col min="21" max="21" width="16" style="449" customWidth="1"/>
    <col min="22" max="22" width="10" style="449" customWidth="1"/>
    <col min="23" max="23" width="11.140625" style="449" customWidth="1"/>
    <col min="24" max="24" width="12.5703125" style="449" customWidth="1"/>
    <col min="25" max="16384" width="9.140625" style="449"/>
  </cols>
  <sheetData>
    <row r="1" spans="1:49" ht="15.75">
      <c r="B1" s="322" t="s">
        <v>1950</v>
      </c>
      <c r="O1" s="322" t="s">
        <v>1951</v>
      </c>
      <c r="P1" s="322"/>
    </row>
    <row r="2" spans="1:49">
      <c r="B2" s="449" t="s">
        <v>226</v>
      </c>
      <c r="L2" s="449" t="s">
        <v>618</v>
      </c>
      <c r="O2" s="449" t="s">
        <v>226</v>
      </c>
    </row>
    <row r="4" spans="1:49" s="703" customFormat="1">
      <c r="A4" s="711"/>
      <c r="B4" s="1295" t="s">
        <v>227</v>
      </c>
      <c r="C4" s="1297" t="s">
        <v>837</v>
      </c>
      <c r="D4" s="1298"/>
      <c r="E4" s="1298"/>
      <c r="F4" s="1298"/>
      <c r="G4" s="1298"/>
      <c r="H4" s="1298"/>
      <c r="I4" s="1298"/>
      <c r="J4" s="1298"/>
      <c r="K4" s="1298"/>
      <c r="L4" s="1298"/>
      <c r="M4" s="1298"/>
      <c r="N4" s="1299"/>
      <c r="O4" s="1297" t="s">
        <v>838</v>
      </c>
      <c r="P4" s="1298"/>
      <c r="Q4" s="1298"/>
      <c r="R4" s="1298"/>
      <c r="S4" s="1298"/>
      <c r="T4" s="1298"/>
      <c r="U4" s="1299"/>
      <c r="V4" s="1295" t="s">
        <v>839</v>
      </c>
      <c r="W4" s="1290" t="s">
        <v>840</v>
      </c>
      <c r="X4" s="1292" t="s">
        <v>841</v>
      </c>
    </row>
    <row r="5" spans="1:49" ht="111" customHeight="1">
      <c r="A5" s="711"/>
      <c r="B5" s="1296"/>
      <c r="C5" s="712" t="s">
        <v>842</v>
      </c>
      <c r="D5" s="713" t="s">
        <v>843</v>
      </c>
      <c r="E5" s="713" t="s">
        <v>1725</v>
      </c>
      <c r="F5" s="713" t="s">
        <v>844</v>
      </c>
      <c r="G5" s="713" t="s">
        <v>845</v>
      </c>
      <c r="H5" s="713" t="s">
        <v>846</v>
      </c>
      <c r="I5" s="713" t="s">
        <v>847</v>
      </c>
      <c r="J5" s="713" t="s">
        <v>848</v>
      </c>
      <c r="K5" s="713" t="s">
        <v>849</v>
      </c>
      <c r="L5" s="713" t="s">
        <v>850</v>
      </c>
      <c r="M5" s="713" t="s">
        <v>851</v>
      </c>
      <c r="N5" s="321" t="s">
        <v>852</v>
      </c>
      <c r="O5" s="712" t="s">
        <v>853</v>
      </c>
      <c r="P5" s="713" t="s">
        <v>1726</v>
      </c>
      <c r="Q5" s="713" t="s">
        <v>854</v>
      </c>
      <c r="R5" s="713" t="s">
        <v>855</v>
      </c>
      <c r="S5" s="713" t="s">
        <v>856</v>
      </c>
      <c r="T5" s="713" t="s">
        <v>857</v>
      </c>
      <c r="U5" s="321" t="s">
        <v>858</v>
      </c>
      <c r="V5" s="1296"/>
      <c r="W5" s="1291"/>
      <c r="X5" s="1293"/>
      <c r="Y5" s="715"/>
      <c r="Z5" s="715"/>
      <c r="AA5" s="715"/>
      <c r="AB5" s="715"/>
      <c r="AC5" s="715"/>
      <c r="AD5" s="715"/>
      <c r="AE5" s="715"/>
      <c r="AF5" s="715"/>
      <c r="AG5" s="715"/>
      <c r="AH5" s="715"/>
      <c r="AI5" s="715"/>
      <c r="AJ5" s="715"/>
      <c r="AK5" s="715"/>
      <c r="AL5" s="715"/>
      <c r="AM5" s="715"/>
      <c r="AN5" s="715"/>
      <c r="AO5" s="715"/>
      <c r="AP5" s="715"/>
      <c r="AQ5" s="715"/>
      <c r="AR5" s="715"/>
      <c r="AS5" s="715"/>
      <c r="AT5" s="715"/>
      <c r="AU5" s="715"/>
      <c r="AV5" s="715"/>
      <c r="AW5" s="715"/>
    </row>
    <row r="6" spans="1:49" hidden="1">
      <c r="A6" s="711" t="s">
        <v>163</v>
      </c>
      <c r="B6" s="716" t="s">
        <v>859</v>
      </c>
      <c r="C6" s="717" t="s">
        <v>860</v>
      </c>
      <c r="D6" s="711" t="s">
        <v>861</v>
      </c>
      <c r="E6" s="711"/>
      <c r="F6" s="711" t="s">
        <v>862</v>
      </c>
      <c r="G6" s="711" t="s">
        <v>863</v>
      </c>
      <c r="H6" s="711" t="s">
        <v>864</v>
      </c>
      <c r="I6" s="711" t="s">
        <v>865</v>
      </c>
      <c r="J6" s="711" t="s">
        <v>866</v>
      </c>
      <c r="K6" s="711" t="s">
        <v>867</v>
      </c>
      <c r="L6" s="711" t="s">
        <v>868</v>
      </c>
      <c r="M6" s="711" t="s">
        <v>869</v>
      </c>
      <c r="N6" s="718" t="s">
        <v>870</v>
      </c>
      <c r="O6" s="717" t="s">
        <v>871</v>
      </c>
      <c r="P6" s="711"/>
      <c r="Q6" s="711" t="s">
        <v>872</v>
      </c>
      <c r="R6" s="711" t="s">
        <v>873</v>
      </c>
      <c r="S6" s="711" t="s">
        <v>874</v>
      </c>
      <c r="T6" s="711" t="s">
        <v>875</v>
      </c>
      <c r="U6" s="718" t="s">
        <v>876</v>
      </c>
      <c r="V6" s="716" t="s">
        <v>877</v>
      </c>
      <c r="W6" s="717" t="s">
        <v>878</v>
      </c>
      <c r="X6" s="711" t="s">
        <v>879</v>
      </c>
    </row>
    <row r="7" spans="1:49" s="715" customFormat="1" ht="29.25" customHeight="1">
      <c r="A7" s="713"/>
      <c r="B7" s="719" t="s">
        <v>1727</v>
      </c>
      <c r="C7" s="712" t="s">
        <v>585</v>
      </c>
      <c r="D7" s="713" t="s">
        <v>587</v>
      </c>
      <c r="E7" s="713" t="s">
        <v>588</v>
      </c>
      <c r="F7" s="713" t="s">
        <v>592</v>
      </c>
      <c r="G7" s="713" t="s">
        <v>593</v>
      </c>
      <c r="H7" s="713" t="s">
        <v>595</v>
      </c>
      <c r="I7" s="713" t="s">
        <v>596</v>
      </c>
      <c r="J7" s="713" t="s">
        <v>721</v>
      </c>
      <c r="K7" s="713" t="s">
        <v>1252</v>
      </c>
      <c r="L7" s="713" t="s">
        <v>1253</v>
      </c>
      <c r="M7" s="713" t="s">
        <v>1254</v>
      </c>
      <c r="N7" s="714" t="s">
        <v>1728</v>
      </c>
      <c r="O7" s="712" t="s">
        <v>1291</v>
      </c>
      <c r="P7" s="713" t="s">
        <v>1292</v>
      </c>
      <c r="Q7" s="713" t="s">
        <v>880</v>
      </c>
      <c r="R7" s="713" t="s">
        <v>881</v>
      </c>
      <c r="S7" s="713" t="s">
        <v>1729</v>
      </c>
      <c r="T7" s="713" t="s">
        <v>882</v>
      </c>
      <c r="U7" s="714" t="s">
        <v>1730</v>
      </c>
      <c r="V7" s="719" t="s">
        <v>883</v>
      </c>
      <c r="W7" s="712" t="s">
        <v>1731</v>
      </c>
      <c r="X7" s="713" t="s">
        <v>1732</v>
      </c>
    </row>
    <row r="8" spans="1:49" s="703" customFormat="1">
      <c r="A8" s="700">
        <v>1981</v>
      </c>
      <c r="B8" s="450">
        <v>28392</v>
      </c>
      <c r="C8" s="19">
        <v>1958</v>
      </c>
      <c r="D8" s="19">
        <v>0</v>
      </c>
      <c r="E8" s="19">
        <v>0</v>
      </c>
      <c r="F8" s="19">
        <v>487</v>
      </c>
      <c r="G8" s="19">
        <v>346</v>
      </c>
      <c r="H8" s="19">
        <v>536</v>
      </c>
      <c r="I8" s="19">
        <v>0</v>
      </c>
      <c r="J8" s="19">
        <v>4757</v>
      </c>
      <c r="K8" s="19">
        <v>8213</v>
      </c>
      <c r="L8" s="19">
        <v>273</v>
      </c>
      <c r="M8" s="19">
        <v>469</v>
      </c>
      <c r="N8" s="450">
        <v>17039</v>
      </c>
      <c r="O8" s="19">
        <v>1452</v>
      </c>
      <c r="P8" s="19">
        <v>0</v>
      </c>
      <c r="Q8" s="19">
        <v>1887</v>
      </c>
      <c r="R8" s="19">
        <v>2617</v>
      </c>
      <c r="S8" s="19">
        <v>766</v>
      </c>
      <c r="T8" s="19">
        <v>971</v>
      </c>
      <c r="U8" s="19">
        <v>7693</v>
      </c>
      <c r="V8" s="346">
        <v>521</v>
      </c>
      <c r="W8" s="19">
        <v>2321</v>
      </c>
      <c r="X8" s="19">
        <v>818</v>
      </c>
    </row>
    <row r="9" spans="1:49">
      <c r="A9" s="452">
        <v>1982</v>
      </c>
      <c r="B9" s="451">
        <v>36210</v>
      </c>
      <c r="C9" s="19">
        <v>2204</v>
      </c>
      <c r="D9" s="19">
        <v>0</v>
      </c>
      <c r="E9" s="19">
        <v>0</v>
      </c>
      <c r="F9" s="19">
        <v>544</v>
      </c>
      <c r="G9" s="19">
        <v>390</v>
      </c>
      <c r="H9" s="19">
        <v>633</v>
      </c>
      <c r="I9" s="19">
        <v>0</v>
      </c>
      <c r="J9" s="19">
        <v>8454</v>
      </c>
      <c r="K9" s="19">
        <v>9304</v>
      </c>
      <c r="L9" s="19">
        <v>330</v>
      </c>
      <c r="M9" s="19">
        <v>629</v>
      </c>
      <c r="N9" s="451">
        <v>22488</v>
      </c>
      <c r="O9" s="19">
        <v>1791</v>
      </c>
      <c r="P9" s="19">
        <v>0</v>
      </c>
      <c r="Q9" s="19">
        <v>2110</v>
      </c>
      <c r="R9" s="19">
        <v>3313</v>
      </c>
      <c r="S9" s="19">
        <v>822</v>
      </c>
      <c r="T9" s="19">
        <v>1208</v>
      </c>
      <c r="U9" s="19">
        <v>9244</v>
      </c>
      <c r="V9" s="347">
        <v>610</v>
      </c>
      <c r="W9" s="19">
        <v>2873</v>
      </c>
      <c r="X9" s="19">
        <v>995</v>
      </c>
    </row>
    <row r="10" spans="1:49">
      <c r="A10" s="452">
        <v>1983</v>
      </c>
      <c r="B10" s="451">
        <v>41839</v>
      </c>
      <c r="C10" s="19">
        <v>2303</v>
      </c>
      <c r="D10" s="19">
        <v>0</v>
      </c>
      <c r="E10" s="19">
        <v>0</v>
      </c>
      <c r="F10" s="19">
        <v>598</v>
      </c>
      <c r="G10" s="19">
        <v>424</v>
      </c>
      <c r="H10" s="19">
        <v>773</v>
      </c>
      <c r="I10" s="19">
        <v>0</v>
      </c>
      <c r="J10" s="19">
        <v>10062</v>
      </c>
      <c r="K10" s="19">
        <v>10137</v>
      </c>
      <c r="L10" s="19">
        <v>377</v>
      </c>
      <c r="M10" s="19">
        <v>1286</v>
      </c>
      <c r="N10" s="451">
        <v>25960</v>
      </c>
      <c r="O10" s="19">
        <v>1933</v>
      </c>
      <c r="P10" s="19">
        <v>0</v>
      </c>
      <c r="Q10" s="19">
        <v>2220</v>
      </c>
      <c r="R10" s="19">
        <v>4077</v>
      </c>
      <c r="S10" s="19">
        <v>849</v>
      </c>
      <c r="T10" s="19">
        <v>1360</v>
      </c>
      <c r="U10" s="19">
        <v>10439</v>
      </c>
      <c r="V10" s="347">
        <v>744</v>
      </c>
      <c r="W10" s="19">
        <v>3485</v>
      </c>
      <c r="X10" s="19">
        <v>1211</v>
      </c>
    </row>
    <row r="11" spans="1:49">
      <c r="A11" s="452">
        <v>1984</v>
      </c>
      <c r="B11" s="451">
        <v>45075</v>
      </c>
      <c r="C11" s="19">
        <v>2393</v>
      </c>
      <c r="D11" s="19">
        <v>0</v>
      </c>
      <c r="E11" s="19">
        <v>0</v>
      </c>
      <c r="F11" s="19">
        <v>625</v>
      </c>
      <c r="G11" s="19">
        <v>468</v>
      </c>
      <c r="H11" s="19">
        <v>990</v>
      </c>
      <c r="I11" s="19">
        <v>0</v>
      </c>
      <c r="J11" s="19">
        <v>9859</v>
      </c>
      <c r="K11" s="19">
        <v>10999</v>
      </c>
      <c r="L11" s="19">
        <v>442</v>
      </c>
      <c r="M11" s="19">
        <v>1592</v>
      </c>
      <c r="N11" s="451">
        <v>27368</v>
      </c>
      <c r="O11" s="19">
        <v>2187</v>
      </c>
      <c r="P11" s="19">
        <v>0</v>
      </c>
      <c r="Q11" s="19">
        <v>2150</v>
      </c>
      <c r="R11" s="19">
        <v>4509</v>
      </c>
      <c r="S11" s="19">
        <v>906</v>
      </c>
      <c r="T11" s="19">
        <v>1564</v>
      </c>
      <c r="U11" s="19">
        <v>11316</v>
      </c>
      <c r="V11" s="347">
        <v>802</v>
      </c>
      <c r="W11" s="19">
        <v>4045</v>
      </c>
      <c r="X11" s="19">
        <v>1544</v>
      </c>
    </row>
    <row r="12" spans="1:49">
      <c r="A12" s="452">
        <v>1985</v>
      </c>
      <c r="B12" s="451">
        <v>48668</v>
      </c>
      <c r="C12" s="19">
        <v>2492</v>
      </c>
      <c r="D12" s="19">
        <v>0</v>
      </c>
      <c r="E12" s="19">
        <v>0</v>
      </c>
      <c r="F12" s="19">
        <v>637</v>
      </c>
      <c r="G12" s="19">
        <v>519</v>
      </c>
      <c r="H12" s="19">
        <v>1052</v>
      </c>
      <c r="I12" s="19">
        <v>0</v>
      </c>
      <c r="J12" s="19">
        <v>10118</v>
      </c>
      <c r="K12" s="19">
        <v>12150</v>
      </c>
      <c r="L12" s="19">
        <v>459</v>
      </c>
      <c r="M12" s="19">
        <v>1763</v>
      </c>
      <c r="N12" s="451">
        <v>29190</v>
      </c>
      <c r="O12" s="19">
        <v>2338</v>
      </c>
      <c r="P12" s="19">
        <v>0</v>
      </c>
      <c r="Q12" s="19">
        <v>2160</v>
      </c>
      <c r="R12" s="19">
        <v>4888</v>
      </c>
      <c r="S12" s="19">
        <v>960</v>
      </c>
      <c r="T12" s="19">
        <v>1765</v>
      </c>
      <c r="U12" s="19">
        <v>12111</v>
      </c>
      <c r="V12" s="347">
        <v>850</v>
      </c>
      <c r="W12" s="19">
        <v>4676</v>
      </c>
      <c r="X12" s="19">
        <v>1841</v>
      </c>
    </row>
    <row r="13" spans="1:49">
      <c r="A13" s="452">
        <v>1986</v>
      </c>
      <c r="B13" s="451">
        <v>52136</v>
      </c>
      <c r="C13" s="19">
        <v>2524</v>
      </c>
      <c r="D13" s="19">
        <v>395</v>
      </c>
      <c r="E13" s="19">
        <v>0</v>
      </c>
      <c r="F13" s="19">
        <v>653</v>
      </c>
      <c r="G13" s="19">
        <v>505</v>
      </c>
      <c r="H13" s="19">
        <v>1397</v>
      </c>
      <c r="I13" s="19">
        <v>0</v>
      </c>
      <c r="J13" s="19">
        <v>10394</v>
      </c>
      <c r="K13" s="19">
        <v>13148</v>
      </c>
      <c r="L13" s="19">
        <v>492</v>
      </c>
      <c r="M13" s="19">
        <v>1308</v>
      </c>
      <c r="N13" s="451">
        <v>30816</v>
      </c>
      <c r="O13" s="19">
        <v>2721</v>
      </c>
      <c r="P13" s="19">
        <v>0</v>
      </c>
      <c r="Q13" s="19">
        <v>2349</v>
      </c>
      <c r="R13" s="19">
        <v>5120</v>
      </c>
      <c r="S13" s="19">
        <v>996</v>
      </c>
      <c r="T13" s="19">
        <v>1780</v>
      </c>
      <c r="U13" s="19">
        <v>12966</v>
      </c>
      <c r="V13" s="347">
        <v>939</v>
      </c>
      <c r="W13" s="19">
        <v>5349</v>
      </c>
      <c r="X13" s="19">
        <v>2066</v>
      </c>
    </row>
    <row r="14" spans="1:49">
      <c r="A14" s="452">
        <v>1987</v>
      </c>
      <c r="B14" s="451">
        <v>56068</v>
      </c>
      <c r="C14" s="19">
        <v>2552</v>
      </c>
      <c r="D14" s="19">
        <v>402</v>
      </c>
      <c r="E14" s="19">
        <v>0</v>
      </c>
      <c r="F14" s="19">
        <v>676</v>
      </c>
      <c r="G14" s="19">
        <v>475</v>
      </c>
      <c r="H14" s="19">
        <v>1444</v>
      </c>
      <c r="I14" s="19">
        <v>0</v>
      </c>
      <c r="J14" s="19">
        <v>10369</v>
      </c>
      <c r="K14" s="19">
        <v>14006</v>
      </c>
      <c r="L14" s="19">
        <v>495</v>
      </c>
      <c r="M14" s="19">
        <v>1216</v>
      </c>
      <c r="N14" s="451">
        <v>31635</v>
      </c>
      <c r="O14" s="19">
        <v>2998</v>
      </c>
      <c r="P14" s="19">
        <v>0</v>
      </c>
      <c r="Q14" s="19">
        <v>2793</v>
      </c>
      <c r="R14" s="19">
        <v>5363</v>
      </c>
      <c r="S14" s="19">
        <v>1080</v>
      </c>
      <c r="T14" s="19">
        <v>1877</v>
      </c>
      <c r="U14" s="19">
        <v>14111</v>
      </c>
      <c r="V14" s="347">
        <v>1045</v>
      </c>
      <c r="W14" s="19">
        <v>6948</v>
      </c>
      <c r="X14" s="19">
        <v>2329</v>
      </c>
    </row>
    <row r="15" spans="1:49">
      <c r="A15" s="452">
        <v>1988</v>
      </c>
      <c r="B15" s="451">
        <v>59923</v>
      </c>
      <c r="C15" s="19">
        <v>2595</v>
      </c>
      <c r="D15" s="19">
        <v>351</v>
      </c>
      <c r="E15" s="19">
        <v>0</v>
      </c>
      <c r="F15" s="19">
        <v>702</v>
      </c>
      <c r="G15" s="19">
        <v>448</v>
      </c>
      <c r="H15" s="19">
        <v>1701</v>
      </c>
      <c r="I15" s="19">
        <v>0</v>
      </c>
      <c r="J15" s="19">
        <v>10781</v>
      </c>
      <c r="K15" s="19">
        <v>14801</v>
      </c>
      <c r="L15" s="19">
        <v>521</v>
      </c>
      <c r="M15" s="19">
        <v>1148</v>
      </c>
      <c r="N15" s="451">
        <v>33048</v>
      </c>
      <c r="O15" s="19">
        <v>3170</v>
      </c>
      <c r="P15" s="19">
        <v>0</v>
      </c>
      <c r="Q15" s="19">
        <v>3163</v>
      </c>
      <c r="R15" s="19">
        <v>5584</v>
      </c>
      <c r="S15" s="19">
        <v>1105</v>
      </c>
      <c r="T15" s="19">
        <v>2023</v>
      </c>
      <c r="U15" s="19">
        <v>15045</v>
      </c>
      <c r="V15" s="347">
        <v>1129</v>
      </c>
      <c r="W15" s="19">
        <v>8095</v>
      </c>
      <c r="X15" s="19">
        <v>2606</v>
      </c>
    </row>
    <row r="16" spans="1:49">
      <c r="A16" s="452">
        <v>1989</v>
      </c>
      <c r="B16" s="451">
        <v>64724</v>
      </c>
      <c r="C16" s="19">
        <v>2634</v>
      </c>
      <c r="D16" s="19">
        <v>488</v>
      </c>
      <c r="E16" s="19">
        <v>0</v>
      </c>
      <c r="F16" s="19">
        <v>738</v>
      </c>
      <c r="G16" s="19">
        <v>436</v>
      </c>
      <c r="H16" s="19">
        <v>1863</v>
      </c>
      <c r="I16" s="19">
        <v>0</v>
      </c>
      <c r="J16" s="19">
        <v>11445</v>
      </c>
      <c r="K16" s="19">
        <v>15718</v>
      </c>
      <c r="L16" s="19">
        <v>555</v>
      </c>
      <c r="M16" s="19">
        <v>1046</v>
      </c>
      <c r="N16" s="451">
        <v>34923</v>
      </c>
      <c r="O16" s="19">
        <v>3442</v>
      </c>
      <c r="P16" s="19">
        <v>0</v>
      </c>
      <c r="Q16" s="19">
        <v>4151</v>
      </c>
      <c r="R16" s="19">
        <v>5891</v>
      </c>
      <c r="S16" s="19">
        <v>1117</v>
      </c>
      <c r="T16" s="19">
        <v>1929</v>
      </c>
      <c r="U16" s="19">
        <v>16530</v>
      </c>
      <c r="V16" s="347">
        <v>1250</v>
      </c>
      <c r="W16" s="19">
        <v>9137</v>
      </c>
      <c r="X16" s="19">
        <v>2884</v>
      </c>
    </row>
    <row r="17" spans="1:24">
      <c r="A17" s="452">
        <v>1990</v>
      </c>
      <c r="B17" s="451">
        <v>73004</v>
      </c>
      <c r="C17" s="19">
        <v>2711</v>
      </c>
      <c r="D17" s="19">
        <v>579</v>
      </c>
      <c r="E17" s="19">
        <v>0</v>
      </c>
      <c r="F17" s="19">
        <v>822</v>
      </c>
      <c r="G17" s="19">
        <v>432</v>
      </c>
      <c r="H17" s="19">
        <v>2209</v>
      </c>
      <c r="I17" s="19">
        <v>580</v>
      </c>
      <c r="J17" s="19">
        <v>13119</v>
      </c>
      <c r="K17" s="19">
        <v>16705</v>
      </c>
      <c r="L17" s="19">
        <v>665</v>
      </c>
      <c r="M17" s="19">
        <v>1175</v>
      </c>
      <c r="N17" s="451">
        <v>38997</v>
      </c>
      <c r="O17" s="19">
        <v>3938</v>
      </c>
      <c r="P17" s="19">
        <v>0</v>
      </c>
      <c r="Q17" s="19">
        <v>4999</v>
      </c>
      <c r="R17" s="19">
        <v>6617</v>
      </c>
      <c r="S17" s="19">
        <v>1168</v>
      </c>
      <c r="T17" s="19">
        <v>2203</v>
      </c>
      <c r="U17" s="19">
        <v>18925</v>
      </c>
      <c r="V17" s="347">
        <v>1713</v>
      </c>
      <c r="W17" s="19">
        <v>10199</v>
      </c>
      <c r="X17" s="19">
        <v>3170</v>
      </c>
    </row>
    <row r="18" spans="1:24">
      <c r="A18" s="452">
        <v>1991</v>
      </c>
      <c r="B18" s="451">
        <v>83830</v>
      </c>
      <c r="C18" s="19">
        <v>2824</v>
      </c>
      <c r="D18" s="19">
        <v>598</v>
      </c>
      <c r="E18" s="19">
        <v>0</v>
      </c>
      <c r="F18" s="19">
        <v>777</v>
      </c>
      <c r="G18" s="19">
        <v>439</v>
      </c>
      <c r="H18" s="19">
        <v>2376</v>
      </c>
      <c r="I18" s="19">
        <v>1805</v>
      </c>
      <c r="J18" s="19">
        <v>17323</v>
      </c>
      <c r="K18" s="19">
        <v>17955</v>
      </c>
      <c r="L18" s="19">
        <v>691</v>
      </c>
      <c r="M18" s="19">
        <v>597</v>
      </c>
      <c r="N18" s="451">
        <v>45385</v>
      </c>
      <c r="O18" s="19">
        <v>3982</v>
      </c>
      <c r="P18" s="19">
        <v>0</v>
      </c>
      <c r="Q18" s="19">
        <v>5571</v>
      </c>
      <c r="R18" s="19">
        <v>7960</v>
      </c>
      <c r="S18" s="19">
        <v>1230</v>
      </c>
      <c r="T18" s="19">
        <v>2194</v>
      </c>
      <c r="U18" s="19">
        <v>20937</v>
      </c>
      <c r="V18" s="347">
        <v>2700</v>
      </c>
      <c r="W18" s="19">
        <v>11298</v>
      </c>
      <c r="X18" s="19">
        <v>3510</v>
      </c>
    </row>
    <row r="19" spans="1:24">
      <c r="A19" s="452">
        <v>1992</v>
      </c>
      <c r="B19" s="451">
        <v>93077</v>
      </c>
      <c r="C19" s="19">
        <v>2870</v>
      </c>
      <c r="D19" s="19">
        <v>658</v>
      </c>
      <c r="E19" s="19">
        <v>0</v>
      </c>
      <c r="F19" s="19">
        <v>856</v>
      </c>
      <c r="G19" s="19">
        <v>443</v>
      </c>
      <c r="H19" s="19">
        <v>2573</v>
      </c>
      <c r="I19" s="19">
        <v>2557</v>
      </c>
      <c r="J19" s="19">
        <v>18648</v>
      </c>
      <c r="K19" s="19">
        <v>18776</v>
      </c>
      <c r="L19" s="19">
        <v>726</v>
      </c>
      <c r="M19" s="19">
        <v>1210</v>
      </c>
      <c r="N19" s="451">
        <v>49317</v>
      </c>
      <c r="O19" s="19">
        <v>4091</v>
      </c>
      <c r="P19" s="19">
        <v>0</v>
      </c>
      <c r="Q19" s="19">
        <v>6848</v>
      </c>
      <c r="R19" s="19">
        <v>9371</v>
      </c>
      <c r="S19" s="19">
        <v>1213</v>
      </c>
      <c r="T19" s="19">
        <v>2128</v>
      </c>
      <c r="U19" s="19">
        <v>23651</v>
      </c>
      <c r="V19" s="347">
        <v>3410</v>
      </c>
      <c r="W19" s="19">
        <v>12808</v>
      </c>
      <c r="X19" s="19">
        <v>3891</v>
      </c>
    </row>
    <row r="20" spans="1:24">
      <c r="A20" s="452">
        <v>1993</v>
      </c>
      <c r="B20" s="451">
        <v>98323</v>
      </c>
      <c r="C20" s="19">
        <v>37</v>
      </c>
      <c r="D20" s="19">
        <v>5252</v>
      </c>
      <c r="E20" s="19">
        <v>0</v>
      </c>
      <c r="F20" s="19">
        <v>848</v>
      </c>
      <c r="G20" s="19">
        <v>441</v>
      </c>
      <c r="H20" s="19">
        <v>2886</v>
      </c>
      <c r="I20" s="19">
        <v>2655</v>
      </c>
      <c r="J20" s="19">
        <v>17591</v>
      </c>
      <c r="K20" s="19">
        <v>19479</v>
      </c>
      <c r="L20" s="19">
        <v>727</v>
      </c>
      <c r="M20" s="19">
        <v>1684</v>
      </c>
      <c r="N20" s="451">
        <v>51600</v>
      </c>
      <c r="O20" s="19">
        <v>3925</v>
      </c>
      <c r="P20" s="19">
        <v>0</v>
      </c>
      <c r="Q20" s="19">
        <v>5506</v>
      </c>
      <c r="R20" s="19">
        <v>9660</v>
      </c>
      <c r="S20" s="19">
        <v>2239</v>
      </c>
      <c r="T20" s="19">
        <v>3273</v>
      </c>
      <c r="U20" s="19">
        <v>24603</v>
      </c>
      <c r="V20" s="347">
        <v>3899</v>
      </c>
      <c r="W20" s="19">
        <v>14058</v>
      </c>
      <c r="X20" s="19">
        <v>4163</v>
      </c>
    </row>
    <row r="21" spans="1:24">
      <c r="A21" s="452">
        <v>1994</v>
      </c>
      <c r="B21" s="451">
        <v>98495</v>
      </c>
      <c r="C21" s="19">
        <v>37</v>
      </c>
      <c r="D21" s="19">
        <v>5259</v>
      </c>
      <c r="E21" s="19">
        <v>0</v>
      </c>
      <c r="F21" s="19">
        <v>864</v>
      </c>
      <c r="G21" s="19">
        <v>417</v>
      </c>
      <c r="H21" s="19">
        <v>3027</v>
      </c>
      <c r="I21" s="19">
        <v>2833</v>
      </c>
      <c r="J21" s="19">
        <v>15012</v>
      </c>
      <c r="K21" s="19">
        <v>20170</v>
      </c>
      <c r="L21" s="19">
        <v>780</v>
      </c>
      <c r="M21" s="19">
        <v>1767</v>
      </c>
      <c r="N21" s="451">
        <v>50166</v>
      </c>
      <c r="O21" s="19">
        <v>3811</v>
      </c>
      <c r="P21" s="19">
        <v>0</v>
      </c>
      <c r="Q21" s="19">
        <v>5577</v>
      </c>
      <c r="R21" s="19">
        <v>9863</v>
      </c>
      <c r="S21" s="19">
        <v>2316</v>
      </c>
      <c r="T21" s="19">
        <v>3248</v>
      </c>
      <c r="U21" s="19">
        <v>24815</v>
      </c>
      <c r="V21" s="347">
        <v>3949</v>
      </c>
      <c r="W21" s="19">
        <v>15132</v>
      </c>
      <c r="X21" s="19">
        <v>4433</v>
      </c>
    </row>
    <row r="22" spans="1:24">
      <c r="A22" s="452">
        <v>1995</v>
      </c>
      <c r="B22" s="451">
        <v>98512</v>
      </c>
      <c r="C22" s="19">
        <v>38</v>
      </c>
      <c r="D22" s="19">
        <v>5214</v>
      </c>
      <c r="E22" s="19">
        <v>0</v>
      </c>
      <c r="F22" s="19">
        <v>909</v>
      </c>
      <c r="G22" s="19">
        <v>397</v>
      </c>
      <c r="H22" s="19">
        <v>3566</v>
      </c>
      <c r="I22" s="19">
        <v>2810</v>
      </c>
      <c r="J22" s="19">
        <v>12889</v>
      </c>
      <c r="K22" s="19">
        <v>20622</v>
      </c>
      <c r="L22" s="19">
        <v>687</v>
      </c>
      <c r="M22" s="19">
        <v>1747</v>
      </c>
      <c r="N22" s="451">
        <v>48879</v>
      </c>
      <c r="O22" s="19">
        <v>3992</v>
      </c>
      <c r="P22" s="19">
        <v>0</v>
      </c>
      <c r="Q22" s="19">
        <v>5962</v>
      </c>
      <c r="R22" s="19">
        <v>9854</v>
      </c>
      <c r="S22" s="19">
        <v>2308</v>
      </c>
      <c r="T22" s="19">
        <v>3290</v>
      </c>
      <c r="U22" s="19">
        <v>25406</v>
      </c>
      <c r="V22" s="347">
        <v>3738</v>
      </c>
      <c r="W22" s="19">
        <v>15777</v>
      </c>
      <c r="X22" s="19">
        <v>4712</v>
      </c>
    </row>
    <row r="23" spans="1:24">
      <c r="A23" s="452">
        <v>1996</v>
      </c>
      <c r="B23" s="451">
        <v>98865</v>
      </c>
      <c r="C23" s="19">
        <v>39</v>
      </c>
      <c r="D23" s="19">
        <v>5228</v>
      </c>
      <c r="E23" s="19">
        <v>0</v>
      </c>
      <c r="F23" s="19">
        <v>914</v>
      </c>
      <c r="G23" s="19">
        <v>383</v>
      </c>
      <c r="H23" s="19">
        <v>3564</v>
      </c>
      <c r="I23" s="19">
        <v>2866</v>
      </c>
      <c r="J23" s="19">
        <v>11859</v>
      </c>
      <c r="K23" s="19">
        <v>21221</v>
      </c>
      <c r="L23" s="19">
        <v>686</v>
      </c>
      <c r="M23" s="19">
        <v>1992</v>
      </c>
      <c r="N23" s="451">
        <v>48752</v>
      </c>
      <c r="O23" s="19">
        <v>4198</v>
      </c>
      <c r="P23" s="19">
        <v>0</v>
      </c>
      <c r="Q23" s="19">
        <v>6123</v>
      </c>
      <c r="R23" s="19">
        <v>9258</v>
      </c>
      <c r="S23" s="19">
        <v>2371</v>
      </c>
      <c r="T23" s="19">
        <v>3626</v>
      </c>
      <c r="U23" s="19">
        <v>25576</v>
      </c>
      <c r="V23" s="347">
        <v>2950</v>
      </c>
      <c r="W23" s="19">
        <v>16559</v>
      </c>
      <c r="X23" s="19">
        <v>5028</v>
      </c>
    </row>
    <row r="24" spans="1:24">
      <c r="A24" s="452">
        <v>1997</v>
      </c>
      <c r="B24" s="451">
        <v>100431</v>
      </c>
      <c r="C24" s="19">
        <v>43</v>
      </c>
      <c r="D24" s="19">
        <v>5310</v>
      </c>
      <c r="E24" s="19">
        <v>0</v>
      </c>
      <c r="F24" s="19">
        <v>921</v>
      </c>
      <c r="G24" s="19">
        <v>387</v>
      </c>
      <c r="H24" s="19">
        <v>3730</v>
      </c>
      <c r="I24" s="19">
        <v>2905</v>
      </c>
      <c r="J24" s="19">
        <v>10874</v>
      </c>
      <c r="K24" s="19">
        <v>21798</v>
      </c>
      <c r="L24" s="19">
        <v>700</v>
      </c>
      <c r="M24" s="19">
        <v>2566</v>
      </c>
      <c r="N24" s="451">
        <v>49234</v>
      </c>
      <c r="O24" s="19">
        <v>4067</v>
      </c>
      <c r="P24" s="19">
        <v>0</v>
      </c>
      <c r="Q24" s="19">
        <v>6714</v>
      </c>
      <c r="R24" s="19">
        <v>8723</v>
      </c>
      <c r="S24" s="19">
        <v>2408</v>
      </c>
      <c r="T24" s="19">
        <v>4033</v>
      </c>
      <c r="U24" s="19">
        <v>25945</v>
      </c>
      <c r="V24" s="347">
        <v>2640</v>
      </c>
      <c r="W24" s="19">
        <v>17327</v>
      </c>
      <c r="X24" s="19">
        <v>5285</v>
      </c>
    </row>
    <row r="25" spans="1:24">
      <c r="A25" s="452">
        <v>1998</v>
      </c>
      <c r="B25" s="451">
        <v>104558</v>
      </c>
      <c r="C25" s="19">
        <v>58</v>
      </c>
      <c r="D25" s="19">
        <v>5600</v>
      </c>
      <c r="E25" s="19">
        <v>0</v>
      </c>
      <c r="F25" s="19">
        <v>918</v>
      </c>
      <c r="G25" s="19">
        <v>387</v>
      </c>
      <c r="H25" s="19">
        <v>4447</v>
      </c>
      <c r="I25" s="19">
        <v>2924</v>
      </c>
      <c r="J25" s="19">
        <v>10713</v>
      </c>
      <c r="K25" s="19">
        <v>22398</v>
      </c>
      <c r="L25" s="19">
        <v>519</v>
      </c>
      <c r="M25" s="19">
        <v>2775</v>
      </c>
      <c r="N25" s="451">
        <v>50739</v>
      </c>
      <c r="O25" s="19">
        <v>3886</v>
      </c>
      <c r="P25" s="19">
        <v>0</v>
      </c>
      <c r="Q25" s="19">
        <v>7196</v>
      </c>
      <c r="R25" s="19">
        <v>8050</v>
      </c>
      <c r="S25" s="19">
        <v>2241</v>
      </c>
      <c r="T25" s="19">
        <v>5344</v>
      </c>
      <c r="U25" s="19">
        <v>26717</v>
      </c>
      <c r="V25" s="347">
        <v>3523</v>
      </c>
      <c r="W25" s="19">
        <v>18054</v>
      </c>
      <c r="X25" s="19">
        <v>5525</v>
      </c>
    </row>
    <row r="26" spans="1:24">
      <c r="A26" s="452">
        <v>1999</v>
      </c>
      <c r="B26" s="451">
        <v>106006</v>
      </c>
      <c r="C26" s="19">
        <v>84</v>
      </c>
      <c r="D26" s="19">
        <v>5939</v>
      </c>
      <c r="E26" s="19">
        <v>0</v>
      </c>
      <c r="F26" s="19">
        <v>910</v>
      </c>
      <c r="G26" s="19">
        <v>414</v>
      </c>
      <c r="H26" s="19">
        <v>4271</v>
      </c>
      <c r="I26" s="19">
        <v>2943</v>
      </c>
      <c r="J26" s="19">
        <v>10150</v>
      </c>
      <c r="K26" s="19">
        <v>22907</v>
      </c>
      <c r="L26" s="19">
        <v>519</v>
      </c>
      <c r="M26" s="19">
        <v>3438</v>
      </c>
      <c r="N26" s="451">
        <v>51575</v>
      </c>
      <c r="O26" s="19">
        <v>4073</v>
      </c>
      <c r="P26" s="19">
        <v>0</v>
      </c>
      <c r="Q26" s="19">
        <v>7322</v>
      </c>
      <c r="R26" s="19">
        <v>7048</v>
      </c>
      <c r="S26" s="19">
        <v>2546</v>
      </c>
      <c r="T26" s="19">
        <v>6181</v>
      </c>
      <c r="U26" s="19">
        <v>27170</v>
      </c>
      <c r="V26" s="347">
        <v>2990</v>
      </c>
      <c r="W26" s="19">
        <v>18540</v>
      </c>
      <c r="X26" s="19">
        <v>5731</v>
      </c>
    </row>
    <row r="27" spans="1:24">
      <c r="A27" s="452">
        <v>2000</v>
      </c>
      <c r="B27" s="451">
        <v>110487</v>
      </c>
      <c r="C27" s="19">
        <v>99</v>
      </c>
      <c r="D27" s="19">
        <v>6577</v>
      </c>
      <c r="E27" s="19">
        <v>0</v>
      </c>
      <c r="F27" s="19">
        <v>973</v>
      </c>
      <c r="G27" s="19">
        <v>404</v>
      </c>
      <c r="H27" s="19">
        <v>4511</v>
      </c>
      <c r="I27" s="19">
        <v>2974</v>
      </c>
      <c r="J27" s="19">
        <v>9615</v>
      </c>
      <c r="K27" s="19">
        <v>23790</v>
      </c>
      <c r="L27" s="19">
        <v>531</v>
      </c>
      <c r="M27" s="19">
        <v>4005</v>
      </c>
      <c r="N27" s="451">
        <v>53479</v>
      </c>
      <c r="O27" s="19">
        <v>4434</v>
      </c>
      <c r="P27" s="19">
        <v>0</v>
      </c>
      <c r="Q27" s="19">
        <v>7953</v>
      </c>
      <c r="R27" s="19">
        <v>6538</v>
      </c>
      <c r="S27" s="19">
        <v>2906</v>
      </c>
      <c r="T27" s="19">
        <v>6743</v>
      </c>
      <c r="U27" s="19">
        <v>28574</v>
      </c>
      <c r="V27" s="347">
        <v>3248</v>
      </c>
      <c r="W27" s="19">
        <v>19183</v>
      </c>
      <c r="X27" s="19">
        <v>6003</v>
      </c>
    </row>
    <row r="28" spans="1:24">
      <c r="A28" s="452">
        <v>2001</v>
      </c>
      <c r="B28" s="451">
        <v>117633</v>
      </c>
      <c r="C28" s="19">
        <v>116</v>
      </c>
      <c r="D28" s="19">
        <v>7379</v>
      </c>
      <c r="E28" s="19">
        <v>0</v>
      </c>
      <c r="F28" s="19">
        <v>1196</v>
      </c>
      <c r="G28" s="19">
        <v>267</v>
      </c>
      <c r="H28" s="19">
        <v>4448</v>
      </c>
      <c r="I28" s="19">
        <v>3099</v>
      </c>
      <c r="J28" s="19">
        <v>11361</v>
      </c>
      <c r="K28" s="19">
        <v>24789</v>
      </c>
      <c r="L28" s="19">
        <v>560</v>
      </c>
      <c r="M28" s="19">
        <v>4750</v>
      </c>
      <c r="N28" s="451">
        <v>57965</v>
      </c>
      <c r="O28" s="19">
        <v>4840</v>
      </c>
      <c r="P28" s="19">
        <v>0</v>
      </c>
      <c r="Q28" s="19">
        <v>8406</v>
      </c>
      <c r="R28" s="19">
        <v>6547</v>
      </c>
      <c r="S28" s="19">
        <v>2966</v>
      </c>
      <c r="T28" s="19">
        <v>6903</v>
      </c>
      <c r="U28" s="19">
        <v>29662</v>
      </c>
      <c r="V28" s="347">
        <v>3641</v>
      </c>
      <c r="W28" s="19">
        <v>20023</v>
      </c>
      <c r="X28" s="19">
        <v>6342</v>
      </c>
    </row>
    <row r="29" spans="1:24">
      <c r="A29" s="452">
        <v>2002</v>
      </c>
      <c r="B29" s="451">
        <v>121047</v>
      </c>
      <c r="C29" s="19">
        <v>133</v>
      </c>
      <c r="D29" s="19">
        <v>7824</v>
      </c>
      <c r="E29" s="19">
        <v>0</v>
      </c>
      <c r="F29" s="19">
        <v>1398</v>
      </c>
      <c r="G29" s="19">
        <v>212</v>
      </c>
      <c r="H29" s="19">
        <v>4800</v>
      </c>
      <c r="I29" s="19">
        <v>3140</v>
      </c>
      <c r="J29" s="19">
        <v>12837</v>
      </c>
      <c r="K29" s="19">
        <v>25747</v>
      </c>
      <c r="L29" s="19">
        <v>585</v>
      </c>
      <c r="M29" s="19">
        <v>4181</v>
      </c>
      <c r="N29" s="451">
        <v>60857</v>
      </c>
      <c r="O29" s="19">
        <v>5150</v>
      </c>
      <c r="P29" s="19">
        <v>0</v>
      </c>
      <c r="Q29" s="19">
        <v>8500</v>
      </c>
      <c r="R29" s="19">
        <v>6603</v>
      </c>
      <c r="S29" s="19">
        <v>2936</v>
      </c>
      <c r="T29" s="19">
        <v>6592</v>
      </c>
      <c r="U29" s="19">
        <v>29781</v>
      </c>
      <c r="V29" s="347">
        <v>2637</v>
      </c>
      <c r="W29" s="19">
        <v>21076</v>
      </c>
      <c r="X29" s="19">
        <v>6696</v>
      </c>
    </row>
    <row r="30" spans="1:24">
      <c r="A30" s="452">
        <v>2003</v>
      </c>
      <c r="B30" s="451">
        <v>124775</v>
      </c>
      <c r="C30" s="19">
        <v>140</v>
      </c>
      <c r="D30" s="19">
        <v>8051</v>
      </c>
      <c r="E30" s="19">
        <v>0</v>
      </c>
      <c r="F30" s="19">
        <v>1463</v>
      </c>
      <c r="G30" s="19">
        <v>223</v>
      </c>
      <c r="H30" s="19">
        <v>4951</v>
      </c>
      <c r="I30" s="19">
        <v>3264</v>
      </c>
      <c r="J30" s="19">
        <v>13361</v>
      </c>
      <c r="K30" s="19">
        <v>26931</v>
      </c>
      <c r="L30" s="19">
        <v>612</v>
      </c>
      <c r="M30" s="19">
        <v>3953</v>
      </c>
      <c r="N30" s="451">
        <v>62949</v>
      </c>
      <c r="O30" s="19">
        <v>5036</v>
      </c>
      <c r="P30" s="19">
        <v>0</v>
      </c>
      <c r="Q30" s="19">
        <v>8667</v>
      </c>
      <c r="R30" s="19">
        <v>6641</v>
      </c>
      <c r="S30" s="19">
        <v>3061</v>
      </c>
      <c r="T30" s="19">
        <v>6661</v>
      </c>
      <c r="U30" s="19">
        <v>30066</v>
      </c>
      <c r="V30" s="347">
        <v>2747</v>
      </c>
      <c r="W30" s="19">
        <v>21986</v>
      </c>
      <c r="X30" s="19">
        <v>7027</v>
      </c>
    </row>
    <row r="31" spans="1:24" s="703" customFormat="1">
      <c r="A31" s="452">
        <v>2004</v>
      </c>
      <c r="B31" s="451">
        <v>130153</v>
      </c>
      <c r="C31" s="19">
        <v>157</v>
      </c>
      <c r="D31" s="19">
        <v>8547</v>
      </c>
      <c r="E31" s="19">
        <v>0</v>
      </c>
      <c r="F31" s="19">
        <v>1530</v>
      </c>
      <c r="G31" s="19">
        <v>266</v>
      </c>
      <c r="H31" s="19">
        <v>5254</v>
      </c>
      <c r="I31" s="19">
        <v>3346</v>
      </c>
      <c r="J31" s="19">
        <v>13269</v>
      </c>
      <c r="K31" s="19">
        <v>27992</v>
      </c>
      <c r="L31" s="19">
        <v>734</v>
      </c>
      <c r="M31" s="19">
        <v>4508</v>
      </c>
      <c r="N31" s="451">
        <v>65603</v>
      </c>
      <c r="O31" s="19">
        <v>5083</v>
      </c>
      <c r="P31" s="19">
        <v>0</v>
      </c>
      <c r="Q31" s="19">
        <v>9011</v>
      </c>
      <c r="R31" s="19">
        <v>6788</v>
      </c>
      <c r="S31" s="19">
        <v>3167</v>
      </c>
      <c r="T31" s="19">
        <v>6932</v>
      </c>
      <c r="U31" s="19">
        <v>30981</v>
      </c>
      <c r="V31" s="347">
        <v>2940</v>
      </c>
      <c r="W31" s="19">
        <v>23129</v>
      </c>
      <c r="X31" s="19">
        <v>7500</v>
      </c>
    </row>
    <row r="32" spans="1:24" s="703" customFormat="1">
      <c r="A32" s="452">
        <v>2005</v>
      </c>
      <c r="B32" s="451">
        <v>135897</v>
      </c>
      <c r="C32" s="19">
        <v>165</v>
      </c>
      <c r="D32" s="19">
        <v>9174</v>
      </c>
      <c r="E32" s="19">
        <v>0</v>
      </c>
      <c r="F32" s="19">
        <v>1584</v>
      </c>
      <c r="G32" s="19">
        <v>289</v>
      </c>
      <c r="H32" s="19">
        <v>5717</v>
      </c>
      <c r="I32" s="19">
        <v>3472</v>
      </c>
      <c r="J32" s="19">
        <v>12937</v>
      </c>
      <c r="K32" s="19">
        <v>29085</v>
      </c>
      <c r="L32" s="19">
        <v>789</v>
      </c>
      <c r="M32" s="19">
        <v>4611</v>
      </c>
      <c r="N32" s="451">
        <v>67823</v>
      </c>
      <c r="O32" s="19">
        <v>5228</v>
      </c>
      <c r="P32" s="19">
        <v>0</v>
      </c>
      <c r="Q32" s="19">
        <v>9629</v>
      </c>
      <c r="R32" s="19">
        <v>6918</v>
      </c>
      <c r="S32" s="19">
        <v>3351</v>
      </c>
      <c r="T32" s="19">
        <v>8015</v>
      </c>
      <c r="U32" s="19">
        <v>33141</v>
      </c>
      <c r="V32" s="347">
        <v>2912</v>
      </c>
      <c r="W32" s="19">
        <v>24225</v>
      </c>
      <c r="X32" s="19">
        <v>7796</v>
      </c>
    </row>
    <row r="33" spans="1:24" s="703" customFormat="1">
      <c r="A33" s="452">
        <v>2006</v>
      </c>
      <c r="B33" s="720">
        <v>145028</v>
      </c>
      <c r="C33" s="19">
        <v>187</v>
      </c>
      <c r="D33" s="19">
        <v>9470</v>
      </c>
      <c r="E33" s="19">
        <v>1175</v>
      </c>
      <c r="F33" s="19">
        <v>1693</v>
      </c>
      <c r="G33" s="19">
        <v>326</v>
      </c>
      <c r="H33" s="19">
        <v>5748</v>
      </c>
      <c r="I33" s="19">
        <v>3566</v>
      </c>
      <c r="J33" s="19">
        <v>12498</v>
      </c>
      <c r="K33" s="19">
        <v>30468</v>
      </c>
      <c r="L33" s="19">
        <v>858</v>
      </c>
      <c r="M33" s="19">
        <v>4189</v>
      </c>
      <c r="N33" s="689">
        <v>70178</v>
      </c>
      <c r="O33" s="19">
        <v>5477</v>
      </c>
      <c r="P33" s="19">
        <v>805</v>
      </c>
      <c r="Q33" s="19">
        <v>10166</v>
      </c>
      <c r="R33" s="19">
        <v>7050</v>
      </c>
      <c r="S33" s="19">
        <v>3475</v>
      </c>
      <c r="T33" s="19">
        <v>11069</v>
      </c>
      <c r="U33" s="19">
        <v>38042</v>
      </c>
      <c r="V33" s="347">
        <v>3147</v>
      </c>
      <c r="W33" s="19">
        <v>25417</v>
      </c>
      <c r="X33" s="19">
        <v>8244</v>
      </c>
    </row>
    <row r="34" spans="1:24">
      <c r="B34" s="449" t="s">
        <v>427</v>
      </c>
      <c r="O34" s="449" t="s">
        <v>427</v>
      </c>
    </row>
    <row r="35" spans="1:24">
      <c r="A35" s="703" t="s">
        <v>1733</v>
      </c>
      <c r="B35" s="692">
        <f>(POWER(B33/B8, 1/25)-1)*100</f>
        <v>6.7407462814666141</v>
      </c>
      <c r="C35" s="692">
        <f t="shared" ref="C35:X35" si="0">(POWER(C33/C8, 1/25)-1)*100</f>
        <v>-8.966517560580245</v>
      </c>
      <c r="D35" s="692" t="s">
        <v>744</v>
      </c>
      <c r="E35" s="692" t="s">
        <v>744</v>
      </c>
      <c r="F35" s="692">
        <f t="shared" si="0"/>
        <v>5.1102623038931982</v>
      </c>
      <c r="G35" s="692">
        <f t="shared" si="0"/>
        <v>-0.23788218558218333</v>
      </c>
      <c r="H35" s="692">
        <f t="shared" si="0"/>
        <v>9.9547711014615015</v>
      </c>
      <c r="I35" s="692" t="s">
        <v>744</v>
      </c>
      <c r="J35" s="692">
        <f t="shared" si="0"/>
        <v>3.9394213645192355</v>
      </c>
      <c r="K35" s="692">
        <f t="shared" si="0"/>
        <v>5.38375883643889</v>
      </c>
      <c r="L35" s="692">
        <f t="shared" si="0"/>
        <v>4.6870557219354403</v>
      </c>
      <c r="M35" s="692">
        <f t="shared" si="0"/>
        <v>9.1534584826010956</v>
      </c>
      <c r="N35" s="692">
        <f t="shared" si="0"/>
        <v>5.8254869099703566</v>
      </c>
      <c r="O35" s="692">
        <f t="shared" si="0"/>
        <v>5.453996909056924</v>
      </c>
      <c r="P35" s="692" t="s">
        <v>744</v>
      </c>
      <c r="Q35" s="692">
        <f t="shared" si="0"/>
        <v>6.9683084727584887</v>
      </c>
      <c r="R35" s="692">
        <f t="shared" si="0"/>
        <v>4.0436107852850789</v>
      </c>
      <c r="S35" s="692">
        <f t="shared" si="0"/>
        <v>6.23534719256984</v>
      </c>
      <c r="T35" s="692">
        <f t="shared" si="0"/>
        <v>10.223847439179966</v>
      </c>
      <c r="U35" s="692">
        <f t="shared" si="0"/>
        <v>6.6023317702904594</v>
      </c>
      <c r="V35" s="692">
        <f t="shared" si="0"/>
        <v>7.4588926196445415</v>
      </c>
      <c r="W35" s="692">
        <f t="shared" si="0"/>
        <v>10.046938735884803</v>
      </c>
      <c r="X35" s="692">
        <f t="shared" si="0"/>
        <v>9.6820066085082637</v>
      </c>
    </row>
    <row r="37" spans="1:24">
      <c r="A37" s="1294" t="s">
        <v>1734</v>
      </c>
      <c r="B37" s="1294"/>
      <c r="C37" s="1294"/>
      <c r="D37" s="1294"/>
      <c r="E37" s="1294"/>
      <c r="F37" s="1294"/>
      <c r="G37" s="1294"/>
      <c r="H37" s="1294"/>
      <c r="I37" s="1294"/>
      <c r="J37" s="1294"/>
      <c r="K37" s="1294"/>
      <c r="L37" s="1294"/>
      <c r="M37" s="1294"/>
      <c r="N37" s="1294"/>
    </row>
    <row r="38" spans="1:24">
      <c r="A38" s="449" t="s">
        <v>1717</v>
      </c>
    </row>
  </sheetData>
  <mergeCells count="7">
    <mergeCell ref="W4:W5"/>
    <mergeCell ref="X4:X5"/>
    <mergeCell ref="A37:N37"/>
    <mergeCell ref="V4:V5"/>
    <mergeCell ref="B4:B5"/>
    <mergeCell ref="C4:N4"/>
    <mergeCell ref="O4:U4"/>
  </mergeCells>
  <phoneticPr fontId="36" type="noConversion"/>
  <pageMargins left="0.75" right="0.75" top="1" bottom="1" header="0.5" footer="0.5"/>
  <pageSetup scale="72" orientation="landscape" horizontalDpi="4294967293" verticalDpi="0" r:id="rId1"/>
  <headerFooter alignWithMargins="0"/>
  <colBreaks count="1" manualBreakCount="1">
    <brk id="14" max="38" man="1"/>
  </colBreaks>
</worksheet>
</file>

<file path=xl/worksheets/sheet184.xml><?xml version="1.0" encoding="utf-8"?>
<worksheet xmlns="http://schemas.openxmlformats.org/spreadsheetml/2006/main" xmlns:r="http://schemas.openxmlformats.org/officeDocument/2006/relationships">
  <sheetPr codeName="Sheet138">
    <pageSetUpPr fitToPage="1"/>
  </sheetPr>
  <dimension ref="A1:O46"/>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42578125" style="449" customWidth="1"/>
    <col min="5" max="5" width="10.7109375" style="449" customWidth="1"/>
    <col min="6" max="7" width="8" style="449" customWidth="1"/>
    <col min="8" max="8" width="10.42578125" style="449" customWidth="1"/>
    <col min="9" max="9" width="11.42578125" style="449" customWidth="1"/>
    <col min="10" max="10" width="12.85546875" style="449" customWidth="1"/>
    <col min="11" max="16384" width="9.140625" style="449"/>
  </cols>
  <sheetData>
    <row r="1" spans="1:13" ht="15.75">
      <c r="A1" s="322" t="s">
        <v>2228</v>
      </c>
    </row>
    <row r="2" spans="1:13" ht="15.75">
      <c r="A2" s="322"/>
    </row>
    <row r="3" spans="1:13" ht="76.5">
      <c r="A3" s="695"/>
      <c r="B3" s="696" t="s">
        <v>884</v>
      </c>
      <c r="C3" s="696" t="s">
        <v>885</v>
      </c>
      <c r="D3" s="696" t="s">
        <v>886</v>
      </c>
      <c r="E3" s="696" t="s">
        <v>887</v>
      </c>
      <c r="F3" s="696" t="s">
        <v>888</v>
      </c>
      <c r="G3" s="696" t="s">
        <v>889</v>
      </c>
      <c r="H3" s="696" t="s">
        <v>890</v>
      </c>
      <c r="I3" s="696" t="s">
        <v>891</v>
      </c>
      <c r="J3" s="696" t="s">
        <v>830</v>
      </c>
      <c r="K3" s="721" t="s">
        <v>1215</v>
      </c>
      <c r="L3" s="721" t="s">
        <v>1216</v>
      </c>
      <c r="M3" s="721" t="s">
        <v>1217</v>
      </c>
    </row>
    <row r="4" spans="1:13">
      <c r="A4" s="697"/>
      <c r="B4" s="698" t="s">
        <v>584</v>
      </c>
      <c r="C4" s="698" t="s">
        <v>585</v>
      </c>
      <c r="D4" s="697" t="s">
        <v>587</v>
      </c>
      <c r="E4" s="697" t="s">
        <v>588</v>
      </c>
      <c r="F4" s="697" t="s">
        <v>893</v>
      </c>
      <c r="G4" s="697" t="s">
        <v>894</v>
      </c>
      <c r="H4" s="697" t="s">
        <v>895</v>
      </c>
      <c r="I4" s="697" t="s">
        <v>896</v>
      </c>
      <c r="J4" s="699"/>
      <c r="K4" s="721"/>
      <c r="L4" s="721"/>
      <c r="M4" s="721"/>
    </row>
    <row r="5" spans="1:13">
      <c r="A5" s="700">
        <v>1976</v>
      </c>
      <c r="B5" s="453">
        <v>344183.1</v>
      </c>
      <c r="C5" s="453">
        <v>17058</v>
      </c>
      <c r="D5" s="453">
        <v>10491.3</v>
      </c>
      <c r="E5" s="453">
        <v>9747.5</v>
      </c>
      <c r="F5" s="701">
        <f>B5/C5</f>
        <v>20.177224762574745</v>
      </c>
      <c r="G5" s="701">
        <f t="shared" ref="G5:G34" si="0">B5/E5</f>
        <v>35.309884585791224</v>
      </c>
      <c r="H5" s="701">
        <f t="shared" ref="H5:H34" si="1">D5/C5*100</f>
        <v>61.503693281744631</v>
      </c>
      <c r="I5" s="701">
        <f t="shared" ref="I5:I34" si="2">E5/C5*100</f>
        <v>57.143275882283973</v>
      </c>
      <c r="J5" s="692">
        <f t="shared" ref="J5:J34" si="3">(D5-E5)/D5*100</f>
        <v>7.089683833271371</v>
      </c>
      <c r="K5" s="692">
        <f>(H5-I5)/100</f>
        <v>4.3604173994606581E-2</v>
      </c>
      <c r="L5" s="692">
        <f>E5/C5</f>
        <v>0.57143275882283973</v>
      </c>
      <c r="M5" s="692">
        <f t="shared" ref="M5:M34" si="4">L5+K5</f>
        <v>0.61503693281744631</v>
      </c>
    </row>
    <row r="6" spans="1:13">
      <c r="A6" s="452">
        <v>1977</v>
      </c>
      <c r="B6" s="453">
        <v>349989</v>
      </c>
      <c r="C6" s="453">
        <v>17435.5</v>
      </c>
      <c r="D6" s="453">
        <v>10785.2</v>
      </c>
      <c r="E6" s="453">
        <v>9917.1</v>
      </c>
      <c r="F6" s="701">
        <f t="shared" ref="F6:F34" si="5">B6/C6</f>
        <v>20.073356083851913</v>
      </c>
      <c r="G6" s="701">
        <f t="shared" si="0"/>
        <v>35.291466255256069</v>
      </c>
      <c r="H6" s="701">
        <f t="shared" si="1"/>
        <v>61.857704109431907</v>
      </c>
      <c r="I6" s="701">
        <f t="shared" si="2"/>
        <v>56.878781795761526</v>
      </c>
      <c r="J6" s="692">
        <f t="shared" si="3"/>
        <v>8.0489930645699683</v>
      </c>
      <c r="K6" s="692">
        <f>(H6-I6)/100</f>
        <v>4.9789223136703809E-2</v>
      </c>
      <c r="L6" s="692">
        <f>E6/C6</f>
        <v>0.56878781795761524</v>
      </c>
      <c r="M6" s="692">
        <f t="shared" si="4"/>
        <v>0.61857704109431899</v>
      </c>
    </row>
    <row r="7" spans="1:13">
      <c r="A7" s="452">
        <v>1978</v>
      </c>
      <c r="B7" s="453">
        <v>364194.1</v>
      </c>
      <c r="C7" s="453">
        <v>17778.8</v>
      </c>
      <c r="D7" s="453">
        <v>11154.6</v>
      </c>
      <c r="E7" s="453">
        <v>10220.299999999999</v>
      </c>
      <c r="F7" s="701">
        <f t="shared" si="5"/>
        <v>20.484740252435486</v>
      </c>
      <c r="G7" s="701">
        <f t="shared" si="0"/>
        <v>35.634384509260983</v>
      </c>
      <c r="H7" s="701">
        <f t="shared" si="1"/>
        <v>62.741017391499994</v>
      </c>
      <c r="I7" s="701">
        <f t="shared" si="2"/>
        <v>57.485882061781446</v>
      </c>
      <c r="J7" s="692">
        <f t="shared" si="3"/>
        <v>8.3759166621842205</v>
      </c>
      <c r="K7" s="692">
        <f>(H7-I7)/100</f>
        <v>5.2551353297185487E-2</v>
      </c>
      <c r="L7" s="692">
        <f>E7/C7</f>
        <v>0.57485882061781446</v>
      </c>
      <c r="M7" s="692">
        <f t="shared" si="4"/>
        <v>0.62741017391499998</v>
      </c>
    </row>
    <row r="8" spans="1:13">
      <c r="A8" s="452">
        <v>1979</v>
      </c>
      <c r="B8" s="453">
        <v>380539.6</v>
      </c>
      <c r="C8" s="453">
        <v>18119.400000000001</v>
      </c>
      <c r="D8" s="453">
        <v>11536.7</v>
      </c>
      <c r="E8" s="453">
        <v>10668.6</v>
      </c>
      <c r="F8" s="701">
        <f t="shared" si="5"/>
        <v>21.001777100786999</v>
      </c>
      <c r="G8" s="701">
        <f t="shared" si="0"/>
        <v>35.669122471552029</v>
      </c>
      <c r="H8" s="701">
        <f t="shared" si="1"/>
        <v>63.670430588209328</v>
      </c>
      <c r="I8" s="701">
        <f t="shared" si="2"/>
        <v>58.879433093811052</v>
      </c>
      <c r="J8" s="692">
        <f t="shared" si="3"/>
        <v>7.5246821014674934</v>
      </c>
      <c r="K8" s="692">
        <f>(H8-I8)/100</f>
        <v>4.7909974943982761E-2</v>
      </c>
      <c r="L8" s="692">
        <f>E8/C8</f>
        <v>0.58879433093811051</v>
      </c>
      <c r="M8" s="692">
        <f t="shared" si="4"/>
        <v>0.63670430588209326</v>
      </c>
    </row>
    <row r="9" spans="1:13">
      <c r="A9" s="452">
        <v>1980</v>
      </c>
      <c r="B9" s="453">
        <v>385526.6</v>
      </c>
      <c r="C9" s="453">
        <v>18483.5</v>
      </c>
      <c r="D9" s="453">
        <v>11879.4</v>
      </c>
      <c r="E9" s="453">
        <v>10984</v>
      </c>
      <c r="F9" s="701">
        <f t="shared" si="5"/>
        <v>20.857878648524359</v>
      </c>
      <c r="G9" s="701">
        <f t="shared" si="0"/>
        <v>35.098925710123815</v>
      </c>
      <c r="H9" s="701">
        <f t="shared" si="1"/>
        <v>64.270295128087213</v>
      </c>
      <c r="I9" s="701">
        <f t="shared" si="2"/>
        <v>59.425974517813188</v>
      </c>
      <c r="J9" s="692">
        <f t="shared" si="3"/>
        <v>7.5374177146993935</v>
      </c>
      <c r="K9" s="692">
        <f>(H9-I9)/100</f>
        <v>4.8443206102740249E-2</v>
      </c>
      <c r="L9" s="692">
        <f>E9/C9</f>
        <v>0.59425974517813185</v>
      </c>
      <c r="M9" s="692">
        <f t="shared" si="4"/>
        <v>0.64270295128087207</v>
      </c>
    </row>
    <row r="10" spans="1:13">
      <c r="A10" s="452">
        <v>1981</v>
      </c>
      <c r="B10" s="453">
        <v>390865.8</v>
      </c>
      <c r="C10" s="453">
        <v>18814.400000000001</v>
      </c>
      <c r="D10" s="453">
        <v>12235.8</v>
      </c>
      <c r="E10" s="453">
        <v>11305</v>
      </c>
      <c r="F10" s="701">
        <f t="shared" si="5"/>
        <v>20.774821413385489</v>
      </c>
      <c r="G10" s="701">
        <f t="shared" si="0"/>
        <v>34.574595311808935</v>
      </c>
      <c r="H10" s="701">
        <f t="shared" si="1"/>
        <v>65.034229101114022</v>
      </c>
      <c r="I10" s="701">
        <f t="shared" si="2"/>
        <v>60.086954673016415</v>
      </c>
      <c r="J10" s="692">
        <f t="shared" si="3"/>
        <v>7.6071854721391272</v>
      </c>
      <c r="K10" s="692">
        <f t="shared" ref="K10:K34" si="6">(H10-I10)/100</f>
        <v>4.9472744280976075E-2</v>
      </c>
      <c r="L10" s="692">
        <f t="shared" ref="L10:L34" si="7">E10/C10</f>
        <v>0.60086954673016413</v>
      </c>
      <c r="M10" s="692">
        <f t="shared" si="4"/>
        <v>0.65034229101114016</v>
      </c>
    </row>
    <row r="11" spans="1:13">
      <c r="A11" s="452">
        <v>1982</v>
      </c>
      <c r="B11" s="453">
        <v>376800.6</v>
      </c>
      <c r="C11" s="453">
        <v>19103.400000000001</v>
      </c>
      <c r="D11" s="453">
        <v>12301.8</v>
      </c>
      <c r="E11" s="453">
        <v>10943.7</v>
      </c>
      <c r="F11" s="701">
        <f t="shared" si="5"/>
        <v>19.724268978297054</v>
      </c>
      <c r="G11" s="701">
        <f t="shared" si="0"/>
        <v>34.430823213355623</v>
      </c>
      <c r="H11" s="701">
        <f t="shared" si="1"/>
        <v>64.39586670435628</v>
      </c>
      <c r="I11" s="701">
        <f t="shared" si="2"/>
        <v>57.286661013222769</v>
      </c>
      <c r="J11" s="692">
        <f t="shared" si="3"/>
        <v>11.039847827147236</v>
      </c>
      <c r="K11" s="692">
        <f t="shared" si="6"/>
        <v>7.1092056911335105E-2</v>
      </c>
      <c r="L11" s="692">
        <f t="shared" si="7"/>
        <v>0.57286661013222773</v>
      </c>
      <c r="M11" s="692">
        <f t="shared" si="4"/>
        <v>0.64395866704356286</v>
      </c>
    </row>
    <row r="12" spans="1:13">
      <c r="A12" s="452">
        <v>1983</v>
      </c>
      <c r="B12" s="453">
        <v>380095.7</v>
      </c>
      <c r="C12" s="453">
        <v>19355</v>
      </c>
      <c r="D12" s="453">
        <v>12527.6</v>
      </c>
      <c r="E12" s="453">
        <v>11022</v>
      </c>
      <c r="F12" s="701">
        <f t="shared" si="5"/>
        <v>19.638114182381813</v>
      </c>
      <c r="G12" s="701">
        <f t="shared" si="0"/>
        <v>34.485184177100344</v>
      </c>
      <c r="H12" s="701">
        <f t="shared" si="1"/>
        <v>64.725393955050379</v>
      </c>
      <c r="I12" s="701">
        <f t="shared" si="2"/>
        <v>56.94652544562129</v>
      </c>
      <c r="J12" s="692">
        <f t="shared" si="3"/>
        <v>12.018263673808233</v>
      </c>
      <c r="K12" s="692">
        <f t="shared" si="6"/>
        <v>7.7788685094290877E-2</v>
      </c>
      <c r="L12" s="692">
        <f t="shared" si="7"/>
        <v>0.56946525445621288</v>
      </c>
      <c r="M12" s="692">
        <f t="shared" si="4"/>
        <v>0.6472539395505037</v>
      </c>
    </row>
    <row r="13" spans="1:13">
      <c r="A13" s="452">
        <v>1984</v>
      </c>
      <c r="B13" s="453">
        <v>390310.5</v>
      </c>
      <c r="C13" s="453">
        <v>19597.900000000001</v>
      </c>
      <c r="D13" s="453">
        <v>12747.9</v>
      </c>
      <c r="E13" s="453">
        <v>11301.7</v>
      </c>
      <c r="F13" s="701">
        <f t="shared" si="5"/>
        <v>19.915934870572865</v>
      </c>
      <c r="G13" s="701">
        <f t="shared" si="0"/>
        <v>34.535556597679992</v>
      </c>
      <c r="H13" s="701">
        <f t="shared" si="1"/>
        <v>65.047275473392546</v>
      </c>
      <c r="I13" s="701">
        <f t="shared" si="2"/>
        <v>57.667913398884572</v>
      </c>
      <c r="J13" s="692">
        <f t="shared" si="3"/>
        <v>11.344613622635876</v>
      </c>
      <c r="K13" s="692">
        <f t="shared" si="6"/>
        <v>7.3793620745079738E-2</v>
      </c>
      <c r="L13" s="692">
        <f t="shared" si="7"/>
        <v>0.57667913398884574</v>
      </c>
      <c r="M13" s="692">
        <f t="shared" si="4"/>
        <v>0.65047275473392552</v>
      </c>
    </row>
    <row r="14" spans="1:13">
      <c r="A14" s="452">
        <v>1985</v>
      </c>
      <c r="B14" s="453">
        <v>404884.2</v>
      </c>
      <c r="C14" s="453">
        <v>19842.7</v>
      </c>
      <c r="D14" s="453">
        <v>13012.4</v>
      </c>
      <c r="E14" s="453">
        <v>11627.3</v>
      </c>
      <c r="F14" s="701">
        <f t="shared" si="5"/>
        <v>20.404692909735065</v>
      </c>
      <c r="G14" s="701">
        <f t="shared" si="0"/>
        <v>34.821858901034638</v>
      </c>
      <c r="H14" s="701">
        <f t="shared" si="1"/>
        <v>65.577769154399348</v>
      </c>
      <c r="I14" s="701">
        <f t="shared" si="2"/>
        <v>58.597368301692811</v>
      </c>
      <c r="J14" s="692">
        <f t="shared" si="3"/>
        <v>10.644462205281121</v>
      </c>
      <c r="K14" s="692">
        <f t="shared" si="6"/>
        <v>6.9804008527065378E-2</v>
      </c>
      <c r="L14" s="692">
        <f t="shared" si="7"/>
        <v>0.58597368301692809</v>
      </c>
      <c r="M14" s="692">
        <f t="shared" si="4"/>
        <v>0.65577769154399346</v>
      </c>
    </row>
    <row r="15" spans="1:13">
      <c r="A15" s="452">
        <v>1986</v>
      </c>
      <c r="B15" s="453">
        <v>416831.8</v>
      </c>
      <c r="C15" s="453">
        <v>20093.2</v>
      </c>
      <c r="D15" s="453">
        <v>13272.1</v>
      </c>
      <c r="E15" s="453">
        <v>11986.6</v>
      </c>
      <c r="F15" s="701">
        <f t="shared" si="5"/>
        <v>20.744918678956065</v>
      </c>
      <c r="G15" s="701">
        <f t="shared" si="0"/>
        <v>34.774815210318188</v>
      </c>
      <c r="H15" s="701">
        <f t="shared" si="1"/>
        <v>66.052694443891468</v>
      </c>
      <c r="I15" s="701">
        <f t="shared" si="2"/>
        <v>59.655007664284433</v>
      </c>
      <c r="J15" s="692">
        <f t="shared" si="3"/>
        <v>9.6857317229375912</v>
      </c>
      <c r="K15" s="692">
        <f t="shared" si="6"/>
        <v>6.3976867796070355E-2</v>
      </c>
      <c r="L15" s="692">
        <f t="shared" si="7"/>
        <v>0.59655007664284432</v>
      </c>
      <c r="M15" s="692">
        <f t="shared" si="4"/>
        <v>0.66052694443891469</v>
      </c>
    </row>
    <row r="16" spans="1:13">
      <c r="A16" s="452">
        <v>1987</v>
      </c>
      <c r="B16" s="453">
        <v>427341</v>
      </c>
      <c r="C16" s="453">
        <v>20348.099999999999</v>
      </c>
      <c r="D16" s="453">
        <v>13526</v>
      </c>
      <c r="E16" s="453">
        <v>12333</v>
      </c>
      <c r="F16" s="701">
        <f t="shared" si="5"/>
        <v>21.001518569301311</v>
      </c>
      <c r="G16" s="701">
        <f t="shared" si="0"/>
        <v>34.650206762344929</v>
      </c>
      <c r="H16" s="701">
        <f t="shared" si="1"/>
        <v>66.473036794590172</v>
      </c>
      <c r="I16" s="701">
        <f t="shared" si="2"/>
        <v>60.61008153095375</v>
      </c>
      <c r="J16" s="692">
        <f t="shared" si="3"/>
        <v>8.8200502735472419</v>
      </c>
      <c r="K16" s="692">
        <f t="shared" si="6"/>
        <v>5.8629552636364227E-2</v>
      </c>
      <c r="L16" s="692">
        <f t="shared" si="7"/>
        <v>0.60610081530953752</v>
      </c>
      <c r="M16" s="692">
        <f t="shared" si="4"/>
        <v>0.66473036794590179</v>
      </c>
    </row>
    <row r="17" spans="1:13">
      <c r="A17" s="452">
        <v>1988</v>
      </c>
      <c r="B17" s="453">
        <v>447819.3</v>
      </c>
      <c r="C17" s="453">
        <v>20612.2</v>
      </c>
      <c r="D17" s="453">
        <v>13779.1</v>
      </c>
      <c r="E17" s="453">
        <v>12709.6</v>
      </c>
      <c r="F17" s="701">
        <f t="shared" si="5"/>
        <v>21.725934155500138</v>
      </c>
      <c r="G17" s="701">
        <f t="shared" si="0"/>
        <v>35.234728079561904</v>
      </c>
      <c r="H17" s="701">
        <f t="shared" si="1"/>
        <v>66.849244622116998</v>
      </c>
      <c r="I17" s="701">
        <f t="shared" si="2"/>
        <v>61.660569953716724</v>
      </c>
      <c r="J17" s="692">
        <f t="shared" si="3"/>
        <v>7.7617551218874965</v>
      </c>
      <c r="K17" s="692">
        <f t="shared" si="6"/>
        <v>5.1886746684002748E-2</v>
      </c>
      <c r="L17" s="692">
        <f t="shared" si="7"/>
        <v>0.61660569953716726</v>
      </c>
      <c r="M17" s="692">
        <f t="shared" si="4"/>
        <v>0.66849244622116999</v>
      </c>
    </row>
    <row r="18" spans="1:13">
      <c r="A18" s="452">
        <v>1989</v>
      </c>
      <c r="B18" s="453">
        <v>463961.8</v>
      </c>
      <c r="C18" s="453">
        <v>20898.5</v>
      </c>
      <c r="D18" s="453">
        <v>14057</v>
      </c>
      <c r="E18" s="453">
        <v>12996.2</v>
      </c>
      <c r="F18" s="701">
        <f t="shared" si="5"/>
        <v>22.200722539895207</v>
      </c>
      <c r="G18" s="701">
        <f t="shared" si="0"/>
        <v>35.699804558255487</v>
      </c>
      <c r="H18" s="701">
        <f t="shared" si="1"/>
        <v>67.263200708184797</v>
      </c>
      <c r="I18" s="701">
        <f t="shared" si="2"/>
        <v>62.187238318539606</v>
      </c>
      <c r="J18" s="692">
        <f t="shared" si="3"/>
        <v>7.5464181546560383</v>
      </c>
      <c r="K18" s="692">
        <f t="shared" si="6"/>
        <v>5.0759623896451916E-2</v>
      </c>
      <c r="L18" s="692">
        <f t="shared" si="7"/>
        <v>0.62187238318539606</v>
      </c>
      <c r="M18" s="692">
        <f t="shared" si="4"/>
        <v>0.672632007081848</v>
      </c>
    </row>
    <row r="19" spans="1:13">
      <c r="A19" s="452">
        <v>1990</v>
      </c>
      <c r="B19" s="453">
        <v>460283.4</v>
      </c>
      <c r="C19" s="453">
        <v>21214.7</v>
      </c>
      <c r="D19" s="453">
        <v>14244.6</v>
      </c>
      <c r="E19" s="453">
        <v>13086.4</v>
      </c>
      <c r="F19" s="701">
        <f t="shared" si="5"/>
        <v>21.696436904599171</v>
      </c>
      <c r="G19" s="701">
        <f t="shared" si="0"/>
        <v>35.172652524758533</v>
      </c>
      <c r="H19" s="701">
        <f t="shared" si="1"/>
        <v>67.144951378053889</v>
      </c>
      <c r="I19" s="701">
        <f t="shared" si="2"/>
        <v>61.685529373500444</v>
      </c>
      <c r="J19" s="692">
        <f t="shared" si="3"/>
        <v>8.1308004436769075</v>
      </c>
      <c r="K19" s="692">
        <f t="shared" si="6"/>
        <v>5.4594220045534457E-2</v>
      </c>
      <c r="L19" s="692">
        <f t="shared" si="7"/>
        <v>0.61685529373500447</v>
      </c>
      <c r="M19" s="692">
        <f t="shared" si="4"/>
        <v>0.67144951378053896</v>
      </c>
    </row>
    <row r="20" spans="1:13">
      <c r="A20" s="452">
        <v>1991</v>
      </c>
      <c r="B20" s="453">
        <v>443617.2</v>
      </c>
      <c r="C20" s="453">
        <v>21533.3</v>
      </c>
      <c r="D20" s="453">
        <v>14336.3</v>
      </c>
      <c r="E20" s="453">
        <v>12857.4</v>
      </c>
      <c r="F20" s="701">
        <f t="shared" si="5"/>
        <v>20.601449847445586</v>
      </c>
      <c r="G20" s="701">
        <f t="shared" si="0"/>
        <v>34.502869942601151</v>
      </c>
      <c r="H20" s="701">
        <f t="shared" si="1"/>
        <v>66.577347642953015</v>
      </c>
      <c r="I20" s="701">
        <f t="shared" si="2"/>
        <v>59.709380355077947</v>
      </c>
      <c r="J20" s="692">
        <f t="shared" si="3"/>
        <v>10.315771851872517</v>
      </c>
      <c r="K20" s="692">
        <f t="shared" si="6"/>
        <v>6.867967287875068E-2</v>
      </c>
      <c r="L20" s="692">
        <f t="shared" si="7"/>
        <v>0.59709380355077946</v>
      </c>
      <c r="M20" s="692">
        <f t="shared" si="4"/>
        <v>0.66577347642953011</v>
      </c>
    </row>
    <row r="21" spans="1:13">
      <c r="A21" s="452">
        <v>1992</v>
      </c>
      <c r="B21" s="453">
        <v>432272.9</v>
      </c>
      <c r="C21" s="453">
        <v>21820.2</v>
      </c>
      <c r="D21" s="453">
        <v>14336.1</v>
      </c>
      <c r="E21" s="453">
        <v>12730.9</v>
      </c>
      <c r="F21" s="701">
        <f t="shared" si="5"/>
        <v>19.810675429189466</v>
      </c>
      <c r="G21" s="701">
        <f t="shared" si="0"/>
        <v>33.954622218382049</v>
      </c>
      <c r="H21" s="701">
        <f t="shared" si="1"/>
        <v>65.70104765309209</v>
      </c>
      <c r="I21" s="701">
        <f t="shared" si="2"/>
        <v>58.34456146139815</v>
      </c>
      <c r="J21" s="692">
        <f t="shared" si="3"/>
        <v>11.196908503707428</v>
      </c>
      <c r="K21" s="692">
        <f t="shared" si="6"/>
        <v>7.3564861916939395E-2</v>
      </c>
      <c r="L21" s="692">
        <f t="shared" si="7"/>
        <v>0.58344561461398148</v>
      </c>
      <c r="M21" s="692">
        <f t="shared" si="4"/>
        <v>0.65701047653092082</v>
      </c>
    </row>
    <row r="22" spans="1:13">
      <c r="A22" s="452">
        <v>1993</v>
      </c>
      <c r="B22" s="453">
        <v>440006.1</v>
      </c>
      <c r="C22" s="453">
        <v>22092.9</v>
      </c>
      <c r="D22" s="453">
        <v>14435</v>
      </c>
      <c r="E22" s="453">
        <v>12792.7</v>
      </c>
      <c r="F22" s="701">
        <f t="shared" si="5"/>
        <v>19.9161766902489</v>
      </c>
      <c r="G22" s="701">
        <f t="shared" si="0"/>
        <v>34.395092513699218</v>
      </c>
      <c r="H22" s="701">
        <f t="shared" si="1"/>
        <v>65.337732936825859</v>
      </c>
      <c r="I22" s="701">
        <f t="shared" si="2"/>
        <v>57.904123044054877</v>
      </c>
      <c r="J22" s="692">
        <f t="shared" si="3"/>
        <v>11.377208174575678</v>
      </c>
      <c r="K22" s="692">
        <f t="shared" si="6"/>
        <v>7.4336098927709815E-2</v>
      </c>
      <c r="L22" s="692">
        <f t="shared" si="7"/>
        <v>0.57904123044054878</v>
      </c>
      <c r="M22" s="692">
        <f t="shared" si="4"/>
        <v>0.65337732936825854</v>
      </c>
    </row>
    <row r="23" spans="1:13">
      <c r="A23" s="452">
        <v>1994</v>
      </c>
      <c r="B23" s="453">
        <v>454992.9</v>
      </c>
      <c r="C23" s="453">
        <v>22367.7</v>
      </c>
      <c r="D23" s="453">
        <v>14573.7</v>
      </c>
      <c r="E23" s="453">
        <v>13058.7</v>
      </c>
      <c r="F23" s="701">
        <f t="shared" si="5"/>
        <v>20.341514773535053</v>
      </c>
      <c r="G23" s="701">
        <f t="shared" si="0"/>
        <v>34.842128236348181</v>
      </c>
      <c r="H23" s="701">
        <f t="shared" si="1"/>
        <v>65.155112058906369</v>
      </c>
      <c r="I23" s="701">
        <f t="shared" si="2"/>
        <v>58.381952547646833</v>
      </c>
      <c r="J23" s="692">
        <f t="shared" si="3"/>
        <v>10.395438358138289</v>
      </c>
      <c r="K23" s="692">
        <f t="shared" si="6"/>
        <v>6.7731595112595355E-2</v>
      </c>
      <c r="L23" s="692">
        <f t="shared" si="7"/>
        <v>0.58381952547646832</v>
      </c>
      <c r="M23" s="692">
        <f t="shared" si="4"/>
        <v>0.65155112058906361</v>
      </c>
    </row>
    <row r="24" spans="1:13">
      <c r="A24" s="452">
        <v>1995</v>
      </c>
      <c r="B24" s="453">
        <v>460053.3</v>
      </c>
      <c r="C24" s="453">
        <v>22660</v>
      </c>
      <c r="D24" s="453">
        <v>14689.2</v>
      </c>
      <c r="E24" s="453">
        <v>13295.4</v>
      </c>
      <c r="F24" s="701">
        <f t="shared" si="5"/>
        <v>20.302440423654016</v>
      </c>
      <c r="G24" s="701">
        <f t="shared" si="0"/>
        <v>34.602441445913627</v>
      </c>
      <c r="H24" s="701">
        <f t="shared" si="1"/>
        <v>64.824360105913499</v>
      </c>
      <c r="I24" s="701">
        <f t="shared" si="2"/>
        <v>58.673433362753748</v>
      </c>
      <c r="J24" s="692">
        <f t="shared" si="3"/>
        <v>9.4886038722326678</v>
      </c>
      <c r="K24" s="692">
        <f t="shared" si="6"/>
        <v>6.1509267431597507E-2</v>
      </c>
      <c r="L24" s="692">
        <f t="shared" si="7"/>
        <v>0.58673433362753746</v>
      </c>
      <c r="M24" s="692">
        <f t="shared" si="4"/>
        <v>0.64824360105913492</v>
      </c>
    </row>
    <row r="25" spans="1:13">
      <c r="A25" s="452">
        <v>1996</v>
      </c>
      <c r="B25" s="453">
        <v>467669.8</v>
      </c>
      <c r="C25" s="453">
        <v>22967.1</v>
      </c>
      <c r="D25" s="453">
        <v>14853.5</v>
      </c>
      <c r="E25" s="453">
        <v>13421.4</v>
      </c>
      <c r="F25" s="701">
        <f t="shared" si="5"/>
        <v>20.362596932133357</v>
      </c>
      <c r="G25" s="701">
        <f t="shared" si="0"/>
        <v>34.845083225296911</v>
      </c>
      <c r="H25" s="701">
        <f t="shared" si="1"/>
        <v>64.672945212935034</v>
      </c>
      <c r="I25" s="701">
        <f t="shared" si="2"/>
        <v>58.437504081925887</v>
      </c>
      <c r="J25" s="692">
        <f t="shared" si="3"/>
        <v>9.6414986366849593</v>
      </c>
      <c r="K25" s="692">
        <f t="shared" si="6"/>
        <v>6.2354411310091465E-2</v>
      </c>
      <c r="L25" s="692">
        <f t="shared" si="7"/>
        <v>0.58437504081925884</v>
      </c>
      <c r="M25" s="692">
        <f t="shared" si="4"/>
        <v>0.64672945212935029</v>
      </c>
    </row>
    <row r="26" spans="1:13">
      <c r="A26" s="452">
        <v>1997</v>
      </c>
      <c r="B26" s="453">
        <v>477875.6</v>
      </c>
      <c r="C26" s="453">
        <v>23255.5</v>
      </c>
      <c r="D26" s="453">
        <v>15079.1</v>
      </c>
      <c r="E26" s="453">
        <v>13706</v>
      </c>
      <c r="F26" s="701">
        <f t="shared" si="5"/>
        <v>20.548928210530843</v>
      </c>
      <c r="G26" s="701">
        <f t="shared" si="0"/>
        <v>34.866160805486643</v>
      </c>
      <c r="H26" s="701">
        <f t="shared" si="1"/>
        <v>64.841005353572285</v>
      </c>
      <c r="I26" s="701">
        <f t="shared" si="2"/>
        <v>58.936595644041191</v>
      </c>
      <c r="J26" s="692">
        <f t="shared" si="3"/>
        <v>9.1059811261945356</v>
      </c>
      <c r="K26" s="692">
        <f t="shared" si="6"/>
        <v>5.9044097095310943E-2</v>
      </c>
      <c r="L26" s="692">
        <f t="shared" si="7"/>
        <v>0.5893659564404119</v>
      </c>
      <c r="M26" s="692">
        <f t="shared" si="4"/>
        <v>0.6484100535357229</v>
      </c>
    </row>
    <row r="27" spans="1:13">
      <c r="A27" s="452">
        <v>1998</v>
      </c>
      <c r="B27" s="453">
        <v>485315.4</v>
      </c>
      <c r="C27" s="453">
        <v>23522.799999999999</v>
      </c>
      <c r="D27" s="453">
        <v>15316.3</v>
      </c>
      <c r="E27" s="453">
        <v>14046.2</v>
      </c>
      <c r="F27" s="701">
        <f t="shared" si="5"/>
        <v>20.631702008264323</v>
      </c>
      <c r="G27" s="701">
        <f t="shared" si="0"/>
        <v>34.551366205806552</v>
      </c>
      <c r="H27" s="701">
        <f t="shared" si="1"/>
        <v>65.112571632628772</v>
      </c>
      <c r="I27" s="701">
        <f t="shared" si="2"/>
        <v>59.713129389358407</v>
      </c>
      <c r="J27" s="692">
        <f t="shared" si="3"/>
        <v>8.2924727251359585</v>
      </c>
      <c r="K27" s="692">
        <f t="shared" si="6"/>
        <v>5.3994422432703644E-2</v>
      </c>
      <c r="L27" s="692">
        <f t="shared" si="7"/>
        <v>0.5971312938935841</v>
      </c>
      <c r="M27" s="692">
        <f t="shared" si="4"/>
        <v>0.6511257163262878</v>
      </c>
    </row>
    <row r="28" spans="1:13">
      <c r="A28" s="452">
        <v>1999</v>
      </c>
      <c r="B28" s="453">
        <v>501868.7</v>
      </c>
      <c r="C28" s="453">
        <v>23786.9</v>
      </c>
      <c r="D28" s="453">
        <v>15588.3</v>
      </c>
      <c r="E28" s="453">
        <v>14406.7</v>
      </c>
      <c r="F28" s="701">
        <f t="shared" si="5"/>
        <v>21.098533226271602</v>
      </c>
      <c r="G28" s="701">
        <f t="shared" si="0"/>
        <v>34.835784739045025</v>
      </c>
      <c r="H28" s="701">
        <f t="shared" si="1"/>
        <v>65.533129579726648</v>
      </c>
      <c r="I28" s="701">
        <f t="shared" si="2"/>
        <v>60.565689518180179</v>
      </c>
      <c r="J28" s="692">
        <f t="shared" si="3"/>
        <v>7.5800440073644895</v>
      </c>
      <c r="K28" s="692">
        <f t="shared" si="6"/>
        <v>4.9674400615464694E-2</v>
      </c>
      <c r="L28" s="692">
        <f t="shared" si="7"/>
        <v>0.60565689518180177</v>
      </c>
      <c r="M28" s="692">
        <f t="shared" si="4"/>
        <v>0.65533129579726646</v>
      </c>
    </row>
    <row r="29" spans="1:13">
      <c r="A29" s="452">
        <v>2000</v>
      </c>
      <c r="B29" s="453">
        <v>517832.2</v>
      </c>
      <c r="C29" s="453">
        <v>24094.2</v>
      </c>
      <c r="D29" s="453">
        <v>15847</v>
      </c>
      <c r="E29" s="453">
        <v>14764.2</v>
      </c>
      <c r="F29" s="701">
        <f t="shared" si="5"/>
        <v>21.491985623096014</v>
      </c>
      <c r="G29" s="701">
        <f t="shared" si="0"/>
        <v>35.073502119992952</v>
      </c>
      <c r="H29" s="701">
        <f t="shared" si="1"/>
        <v>65.771015431099599</v>
      </c>
      <c r="I29" s="701">
        <f t="shared" si="2"/>
        <v>61.276987822795526</v>
      </c>
      <c r="J29" s="692">
        <f t="shared" si="3"/>
        <v>6.8328390231589529</v>
      </c>
      <c r="K29" s="692">
        <f t="shared" si="6"/>
        <v>4.4940276083040728E-2</v>
      </c>
      <c r="L29" s="692">
        <f t="shared" si="7"/>
        <v>0.61276987822795526</v>
      </c>
      <c r="M29" s="692">
        <f t="shared" si="4"/>
        <v>0.657710154310996</v>
      </c>
    </row>
    <row r="30" spans="1:13">
      <c r="A30" s="452">
        <v>2001</v>
      </c>
      <c r="B30" s="453">
        <v>514096.6</v>
      </c>
      <c r="C30" s="453">
        <v>24444.3</v>
      </c>
      <c r="D30" s="453">
        <v>16109.8</v>
      </c>
      <c r="E30" s="453">
        <v>14946.2</v>
      </c>
      <c r="F30" s="701">
        <f t="shared" si="5"/>
        <v>21.031348821606674</v>
      </c>
      <c r="G30" s="701">
        <f t="shared" si="0"/>
        <v>34.396475358285045</v>
      </c>
      <c r="H30" s="701">
        <f t="shared" si="1"/>
        <v>65.904116706144166</v>
      </c>
      <c r="I30" s="701">
        <f t="shared" si="2"/>
        <v>61.143906759449038</v>
      </c>
      <c r="J30" s="692">
        <f t="shared" si="3"/>
        <v>7.2229326248618761</v>
      </c>
      <c r="K30" s="692">
        <f t="shared" si="6"/>
        <v>4.7602099466951271E-2</v>
      </c>
      <c r="L30" s="692">
        <f t="shared" si="7"/>
        <v>0.6114390675944904</v>
      </c>
      <c r="M30" s="692">
        <f t="shared" si="4"/>
        <v>0.65904116706144167</v>
      </c>
    </row>
    <row r="31" spans="1:13">
      <c r="A31" s="452">
        <v>2002</v>
      </c>
      <c r="B31" s="453">
        <v>522875.9</v>
      </c>
      <c r="C31" s="453">
        <v>24797.3</v>
      </c>
      <c r="D31" s="453">
        <v>16579.3</v>
      </c>
      <c r="E31" s="453">
        <v>15310.4</v>
      </c>
      <c r="F31" s="701">
        <f t="shared" si="5"/>
        <v>21.086001298528469</v>
      </c>
      <c r="G31" s="701">
        <f t="shared" si="0"/>
        <v>34.151681210157804</v>
      </c>
      <c r="H31" s="701">
        <f t="shared" si="1"/>
        <v>66.859295165199441</v>
      </c>
      <c r="I31" s="701">
        <f t="shared" si="2"/>
        <v>61.742205804664216</v>
      </c>
      <c r="J31" s="692">
        <f t="shared" si="3"/>
        <v>7.6535197505322881</v>
      </c>
      <c r="K31" s="692">
        <f t="shared" si="6"/>
        <v>5.117089360535225E-2</v>
      </c>
      <c r="L31" s="692">
        <f t="shared" si="7"/>
        <v>0.61742205804664219</v>
      </c>
      <c r="M31" s="692">
        <f t="shared" si="4"/>
        <v>0.66859295165199439</v>
      </c>
    </row>
    <row r="32" spans="1:13">
      <c r="A32" s="452">
        <v>2003</v>
      </c>
      <c r="B32" s="453">
        <v>525942.5</v>
      </c>
      <c r="C32" s="453">
        <v>25106.5</v>
      </c>
      <c r="D32" s="453">
        <v>16958.5</v>
      </c>
      <c r="E32" s="453">
        <v>15672.3</v>
      </c>
      <c r="F32" s="701">
        <f t="shared" si="5"/>
        <v>20.948459562264752</v>
      </c>
      <c r="G32" s="701">
        <f t="shared" si="0"/>
        <v>33.558731009488078</v>
      </c>
      <c r="H32" s="701">
        <f t="shared" si="1"/>
        <v>67.546252962380265</v>
      </c>
      <c r="I32" s="701">
        <f t="shared" si="2"/>
        <v>62.423276840658794</v>
      </c>
      <c r="J32" s="692">
        <f t="shared" si="3"/>
        <v>7.584397204941479</v>
      </c>
      <c r="K32" s="692">
        <f t="shared" si="6"/>
        <v>5.1229761217214717E-2</v>
      </c>
      <c r="L32" s="692">
        <f t="shared" si="7"/>
        <v>0.62423276840658792</v>
      </c>
      <c r="M32" s="692">
        <f t="shared" si="4"/>
        <v>0.6754625296238026</v>
      </c>
    </row>
    <row r="33" spans="1:15">
      <c r="A33" s="452">
        <v>2004</v>
      </c>
      <c r="B33" s="453">
        <v>540551.69999999995</v>
      </c>
      <c r="C33" s="453">
        <v>25443.4</v>
      </c>
      <c r="D33" s="453">
        <v>17182.3</v>
      </c>
      <c r="E33" s="453">
        <v>15947</v>
      </c>
      <c r="F33" s="701">
        <f t="shared" si="5"/>
        <v>21.245262032589981</v>
      </c>
      <c r="G33" s="701">
        <f t="shared" si="0"/>
        <v>33.896764281683069</v>
      </c>
      <c r="H33" s="701">
        <f t="shared" si="1"/>
        <v>67.531461990142816</v>
      </c>
      <c r="I33" s="701">
        <f t="shared" si="2"/>
        <v>62.676371868539583</v>
      </c>
      <c r="J33" s="692">
        <f t="shared" si="3"/>
        <v>7.1893751127613843</v>
      </c>
      <c r="K33" s="692">
        <f t="shared" si="6"/>
        <v>4.8550901216032331E-2</v>
      </c>
      <c r="L33" s="692">
        <f t="shared" si="7"/>
        <v>0.62676371868539582</v>
      </c>
      <c r="M33" s="692">
        <f t="shared" si="4"/>
        <v>0.67531461990142816</v>
      </c>
    </row>
    <row r="34" spans="1:15">
      <c r="A34" s="452">
        <v>2005</v>
      </c>
      <c r="B34" s="453">
        <v>552654.5</v>
      </c>
      <c r="C34" s="453">
        <v>25805.5</v>
      </c>
      <c r="D34" s="453">
        <v>17342.599999999999</v>
      </c>
      <c r="E34" s="453">
        <v>16169.7</v>
      </c>
      <c r="F34" s="702">
        <f t="shared" si="5"/>
        <v>21.416151595590087</v>
      </c>
      <c r="G34" s="702">
        <f t="shared" si="0"/>
        <v>34.178401578260569</v>
      </c>
      <c r="H34" s="702">
        <f t="shared" si="1"/>
        <v>67.205053186336244</v>
      </c>
      <c r="I34" s="702">
        <f t="shared" si="2"/>
        <v>62.659898083741837</v>
      </c>
      <c r="J34" s="692">
        <f t="shared" si="3"/>
        <v>6.7631151038483148</v>
      </c>
      <c r="K34" s="692">
        <f t="shared" si="6"/>
        <v>4.5451551025944073E-2</v>
      </c>
      <c r="L34" s="692">
        <f t="shared" si="7"/>
        <v>0.62659898083741838</v>
      </c>
      <c r="M34" s="692">
        <f t="shared" si="4"/>
        <v>0.6720505318633625</v>
      </c>
    </row>
    <row r="35" spans="1:15" s="703" customFormat="1">
      <c r="A35" s="452">
        <v>2006</v>
      </c>
      <c r="B35" s="453">
        <v>559202.9</v>
      </c>
      <c r="C35" s="453">
        <v>26185.1</v>
      </c>
      <c r="D35" s="453">
        <v>17592.8</v>
      </c>
      <c r="E35" s="453">
        <v>16484.3</v>
      </c>
      <c r="F35" s="702">
        <f>B35/C35</f>
        <v>21.355767211123887</v>
      </c>
      <c r="G35" s="702">
        <f>B35/E35</f>
        <v>33.923363442791022</v>
      </c>
      <c r="H35" s="702">
        <f>D35/C35*100</f>
        <v>67.186300606069864</v>
      </c>
      <c r="I35" s="702">
        <f>E35/C35*100</f>
        <v>62.952977074748617</v>
      </c>
      <c r="J35" s="692">
        <f>(D35-E35)/D35*100</f>
        <v>6.3008730844436371</v>
      </c>
      <c r="K35" s="692">
        <f>(H35-I35)/100</f>
        <v>4.2333235313212467E-2</v>
      </c>
      <c r="L35" s="692">
        <f>E35/C35</f>
        <v>0.62952977074748617</v>
      </c>
      <c r="M35" s="692">
        <f>L35+K35</f>
        <v>0.6718630060606986</v>
      </c>
      <c r="O35" s="703">
        <f>100*L35</f>
        <v>62.952977074748617</v>
      </c>
    </row>
    <row r="36" spans="1:15" s="703" customFormat="1">
      <c r="A36" s="452">
        <v>2007</v>
      </c>
      <c r="B36" s="453">
        <v>573618.30000000005</v>
      </c>
      <c r="C36" s="453">
        <v>26553.4</v>
      </c>
      <c r="D36" s="453">
        <v>17945.8</v>
      </c>
      <c r="E36" s="453">
        <v>16866.400000000001</v>
      </c>
      <c r="F36" s="702">
        <f>B36/C36</f>
        <v>21.6024426250499</v>
      </c>
      <c r="G36" s="702">
        <f>B36/E36</f>
        <v>34.009527818621635</v>
      </c>
      <c r="H36" s="702">
        <f>D36/C36*100</f>
        <v>67.583812242500002</v>
      </c>
      <c r="I36" s="702">
        <f>E36/C36*100</f>
        <v>63.518796086376881</v>
      </c>
      <c r="J36" s="692">
        <f>(D36-E36)/D36*100</f>
        <v>6.0147778310245172</v>
      </c>
      <c r="K36" s="692">
        <f>(H36-I36)/100</f>
        <v>4.0650161561231218E-2</v>
      </c>
      <c r="L36" s="692">
        <f>E36/C36</f>
        <v>0.63518796086376883</v>
      </c>
      <c r="M36" s="692">
        <f>L36+K36</f>
        <v>0.67583812242500008</v>
      </c>
      <c r="O36" s="703">
        <f>100*L36</f>
        <v>63.518796086376881</v>
      </c>
    </row>
    <row r="37" spans="1:15" s="703" customFormat="1">
      <c r="A37" s="452">
        <v>2008</v>
      </c>
      <c r="B37" s="453">
        <v>577309.19999999995</v>
      </c>
      <c r="C37" s="453">
        <v>26924.7</v>
      </c>
      <c r="D37" s="453">
        <v>18245.099999999999</v>
      </c>
      <c r="E37" s="453">
        <v>17125.8</v>
      </c>
      <c r="F37" s="702">
        <f>B37/C37</f>
        <v>21.441620519448684</v>
      </c>
      <c r="G37" s="702">
        <f>B37/E37</f>
        <v>33.709911361804991</v>
      </c>
      <c r="H37" s="702">
        <f>D37/C37*100</f>
        <v>67.763429118987389</v>
      </c>
      <c r="I37" s="702">
        <f>E37/C37*100</f>
        <v>63.606279735707361</v>
      </c>
      <c r="J37" s="692">
        <f>(D37-E37)/D37*100</f>
        <v>6.1347978361313418</v>
      </c>
      <c r="K37" s="692">
        <f>(H37-I37)/100</f>
        <v>4.1571493832800288E-2</v>
      </c>
      <c r="L37" s="692">
        <f>E37/C37</f>
        <v>0.63606279735707361</v>
      </c>
      <c r="M37" s="692">
        <f>L37+K37</f>
        <v>0.67763429118987384</v>
      </c>
      <c r="O37" s="703">
        <f>100*L37</f>
        <v>63.606279735707361</v>
      </c>
    </row>
    <row r="38" spans="1:15">
      <c r="A38" s="452"/>
      <c r="B38" s="704"/>
      <c r="C38" s="704" t="s">
        <v>427</v>
      </c>
      <c r="D38" s="704"/>
      <c r="E38" s="704"/>
      <c r="F38" s="705"/>
      <c r="G38" s="705" t="s">
        <v>897</v>
      </c>
      <c r="H38" s="705"/>
      <c r="I38" s="705"/>
      <c r="J38" s="704"/>
      <c r="K38" s="721"/>
      <c r="L38" s="721"/>
      <c r="M38" s="721"/>
    </row>
    <row r="39" spans="1:15">
      <c r="A39" s="454" t="s">
        <v>1716</v>
      </c>
      <c r="B39" s="706">
        <f>(POWER(B37/B5, 1/32)-1)*100</f>
        <v>1.6293953598716771</v>
      </c>
      <c r="C39" s="706">
        <f>(POWER(C37/C5, 1/32)-1)*100</f>
        <v>1.4365480193850866</v>
      </c>
      <c r="D39" s="706">
        <f>(POWER(D37/D5, 1/32)-1)*100</f>
        <v>1.7442569527758023</v>
      </c>
      <c r="E39" s="706">
        <f>(POWER(E37/E5, 1/32)-1)*100</f>
        <v>1.7767727695390478</v>
      </c>
      <c r="F39" s="708">
        <f>F37-F5</f>
        <v>1.2643957568739381</v>
      </c>
      <c r="G39" s="708">
        <f>G37-G5</f>
        <v>-1.5999732239862325</v>
      </c>
      <c r="H39" s="708">
        <f>H37-H5</f>
        <v>6.2597358372427578</v>
      </c>
      <c r="I39" s="708">
        <f>I37-I5</f>
        <v>6.4630038534233876</v>
      </c>
      <c r="J39" s="708">
        <f>J37-J5</f>
        <v>-0.9548859971400292</v>
      </c>
      <c r="K39" s="721"/>
      <c r="L39" s="721"/>
      <c r="M39" s="692"/>
    </row>
    <row r="40" spans="1:15">
      <c r="A40" s="454" t="s">
        <v>1707</v>
      </c>
      <c r="B40" s="706">
        <f>(POWER(B37/B10, 1/27)-1)*100</f>
        <v>1.4549785064968956</v>
      </c>
      <c r="C40" s="706">
        <f>(POWER(C37/C10, 1/27)-1)*100</f>
        <v>1.3363374404889772</v>
      </c>
      <c r="D40" s="706">
        <f>(POWER(D37/D10, 1/27)-1)*100</f>
        <v>1.4907448721309002</v>
      </c>
      <c r="E40" s="706">
        <f>(POWER(E37/E10, 1/27)-1)*100</f>
        <v>1.5501927105705082</v>
      </c>
      <c r="F40" s="708">
        <f>F37-F10</f>
        <v>0.66679910606319481</v>
      </c>
      <c r="G40" s="708">
        <f>G37-G10</f>
        <v>-0.86468395000394338</v>
      </c>
      <c r="H40" s="708">
        <f>H37-H10</f>
        <v>2.7292000178733673</v>
      </c>
      <c r="I40" s="708">
        <f>I37-I10</f>
        <v>3.519325062690946</v>
      </c>
      <c r="J40" s="708">
        <f>J37-J10</f>
        <v>-1.4723876360077854</v>
      </c>
      <c r="K40" s="721"/>
      <c r="L40" s="721"/>
      <c r="M40" s="692"/>
    </row>
    <row r="41" spans="1:15">
      <c r="K41" s="721"/>
      <c r="L41" s="721"/>
      <c r="M41" s="721"/>
    </row>
    <row r="42" spans="1:15" ht="18" customHeight="1">
      <c r="A42" s="449" t="s">
        <v>899</v>
      </c>
      <c r="K42" s="721"/>
      <c r="L42" s="721"/>
      <c r="M42" s="721"/>
    </row>
    <row r="43" spans="1:15">
      <c r="A43" s="449" t="s">
        <v>1717</v>
      </c>
    </row>
    <row r="45" spans="1:15">
      <c r="F45" s="975">
        <f>F37-F5</f>
        <v>1.2643957568739381</v>
      </c>
      <c r="G45" s="975">
        <f>G37-G5</f>
        <v>-1.5999732239862325</v>
      </c>
    </row>
    <row r="46" spans="1:15">
      <c r="F46" s="449">
        <f>100*F45/F5</f>
        <v>6.2664502762499481</v>
      </c>
    </row>
  </sheetData>
  <phoneticPr fontId="36" type="noConversion"/>
  <pageMargins left="0.75" right="0.75" top="1" bottom="1" header="0.5" footer="0.5"/>
  <pageSetup scale="89" orientation="portrait" r:id="rId1"/>
  <headerFooter alignWithMargins="0"/>
</worksheet>
</file>

<file path=xl/worksheets/sheet185.xml><?xml version="1.0" encoding="utf-8"?>
<worksheet xmlns="http://schemas.openxmlformats.org/spreadsheetml/2006/main" xmlns:r="http://schemas.openxmlformats.org/officeDocument/2006/relationships">
  <sheetPr codeName="Sheet144">
    <pageSetUpPr fitToPage="1"/>
  </sheetPr>
  <dimension ref="A1:L82"/>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9" width="10.7109375" style="449" customWidth="1"/>
    <col min="10" max="10" width="12" style="449" customWidth="1"/>
    <col min="11" max="16384" width="9.140625" style="449"/>
  </cols>
  <sheetData>
    <row r="1" spans="1:12" ht="15.75">
      <c r="A1" s="322" t="s">
        <v>2229</v>
      </c>
    </row>
    <row r="2" spans="1:12" ht="15.75">
      <c r="A2" s="320"/>
    </row>
    <row r="3" spans="1:12" ht="63.75">
      <c r="A3" s="695"/>
      <c r="B3" s="696" t="s">
        <v>884</v>
      </c>
      <c r="C3" s="696" t="s">
        <v>885</v>
      </c>
      <c r="D3" s="696" t="s">
        <v>886</v>
      </c>
      <c r="E3" s="696" t="s">
        <v>887</v>
      </c>
      <c r="F3" s="696" t="s">
        <v>888</v>
      </c>
      <c r="G3" s="696" t="s">
        <v>889</v>
      </c>
      <c r="H3" s="696" t="s">
        <v>890</v>
      </c>
      <c r="I3" s="696" t="s">
        <v>891</v>
      </c>
      <c r="J3" s="696" t="s">
        <v>892</v>
      </c>
    </row>
    <row r="4" spans="1:12">
      <c r="A4" s="697"/>
      <c r="B4" s="698" t="s">
        <v>584</v>
      </c>
      <c r="C4" s="698" t="s">
        <v>585</v>
      </c>
      <c r="D4" s="697" t="s">
        <v>587</v>
      </c>
      <c r="E4" s="697" t="s">
        <v>588</v>
      </c>
      <c r="F4" s="697" t="s">
        <v>893</v>
      </c>
      <c r="G4" s="697" t="s">
        <v>894</v>
      </c>
      <c r="H4" s="697" t="s">
        <v>895</v>
      </c>
      <c r="I4" s="697" t="s">
        <v>896</v>
      </c>
      <c r="J4" s="699"/>
      <c r="L4" s="19"/>
    </row>
    <row r="5" spans="1:12">
      <c r="A5" s="700">
        <v>1976</v>
      </c>
      <c r="B5" s="722">
        <f>SUM(B50:D50)</f>
        <v>338853.1</v>
      </c>
      <c r="C5" s="19">
        <f>E50</f>
        <v>15186.9</v>
      </c>
      <c r="D5" s="19">
        <f>F50</f>
        <v>10319.200000000001</v>
      </c>
      <c r="E5" s="19">
        <f>G50</f>
        <v>9579.1</v>
      </c>
      <c r="F5" s="701">
        <f t="shared" ref="F5:F34" si="0">B5/C5</f>
        <v>22.312196695836544</v>
      </c>
      <c r="G5" s="701">
        <f t="shared" ref="G5:G34" si="1">B5/E5</f>
        <v>35.374210520821364</v>
      </c>
      <c r="H5" s="701">
        <f t="shared" ref="H5:H34" si="2">D5/C5*100</f>
        <v>67.94803416102036</v>
      </c>
      <c r="I5" s="701">
        <f t="shared" ref="I5:I34" si="3">E5/C5*100</f>
        <v>63.074755216667</v>
      </c>
      <c r="J5" s="692">
        <f t="shared" ref="J5:J34" si="4">(D5-E5)/D5*100</f>
        <v>7.1720676021397036</v>
      </c>
      <c r="L5" s="19"/>
    </row>
    <row r="6" spans="1:12">
      <c r="A6" s="452">
        <v>1977</v>
      </c>
      <c r="B6" s="722">
        <f t="shared" ref="B6:B37" si="5">SUM(B51:D51)</f>
        <v>344914.2</v>
      </c>
      <c r="C6" s="19">
        <f t="shared" ref="C6:E36" si="6">E51</f>
        <v>15501.8</v>
      </c>
      <c r="D6" s="19">
        <f t="shared" si="6"/>
        <v>10620.3</v>
      </c>
      <c r="E6" s="19">
        <f t="shared" si="6"/>
        <v>9755.7999999999993</v>
      </c>
      <c r="F6" s="701">
        <f t="shared" si="0"/>
        <v>22.249945167657952</v>
      </c>
      <c r="G6" s="701">
        <f t="shared" si="1"/>
        <v>35.35478382090654</v>
      </c>
      <c r="H6" s="701">
        <f t="shared" si="2"/>
        <v>68.510108503528627</v>
      </c>
      <c r="I6" s="701">
        <f t="shared" si="3"/>
        <v>62.933336773794011</v>
      </c>
      <c r="J6" s="692">
        <f t="shared" si="4"/>
        <v>8.1400713727484177</v>
      </c>
      <c r="L6" s="19"/>
    </row>
    <row r="7" spans="1:12">
      <c r="A7" s="452">
        <v>1978</v>
      </c>
      <c r="B7" s="722">
        <f t="shared" si="5"/>
        <v>359018.3</v>
      </c>
      <c r="C7" s="19">
        <f t="shared" si="6"/>
        <v>15786.1</v>
      </c>
      <c r="D7" s="19">
        <f t="shared" si="6"/>
        <v>10988.5</v>
      </c>
      <c r="E7" s="19">
        <f t="shared" si="6"/>
        <v>10057.299999999999</v>
      </c>
      <c r="F7" s="701">
        <f t="shared" si="0"/>
        <v>22.742685020366018</v>
      </c>
      <c r="G7" s="701">
        <f t="shared" si="1"/>
        <v>35.697284559474213</v>
      </c>
      <c r="H7" s="701">
        <f t="shared" si="2"/>
        <v>69.608706393599434</v>
      </c>
      <c r="I7" s="701">
        <f t="shared" si="3"/>
        <v>63.709846003762792</v>
      </c>
      <c r="J7" s="692">
        <f t="shared" si="4"/>
        <v>8.4743140556035925</v>
      </c>
      <c r="L7" s="19"/>
    </row>
    <row r="8" spans="1:12">
      <c r="A8" s="452">
        <v>1979</v>
      </c>
      <c r="B8" s="722">
        <f t="shared" si="5"/>
        <v>375329.10000000003</v>
      </c>
      <c r="C8" s="19">
        <f t="shared" si="6"/>
        <v>16059.6</v>
      </c>
      <c r="D8" s="19">
        <f t="shared" si="6"/>
        <v>11366</v>
      </c>
      <c r="E8" s="19">
        <f t="shared" si="6"/>
        <v>10501.2</v>
      </c>
      <c r="F8" s="701">
        <f t="shared" si="0"/>
        <v>23.371011731300907</v>
      </c>
      <c r="G8" s="701">
        <f t="shared" si="1"/>
        <v>35.741543823563021</v>
      </c>
      <c r="H8" s="701">
        <f t="shared" si="2"/>
        <v>70.773867344143071</v>
      </c>
      <c r="I8" s="701">
        <f t="shared" si="3"/>
        <v>65.388926249719788</v>
      </c>
      <c r="J8" s="692">
        <f t="shared" si="4"/>
        <v>7.608657399260947</v>
      </c>
      <c r="L8" s="19"/>
    </row>
    <row r="9" spans="1:12">
      <c r="A9" s="452">
        <v>1980</v>
      </c>
      <c r="B9" s="722">
        <f t="shared" si="5"/>
        <v>380455.39999999997</v>
      </c>
      <c r="C9" s="19">
        <f t="shared" si="6"/>
        <v>16355.8</v>
      </c>
      <c r="D9" s="19">
        <f t="shared" si="6"/>
        <v>11709.9</v>
      </c>
      <c r="E9" s="19">
        <f t="shared" si="6"/>
        <v>10817.3</v>
      </c>
      <c r="F9" s="701">
        <f t="shared" si="0"/>
        <v>23.261191748492887</v>
      </c>
      <c r="G9" s="701">
        <f t="shared" si="1"/>
        <v>35.171013099387089</v>
      </c>
      <c r="H9" s="701">
        <f t="shared" si="2"/>
        <v>71.594785947492639</v>
      </c>
      <c r="I9" s="701">
        <f t="shared" si="3"/>
        <v>66.137394685677251</v>
      </c>
      <c r="J9" s="692">
        <f t="shared" si="4"/>
        <v>7.6226099283512276</v>
      </c>
      <c r="L9" s="19"/>
    </row>
    <row r="10" spans="1:12">
      <c r="A10" s="452">
        <v>1981</v>
      </c>
      <c r="B10" s="722">
        <f t="shared" si="5"/>
        <v>385794</v>
      </c>
      <c r="C10" s="19">
        <f t="shared" si="6"/>
        <v>16622.8</v>
      </c>
      <c r="D10" s="19">
        <f t="shared" si="6"/>
        <v>12064.8</v>
      </c>
      <c r="E10" s="19">
        <f t="shared" si="6"/>
        <v>11137.1</v>
      </c>
      <c r="F10" s="701">
        <f t="shared" si="0"/>
        <v>23.208725365161104</v>
      </c>
      <c r="G10" s="701">
        <f t="shared" si="1"/>
        <v>34.640436020148869</v>
      </c>
      <c r="H10" s="701">
        <f t="shared" si="2"/>
        <v>72.579830112857039</v>
      </c>
      <c r="I10" s="701">
        <f t="shared" si="3"/>
        <v>66.998941213273341</v>
      </c>
      <c r="J10" s="692">
        <f t="shared" si="4"/>
        <v>7.6893110536436495</v>
      </c>
      <c r="L10" s="19"/>
    </row>
    <row r="11" spans="1:12">
      <c r="A11" s="452">
        <v>1982</v>
      </c>
      <c r="B11" s="722">
        <f t="shared" si="5"/>
        <v>371714.7</v>
      </c>
      <c r="C11" s="19">
        <f t="shared" si="6"/>
        <v>16853.3</v>
      </c>
      <c r="D11" s="19">
        <f t="shared" si="6"/>
        <v>12127.1</v>
      </c>
      <c r="E11" s="19">
        <f t="shared" si="6"/>
        <v>10773.6</v>
      </c>
      <c r="F11" s="701">
        <f t="shared" si="0"/>
        <v>22.055900031447848</v>
      </c>
      <c r="G11" s="701">
        <f t="shared" si="1"/>
        <v>34.502366896858987</v>
      </c>
      <c r="H11" s="701">
        <f t="shared" si="2"/>
        <v>71.956827446256824</v>
      </c>
      <c r="I11" s="701">
        <f t="shared" si="3"/>
        <v>63.925759346834155</v>
      </c>
      <c r="J11" s="692">
        <f t="shared" si="4"/>
        <v>11.160953566804924</v>
      </c>
      <c r="L11" s="19"/>
    </row>
    <row r="12" spans="1:12">
      <c r="A12" s="452">
        <v>1983</v>
      </c>
      <c r="B12" s="722">
        <f t="shared" si="5"/>
        <v>375118.8</v>
      </c>
      <c r="C12" s="19">
        <f t="shared" si="6"/>
        <v>17052.5</v>
      </c>
      <c r="D12" s="19">
        <f t="shared" si="6"/>
        <v>12358.6</v>
      </c>
      <c r="E12" s="19">
        <f t="shared" si="6"/>
        <v>10856.7</v>
      </c>
      <c r="F12" s="701">
        <f t="shared" si="0"/>
        <v>21.997877144113765</v>
      </c>
      <c r="G12" s="701">
        <f t="shared" si="1"/>
        <v>34.551825140235977</v>
      </c>
      <c r="H12" s="701">
        <f t="shared" si="2"/>
        <v>72.473830816595807</v>
      </c>
      <c r="I12" s="701">
        <f t="shared" si="3"/>
        <v>63.666324585837863</v>
      </c>
      <c r="J12" s="692">
        <f t="shared" si="4"/>
        <v>12.152671014516205</v>
      </c>
      <c r="L12" s="19"/>
    </row>
    <row r="13" spans="1:12">
      <c r="A13" s="452">
        <v>1984</v>
      </c>
      <c r="B13" s="722">
        <f t="shared" si="5"/>
        <v>385345</v>
      </c>
      <c r="C13" s="19">
        <f t="shared" si="6"/>
        <v>17234.8</v>
      </c>
      <c r="D13" s="19">
        <f t="shared" si="6"/>
        <v>12575.2</v>
      </c>
      <c r="E13" s="19">
        <f t="shared" si="6"/>
        <v>11132.6</v>
      </c>
      <c r="F13" s="701">
        <f t="shared" si="0"/>
        <v>22.358542019634694</v>
      </c>
      <c r="G13" s="701">
        <f t="shared" si="1"/>
        <v>34.614106318380252</v>
      </c>
      <c r="H13" s="701">
        <f t="shared" si="2"/>
        <v>72.964003063569066</v>
      </c>
      <c r="I13" s="701">
        <f t="shared" si="3"/>
        <v>64.593728966973813</v>
      </c>
      <c r="J13" s="692">
        <f t="shared" si="4"/>
        <v>11.471785737006174</v>
      </c>
      <c r="L13" s="19"/>
    </row>
    <row r="14" spans="1:12">
      <c r="A14" s="452">
        <v>1985</v>
      </c>
      <c r="B14" s="722">
        <f t="shared" si="5"/>
        <v>399634.6</v>
      </c>
      <c r="C14" s="19">
        <f t="shared" si="6"/>
        <v>17402</v>
      </c>
      <c r="D14" s="19">
        <f t="shared" si="6"/>
        <v>12832.6</v>
      </c>
      <c r="E14" s="19">
        <f t="shared" si="6"/>
        <v>11451</v>
      </c>
      <c r="F14" s="701">
        <f t="shared" si="0"/>
        <v>22.964866107343983</v>
      </c>
      <c r="G14" s="701">
        <f t="shared" si="1"/>
        <v>34.89953715832678</v>
      </c>
      <c r="H14" s="701">
        <f t="shared" si="2"/>
        <v>73.742098609355239</v>
      </c>
      <c r="I14" s="701">
        <f t="shared" si="3"/>
        <v>65.802781289506953</v>
      </c>
      <c r="J14" s="692">
        <f t="shared" si="4"/>
        <v>10.766329504543119</v>
      </c>
      <c r="L14" s="19"/>
    </row>
    <row r="15" spans="1:12">
      <c r="A15" s="452">
        <v>1986</v>
      </c>
      <c r="B15" s="722">
        <f t="shared" si="5"/>
        <v>411993.39999999997</v>
      </c>
      <c r="C15" s="19">
        <f t="shared" si="6"/>
        <v>17570.3</v>
      </c>
      <c r="D15" s="19">
        <f t="shared" si="6"/>
        <v>13103.9</v>
      </c>
      <c r="E15" s="19">
        <f t="shared" si="6"/>
        <v>11822.5</v>
      </c>
      <c r="F15" s="701">
        <f t="shared" si="0"/>
        <v>23.448284889842519</v>
      </c>
      <c r="G15" s="701">
        <f t="shared" si="1"/>
        <v>34.848246986677943</v>
      </c>
      <c r="H15" s="701">
        <f t="shared" si="2"/>
        <v>74.579830737096117</v>
      </c>
      <c r="I15" s="701">
        <f t="shared" si="3"/>
        <v>67.28684200042116</v>
      </c>
      <c r="J15" s="692">
        <f t="shared" si="4"/>
        <v>9.7787681529926171</v>
      </c>
      <c r="L15" s="19"/>
    </row>
    <row r="16" spans="1:12">
      <c r="A16" s="452">
        <v>1987</v>
      </c>
      <c r="B16" s="722">
        <f t="shared" si="5"/>
        <v>422336.19999999995</v>
      </c>
      <c r="C16" s="19">
        <f t="shared" si="6"/>
        <v>17731.8</v>
      </c>
      <c r="D16" s="19">
        <f t="shared" si="6"/>
        <v>13350.5</v>
      </c>
      <c r="E16" s="19">
        <f t="shared" si="6"/>
        <v>12162.3</v>
      </c>
      <c r="F16" s="701">
        <f t="shared" si="0"/>
        <v>23.818010579862168</v>
      </c>
      <c r="G16" s="701">
        <f t="shared" si="1"/>
        <v>34.725027338579046</v>
      </c>
      <c r="H16" s="701">
        <f t="shared" si="2"/>
        <v>75.291284584757335</v>
      </c>
      <c r="I16" s="701">
        <f t="shared" si="3"/>
        <v>68.590329238994357</v>
      </c>
      <c r="J16" s="692">
        <f t="shared" si="4"/>
        <v>8.9000411969589202</v>
      </c>
      <c r="L16" s="19"/>
    </row>
    <row r="17" spans="1:12">
      <c r="A17" s="452">
        <v>1988</v>
      </c>
      <c r="B17" s="722">
        <f t="shared" si="5"/>
        <v>442716.6</v>
      </c>
      <c r="C17" s="19">
        <f t="shared" si="6"/>
        <v>17911.400000000001</v>
      </c>
      <c r="D17" s="19">
        <f t="shared" si="6"/>
        <v>13600.7</v>
      </c>
      <c r="E17" s="19">
        <f t="shared" si="6"/>
        <v>12535</v>
      </c>
      <c r="F17" s="701">
        <f t="shared" si="0"/>
        <v>24.717029377938069</v>
      </c>
      <c r="G17" s="701">
        <f t="shared" si="1"/>
        <v>35.3184363781412</v>
      </c>
      <c r="H17" s="701">
        <f t="shared" si="2"/>
        <v>75.933204551291354</v>
      </c>
      <c r="I17" s="701">
        <f t="shared" si="3"/>
        <v>69.98336255122436</v>
      </c>
      <c r="J17" s="692">
        <f t="shared" si="4"/>
        <v>7.8356261074797668</v>
      </c>
      <c r="L17" s="19"/>
    </row>
    <row r="18" spans="1:12">
      <c r="A18" s="452">
        <v>1989</v>
      </c>
      <c r="B18" s="722">
        <f t="shared" si="5"/>
        <v>458654</v>
      </c>
      <c r="C18" s="19">
        <f t="shared" si="6"/>
        <v>18109</v>
      </c>
      <c r="D18" s="19">
        <f t="shared" si="6"/>
        <v>13870</v>
      </c>
      <c r="E18" s="19">
        <f t="shared" si="6"/>
        <v>12812.8</v>
      </c>
      <c r="F18" s="701">
        <f t="shared" si="0"/>
        <v>25.327406262079627</v>
      </c>
      <c r="G18" s="701">
        <f t="shared" si="1"/>
        <v>35.796547202797207</v>
      </c>
      <c r="H18" s="701">
        <f t="shared" si="2"/>
        <v>76.591749958584131</v>
      </c>
      <c r="I18" s="701">
        <f t="shared" si="3"/>
        <v>70.753768844221099</v>
      </c>
      <c r="J18" s="692">
        <f t="shared" si="4"/>
        <v>7.6222062004325934</v>
      </c>
      <c r="L18" s="19"/>
    </row>
    <row r="19" spans="1:12">
      <c r="A19" s="452">
        <v>1990</v>
      </c>
      <c r="B19" s="722">
        <f t="shared" si="5"/>
        <v>454860.79999999999</v>
      </c>
      <c r="C19" s="19">
        <f t="shared" si="6"/>
        <v>18334.5</v>
      </c>
      <c r="D19" s="19">
        <f t="shared" si="6"/>
        <v>14052.2</v>
      </c>
      <c r="E19" s="19">
        <f t="shared" si="6"/>
        <v>12897</v>
      </c>
      <c r="F19" s="701">
        <f t="shared" si="0"/>
        <v>24.80901033570591</v>
      </c>
      <c r="G19" s="701">
        <f t="shared" si="1"/>
        <v>35.26872916182058</v>
      </c>
      <c r="H19" s="701">
        <f t="shared" si="2"/>
        <v>76.6434863235976</v>
      </c>
      <c r="I19" s="701">
        <f t="shared" si="3"/>
        <v>70.342796367503894</v>
      </c>
      <c r="J19" s="692">
        <f t="shared" si="4"/>
        <v>8.2207768178648237</v>
      </c>
      <c r="L19" s="19"/>
    </row>
    <row r="20" spans="1:12">
      <c r="A20" s="452">
        <v>1991</v>
      </c>
      <c r="B20" s="722">
        <f t="shared" si="5"/>
        <v>438071.5</v>
      </c>
      <c r="C20" s="19">
        <f t="shared" si="6"/>
        <v>18556.8</v>
      </c>
      <c r="D20" s="19">
        <f t="shared" si="6"/>
        <v>14137.3</v>
      </c>
      <c r="E20" s="19">
        <f t="shared" si="6"/>
        <v>12666.1</v>
      </c>
      <c r="F20" s="701">
        <f t="shared" si="0"/>
        <v>23.607060484566304</v>
      </c>
      <c r="G20" s="701">
        <f t="shared" si="1"/>
        <v>34.586139379919629</v>
      </c>
      <c r="H20" s="701">
        <f t="shared" si="2"/>
        <v>76.183932574581831</v>
      </c>
      <c r="I20" s="701">
        <f t="shared" si="3"/>
        <v>68.255841524400765</v>
      </c>
      <c r="J20" s="692">
        <f t="shared" si="4"/>
        <v>10.406513266323831</v>
      </c>
      <c r="L20" s="19"/>
    </row>
    <row r="21" spans="1:12">
      <c r="A21" s="452">
        <v>1992</v>
      </c>
      <c r="B21" s="722">
        <f t="shared" si="5"/>
        <v>426665.69999999995</v>
      </c>
      <c r="C21" s="19">
        <f t="shared" si="6"/>
        <v>18772.2</v>
      </c>
      <c r="D21" s="19">
        <f t="shared" si="6"/>
        <v>14138</v>
      </c>
      <c r="E21" s="19">
        <f t="shared" si="6"/>
        <v>12542.4</v>
      </c>
      <c r="F21" s="701">
        <f t="shared" si="0"/>
        <v>22.728593345478949</v>
      </c>
      <c r="G21" s="701">
        <f t="shared" si="1"/>
        <v>34.017867393800223</v>
      </c>
      <c r="H21" s="701">
        <f t="shared" si="2"/>
        <v>75.313495488008869</v>
      </c>
      <c r="I21" s="701">
        <f t="shared" si="3"/>
        <v>66.813692587975837</v>
      </c>
      <c r="J21" s="692">
        <f t="shared" si="4"/>
        <v>11.285896166360168</v>
      </c>
      <c r="L21" s="19"/>
    </row>
    <row r="22" spans="1:12">
      <c r="A22" s="452">
        <v>1993</v>
      </c>
      <c r="B22" s="722">
        <f t="shared" si="5"/>
        <v>434813</v>
      </c>
      <c r="C22" s="19">
        <f t="shared" si="6"/>
        <v>18973.3</v>
      </c>
      <c r="D22" s="19">
        <f t="shared" si="6"/>
        <v>14241.5</v>
      </c>
      <c r="E22" s="19">
        <f t="shared" si="6"/>
        <v>12609.5</v>
      </c>
      <c r="F22" s="701">
        <f t="shared" si="0"/>
        <v>22.917099292163197</v>
      </c>
      <c r="G22" s="701">
        <f t="shared" si="1"/>
        <v>34.482969189896508</v>
      </c>
      <c r="H22" s="701">
        <f t="shared" si="2"/>
        <v>75.060743254995174</v>
      </c>
      <c r="I22" s="701">
        <f t="shared" si="3"/>
        <v>66.459182113812574</v>
      </c>
      <c r="J22" s="692">
        <f t="shared" si="4"/>
        <v>11.459467050521363</v>
      </c>
      <c r="L22" s="19"/>
    </row>
    <row r="23" spans="1:12">
      <c r="A23" s="452">
        <v>1994</v>
      </c>
      <c r="B23" s="722">
        <f t="shared" si="5"/>
        <v>448999.80000000005</v>
      </c>
      <c r="C23" s="19">
        <f t="shared" si="6"/>
        <v>19182</v>
      </c>
      <c r="D23" s="19">
        <f t="shared" si="6"/>
        <v>14364.3</v>
      </c>
      <c r="E23" s="19">
        <f t="shared" si="6"/>
        <v>12860</v>
      </c>
      <c r="F23" s="701">
        <f t="shared" si="0"/>
        <v>23.407350641226152</v>
      </c>
      <c r="G23" s="701">
        <f t="shared" si="1"/>
        <v>34.91444790046657</v>
      </c>
      <c r="H23" s="701">
        <f t="shared" si="2"/>
        <v>74.884266499843605</v>
      </c>
      <c r="I23" s="701">
        <f t="shared" si="3"/>
        <v>67.042018559065781</v>
      </c>
      <c r="J23" s="692">
        <f t="shared" si="4"/>
        <v>10.472490827955411</v>
      </c>
      <c r="L23" s="19"/>
    </row>
    <row r="24" spans="1:12">
      <c r="A24" s="452">
        <v>1995</v>
      </c>
      <c r="B24" s="722">
        <f t="shared" si="5"/>
        <v>454373.2</v>
      </c>
      <c r="C24" s="19">
        <f t="shared" si="6"/>
        <v>19405.8</v>
      </c>
      <c r="D24" s="19">
        <f t="shared" si="6"/>
        <v>14487.6</v>
      </c>
      <c r="E24" s="19">
        <f t="shared" si="6"/>
        <v>13102.3</v>
      </c>
      <c r="F24" s="701">
        <f t="shared" si="0"/>
        <v>23.414298817879192</v>
      </c>
      <c r="G24" s="701">
        <f t="shared" si="1"/>
        <v>34.678888439434303</v>
      </c>
      <c r="H24" s="701">
        <f t="shared" si="2"/>
        <v>74.656030671242618</v>
      </c>
      <c r="I24" s="701">
        <f t="shared" si="3"/>
        <v>67.517443238619379</v>
      </c>
      <c r="J24" s="692">
        <f t="shared" si="4"/>
        <v>9.5619702366161476</v>
      </c>
      <c r="L24" s="19"/>
    </row>
    <row r="25" spans="1:12">
      <c r="A25" s="452">
        <v>1996</v>
      </c>
      <c r="B25" s="722">
        <f t="shared" si="5"/>
        <v>461998.3</v>
      </c>
      <c r="C25" s="19">
        <f t="shared" si="6"/>
        <v>19644.400000000001</v>
      </c>
      <c r="D25" s="19">
        <f t="shared" si="6"/>
        <v>14649.6</v>
      </c>
      <c r="E25" s="19">
        <f t="shared" si="6"/>
        <v>13225.3</v>
      </c>
      <c r="F25" s="701">
        <f t="shared" si="0"/>
        <v>23.51806621734438</v>
      </c>
      <c r="G25" s="701">
        <f t="shared" si="1"/>
        <v>34.932916455581349</v>
      </c>
      <c r="H25" s="701">
        <f t="shared" si="2"/>
        <v>74.573924375394512</v>
      </c>
      <c r="I25" s="701">
        <f t="shared" si="3"/>
        <v>67.323512044144877</v>
      </c>
      <c r="J25" s="692">
        <f t="shared" si="4"/>
        <v>9.7224497597204085</v>
      </c>
      <c r="L25" s="19"/>
    </row>
    <row r="26" spans="1:12">
      <c r="A26" s="452">
        <v>1997</v>
      </c>
      <c r="B26" s="722">
        <f t="shared" si="5"/>
        <v>471857.79999999993</v>
      </c>
      <c r="C26" s="19">
        <f t="shared" si="6"/>
        <v>19864.3</v>
      </c>
      <c r="D26" s="19">
        <f t="shared" si="6"/>
        <v>14865.3</v>
      </c>
      <c r="E26" s="19">
        <f t="shared" si="6"/>
        <v>13498.8</v>
      </c>
      <c r="F26" s="701">
        <f t="shared" si="0"/>
        <v>23.754061305960942</v>
      </c>
      <c r="G26" s="701">
        <f t="shared" si="1"/>
        <v>34.955536788455269</v>
      </c>
      <c r="H26" s="701">
        <f t="shared" si="2"/>
        <v>74.834250388888606</v>
      </c>
      <c r="I26" s="701">
        <f t="shared" si="3"/>
        <v>67.955075185131108</v>
      </c>
      <c r="J26" s="692">
        <f t="shared" si="4"/>
        <v>9.1925490908357048</v>
      </c>
      <c r="L26" s="19"/>
    </row>
    <row r="27" spans="1:12">
      <c r="A27" s="452">
        <v>1998</v>
      </c>
      <c r="B27" s="722">
        <f t="shared" si="5"/>
        <v>479008.80000000005</v>
      </c>
      <c r="C27" s="19">
        <f t="shared" si="6"/>
        <v>20068.2</v>
      </c>
      <c r="D27" s="19">
        <f t="shared" si="6"/>
        <v>15093.3</v>
      </c>
      <c r="E27" s="19">
        <f t="shared" si="6"/>
        <v>13829.4</v>
      </c>
      <c r="F27" s="701">
        <f t="shared" si="0"/>
        <v>23.869046551260205</v>
      </c>
      <c r="G27" s="701">
        <f t="shared" si="1"/>
        <v>34.636990758818172</v>
      </c>
      <c r="H27" s="701">
        <f t="shared" si="2"/>
        <v>75.21003378479385</v>
      </c>
      <c r="I27" s="701">
        <f t="shared" si="3"/>
        <v>68.912010045744012</v>
      </c>
      <c r="J27" s="692">
        <f t="shared" si="4"/>
        <v>8.3739142533441981</v>
      </c>
      <c r="L27" s="19"/>
    </row>
    <row r="28" spans="1:12">
      <c r="A28" s="452">
        <v>1999</v>
      </c>
      <c r="B28" s="722">
        <f t="shared" si="5"/>
        <v>495451.4</v>
      </c>
      <c r="C28" s="19">
        <f t="shared" si="6"/>
        <v>20276.2</v>
      </c>
      <c r="D28" s="19">
        <f t="shared" si="6"/>
        <v>15370.2</v>
      </c>
      <c r="E28" s="19">
        <f t="shared" si="6"/>
        <v>14194.6</v>
      </c>
      <c r="F28" s="701">
        <f t="shared" si="0"/>
        <v>24.435120979276196</v>
      </c>
      <c r="G28" s="701">
        <f t="shared" si="1"/>
        <v>34.904217096642384</v>
      </c>
      <c r="H28" s="701">
        <f t="shared" si="2"/>
        <v>75.804144760852623</v>
      </c>
      <c r="I28" s="701">
        <f t="shared" si="3"/>
        <v>70.006214182144575</v>
      </c>
      <c r="J28" s="692">
        <f t="shared" si="4"/>
        <v>7.6485667070044654</v>
      </c>
      <c r="L28" s="19"/>
    </row>
    <row r="29" spans="1:12">
      <c r="A29" s="452">
        <v>2000</v>
      </c>
      <c r="B29" s="722">
        <f t="shared" si="5"/>
        <v>511872.5</v>
      </c>
      <c r="C29" s="19">
        <f t="shared" si="6"/>
        <v>20524.099999999999</v>
      </c>
      <c r="D29" s="19">
        <f t="shared" si="6"/>
        <v>15631.9</v>
      </c>
      <c r="E29" s="19">
        <f t="shared" si="6"/>
        <v>14554.8</v>
      </c>
      <c r="F29" s="701">
        <f t="shared" si="0"/>
        <v>24.94007045375924</v>
      </c>
      <c r="G29" s="701">
        <f t="shared" si="1"/>
        <v>35.168638524747848</v>
      </c>
      <c r="H29" s="701">
        <f t="shared" si="2"/>
        <v>76.163632022841441</v>
      </c>
      <c r="I29" s="701">
        <f t="shared" si="3"/>
        <v>70.915655254067161</v>
      </c>
      <c r="J29" s="692">
        <f t="shared" si="4"/>
        <v>6.8903972005962197</v>
      </c>
      <c r="L29" s="19"/>
    </row>
    <row r="30" spans="1:12">
      <c r="A30" s="452">
        <v>2001</v>
      </c>
      <c r="B30" s="722">
        <f t="shared" si="5"/>
        <v>507930.8</v>
      </c>
      <c r="C30" s="19">
        <f t="shared" si="6"/>
        <v>20810.599999999999</v>
      </c>
      <c r="D30" s="19">
        <f t="shared" si="6"/>
        <v>15889.5</v>
      </c>
      <c r="E30" s="19">
        <f t="shared" si="6"/>
        <v>14733.3</v>
      </c>
      <c r="F30" s="701">
        <f t="shared" si="0"/>
        <v>24.407311658481735</v>
      </c>
      <c r="G30" s="701">
        <f t="shared" si="1"/>
        <v>34.475019174251528</v>
      </c>
      <c r="H30" s="701">
        <f t="shared" si="2"/>
        <v>76.352916302269037</v>
      </c>
      <c r="I30" s="701">
        <f t="shared" si="3"/>
        <v>70.797093788742288</v>
      </c>
      <c r="J30" s="692">
        <f t="shared" si="4"/>
        <v>7.276503351269711</v>
      </c>
      <c r="L30" s="19"/>
    </row>
    <row r="31" spans="1:12">
      <c r="A31" s="452">
        <v>2002</v>
      </c>
      <c r="B31" s="722">
        <f t="shared" si="5"/>
        <v>516120.60000000003</v>
      </c>
      <c r="C31" s="19">
        <f t="shared" si="6"/>
        <v>21098.3</v>
      </c>
      <c r="D31" s="19">
        <f t="shared" si="6"/>
        <v>16332.9</v>
      </c>
      <c r="E31" s="19">
        <f t="shared" si="6"/>
        <v>15071.8</v>
      </c>
      <c r="F31" s="701">
        <f t="shared" si="0"/>
        <v>24.462662868572352</v>
      </c>
      <c r="G31" s="701">
        <f t="shared" si="1"/>
        <v>34.24412478934169</v>
      </c>
      <c r="H31" s="701">
        <f t="shared" si="2"/>
        <v>77.413346098974799</v>
      </c>
      <c r="I31" s="701">
        <f t="shared" si="3"/>
        <v>71.436087267694546</v>
      </c>
      <c r="J31" s="692">
        <f t="shared" si="4"/>
        <v>7.7212252569966164</v>
      </c>
      <c r="L31" s="19"/>
    </row>
    <row r="32" spans="1:12">
      <c r="A32" s="452">
        <v>2003</v>
      </c>
      <c r="B32" s="722">
        <f t="shared" si="5"/>
        <v>518375.2</v>
      </c>
      <c r="C32" s="19">
        <f t="shared" si="6"/>
        <v>21336.7</v>
      </c>
      <c r="D32" s="19">
        <f t="shared" si="6"/>
        <v>16677.099999999999</v>
      </c>
      <c r="E32" s="19">
        <f t="shared" si="6"/>
        <v>15400.5</v>
      </c>
      <c r="F32" s="701">
        <f t="shared" si="0"/>
        <v>24.295003444768874</v>
      </c>
      <c r="G32" s="701">
        <f t="shared" si="1"/>
        <v>33.659634427453653</v>
      </c>
      <c r="H32" s="701">
        <f t="shared" si="2"/>
        <v>78.161571377017054</v>
      </c>
      <c r="I32" s="701">
        <f t="shared" si="3"/>
        <v>72.178453087872057</v>
      </c>
      <c r="J32" s="692">
        <f t="shared" si="4"/>
        <v>7.6548080901355675</v>
      </c>
      <c r="L32" s="19"/>
    </row>
    <row r="33" spans="1:12">
      <c r="A33" s="452">
        <v>2004</v>
      </c>
      <c r="B33" s="722">
        <f t="shared" si="5"/>
        <v>532597</v>
      </c>
      <c r="C33" s="19">
        <f t="shared" si="6"/>
        <v>21599</v>
      </c>
      <c r="D33" s="19">
        <f t="shared" si="6"/>
        <v>16886.7</v>
      </c>
      <c r="E33" s="19">
        <f t="shared" si="6"/>
        <v>15660.9</v>
      </c>
      <c r="F33" s="701">
        <f t="shared" si="0"/>
        <v>24.65841011157924</v>
      </c>
      <c r="G33" s="701">
        <f t="shared" si="1"/>
        <v>34.008071055941869</v>
      </c>
      <c r="H33" s="701">
        <f t="shared" si="2"/>
        <v>78.182786240103709</v>
      </c>
      <c r="I33" s="701">
        <f t="shared" si="3"/>
        <v>72.507523496458177</v>
      </c>
      <c r="J33" s="692">
        <f t="shared" si="4"/>
        <v>7.2589671161328209</v>
      </c>
      <c r="L33" s="19"/>
    </row>
    <row r="34" spans="1:12">
      <c r="A34" s="452">
        <v>2005</v>
      </c>
      <c r="B34" s="722">
        <f t="shared" si="5"/>
        <v>543751.5</v>
      </c>
      <c r="C34" s="19">
        <f t="shared" si="6"/>
        <v>21881.599999999999</v>
      </c>
      <c r="D34" s="19">
        <f t="shared" si="6"/>
        <v>17024.099999999999</v>
      </c>
      <c r="E34" s="19">
        <f t="shared" si="6"/>
        <v>15862.1</v>
      </c>
      <c r="F34" s="702">
        <f t="shared" si="0"/>
        <v>24.849713914887396</v>
      </c>
      <c r="G34" s="702">
        <f t="shared" si="1"/>
        <v>34.279918800158867</v>
      </c>
      <c r="H34" s="702">
        <f t="shared" si="2"/>
        <v>77.800983474700203</v>
      </c>
      <c r="I34" s="702">
        <f t="shared" si="3"/>
        <v>72.490585697572399</v>
      </c>
      <c r="J34" s="692">
        <f t="shared" si="4"/>
        <v>6.8256178006473069</v>
      </c>
      <c r="L34" s="19"/>
    </row>
    <row r="35" spans="1:12" s="703" customFormat="1">
      <c r="A35" s="452">
        <v>2006</v>
      </c>
      <c r="B35" s="722">
        <f t="shared" si="5"/>
        <v>550271</v>
      </c>
      <c r="C35" s="19">
        <f t="shared" si="6"/>
        <v>22168.400000000001</v>
      </c>
      <c r="D35" s="19">
        <f t="shared" si="6"/>
        <v>17261</v>
      </c>
      <c r="E35" s="19">
        <f t="shared" si="6"/>
        <v>16167.2</v>
      </c>
      <c r="F35" s="702">
        <f>B35/C35</f>
        <v>24.822314646072787</v>
      </c>
      <c r="G35" s="702">
        <f>B35/E35</f>
        <v>34.036258597654509</v>
      </c>
      <c r="H35" s="702">
        <f>D35/C35*100</f>
        <v>77.863084390393539</v>
      </c>
      <c r="I35" s="702">
        <f>E35/C35*100</f>
        <v>72.929034120640196</v>
      </c>
      <c r="J35" s="692">
        <f>(D35-E35)/D35*100</f>
        <v>6.3368286889519689</v>
      </c>
    </row>
    <row r="36" spans="1:12" s="703" customFormat="1">
      <c r="A36" s="452">
        <v>2007</v>
      </c>
      <c r="B36" s="722">
        <f t="shared" si="5"/>
        <v>563895.9</v>
      </c>
      <c r="C36" s="19">
        <f t="shared" si="6"/>
        <v>22432.6</v>
      </c>
      <c r="D36" s="19">
        <f t="shared" si="6"/>
        <v>17579.5</v>
      </c>
      <c r="E36" s="19">
        <f t="shared" si="6"/>
        <v>16513</v>
      </c>
      <c r="F36" s="702">
        <f>B36/C36</f>
        <v>25.13734029938572</v>
      </c>
      <c r="G36" s="702">
        <f>B36/E36</f>
        <v>34.148604130079335</v>
      </c>
      <c r="H36" s="702">
        <f>D36/C36*100</f>
        <v>78.365860399597025</v>
      </c>
      <c r="I36" s="702">
        <f>E36/C36*100</f>
        <v>73.611618804775205</v>
      </c>
      <c r="J36" s="692">
        <f>(D36-E36)/D36*100</f>
        <v>6.0667254472539041</v>
      </c>
    </row>
    <row r="37" spans="1:12" s="703" customFormat="1">
      <c r="A37" s="452">
        <v>2008</v>
      </c>
      <c r="B37" s="722">
        <f t="shared" si="5"/>
        <v>565609.9</v>
      </c>
      <c r="C37" s="453">
        <v>22681.5</v>
      </c>
      <c r="D37" s="453">
        <v>17816.5</v>
      </c>
      <c r="E37" s="453">
        <v>16709.3</v>
      </c>
      <c r="F37" s="702">
        <f>B37/C37</f>
        <v>24.937058836496707</v>
      </c>
      <c r="G37" s="702">
        <f>B37/E37</f>
        <v>33.850005685456608</v>
      </c>
      <c r="H37" s="702">
        <f>D37/C37*100</f>
        <v>78.55080131384608</v>
      </c>
      <c r="I37" s="702">
        <f>E37/C37*100</f>
        <v>73.669289949959222</v>
      </c>
      <c r="J37" s="692">
        <f>(D37-E37)/D37*100</f>
        <v>6.214464120337893</v>
      </c>
    </row>
    <row r="38" spans="1:12">
      <c r="A38" s="452"/>
      <c r="B38" s="722"/>
      <c r="C38" s="704" t="s">
        <v>427</v>
      </c>
      <c r="D38" s="704"/>
      <c r="E38" s="454"/>
      <c r="F38" s="705"/>
      <c r="G38" s="705" t="s">
        <v>897</v>
      </c>
      <c r="H38" s="705"/>
      <c r="I38" s="705"/>
      <c r="J38" s="704"/>
    </row>
    <row r="39" spans="1:12">
      <c r="A39" s="454" t="s">
        <v>1716</v>
      </c>
      <c r="B39" s="706">
        <f>(POWER(B37/B5, 1/32)-1)*100</f>
        <v>1.6139416347980884</v>
      </c>
      <c r="C39" s="706">
        <f>(POWER(C37/C5, 1/32)-1)*100</f>
        <v>1.2613778490478067</v>
      </c>
      <c r="D39" s="706">
        <f>(POWER(D37/D5, 1/32)-1)*100</f>
        <v>1.7212670908500982</v>
      </c>
      <c r="E39" s="707">
        <f>(POWER(E37/E5, 1/32)-1)*100</f>
        <v>1.7538964067157936</v>
      </c>
      <c r="F39" s="708">
        <f>F37-F5</f>
        <v>2.6248621406601629</v>
      </c>
      <c r="G39" s="708">
        <f>G37-G5</f>
        <v>-1.5242048353647561</v>
      </c>
      <c r="H39" s="708">
        <f>H37-H5</f>
        <v>10.60276715282572</v>
      </c>
      <c r="I39" s="708">
        <f>I37-I5</f>
        <v>10.594534733292221</v>
      </c>
      <c r="J39" s="708">
        <f>J37-J5</f>
        <v>-0.95760348180181065</v>
      </c>
    </row>
    <row r="40" spans="1:12">
      <c r="A40" s="454" t="s">
        <v>1707</v>
      </c>
      <c r="B40" s="706">
        <f>(POWER(B37/B10, 1/27)-1)*100</f>
        <v>1.4271286171466668</v>
      </c>
      <c r="C40" s="706">
        <f>(POWER(C37/C10, 1/27)-1)*100</f>
        <v>1.1576658547617358</v>
      </c>
      <c r="D40" s="706">
        <f>(POWER(D37/D10, 1/27)-1)*100</f>
        <v>1.4542989577942533</v>
      </c>
      <c r="E40" s="707">
        <f>(POWER(E37/E10, 1/27)-1)*100</f>
        <v>1.5138765092282069</v>
      </c>
      <c r="F40" s="708">
        <f>F37-F10</f>
        <v>1.7283334713356027</v>
      </c>
      <c r="G40" s="708">
        <f>G37-G10</f>
        <v>-0.79043033469226032</v>
      </c>
      <c r="H40" s="708">
        <f>H37-H10</f>
        <v>5.970971200989041</v>
      </c>
      <c r="I40" s="708">
        <f>I37-I10</f>
        <v>6.6703487366858809</v>
      </c>
      <c r="J40" s="708">
        <f>J37-J10</f>
        <v>-1.4748469333057566</v>
      </c>
    </row>
    <row r="41" spans="1:12">
      <c r="E41" s="492">
        <f>100*(E35/E10 -1)</f>
        <v>45.165258460460976</v>
      </c>
      <c r="F41" s="492">
        <f>100*(F35/F10 -1)</f>
        <v>6.9525114176837155</v>
      </c>
      <c r="G41" s="492">
        <f>100*(G35/G10 -1)</f>
        <v>-1.7441391965820952</v>
      </c>
      <c r="H41" s="492">
        <f>100*(H35/H10 -1)</f>
        <v>7.2792320804848654</v>
      </c>
      <c r="I41" s="492">
        <f>100*(I35/I10 -1)</f>
        <v>8.851024807227903</v>
      </c>
    </row>
    <row r="42" spans="1:12">
      <c r="A42" s="449" t="s">
        <v>898</v>
      </c>
    </row>
    <row r="43" spans="1:12">
      <c r="A43" s="449" t="s">
        <v>1717</v>
      </c>
    </row>
    <row r="44" spans="1:12">
      <c r="F44" s="449">
        <f>100*(F36/F10-1)</f>
        <v>8.3098701194494815</v>
      </c>
    </row>
    <row r="46" spans="1:12">
      <c r="F46" s="975">
        <f>F37-F5</f>
        <v>2.6248621406601629</v>
      </c>
    </row>
    <row r="47" spans="1:12">
      <c r="F47" s="449">
        <f>100*(F46/F5)</f>
        <v>11.76424794224749</v>
      </c>
    </row>
    <row r="49" spans="1:7" ht="15">
      <c r="A49" s="918" t="s">
        <v>163</v>
      </c>
      <c r="B49" s="919" t="s">
        <v>1419</v>
      </c>
      <c r="C49" s="919" t="s">
        <v>1420</v>
      </c>
      <c r="D49" s="919" t="s">
        <v>1421</v>
      </c>
      <c r="E49" s="919" t="s">
        <v>1422</v>
      </c>
      <c r="F49" s="919" t="s">
        <v>1423</v>
      </c>
      <c r="G49" s="919" t="s">
        <v>1424</v>
      </c>
    </row>
    <row r="50" spans="1:7" ht="15">
      <c r="A50" s="918">
        <v>1976</v>
      </c>
      <c r="B50" s="919">
        <v>82197.399999999994</v>
      </c>
      <c r="C50" s="919">
        <v>222021.1</v>
      </c>
      <c r="D50" s="919">
        <v>34634.6</v>
      </c>
      <c r="E50" s="919">
        <v>15186.9</v>
      </c>
      <c r="F50" s="919">
        <v>10319.200000000001</v>
      </c>
      <c r="G50" s="919">
        <v>9579.1</v>
      </c>
    </row>
    <row r="51" spans="1:7" ht="15">
      <c r="A51" s="918">
        <v>1977</v>
      </c>
      <c r="B51" s="919">
        <v>83491</v>
      </c>
      <c r="C51" s="919">
        <v>226574.8</v>
      </c>
      <c r="D51" s="919">
        <v>34848.400000000001</v>
      </c>
      <c r="E51" s="919">
        <v>15501.8</v>
      </c>
      <c r="F51" s="919">
        <v>10620.3</v>
      </c>
      <c r="G51" s="919">
        <v>9755.7999999999993</v>
      </c>
    </row>
    <row r="52" spans="1:7" ht="15">
      <c r="A52" s="918">
        <v>1978</v>
      </c>
      <c r="B52" s="919">
        <v>86103.2</v>
      </c>
      <c r="C52" s="919">
        <v>237493</v>
      </c>
      <c r="D52" s="919">
        <v>35422.1</v>
      </c>
      <c r="E52" s="919">
        <v>15786.1</v>
      </c>
      <c r="F52" s="919">
        <v>10988.5</v>
      </c>
      <c r="G52" s="919">
        <v>10057.299999999999</v>
      </c>
    </row>
    <row r="53" spans="1:7" ht="15">
      <c r="A53" s="918">
        <v>1979</v>
      </c>
      <c r="B53" s="919">
        <v>90907.6</v>
      </c>
      <c r="C53" s="919">
        <v>247504.3</v>
      </c>
      <c r="D53" s="919">
        <v>36917.199999999997</v>
      </c>
      <c r="E53" s="919">
        <v>16059.6</v>
      </c>
      <c r="F53" s="919">
        <v>11366</v>
      </c>
      <c r="G53" s="919">
        <v>10501.2</v>
      </c>
    </row>
    <row r="54" spans="1:7" ht="15">
      <c r="A54" s="918">
        <v>1980</v>
      </c>
      <c r="B54" s="919">
        <v>91406.399999999994</v>
      </c>
      <c r="C54" s="919">
        <v>252208.9</v>
      </c>
      <c r="D54" s="919">
        <v>36840.1</v>
      </c>
      <c r="E54" s="919">
        <v>16355.8</v>
      </c>
      <c r="F54" s="919">
        <v>11709.9</v>
      </c>
      <c r="G54" s="919">
        <v>10817.3</v>
      </c>
    </row>
    <row r="55" spans="1:7" ht="15">
      <c r="A55" s="918">
        <v>1981</v>
      </c>
      <c r="B55" s="919">
        <v>90324.6</v>
      </c>
      <c r="C55" s="919">
        <v>258623.5</v>
      </c>
      <c r="D55" s="919">
        <v>36845.9</v>
      </c>
      <c r="E55" s="919">
        <v>16622.8</v>
      </c>
      <c r="F55" s="919">
        <v>12064.8</v>
      </c>
      <c r="G55" s="919">
        <v>11137.1</v>
      </c>
    </row>
    <row r="56" spans="1:7" ht="15">
      <c r="A56" s="918">
        <v>1982</v>
      </c>
      <c r="B56" s="919">
        <v>79755.8</v>
      </c>
      <c r="C56" s="919">
        <v>255786.9</v>
      </c>
      <c r="D56" s="919">
        <v>36172</v>
      </c>
      <c r="E56" s="919">
        <v>16853.3</v>
      </c>
      <c r="F56" s="919">
        <v>12127.1</v>
      </c>
      <c r="G56" s="919">
        <v>10773.6</v>
      </c>
    </row>
    <row r="57" spans="1:7" ht="15">
      <c r="A57" s="918">
        <v>1983</v>
      </c>
      <c r="B57" s="919">
        <v>77124.800000000003</v>
      </c>
      <c r="C57" s="919">
        <v>262051.7</v>
      </c>
      <c r="D57" s="919">
        <v>35942.300000000003</v>
      </c>
      <c r="E57" s="919">
        <v>17052.5</v>
      </c>
      <c r="F57" s="919">
        <v>12358.6</v>
      </c>
      <c r="G57" s="919">
        <v>10856.7</v>
      </c>
    </row>
    <row r="58" spans="1:7" ht="15">
      <c r="A58" s="918">
        <v>1984</v>
      </c>
      <c r="B58" s="919">
        <v>77629.2</v>
      </c>
      <c r="C58" s="919">
        <v>271318.09999999998</v>
      </c>
      <c r="D58" s="919">
        <v>36397.699999999997</v>
      </c>
      <c r="E58" s="919">
        <v>17234.8</v>
      </c>
      <c r="F58" s="919">
        <v>12575.2</v>
      </c>
      <c r="G58" s="919">
        <v>11132.6</v>
      </c>
    </row>
    <row r="59" spans="1:7" ht="15">
      <c r="A59" s="918">
        <v>1985</v>
      </c>
      <c r="B59" s="919">
        <v>78095.8</v>
      </c>
      <c r="C59" s="919">
        <v>284260.7</v>
      </c>
      <c r="D59" s="919">
        <v>37278.1</v>
      </c>
      <c r="E59" s="919">
        <v>17402</v>
      </c>
      <c r="F59" s="919">
        <v>12832.6</v>
      </c>
      <c r="G59" s="919">
        <v>11451</v>
      </c>
    </row>
    <row r="60" spans="1:7" ht="15">
      <c r="A60" s="918">
        <v>1986</v>
      </c>
      <c r="B60" s="919">
        <v>78575.5</v>
      </c>
      <c r="C60" s="919">
        <v>296397.3</v>
      </c>
      <c r="D60" s="919">
        <v>37020.6</v>
      </c>
      <c r="E60" s="919">
        <v>17570.3</v>
      </c>
      <c r="F60" s="919">
        <v>13103.9</v>
      </c>
      <c r="G60" s="919">
        <v>11822.5</v>
      </c>
    </row>
    <row r="61" spans="1:7" ht="15">
      <c r="A61" s="918">
        <v>1987</v>
      </c>
      <c r="B61" s="919">
        <v>78711.3</v>
      </c>
      <c r="C61" s="919">
        <v>306777.59999999998</v>
      </c>
      <c r="D61" s="919">
        <v>36847.300000000003</v>
      </c>
      <c r="E61" s="919">
        <v>17731.8</v>
      </c>
      <c r="F61" s="919">
        <v>13350.5</v>
      </c>
      <c r="G61" s="919">
        <v>12162.3</v>
      </c>
    </row>
    <row r="62" spans="1:7" ht="15">
      <c r="A62" s="918">
        <v>1988</v>
      </c>
      <c r="B62" s="919">
        <v>78165.7</v>
      </c>
      <c r="C62" s="919">
        <v>326242.09999999998</v>
      </c>
      <c r="D62" s="919">
        <v>38308.800000000003</v>
      </c>
      <c r="E62" s="919">
        <v>17911.400000000001</v>
      </c>
      <c r="F62" s="919">
        <v>13600.7</v>
      </c>
      <c r="G62" s="919">
        <v>12535</v>
      </c>
    </row>
    <row r="63" spans="1:7" ht="15">
      <c r="A63" s="918">
        <v>1989</v>
      </c>
      <c r="B63" s="919">
        <v>77490.600000000006</v>
      </c>
      <c r="C63" s="919">
        <v>342658.9</v>
      </c>
      <c r="D63" s="919">
        <v>38504.5</v>
      </c>
      <c r="E63" s="919">
        <v>18109</v>
      </c>
      <c r="F63" s="919">
        <v>13870</v>
      </c>
      <c r="G63" s="919">
        <v>12812.8</v>
      </c>
    </row>
    <row r="64" spans="1:7" ht="15">
      <c r="A64" s="918">
        <v>1990</v>
      </c>
      <c r="B64" s="919">
        <v>71860.100000000006</v>
      </c>
      <c r="C64" s="919">
        <v>344749.9</v>
      </c>
      <c r="D64" s="919">
        <v>38250.800000000003</v>
      </c>
      <c r="E64" s="919">
        <v>18334.5</v>
      </c>
      <c r="F64" s="919">
        <v>14052.2</v>
      </c>
      <c r="G64" s="919">
        <v>12897</v>
      </c>
    </row>
    <row r="65" spans="1:7" ht="15">
      <c r="A65" s="918">
        <v>1991</v>
      </c>
      <c r="B65" s="919">
        <v>63344.6</v>
      </c>
      <c r="C65" s="919">
        <v>337959.7</v>
      </c>
      <c r="D65" s="919">
        <v>36767.199999999997</v>
      </c>
      <c r="E65" s="919">
        <v>18556.8</v>
      </c>
      <c r="F65" s="919">
        <v>14137.3</v>
      </c>
      <c r="G65" s="919">
        <v>12666.1</v>
      </c>
    </row>
    <row r="66" spans="1:7" ht="15">
      <c r="A66" s="918">
        <v>1992</v>
      </c>
      <c r="B66" s="919">
        <v>58633.1</v>
      </c>
      <c r="C66" s="919">
        <v>332582.59999999998</v>
      </c>
      <c r="D66" s="919">
        <v>35450</v>
      </c>
      <c r="E66" s="919">
        <v>18772.2</v>
      </c>
      <c r="F66" s="919">
        <v>14138</v>
      </c>
      <c r="G66" s="919">
        <v>12542.4</v>
      </c>
    </row>
    <row r="67" spans="1:7" ht="15">
      <c r="A67" s="918">
        <v>1993</v>
      </c>
      <c r="B67" s="919">
        <v>57022.8</v>
      </c>
      <c r="C67" s="919">
        <v>342032.8</v>
      </c>
      <c r="D67" s="919">
        <v>35757.4</v>
      </c>
      <c r="E67" s="919">
        <v>18973.3</v>
      </c>
      <c r="F67" s="919">
        <v>14241.5</v>
      </c>
      <c r="G67" s="919">
        <v>12609.5</v>
      </c>
    </row>
    <row r="68" spans="1:7" ht="15">
      <c r="A68" s="918">
        <v>1994</v>
      </c>
      <c r="B68" s="919">
        <v>58043.4</v>
      </c>
      <c r="C68" s="919">
        <v>354222.2</v>
      </c>
      <c r="D68" s="919">
        <v>36734.199999999997</v>
      </c>
      <c r="E68" s="919">
        <v>19182</v>
      </c>
      <c r="F68" s="919">
        <v>14364.3</v>
      </c>
      <c r="G68" s="919">
        <v>12860</v>
      </c>
    </row>
    <row r="69" spans="1:7" ht="15">
      <c r="A69" s="918">
        <v>1995</v>
      </c>
      <c r="B69" s="919">
        <v>57937.7</v>
      </c>
      <c r="C69" s="919">
        <v>359958.6</v>
      </c>
      <c r="D69" s="919">
        <v>36476.9</v>
      </c>
      <c r="E69" s="919">
        <v>19405.8</v>
      </c>
      <c r="F69" s="919">
        <v>14487.6</v>
      </c>
      <c r="G69" s="919">
        <v>13102.3</v>
      </c>
    </row>
    <row r="70" spans="1:7" ht="15">
      <c r="A70" s="918">
        <v>1996</v>
      </c>
      <c r="B70" s="919">
        <v>57053.3</v>
      </c>
      <c r="C70" s="919">
        <v>367385.59999999998</v>
      </c>
      <c r="D70" s="919">
        <v>37559.4</v>
      </c>
      <c r="E70" s="919">
        <v>19644.400000000001</v>
      </c>
      <c r="F70" s="919">
        <v>14649.6</v>
      </c>
      <c r="G70" s="919">
        <v>13225.3</v>
      </c>
    </row>
    <row r="71" spans="1:7" ht="15">
      <c r="A71" s="918">
        <v>1997</v>
      </c>
      <c r="B71" s="919">
        <v>56564.6</v>
      </c>
      <c r="C71" s="919">
        <v>375962.6</v>
      </c>
      <c r="D71" s="919">
        <v>39330.6</v>
      </c>
      <c r="E71" s="919">
        <v>19864.3</v>
      </c>
      <c r="F71" s="919">
        <v>14865.3</v>
      </c>
      <c r="G71" s="919">
        <v>13498.8</v>
      </c>
    </row>
    <row r="72" spans="1:7" ht="15">
      <c r="A72" s="918">
        <v>1998</v>
      </c>
      <c r="B72" s="919">
        <v>57923</v>
      </c>
      <c r="C72" s="919">
        <v>380992.9</v>
      </c>
      <c r="D72" s="919">
        <v>40092.9</v>
      </c>
      <c r="E72" s="919">
        <v>20068.2</v>
      </c>
      <c r="F72" s="919">
        <v>15093.3</v>
      </c>
      <c r="G72" s="919">
        <v>13829.4</v>
      </c>
    </row>
    <row r="73" spans="1:7" ht="15">
      <c r="A73" s="918">
        <v>1999</v>
      </c>
      <c r="B73" s="919">
        <v>61438</v>
      </c>
      <c r="C73" s="919">
        <v>390528.7</v>
      </c>
      <c r="D73" s="919">
        <v>43484.7</v>
      </c>
      <c r="E73" s="919">
        <v>20276.2</v>
      </c>
      <c r="F73" s="919">
        <v>15370.2</v>
      </c>
      <c r="G73" s="919">
        <v>14194.6</v>
      </c>
    </row>
    <row r="74" spans="1:7" ht="15">
      <c r="A74" s="918">
        <v>2000</v>
      </c>
      <c r="B74" s="919">
        <v>64781.2</v>
      </c>
      <c r="C74" s="919">
        <v>400642</v>
      </c>
      <c r="D74" s="919">
        <v>46449.3</v>
      </c>
      <c r="E74" s="919">
        <v>20524.099999999999</v>
      </c>
      <c r="F74" s="919">
        <v>15631.9</v>
      </c>
      <c r="G74" s="919">
        <v>14554.8</v>
      </c>
    </row>
    <row r="75" spans="1:7" ht="15">
      <c r="A75" s="918">
        <v>2001</v>
      </c>
      <c r="B75" s="919">
        <v>64860.5</v>
      </c>
      <c r="C75" s="919">
        <v>395509.2</v>
      </c>
      <c r="D75" s="919">
        <v>47561.1</v>
      </c>
      <c r="E75" s="919">
        <v>20810.599999999999</v>
      </c>
      <c r="F75" s="919">
        <v>15889.5</v>
      </c>
      <c r="G75" s="919">
        <v>14733.3</v>
      </c>
    </row>
    <row r="76" spans="1:7" ht="15">
      <c r="A76" s="918">
        <v>2002</v>
      </c>
      <c r="B76" s="919">
        <v>65926.600000000006</v>
      </c>
      <c r="C76" s="919">
        <v>398714.7</v>
      </c>
      <c r="D76" s="919">
        <v>51479.3</v>
      </c>
      <c r="E76" s="919">
        <v>21098.3</v>
      </c>
      <c r="F76" s="919">
        <v>16332.9</v>
      </c>
      <c r="G76" s="919">
        <v>15071.8</v>
      </c>
    </row>
    <row r="77" spans="1:7" ht="15">
      <c r="A77" s="918">
        <v>2003</v>
      </c>
      <c r="B77" s="919">
        <v>66343.600000000006</v>
      </c>
      <c r="C77" s="919">
        <v>395822.9</v>
      </c>
      <c r="D77" s="919">
        <v>56208.7</v>
      </c>
      <c r="E77" s="919">
        <v>21336.7</v>
      </c>
      <c r="F77" s="919">
        <v>16677.099999999999</v>
      </c>
      <c r="G77" s="919">
        <v>15400.5</v>
      </c>
    </row>
    <row r="78" spans="1:7" ht="15">
      <c r="A78" s="918">
        <v>2004</v>
      </c>
      <c r="B78" s="919">
        <v>67639.3</v>
      </c>
      <c r="C78" s="919">
        <v>404630</v>
      </c>
      <c r="D78" s="919">
        <v>60327.7</v>
      </c>
      <c r="E78" s="919">
        <v>21599</v>
      </c>
      <c r="F78" s="919">
        <v>16886.7</v>
      </c>
      <c r="G78" s="919">
        <v>15660.9</v>
      </c>
    </row>
    <row r="79" spans="1:7" ht="15">
      <c r="A79" s="918">
        <v>2005</v>
      </c>
      <c r="B79" s="919">
        <v>68349.399999999994</v>
      </c>
      <c r="C79" s="919">
        <v>410694.40000000002</v>
      </c>
      <c r="D79" s="919">
        <v>64707.7</v>
      </c>
      <c r="E79" s="919">
        <v>21881.599999999999</v>
      </c>
      <c r="F79" s="919">
        <v>17024.099999999999</v>
      </c>
      <c r="G79" s="919">
        <v>15862.1</v>
      </c>
    </row>
    <row r="80" spans="1:7" ht="15">
      <c r="A80" s="918">
        <v>2006</v>
      </c>
      <c r="B80" s="919">
        <v>70064.5</v>
      </c>
      <c r="C80" s="919">
        <v>412582.9</v>
      </c>
      <c r="D80" s="919">
        <v>67623.600000000006</v>
      </c>
      <c r="E80" s="919">
        <v>22168.400000000001</v>
      </c>
      <c r="F80" s="919">
        <v>17261</v>
      </c>
      <c r="G80" s="919">
        <v>16167.2</v>
      </c>
    </row>
    <row r="81" spans="1:7" ht="15">
      <c r="A81" s="918">
        <v>2007</v>
      </c>
      <c r="B81" s="919">
        <v>70975.100000000006</v>
      </c>
      <c r="C81" s="919">
        <v>420372.3</v>
      </c>
      <c r="D81" s="919">
        <v>72548.5</v>
      </c>
      <c r="E81" s="919">
        <v>22432.6</v>
      </c>
      <c r="F81" s="919">
        <v>17579.5</v>
      </c>
      <c r="G81" s="919">
        <v>16513</v>
      </c>
    </row>
    <row r="82" spans="1:7">
      <c r="A82" s="449">
        <v>2008</v>
      </c>
      <c r="B82" s="449">
        <v>70584.100000000006</v>
      </c>
      <c r="C82" s="1">
        <v>420216.3</v>
      </c>
      <c r="D82" s="449">
        <v>74809.5</v>
      </c>
    </row>
  </sheetData>
  <phoneticPr fontId="36" type="noConversion"/>
  <pageMargins left="0.75" right="0.75" top="1" bottom="1" header="0.5" footer="0.5"/>
  <pageSetup scale="85" orientation="portrait" r:id="rId1"/>
  <headerFooter alignWithMargins="0"/>
</worksheet>
</file>

<file path=xl/worksheets/sheet186.xml><?xml version="1.0" encoding="utf-8"?>
<worksheet xmlns="http://schemas.openxmlformats.org/spreadsheetml/2006/main" xmlns:r="http://schemas.openxmlformats.org/officeDocument/2006/relationships">
  <sheetPr codeName="Sheet146">
    <pageSetUpPr fitToPage="1"/>
  </sheetPr>
  <dimension ref="A1:J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2230</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5777.2</v>
      </c>
      <c r="C5" s="232">
        <f t="shared" ref="C5:E36" si="0">E46</f>
        <v>335.5</v>
      </c>
      <c r="D5" s="232">
        <f t="shared" si="0"/>
        <v>181.9</v>
      </c>
      <c r="E5" s="232">
        <f t="shared" si="0"/>
        <v>157.4</v>
      </c>
      <c r="F5" s="701">
        <f t="shared" ref="F5:F34" si="1">B5/C5</f>
        <v>17.21967213114754</v>
      </c>
      <c r="G5" s="701">
        <f t="shared" ref="G5:G34" si="2">B5/E5</f>
        <v>36.703939008894537</v>
      </c>
      <c r="H5" s="701">
        <f t="shared" ref="H5:H34" si="3">D5/C5*100</f>
        <v>54.217585692995527</v>
      </c>
      <c r="I5" s="701">
        <f t="shared" ref="I5:I34" si="4">E5/C5*100</f>
        <v>46.915052160953799</v>
      </c>
      <c r="J5" s="692">
        <f t="shared" ref="J5:J34" si="5">(D5-E5)/D5*100</f>
        <v>13.468938977460143</v>
      </c>
    </row>
    <row r="6" spans="1:10">
      <c r="A6" s="452">
        <v>1977</v>
      </c>
      <c r="B6" s="19">
        <f t="shared" ref="B6:B36" si="6">SUM(B47:D47)</f>
        <v>5844.3</v>
      </c>
      <c r="C6" s="232">
        <f t="shared" si="0"/>
        <v>340</v>
      </c>
      <c r="D6" s="232">
        <f t="shared" si="0"/>
        <v>189</v>
      </c>
      <c r="E6" s="232">
        <f t="shared" si="0"/>
        <v>159.6</v>
      </c>
      <c r="F6" s="701">
        <f t="shared" si="1"/>
        <v>17.189117647058826</v>
      </c>
      <c r="G6" s="701">
        <f t="shared" si="2"/>
        <v>36.618421052631582</v>
      </c>
      <c r="H6" s="701">
        <f t="shared" si="3"/>
        <v>55.588235294117652</v>
      </c>
      <c r="I6" s="701">
        <f t="shared" si="4"/>
        <v>46.941176470588239</v>
      </c>
      <c r="J6" s="692">
        <f t="shared" si="5"/>
        <v>15.555555555555559</v>
      </c>
    </row>
    <row r="7" spans="1:10">
      <c r="A7" s="452">
        <v>1978</v>
      </c>
      <c r="B7" s="19">
        <f t="shared" si="6"/>
        <v>6030</v>
      </c>
      <c r="C7" s="232">
        <f t="shared" si="0"/>
        <v>344.5</v>
      </c>
      <c r="D7" s="232">
        <f t="shared" si="0"/>
        <v>196.4</v>
      </c>
      <c r="E7" s="232">
        <f t="shared" si="0"/>
        <v>165.1</v>
      </c>
      <c r="F7" s="701">
        <f t="shared" si="1"/>
        <v>17.503628447024674</v>
      </c>
      <c r="G7" s="701">
        <f t="shared" si="2"/>
        <v>36.523319200484558</v>
      </c>
      <c r="H7" s="701">
        <f t="shared" si="3"/>
        <v>57.010159651669092</v>
      </c>
      <c r="I7" s="701">
        <f t="shared" si="4"/>
        <v>47.924528301886795</v>
      </c>
      <c r="J7" s="692">
        <f t="shared" si="5"/>
        <v>15.936863543788194</v>
      </c>
    </row>
    <row r="8" spans="1:10">
      <c r="A8" s="452">
        <v>1979</v>
      </c>
      <c r="B8" s="19">
        <f t="shared" si="6"/>
        <v>6490.4</v>
      </c>
      <c r="C8" s="232">
        <f t="shared" si="0"/>
        <v>349.7</v>
      </c>
      <c r="D8" s="232">
        <f t="shared" si="0"/>
        <v>206.1</v>
      </c>
      <c r="E8" s="232">
        <f t="shared" si="0"/>
        <v>175.3</v>
      </c>
      <c r="F8" s="701">
        <f t="shared" si="1"/>
        <v>18.559908492993994</v>
      </c>
      <c r="G8" s="701">
        <f t="shared" si="2"/>
        <v>37.024529378208783</v>
      </c>
      <c r="H8" s="701">
        <f t="shared" si="3"/>
        <v>58.936231055190156</v>
      </c>
      <c r="I8" s="701">
        <f t="shared" si="4"/>
        <v>50.128681727194746</v>
      </c>
      <c r="J8" s="692">
        <f t="shared" si="5"/>
        <v>14.944201843765153</v>
      </c>
    </row>
    <row r="9" spans="1:10">
      <c r="A9" s="452">
        <v>1980</v>
      </c>
      <c r="B9" s="19">
        <f t="shared" si="6"/>
        <v>6420.5</v>
      </c>
      <c r="C9" s="232">
        <f t="shared" si="0"/>
        <v>355.4</v>
      </c>
      <c r="D9" s="232">
        <f t="shared" si="0"/>
        <v>209.4</v>
      </c>
      <c r="E9" s="232">
        <f t="shared" si="0"/>
        <v>181.5</v>
      </c>
      <c r="F9" s="701">
        <f t="shared" si="1"/>
        <v>18.065559932470457</v>
      </c>
      <c r="G9" s="701">
        <f t="shared" si="2"/>
        <v>35.374655647382923</v>
      </c>
      <c r="H9" s="701">
        <f t="shared" si="3"/>
        <v>58.919527293190775</v>
      </c>
      <c r="I9" s="701">
        <f t="shared" si="4"/>
        <v>51.069217782779972</v>
      </c>
      <c r="J9" s="692">
        <f t="shared" si="5"/>
        <v>13.323782234957021</v>
      </c>
    </row>
    <row r="10" spans="1:10">
      <c r="A10" s="452">
        <v>1981</v>
      </c>
      <c r="B10" s="19">
        <f t="shared" si="6"/>
        <v>6497.6999999999989</v>
      </c>
      <c r="C10" s="232">
        <f t="shared" si="0"/>
        <v>360.3</v>
      </c>
      <c r="D10" s="232">
        <f t="shared" si="0"/>
        <v>213.6</v>
      </c>
      <c r="E10" s="232">
        <f t="shared" si="0"/>
        <v>184.7</v>
      </c>
      <c r="F10" s="701">
        <f t="shared" si="1"/>
        <v>18.034138218151536</v>
      </c>
      <c r="G10" s="701">
        <f t="shared" si="2"/>
        <v>35.179750947482397</v>
      </c>
      <c r="H10" s="701">
        <f t="shared" si="3"/>
        <v>59.28393005828476</v>
      </c>
      <c r="I10" s="701">
        <f t="shared" si="4"/>
        <v>51.262836525117947</v>
      </c>
      <c r="J10" s="692">
        <f t="shared" si="5"/>
        <v>13.529962546816481</v>
      </c>
    </row>
    <row r="11" spans="1:10">
      <c r="A11" s="452">
        <v>1982</v>
      </c>
      <c r="B11" s="19">
        <f t="shared" si="6"/>
        <v>6312.5999999999995</v>
      </c>
      <c r="C11" s="232">
        <f t="shared" si="0"/>
        <v>363.8</v>
      </c>
      <c r="D11" s="232">
        <f t="shared" si="0"/>
        <v>214.6</v>
      </c>
      <c r="E11" s="232">
        <f t="shared" si="0"/>
        <v>179.6</v>
      </c>
      <c r="F11" s="701">
        <f t="shared" si="1"/>
        <v>17.351841671247936</v>
      </c>
      <c r="G11" s="701">
        <f t="shared" si="2"/>
        <v>35.148106904231625</v>
      </c>
      <c r="H11" s="701">
        <f t="shared" si="3"/>
        <v>58.988455195162167</v>
      </c>
      <c r="I11" s="701">
        <f t="shared" si="4"/>
        <v>49.367784496976356</v>
      </c>
      <c r="J11" s="692">
        <f t="shared" si="5"/>
        <v>16.309412861136998</v>
      </c>
    </row>
    <row r="12" spans="1:10">
      <c r="A12" s="452">
        <v>1983</v>
      </c>
      <c r="B12" s="19">
        <f t="shared" si="6"/>
        <v>6269.9</v>
      </c>
      <c r="C12" s="232">
        <f t="shared" si="0"/>
        <v>370.1</v>
      </c>
      <c r="D12" s="232">
        <f t="shared" si="0"/>
        <v>219.4</v>
      </c>
      <c r="E12" s="232">
        <f t="shared" si="0"/>
        <v>179.5</v>
      </c>
      <c r="F12" s="701">
        <f t="shared" si="1"/>
        <v>16.94109700081059</v>
      </c>
      <c r="G12" s="701">
        <f t="shared" si="2"/>
        <v>34.929805013927577</v>
      </c>
      <c r="H12" s="701">
        <f t="shared" si="3"/>
        <v>59.281275330991626</v>
      </c>
      <c r="I12" s="701">
        <f t="shared" si="4"/>
        <v>48.500405295865981</v>
      </c>
      <c r="J12" s="692">
        <f t="shared" si="5"/>
        <v>18.185961713764815</v>
      </c>
    </row>
    <row r="13" spans="1:10">
      <c r="A13" s="452">
        <v>1984</v>
      </c>
      <c r="B13" s="19">
        <f t="shared" si="6"/>
        <v>6187</v>
      </c>
      <c r="C13" s="232">
        <f t="shared" si="0"/>
        <v>373.7</v>
      </c>
      <c r="D13" s="232">
        <f t="shared" si="0"/>
        <v>222.7</v>
      </c>
      <c r="E13" s="232">
        <f t="shared" si="0"/>
        <v>177.6</v>
      </c>
      <c r="F13" s="701">
        <f t="shared" si="1"/>
        <v>16.556061011506557</v>
      </c>
      <c r="G13" s="701">
        <f t="shared" si="2"/>
        <v>34.836711711711715</v>
      </c>
      <c r="H13" s="701">
        <f t="shared" si="3"/>
        <v>59.593256622959586</v>
      </c>
      <c r="I13" s="701">
        <f t="shared" si="4"/>
        <v>47.524752475247524</v>
      </c>
      <c r="J13" s="692">
        <f t="shared" si="5"/>
        <v>20.251459362370902</v>
      </c>
    </row>
    <row r="14" spans="1:10">
      <c r="A14" s="452">
        <v>1985</v>
      </c>
      <c r="B14" s="19">
        <f t="shared" si="6"/>
        <v>6284.5</v>
      </c>
      <c r="C14" s="232">
        <f t="shared" si="0"/>
        <v>375.5</v>
      </c>
      <c r="D14" s="232">
        <f t="shared" si="0"/>
        <v>227</v>
      </c>
      <c r="E14" s="232">
        <f t="shared" si="0"/>
        <v>180.9</v>
      </c>
      <c r="F14" s="701">
        <f t="shared" si="1"/>
        <v>16.736351531291611</v>
      </c>
      <c r="G14" s="701">
        <f t="shared" si="2"/>
        <v>34.74018794914317</v>
      </c>
      <c r="H14" s="701">
        <f t="shared" si="3"/>
        <v>60.452729693741681</v>
      </c>
      <c r="I14" s="701">
        <f t="shared" si="4"/>
        <v>48.175765645805598</v>
      </c>
      <c r="J14" s="692">
        <f t="shared" si="5"/>
        <v>20.308370044052861</v>
      </c>
    </row>
    <row r="15" spans="1:10">
      <c r="A15" s="452">
        <v>1986</v>
      </c>
      <c r="B15" s="19">
        <f t="shared" si="6"/>
        <v>6526.7</v>
      </c>
      <c r="C15" s="232">
        <f t="shared" si="0"/>
        <v>376.8</v>
      </c>
      <c r="D15" s="232">
        <f t="shared" si="0"/>
        <v>229</v>
      </c>
      <c r="E15" s="232">
        <f t="shared" si="0"/>
        <v>185.6</v>
      </c>
      <c r="F15" s="701">
        <f t="shared" si="1"/>
        <v>17.321390658174096</v>
      </c>
      <c r="G15" s="701">
        <f t="shared" si="2"/>
        <v>35.165409482758619</v>
      </c>
      <c r="H15" s="701">
        <f t="shared" si="3"/>
        <v>60.774946921443743</v>
      </c>
      <c r="I15" s="701">
        <f t="shared" si="4"/>
        <v>49.256900212314221</v>
      </c>
      <c r="J15" s="692">
        <f t="shared" si="5"/>
        <v>18.951965065502186</v>
      </c>
    </row>
    <row r="16" spans="1:10">
      <c r="A16" s="452">
        <v>1987</v>
      </c>
      <c r="B16" s="19">
        <f t="shared" si="6"/>
        <v>6561.2000000000007</v>
      </c>
      <c r="C16" s="232">
        <f t="shared" si="0"/>
        <v>378.5</v>
      </c>
      <c r="D16" s="232">
        <f t="shared" si="0"/>
        <v>230.3</v>
      </c>
      <c r="E16" s="232">
        <f t="shared" si="0"/>
        <v>189</v>
      </c>
      <c r="F16" s="701">
        <f t="shared" si="1"/>
        <v>17.334742404227214</v>
      </c>
      <c r="G16" s="701">
        <f t="shared" si="2"/>
        <v>34.715343915343922</v>
      </c>
      <c r="H16" s="701">
        <f t="shared" si="3"/>
        <v>60.84544253632761</v>
      </c>
      <c r="I16" s="701">
        <f t="shared" si="4"/>
        <v>49.933949801849401</v>
      </c>
      <c r="J16" s="692">
        <f t="shared" si="5"/>
        <v>17.933130699088153</v>
      </c>
    </row>
    <row r="17" spans="1:10">
      <c r="A17" s="452">
        <v>1988</v>
      </c>
      <c r="B17" s="19">
        <f t="shared" si="6"/>
        <v>7021.9</v>
      </c>
      <c r="C17" s="232">
        <f t="shared" si="0"/>
        <v>381.3</v>
      </c>
      <c r="D17" s="232">
        <f t="shared" si="0"/>
        <v>236.9</v>
      </c>
      <c r="E17" s="232">
        <f t="shared" si="0"/>
        <v>198.5</v>
      </c>
      <c r="F17" s="701">
        <f t="shared" si="1"/>
        <v>18.415683189089954</v>
      </c>
      <c r="G17" s="701">
        <f t="shared" si="2"/>
        <v>35.374811083123426</v>
      </c>
      <c r="H17" s="701">
        <f t="shared" si="3"/>
        <v>62.129556779438765</v>
      </c>
      <c r="I17" s="701">
        <f t="shared" si="4"/>
        <v>52.058746393915555</v>
      </c>
      <c r="J17" s="692">
        <f t="shared" si="5"/>
        <v>16.209371042634025</v>
      </c>
    </row>
    <row r="18" spans="1:10">
      <c r="A18" s="452">
        <v>1989</v>
      </c>
      <c r="B18" s="19">
        <f t="shared" si="6"/>
        <v>7187.9</v>
      </c>
      <c r="C18" s="232">
        <f t="shared" si="0"/>
        <v>385.1</v>
      </c>
      <c r="D18" s="232">
        <f t="shared" si="0"/>
        <v>243.1</v>
      </c>
      <c r="E18" s="232">
        <f t="shared" si="0"/>
        <v>205.3</v>
      </c>
      <c r="F18" s="701">
        <f t="shared" si="1"/>
        <v>18.665022072189039</v>
      </c>
      <c r="G18" s="701">
        <f t="shared" si="2"/>
        <v>35.011690209449583</v>
      </c>
      <c r="H18" s="701">
        <f t="shared" si="3"/>
        <v>63.126460659568941</v>
      </c>
      <c r="I18" s="701">
        <f t="shared" si="4"/>
        <v>53.310828356271102</v>
      </c>
      <c r="J18" s="692">
        <f t="shared" si="5"/>
        <v>15.549156725627308</v>
      </c>
    </row>
    <row r="19" spans="1:10">
      <c r="A19" s="452">
        <v>1990</v>
      </c>
      <c r="B19" s="19">
        <f t="shared" si="6"/>
        <v>7205.2</v>
      </c>
      <c r="C19" s="232">
        <f t="shared" si="0"/>
        <v>388.6</v>
      </c>
      <c r="D19" s="232">
        <f t="shared" si="0"/>
        <v>247.8</v>
      </c>
      <c r="E19" s="232">
        <f t="shared" si="0"/>
        <v>205.5</v>
      </c>
      <c r="F19" s="701">
        <f t="shared" si="1"/>
        <v>18.541430777148737</v>
      </c>
      <c r="G19" s="701">
        <f t="shared" si="2"/>
        <v>35.061800486618004</v>
      </c>
      <c r="H19" s="701">
        <f t="shared" si="3"/>
        <v>63.767370046320124</v>
      </c>
      <c r="I19" s="701">
        <f t="shared" si="4"/>
        <v>52.88214101904272</v>
      </c>
      <c r="J19" s="692">
        <f t="shared" si="5"/>
        <v>17.070217917675549</v>
      </c>
    </row>
    <row r="20" spans="1:10">
      <c r="A20" s="452">
        <v>1991</v>
      </c>
      <c r="B20" s="19">
        <f t="shared" si="6"/>
        <v>6986.7</v>
      </c>
      <c r="C20" s="232">
        <f t="shared" si="0"/>
        <v>392.1</v>
      </c>
      <c r="D20" s="232">
        <f t="shared" si="0"/>
        <v>248.5</v>
      </c>
      <c r="E20" s="232">
        <f t="shared" si="0"/>
        <v>203.6</v>
      </c>
      <c r="F20" s="701">
        <f t="shared" si="1"/>
        <v>17.818668706962509</v>
      </c>
      <c r="G20" s="701">
        <f t="shared" si="2"/>
        <v>34.31581532416503</v>
      </c>
      <c r="H20" s="701">
        <f t="shared" si="3"/>
        <v>63.376689619994899</v>
      </c>
      <c r="I20" s="701">
        <f t="shared" si="4"/>
        <v>51.925529201734243</v>
      </c>
      <c r="J20" s="692">
        <f t="shared" si="5"/>
        <v>18.068410462776662</v>
      </c>
    </row>
    <row r="21" spans="1:10">
      <c r="A21" s="452">
        <v>1992</v>
      </c>
      <c r="B21" s="19">
        <f t="shared" si="6"/>
        <v>6456.4000000000005</v>
      </c>
      <c r="C21" s="232">
        <f t="shared" si="0"/>
        <v>394.7</v>
      </c>
      <c r="D21" s="232">
        <f t="shared" si="0"/>
        <v>242.1</v>
      </c>
      <c r="E21" s="232">
        <f t="shared" si="0"/>
        <v>193.4</v>
      </c>
      <c r="F21" s="701">
        <f t="shared" si="1"/>
        <v>16.357740055738539</v>
      </c>
      <c r="G21" s="701">
        <f t="shared" si="2"/>
        <v>33.383660806618408</v>
      </c>
      <c r="H21" s="701">
        <f t="shared" si="3"/>
        <v>61.337724854319745</v>
      </c>
      <c r="I21" s="701">
        <f t="shared" si="4"/>
        <v>48.999239929060053</v>
      </c>
      <c r="J21" s="692">
        <f t="shared" si="5"/>
        <v>20.115654688145391</v>
      </c>
    </row>
    <row r="22" spans="1:10">
      <c r="A22" s="452">
        <v>1993</v>
      </c>
      <c r="B22" s="19">
        <f t="shared" si="6"/>
        <v>6386.9000000000005</v>
      </c>
      <c r="C22" s="232">
        <f t="shared" si="0"/>
        <v>396.3</v>
      </c>
      <c r="D22" s="232">
        <f t="shared" si="0"/>
        <v>241.2</v>
      </c>
      <c r="E22" s="232">
        <f t="shared" si="0"/>
        <v>192.5</v>
      </c>
      <c r="F22" s="701">
        <f t="shared" si="1"/>
        <v>16.116326015644713</v>
      </c>
      <c r="G22" s="701">
        <f t="shared" si="2"/>
        <v>33.178701298701299</v>
      </c>
      <c r="H22" s="701">
        <f t="shared" si="3"/>
        <v>60.862982588947766</v>
      </c>
      <c r="I22" s="701">
        <f t="shared" si="4"/>
        <v>48.574312389603833</v>
      </c>
      <c r="J22" s="692">
        <f t="shared" si="5"/>
        <v>20.19071310116086</v>
      </c>
    </row>
    <row r="23" spans="1:10">
      <c r="A23" s="452">
        <v>1994</v>
      </c>
      <c r="B23" s="19">
        <f t="shared" si="6"/>
        <v>6429.1</v>
      </c>
      <c r="C23" s="232">
        <f t="shared" si="0"/>
        <v>394.5</v>
      </c>
      <c r="D23" s="232">
        <f t="shared" si="0"/>
        <v>240.4</v>
      </c>
      <c r="E23" s="232">
        <f t="shared" si="0"/>
        <v>192.2</v>
      </c>
      <c r="F23" s="701">
        <f t="shared" si="1"/>
        <v>16.296831432192651</v>
      </c>
      <c r="G23" s="701">
        <f t="shared" si="2"/>
        <v>33.450052029136323</v>
      </c>
      <c r="H23" s="701">
        <f t="shared" si="3"/>
        <v>60.937896070975917</v>
      </c>
      <c r="I23" s="701">
        <f t="shared" si="4"/>
        <v>48.719898605830167</v>
      </c>
      <c r="J23" s="692">
        <f t="shared" si="5"/>
        <v>20.049916805324468</v>
      </c>
    </row>
    <row r="24" spans="1:10">
      <c r="A24" s="452">
        <v>1995</v>
      </c>
      <c r="B24" s="19">
        <f t="shared" si="6"/>
        <v>6505.9</v>
      </c>
      <c r="C24" s="232">
        <f t="shared" si="0"/>
        <v>391.3</v>
      </c>
      <c r="D24" s="232">
        <f t="shared" si="0"/>
        <v>236.2</v>
      </c>
      <c r="E24" s="232">
        <f t="shared" si="0"/>
        <v>193.5</v>
      </c>
      <c r="F24" s="701">
        <f t="shared" si="1"/>
        <v>16.626373626373624</v>
      </c>
      <c r="G24" s="701">
        <f t="shared" si="2"/>
        <v>33.62222222222222</v>
      </c>
      <c r="H24" s="701">
        <f t="shared" si="3"/>
        <v>60.362892921032454</v>
      </c>
      <c r="I24" s="701">
        <f t="shared" si="4"/>
        <v>49.450549450549445</v>
      </c>
      <c r="J24" s="692">
        <f t="shared" si="5"/>
        <v>18.077900084673999</v>
      </c>
    </row>
    <row r="25" spans="1:10">
      <c r="A25" s="452">
        <v>1996</v>
      </c>
      <c r="B25" s="19">
        <f t="shared" si="6"/>
        <v>6366.7999999999993</v>
      </c>
      <c r="C25" s="232">
        <f t="shared" si="0"/>
        <v>387.5</v>
      </c>
      <c r="D25" s="232">
        <f t="shared" si="0"/>
        <v>230.3</v>
      </c>
      <c r="E25" s="232">
        <f t="shared" si="0"/>
        <v>186.1</v>
      </c>
      <c r="F25" s="701">
        <f t="shared" si="1"/>
        <v>16.430451612903223</v>
      </c>
      <c r="G25" s="701">
        <f t="shared" si="2"/>
        <v>34.211714132186991</v>
      </c>
      <c r="H25" s="701">
        <f t="shared" si="3"/>
        <v>59.432258064516134</v>
      </c>
      <c r="I25" s="701">
        <f t="shared" si="4"/>
        <v>48.025806451612901</v>
      </c>
      <c r="J25" s="692">
        <f t="shared" si="5"/>
        <v>19.192357794181508</v>
      </c>
    </row>
    <row r="26" spans="1:10">
      <c r="A26" s="452">
        <v>1997</v>
      </c>
      <c r="B26" s="19">
        <f t="shared" si="6"/>
        <v>6438.8</v>
      </c>
      <c r="C26" s="232">
        <f t="shared" si="0"/>
        <v>382.5</v>
      </c>
      <c r="D26" s="232">
        <f t="shared" si="0"/>
        <v>229.8</v>
      </c>
      <c r="E26" s="232">
        <f t="shared" si="0"/>
        <v>187.2</v>
      </c>
      <c r="F26" s="701">
        <f t="shared" si="1"/>
        <v>16.833464052287582</v>
      </c>
      <c r="G26" s="701">
        <f t="shared" si="2"/>
        <v>34.395299145299148</v>
      </c>
      <c r="H26" s="701">
        <f t="shared" si="3"/>
        <v>60.078431372549026</v>
      </c>
      <c r="I26" s="701">
        <f t="shared" si="4"/>
        <v>48.941176470588232</v>
      </c>
      <c r="J26" s="692">
        <f t="shared" si="5"/>
        <v>18.537859007832907</v>
      </c>
    </row>
    <row r="27" spans="1:10">
      <c r="A27" s="452">
        <v>1998</v>
      </c>
      <c r="B27" s="19">
        <f t="shared" si="6"/>
        <v>6548.6</v>
      </c>
      <c r="C27" s="232">
        <f t="shared" si="0"/>
        <v>376.3</v>
      </c>
      <c r="D27" s="232">
        <f t="shared" si="0"/>
        <v>232.8</v>
      </c>
      <c r="E27" s="232">
        <f t="shared" si="0"/>
        <v>190.9</v>
      </c>
      <c r="F27" s="701">
        <f t="shared" si="1"/>
        <v>17.402604305075737</v>
      </c>
      <c r="G27" s="701">
        <f t="shared" si="2"/>
        <v>34.30382399161865</v>
      </c>
      <c r="H27" s="701">
        <f t="shared" si="3"/>
        <v>61.865532819558865</v>
      </c>
      <c r="I27" s="701">
        <f t="shared" si="4"/>
        <v>50.730799893701843</v>
      </c>
      <c r="J27" s="692">
        <f t="shared" si="5"/>
        <v>17.998281786941583</v>
      </c>
    </row>
    <row r="28" spans="1:10">
      <c r="A28" s="452">
        <v>1999</v>
      </c>
      <c r="B28" s="19">
        <f t="shared" si="6"/>
        <v>7055.9</v>
      </c>
      <c r="C28" s="232">
        <f t="shared" si="0"/>
        <v>373.2</v>
      </c>
      <c r="D28" s="232">
        <f t="shared" si="0"/>
        <v>240.6</v>
      </c>
      <c r="E28" s="232">
        <f t="shared" si="0"/>
        <v>199.7</v>
      </c>
      <c r="F28" s="701">
        <f t="shared" si="1"/>
        <v>18.906484458735264</v>
      </c>
      <c r="G28" s="701">
        <f t="shared" si="2"/>
        <v>35.332498748122184</v>
      </c>
      <c r="H28" s="701">
        <f t="shared" si="3"/>
        <v>64.469453376205792</v>
      </c>
      <c r="I28" s="701">
        <f t="shared" si="4"/>
        <v>53.5101822079314</v>
      </c>
      <c r="J28" s="692">
        <f t="shared" si="5"/>
        <v>16.999168744804656</v>
      </c>
    </row>
    <row r="29" spans="1:10">
      <c r="A29" s="452">
        <v>2000</v>
      </c>
      <c r="B29" s="19">
        <f t="shared" si="6"/>
        <v>6968.8</v>
      </c>
      <c r="C29" s="232">
        <f t="shared" si="0"/>
        <v>370.7</v>
      </c>
      <c r="D29" s="232">
        <f t="shared" si="0"/>
        <v>236.2</v>
      </c>
      <c r="E29" s="232">
        <f t="shared" si="0"/>
        <v>196.5</v>
      </c>
      <c r="F29" s="701">
        <f t="shared" si="1"/>
        <v>18.799028864310763</v>
      </c>
      <c r="G29" s="701">
        <f t="shared" si="2"/>
        <v>35.464631043257</v>
      </c>
      <c r="H29" s="701">
        <f t="shared" si="3"/>
        <v>63.717291610466688</v>
      </c>
      <c r="I29" s="701">
        <f t="shared" si="4"/>
        <v>53.007823037496628</v>
      </c>
      <c r="J29" s="692">
        <f t="shared" si="5"/>
        <v>16.807790008467396</v>
      </c>
    </row>
    <row r="30" spans="1:10">
      <c r="A30" s="452">
        <v>2001</v>
      </c>
      <c r="B30" s="19">
        <f t="shared" si="6"/>
        <v>7098.1</v>
      </c>
      <c r="C30" s="232">
        <f t="shared" si="0"/>
        <v>367.9</v>
      </c>
      <c r="D30" s="232">
        <f t="shared" si="0"/>
        <v>241.9</v>
      </c>
      <c r="E30" s="232">
        <f t="shared" si="0"/>
        <v>203</v>
      </c>
      <c r="F30" s="701">
        <f t="shared" si="1"/>
        <v>19.293558032073935</v>
      </c>
      <c r="G30" s="701">
        <f t="shared" si="2"/>
        <v>34.96600985221675</v>
      </c>
      <c r="H30" s="701">
        <f t="shared" si="3"/>
        <v>65.751562924707812</v>
      </c>
      <c r="I30" s="701">
        <f t="shared" si="4"/>
        <v>55.178037510192993</v>
      </c>
      <c r="J30" s="692">
        <f t="shared" si="5"/>
        <v>16.081025217031833</v>
      </c>
    </row>
    <row r="31" spans="1:10">
      <c r="A31" s="452">
        <v>2002</v>
      </c>
      <c r="B31" s="19">
        <f t="shared" si="6"/>
        <v>7129.7</v>
      </c>
      <c r="C31" s="232">
        <f t="shared" si="0"/>
        <v>366.6</v>
      </c>
      <c r="D31" s="232">
        <f t="shared" si="0"/>
        <v>247.2</v>
      </c>
      <c r="E31" s="232">
        <f t="shared" si="0"/>
        <v>205.9</v>
      </c>
      <c r="F31" s="701">
        <f t="shared" si="1"/>
        <v>19.448172394980904</v>
      </c>
      <c r="G31" s="701">
        <f t="shared" si="2"/>
        <v>34.627003399708592</v>
      </c>
      <c r="H31" s="701">
        <f t="shared" si="3"/>
        <v>67.430441898526993</v>
      </c>
      <c r="I31" s="701">
        <f t="shared" si="4"/>
        <v>56.164757228587014</v>
      </c>
      <c r="J31" s="692">
        <f t="shared" si="5"/>
        <v>16.707119741100318</v>
      </c>
    </row>
    <row r="32" spans="1:10">
      <c r="A32" s="452">
        <v>2003</v>
      </c>
      <c r="B32" s="19">
        <f t="shared" si="6"/>
        <v>7123</v>
      </c>
      <c r="C32" s="232">
        <f t="shared" si="0"/>
        <v>367.6</v>
      </c>
      <c r="D32" s="232">
        <f t="shared" si="0"/>
        <v>252.3</v>
      </c>
      <c r="E32" s="232">
        <f t="shared" si="0"/>
        <v>210.5</v>
      </c>
      <c r="F32" s="701">
        <f t="shared" si="1"/>
        <v>19.377040261153425</v>
      </c>
      <c r="G32" s="701">
        <f t="shared" si="2"/>
        <v>33.838479809976249</v>
      </c>
      <c r="H32" s="701">
        <f t="shared" si="3"/>
        <v>68.634385201305776</v>
      </c>
      <c r="I32" s="701">
        <f t="shared" si="4"/>
        <v>57.263329706202391</v>
      </c>
      <c r="J32" s="692">
        <f t="shared" si="5"/>
        <v>16.567578279825611</v>
      </c>
    </row>
    <row r="33" spans="1:10">
      <c r="A33" s="452">
        <v>2004</v>
      </c>
      <c r="B33" s="19">
        <f t="shared" si="6"/>
        <v>7195.4</v>
      </c>
      <c r="C33" s="232">
        <f t="shared" si="0"/>
        <v>367.5</v>
      </c>
      <c r="D33" s="232">
        <f t="shared" si="0"/>
        <v>252</v>
      </c>
      <c r="E33" s="232">
        <f t="shared" si="0"/>
        <v>212.3</v>
      </c>
      <c r="F33" s="701">
        <f t="shared" si="1"/>
        <v>19.579319727891157</v>
      </c>
      <c r="G33" s="701">
        <f t="shared" si="2"/>
        <v>33.892604804521902</v>
      </c>
      <c r="H33" s="701">
        <f t="shared" si="3"/>
        <v>68.571428571428569</v>
      </c>
      <c r="I33" s="701">
        <f t="shared" si="4"/>
        <v>57.7687074829932</v>
      </c>
      <c r="J33" s="692">
        <f t="shared" si="5"/>
        <v>15.753968253968251</v>
      </c>
    </row>
    <row r="34" spans="1:10">
      <c r="A34" s="452">
        <v>2005</v>
      </c>
      <c r="B34" s="19">
        <f t="shared" si="6"/>
        <v>7335.2</v>
      </c>
      <c r="C34" s="232">
        <f t="shared" si="0"/>
        <v>366.1</v>
      </c>
      <c r="D34" s="232">
        <f t="shared" si="0"/>
        <v>250.1</v>
      </c>
      <c r="E34" s="232">
        <f t="shared" si="0"/>
        <v>211.8</v>
      </c>
      <c r="F34" s="702">
        <f t="shared" si="1"/>
        <v>20.036055722480196</v>
      </c>
      <c r="G34" s="702">
        <f t="shared" si="2"/>
        <v>34.632672332389042</v>
      </c>
      <c r="H34" s="702">
        <f t="shared" si="3"/>
        <v>68.314668123463534</v>
      </c>
      <c r="I34" s="702">
        <f t="shared" si="4"/>
        <v>57.853045615951928</v>
      </c>
      <c r="J34" s="692">
        <f t="shared" si="5"/>
        <v>15.313874450219906</v>
      </c>
    </row>
    <row r="35" spans="1:10" s="703" customFormat="1">
      <c r="A35" s="452">
        <v>2006</v>
      </c>
      <c r="B35" s="19">
        <f t="shared" si="6"/>
        <v>7501.2</v>
      </c>
      <c r="C35" s="232">
        <f t="shared" si="0"/>
        <v>362.6</v>
      </c>
      <c r="D35" s="232">
        <f t="shared" si="0"/>
        <v>251</v>
      </c>
      <c r="E35" s="232">
        <f t="shared" si="0"/>
        <v>213.7</v>
      </c>
      <c r="F35" s="702">
        <f>B35/C35</f>
        <v>20.687258687258687</v>
      </c>
      <c r="G35" s="702">
        <f>B35/E35</f>
        <v>35.10154422087038</v>
      </c>
      <c r="H35" s="702">
        <f>D35/C35*100</f>
        <v>69.222283507997787</v>
      </c>
      <c r="I35" s="702">
        <f>E35/C35*100</f>
        <v>58.935466078323216</v>
      </c>
      <c r="J35" s="692">
        <f>(D35-E35)/D35*100</f>
        <v>14.860557768924307</v>
      </c>
    </row>
    <row r="36" spans="1:10" s="703" customFormat="1">
      <c r="A36" s="452">
        <v>2007</v>
      </c>
      <c r="B36" s="19">
        <f t="shared" si="6"/>
        <v>7541.6</v>
      </c>
      <c r="C36" s="232">
        <f t="shared" si="0"/>
        <v>357.8</v>
      </c>
      <c r="D36" s="232">
        <f t="shared" si="0"/>
        <v>248</v>
      </c>
      <c r="E36" s="232">
        <f t="shared" si="0"/>
        <v>214.2</v>
      </c>
      <c r="F36" s="702">
        <f>B36/C36</f>
        <v>21.077697037451092</v>
      </c>
      <c r="G36" s="702">
        <f>B36/E36</f>
        <v>35.208216619981329</v>
      </c>
      <c r="H36" s="702">
        <f>D36/C36*100</f>
        <v>69.31246506428171</v>
      </c>
      <c r="I36" s="702">
        <f>E36/C36*100</f>
        <v>59.865846841811063</v>
      </c>
      <c r="J36" s="692">
        <f>(D36-E36)/D36*100</f>
        <v>13.629032258064521</v>
      </c>
    </row>
    <row r="37" spans="1:10" s="703" customFormat="1">
      <c r="A37" s="452">
        <v>2008</v>
      </c>
      <c r="B37" s="19">
        <v>7588.1</v>
      </c>
      <c r="C37" s="232">
        <v>357.6</v>
      </c>
      <c r="D37" s="232">
        <v>249.8</v>
      </c>
      <c r="E37" s="232">
        <v>216.8</v>
      </c>
      <c r="F37" s="702">
        <f>B37/C37</f>
        <v>21.219519015659955</v>
      </c>
      <c r="G37" s="702">
        <f>B37/E37</f>
        <v>35.000461254612546</v>
      </c>
      <c r="H37" s="702">
        <f>D37/C37*100</f>
        <v>69.854586129753912</v>
      </c>
      <c r="I37" s="702">
        <f>E37/C37*100</f>
        <v>60.626398210290823</v>
      </c>
      <c r="J37" s="692">
        <f>(D37-E37)/D37*100</f>
        <v>13.210568454763811</v>
      </c>
    </row>
    <row r="38" spans="1:10">
      <c r="B38" s="704"/>
      <c r="C38" s="704" t="s">
        <v>427</v>
      </c>
      <c r="D38" s="704"/>
      <c r="E38" s="454"/>
      <c r="F38" s="705"/>
      <c r="G38" s="705" t="s">
        <v>897</v>
      </c>
      <c r="H38" s="705"/>
      <c r="I38" s="705"/>
      <c r="J38" s="704"/>
    </row>
    <row r="39" spans="1:10">
      <c r="A39" s="454" t="s">
        <v>1716</v>
      </c>
      <c r="B39" s="706">
        <f>(POWER(B37/B5, 1/32)-1)*100</f>
        <v>0.8557094857700509</v>
      </c>
      <c r="C39" s="706">
        <f>(POWER(C37/C5, 1/32)-1)*100</f>
        <v>0.1995522375174863</v>
      </c>
      <c r="D39" s="706">
        <f>(POWER(D37/D5, 1/32)-1)*100</f>
        <v>0.9961902409629797</v>
      </c>
      <c r="E39" s="707">
        <f>(POWER(E37/E5, 1/32)-1)*100</f>
        <v>1.0056004357147597</v>
      </c>
      <c r="F39" s="708">
        <f>F37-F5</f>
        <v>3.9998468845124151</v>
      </c>
      <c r="G39" s="708">
        <f>G37-G5</f>
        <v>-1.703477754281991</v>
      </c>
      <c r="H39" s="708">
        <f>H37-H5</f>
        <v>15.637000436758385</v>
      </c>
      <c r="I39" s="708">
        <f>I37-I5</f>
        <v>13.711346049337024</v>
      </c>
      <c r="J39" s="708">
        <f>J37-J5</f>
        <v>-0.25837052269633176</v>
      </c>
    </row>
    <row r="40" spans="1:10">
      <c r="A40" s="454" t="s">
        <v>1707</v>
      </c>
      <c r="B40" s="706">
        <f>(POWER(B37/B10, 1/27)-1)*100</f>
        <v>0.57622032734980788</v>
      </c>
      <c r="C40" s="706">
        <f>(POWER(C37/C10, 1/27)-1)*100</f>
        <v>-2.7855284342070963E-2</v>
      </c>
      <c r="D40" s="706">
        <f>(POWER(D37/D10, 1/27)-1)*100</f>
        <v>0.58151944820865609</v>
      </c>
      <c r="E40" s="707">
        <f>(POWER(E37/E10, 1/27)-1)*100</f>
        <v>0.5952549480167546</v>
      </c>
      <c r="F40" s="708">
        <f>F37-F10</f>
        <v>3.1853807975084187</v>
      </c>
      <c r="G40" s="708">
        <f>G37-G10</f>
        <v>-0.17928969286985108</v>
      </c>
      <c r="H40" s="708">
        <f>H37-H10</f>
        <v>10.570656071469152</v>
      </c>
      <c r="I40" s="708">
        <f>I37-I10</f>
        <v>9.3635616851728756</v>
      </c>
      <c r="J40" s="708">
        <f>J37-J10</f>
        <v>-0.31939409205267033</v>
      </c>
    </row>
    <row r="42" spans="1:10">
      <c r="A42" s="449" t="s">
        <v>899</v>
      </c>
    </row>
    <row r="43" spans="1:10">
      <c r="A43" s="449" t="s">
        <v>1717</v>
      </c>
    </row>
    <row r="45" spans="1:10" ht="15">
      <c r="A45" s="915" t="s">
        <v>163</v>
      </c>
      <c r="B45" s="916" t="s">
        <v>1425</v>
      </c>
      <c r="C45" s="916" t="s">
        <v>1426</v>
      </c>
      <c r="D45" s="916" t="s">
        <v>1427</v>
      </c>
      <c r="E45" s="917" t="s">
        <v>1455</v>
      </c>
      <c r="F45" s="917" t="s">
        <v>1456</v>
      </c>
      <c r="G45" s="917" t="s">
        <v>1457</v>
      </c>
    </row>
    <row r="46" spans="1:10" ht="15">
      <c r="A46" s="915">
        <v>1976</v>
      </c>
      <c r="B46" s="916">
        <v>1595.8</v>
      </c>
      <c r="C46" s="916">
        <v>3681.7</v>
      </c>
      <c r="D46" s="916">
        <v>499.7</v>
      </c>
      <c r="E46" s="917">
        <v>335.5</v>
      </c>
      <c r="F46" s="917">
        <v>181.9</v>
      </c>
      <c r="G46" s="917">
        <v>157.4</v>
      </c>
    </row>
    <row r="47" spans="1:10" ht="15">
      <c r="A47" s="915">
        <v>1977</v>
      </c>
      <c r="B47" s="916">
        <v>1576.8</v>
      </c>
      <c r="C47" s="916">
        <v>3773.3</v>
      </c>
      <c r="D47" s="916">
        <v>494.2</v>
      </c>
      <c r="E47" s="917">
        <v>340</v>
      </c>
      <c r="F47" s="917">
        <v>189</v>
      </c>
      <c r="G47" s="917">
        <v>159.6</v>
      </c>
    </row>
    <row r="48" spans="1:10" ht="15">
      <c r="A48" s="915">
        <v>1978</v>
      </c>
      <c r="B48" s="916">
        <v>1636.2</v>
      </c>
      <c r="C48" s="916">
        <v>3889.5</v>
      </c>
      <c r="D48" s="916">
        <v>504.3</v>
      </c>
      <c r="E48" s="917">
        <v>344.5</v>
      </c>
      <c r="F48" s="917">
        <v>196.4</v>
      </c>
      <c r="G48" s="917">
        <v>165.1</v>
      </c>
    </row>
    <row r="49" spans="1:7" ht="15">
      <c r="A49" s="915">
        <v>1979</v>
      </c>
      <c r="B49" s="916">
        <v>1717.4</v>
      </c>
      <c r="C49" s="916">
        <v>4268.6000000000004</v>
      </c>
      <c r="D49" s="916">
        <v>504.4</v>
      </c>
      <c r="E49" s="917">
        <v>349.7</v>
      </c>
      <c r="F49" s="917">
        <v>206.1</v>
      </c>
      <c r="G49" s="917">
        <v>175.3</v>
      </c>
    </row>
    <row r="50" spans="1:7" ht="15">
      <c r="A50" s="915">
        <v>1980</v>
      </c>
      <c r="B50" s="916">
        <v>1618</v>
      </c>
      <c r="C50" s="916">
        <v>4289</v>
      </c>
      <c r="D50" s="916">
        <v>513.5</v>
      </c>
      <c r="E50" s="917">
        <v>355.4</v>
      </c>
      <c r="F50" s="917">
        <v>209.4</v>
      </c>
      <c r="G50" s="917">
        <v>181.5</v>
      </c>
    </row>
    <row r="51" spans="1:7" ht="15">
      <c r="A51" s="915">
        <v>1981</v>
      </c>
      <c r="B51" s="916">
        <v>1577.4</v>
      </c>
      <c r="C51" s="916">
        <v>4420.8999999999996</v>
      </c>
      <c r="D51" s="916">
        <v>499.4</v>
      </c>
      <c r="E51" s="917">
        <v>360.3</v>
      </c>
      <c r="F51" s="917">
        <v>213.6</v>
      </c>
      <c r="G51" s="917">
        <v>184.7</v>
      </c>
    </row>
    <row r="52" spans="1:7" ht="15">
      <c r="A52" s="915">
        <v>1982</v>
      </c>
      <c r="B52" s="916">
        <v>1398.2</v>
      </c>
      <c r="C52" s="916">
        <v>4404</v>
      </c>
      <c r="D52" s="916">
        <v>510.4</v>
      </c>
      <c r="E52" s="917">
        <v>363.8</v>
      </c>
      <c r="F52" s="917">
        <v>214.6</v>
      </c>
      <c r="G52" s="917">
        <v>179.6</v>
      </c>
    </row>
    <row r="53" spans="1:7" ht="15">
      <c r="A53" s="915">
        <v>1983</v>
      </c>
      <c r="B53" s="916">
        <v>1368.2</v>
      </c>
      <c r="C53" s="916">
        <v>4406.8</v>
      </c>
      <c r="D53" s="916">
        <v>494.9</v>
      </c>
      <c r="E53" s="917">
        <v>370.1</v>
      </c>
      <c r="F53" s="917">
        <v>219.4</v>
      </c>
      <c r="G53" s="917">
        <v>179.5</v>
      </c>
    </row>
    <row r="54" spans="1:7" ht="15">
      <c r="A54" s="915">
        <v>1984</v>
      </c>
      <c r="B54" s="916">
        <v>1244.4000000000001</v>
      </c>
      <c r="C54" s="916">
        <v>4489.6000000000004</v>
      </c>
      <c r="D54" s="916">
        <v>453</v>
      </c>
      <c r="E54" s="917">
        <v>373.7</v>
      </c>
      <c r="F54" s="917">
        <v>222.7</v>
      </c>
      <c r="G54" s="917">
        <v>177.6</v>
      </c>
    </row>
    <row r="55" spans="1:7" ht="15">
      <c r="A55" s="915">
        <v>1985</v>
      </c>
      <c r="B55" s="916">
        <v>1206.5</v>
      </c>
      <c r="C55" s="916">
        <v>4625.2</v>
      </c>
      <c r="D55" s="916">
        <v>452.8</v>
      </c>
      <c r="E55" s="917">
        <v>375.5</v>
      </c>
      <c r="F55" s="917">
        <v>227</v>
      </c>
      <c r="G55" s="917">
        <v>180.9</v>
      </c>
    </row>
    <row r="56" spans="1:7" ht="15">
      <c r="A56" s="915">
        <v>1986</v>
      </c>
      <c r="B56" s="916">
        <v>1234.7</v>
      </c>
      <c r="C56" s="916">
        <v>4839.8</v>
      </c>
      <c r="D56" s="916">
        <v>452.2</v>
      </c>
      <c r="E56" s="917">
        <v>376.8</v>
      </c>
      <c r="F56" s="917">
        <v>229</v>
      </c>
      <c r="G56" s="917">
        <v>185.6</v>
      </c>
    </row>
    <row r="57" spans="1:7" ht="15">
      <c r="A57" s="915">
        <v>1987</v>
      </c>
      <c r="B57" s="916">
        <v>1225.5</v>
      </c>
      <c r="C57" s="916">
        <v>4914.1000000000004</v>
      </c>
      <c r="D57" s="916">
        <v>421.6</v>
      </c>
      <c r="E57" s="917">
        <v>378.5</v>
      </c>
      <c r="F57" s="917">
        <v>230.3</v>
      </c>
      <c r="G57" s="917">
        <v>189</v>
      </c>
    </row>
    <row r="58" spans="1:7" ht="15">
      <c r="A58" s="915">
        <v>1988</v>
      </c>
      <c r="B58" s="916">
        <v>1266.5</v>
      </c>
      <c r="C58" s="916">
        <v>5265.7</v>
      </c>
      <c r="D58" s="916">
        <v>489.7</v>
      </c>
      <c r="E58" s="917">
        <v>381.3</v>
      </c>
      <c r="F58" s="917">
        <v>236.9</v>
      </c>
      <c r="G58" s="917">
        <v>198.5</v>
      </c>
    </row>
    <row r="59" spans="1:7" ht="15">
      <c r="A59" s="915">
        <v>1989</v>
      </c>
      <c r="B59" s="916">
        <v>1296</v>
      </c>
      <c r="C59" s="916">
        <v>5398</v>
      </c>
      <c r="D59" s="916">
        <v>493.9</v>
      </c>
      <c r="E59" s="917">
        <v>385.1</v>
      </c>
      <c r="F59" s="917">
        <v>243.1</v>
      </c>
      <c r="G59" s="917">
        <v>205.3</v>
      </c>
    </row>
    <row r="60" spans="1:7" ht="15">
      <c r="A60" s="915">
        <v>1990</v>
      </c>
      <c r="B60" s="916">
        <v>1265.8</v>
      </c>
      <c r="C60" s="916">
        <v>5481.5</v>
      </c>
      <c r="D60" s="916">
        <v>457.9</v>
      </c>
      <c r="E60" s="917">
        <v>388.6</v>
      </c>
      <c r="F60" s="917">
        <v>247.8</v>
      </c>
      <c r="G60" s="917">
        <v>205.5</v>
      </c>
    </row>
    <row r="61" spans="1:7" ht="15">
      <c r="A61" s="915">
        <v>1991</v>
      </c>
      <c r="B61" s="916">
        <v>1173.0999999999999</v>
      </c>
      <c r="C61" s="916">
        <v>5391.3</v>
      </c>
      <c r="D61" s="916">
        <v>422.3</v>
      </c>
      <c r="E61" s="917">
        <v>392.1</v>
      </c>
      <c r="F61" s="917">
        <v>248.5</v>
      </c>
      <c r="G61" s="917">
        <v>203.6</v>
      </c>
    </row>
    <row r="62" spans="1:7" ht="15">
      <c r="A62" s="915">
        <v>1992</v>
      </c>
      <c r="B62" s="916">
        <v>1010.1</v>
      </c>
      <c r="C62" s="916">
        <v>5023</v>
      </c>
      <c r="D62" s="916">
        <v>423.3</v>
      </c>
      <c r="E62" s="917">
        <v>394.7</v>
      </c>
      <c r="F62" s="917">
        <v>242.1</v>
      </c>
      <c r="G62" s="917">
        <v>193.4</v>
      </c>
    </row>
    <row r="63" spans="1:7" ht="15">
      <c r="A63" s="915">
        <v>1993</v>
      </c>
      <c r="B63" s="916">
        <v>917.3</v>
      </c>
      <c r="C63" s="916">
        <v>5080.8</v>
      </c>
      <c r="D63" s="916">
        <v>388.8</v>
      </c>
      <c r="E63" s="917">
        <v>396.3</v>
      </c>
      <c r="F63" s="917">
        <v>241.2</v>
      </c>
      <c r="G63" s="917">
        <v>192.5</v>
      </c>
    </row>
    <row r="64" spans="1:7" ht="15">
      <c r="A64" s="915">
        <v>1994</v>
      </c>
      <c r="B64" s="916">
        <v>921.6</v>
      </c>
      <c r="C64" s="916">
        <v>5061.5</v>
      </c>
      <c r="D64" s="916">
        <v>446</v>
      </c>
      <c r="E64" s="917">
        <v>394.5</v>
      </c>
      <c r="F64" s="917">
        <v>240.4</v>
      </c>
      <c r="G64" s="917">
        <v>192.2</v>
      </c>
    </row>
    <row r="65" spans="1:7" ht="15">
      <c r="A65" s="915">
        <v>1995</v>
      </c>
      <c r="B65" s="916">
        <v>868.2</v>
      </c>
      <c r="C65" s="916">
        <v>5241.7</v>
      </c>
      <c r="D65" s="916">
        <v>396</v>
      </c>
      <c r="E65" s="917">
        <v>391.3</v>
      </c>
      <c r="F65" s="917">
        <v>236.2</v>
      </c>
      <c r="G65" s="917">
        <v>193.5</v>
      </c>
    </row>
    <row r="66" spans="1:7" ht="15">
      <c r="A66" s="915">
        <v>1996</v>
      </c>
      <c r="B66" s="916">
        <v>815.9</v>
      </c>
      <c r="C66" s="916">
        <v>5160.5</v>
      </c>
      <c r="D66" s="916">
        <v>390.4</v>
      </c>
      <c r="E66" s="917">
        <v>387.5</v>
      </c>
      <c r="F66" s="917">
        <v>230.3</v>
      </c>
      <c r="G66" s="917">
        <v>186.1</v>
      </c>
    </row>
    <row r="67" spans="1:7" ht="15">
      <c r="A67" s="915">
        <v>1997</v>
      </c>
      <c r="B67" s="916">
        <v>740.4</v>
      </c>
      <c r="C67" s="916">
        <v>5287.3</v>
      </c>
      <c r="D67" s="916">
        <v>411.1</v>
      </c>
      <c r="E67" s="917">
        <v>382.5</v>
      </c>
      <c r="F67" s="917">
        <v>229.8</v>
      </c>
      <c r="G67" s="917">
        <v>187.2</v>
      </c>
    </row>
    <row r="68" spans="1:7" ht="15">
      <c r="A68" s="915">
        <v>1998</v>
      </c>
      <c r="B68" s="916">
        <v>728.1</v>
      </c>
      <c r="C68" s="916">
        <v>5390.5</v>
      </c>
      <c r="D68" s="916">
        <v>430</v>
      </c>
      <c r="E68" s="917">
        <v>376.3</v>
      </c>
      <c r="F68" s="917">
        <v>232.8</v>
      </c>
      <c r="G68" s="917">
        <v>190.9</v>
      </c>
    </row>
    <row r="69" spans="1:7" ht="15">
      <c r="A69" s="915">
        <v>1999</v>
      </c>
      <c r="B69" s="916">
        <v>749.4</v>
      </c>
      <c r="C69" s="916">
        <v>5743.2</v>
      </c>
      <c r="D69" s="916">
        <v>563.29999999999995</v>
      </c>
      <c r="E69" s="917">
        <v>373.2</v>
      </c>
      <c r="F69" s="917">
        <v>240.6</v>
      </c>
      <c r="G69" s="917">
        <v>199.7</v>
      </c>
    </row>
    <row r="70" spans="1:7" ht="15">
      <c r="A70" s="915">
        <v>2000</v>
      </c>
      <c r="B70" s="916">
        <v>774.1</v>
      </c>
      <c r="C70" s="916">
        <v>5685.3</v>
      </c>
      <c r="D70" s="916">
        <v>509.4</v>
      </c>
      <c r="E70" s="917">
        <v>370.7</v>
      </c>
      <c r="F70" s="917">
        <v>236.2</v>
      </c>
      <c r="G70" s="917">
        <v>196.5</v>
      </c>
    </row>
    <row r="71" spans="1:7" ht="15">
      <c r="A71" s="915">
        <v>2001</v>
      </c>
      <c r="B71" s="916">
        <v>842.8</v>
      </c>
      <c r="C71" s="916">
        <v>5660.3</v>
      </c>
      <c r="D71" s="916">
        <v>595</v>
      </c>
      <c r="E71" s="917">
        <v>367.9</v>
      </c>
      <c r="F71" s="917">
        <v>241.9</v>
      </c>
      <c r="G71" s="917">
        <v>203</v>
      </c>
    </row>
    <row r="72" spans="1:7" ht="15">
      <c r="A72" s="915">
        <v>2002</v>
      </c>
      <c r="B72" s="916">
        <v>845.9</v>
      </c>
      <c r="C72" s="916">
        <v>5631.7</v>
      </c>
      <c r="D72" s="916">
        <v>652.1</v>
      </c>
      <c r="E72" s="917">
        <v>366.6</v>
      </c>
      <c r="F72" s="917">
        <v>247.2</v>
      </c>
      <c r="G72" s="917">
        <v>205.9</v>
      </c>
    </row>
    <row r="73" spans="1:7" ht="15">
      <c r="A73" s="915">
        <v>2003</v>
      </c>
      <c r="B73" s="916">
        <v>851</v>
      </c>
      <c r="C73" s="916">
        <v>5527.3</v>
      </c>
      <c r="D73" s="916">
        <v>744.7</v>
      </c>
      <c r="E73" s="917">
        <v>367.6</v>
      </c>
      <c r="F73" s="917">
        <v>252.3</v>
      </c>
      <c r="G73" s="917">
        <v>210.5</v>
      </c>
    </row>
    <row r="74" spans="1:7" ht="15">
      <c r="A74" s="915">
        <v>2004</v>
      </c>
      <c r="B74" s="916">
        <v>868.6</v>
      </c>
      <c r="C74" s="916">
        <v>5490.4</v>
      </c>
      <c r="D74" s="916">
        <v>836.4</v>
      </c>
      <c r="E74" s="917">
        <v>367.5</v>
      </c>
      <c r="F74" s="917">
        <v>252</v>
      </c>
      <c r="G74" s="917">
        <v>212.3</v>
      </c>
    </row>
    <row r="75" spans="1:7" ht="15">
      <c r="A75" s="915">
        <v>2005</v>
      </c>
      <c r="B75" s="916">
        <v>813.3</v>
      </c>
      <c r="C75" s="916">
        <v>5653.7</v>
      </c>
      <c r="D75" s="916">
        <v>868.2</v>
      </c>
      <c r="E75" s="917">
        <v>366.1</v>
      </c>
      <c r="F75" s="917">
        <v>250.1</v>
      </c>
      <c r="G75" s="917">
        <v>211.8</v>
      </c>
    </row>
    <row r="76" spans="1:7" ht="15">
      <c r="A76" s="915">
        <v>2006</v>
      </c>
      <c r="B76" s="916">
        <v>775.3</v>
      </c>
      <c r="C76" s="916">
        <v>5766.2</v>
      </c>
      <c r="D76" s="916">
        <v>959.7</v>
      </c>
      <c r="E76" s="917">
        <v>362.6</v>
      </c>
      <c r="F76" s="917">
        <v>251</v>
      </c>
      <c r="G76" s="917">
        <v>213.7</v>
      </c>
    </row>
    <row r="77" spans="1:7" ht="15">
      <c r="A77" s="915">
        <v>2007</v>
      </c>
      <c r="B77" s="916">
        <v>796.6</v>
      </c>
      <c r="C77" s="916">
        <v>5742.6</v>
      </c>
      <c r="D77" s="916">
        <v>1002.4</v>
      </c>
      <c r="E77" s="917">
        <v>357.8</v>
      </c>
      <c r="F77" s="917">
        <v>248</v>
      </c>
      <c r="G77" s="917">
        <v>214.2</v>
      </c>
    </row>
  </sheetData>
  <phoneticPr fontId="36" type="noConversion"/>
  <pageMargins left="0.75" right="0.75" top="1" bottom="1" header="0.5" footer="0.5"/>
  <pageSetup scale="89" orientation="portrait" r:id="rId1"/>
  <headerFooter alignWithMargins="0"/>
</worksheet>
</file>

<file path=xl/worksheets/sheet187.xml><?xml version="1.0" encoding="utf-8"?>
<worksheet xmlns="http://schemas.openxmlformats.org/spreadsheetml/2006/main" xmlns:r="http://schemas.openxmlformats.org/officeDocument/2006/relationships">
  <sheetPr codeName="Sheet159">
    <pageSetUpPr fitToPage="1"/>
  </sheetPr>
  <dimension ref="A1:J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2231</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1550</v>
      </c>
      <c r="C5" s="232">
        <f>E46</f>
        <v>70.5</v>
      </c>
      <c r="D5" s="232">
        <f>F46</f>
        <v>46</v>
      </c>
      <c r="E5" s="232">
        <f>G46</f>
        <v>41.7</v>
      </c>
      <c r="F5" s="701">
        <f>B5/C5</f>
        <v>21.98581560283688</v>
      </c>
      <c r="G5" s="701">
        <f t="shared" ref="G5:G34" si="0">B5/E5</f>
        <v>37.170263788968825</v>
      </c>
      <c r="H5" s="701">
        <f t="shared" ref="H5:H34" si="1">D5/C5*100</f>
        <v>65.248226950354621</v>
      </c>
      <c r="I5" s="701">
        <f t="shared" ref="I5:I34" si="2">E5/C5*100</f>
        <v>59.148936170212771</v>
      </c>
      <c r="J5" s="692">
        <f t="shared" ref="J5:J34" si="3">(D5-E5)/D5*100</f>
        <v>9.3478260869565144</v>
      </c>
    </row>
    <row r="6" spans="1:10">
      <c r="A6" s="452">
        <v>1977</v>
      </c>
      <c r="B6" s="19">
        <f t="shared" ref="B6:B36" si="4">SUM(B47:D47)</f>
        <v>1561</v>
      </c>
      <c r="C6" s="232">
        <f t="shared" ref="C6:E21" si="5">E47</f>
        <v>71.900000000000006</v>
      </c>
      <c r="D6" s="232">
        <f t="shared" si="5"/>
        <v>46.9</v>
      </c>
      <c r="E6" s="232">
        <f t="shared" si="5"/>
        <v>42.4</v>
      </c>
      <c r="F6" s="701">
        <f t="shared" ref="F6:F34" si="6">B6/C6</f>
        <v>21.710709318497912</v>
      </c>
      <c r="G6" s="701">
        <f t="shared" si="0"/>
        <v>36.816037735849058</v>
      </c>
      <c r="H6" s="701">
        <f t="shared" si="1"/>
        <v>65.229485396383851</v>
      </c>
      <c r="I6" s="701">
        <f t="shared" si="2"/>
        <v>58.970792767732959</v>
      </c>
      <c r="J6" s="692">
        <f t="shared" si="3"/>
        <v>9.5948827292110881</v>
      </c>
    </row>
    <row r="7" spans="1:10">
      <c r="A7" s="452">
        <v>1978</v>
      </c>
      <c r="B7" s="19">
        <f t="shared" si="4"/>
        <v>1642.6</v>
      </c>
      <c r="C7" s="232">
        <f t="shared" si="5"/>
        <v>73.599999999999994</v>
      </c>
      <c r="D7" s="232">
        <f t="shared" si="5"/>
        <v>48.5</v>
      </c>
      <c r="E7" s="232">
        <f t="shared" si="5"/>
        <v>43.7</v>
      </c>
      <c r="F7" s="701">
        <f t="shared" si="6"/>
        <v>22.317934782608695</v>
      </c>
      <c r="G7" s="701">
        <f t="shared" si="0"/>
        <v>37.588100686498848</v>
      </c>
      <c r="H7" s="701">
        <f t="shared" si="1"/>
        <v>65.896739130434796</v>
      </c>
      <c r="I7" s="701">
        <f t="shared" si="2"/>
        <v>59.375000000000014</v>
      </c>
      <c r="J7" s="692">
        <f t="shared" si="3"/>
        <v>9.8969072164948386</v>
      </c>
    </row>
    <row r="8" spans="1:10">
      <c r="A8" s="452">
        <v>1979</v>
      </c>
      <c r="B8" s="19">
        <f t="shared" si="4"/>
        <v>1668.1</v>
      </c>
      <c r="C8" s="232">
        <f t="shared" si="5"/>
        <v>75.099999999999994</v>
      </c>
      <c r="D8" s="232">
        <f t="shared" si="5"/>
        <v>51.3</v>
      </c>
      <c r="E8" s="232">
        <f t="shared" si="5"/>
        <v>45.2</v>
      </c>
      <c r="F8" s="701">
        <f t="shared" si="6"/>
        <v>22.211717709720375</v>
      </c>
      <c r="G8" s="701">
        <f t="shared" si="0"/>
        <v>36.904867256637161</v>
      </c>
      <c r="H8" s="701">
        <f t="shared" si="1"/>
        <v>68.308921438082564</v>
      </c>
      <c r="I8" s="701">
        <f t="shared" si="2"/>
        <v>60.186418109187755</v>
      </c>
      <c r="J8" s="692">
        <f t="shared" si="3"/>
        <v>11.89083820662767</v>
      </c>
    </row>
    <row r="9" spans="1:10">
      <c r="A9" s="452">
        <v>1980</v>
      </c>
      <c r="B9" s="19">
        <f t="shared" si="4"/>
        <v>1702.1999999999998</v>
      </c>
      <c r="C9" s="232">
        <f t="shared" si="5"/>
        <v>76.099999999999994</v>
      </c>
      <c r="D9" s="232">
        <f t="shared" si="5"/>
        <v>52.1</v>
      </c>
      <c r="E9" s="232">
        <f t="shared" si="5"/>
        <v>46.5</v>
      </c>
      <c r="F9" s="701">
        <f t="shared" si="6"/>
        <v>22.367936925098554</v>
      </c>
      <c r="G9" s="701">
        <f t="shared" si="0"/>
        <v>36.606451612903221</v>
      </c>
      <c r="H9" s="701">
        <f t="shared" si="1"/>
        <v>68.46254927726676</v>
      </c>
      <c r="I9" s="701">
        <f t="shared" si="2"/>
        <v>61.103810775295663</v>
      </c>
      <c r="J9" s="692">
        <f t="shared" si="3"/>
        <v>10.748560460652595</v>
      </c>
    </row>
    <row r="10" spans="1:10">
      <c r="A10" s="452">
        <v>1981</v>
      </c>
      <c r="B10" s="19">
        <f t="shared" si="4"/>
        <v>1642.7</v>
      </c>
      <c r="C10" s="232">
        <f t="shared" si="5"/>
        <v>76.5</v>
      </c>
      <c r="D10" s="232">
        <f t="shared" si="5"/>
        <v>51.9</v>
      </c>
      <c r="E10" s="232">
        <f t="shared" si="5"/>
        <v>45.9</v>
      </c>
      <c r="F10" s="701">
        <f t="shared" si="6"/>
        <v>21.473202614379087</v>
      </c>
      <c r="G10" s="701">
        <f t="shared" si="0"/>
        <v>35.788671023965144</v>
      </c>
      <c r="H10" s="701">
        <f t="shared" si="1"/>
        <v>67.843137254901961</v>
      </c>
      <c r="I10" s="701">
        <f t="shared" si="2"/>
        <v>60</v>
      </c>
      <c r="J10" s="692">
        <f t="shared" si="3"/>
        <v>11.560693641618498</v>
      </c>
    </row>
    <row r="11" spans="1:10">
      <c r="A11" s="452">
        <v>1982</v>
      </c>
      <c r="B11" s="19">
        <f t="shared" si="4"/>
        <v>1579.1</v>
      </c>
      <c r="C11" s="232">
        <f t="shared" si="5"/>
        <v>76.8</v>
      </c>
      <c r="D11" s="232">
        <f t="shared" si="5"/>
        <v>51.8</v>
      </c>
      <c r="E11" s="232">
        <f t="shared" si="5"/>
        <v>45.1</v>
      </c>
      <c r="F11" s="701">
        <f t="shared" si="6"/>
        <v>20.561197916666668</v>
      </c>
      <c r="G11" s="701">
        <f t="shared" si="0"/>
        <v>35.013303769401325</v>
      </c>
      <c r="H11" s="701">
        <f t="shared" si="1"/>
        <v>67.447916666666657</v>
      </c>
      <c r="I11" s="701">
        <f t="shared" si="2"/>
        <v>58.723958333333336</v>
      </c>
      <c r="J11" s="692">
        <f t="shared" si="3"/>
        <v>12.934362934362928</v>
      </c>
    </row>
    <row r="12" spans="1:10">
      <c r="A12" s="452">
        <v>1983</v>
      </c>
      <c r="B12" s="19">
        <f t="shared" si="4"/>
        <v>1721.3</v>
      </c>
      <c r="C12" s="232">
        <f t="shared" si="5"/>
        <v>78.099999999999994</v>
      </c>
      <c r="D12" s="232">
        <f t="shared" si="5"/>
        <v>54.3</v>
      </c>
      <c r="E12" s="232">
        <f t="shared" si="5"/>
        <v>47.5</v>
      </c>
      <c r="F12" s="701">
        <f t="shared" si="6"/>
        <v>22.039692701664535</v>
      </c>
      <c r="G12" s="701">
        <f t="shared" si="0"/>
        <v>36.237894736842101</v>
      </c>
      <c r="H12" s="701">
        <f t="shared" si="1"/>
        <v>69.526248399487827</v>
      </c>
      <c r="I12" s="701">
        <f t="shared" si="2"/>
        <v>60.819462227912936</v>
      </c>
      <c r="J12" s="692">
        <f t="shared" si="3"/>
        <v>12.523020257826884</v>
      </c>
    </row>
    <row r="13" spans="1:10">
      <c r="A13" s="452">
        <v>1984</v>
      </c>
      <c r="B13" s="19">
        <f t="shared" si="4"/>
        <v>1750.8</v>
      </c>
      <c r="C13" s="232">
        <f t="shared" si="5"/>
        <v>79.400000000000006</v>
      </c>
      <c r="D13" s="232">
        <f t="shared" si="5"/>
        <v>55.4</v>
      </c>
      <c r="E13" s="232">
        <f t="shared" si="5"/>
        <v>48.3</v>
      </c>
      <c r="F13" s="701">
        <f t="shared" si="6"/>
        <v>22.050377833753146</v>
      </c>
      <c r="G13" s="701">
        <f t="shared" si="0"/>
        <v>36.248447204968947</v>
      </c>
      <c r="H13" s="701">
        <f t="shared" si="1"/>
        <v>69.77329974811083</v>
      </c>
      <c r="I13" s="701">
        <f t="shared" si="2"/>
        <v>60.831234256926948</v>
      </c>
      <c r="J13" s="692">
        <f t="shared" si="3"/>
        <v>12.815884476534297</v>
      </c>
    </row>
    <row r="14" spans="1:10">
      <c r="A14" s="452">
        <v>1985</v>
      </c>
      <c r="B14" s="19">
        <f t="shared" si="4"/>
        <v>1763.4</v>
      </c>
      <c r="C14" s="232">
        <f t="shared" si="5"/>
        <v>80.400000000000006</v>
      </c>
      <c r="D14" s="232">
        <f t="shared" si="5"/>
        <v>57.3</v>
      </c>
      <c r="E14" s="232">
        <f t="shared" si="5"/>
        <v>49.3</v>
      </c>
      <c r="F14" s="701">
        <f t="shared" si="6"/>
        <v>21.932835820895523</v>
      </c>
      <c r="G14" s="701">
        <f t="shared" si="0"/>
        <v>35.768762677484794</v>
      </c>
      <c r="H14" s="701">
        <f t="shared" si="1"/>
        <v>71.268656716417894</v>
      </c>
      <c r="I14" s="701">
        <f t="shared" si="2"/>
        <v>61.318407960198996</v>
      </c>
      <c r="J14" s="692">
        <f t="shared" si="3"/>
        <v>13.961605584642234</v>
      </c>
    </row>
    <row r="15" spans="1:10">
      <c r="A15" s="452">
        <v>1986</v>
      </c>
      <c r="B15" s="19">
        <f t="shared" si="4"/>
        <v>1834.7</v>
      </c>
      <c r="C15" s="232">
        <f t="shared" si="5"/>
        <v>81</v>
      </c>
      <c r="D15" s="232">
        <f t="shared" si="5"/>
        <v>58.8</v>
      </c>
      <c r="E15" s="232">
        <f t="shared" si="5"/>
        <v>50.9</v>
      </c>
      <c r="F15" s="701">
        <f t="shared" si="6"/>
        <v>22.650617283950616</v>
      </c>
      <c r="G15" s="701">
        <f t="shared" si="0"/>
        <v>36.045186640471513</v>
      </c>
      <c r="H15" s="701">
        <f t="shared" si="1"/>
        <v>72.592592592592581</v>
      </c>
      <c r="I15" s="701">
        <f t="shared" si="2"/>
        <v>62.839506172839506</v>
      </c>
      <c r="J15" s="692">
        <f t="shared" si="3"/>
        <v>13.435374149659863</v>
      </c>
    </row>
    <row r="16" spans="1:10">
      <c r="A16" s="452">
        <v>1987</v>
      </c>
      <c r="B16" s="19">
        <f t="shared" si="4"/>
        <v>1842.1000000000001</v>
      </c>
      <c r="C16" s="232">
        <f t="shared" si="5"/>
        <v>81.2</v>
      </c>
      <c r="D16" s="232">
        <f t="shared" si="5"/>
        <v>59.7</v>
      </c>
      <c r="E16" s="232">
        <f t="shared" si="5"/>
        <v>52.2</v>
      </c>
      <c r="F16" s="701">
        <f t="shared" si="6"/>
        <v>22.685960591133007</v>
      </c>
      <c r="G16" s="701">
        <f t="shared" si="0"/>
        <v>35.28927203065134</v>
      </c>
      <c r="H16" s="701">
        <f t="shared" si="1"/>
        <v>73.522167487684726</v>
      </c>
      <c r="I16" s="701">
        <f t="shared" si="2"/>
        <v>64.285714285714292</v>
      </c>
      <c r="J16" s="692">
        <f t="shared" si="3"/>
        <v>12.562814070351758</v>
      </c>
    </row>
    <row r="17" spans="1:10">
      <c r="A17" s="452">
        <v>1988</v>
      </c>
      <c r="B17" s="19">
        <f t="shared" si="4"/>
        <v>1941.8000000000002</v>
      </c>
      <c r="C17" s="232">
        <f t="shared" si="5"/>
        <v>81.599999999999994</v>
      </c>
      <c r="D17" s="232">
        <f t="shared" si="5"/>
        <v>61</v>
      </c>
      <c r="E17" s="232">
        <f t="shared" si="5"/>
        <v>53.4</v>
      </c>
      <c r="F17" s="701">
        <f t="shared" si="6"/>
        <v>23.796568627450984</v>
      </c>
      <c r="G17" s="701">
        <f t="shared" si="0"/>
        <v>36.363295880149821</v>
      </c>
      <c r="H17" s="701">
        <f t="shared" si="1"/>
        <v>74.754901960784309</v>
      </c>
      <c r="I17" s="701">
        <f t="shared" si="2"/>
        <v>65.441176470588232</v>
      </c>
      <c r="J17" s="692">
        <f t="shared" si="3"/>
        <v>12.459016393442624</v>
      </c>
    </row>
    <row r="18" spans="1:10">
      <c r="A18" s="452">
        <v>1989</v>
      </c>
      <c r="B18" s="19">
        <f t="shared" si="4"/>
        <v>1938.4</v>
      </c>
      <c r="C18" s="232">
        <f t="shared" si="5"/>
        <v>82.1</v>
      </c>
      <c r="D18" s="232">
        <f t="shared" si="5"/>
        <v>62.4</v>
      </c>
      <c r="E18" s="232">
        <f t="shared" si="5"/>
        <v>53.8</v>
      </c>
      <c r="F18" s="701">
        <f t="shared" si="6"/>
        <v>23.610231425091357</v>
      </c>
      <c r="G18" s="701">
        <f t="shared" si="0"/>
        <v>36.029739776951679</v>
      </c>
      <c r="H18" s="701">
        <f t="shared" si="1"/>
        <v>76.004872107186358</v>
      </c>
      <c r="I18" s="701">
        <f t="shared" si="2"/>
        <v>65.529841656516439</v>
      </c>
      <c r="J18" s="692">
        <f t="shared" si="3"/>
        <v>13.782051282051286</v>
      </c>
    </row>
    <row r="19" spans="1:10">
      <c r="A19" s="452">
        <v>1990</v>
      </c>
      <c r="B19" s="19">
        <f t="shared" si="4"/>
        <v>1973.0000000000002</v>
      </c>
      <c r="C19" s="232">
        <f t="shared" si="5"/>
        <v>82.5</v>
      </c>
      <c r="D19" s="232">
        <f t="shared" si="5"/>
        <v>63.3</v>
      </c>
      <c r="E19" s="232">
        <f t="shared" si="5"/>
        <v>54</v>
      </c>
      <c r="F19" s="701">
        <f t="shared" si="6"/>
        <v>23.915151515151518</v>
      </c>
      <c r="G19" s="701">
        <f t="shared" si="0"/>
        <v>36.537037037037038</v>
      </c>
      <c r="H19" s="701">
        <f t="shared" si="1"/>
        <v>76.72727272727272</v>
      </c>
      <c r="I19" s="701">
        <f t="shared" si="2"/>
        <v>65.454545454545453</v>
      </c>
      <c r="J19" s="692">
        <f t="shared" si="3"/>
        <v>14.691943127962082</v>
      </c>
    </row>
    <row r="20" spans="1:10">
      <c r="A20" s="452">
        <v>1991</v>
      </c>
      <c r="B20" s="19">
        <f t="shared" si="4"/>
        <v>1852.1999999999998</v>
      </c>
      <c r="C20" s="232">
        <f t="shared" si="5"/>
        <v>82.8</v>
      </c>
      <c r="D20" s="232">
        <f t="shared" si="5"/>
        <v>63.1</v>
      </c>
      <c r="E20" s="232">
        <f t="shared" si="5"/>
        <v>52.5</v>
      </c>
      <c r="F20" s="701">
        <f t="shared" si="6"/>
        <v>22.369565217391305</v>
      </c>
      <c r="G20" s="701">
        <f t="shared" si="0"/>
        <v>35.279999999999994</v>
      </c>
      <c r="H20" s="701">
        <f t="shared" si="1"/>
        <v>76.207729468599041</v>
      </c>
      <c r="I20" s="701">
        <f t="shared" si="2"/>
        <v>63.405797101449281</v>
      </c>
      <c r="J20" s="692">
        <f t="shared" si="3"/>
        <v>16.798732171156896</v>
      </c>
    </row>
    <row r="21" spans="1:10">
      <c r="A21" s="452">
        <v>1992</v>
      </c>
      <c r="B21" s="19">
        <f t="shared" si="4"/>
        <v>1812.8000000000002</v>
      </c>
      <c r="C21" s="232">
        <f t="shared" si="5"/>
        <v>83.7</v>
      </c>
      <c r="D21" s="232">
        <f t="shared" si="5"/>
        <v>64.2</v>
      </c>
      <c r="E21" s="232">
        <f t="shared" si="5"/>
        <v>52.7</v>
      </c>
      <c r="F21" s="701">
        <f t="shared" si="6"/>
        <v>21.658303464755079</v>
      </c>
      <c r="G21" s="701">
        <f t="shared" si="0"/>
        <v>34.398481973434535</v>
      </c>
      <c r="H21" s="701">
        <f t="shared" si="1"/>
        <v>76.702508960573482</v>
      </c>
      <c r="I21" s="701">
        <f t="shared" si="2"/>
        <v>62.962962962962962</v>
      </c>
      <c r="J21" s="692">
        <f t="shared" si="3"/>
        <v>17.912772585669781</v>
      </c>
    </row>
    <row r="22" spans="1:10">
      <c r="A22" s="452">
        <v>1993</v>
      </c>
      <c r="B22" s="19">
        <f t="shared" si="4"/>
        <v>1840.1999999999998</v>
      </c>
      <c r="C22" s="232">
        <f t="shared" ref="C22:E36" si="7">E63</f>
        <v>84.8</v>
      </c>
      <c r="D22" s="232">
        <f t="shared" si="7"/>
        <v>64.7</v>
      </c>
      <c r="E22" s="232">
        <f t="shared" si="7"/>
        <v>53.6</v>
      </c>
      <c r="F22" s="701">
        <f t="shared" si="6"/>
        <v>21.700471698113205</v>
      </c>
      <c r="G22" s="701">
        <f t="shared" si="0"/>
        <v>34.332089552238799</v>
      </c>
      <c r="H22" s="701">
        <f t="shared" si="1"/>
        <v>76.297169811320771</v>
      </c>
      <c r="I22" s="701">
        <f t="shared" si="2"/>
        <v>63.207547169811328</v>
      </c>
      <c r="J22" s="692">
        <f t="shared" si="3"/>
        <v>17.15610510046368</v>
      </c>
    </row>
    <row r="23" spans="1:10">
      <c r="A23" s="452">
        <v>1994</v>
      </c>
      <c r="B23" s="19">
        <f t="shared" si="4"/>
        <v>1938.5000000000002</v>
      </c>
      <c r="C23" s="232">
        <f t="shared" si="7"/>
        <v>86</v>
      </c>
      <c r="D23" s="232">
        <f t="shared" si="7"/>
        <v>65.900000000000006</v>
      </c>
      <c r="E23" s="232">
        <f t="shared" si="7"/>
        <v>54.9</v>
      </c>
      <c r="F23" s="701">
        <f t="shared" si="6"/>
        <v>22.540697674418606</v>
      </c>
      <c r="G23" s="701">
        <f t="shared" si="0"/>
        <v>35.309653916211296</v>
      </c>
      <c r="H23" s="701">
        <f t="shared" si="1"/>
        <v>76.6279069767442</v>
      </c>
      <c r="I23" s="701">
        <f t="shared" si="2"/>
        <v>63.837209302325583</v>
      </c>
      <c r="J23" s="692">
        <f t="shared" si="3"/>
        <v>16.691957511380888</v>
      </c>
    </row>
    <row r="24" spans="1:10">
      <c r="A24" s="452">
        <v>1995</v>
      </c>
      <c r="B24" s="19">
        <f t="shared" si="4"/>
        <v>2005.6</v>
      </c>
      <c r="C24" s="232">
        <f t="shared" si="7"/>
        <v>87.1</v>
      </c>
      <c r="D24" s="232">
        <f t="shared" si="7"/>
        <v>66.2</v>
      </c>
      <c r="E24" s="232">
        <f t="shared" si="7"/>
        <v>56.3</v>
      </c>
      <c r="F24" s="701">
        <f t="shared" si="6"/>
        <v>23.026406429391503</v>
      </c>
      <c r="G24" s="701">
        <f t="shared" si="0"/>
        <v>35.623445825932507</v>
      </c>
      <c r="H24" s="701">
        <f t="shared" si="1"/>
        <v>76.004592422502881</v>
      </c>
      <c r="I24" s="701">
        <f t="shared" si="2"/>
        <v>64.638346727898963</v>
      </c>
      <c r="J24" s="692">
        <f t="shared" si="3"/>
        <v>14.954682779456203</v>
      </c>
    </row>
    <row r="25" spans="1:10">
      <c r="A25" s="452">
        <v>1996</v>
      </c>
      <c r="B25" s="19">
        <f t="shared" si="4"/>
        <v>2099.6</v>
      </c>
      <c r="C25" s="232">
        <f t="shared" si="7"/>
        <v>88.2</v>
      </c>
      <c r="D25" s="232">
        <f t="shared" si="7"/>
        <v>68</v>
      </c>
      <c r="E25" s="232">
        <f t="shared" si="7"/>
        <v>57.9</v>
      </c>
      <c r="F25" s="701">
        <f t="shared" si="6"/>
        <v>23.804988662131517</v>
      </c>
      <c r="G25" s="701">
        <f t="shared" si="0"/>
        <v>36.262521588946456</v>
      </c>
      <c r="H25" s="701">
        <f t="shared" si="1"/>
        <v>77.097505668934247</v>
      </c>
      <c r="I25" s="701">
        <f t="shared" si="2"/>
        <v>65.646258503401356</v>
      </c>
      <c r="J25" s="692">
        <f t="shared" si="3"/>
        <v>14.852941176470591</v>
      </c>
    </row>
    <row r="26" spans="1:10">
      <c r="A26" s="452">
        <v>1997</v>
      </c>
      <c r="B26" s="19">
        <f t="shared" si="4"/>
        <v>2083.9</v>
      </c>
      <c r="C26" s="232">
        <f t="shared" si="7"/>
        <v>88.9</v>
      </c>
      <c r="D26" s="232">
        <f t="shared" si="7"/>
        <v>68.5</v>
      </c>
      <c r="E26" s="232">
        <f t="shared" si="7"/>
        <v>57.9</v>
      </c>
      <c r="F26" s="701">
        <f t="shared" si="6"/>
        <v>23.440944881889763</v>
      </c>
      <c r="G26" s="701">
        <f t="shared" si="0"/>
        <v>35.991364421416236</v>
      </c>
      <c r="H26" s="701">
        <f t="shared" si="1"/>
        <v>77.052868391451071</v>
      </c>
      <c r="I26" s="701">
        <f t="shared" si="2"/>
        <v>65.129358830146217</v>
      </c>
      <c r="J26" s="692">
        <f t="shared" si="3"/>
        <v>15.474452554744527</v>
      </c>
    </row>
    <row r="27" spans="1:10">
      <c r="A27" s="452">
        <v>1998</v>
      </c>
      <c r="B27" s="19">
        <f t="shared" si="4"/>
        <v>2089.2000000000003</v>
      </c>
      <c r="C27" s="232">
        <f t="shared" si="7"/>
        <v>89</v>
      </c>
      <c r="D27" s="232">
        <f t="shared" si="7"/>
        <v>68.400000000000006</v>
      </c>
      <c r="E27" s="232">
        <f t="shared" si="7"/>
        <v>58.8</v>
      </c>
      <c r="F27" s="701">
        <f t="shared" si="6"/>
        <v>23.474157303370788</v>
      </c>
      <c r="G27" s="701">
        <f t="shared" si="0"/>
        <v>35.530612244897966</v>
      </c>
      <c r="H27" s="701">
        <f t="shared" si="1"/>
        <v>76.853932584269671</v>
      </c>
      <c r="I27" s="701">
        <f t="shared" si="2"/>
        <v>66.067415730337075</v>
      </c>
      <c r="J27" s="692">
        <f t="shared" si="3"/>
        <v>14.035087719298255</v>
      </c>
    </row>
    <row r="28" spans="1:10">
      <c r="A28" s="452">
        <v>1999</v>
      </c>
      <c r="B28" s="19">
        <f t="shared" si="4"/>
        <v>2113</v>
      </c>
      <c r="C28" s="232">
        <f t="shared" si="7"/>
        <v>89.6</v>
      </c>
      <c r="D28" s="232">
        <f t="shared" si="7"/>
        <v>69.3</v>
      </c>
      <c r="E28" s="232">
        <f t="shared" si="7"/>
        <v>59.2</v>
      </c>
      <c r="F28" s="701">
        <f t="shared" si="6"/>
        <v>23.582589285714288</v>
      </c>
      <c r="G28" s="701">
        <f t="shared" si="0"/>
        <v>35.692567567567565</v>
      </c>
      <c r="H28" s="701">
        <f t="shared" si="1"/>
        <v>77.34375</v>
      </c>
      <c r="I28" s="701">
        <f t="shared" si="2"/>
        <v>66.071428571428584</v>
      </c>
      <c r="J28" s="692">
        <f t="shared" si="3"/>
        <v>14.574314574314567</v>
      </c>
    </row>
    <row r="29" spans="1:10">
      <c r="A29" s="452">
        <v>2000</v>
      </c>
      <c r="B29" s="19">
        <f t="shared" si="4"/>
        <v>2240.9</v>
      </c>
      <c r="C29" s="232">
        <f t="shared" si="7"/>
        <v>90.1</v>
      </c>
      <c r="D29" s="232">
        <f t="shared" si="7"/>
        <v>70.400000000000006</v>
      </c>
      <c r="E29" s="232">
        <f t="shared" si="7"/>
        <v>61.8</v>
      </c>
      <c r="F29" s="701">
        <f t="shared" si="6"/>
        <v>24.871254162042177</v>
      </c>
      <c r="G29" s="701">
        <f t="shared" si="0"/>
        <v>36.260517799352755</v>
      </c>
      <c r="H29" s="701">
        <f t="shared" si="1"/>
        <v>78.135405105438423</v>
      </c>
      <c r="I29" s="701">
        <f t="shared" si="2"/>
        <v>68.590455049944509</v>
      </c>
      <c r="J29" s="692">
        <f t="shared" si="3"/>
        <v>12.215909090909102</v>
      </c>
    </row>
    <row r="30" spans="1:10">
      <c r="A30" s="452">
        <v>2001</v>
      </c>
      <c r="B30" s="19">
        <f t="shared" si="4"/>
        <v>2234.5</v>
      </c>
      <c r="C30" s="232">
        <f t="shared" si="7"/>
        <v>90.7</v>
      </c>
      <c r="D30" s="232">
        <f t="shared" si="7"/>
        <v>71</v>
      </c>
      <c r="E30" s="232">
        <f t="shared" si="7"/>
        <v>62.5</v>
      </c>
      <c r="F30" s="701">
        <f t="shared" si="6"/>
        <v>24.636163175303196</v>
      </c>
      <c r="G30" s="701">
        <f t="shared" si="0"/>
        <v>35.752000000000002</v>
      </c>
      <c r="H30" s="701">
        <f t="shared" si="1"/>
        <v>78.280044101433305</v>
      </c>
      <c r="I30" s="701">
        <f t="shared" si="2"/>
        <v>68.908489525909587</v>
      </c>
      <c r="J30" s="692">
        <f t="shared" si="3"/>
        <v>11.971830985915492</v>
      </c>
    </row>
    <row r="31" spans="1:10">
      <c r="A31" s="452">
        <v>2002</v>
      </c>
      <c r="B31" s="19">
        <f t="shared" si="4"/>
        <v>2243.8000000000002</v>
      </c>
      <c r="C31" s="232">
        <f t="shared" si="7"/>
        <v>91.4</v>
      </c>
      <c r="D31" s="232">
        <f t="shared" si="7"/>
        <v>72.3</v>
      </c>
      <c r="E31" s="232">
        <f t="shared" si="7"/>
        <v>63.5</v>
      </c>
      <c r="F31" s="701">
        <f t="shared" si="6"/>
        <v>24.549234135667398</v>
      </c>
      <c r="G31" s="701">
        <f t="shared" si="0"/>
        <v>35.335433070866145</v>
      </c>
      <c r="H31" s="701">
        <f t="shared" si="1"/>
        <v>79.102844638949662</v>
      </c>
      <c r="I31" s="701">
        <f t="shared" si="2"/>
        <v>69.474835886214436</v>
      </c>
      <c r="J31" s="692">
        <f t="shared" si="3"/>
        <v>12.171507607192252</v>
      </c>
    </row>
    <row r="32" spans="1:10">
      <c r="A32" s="452">
        <v>2003</v>
      </c>
      <c r="B32" s="19">
        <f t="shared" si="4"/>
        <v>2250.8000000000002</v>
      </c>
      <c r="C32" s="232">
        <f t="shared" si="7"/>
        <v>92.2</v>
      </c>
      <c r="D32" s="232">
        <f t="shared" si="7"/>
        <v>73.2</v>
      </c>
      <c r="E32" s="232">
        <f t="shared" si="7"/>
        <v>65.099999999999994</v>
      </c>
      <c r="F32" s="701">
        <f t="shared" si="6"/>
        <v>24.412147505422993</v>
      </c>
      <c r="G32" s="701">
        <f t="shared" si="0"/>
        <v>34.574500768049163</v>
      </c>
      <c r="H32" s="701">
        <f t="shared" si="1"/>
        <v>79.392624728850322</v>
      </c>
      <c r="I32" s="701">
        <f t="shared" si="2"/>
        <v>70.607375271149664</v>
      </c>
      <c r="J32" s="692">
        <f t="shared" si="3"/>
        <v>11.065573770491815</v>
      </c>
    </row>
    <row r="33" spans="1:10">
      <c r="A33" s="452">
        <v>2004</v>
      </c>
      <c r="B33" s="19">
        <f t="shared" si="4"/>
        <v>2217</v>
      </c>
      <c r="C33" s="232">
        <f t="shared" si="7"/>
        <v>93.1</v>
      </c>
      <c r="D33" s="232">
        <f t="shared" si="7"/>
        <v>74.2</v>
      </c>
      <c r="E33" s="232">
        <f t="shared" si="7"/>
        <v>65.8</v>
      </c>
      <c r="F33" s="701">
        <f t="shared" si="6"/>
        <v>23.81310418904404</v>
      </c>
      <c r="G33" s="701">
        <f t="shared" si="0"/>
        <v>33.693009118541035</v>
      </c>
      <c r="H33" s="701">
        <f t="shared" si="1"/>
        <v>79.699248120300751</v>
      </c>
      <c r="I33" s="701">
        <f t="shared" si="2"/>
        <v>70.676691729323309</v>
      </c>
      <c r="J33" s="692">
        <f t="shared" si="3"/>
        <v>11.320754716981138</v>
      </c>
    </row>
    <row r="34" spans="1:10">
      <c r="A34" s="452">
        <v>2005</v>
      </c>
      <c r="B34" s="19">
        <f t="shared" si="4"/>
        <v>2306.6</v>
      </c>
      <c r="C34" s="232">
        <f t="shared" si="7"/>
        <v>93.6</v>
      </c>
      <c r="D34" s="232">
        <f t="shared" si="7"/>
        <v>74.8</v>
      </c>
      <c r="E34" s="232">
        <f t="shared" si="7"/>
        <v>66.599999999999994</v>
      </c>
      <c r="F34" s="702">
        <f t="shared" si="6"/>
        <v>24.643162393162395</v>
      </c>
      <c r="G34" s="702">
        <f t="shared" si="0"/>
        <v>34.633633633633636</v>
      </c>
      <c r="H34" s="702">
        <f t="shared" si="1"/>
        <v>79.914529914529922</v>
      </c>
      <c r="I34" s="702">
        <f t="shared" si="2"/>
        <v>71.15384615384616</v>
      </c>
      <c r="J34" s="692">
        <f t="shared" si="3"/>
        <v>10.96256684491979</v>
      </c>
    </row>
    <row r="35" spans="1:10" s="703" customFormat="1">
      <c r="A35" s="452">
        <v>2006</v>
      </c>
      <c r="B35" s="19">
        <f t="shared" si="4"/>
        <v>2359.6000000000004</v>
      </c>
      <c r="C35" s="232">
        <f t="shared" si="7"/>
        <v>94</v>
      </c>
      <c r="D35" s="232">
        <f t="shared" si="7"/>
        <v>75.3</v>
      </c>
      <c r="E35" s="232">
        <f t="shared" si="7"/>
        <v>67</v>
      </c>
      <c r="F35" s="702">
        <f>B35/C35</f>
        <v>25.102127659574471</v>
      </c>
      <c r="G35" s="702">
        <f>B35/E35</f>
        <v>35.217910447761199</v>
      </c>
      <c r="H35" s="702">
        <f>D35/C35*100</f>
        <v>80.106382978723403</v>
      </c>
      <c r="I35" s="702">
        <f>E35/C35*100</f>
        <v>71.276595744680847</v>
      </c>
      <c r="J35" s="692">
        <f>(D35-E35)/D35*100</f>
        <v>11.022576361221777</v>
      </c>
    </row>
    <row r="36" spans="1:10" s="703" customFormat="1">
      <c r="A36" s="452">
        <v>2007</v>
      </c>
      <c r="B36" s="19">
        <f t="shared" si="4"/>
        <v>2338</v>
      </c>
      <c r="C36" s="232">
        <f t="shared" si="7"/>
        <v>94.6</v>
      </c>
      <c r="D36" s="232">
        <f t="shared" si="7"/>
        <v>75.3</v>
      </c>
      <c r="E36" s="232">
        <f t="shared" si="7"/>
        <v>67.599999999999994</v>
      </c>
      <c r="F36" s="702">
        <f>B36/C36</f>
        <v>24.714587737843555</v>
      </c>
      <c r="G36" s="702">
        <f>B36/E36</f>
        <v>34.585798816568051</v>
      </c>
      <c r="H36" s="702">
        <f>D36/C36*100</f>
        <v>79.598308668076115</v>
      </c>
      <c r="I36" s="702">
        <f>E36/C36*100</f>
        <v>71.458773784355174</v>
      </c>
      <c r="J36" s="692">
        <f>(D36-E36)/D36*100</f>
        <v>10.225763612217801</v>
      </c>
    </row>
    <row r="37" spans="1:10" s="703" customFormat="1">
      <c r="A37" s="452">
        <v>2008</v>
      </c>
      <c r="B37" s="19">
        <v>2342.9</v>
      </c>
      <c r="C37" s="232">
        <v>95.5</v>
      </c>
      <c r="D37" s="232">
        <v>76.7</v>
      </c>
      <c r="E37" s="232">
        <v>68.5</v>
      </c>
      <c r="F37" s="702">
        <f>B37/C37</f>
        <v>24.532984293193717</v>
      </c>
      <c r="G37" s="702">
        <f>B37/E37</f>
        <v>34.202919708029199</v>
      </c>
      <c r="H37" s="702">
        <f>D37/C37*100</f>
        <v>80.314136125654457</v>
      </c>
      <c r="I37" s="702">
        <f>E37/C37*100</f>
        <v>71.727748691099478</v>
      </c>
      <c r="J37" s="692">
        <f>(D37-E37)/D37*100</f>
        <v>10.691003911342897</v>
      </c>
    </row>
    <row r="38" spans="1:10">
      <c r="A38" s="452"/>
      <c r="B38" s="704"/>
      <c r="C38" s="704" t="s">
        <v>427</v>
      </c>
      <c r="D38" s="704"/>
      <c r="E38" s="454"/>
      <c r="F38" s="705"/>
      <c r="G38" s="705" t="s">
        <v>897</v>
      </c>
      <c r="H38" s="705"/>
      <c r="I38" s="705"/>
      <c r="J38" s="704"/>
    </row>
    <row r="39" spans="1:10">
      <c r="A39" s="454" t="s">
        <v>1716</v>
      </c>
      <c r="B39" s="706">
        <f>(POWER(B37/B5, 1/32)-1)*100</f>
        <v>1.299415433669826</v>
      </c>
      <c r="C39" s="706">
        <f>(POWER(C37/C5, 1/32)-1)*100</f>
        <v>0.95299212979780279</v>
      </c>
      <c r="D39" s="706">
        <f>(POWER(D37/D5, 1/32)-1)*100</f>
        <v>1.610519760528395</v>
      </c>
      <c r="E39" s="707">
        <f>(POWER(E37/E5, 1/32)-1)*100</f>
        <v>1.5631304743843888</v>
      </c>
      <c r="F39" s="708">
        <f>F37-F5</f>
        <v>2.5471686903568376</v>
      </c>
      <c r="G39" s="708">
        <f>G37-G5</f>
        <v>-2.9673440809396254</v>
      </c>
      <c r="H39" s="708">
        <f>H37-H5</f>
        <v>15.065909175299836</v>
      </c>
      <c r="I39" s="708">
        <f>I37-I5</f>
        <v>12.578812520886707</v>
      </c>
      <c r="J39" s="708">
        <f>J37-J5</f>
        <v>1.3431778243863821</v>
      </c>
    </row>
    <row r="40" spans="1:10">
      <c r="A40" s="454" t="s">
        <v>1707</v>
      </c>
      <c r="B40" s="706">
        <f>(POWER(B37/B10, 1/27)-1)*100</f>
        <v>1.3236775767100806</v>
      </c>
      <c r="C40" s="706">
        <f>(POWER(C37/C10, 1/27)-1)*100</f>
        <v>0.82499748993551947</v>
      </c>
      <c r="D40" s="706">
        <f>(POWER(D37/D10, 1/27)-1)*100</f>
        <v>1.4571173449231756</v>
      </c>
      <c r="E40" s="707">
        <f>(POWER(E37/E10, 1/27)-1)*100</f>
        <v>1.4938954881475119</v>
      </c>
      <c r="F40" s="708">
        <f>F37-F10</f>
        <v>3.0597816788146304</v>
      </c>
      <c r="G40" s="708">
        <f>G37-G10</f>
        <v>-1.5857513159359442</v>
      </c>
      <c r="H40" s="708">
        <f>H37-H10</f>
        <v>12.470998870752496</v>
      </c>
      <c r="I40" s="708">
        <f>I37-I10</f>
        <v>11.727748691099478</v>
      </c>
      <c r="J40" s="708">
        <f>J37-J10</f>
        <v>-0.86968973027560104</v>
      </c>
    </row>
    <row r="42" spans="1:10">
      <c r="A42" s="449" t="s">
        <v>899</v>
      </c>
    </row>
    <row r="43" spans="1:10">
      <c r="A43" s="449" t="s">
        <v>1717</v>
      </c>
    </row>
    <row r="45" spans="1:10" ht="15">
      <c r="A45" s="912" t="s">
        <v>163</v>
      </c>
      <c r="B45" s="913" t="s">
        <v>1428</v>
      </c>
      <c r="C45" s="913" t="s">
        <v>1429</v>
      </c>
      <c r="D45" s="913" t="s">
        <v>1430</v>
      </c>
      <c r="E45" s="914" t="s">
        <v>1458</v>
      </c>
      <c r="F45" s="914" t="s">
        <v>1459</v>
      </c>
      <c r="G45" s="914" t="s">
        <v>1460</v>
      </c>
    </row>
    <row r="46" spans="1:10" ht="15">
      <c r="A46" s="912">
        <v>1976</v>
      </c>
      <c r="B46" s="913">
        <v>399.6</v>
      </c>
      <c r="C46" s="913">
        <v>953.3</v>
      </c>
      <c r="D46" s="913">
        <v>197.1</v>
      </c>
      <c r="E46" s="914">
        <v>70.5</v>
      </c>
      <c r="F46" s="914">
        <v>46</v>
      </c>
      <c r="G46" s="914">
        <v>41.7</v>
      </c>
    </row>
    <row r="47" spans="1:10" ht="15">
      <c r="A47" s="912">
        <v>1977</v>
      </c>
      <c r="B47" s="913">
        <v>409.2</v>
      </c>
      <c r="C47" s="913">
        <v>972.5</v>
      </c>
      <c r="D47" s="913">
        <v>179.3</v>
      </c>
      <c r="E47" s="914">
        <v>71.900000000000006</v>
      </c>
      <c r="F47" s="914">
        <v>46.9</v>
      </c>
      <c r="G47" s="914">
        <v>42.4</v>
      </c>
    </row>
    <row r="48" spans="1:10" ht="15">
      <c r="A48" s="912">
        <v>1978</v>
      </c>
      <c r="B48" s="913">
        <v>416.3</v>
      </c>
      <c r="C48" s="913">
        <v>1049.0999999999999</v>
      </c>
      <c r="D48" s="913">
        <v>177.2</v>
      </c>
      <c r="E48" s="914">
        <v>73.599999999999994</v>
      </c>
      <c r="F48" s="914">
        <v>48.5</v>
      </c>
      <c r="G48" s="914">
        <v>43.7</v>
      </c>
    </row>
    <row r="49" spans="1:7" ht="15">
      <c r="A49" s="912">
        <v>1979</v>
      </c>
      <c r="B49" s="913">
        <v>433.9</v>
      </c>
      <c r="C49" s="913">
        <v>1057.7</v>
      </c>
      <c r="D49" s="913">
        <v>176.5</v>
      </c>
      <c r="E49" s="914">
        <v>75.099999999999994</v>
      </c>
      <c r="F49" s="914">
        <v>51.3</v>
      </c>
      <c r="G49" s="914">
        <v>45.2</v>
      </c>
    </row>
    <row r="50" spans="1:7" ht="15">
      <c r="A50" s="912">
        <v>1980</v>
      </c>
      <c r="B50" s="913">
        <v>429.3</v>
      </c>
      <c r="C50" s="913">
        <v>1093.3</v>
      </c>
      <c r="D50" s="913">
        <v>179.6</v>
      </c>
      <c r="E50" s="914">
        <v>76.099999999999994</v>
      </c>
      <c r="F50" s="914">
        <v>52.1</v>
      </c>
      <c r="G50" s="914">
        <v>46.5</v>
      </c>
    </row>
    <row r="51" spans="1:7" ht="15">
      <c r="A51" s="912">
        <v>1981</v>
      </c>
      <c r="B51" s="913">
        <v>392.2</v>
      </c>
      <c r="C51" s="913">
        <v>1089.9000000000001</v>
      </c>
      <c r="D51" s="913">
        <v>160.6</v>
      </c>
      <c r="E51" s="914">
        <v>76.5</v>
      </c>
      <c r="F51" s="914">
        <v>51.9</v>
      </c>
      <c r="G51" s="914">
        <v>45.9</v>
      </c>
    </row>
    <row r="52" spans="1:7" ht="15">
      <c r="A52" s="912">
        <v>1982</v>
      </c>
      <c r="B52" s="913">
        <v>360.4</v>
      </c>
      <c r="C52" s="913">
        <v>1070.0999999999999</v>
      </c>
      <c r="D52" s="913">
        <v>148.6</v>
      </c>
      <c r="E52" s="914">
        <v>76.8</v>
      </c>
      <c r="F52" s="914">
        <v>51.8</v>
      </c>
      <c r="G52" s="914">
        <v>45.1</v>
      </c>
    </row>
    <row r="53" spans="1:7" ht="15">
      <c r="A53" s="912">
        <v>1983</v>
      </c>
      <c r="B53" s="913">
        <v>376.4</v>
      </c>
      <c r="C53" s="913">
        <v>1158.2</v>
      </c>
      <c r="D53" s="913">
        <v>186.7</v>
      </c>
      <c r="E53" s="914">
        <v>78.099999999999994</v>
      </c>
      <c r="F53" s="914">
        <v>54.3</v>
      </c>
      <c r="G53" s="914">
        <v>47.5</v>
      </c>
    </row>
    <row r="54" spans="1:7" ht="15">
      <c r="A54" s="912">
        <v>1984</v>
      </c>
      <c r="B54" s="913">
        <v>394.7</v>
      </c>
      <c r="C54" s="913">
        <v>1197.0999999999999</v>
      </c>
      <c r="D54" s="913">
        <v>159</v>
      </c>
      <c r="E54" s="914">
        <v>79.400000000000006</v>
      </c>
      <c r="F54" s="914">
        <v>55.4</v>
      </c>
      <c r="G54" s="914">
        <v>48.3</v>
      </c>
    </row>
    <row r="55" spans="1:7" ht="15">
      <c r="A55" s="912">
        <v>1985</v>
      </c>
      <c r="B55" s="913">
        <v>393.7</v>
      </c>
      <c r="C55" s="913">
        <v>1206.9000000000001</v>
      </c>
      <c r="D55" s="913">
        <v>162.80000000000001</v>
      </c>
      <c r="E55" s="914">
        <v>80.400000000000006</v>
      </c>
      <c r="F55" s="914">
        <v>57.3</v>
      </c>
      <c r="G55" s="914">
        <v>49.3</v>
      </c>
    </row>
    <row r="56" spans="1:7" ht="15">
      <c r="A56" s="912">
        <v>1986</v>
      </c>
      <c r="B56" s="913">
        <v>392</v>
      </c>
      <c r="C56" s="913">
        <v>1272.4000000000001</v>
      </c>
      <c r="D56" s="913">
        <v>170.3</v>
      </c>
      <c r="E56" s="914">
        <v>81</v>
      </c>
      <c r="F56" s="914">
        <v>58.8</v>
      </c>
      <c r="G56" s="914">
        <v>50.9</v>
      </c>
    </row>
    <row r="57" spans="1:7" ht="15">
      <c r="A57" s="912">
        <v>1987</v>
      </c>
      <c r="B57" s="913">
        <v>374.7</v>
      </c>
      <c r="C57" s="913">
        <v>1298</v>
      </c>
      <c r="D57" s="913">
        <v>169.4</v>
      </c>
      <c r="E57" s="914">
        <v>81.2</v>
      </c>
      <c r="F57" s="914">
        <v>59.7</v>
      </c>
      <c r="G57" s="914">
        <v>52.2</v>
      </c>
    </row>
    <row r="58" spans="1:7" ht="15">
      <c r="A58" s="912">
        <v>1988</v>
      </c>
      <c r="B58" s="913">
        <v>374.5</v>
      </c>
      <c r="C58" s="913">
        <v>1393.4</v>
      </c>
      <c r="D58" s="913">
        <v>173.9</v>
      </c>
      <c r="E58" s="914">
        <v>81.599999999999994</v>
      </c>
      <c r="F58" s="914">
        <v>61</v>
      </c>
      <c r="G58" s="914">
        <v>53.4</v>
      </c>
    </row>
    <row r="59" spans="1:7" ht="15">
      <c r="A59" s="912">
        <v>1989</v>
      </c>
      <c r="B59" s="913">
        <v>357.8</v>
      </c>
      <c r="C59" s="913">
        <v>1406.2</v>
      </c>
      <c r="D59" s="913">
        <v>174.4</v>
      </c>
      <c r="E59" s="914">
        <v>82.1</v>
      </c>
      <c r="F59" s="914">
        <v>62.4</v>
      </c>
      <c r="G59" s="914">
        <v>53.8</v>
      </c>
    </row>
    <row r="60" spans="1:7" ht="15">
      <c r="A60" s="912">
        <v>1990</v>
      </c>
      <c r="B60" s="913">
        <v>348.1</v>
      </c>
      <c r="C60" s="913">
        <v>1444.7</v>
      </c>
      <c r="D60" s="913">
        <v>180.2</v>
      </c>
      <c r="E60" s="914">
        <v>82.5</v>
      </c>
      <c r="F60" s="914">
        <v>63.3</v>
      </c>
      <c r="G60" s="914">
        <v>54</v>
      </c>
    </row>
    <row r="61" spans="1:7" ht="15">
      <c r="A61" s="912">
        <v>1991</v>
      </c>
      <c r="B61" s="913">
        <v>316.5</v>
      </c>
      <c r="C61" s="913">
        <v>1370.6</v>
      </c>
      <c r="D61" s="913">
        <v>165.1</v>
      </c>
      <c r="E61" s="914">
        <v>82.8</v>
      </c>
      <c r="F61" s="914">
        <v>63.1</v>
      </c>
      <c r="G61" s="914">
        <v>52.5</v>
      </c>
    </row>
    <row r="62" spans="1:7" ht="15">
      <c r="A62" s="912">
        <v>1992</v>
      </c>
      <c r="B62" s="913">
        <v>292.39999999999998</v>
      </c>
      <c r="C62" s="913">
        <v>1353.9</v>
      </c>
      <c r="D62" s="913">
        <v>166.5</v>
      </c>
      <c r="E62" s="914">
        <v>83.7</v>
      </c>
      <c r="F62" s="914">
        <v>64.2</v>
      </c>
      <c r="G62" s="914">
        <v>52.7</v>
      </c>
    </row>
    <row r="63" spans="1:7" ht="15">
      <c r="A63" s="912">
        <v>1993</v>
      </c>
      <c r="B63" s="913">
        <v>284.3</v>
      </c>
      <c r="C63" s="913">
        <v>1392.3</v>
      </c>
      <c r="D63" s="913">
        <v>163.6</v>
      </c>
      <c r="E63" s="914">
        <v>84.8</v>
      </c>
      <c r="F63" s="914">
        <v>64.7</v>
      </c>
      <c r="G63" s="914">
        <v>53.6</v>
      </c>
    </row>
    <row r="64" spans="1:7" ht="15">
      <c r="A64" s="912">
        <v>1994</v>
      </c>
      <c r="B64" s="913">
        <v>295.2</v>
      </c>
      <c r="C64" s="913">
        <v>1483.9</v>
      </c>
      <c r="D64" s="913">
        <v>159.4</v>
      </c>
      <c r="E64" s="914">
        <v>86</v>
      </c>
      <c r="F64" s="914">
        <v>65.900000000000006</v>
      </c>
      <c r="G64" s="914">
        <v>54.9</v>
      </c>
    </row>
    <row r="65" spans="1:7" ht="15">
      <c r="A65" s="912">
        <v>1995</v>
      </c>
      <c r="B65" s="913">
        <v>309.89999999999998</v>
      </c>
      <c r="C65" s="913">
        <v>1534.7</v>
      </c>
      <c r="D65" s="913">
        <v>161</v>
      </c>
      <c r="E65" s="914">
        <v>87.1</v>
      </c>
      <c r="F65" s="914">
        <v>66.2</v>
      </c>
      <c r="G65" s="914">
        <v>56.3</v>
      </c>
    </row>
    <row r="66" spans="1:7" ht="15">
      <c r="A66" s="912">
        <v>1996</v>
      </c>
      <c r="B66" s="913">
        <v>330.6</v>
      </c>
      <c r="C66" s="913">
        <v>1600.6</v>
      </c>
      <c r="D66" s="913">
        <v>168.4</v>
      </c>
      <c r="E66" s="914">
        <v>88.2</v>
      </c>
      <c r="F66" s="914">
        <v>68</v>
      </c>
      <c r="G66" s="914">
        <v>57.9</v>
      </c>
    </row>
    <row r="67" spans="1:7" ht="15">
      <c r="A67" s="912">
        <v>1997</v>
      </c>
      <c r="B67" s="913">
        <v>323</v>
      </c>
      <c r="C67" s="913">
        <v>1584.8</v>
      </c>
      <c r="D67" s="913">
        <v>176.1</v>
      </c>
      <c r="E67" s="914">
        <v>88.9</v>
      </c>
      <c r="F67" s="914">
        <v>68.5</v>
      </c>
      <c r="G67" s="914">
        <v>57.9</v>
      </c>
    </row>
    <row r="68" spans="1:7" ht="15">
      <c r="A68" s="912">
        <v>1998</v>
      </c>
      <c r="B68" s="913">
        <v>309.60000000000002</v>
      </c>
      <c r="C68" s="913">
        <v>1592.3</v>
      </c>
      <c r="D68" s="913">
        <v>187.3</v>
      </c>
      <c r="E68" s="914">
        <v>89</v>
      </c>
      <c r="F68" s="914">
        <v>68.400000000000006</v>
      </c>
      <c r="G68" s="914">
        <v>58.8</v>
      </c>
    </row>
    <row r="69" spans="1:7" ht="15">
      <c r="A69" s="912">
        <v>1999</v>
      </c>
      <c r="B69" s="913">
        <v>318.7</v>
      </c>
      <c r="C69" s="913">
        <v>1609.8</v>
      </c>
      <c r="D69" s="913">
        <v>184.5</v>
      </c>
      <c r="E69" s="914">
        <v>89.6</v>
      </c>
      <c r="F69" s="914">
        <v>69.3</v>
      </c>
      <c r="G69" s="914">
        <v>59.2</v>
      </c>
    </row>
    <row r="70" spans="1:7" ht="15">
      <c r="A70" s="912">
        <v>2000</v>
      </c>
      <c r="B70" s="913">
        <v>333.5</v>
      </c>
      <c r="C70" s="913">
        <v>1712.6</v>
      </c>
      <c r="D70" s="913">
        <v>194.8</v>
      </c>
      <c r="E70" s="914">
        <v>90.1</v>
      </c>
      <c r="F70" s="914">
        <v>70.400000000000006</v>
      </c>
      <c r="G70" s="914">
        <v>61.8</v>
      </c>
    </row>
    <row r="71" spans="1:7" ht="15">
      <c r="A71" s="912">
        <v>2001</v>
      </c>
      <c r="B71" s="913">
        <v>321.89999999999998</v>
      </c>
      <c r="C71" s="913">
        <v>1689.9</v>
      </c>
      <c r="D71" s="913">
        <v>222.7</v>
      </c>
      <c r="E71" s="914">
        <v>90.7</v>
      </c>
      <c r="F71" s="914">
        <v>71</v>
      </c>
      <c r="G71" s="914">
        <v>62.5</v>
      </c>
    </row>
    <row r="72" spans="1:7" ht="15">
      <c r="A72" s="912">
        <v>2002</v>
      </c>
      <c r="B72" s="913">
        <v>333.5</v>
      </c>
      <c r="C72" s="913">
        <v>1665.7</v>
      </c>
      <c r="D72" s="913">
        <v>244.6</v>
      </c>
      <c r="E72" s="914">
        <v>91.4</v>
      </c>
      <c r="F72" s="914">
        <v>72.3</v>
      </c>
      <c r="G72" s="914">
        <v>63.5</v>
      </c>
    </row>
    <row r="73" spans="1:7" ht="15">
      <c r="A73" s="912">
        <v>2003</v>
      </c>
      <c r="B73" s="913">
        <v>333.9</v>
      </c>
      <c r="C73" s="913">
        <v>1661.9</v>
      </c>
      <c r="D73" s="913">
        <v>255</v>
      </c>
      <c r="E73" s="914">
        <v>92.2</v>
      </c>
      <c r="F73" s="914">
        <v>73.2</v>
      </c>
      <c r="G73" s="914">
        <v>65.099999999999994</v>
      </c>
    </row>
    <row r="74" spans="1:7" ht="15">
      <c r="A74" s="912">
        <v>2004</v>
      </c>
      <c r="B74" s="913">
        <v>314.3</v>
      </c>
      <c r="C74" s="913">
        <v>1626.5</v>
      </c>
      <c r="D74" s="913">
        <v>276.2</v>
      </c>
      <c r="E74" s="914">
        <v>93.1</v>
      </c>
      <c r="F74" s="914">
        <v>74.2</v>
      </c>
      <c r="G74" s="914">
        <v>65.8</v>
      </c>
    </row>
    <row r="75" spans="1:7" ht="15">
      <c r="A75" s="912">
        <v>2005</v>
      </c>
      <c r="B75" s="913">
        <v>317.39999999999998</v>
      </c>
      <c r="C75" s="913">
        <v>1686.7</v>
      </c>
      <c r="D75" s="913">
        <v>302.5</v>
      </c>
      <c r="E75" s="914">
        <v>93.6</v>
      </c>
      <c r="F75" s="914">
        <v>74.8</v>
      </c>
      <c r="G75" s="914">
        <v>66.599999999999994</v>
      </c>
    </row>
    <row r="76" spans="1:7" ht="15">
      <c r="A76" s="912">
        <v>2006</v>
      </c>
      <c r="B76" s="913">
        <v>355.6</v>
      </c>
      <c r="C76" s="913">
        <v>1689.7</v>
      </c>
      <c r="D76" s="913">
        <v>314.3</v>
      </c>
      <c r="E76" s="914">
        <v>94</v>
      </c>
      <c r="F76" s="914">
        <v>75.3</v>
      </c>
      <c r="G76" s="914">
        <v>67</v>
      </c>
    </row>
    <row r="77" spans="1:7" ht="15">
      <c r="A77" s="912">
        <v>2007</v>
      </c>
      <c r="B77" s="913">
        <v>342.2</v>
      </c>
      <c r="C77" s="913">
        <v>1653.4</v>
      </c>
      <c r="D77" s="913">
        <v>342.4</v>
      </c>
      <c r="E77" s="914">
        <v>94.6</v>
      </c>
      <c r="F77" s="914">
        <v>75.3</v>
      </c>
      <c r="G77" s="914">
        <v>67.599999999999994</v>
      </c>
    </row>
  </sheetData>
  <phoneticPr fontId="36" type="noConversion"/>
  <pageMargins left="0.75" right="0.75" top="1" bottom="1" header="0.5" footer="0.5"/>
  <pageSetup scale="89" orientation="portrait" r:id="rId1"/>
  <headerFooter alignWithMargins="0"/>
</worksheet>
</file>

<file path=xl/worksheets/sheet188.xml><?xml version="1.0" encoding="utf-8"?>
<worksheet xmlns="http://schemas.openxmlformats.org/spreadsheetml/2006/main" xmlns:r="http://schemas.openxmlformats.org/officeDocument/2006/relationships">
  <sheetPr codeName="Sheet160">
    <pageSetUpPr fitToPage="1"/>
  </sheetPr>
  <dimension ref="A1:J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2232</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10238.200000000001</v>
      </c>
      <c r="C5" s="232">
        <f>E46</f>
        <v>512.6</v>
      </c>
      <c r="D5" s="232">
        <f>F46</f>
        <v>321.89999999999998</v>
      </c>
      <c r="E5" s="232">
        <f>G46</f>
        <v>292</v>
      </c>
      <c r="F5" s="701">
        <f t="shared" ref="F5:F34" si="0">B5/C5</f>
        <v>19.9730784237222</v>
      </c>
      <c r="G5" s="701">
        <f t="shared" ref="G5:G34" si="1">B5/E5</f>
        <v>35.06232876712329</v>
      </c>
      <c r="H5" s="701">
        <f t="shared" ref="H5:H34" si="2">D5/C5*100</f>
        <v>62.797502926258289</v>
      </c>
      <c r="I5" s="701">
        <f t="shared" ref="I5:I34" si="3">E5/C5*100</f>
        <v>56.964494732735069</v>
      </c>
      <c r="J5" s="692">
        <f t="shared" ref="J5:J34" si="4">(D5-E5)/D5*100</f>
        <v>9.2885989437713512</v>
      </c>
    </row>
    <row r="6" spans="1:10">
      <c r="A6" s="452">
        <v>1977</v>
      </c>
      <c r="B6" s="19">
        <f t="shared" ref="B6:B36" si="5">SUM(B47:D47)</f>
        <v>10371.799999999999</v>
      </c>
      <c r="C6" s="232">
        <f t="shared" ref="C6:E21" si="6">E47</f>
        <v>520.1</v>
      </c>
      <c r="D6" s="232">
        <f t="shared" si="6"/>
        <v>327.5</v>
      </c>
      <c r="E6" s="232">
        <f t="shared" si="6"/>
        <v>293.2</v>
      </c>
      <c r="F6" s="701">
        <f t="shared" si="0"/>
        <v>19.941934243414725</v>
      </c>
      <c r="G6" s="701">
        <f t="shared" si="1"/>
        <v>35.374488403819917</v>
      </c>
      <c r="H6" s="701">
        <f t="shared" si="2"/>
        <v>62.968659873101331</v>
      </c>
      <c r="I6" s="701">
        <f t="shared" si="3"/>
        <v>56.373774274178032</v>
      </c>
      <c r="J6" s="692">
        <f t="shared" si="4"/>
        <v>10.473282442748095</v>
      </c>
    </row>
    <row r="7" spans="1:10">
      <c r="A7" s="452">
        <v>1978</v>
      </c>
      <c r="B7" s="19">
        <f t="shared" si="5"/>
        <v>10815</v>
      </c>
      <c r="C7" s="232">
        <f t="shared" si="6"/>
        <v>527.29999999999995</v>
      </c>
      <c r="D7" s="232">
        <f t="shared" si="6"/>
        <v>336</v>
      </c>
      <c r="E7" s="232">
        <f t="shared" si="6"/>
        <v>300.2</v>
      </c>
      <c r="F7" s="701">
        <f t="shared" si="0"/>
        <v>20.510146026929643</v>
      </c>
      <c r="G7" s="701">
        <f t="shared" si="1"/>
        <v>36.025982678214525</v>
      </c>
      <c r="H7" s="701">
        <f t="shared" si="2"/>
        <v>63.72084202541248</v>
      </c>
      <c r="I7" s="701">
        <f t="shared" si="3"/>
        <v>56.931538023895321</v>
      </c>
      <c r="J7" s="692">
        <f t="shared" si="4"/>
        <v>10.654761904761909</v>
      </c>
    </row>
    <row r="8" spans="1:10">
      <c r="A8" s="452">
        <v>1979</v>
      </c>
      <c r="B8" s="19">
        <f t="shared" si="5"/>
        <v>11152</v>
      </c>
      <c r="C8" s="232">
        <f t="shared" si="6"/>
        <v>534.6</v>
      </c>
      <c r="D8" s="232">
        <f t="shared" si="6"/>
        <v>346.9</v>
      </c>
      <c r="E8" s="232">
        <f t="shared" si="6"/>
        <v>311.8</v>
      </c>
      <c r="F8" s="701">
        <f t="shared" si="0"/>
        <v>20.860456416011971</v>
      </c>
      <c r="G8" s="701">
        <f t="shared" si="1"/>
        <v>35.766516998075687</v>
      </c>
      <c r="H8" s="701">
        <f t="shared" si="2"/>
        <v>64.889637111859315</v>
      </c>
      <c r="I8" s="701">
        <f t="shared" si="3"/>
        <v>58.323980546202769</v>
      </c>
      <c r="J8" s="692">
        <f t="shared" si="4"/>
        <v>10.118189680023052</v>
      </c>
    </row>
    <row r="9" spans="1:10">
      <c r="A9" s="452">
        <v>1980</v>
      </c>
      <c r="B9" s="19">
        <f t="shared" si="5"/>
        <v>11253.1</v>
      </c>
      <c r="C9" s="232">
        <f t="shared" si="6"/>
        <v>540.79999999999995</v>
      </c>
      <c r="D9" s="232">
        <f t="shared" si="6"/>
        <v>354.1</v>
      </c>
      <c r="E9" s="232">
        <f t="shared" si="6"/>
        <v>319.5</v>
      </c>
      <c r="F9" s="701">
        <f t="shared" si="0"/>
        <v>20.80824704142012</v>
      </c>
      <c r="G9" s="701">
        <f t="shared" si="1"/>
        <v>35.220970266040688</v>
      </c>
      <c r="H9" s="701">
        <f t="shared" si="2"/>
        <v>65.477071005917168</v>
      </c>
      <c r="I9" s="701">
        <f t="shared" si="3"/>
        <v>59.079142011834328</v>
      </c>
      <c r="J9" s="692">
        <f t="shared" si="4"/>
        <v>9.771251059022882</v>
      </c>
    </row>
    <row r="10" spans="1:10">
      <c r="A10" s="452">
        <v>1981</v>
      </c>
      <c r="B10" s="19">
        <f t="shared" si="5"/>
        <v>11173.599999999999</v>
      </c>
      <c r="C10" s="232">
        <f t="shared" si="6"/>
        <v>544.6</v>
      </c>
      <c r="D10" s="232">
        <f t="shared" si="6"/>
        <v>359.8</v>
      </c>
      <c r="E10" s="232">
        <f t="shared" si="6"/>
        <v>323.5</v>
      </c>
      <c r="F10" s="701">
        <f t="shared" si="0"/>
        <v>20.517076753580607</v>
      </c>
      <c r="G10" s="701">
        <f t="shared" si="1"/>
        <v>34.539721792890255</v>
      </c>
      <c r="H10" s="701">
        <f t="shared" si="2"/>
        <v>66.066838046272494</v>
      </c>
      <c r="I10" s="701">
        <f t="shared" si="3"/>
        <v>59.401395519647451</v>
      </c>
      <c r="J10" s="692">
        <f t="shared" si="4"/>
        <v>10.088938299055034</v>
      </c>
    </row>
    <row r="11" spans="1:10">
      <c r="A11" s="452">
        <v>1982</v>
      </c>
      <c r="B11" s="19">
        <f t="shared" si="5"/>
        <v>10892.599999999999</v>
      </c>
      <c r="C11" s="232">
        <f t="shared" si="6"/>
        <v>549.70000000000005</v>
      </c>
      <c r="D11" s="232">
        <f t="shared" si="6"/>
        <v>363.6</v>
      </c>
      <c r="E11" s="232">
        <f t="shared" si="6"/>
        <v>316.5</v>
      </c>
      <c r="F11" s="701">
        <f t="shared" si="0"/>
        <v>19.815535746770962</v>
      </c>
      <c r="G11" s="701">
        <f t="shared" si="1"/>
        <v>34.415797788309632</v>
      </c>
      <c r="H11" s="701">
        <f t="shared" si="2"/>
        <v>66.145170092777889</v>
      </c>
      <c r="I11" s="701">
        <f t="shared" si="3"/>
        <v>57.576860105512097</v>
      </c>
      <c r="J11" s="692">
        <f t="shared" si="4"/>
        <v>12.953795379537958</v>
      </c>
    </row>
    <row r="12" spans="1:10">
      <c r="A12" s="452">
        <v>1983</v>
      </c>
      <c r="B12" s="19">
        <f t="shared" si="5"/>
        <v>11055.199999999999</v>
      </c>
      <c r="C12" s="232">
        <f t="shared" si="6"/>
        <v>558.29999999999995</v>
      </c>
      <c r="D12" s="232">
        <f t="shared" si="6"/>
        <v>370.2</v>
      </c>
      <c r="E12" s="232">
        <f t="shared" si="6"/>
        <v>319.8</v>
      </c>
      <c r="F12" s="701">
        <f t="shared" si="0"/>
        <v>19.801540390471072</v>
      </c>
      <c r="G12" s="701">
        <f t="shared" si="1"/>
        <v>34.569105691056905</v>
      </c>
      <c r="H12" s="701">
        <f t="shared" si="2"/>
        <v>66.308436324556695</v>
      </c>
      <c r="I12" s="701">
        <f t="shared" si="3"/>
        <v>57.281031703385288</v>
      </c>
      <c r="J12" s="692">
        <f t="shared" si="4"/>
        <v>13.61426256077795</v>
      </c>
    </row>
    <row r="13" spans="1:10">
      <c r="A13" s="452">
        <v>1984</v>
      </c>
      <c r="B13" s="19">
        <f t="shared" si="5"/>
        <v>11642.6</v>
      </c>
      <c r="C13" s="232">
        <f t="shared" si="6"/>
        <v>565.9</v>
      </c>
      <c r="D13" s="232">
        <f t="shared" si="6"/>
        <v>385.7</v>
      </c>
      <c r="E13" s="232">
        <f t="shared" si="6"/>
        <v>334.9</v>
      </c>
      <c r="F13" s="701">
        <f t="shared" si="0"/>
        <v>20.573599575896804</v>
      </c>
      <c r="G13" s="701">
        <f t="shared" si="1"/>
        <v>34.764407285756945</v>
      </c>
      <c r="H13" s="701">
        <f t="shared" si="2"/>
        <v>68.156918183424636</v>
      </c>
      <c r="I13" s="701">
        <f t="shared" si="3"/>
        <v>59.180067149673086</v>
      </c>
      <c r="J13" s="692">
        <f t="shared" si="4"/>
        <v>13.170858179932592</v>
      </c>
    </row>
    <row r="14" spans="1:10">
      <c r="A14" s="452">
        <v>1985</v>
      </c>
      <c r="B14" s="19">
        <f t="shared" si="5"/>
        <v>11827.6</v>
      </c>
      <c r="C14" s="232">
        <f t="shared" si="6"/>
        <v>572</v>
      </c>
      <c r="D14" s="232">
        <f t="shared" si="6"/>
        <v>391.4</v>
      </c>
      <c r="E14" s="232">
        <f t="shared" si="6"/>
        <v>338</v>
      </c>
      <c r="F14" s="701">
        <f t="shared" si="0"/>
        <v>20.677622377622377</v>
      </c>
      <c r="G14" s="701">
        <f t="shared" si="1"/>
        <v>34.992899408284025</v>
      </c>
      <c r="H14" s="701">
        <f t="shared" si="2"/>
        <v>68.426573426573427</v>
      </c>
      <c r="I14" s="701">
        <f t="shared" si="3"/>
        <v>59.090909090909093</v>
      </c>
      <c r="J14" s="692">
        <f t="shared" si="4"/>
        <v>13.643331630045985</v>
      </c>
    </row>
    <row r="15" spans="1:10">
      <c r="A15" s="452">
        <v>1986</v>
      </c>
      <c r="B15" s="19">
        <f t="shared" si="5"/>
        <v>12088.1</v>
      </c>
      <c r="C15" s="232">
        <f t="shared" si="6"/>
        <v>576.5</v>
      </c>
      <c r="D15" s="232">
        <f t="shared" si="6"/>
        <v>399.6</v>
      </c>
      <c r="E15" s="232">
        <f t="shared" si="6"/>
        <v>346.1</v>
      </c>
      <c r="F15" s="701">
        <f t="shared" si="0"/>
        <v>20.968083261058108</v>
      </c>
      <c r="G15" s="701">
        <f t="shared" si="1"/>
        <v>34.926610806125396</v>
      </c>
      <c r="H15" s="701">
        <f t="shared" si="2"/>
        <v>69.314830875975716</v>
      </c>
      <c r="I15" s="701">
        <f t="shared" si="3"/>
        <v>60.034692107545538</v>
      </c>
      <c r="J15" s="692">
        <f t="shared" si="4"/>
        <v>13.388388388388387</v>
      </c>
    </row>
    <row r="16" spans="1:10">
      <c r="A16" s="452">
        <v>1987</v>
      </c>
      <c r="B16" s="19">
        <f t="shared" si="5"/>
        <v>12258.699999999999</v>
      </c>
      <c r="C16" s="232">
        <f t="shared" si="6"/>
        <v>579.4</v>
      </c>
      <c r="D16" s="232">
        <f t="shared" si="6"/>
        <v>403.7</v>
      </c>
      <c r="E16" s="232">
        <f t="shared" si="6"/>
        <v>354.7</v>
      </c>
      <c r="F16" s="701">
        <f t="shared" si="0"/>
        <v>21.157576803589919</v>
      </c>
      <c r="G16" s="701">
        <f t="shared" si="1"/>
        <v>34.560755568085703</v>
      </c>
      <c r="H16" s="701">
        <f t="shared" si="2"/>
        <v>69.67552640662754</v>
      </c>
      <c r="I16" s="701">
        <f t="shared" si="3"/>
        <v>61.218501898515711</v>
      </c>
      <c r="J16" s="692">
        <f t="shared" si="4"/>
        <v>12.1377260341838</v>
      </c>
    </row>
    <row r="17" spans="1:10">
      <c r="A17" s="452">
        <v>1988</v>
      </c>
      <c r="B17" s="19">
        <f t="shared" si="5"/>
        <v>13032.699999999999</v>
      </c>
      <c r="C17" s="232">
        <f t="shared" si="6"/>
        <v>582.5</v>
      </c>
      <c r="D17" s="232">
        <f t="shared" si="6"/>
        <v>411.7</v>
      </c>
      <c r="E17" s="232">
        <f t="shared" si="6"/>
        <v>369.5</v>
      </c>
      <c r="F17" s="701">
        <f t="shared" si="0"/>
        <v>22.373733905579396</v>
      </c>
      <c r="G17" s="701">
        <f t="shared" si="1"/>
        <v>35.271177266576451</v>
      </c>
      <c r="H17" s="701">
        <f t="shared" si="2"/>
        <v>70.678111587982826</v>
      </c>
      <c r="I17" s="701">
        <f t="shared" si="3"/>
        <v>63.433476394849784</v>
      </c>
      <c r="J17" s="692">
        <f t="shared" si="4"/>
        <v>10.250182171484088</v>
      </c>
    </row>
    <row r="18" spans="1:10">
      <c r="A18" s="452">
        <v>1989</v>
      </c>
      <c r="B18" s="19">
        <f t="shared" si="5"/>
        <v>13483.8</v>
      </c>
      <c r="C18" s="232">
        <f t="shared" si="6"/>
        <v>586.6</v>
      </c>
      <c r="D18" s="232">
        <f t="shared" si="6"/>
        <v>419.1</v>
      </c>
      <c r="E18" s="232">
        <f t="shared" si="6"/>
        <v>377.4</v>
      </c>
      <c r="F18" s="701">
        <f t="shared" si="0"/>
        <v>22.986362086600749</v>
      </c>
      <c r="G18" s="701">
        <f t="shared" si="1"/>
        <v>35.728139904610494</v>
      </c>
      <c r="H18" s="701">
        <f t="shared" si="2"/>
        <v>71.44561882032049</v>
      </c>
      <c r="I18" s="701">
        <f t="shared" si="3"/>
        <v>64.336856460961471</v>
      </c>
      <c r="J18" s="692">
        <f t="shared" si="4"/>
        <v>9.9498926270579915</v>
      </c>
    </row>
    <row r="19" spans="1:10">
      <c r="A19" s="452">
        <v>1990</v>
      </c>
      <c r="B19" s="19">
        <f t="shared" si="5"/>
        <v>13422.900000000001</v>
      </c>
      <c r="C19" s="232">
        <f t="shared" si="6"/>
        <v>591.1</v>
      </c>
      <c r="D19" s="232">
        <f t="shared" si="6"/>
        <v>426.8</v>
      </c>
      <c r="E19" s="232">
        <f t="shared" si="6"/>
        <v>380.9</v>
      </c>
      <c r="F19" s="701">
        <f t="shared" si="0"/>
        <v>22.708340382338015</v>
      </c>
      <c r="G19" s="701">
        <f t="shared" si="1"/>
        <v>35.239957994224213</v>
      </c>
      <c r="H19" s="701">
        <f t="shared" si="2"/>
        <v>72.204364743698193</v>
      </c>
      <c r="I19" s="701">
        <f t="shared" si="3"/>
        <v>64.439181187616299</v>
      </c>
      <c r="J19" s="692">
        <f t="shared" si="4"/>
        <v>10.754451733833186</v>
      </c>
    </row>
    <row r="20" spans="1:10">
      <c r="A20" s="452">
        <v>1991</v>
      </c>
      <c r="B20" s="19">
        <f t="shared" si="5"/>
        <v>12929.1</v>
      </c>
      <c r="C20" s="232">
        <f t="shared" si="6"/>
        <v>595.70000000000005</v>
      </c>
      <c r="D20" s="232">
        <f t="shared" si="6"/>
        <v>429.5</v>
      </c>
      <c r="E20" s="232">
        <f t="shared" si="6"/>
        <v>377.4</v>
      </c>
      <c r="F20" s="701">
        <f t="shared" si="0"/>
        <v>21.704045660567399</v>
      </c>
      <c r="G20" s="701">
        <f t="shared" si="1"/>
        <v>34.258346581875998</v>
      </c>
      <c r="H20" s="701">
        <f t="shared" si="2"/>
        <v>72.100050360919923</v>
      </c>
      <c r="I20" s="701">
        <f t="shared" si="3"/>
        <v>63.354037267080734</v>
      </c>
      <c r="J20" s="692">
        <f t="shared" si="4"/>
        <v>12.130384167636793</v>
      </c>
    </row>
    <row r="21" spans="1:10">
      <c r="A21" s="452">
        <v>1992</v>
      </c>
      <c r="B21" s="19">
        <f t="shared" si="5"/>
        <v>12414.2</v>
      </c>
      <c r="C21" s="232">
        <f t="shared" si="6"/>
        <v>598.79999999999995</v>
      </c>
      <c r="D21" s="232">
        <f t="shared" si="6"/>
        <v>420.8</v>
      </c>
      <c r="E21" s="232">
        <f t="shared" si="6"/>
        <v>365.2</v>
      </c>
      <c r="F21" s="701">
        <f t="shared" si="0"/>
        <v>20.731796927187712</v>
      </c>
      <c r="G21" s="701">
        <f t="shared" si="1"/>
        <v>33.992880613362544</v>
      </c>
      <c r="H21" s="701">
        <f t="shared" si="2"/>
        <v>70.273881095524388</v>
      </c>
      <c r="I21" s="701">
        <f t="shared" si="3"/>
        <v>60.988643954575814</v>
      </c>
      <c r="J21" s="692">
        <f t="shared" si="4"/>
        <v>13.212927756653997</v>
      </c>
    </row>
    <row r="22" spans="1:10">
      <c r="A22" s="452">
        <v>1993</v>
      </c>
      <c r="B22" s="19">
        <f t="shared" si="5"/>
        <v>12346.1</v>
      </c>
      <c r="C22" s="232">
        <f t="shared" ref="C22:E36" si="7">E63</f>
        <v>602.20000000000005</v>
      </c>
      <c r="D22" s="232">
        <f t="shared" si="7"/>
        <v>423.4</v>
      </c>
      <c r="E22" s="232">
        <f t="shared" si="7"/>
        <v>362.3</v>
      </c>
      <c r="F22" s="701">
        <f t="shared" si="0"/>
        <v>20.501660577881101</v>
      </c>
      <c r="G22" s="701">
        <f t="shared" si="1"/>
        <v>34.077008004416228</v>
      </c>
      <c r="H22" s="701">
        <f t="shared" si="2"/>
        <v>70.308867485885074</v>
      </c>
      <c r="I22" s="701">
        <f t="shared" si="3"/>
        <v>60.162736632348057</v>
      </c>
      <c r="J22" s="692">
        <f t="shared" si="4"/>
        <v>14.43079829948039</v>
      </c>
    </row>
    <row r="23" spans="1:10">
      <c r="A23" s="452">
        <v>1994</v>
      </c>
      <c r="B23" s="19">
        <f t="shared" si="5"/>
        <v>12747.3</v>
      </c>
      <c r="C23" s="232">
        <f t="shared" si="7"/>
        <v>605.1</v>
      </c>
      <c r="D23" s="232">
        <f t="shared" si="7"/>
        <v>425.9</v>
      </c>
      <c r="E23" s="232">
        <f t="shared" si="7"/>
        <v>368.1</v>
      </c>
      <c r="F23" s="701">
        <f t="shared" si="0"/>
        <v>21.06643529995042</v>
      </c>
      <c r="G23" s="701">
        <f t="shared" si="1"/>
        <v>34.629991850040746</v>
      </c>
      <c r="H23" s="701">
        <f t="shared" si="2"/>
        <v>70.385060320608162</v>
      </c>
      <c r="I23" s="701">
        <f t="shared" si="3"/>
        <v>60.832920178482894</v>
      </c>
      <c r="J23" s="692">
        <f t="shared" si="4"/>
        <v>13.571260859356645</v>
      </c>
    </row>
    <row r="24" spans="1:10">
      <c r="A24" s="452">
        <v>1995</v>
      </c>
      <c r="B24" s="19">
        <f t="shared" si="5"/>
        <v>12785.2</v>
      </c>
      <c r="C24" s="232">
        <f t="shared" si="7"/>
        <v>607.70000000000005</v>
      </c>
      <c r="D24" s="232">
        <f t="shared" si="7"/>
        <v>423.6</v>
      </c>
      <c r="E24" s="232">
        <f t="shared" si="7"/>
        <v>371.8</v>
      </c>
      <c r="F24" s="701">
        <f t="shared" si="0"/>
        <v>21.03867039657726</v>
      </c>
      <c r="G24" s="701">
        <f t="shared" si="1"/>
        <v>34.387305002689622</v>
      </c>
      <c r="H24" s="701">
        <f t="shared" si="2"/>
        <v>69.705446766496621</v>
      </c>
      <c r="I24" s="701">
        <f t="shared" si="3"/>
        <v>61.181504031594535</v>
      </c>
      <c r="J24" s="692">
        <f t="shared" si="4"/>
        <v>12.228517469310672</v>
      </c>
    </row>
    <row r="25" spans="1:10">
      <c r="A25" s="452">
        <v>1996</v>
      </c>
      <c r="B25" s="19">
        <f t="shared" si="5"/>
        <v>12926.4</v>
      </c>
      <c r="C25" s="232">
        <f t="shared" si="7"/>
        <v>610.9</v>
      </c>
      <c r="D25" s="232">
        <f t="shared" si="7"/>
        <v>425.4</v>
      </c>
      <c r="E25" s="232">
        <f t="shared" si="7"/>
        <v>372.5</v>
      </c>
      <c r="F25" s="701">
        <f t="shared" si="0"/>
        <v>21.159600589294485</v>
      </c>
      <c r="G25" s="701">
        <f t="shared" si="1"/>
        <v>34.701744966442952</v>
      </c>
      <c r="H25" s="701">
        <f t="shared" si="2"/>
        <v>69.634964806023902</v>
      </c>
      <c r="I25" s="701">
        <f t="shared" si="3"/>
        <v>60.975609756097562</v>
      </c>
      <c r="J25" s="692">
        <f t="shared" si="4"/>
        <v>12.435354960037607</v>
      </c>
    </row>
    <row r="26" spans="1:10">
      <c r="A26" s="452">
        <v>1997</v>
      </c>
      <c r="B26" s="19">
        <f t="shared" si="5"/>
        <v>13116.7</v>
      </c>
      <c r="C26" s="232">
        <f t="shared" si="7"/>
        <v>613.29999999999995</v>
      </c>
      <c r="D26" s="232">
        <f t="shared" si="7"/>
        <v>430.3</v>
      </c>
      <c r="E26" s="232">
        <f t="shared" si="7"/>
        <v>377.3</v>
      </c>
      <c r="F26" s="701">
        <f t="shared" si="0"/>
        <v>21.387086254687759</v>
      </c>
      <c r="G26" s="701">
        <f t="shared" si="1"/>
        <v>34.764643519745562</v>
      </c>
      <c r="H26" s="701">
        <f t="shared" si="2"/>
        <v>70.161421816403063</v>
      </c>
      <c r="I26" s="701">
        <f t="shared" si="3"/>
        <v>61.519647806946033</v>
      </c>
      <c r="J26" s="692">
        <f t="shared" si="4"/>
        <v>12.316988147803858</v>
      </c>
    </row>
    <row r="27" spans="1:10">
      <c r="A27" s="452">
        <v>1998</v>
      </c>
      <c r="B27" s="19">
        <f t="shared" si="5"/>
        <v>13515.9</v>
      </c>
      <c r="C27" s="232">
        <f t="shared" si="7"/>
        <v>614.70000000000005</v>
      </c>
      <c r="D27" s="232">
        <f t="shared" si="7"/>
        <v>437.6</v>
      </c>
      <c r="E27" s="232">
        <f t="shared" si="7"/>
        <v>391.2</v>
      </c>
      <c r="F27" s="701">
        <f t="shared" si="0"/>
        <v>21.987798926305512</v>
      </c>
      <c r="G27" s="701">
        <f t="shared" si="1"/>
        <v>34.549846625766868</v>
      </c>
      <c r="H27" s="701">
        <f t="shared" si="2"/>
        <v>71.189197982755815</v>
      </c>
      <c r="I27" s="701">
        <f t="shared" si="3"/>
        <v>63.64080039043435</v>
      </c>
      <c r="J27" s="692">
        <f t="shared" si="4"/>
        <v>10.603290676416826</v>
      </c>
    </row>
    <row r="28" spans="1:10">
      <c r="A28" s="452">
        <v>1999</v>
      </c>
      <c r="B28" s="19">
        <f t="shared" si="5"/>
        <v>13833.300000000001</v>
      </c>
      <c r="C28" s="232">
        <f t="shared" si="7"/>
        <v>617.6</v>
      </c>
      <c r="D28" s="232">
        <f t="shared" si="7"/>
        <v>442.3</v>
      </c>
      <c r="E28" s="232">
        <f t="shared" si="7"/>
        <v>399.6</v>
      </c>
      <c r="F28" s="701">
        <f t="shared" si="0"/>
        <v>22.398477979274613</v>
      </c>
      <c r="G28" s="701">
        <f t="shared" si="1"/>
        <v>34.617867867867872</v>
      </c>
      <c r="H28" s="701">
        <f t="shared" si="2"/>
        <v>71.615932642487053</v>
      </c>
      <c r="I28" s="701">
        <f t="shared" si="3"/>
        <v>64.702072538860094</v>
      </c>
      <c r="J28" s="692">
        <f t="shared" si="4"/>
        <v>9.6540809405380923</v>
      </c>
    </row>
    <row r="29" spans="1:10">
      <c r="A29" s="452">
        <v>2000</v>
      </c>
      <c r="B29" s="19">
        <f t="shared" si="5"/>
        <v>14149.1</v>
      </c>
      <c r="C29" s="232">
        <f t="shared" si="7"/>
        <v>620.4</v>
      </c>
      <c r="D29" s="232">
        <f t="shared" si="7"/>
        <v>447.7</v>
      </c>
      <c r="E29" s="232">
        <f t="shared" si="7"/>
        <v>406.5</v>
      </c>
      <c r="F29" s="701">
        <f t="shared" si="0"/>
        <v>22.806415215989684</v>
      </c>
      <c r="G29" s="701">
        <f t="shared" si="1"/>
        <v>34.807134071340712</v>
      </c>
      <c r="H29" s="701">
        <f t="shared" si="2"/>
        <v>72.163120567375884</v>
      </c>
      <c r="I29" s="701">
        <f t="shared" si="3"/>
        <v>65.522243713733076</v>
      </c>
      <c r="J29" s="692">
        <f t="shared" si="4"/>
        <v>9.2025910207728359</v>
      </c>
    </row>
    <row r="30" spans="1:10">
      <c r="A30" s="452">
        <v>2001</v>
      </c>
      <c r="B30" s="19">
        <f t="shared" si="5"/>
        <v>14133</v>
      </c>
      <c r="C30" s="232">
        <f t="shared" si="7"/>
        <v>622.5</v>
      </c>
      <c r="D30" s="232">
        <f t="shared" si="7"/>
        <v>455.1</v>
      </c>
      <c r="E30" s="232">
        <f t="shared" si="7"/>
        <v>410.5</v>
      </c>
      <c r="F30" s="701">
        <f t="shared" si="0"/>
        <v>22.703614457831325</v>
      </c>
      <c r="G30" s="701">
        <f t="shared" si="1"/>
        <v>34.428745432399509</v>
      </c>
      <c r="H30" s="701">
        <f t="shared" si="2"/>
        <v>73.108433734939766</v>
      </c>
      <c r="I30" s="701">
        <f t="shared" si="3"/>
        <v>65.943775100401609</v>
      </c>
      <c r="J30" s="692">
        <f t="shared" si="4"/>
        <v>9.800043946385415</v>
      </c>
    </row>
    <row r="31" spans="1:10">
      <c r="A31" s="452">
        <v>2002</v>
      </c>
      <c r="B31" s="19">
        <f t="shared" si="5"/>
        <v>14227.1</v>
      </c>
      <c r="C31" s="232">
        <f t="shared" si="7"/>
        <v>626.1</v>
      </c>
      <c r="D31" s="232">
        <f t="shared" si="7"/>
        <v>461.7</v>
      </c>
      <c r="E31" s="232">
        <f t="shared" si="7"/>
        <v>417.1</v>
      </c>
      <c r="F31" s="701">
        <f t="shared" si="0"/>
        <v>22.723366874301231</v>
      </c>
      <c r="G31" s="701">
        <f t="shared" si="1"/>
        <v>34.109566051306643</v>
      </c>
      <c r="H31" s="701">
        <f t="shared" si="2"/>
        <v>73.742213703881163</v>
      </c>
      <c r="I31" s="701">
        <f t="shared" si="3"/>
        <v>66.618750998243087</v>
      </c>
      <c r="J31" s="692">
        <f t="shared" si="4"/>
        <v>9.6599523500108226</v>
      </c>
    </row>
    <row r="32" spans="1:10">
      <c r="A32" s="452">
        <v>2003</v>
      </c>
      <c r="B32" s="19">
        <f t="shared" si="5"/>
        <v>14263.6</v>
      </c>
      <c r="C32" s="232">
        <f t="shared" si="7"/>
        <v>629.9</v>
      </c>
      <c r="D32" s="232">
        <f t="shared" si="7"/>
        <v>469.1</v>
      </c>
      <c r="E32" s="232">
        <f t="shared" si="7"/>
        <v>425.9</v>
      </c>
      <c r="F32" s="701">
        <f t="shared" si="0"/>
        <v>22.644229242736944</v>
      </c>
      <c r="G32" s="701">
        <f t="shared" si="1"/>
        <v>33.490490725522427</v>
      </c>
      <c r="H32" s="701">
        <f t="shared" si="2"/>
        <v>74.472138434672175</v>
      </c>
      <c r="I32" s="701">
        <f t="shared" si="3"/>
        <v>67.613906969360215</v>
      </c>
      <c r="J32" s="692">
        <f t="shared" si="4"/>
        <v>9.2091238541888814</v>
      </c>
    </row>
    <row r="33" spans="1:10">
      <c r="A33" s="452">
        <v>2004</v>
      </c>
      <c r="B33" s="19">
        <f t="shared" si="5"/>
        <v>14330.3</v>
      </c>
      <c r="C33" s="232">
        <f t="shared" si="7"/>
        <v>632.70000000000005</v>
      </c>
      <c r="D33" s="232">
        <f t="shared" si="7"/>
        <v>479</v>
      </c>
      <c r="E33" s="232">
        <f t="shared" si="7"/>
        <v>436.4</v>
      </c>
      <c r="F33" s="701">
        <f t="shared" si="0"/>
        <v>22.649438912596803</v>
      </c>
      <c r="G33" s="701">
        <f t="shared" si="1"/>
        <v>32.837534372135657</v>
      </c>
      <c r="H33" s="701">
        <f t="shared" si="2"/>
        <v>75.707286233602019</v>
      </c>
      <c r="I33" s="701">
        <f t="shared" si="3"/>
        <v>68.974237395290018</v>
      </c>
      <c r="J33" s="692">
        <f t="shared" si="4"/>
        <v>8.8935281837160804</v>
      </c>
    </row>
    <row r="34" spans="1:10">
      <c r="A34" s="452">
        <v>2005</v>
      </c>
      <c r="B34" s="19">
        <f t="shared" si="5"/>
        <v>14717</v>
      </c>
      <c r="C34" s="232">
        <f t="shared" si="7"/>
        <v>634.9</v>
      </c>
      <c r="D34" s="232">
        <f t="shared" si="7"/>
        <v>476.7</v>
      </c>
      <c r="E34" s="232">
        <f t="shared" si="7"/>
        <v>436.4</v>
      </c>
      <c r="F34" s="702">
        <f t="shared" si="0"/>
        <v>23.180028350921404</v>
      </c>
      <c r="G34" s="702">
        <f t="shared" si="1"/>
        <v>33.723648029330889</v>
      </c>
      <c r="H34" s="702">
        <f t="shared" si="2"/>
        <v>75.082690187431083</v>
      </c>
      <c r="I34" s="702">
        <f t="shared" si="3"/>
        <v>68.735233895101587</v>
      </c>
      <c r="J34" s="692">
        <f t="shared" si="4"/>
        <v>8.4539542689322449</v>
      </c>
    </row>
    <row r="35" spans="1:10" s="703" customFormat="1">
      <c r="A35" s="452">
        <v>2006</v>
      </c>
      <c r="B35" s="19">
        <f t="shared" si="5"/>
        <v>14624.6</v>
      </c>
      <c r="C35" s="232">
        <f t="shared" si="7"/>
        <v>634.9</v>
      </c>
      <c r="D35" s="232">
        <f t="shared" si="7"/>
        <v>472.8</v>
      </c>
      <c r="E35" s="232">
        <f t="shared" si="7"/>
        <v>434.9</v>
      </c>
      <c r="F35" s="702">
        <f>B35/C35</f>
        <v>23.034493621042685</v>
      </c>
      <c r="G35" s="702">
        <f>B35/E35</f>
        <v>33.627500574844795</v>
      </c>
      <c r="H35" s="702">
        <f>D35/C35*100</f>
        <v>74.468420223657276</v>
      </c>
      <c r="I35" s="702">
        <f>E35/C35*100</f>
        <v>68.498976216727044</v>
      </c>
      <c r="J35" s="692">
        <f>(D35-E35)/D35*100</f>
        <v>8.0160744500846093</v>
      </c>
    </row>
    <row r="36" spans="1:10" s="703" customFormat="1">
      <c r="A36" s="452">
        <v>2007</v>
      </c>
      <c r="B36" s="19">
        <f t="shared" si="5"/>
        <v>14936.9</v>
      </c>
      <c r="C36" s="232">
        <f t="shared" si="7"/>
        <v>633.6</v>
      </c>
      <c r="D36" s="232">
        <f t="shared" si="7"/>
        <v>477.6</v>
      </c>
      <c r="E36" s="232">
        <f t="shared" si="7"/>
        <v>438.9</v>
      </c>
      <c r="F36" s="702">
        <f>B36/C36</f>
        <v>23.574652777777775</v>
      </c>
      <c r="G36" s="702">
        <f>B36/E36</f>
        <v>34.032581453634087</v>
      </c>
      <c r="H36" s="702">
        <f>D36/C36*100</f>
        <v>75.378787878787875</v>
      </c>
      <c r="I36" s="702">
        <f>E36/C36*100</f>
        <v>69.270833333333329</v>
      </c>
      <c r="J36" s="692">
        <f>(D36-E36)/D36*100</f>
        <v>8.1030150753768933</v>
      </c>
    </row>
    <row r="37" spans="1:10" s="703" customFormat="1">
      <c r="A37" s="452">
        <v>2008</v>
      </c>
      <c r="B37" s="19">
        <v>14861.5</v>
      </c>
      <c r="C37" s="232">
        <v>634.70000000000005</v>
      </c>
      <c r="D37" s="232">
        <v>480.4</v>
      </c>
      <c r="E37" s="232">
        <v>443.1</v>
      </c>
      <c r="F37" s="702">
        <f>B37/C37</f>
        <v>23.414999212226245</v>
      </c>
      <c r="G37" s="702">
        <f>B37/E37</f>
        <v>33.539832994809295</v>
      </c>
      <c r="H37" s="702">
        <f>D37/C37*100</f>
        <v>75.689302032456268</v>
      </c>
      <c r="I37" s="702">
        <f>E37/C37*100</f>
        <v>69.812509847171896</v>
      </c>
      <c r="J37" s="692">
        <f>(D37-E37)/D37*100</f>
        <v>7.764363030807651</v>
      </c>
    </row>
    <row r="38" spans="1:10">
      <c r="A38" s="452"/>
      <c r="B38" s="704"/>
      <c r="C38" s="704" t="s">
        <v>427</v>
      </c>
      <c r="D38" s="704"/>
      <c r="E38" s="454"/>
      <c r="F38" s="705"/>
      <c r="G38" s="705" t="s">
        <v>897</v>
      </c>
      <c r="H38" s="705"/>
      <c r="I38" s="705"/>
      <c r="J38" s="704"/>
    </row>
    <row r="39" spans="1:10">
      <c r="A39" s="454" t="s">
        <v>1716</v>
      </c>
      <c r="B39" s="706">
        <f>(POWER(B37/B5,1/32)-1)*100</f>
        <v>1.1713324747761211</v>
      </c>
      <c r="C39" s="706">
        <f>(POWER(C37/C5,1/32)-1)*100</f>
        <v>0.66991090796637565</v>
      </c>
      <c r="D39" s="706">
        <f>(POWER(D37/D5,1/32)-1)*100</f>
        <v>1.2590417500912388</v>
      </c>
      <c r="E39" s="707">
        <f>(POWER(E37/E5,1/32)-1)*100</f>
        <v>1.3117846213095863</v>
      </c>
      <c r="F39" s="708">
        <f>F37-F5</f>
        <v>3.4419207885040457</v>
      </c>
      <c r="G39" s="708">
        <f>G37-G5</f>
        <v>-1.5224957723139951</v>
      </c>
      <c r="H39" s="708">
        <f>H37-H5</f>
        <v>12.891799106197979</v>
      </c>
      <c r="I39" s="708">
        <f>I37-I5</f>
        <v>12.848015114436826</v>
      </c>
      <c r="J39" s="708">
        <f>J37-J5</f>
        <v>-1.5242359129637002</v>
      </c>
    </row>
    <row r="40" spans="1:10">
      <c r="A40" s="454" t="s">
        <v>1707</v>
      </c>
      <c r="B40" s="706">
        <f>(POWER(B37/B10, 1/27)-1)*100</f>
        <v>1.0619701227777778</v>
      </c>
      <c r="C40" s="706">
        <f>(POWER(C37/C10, 1/27)-1)*100</f>
        <v>0.56865096094016465</v>
      </c>
      <c r="D40" s="706">
        <f>(POWER(D37/D10, 1/27)-1)*100</f>
        <v>1.0763842546014812</v>
      </c>
      <c r="E40" s="707">
        <f>(POWER(E37/E10, 1/27)-1)*100</f>
        <v>1.1719862865949837</v>
      </c>
      <c r="F40" s="708">
        <f>F37-F10</f>
        <v>2.8979224586456382</v>
      </c>
      <c r="G40" s="708">
        <f>G37-G10</f>
        <v>-0.99988879808095987</v>
      </c>
      <c r="H40" s="708">
        <f>H37-H10</f>
        <v>9.6224639861837744</v>
      </c>
      <c r="I40" s="708">
        <f>I37-I10</f>
        <v>10.411114327524444</v>
      </c>
      <c r="J40" s="708">
        <f>J37-J10</f>
        <v>-2.3245752682473828</v>
      </c>
    </row>
    <row r="42" spans="1:10">
      <c r="A42" s="449" t="s">
        <v>899</v>
      </c>
    </row>
    <row r="43" spans="1:10">
      <c r="A43" s="449" t="s">
        <v>1717</v>
      </c>
    </row>
    <row r="45" spans="1:10" ht="15">
      <c r="A45" s="909" t="s">
        <v>163</v>
      </c>
      <c r="B45" s="910" t="s">
        <v>1431</v>
      </c>
      <c r="C45" s="910" t="s">
        <v>1432</v>
      </c>
      <c r="D45" s="910" t="s">
        <v>1433</v>
      </c>
      <c r="E45" s="911" t="s">
        <v>1461</v>
      </c>
      <c r="F45" s="911" t="s">
        <v>1462</v>
      </c>
      <c r="G45" s="911" t="s">
        <v>1463</v>
      </c>
    </row>
    <row r="46" spans="1:10" ht="15">
      <c r="A46" s="909">
        <v>1976</v>
      </c>
      <c r="B46" s="910">
        <v>2567.3000000000002</v>
      </c>
      <c r="C46" s="910">
        <v>6470.8</v>
      </c>
      <c r="D46" s="910">
        <v>1200.0999999999999</v>
      </c>
      <c r="E46" s="911">
        <v>512.6</v>
      </c>
      <c r="F46" s="911">
        <v>321.89999999999998</v>
      </c>
      <c r="G46" s="911">
        <v>292</v>
      </c>
    </row>
    <row r="47" spans="1:10" ht="15">
      <c r="A47" s="909">
        <v>1977</v>
      </c>
      <c r="B47" s="910">
        <v>2560.5</v>
      </c>
      <c r="C47" s="910">
        <v>6627.4</v>
      </c>
      <c r="D47" s="910">
        <v>1183.9000000000001</v>
      </c>
      <c r="E47" s="911">
        <v>520.1</v>
      </c>
      <c r="F47" s="911">
        <v>327.5</v>
      </c>
      <c r="G47" s="911">
        <v>293.2</v>
      </c>
    </row>
    <row r="48" spans="1:10" ht="15">
      <c r="A48" s="909">
        <v>1978</v>
      </c>
      <c r="B48" s="910">
        <v>2649.8</v>
      </c>
      <c r="C48" s="910">
        <v>7035.2</v>
      </c>
      <c r="D48" s="910">
        <v>1130</v>
      </c>
      <c r="E48" s="911">
        <v>527.29999999999995</v>
      </c>
      <c r="F48" s="911">
        <v>336</v>
      </c>
      <c r="G48" s="911">
        <v>300.2</v>
      </c>
    </row>
    <row r="49" spans="1:7" ht="15">
      <c r="A49" s="909">
        <v>1979</v>
      </c>
      <c r="B49" s="910">
        <v>2686.6</v>
      </c>
      <c r="C49" s="910">
        <v>7257.2</v>
      </c>
      <c r="D49" s="910">
        <v>1208.2</v>
      </c>
      <c r="E49" s="911">
        <v>534.6</v>
      </c>
      <c r="F49" s="911">
        <v>346.9</v>
      </c>
      <c r="G49" s="911">
        <v>311.8</v>
      </c>
    </row>
    <row r="50" spans="1:7" ht="15">
      <c r="A50" s="909">
        <v>1980</v>
      </c>
      <c r="B50" s="910">
        <v>2712</v>
      </c>
      <c r="C50" s="910">
        <v>7423.4</v>
      </c>
      <c r="D50" s="910">
        <v>1117.7</v>
      </c>
      <c r="E50" s="911">
        <v>540.79999999999995</v>
      </c>
      <c r="F50" s="911">
        <v>354.1</v>
      </c>
      <c r="G50" s="911">
        <v>319.5</v>
      </c>
    </row>
    <row r="51" spans="1:7" ht="15">
      <c r="A51" s="909">
        <v>1981</v>
      </c>
      <c r="B51" s="910">
        <v>2572.8000000000002</v>
      </c>
      <c r="C51" s="910">
        <v>7533</v>
      </c>
      <c r="D51" s="910">
        <v>1067.8</v>
      </c>
      <c r="E51" s="911">
        <v>544.6</v>
      </c>
      <c r="F51" s="911">
        <v>359.8</v>
      </c>
      <c r="G51" s="911">
        <v>323.5</v>
      </c>
    </row>
    <row r="52" spans="1:7" ht="15">
      <c r="A52" s="909">
        <v>1982</v>
      </c>
      <c r="B52" s="910">
        <v>2308.8000000000002</v>
      </c>
      <c r="C52" s="910">
        <v>7516</v>
      </c>
      <c r="D52" s="910">
        <v>1067.8</v>
      </c>
      <c r="E52" s="911">
        <v>549.70000000000005</v>
      </c>
      <c r="F52" s="911">
        <v>363.6</v>
      </c>
      <c r="G52" s="911">
        <v>316.5</v>
      </c>
    </row>
    <row r="53" spans="1:7" ht="15">
      <c r="A53" s="909">
        <v>1983</v>
      </c>
      <c r="B53" s="910">
        <v>2287.5</v>
      </c>
      <c r="C53" s="910">
        <v>7704.8</v>
      </c>
      <c r="D53" s="910">
        <v>1062.9000000000001</v>
      </c>
      <c r="E53" s="911">
        <v>558.29999999999995</v>
      </c>
      <c r="F53" s="911">
        <v>370.2</v>
      </c>
      <c r="G53" s="911">
        <v>319.8</v>
      </c>
    </row>
    <row r="54" spans="1:7" ht="15">
      <c r="A54" s="909">
        <v>1984</v>
      </c>
      <c r="B54" s="910">
        <v>2393.6</v>
      </c>
      <c r="C54" s="910">
        <v>8200.1</v>
      </c>
      <c r="D54" s="910">
        <v>1048.9000000000001</v>
      </c>
      <c r="E54" s="911">
        <v>565.9</v>
      </c>
      <c r="F54" s="911">
        <v>385.7</v>
      </c>
      <c r="G54" s="911">
        <v>334.9</v>
      </c>
    </row>
    <row r="55" spans="1:7" ht="15">
      <c r="A55" s="909">
        <v>1985</v>
      </c>
      <c r="B55" s="910">
        <v>2370.9</v>
      </c>
      <c r="C55" s="910">
        <v>8388.2000000000007</v>
      </c>
      <c r="D55" s="910">
        <v>1068.5</v>
      </c>
      <c r="E55" s="911">
        <v>572</v>
      </c>
      <c r="F55" s="911">
        <v>391.4</v>
      </c>
      <c r="G55" s="911">
        <v>338</v>
      </c>
    </row>
    <row r="56" spans="1:7" ht="15">
      <c r="A56" s="909">
        <v>1986</v>
      </c>
      <c r="B56" s="910">
        <v>2378.4</v>
      </c>
      <c r="C56" s="910">
        <v>8702.7000000000007</v>
      </c>
      <c r="D56" s="910">
        <v>1007</v>
      </c>
      <c r="E56" s="911">
        <v>576.5</v>
      </c>
      <c r="F56" s="911">
        <v>399.6</v>
      </c>
      <c r="G56" s="911">
        <v>346.1</v>
      </c>
    </row>
    <row r="57" spans="1:7" ht="15">
      <c r="A57" s="909">
        <v>1987</v>
      </c>
      <c r="B57" s="910">
        <v>2422.1999999999998</v>
      </c>
      <c r="C57" s="910">
        <v>8878.9</v>
      </c>
      <c r="D57" s="910">
        <v>957.6</v>
      </c>
      <c r="E57" s="911">
        <v>579.4</v>
      </c>
      <c r="F57" s="911">
        <v>403.7</v>
      </c>
      <c r="G57" s="911">
        <v>354.7</v>
      </c>
    </row>
    <row r="58" spans="1:7" ht="15">
      <c r="A58" s="909">
        <v>1988</v>
      </c>
      <c r="B58" s="910">
        <v>2404.4</v>
      </c>
      <c r="C58" s="910">
        <v>9565.4</v>
      </c>
      <c r="D58" s="910">
        <v>1062.9000000000001</v>
      </c>
      <c r="E58" s="911">
        <v>582.5</v>
      </c>
      <c r="F58" s="911">
        <v>411.7</v>
      </c>
      <c r="G58" s="911">
        <v>369.5</v>
      </c>
    </row>
    <row r="59" spans="1:7" ht="15">
      <c r="A59" s="909">
        <v>1989</v>
      </c>
      <c r="B59" s="910">
        <v>2359.9</v>
      </c>
      <c r="C59" s="910">
        <v>10094.4</v>
      </c>
      <c r="D59" s="910">
        <v>1029.5</v>
      </c>
      <c r="E59" s="911">
        <v>586.6</v>
      </c>
      <c r="F59" s="911">
        <v>419.1</v>
      </c>
      <c r="G59" s="911">
        <v>377.4</v>
      </c>
    </row>
    <row r="60" spans="1:7" ht="15">
      <c r="A60" s="909">
        <v>1990</v>
      </c>
      <c r="B60" s="910">
        <v>2208</v>
      </c>
      <c r="C60" s="910">
        <v>10219.200000000001</v>
      </c>
      <c r="D60" s="910">
        <v>995.7</v>
      </c>
      <c r="E60" s="911">
        <v>591.1</v>
      </c>
      <c r="F60" s="911">
        <v>426.8</v>
      </c>
      <c r="G60" s="911">
        <v>380.9</v>
      </c>
    </row>
    <row r="61" spans="1:7" ht="15">
      <c r="A61" s="909">
        <v>1991</v>
      </c>
      <c r="B61" s="910">
        <v>1922.8</v>
      </c>
      <c r="C61" s="910">
        <v>9999.6</v>
      </c>
      <c r="D61" s="910">
        <v>1006.7</v>
      </c>
      <c r="E61" s="911">
        <v>595.70000000000005</v>
      </c>
      <c r="F61" s="911">
        <v>429.5</v>
      </c>
      <c r="G61" s="911">
        <v>377.4</v>
      </c>
    </row>
    <row r="62" spans="1:7" ht="15">
      <c r="A62" s="909">
        <v>1992</v>
      </c>
      <c r="B62" s="910">
        <v>1774.1</v>
      </c>
      <c r="C62" s="910">
        <v>9762.7000000000007</v>
      </c>
      <c r="D62" s="910">
        <v>877.4</v>
      </c>
      <c r="E62" s="911">
        <v>598.79999999999995</v>
      </c>
      <c r="F62" s="911">
        <v>420.8</v>
      </c>
      <c r="G62" s="911">
        <v>365.2</v>
      </c>
    </row>
    <row r="63" spans="1:7" ht="15">
      <c r="A63" s="909">
        <v>1993</v>
      </c>
      <c r="B63" s="910">
        <v>1715.1</v>
      </c>
      <c r="C63" s="910">
        <v>9722.7999999999993</v>
      </c>
      <c r="D63" s="910">
        <v>908.2</v>
      </c>
      <c r="E63" s="911">
        <v>602.20000000000005</v>
      </c>
      <c r="F63" s="911">
        <v>423.4</v>
      </c>
      <c r="G63" s="911">
        <v>362.3</v>
      </c>
    </row>
    <row r="64" spans="1:7" ht="15">
      <c r="A64" s="909">
        <v>1994</v>
      </c>
      <c r="B64" s="910">
        <v>1647</v>
      </c>
      <c r="C64" s="910">
        <v>10094.9</v>
      </c>
      <c r="D64" s="910">
        <v>1005.4</v>
      </c>
      <c r="E64" s="911">
        <v>605.1</v>
      </c>
      <c r="F64" s="911">
        <v>425.9</v>
      </c>
      <c r="G64" s="911">
        <v>368.1</v>
      </c>
    </row>
    <row r="65" spans="1:7" ht="15">
      <c r="A65" s="909">
        <v>1995</v>
      </c>
      <c r="B65" s="910">
        <v>1693.5</v>
      </c>
      <c r="C65" s="910">
        <v>10145.5</v>
      </c>
      <c r="D65" s="910">
        <v>946.2</v>
      </c>
      <c r="E65" s="911">
        <v>607.70000000000005</v>
      </c>
      <c r="F65" s="911">
        <v>423.6</v>
      </c>
      <c r="G65" s="911">
        <v>371.8</v>
      </c>
    </row>
    <row r="66" spans="1:7" ht="15">
      <c r="A66" s="909">
        <v>1996</v>
      </c>
      <c r="B66" s="910">
        <v>1674.3</v>
      </c>
      <c r="C66" s="910">
        <v>10294</v>
      </c>
      <c r="D66" s="910">
        <v>958.1</v>
      </c>
      <c r="E66" s="911">
        <v>610.9</v>
      </c>
      <c r="F66" s="911">
        <v>425.4</v>
      </c>
      <c r="G66" s="911">
        <v>372.5</v>
      </c>
    </row>
    <row r="67" spans="1:7" ht="15">
      <c r="A67" s="909">
        <v>1997</v>
      </c>
      <c r="B67" s="910">
        <v>1605.4</v>
      </c>
      <c r="C67" s="910">
        <v>10530.2</v>
      </c>
      <c r="D67" s="910">
        <v>981.1</v>
      </c>
      <c r="E67" s="911">
        <v>613.29999999999995</v>
      </c>
      <c r="F67" s="911">
        <v>430.3</v>
      </c>
      <c r="G67" s="911">
        <v>377.3</v>
      </c>
    </row>
    <row r="68" spans="1:7" ht="15">
      <c r="A68" s="909">
        <v>1998</v>
      </c>
      <c r="B68" s="910">
        <v>1627.5</v>
      </c>
      <c r="C68" s="910">
        <v>10818.3</v>
      </c>
      <c r="D68" s="910">
        <v>1070.0999999999999</v>
      </c>
      <c r="E68" s="911">
        <v>614.70000000000005</v>
      </c>
      <c r="F68" s="911">
        <v>437.6</v>
      </c>
      <c r="G68" s="911">
        <v>391.2</v>
      </c>
    </row>
    <row r="69" spans="1:7" ht="15">
      <c r="A69" s="909">
        <v>1999</v>
      </c>
      <c r="B69" s="910">
        <v>1731.9</v>
      </c>
      <c r="C69" s="910">
        <v>10986.2</v>
      </c>
      <c r="D69" s="910">
        <v>1115.2</v>
      </c>
      <c r="E69" s="911">
        <v>617.6</v>
      </c>
      <c r="F69" s="911">
        <v>442.3</v>
      </c>
      <c r="G69" s="911">
        <v>399.6</v>
      </c>
    </row>
    <row r="70" spans="1:7" ht="15">
      <c r="A70" s="909">
        <v>2000</v>
      </c>
      <c r="B70" s="910">
        <v>1776.4</v>
      </c>
      <c r="C70" s="910">
        <v>11175</v>
      </c>
      <c r="D70" s="910">
        <v>1197.7</v>
      </c>
      <c r="E70" s="911">
        <v>620.4</v>
      </c>
      <c r="F70" s="911">
        <v>447.7</v>
      </c>
      <c r="G70" s="911">
        <v>406.5</v>
      </c>
    </row>
    <row r="71" spans="1:7" ht="15">
      <c r="A71" s="909">
        <v>2001</v>
      </c>
      <c r="B71" s="910">
        <v>1797.9</v>
      </c>
      <c r="C71" s="910">
        <v>11092.7</v>
      </c>
      <c r="D71" s="910">
        <v>1242.4000000000001</v>
      </c>
      <c r="E71" s="911">
        <v>622.5</v>
      </c>
      <c r="F71" s="911">
        <v>455.1</v>
      </c>
      <c r="G71" s="911">
        <v>410.5</v>
      </c>
    </row>
    <row r="72" spans="1:7" ht="15">
      <c r="A72" s="909">
        <v>2002</v>
      </c>
      <c r="B72" s="910">
        <v>1797.5</v>
      </c>
      <c r="C72" s="910">
        <v>11104.5</v>
      </c>
      <c r="D72" s="910">
        <v>1325.1</v>
      </c>
      <c r="E72" s="911">
        <v>626.1</v>
      </c>
      <c r="F72" s="911">
        <v>461.7</v>
      </c>
      <c r="G72" s="911">
        <v>417.1</v>
      </c>
    </row>
    <row r="73" spans="1:7" ht="15">
      <c r="A73" s="909">
        <v>2003</v>
      </c>
      <c r="B73" s="910">
        <v>1867.4</v>
      </c>
      <c r="C73" s="910">
        <v>10928.7</v>
      </c>
      <c r="D73" s="910">
        <v>1467.5</v>
      </c>
      <c r="E73" s="911">
        <v>629.9</v>
      </c>
      <c r="F73" s="911">
        <v>469.1</v>
      </c>
      <c r="G73" s="911">
        <v>425.9</v>
      </c>
    </row>
    <row r="74" spans="1:7" ht="15">
      <c r="A74" s="909">
        <v>2004</v>
      </c>
      <c r="B74" s="910">
        <v>1891.4</v>
      </c>
      <c r="C74" s="910">
        <v>10785.4</v>
      </c>
      <c r="D74" s="910">
        <v>1653.5</v>
      </c>
      <c r="E74" s="911">
        <v>632.70000000000005</v>
      </c>
      <c r="F74" s="911">
        <v>479</v>
      </c>
      <c r="G74" s="911">
        <v>436.4</v>
      </c>
    </row>
    <row r="75" spans="1:7" ht="15">
      <c r="A75" s="909">
        <v>2005</v>
      </c>
      <c r="B75" s="910">
        <v>1880</v>
      </c>
      <c r="C75" s="910">
        <v>11060.8</v>
      </c>
      <c r="D75" s="910">
        <v>1776.2</v>
      </c>
      <c r="E75" s="911">
        <v>634.9</v>
      </c>
      <c r="F75" s="911">
        <v>476.7</v>
      </c>
      <c r="G75" s="911">
        <v>436.4</v>
      </c>
    </row>
    <row r="76" spans="1:7" ht="15">
      <c r="A76" s="909">
        <v>2006</v>
      </c>
      <c r="B76" s="910">
        <v>1925.9</v>
      </c>
      <c r="C76" s="910">
        <v>10881</v>
      </c>
      <c r="D76" s="910">
        <v>1817.7</v>
      </c>
      <c r="E76" s="911">
        <v>634.9</v>
      </c>
      <c r="F76" s="911">
        <v>472.8</v>
      </c>
      <c r="G76" s="911">
        <v>434.9</v>
      </c>
    </row>
    <row r="77" spans="1:7" ht="15">
      <c r="A77" s="909">
        <v>2007</v>
      </c>
      <c r="B77" s="910">
        <v>1930.9</v>
      </c>
      <c r="C77" s="910">
        <v>11045.8</v>
      </c>
      <c r="D77" s="910">
        <v>1960.2</v>
      </c>
      <c r="E77" s="911">
        <v>633.6</v>
      </c>
      <c r="F77" s="911">
        <v>477.6</v>
      </c>
      <c r="G77" s="911">
        <v>438.9</v>
      </c>
    </row>
  </sheetData>
  <phoneticPr fontId="36" type="noConversion"/>
  <pageMargins left="0.75" right="0.75" top="1" bottom="1" header="0.5" footer="0.5"/>
  <pageSetup scale="89" orientation="portrait" r:id="rId1"/>
  <headerFooter alignWithMargins="0"/>
</worksheet>
</file>

<file path=xl/worksheets/sheet189.xml><?xml version="1.0" encoding="utf-8"?>
<worksheet xmlns="http://schemas.openxmlformats.org/spreadsheetml/2006/main" xmlns:r="http://schemas.openxmlformats.org/officeDocument/2006/relationships">
  <sheetPr codeName="Sheet161">
    <pageSetUpPr fitToPage="1"/>
  </sheetPr>
  <dimension ref="A1:J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2233</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7939.2</v>
      </c>
      <c r="C5" s="232">
        <f>E46</f>
        <v>424</v>
      </c>
      <c r="D5" s="232">
        <f>F46</f>
        <v>256.39999999999998</v>
      </c>
      <c r="E5" s="232">
        <f>G46</f>
        <v>228</v>
      </c>
      <c r="F5" s="701">
        <f t="shared" ref="F5:F34" si="0">B5/C5</f>
        <v>18.724528301886792</v>
      </c>
      <c r="G5" s="701">
        <f t="shared" ref="G5:G34" si="1">B5/E5</f>
        <v>34.821052631578944</v>
      </c>
      <c r="H5" s="701">
        <f t="shared" ref="H5:H34" si="2">D5/C5*100</f>
        <v>60.471698113207538</v>
      </c>
      <c r="I5" s="701">
        <f t="shared" ref="I5:I34" si="3">E5/C5*100</f>
        <v>53.773584905660378</v>
      </c>
      <c r="J5" s="692">
        <f t="shared" ref="J5:J34" si="4">(D5-E5)/D5*100</f>
        <v>11.076443057722301</v>
      </c>
    </row>
    <row r="6" spans="1:10">
      <c r="A6" s="452">
        <v>1977</v>
      </c>
      <c r="B6" s="19">
        <f t="shared" ref="B6:B36" si="5">SUM(B47:D47)</f>
        <v>7961.6</v>
      </c>
      <c r="C6" s="232">
        <f t="shared" ref="C6:E21" si="6">E47</f>
        <v>431.2</v>
      </c>
      <c r="D6" s="232">
        <f t="shared" si="6"/>
        <v>259.5</v>
      </c>
      <c r="E6" s="232">
        <f t="shared" si="6"/>
        <v>224.6</v>
      </c>
      <c r="F6" s="701">
        <f t="shared" si="0"/>
        <v>18.463821892393323</v>
      </c>
      <c r="G6" s="701">
        <f t="shared" si="1"/>
        <v>35.447907390917187</v>
      </c>
      <c r="H6" s="701">
        <f t="shared" si="2"/>
        <v>60.180890538033395</v>
      </c>
      <c r="I6" s="701">
        <f t="shared" si="3"/>
        <v>52.087198515769941</v>
      </c>
      <c r="J6" s="692">
        <f t="shared" si="4"/>
        <v>13.448940269749521</v>
      </c>
    </row>
    <row r="7" spans="1:10">
      <c r="A7" s="452">
        <v>1978</v>
      </c>
      <c r="B7" s="19">
        <f t="shared" si="5"/>
        <v>8488.9000000000015</v>
      </c>
      <c r="C7" s="232">
        <f t="shared" si="6"/>
        <v>437.2</v>
      </c>
      <c r="D7" s="232">
        <f t="shared" si="6"/>
        <v>269.60000000000002</v>
      </c>
      <c r="E7" s="232">
        <f t="shared" si="6"/>
        <v>235.6</v>
      </c>
      <c r="F7" s="701">
        <f t="shared" si="0"/>
        <v>19.416514181152795</v>
      </c>
      <c r="G7" s="701">
        <f t="shared" si="1"/>
        <v>36.030984719864186</v>
      </c>
      <c r="H7" s="701">
        <f t="shared" si="2"/>
        <v>61.66514181152791</v>
      </c>
      <c r="I7" s="701">
        <f t="shared" si="3"/>
        <v>53.888380603842634</v>
      </c>
      <c r="J7" s="692">
        <f t="shared" si="4"/>
        <v>12.611275964391702</v>
      </c>
    </row>
    <row r="8" spans="1:10">
      <c r="A8" s="452">
        <v>1979</v>
      </c>
      <c r="B8" s="19">
        <f t="shared" si="5"/>
        <v>8839.5</v>
      </c>
      <c r="C8" s="232">
        <f t="shared" si="6"/>
        <v>443.3</v>
      </c>
      <c r="D8" s="232">
        <f t="shared" si="6"/>
        <v>276.8</v>
      </c>
      <c r="E8" s="232">
        <f t="shared" si="6"/>
        <v>246.3</v>
      </c>
      <c r="F8" s="701">
        <f t="shared" si="0"/>
        <v>19.940221069253326</v>
      </c>
      <c r="G8" s="701">
        <f t="shared" si="1"/>
        <v>35.889159561510354</v>
      </c>
      <c r="H8" s="701">
        <f t="shared" si="2"/>
        <v>62.44078502143018</v>
      </c>
      <c r="I8" s="701">
        <f t="shared" si="3"/>
        <v>55.560568463794269</v>
      </c>
      <c r="J8" s="692">
        <f t="shared" si="4"/>
        <v>11.01878612716763</v>
      </c>
    </row>
    <row r="9" spans="1:10">
      <c r="A9" s="452">
        <v>1980</v>
      </c>
      <c r="B9" s="19">
        <f t="shared" si="5"/>
        <v>8726.7000000000007</v>
      </c>
      <c r="C9" s="232">
        <f t="shared" si="6"/>
        <v>448.4</v>
      </c>
      <c r="D9" s="232">
        <f t="shared" si="6"/>
        <v>281.7</v>
      </c>
      <c r="E9" s="232">
        <f t="shared" si="6"/>
        <v>250</v>
      </c>
      <c r="F9" s="701">
        <f t="shared" si="0"/>
        <v>19.461864406779664</v>
      </c>
      <c r="G9" s="701">
        <f t="shared" si="1"/>
        <v>34.906800000000004</v>
      </c>
      <c r="H9" s="701">
        <f t="shared" si="2"/>
        <v>62.823371989295275</v>
      </c>
      <c r="I9" s="701">
        <f t="shared" si="3"/>
        <v>55.753791257805531</v>
      </c>
      <c r="J9" s="692">
        <f t="shared" si="4"/>
        <v>11.253106141285052</v>
      </c>
    </row>
    <row r="10" spans="1:10">
      <c r="A10" s="452">
        <v>1981</v>
      </c>
      <c r="B10" s="19">
        <f t="shared" si="5"/>
        <v>8717.1</v>
      </c>
      <c r="C10" s="232">
        <f t="shared" si="6"/>
        <v>450.8</v>
      </c>
      <c r="D10" s="232">
        <f t="shared" si="6"/>
        <v>287.3</v>
      </c>
      <c r="E10" s="232">
        <f t="shared" si="6"/>
        <v>253.7</v>
      </c>
      <c r="F10" s="701">
        <f t="shared" si="0"/>
        <v>19.336956521739129</v>
      </c>
      <c r="G10" s="701">
        <f t="shared" si="1"/>
        <v>34.359873866771778</v>
      </c>
      <c r="H10" s="701">
        <f t="shared" si="2"/>
        <v>63.731144631765744</v>
      </c>
      <c r="I10" s="701">
        <f t="shared" si="3"/>
        <v>56.27772848269742</v>
      </c>
      <c r="J10" s="692">
        <f t="shared" si="4"/>
        <v>11.69509223807867</v>
      </c>
    </row>
    <row r="11" spans="1:10">
      <c r="A11" s="452">
        <v>1982</v>
      </c>
      <c r="B11" s="19">
        <f t="shared" si="5"/>
        <v>8447.4</v>
      </c>
      <c r="C11" s="232">
        <f t="shared" si="6"/>
        <v>454.4</v>
      </c>
      <c r="D11" s="232">
        <f t="shared" si="6"/>
        <v>285.3</v>
      </c>
      <c r="E11" s="232">
        <f t="shared" si="6"/>
        <v>244.8</v>
      </c>
      <c r="F11" s="701">
        <f t="shared" si="0"/>
        <v>18.590228873239436</v>
      </c>
      <c r="G11" s="701">
        <f t="shared" si="1"/>
        <v>34.507352941176471</v>
      </c>
      <c r="H11" s="701">
        <f t="shared" si="2"/>
        <v>62.786091549295776</v>
      </c>
      <c r="I11" s="701">
        <f t="shared" si="3"/>
        <v>53.873239436619727</v>
      </c>
      <c r="J11" s="692">
        <f t="shared" si="4"/>
        <v>14.195583596214512</v>
      </c>
    </row>
    <row r="12" spans="1:10">
      <c r="A12" s="452">
        <v>1983</v>
      </c>
      <c r="B12" s="19">
        <f t="shared" si="5"/>
        <v>8580.2000000000007</v>
      </c>
      <c r="C12" s="232">
        <f t="shared" si="6"/>
        <v>461</v>
      </c>
      <c r="D12" s="232">
        <f t="shared" si="6"/>
        <v>291.10000000000002</v>
      </c>
      <c r="E12" s="232">
        <f t="shared" si="6"/>
        <v>247.3</v>
      </c>
      <c r="F12" s="701">
        <f t="shared" si="0"/>
        <v>18.612147505422996</v>
      </c>
      <c r="G12" s="701">
        <f t="shared" si="1"/>
        <v>34.695511524464216</v>
      </c>
      <c r="H12" s="701">
        <f t="shared" si="2"/>
        <v>63.145336225596537</v>
      </c>
      <c r="I12" s="701">
        <f t="shared" si="3"/>
        <v>53.644251626898054</v>
      </c>
      <c r="J12" s="692">
        <f t="shared" si="4"/>
        <v>15.046375815870839</v>
      </c>
    </row>
    <row r="13" spans="1:10">
      <c r="A13" s="452">
        <v>1984</v>
      </c>
      <c r="B13" s="19">
        <f t="shared" si="5"/>
        <v>8733.2000000000007</v>
      </c>
      <c r="C13" s="232">
        <f t="shared" si="6"/>
        <v>466.6</v>
      </c>
      <c r="D13" s="232">
        <f t="shared" si="6"/>
        <v>295.2</v>
      </c>
      <c r="E13" s="232">
        <f t="shared" si="6"/>
        <v>251.6</v>
      </c>
      <c r="F13" s="701">
        <f t="shared" si="0"/>
        <v>18.716673810544364</v>
      </c>
      <c r="G13" s="701">
        <f t="shared" si="1"/>
        <v>34.710651828298893</v>
      </c>
      <c r="H13" s="701">
        <f t="shared" si="2"/>
        <v>63.266180882983278</v>
      </c>
      <c r="I13" s="701">
        <f t="shared" si="3"/>
        <v>53.921988855550786</v>
      </c>
      <c r="J13" s="692">
        <f t="shared" si="4"/>
        <v>14.769647696476964</v>
      </c>
    </row>
    <row r="14" spans="1:10">
      <c r="A14" s="452">
        <v>1985</v>
      </c>
      <c r="B14" s="19">
        <f t="shared" si="5"/>
        <v>8987.4</v>
      </c>
      <c r="C14" s="232">
        <f t="shared" si="6"/>
        <v>470.4</v>
      </c>
      <c r="D14" s="232">
        <f t="shared" si="6"/>
        <v>305</v>
      </c>
      <c r="E14" s="232">
        <f t="shared" si="6"/>
        <v>258.10000000000002</v>
      </c>
      <c r="F14" s="701">
        <f t="shared" si="0"/>
        <v>19.105867346938776</v>
      </c>
      <c r="G14" s="701">
        <f t="shared" si="1"/>
        <v>34.821387059279346</v>
      </c>
      <c r="H14" s="701">
        <f t="shared" si="2"/>
        <v>64.838435374149668</v>
      </c>
      <c r="I14" s="701">
        <f t="shared" si="3"/>
        <v>54.868197278911566</v>
      </c>
      <c r="J14" s="692">
        <f t="shared" si="4"/>
        <v>15.377049180327862</v>
      </c>
    </row>
    <row r="15" spans="1:10">
      <c r="A15" s="452">
        <v>1986</v>
      </c>
      <c r="B15" s="19">
        <f t="shared" si="5"/>
        <v>9292.9000000000015</v>
      </c>
      <c r="C15" s="232">
        <f t="shared" si="6"/>
        <v>472.8</v>
      </c>
      <c r="D15" s="232">
        <f t="shared" si="6"/>
        <v>312.8</v>
      </c>
      <c r="E15" s="232">
        <f t="shared" si="6"/>
        <v>267.2</v>
      </c>
      <c r="F15" s="701">
        <f t="shared" si="0"/>
        <v>19.655033840947549</v>
      </c>
      <c r="G15" s="701">
        <f t="shared" si="1"/>
        <v>34.778817365269468</v>
      </c>
      <c r="H15" s="701">
        <f t="shared" si="2"/>
        <v>66.159052453468703</v>
      </c>
      <c r="I15" s="701">
        <f t="shared" si="3"/>
        <v>56.514382402707277</v>
      </c>
      <c r="J15" s="692">
        <f t="shared" si="4"/>
        <v>14.578005115089521</v>
      </c>
    </row>
    <row r="16" spans="1:10">
      <c r="A16" s="452">
        <v>1987</v>
      </c>
      <c r="B16" s="19">
        <f t="shared" si="5"/>
        <v>9587.7999999999993</v>
      </c>
      <c r="C16" s="232">
        <f t="shared" si="6"/>
        <v>475.3</v>
      </c>
      <c r="D16" s="232">
        <f t="shared" si="6"/>
        <v>320.39999999999998</v>
      </c>
      <c r="E16" s="232">
        <f t="shared" si="6"/>
        <v>277.7</v>
      </c>
      <c r="F16" s="701">
        <f t="shared" si="0"/>
        <v>20.172101830422889</v>
      </c>
      <c r="G16" s="701">
        <f t="shared" si="1"/>
        <v>34.525747209218579</v>
      </c>
      <c r="H16" s="701">
        <f t="shared" si="2"/>
        <v>67.41005680622763</v>
      </c>
      <c r="I16" s="701">
        <f t="shared" si="3"/>
        <v>58.426257100778457</v>
      </c>
      <c r="J16" s="692">
        <f t="shared" si="4"/>
        <v>13.327091136079897</v>
      </c>
    </row>
    <row r="17" spans="1:10">
      <c r="A17" s="452">
        <v>1988</v>
      </c>
      <c r="B17" s="19">
        <f t="shared" si="5"/>
        <v>10085.900000000001</v>
      </c>
      <c r="C17" s="232">
        <f t="shared" si="6"/>
        <v>478.3</v>
      </c>
      <c r="D17" s="232">
        <f t="shared" si="6"/>
        <v>327.10000000000002</v>
      </c>
      <c r="E17" s="232">
        <f t="shared" si="6"/>
        <v>288.39999999999998</v>
      </c>
      <c r="F17" s="701">
        <f t="shared" si="0"/>
        <v>21.086974702069835</v>
      </c>
      <c r="G17" s="701">
        <f t="shared" si="1"/>
        <v>34.971914008321782</v>
      </c>
      <c r="H17" s="701">
        <f t="shared" si="2"/>
        <v>68.388040978465398</v>
      </c>
      <c r="I17" s="701">
        <f t="shared" si="3"/>
        <v>60.296884800334517</v>
      </c>
      <c r="J17" s="692">
        <f t="shared" si="4"/>
        <v>11.831244267808023</v>
      </c>
    </row>
    <row r="18" spans="1:10">
      <c r="A18" s="452">
        <v>1989</v>
      </c>
      <c r="B18" s="19">
        <f t="shared" si="5"/>
        <v>10460.5</v>
      </c>
      <c r="C18" s="232">
        <f t="shared" si="6"/>
        <v>482.4</v>
      </c>
      <c r="D18" s="232">
        <f t="shared" si="6"/>
        <v>335.3</v>
      </c>
      <c r="E18" s="232">
        <f t="shared" si="6"/>
        <v>294.60000000000002</v>
      </c>
      <c r="F18" s="701">
        <f t="shared" si="0"/>
        <v>21.68428689883914</v>
      </c>
      <c r="G18" s="701">
        <f t="shared" si="1"/>
        <v>35.507467752885269</v>
      </c>
      <c r="H18" s="701">
        <f t="shared" si="2"/>
        <v>69.506633499170817</v>
      </c>
      <c r="I18" s="701">
        <f t="shared" si="3"/>
        <v>61.069651741293541</v>
      </c>
      <c r="J18" s="692">
        <f t="shared" si="4"/>
        <v>12.138383537130924</v>
      </c>
    </row>
    <row r="19" spans="1:10">
      <c r="A19" s="452">
        <v>1990</v>
      </c>
      <c r="B19" s="19">
        <f t="shared" si="5"/>
        <v>10444.799999999999</v>
      </c>
      <c r="C19" s="232">
        <f t="shared" si="6"/>
        <v>487.1</v>
      </c>
      <c r="D19" s="232">
        <f t="shared" si="6"/>
        <v>339.2</v>
      </c>
      <c r="E19" s="232">
        <f t="shared" si="6"/>
        <v>297.89999999999998</v>
      </c>
      <c r="F19" s="701">
        <f t="shared" si="0"/>
        <v>21.442824881954422</v>
      </c>
      <c r="G19" s="701">
        <f t="shared" si="1"/>
        <v>35.061430010070495</v>
      </c>
      <c r="H19" s="701">
        <f t="shared" si="2"/>
        <v>69.636624923013741</v>
      </c>
      <c r="I19" s="701">
        <f t="shared" si="3"/>
        <v>61.157873126668029</v>
      </c>
      <c r="J19" s="692">
        <f t="shared" si="4"/>
        <v>12.175707547169814</v>
      </c>
    </row>
    <row r="20" spans="1:10">
      <c r="A20" s="452">
        <v>1991</v>
      </c>
      <c r="B20" s="19">
        <f t="shared" si="5"/>
        <v>10072.799999999999</v>
      </c>
      <c r="C20" s="232">
        <f t="shared" si="6"/>
        <v>491.6</v>
      </c>
      <c r="D20" s="232">
        <f t="shared" si="6"/>
        <v>335.3</v>
      </c>
      <c r="E20" s="232">
        <f t="shared" si="6"/>
        <v>292.39999999999998</v>
      </c>
      <c r="F20" s="701">
        <f t="shared" si="0"/>
        <v>20.489829129373472</v>
      </c>
      <c r="G20" s="701">
        <f t="shared" si="1"/>
        <v>34.448700410396718</v>
      </c>
      <c r="H20" s="701">
        <f t="shared" si="2"/>
        <v>68.205858421480883</v>
      </c>
      <c r="I20" s="701">
        <f t="shared" si="3"/>
        <v>59.479251423921873</v>
      </c>
      <c r="J20" s="692">
        <f t="shared" si="4"/>
        <v>12.794512376975852</v>
      </c>
    </row>
    <row r="21" spans="1:10">
      <c r="A21" s="452">
        <v>1992</v>
      </c>
      <c r="B21" s="19">
        <f t="shared" si="5"/>
        <v>10096.799999999999</v>
      </c>
      <c r="C21" s="232">
        <f t="shared" si="6"/>
        <v>494.7</v>
      </c>
      <c r="D21" s="232">
        <f t="shared" si="6"/>
        <v>338.1</v>
      </c>
      <c r="E21" s="232">
        <f t="shared" si="6"/>
        <v>293.8</v>
      </c>
      <c r="F21" s="701">
        <f t="shared" si="0"/>
        <v>20.409945421467555</v>
      </c>
      <c r="G21" s="701">
        <f t="shared" si="1"/>
        <v>34.366235534377125</v>
      </c>
      <c r="H21" s="701">
        <f t="shared" si="2"/>
        <v>68.344451182534868</v>
      </c>
      <c r="I21" s="701">
        <f t="shared" si="3"/>
        <v>59.389529007479283</v>
      </c>
      <c r="J21" s="692">
        <f t="shared" si="4"/>
        <v>13.102632357290744</v>
      </c>
    </row>
    <row r="22" spans="1:10">
      <c r="A22" s="452">
        <v>1993</v>
      </c>
      <c r="B22" s="19">
        <f t="shared" si="5"/>
        <v>10335.6</v>
      </c>
      <c r="C22" s="232">
        <f t="shared" ref="C22:E36" si="7">E63</f>
        <v>496.2</v>
      </c>
      <c r="D22" s="232">
        <f t="shared" si="7"/>
        <v>340.1</v>
      </c>
      <c r="E22" s="232">
        <f t="shared" si="7"/>
        <v>296.89999999999998</v>
      </c>
      <c r="F22" s="701">
        <f t="shared" si="0"/>
        <v>20.829504232164449</v>
      </c>
      <c r="G22" s="701">
        <f t="shared" si="1"/>
        <v>34.811721118221627</v>
      </c>
      <c r="H22" s="701">
        <f t="shared" si="2"/>
        <v>68.54091092301492</v>
      </c>
      <c r="I22" s="701">
        <f t="shared" si="3"/>
        <v>59.834744054816603</v>
      </c>
      <c r="J22" s="692">
        <f t="shared" si="4"/>
        <v>12.702146427521329</v>
      </c>
    </row>
    <row r="23" spans="1:10">
      <c r="A23" s="452">
        <v>1994</v>
      </c>
      <c r="B23" s="19">
        <f t="shared" si="5"/>
        <v>10464.5</v>
      </c>
      <c r="C23" s="232">
        <f t="shared" si="7"/>
        <v>498</v>
      </c>
      <c r="D23" s="232">
        <f t="shared" si="7"/>
        <v>338.2</v>
      </c>
      <c r="E23" s="232">
        <f t="shared" si="7"/>
        <v>295.60000000000002</v>
      </c>
      <c r="F23" s="701">
        <f t="shared" si="0"/>
        <v>21.01305220883534</v>
      </c>
      <c r="G23" s="701">
        <f t="shared" si="1"/>
        <v>35.400879566982404</v>
      </c>
      <c r="H23" s="701">
        <f t="shared" si="2"/>
        <v>67.91164658634537</v>
      </c>
      <c r="I23" s="701">
        <f t="shared" si="3"/>
        <v>59.357429718875508</v>
      </c>
      <c r="J23" s="692">
        <f t="shared" si="4"/>
        <v>12.596096984033107</v>
      </c>
    </row>
    <row r="24" spans="1:10">
      <c r="A24" s="452">
        <v>1995</v>
      </c>
      <c r="B24" s="19">
        <f t="shared" si="5"/>
        <v>10746.3</v>
      </c>
      <c r="C24" s="232">
        <f t="shared" si="7"/>
        <v>499.8</v>
      </c>
      <c r="D24" s="232">
        <f t="shared" si="7"/>
        <v>343.6</v>
      </c>
      <c r="E24" s="232">
        <f t="shared" si="7"/>
        <v>304</v>
      </c>
      <c r="F24" s="701">
        <f t="shared" si="0"/>
        <v>21.501200480192075</v>
      </c>
      <c r="G24" s="701">
        <f t="shared" si="1"/>
        <v>35.349671052631578</v>
      </c>
      <c r="H24" s="701">
        <f t="shared" si="2"/>
        <v>68.747498999599841</v>
      </c>
      <c r="I24" s="701">
        <f t="shared" si="3"/>
        <v>60.82432973189276</v>
      </c>
      <c r="J24" s="692">
        <f t="shared" si="4"/>
        <v>11.525029103608855</v>
      </c>
    </row>
    <row r="25" spans="1:10">
      <c r="A25" s="452">
        <v>1996</v>
      </c>
      <c r="B25" s="19">
        <f t="shared" si="5"/>
        <v>10743.400000000001</v>
      </c>
      <c r="C25" s="232">
        <f t="shared" si="7"/>
        <v>502</v>
      </c>
      <c r="D25" s="232">
        <f t="shared" si="7"/>
        <v>342.6</v>
      </c>
      <c r="E25" s="232">
        <f t="shared" si="7"/>
        <v>302.7</v>
      </c>
      <c r="F25" s="701">
        <f t="shared" si="0"/>
        <v>21.401195219123508</v>
      </c>
      <c r="G25" s="701">
        <f t="shared" si="1"/>
        <v>35.491906177733739</v>
      </c>
      <c r="H25" s="701">
        <f t="shared" si="2"/>
        <v>68.247011952191244</v>
      </c>
      <c r="I25" s="701">
        <f t="shared" si="3"/>
        <v>60.298804780876495</v>
      </c>
      <c r="J25" s="692">
        <f t="shared" si="4"/>
        <v>11.646234676007014</v>
      </c>
    </row>
    <row r="26" spans="1:10">
      <c r="A26" s="452">
        <v>1997</v>
      </c>
      <c r="B26" s="19">
        <f t="shared" si="5"/>
        <v>10898.400000000001</v>
      </c>
      <c r="C26" s="232">
        <f t="shared" si="7"/>
        <v>503.2</v>
      </c>
      <c r="D26" s="232">
        <f t="shared" si="7"/>
        <v>351.4</v>
      </c>
      <c r="E26" s="232">
        <f t="shared" si="7"/>
        <v>306.39999999999998</v>
      </c>
      <c r="F26" s="701">
        <f t="shared" si="0"/>
        <v>21.658187599364073</v>
      </c>
      <c r="G26" s="701">
        <f t="shared" si="1"/>
        <v>35.569190600522198</v>
      </c>
      <c r="H26" s="701">
        <f t="shared" si="2"/>
        <v>69.83306836248012</v>
      </c>
      <c r="I26" s="701">
        <f t="shared" si="3"/>
        <v>60.890302066772648</v>
      </c>
      <c r="J26" s="692">
        <f t="shared" si="4"/>
        <v>12.805919180421174</v>
      </c>
    </row>
    <row r="27" spans="1:10">
      <c r="A27" s="452">
        <v>1998</v>
      </c>
      <c r="B27" s="19">
        <f t="shared" si="5"/>
        <v>11054</v>
      </c>
      <c r="C27" s="232">
        <f t="shared" si="7"/>
        <v>503.2</v>
      </c>
      <c r="D27" s="232">
        <f t="shared" si="7"/>
        <v>356</v>
      </c>
      <c r="E27" s="232">
        <f t="shared" si="7"/>
        <v>312.2</v>
      </c>
      <c r="F27" s="701">
        <f t="shared" si="0"/>
        <v>21.967408585055644</v>
      </c>
      <c r="G27" s="701">
        <f t="shared" si="1"/>
        <v>35.406790518898141</v>
      </c>
      <c r="H27" s="701">
        <f t="shared" si="2"/>
        <v>70.747217806041334</v>
      </c>
      <c r="I27" s="701">
        <f t="shared" si="3"/>
        <v>62.0429252782194</v>
      </c>
      <c r="J27" s="692">
        <f t="shared" si="4"/>
        <v>12.303370786516856</v>
      </c>
    </row>
    <row r="28" spans="1:10">
      <c r="A28" s="452">
        <v>1999</v>
      </c>
      <c r="B28" s="19">
        <f t="shared" si="5"/>
        <v>11431</v>
      </c>
      <c r="C28" s="232">
        <f t="shared" si="7"/>
        <v>504.8</v>
      </c>
      <c r="D28" s="232">
        <f t="shared" si="7"/>
        <v>359.2</v>
      </c>
      <c r="E28" s="232">
        <f t="shared" si="7"/>
        <v>322.39999999999998</v>
      </c>
      <c r="F28" s="701">
        <f t="shared" si="0"/>
        <v>22.644611727416798</v>
      </c>
      <c r="G28" s="701">
        <f t="shared" si="1"/>
        <v>35.455955334987593</v>
      </c>
      <c r="H28" s="701">
        <f t="shared" si="2"/>
        <v>71.156893819334385</v>
      </c>
      <c r="I28" s="701">
        <f t="shared" si="3"/>
        <v>63.866877971473848</v>
      </c>
      <c r="J28" s="692">
        <f t="shared" si="4"/>
        <v>10.244988864142544</v>
      </c>
    </row>
    <row r="29" spans="1:10">
      <c r="A29" s="452">
        <v>2000</v>
      </c>
      <c r="B29" s="19">
        <f t="shared" si="5"/>
        <v>11799.500000000002</v>
      </c>
      <c r="C29" s="232">
        <f t="shared" si="7"/>
        <v>506.4</v>
      </c>
      <c r="D29" s="232">
        <f t="shared" si="7"/>
        <v>364.7</v>
      </c>
      <c r="E29" s="232">
        <f t="shared" si="7"/>
        <v>328</v>
      </c>
      <c r="F29" s="701">
        <f t="shared" si="0"/>
        <v>23.300750394944714</v>
      </c>
      <c r="G29" s="701">
        <f t="shared" si="1"/>
        <v>35.974085365853661</v>
      </c>
      <c r="H29" s="701">
        <f t="shared" si="2"/>
        <v>72.018167456556085</v>
      </c>
      <c r="I29" s="701">
        <f t="shared" si="3"/>
        <v>64.770932069510266</v>
      </c>
      <c r="J29" s="692">
        <f t="shared" si="4"/>
        <v>10.063065533315051</v>
      </c>
    </row>
    <row r="30" spans="1:10">
      <c r="A30" s="452">
        <v>2001</v>
      </c>
      <c r="B30" s="19">
        <f t="shared" si="5"/>
        <v>11516.6</v>
      </c>
      <c r="C30" s="232">
        <f t="shared" si="7"/>
        <v>507.1</v>
      </c>
      <c r="D30" s="232">
        <f t="shared" si="7"/>
        <v>368.3</v>
      </c>
      <c r="E30" s="232">
        <f t="shared" si="7"/>
        <v>327</v>
      </c>
      <c r="F30" s="701">
        <f t="shared" si="0"/>
        <v>22.710707947150464</v>
      </c>
      <c r="G30" s="701">
        <f t="shared" si="1"/>
        <v>35.218960244648322</v>
      </c>
      <c r="H30" s="701">
        <f t="shared" si="2"/>
        <v>72.628672845592575</v>
      </c>
      <c r="I30" s="701">
        <f t="shared" si="3"/>
        <v>64.484322618812854</v>
      </c>
      <c r="J30" s="692">
        <f t="shared" si="4"/>
        <v>11.213684496334512</v>
      </c>
    </row>
    <row r="31" spans="1:10">
      <c r="A31" s="452">
        <v>2002</v>
      </c>
      <c r="B31" s="19">
        <f t="shared" si="5"/>
        <v>11902.4</v>
      </c>
      <c r="C31" s="232">
        <f t="shared" si="7"/>
        <v>508.6</v>
      </c>
      <c r="D31" s="232">
        <f t="shared" si="7"/>
        <v>378</v>
      </c>
      <c r="E31" s="232">
        <f t="shared" si="7"/>
        <v>339.2</v>
      </c>
      <c r="F31" s="701">
        <f t="shared" si="0"/>
        <v>23.402280770743214</v>
      </c>
      <c r="G31" s="701">
        <f t="shared" si="1"/>
        <v>35.089622641509436</v>
      </c>
      <c r="H31" s="701">
        <f t="shared" si="2"/>
        <v>74.321667322060563</v>
      </c>
      <c r="I31" s="701">
        <f t="shared" si="3"/>
        <v>66.692882422335813</v>
      </c>
      <c r="J31" s="692">
        <f t="shared" si="4"/>
        <v>10.264550264550268</v>
      </c>
    </row>
    <row r="32" spans="1:10">
      <c r="A32" s="452">
        <v>2003</v>
      </c>
      <c r="B32" s="19">
        <f t="shared" si="5"/>
        <v>11780.9</v>
      </c>
      <c r="C32" s="232">
        <f t="shared" si="7"/>
        <v>510.1</v>
      </c>
      <c r="D32" s="232">
        <f t="shared" si="7"/>
        <v>378</v>
      </c>
      <c r="E32" s="232">
        <f t="shared" si="7"/>
        <v>338.9</v>
      </c>
      <c r="F32" s="701">
        <f t="shared" si="0"/>
        <v>23.095275436188981</v>
      </c>
      <c r="G32" s="701">
        <f t="shared" si="1"/>
        <v>34.762171732074357</v>
      </c>
      <c r="H32" s="701">
        <f t="shared" si="2"/>
        <v>74.103117035875314</v>
      </c>
      <c r="I32" s="701">
        <f t="shared" si="3"/>
        <v>66.437953342481862</v>
      </c>
      <c r="J32" s="692">
        <f t="shared" si="4"/>
        <v>10.34391534391535</v>
      </c>
    </row>
    <row r="33" spans="1:10">
      <c r="A33" s="452">
        <v>2004</v>
      </c>
      <c r="B33" s="19">
        <f t="shared" si="5"/>
        <v>11894.8</v>
      </c>
      <c r="C33" s="232">
        <f t="shared" si="7"/>
        <v>511.3</v>
      </c>
      <c r="D33" s="232">
        <f t="shared" si="7"/>
        <v>383.3</v>
      </c>
      <c r="E33" s="232">
        <f t="shared" si="7"/>
        <v>345.6</v>
      </c>
      <c r="F33" s="701">
        <f t="shared" si="0"/>
        <v>23.26383727752787</v>
      </c>
      <c r="G33" s="701">
        <f t="shared" si="1"/>
        <v>34.417824074074069</v>
      </c>
      <c r="H33" s="701">
        <f t="shared" si="2"/>
        <v>74.965773518482308</v>
      </c>
      <c r="I33" s="701">
        <f t="shared" si="3"/>
        <v>67.592411500097796</v>
      </c>
      <c r="J33" s="692">
        <f t="shared" si="4"/>
        <v>9.8356378815549146</v>
      </c>
    </row>
    <row r="34" spans="1:10">
      <c r="A34" s="452">
        <v>2005</v>
      </c>
      <c r="B34" s="19">
        <f t="shared" si="5"/>
        <v>12022.1</v>
      </c>
      <c r="C34" s="232">
        <f t="shared" si="7"/>
        <v>512.5</v>
      </c>
      <c r="D34" s="232">
        <f t="shared" si="7"/>
        <v>383.8</v>
      </c>
      <c r="E34" s="232">
        <f t="shared" si="7"/>
        <v>346.3</v>
      </c>
      <c r="F34" s="702">
        <f t="shared" si="0"/>
        <v>23.457756097560978</v>
      </c>
      <c r="G34" s="702">
        <f t="shared" si="1"/>
        <v>34.715853306381753</v>
      </c>
      <c r="H34" s="702">
        <f t="shared" si="2"/>
        <v>74.887804878048783</v>
      </c>
      <c r="I34" s="702">
        <f t="shared" si="3"/>
        <v>67.57073170731708</v>
      </c>
      <c r="J34" s="692">
        <f t="shared" si="4"/>
        <v>9.7707139134966123</v>
      </c>
    </row>
    <row r="35" spans="1:10" s="703" customFormat="1">
      <c r="A35" s="452">
        <v>2006</v>
      </c>
      <c r="B35" s="19">
        <f t="shared" si="5"/>
        <v>12244</v>
      </c>
      <c r="C35" s="232">
        <f t="shared" si="7"/>
        <v>511.6</v>
      </c>
      <c r="D35" s="232">
        <f t="shared" si="7"/>
        <v>384.8</v>
      </c>
      <c r="E35" s="232">
        <f t="shared" si="7"/>
        <v>350.9</v>
      </c>
      <c r="F35" s="702">
        <f>B35/C35</f>
        <v>23.932759968725566</v>
      </c>
      <c r="G35" s="702">
        <f>B35/E35</f>
        <v>34.893131946423487</v>
      </c>
      <c r="H35" s="702">
        <f>D35/C35*100</f>
        <v>75.215011727912426</v>
      </c>
      <c r="I35" s="702">
        <f>E35/C35*100</f>
        <v>68.58874120406567</v>
      </c>
      <c r="J35" s="692">
        <f>(D35-E35)/D35*100</f>
        <v>8.8097713097713175</v>
      </c>
    </row>
    <row r="36" spans="1:10" s="703" customFormat="1">
      <c r="A36" s="452">
        <v>2007</v>
      </c>
      <c r="B36" s="19">
        <f t="shared" si="5"/>
        <v>12411.4</v>
      </c>
      <c r="C36" s="232">
        <f t="shared" si="7"/>
        <v>511.4</v>
      </c>
      <c r="D36" s="232">
        <f t="shared" si="7"/>
        <v>385.8</v>
      </c>
      <c r="E36" s="232">
        <f t="shared" si="7"/>
        <v>356.6</v>
      </c>
      <c r="F36" s="702">
        <f>B36/C36</f>
        <v>24.269456394211968</v>
      </c>
      <c r="G36" s="702">
        <f>B36/E36</f>
        <v>34.804823331463822</v>
      </c>
      <c r="H36" s="702">
        <f>D36/C36*100</f>
        <v>75.439968713335944</v>
      </c>
      <c r="I36" s="702">
        <f>E36/C36*100</f>
        <v>69.730152522487302</v>
      </c>
      <c r="J36" s="692">
        <f>(D36-E36)/D36*100</f>
        <v>7.5686884396060101</v>
      </c>
    </row>
    <row r="37" spans="1:10" s="703" customFormat="1">
      <c r="A37" s="452">
        <v>2008</v>
      </c>
      <c r="B37" s="19">
        <v>12379</v>
      </c>
      <c r="C37" s="232">
        <v>513.70000000000005</v>
      </c>
      <c r="D37" s="232">
        <v>393.9</v>
      </c>
      <c r="E37" s="232">
        <v>359.8</v>
      </c>
      <c r="F37" s="702">
        <f>B37/C37</f>
        <v>24.097722406073583</v>
      </c>
      <c r="G37" s="702">
        <f>B37/E37</f>
        <v>34.405225125069485</v>
      </c>
      <c r="H37" s="702">
        <f>D37/C37*100</f>
        <v>76.678995522678591</v>
      </c>
      <c r="I37" s="702">
        <f>E37/C37*100</f>
        <v>70.040879890986957</v>
      </c>
      <c r="J37" s="692">
        <f>(D37-E37)/D37*100</f>
        <v>8.65701954810865</v>
      </c>
    </row>
    <row r="38" spans="1:10">
      <c r="A38" s="452"/>
      <c r="B38" s="704"/>
      <c r="C38" s="704" t="s">
        <v>427</v>
      </c>
      <c r="D38" s="704"/>
      <c r="E38" s="454"/>
      <c r="F38" s="705"/>
      <c r="G38" s="705" t="s">
        <v>897</v>
      </c>
      <c r="H38" s="705"/>
      <c r="I38" s="705"/>
      <c r="J38" s="704"/>
    </row>
    <row r="39" spans="1:10">
      <c r="A39" s="454" t="s">
        <v>1716</v>
      </c>
      <c r="B39" s="706">
        <f>(POWER(B37/B5, 1/32)-1)*100</f>
        <v>1.3977692518735596</v>
      </c>
      <c r="C39" s="706">
        <f>(POWER(C37/C5, 1/32)-1)*100</f>
        <v>0.6015080322125721</v>
      </c>
      <c r="D39" s="706">
        <f>(POWER(D37/D5, 1/32)-1)*100</f>
        <v>1.3507866178165351</v>
      </c>
      <c r="E39" s="707">
        <f>(POWER(E37/E5, 1/32)-1)*100</f>
        <v>1.4358440317066457</v>
      </c>
      <c r="F39" s="708">
        <f>F37-F5</f>
        <v>5.3731941041867906</v>
      </c>
      <c r="G39" s="708">
        <f>G37-G5</f>
        <v>-0.41582750650945854</v>
      </c>
      <c r="H39" s="708">
        <f>H37-H5</f>
        <v>16.207297409471053</v>
      </c>
      <c r="I39" s="708">
        <f>I37-I5</f>
        <v>16.267294985326579</v>
      </c>
      <c r="J39" s="708">
        <f>J37-J5</f>
        <v>-2.4194235096136509</v>
      </c>
    </row>
    <row r="40" spans="1:10">
      <c r="A40" s="454" t="s">
        <v>1707</v>
      </c>
      <c r="B40" s="706">
        <f>(POWER(B37/B10, 1/27)-1)*100</f>
        <v>1.307416904308667</v>
      </c>
      <c r="C40" s="706">
        <f>(POWER(C37/C10, 1/27)-1)*100</f>
        <v>0.48493370232955968</v>
      </c>
      <c r="D40" s="706">
        <f>(POWER(D37/D10, 1/27)-1)*100</f>
        <v>1.1756350628464141</v>
      </c>
      <c r="E40" s="707">
        <f>(POWER(E37/E10, 1/27)-1)*100</f>
        <v>1.3024678958380553</v>
      </c>
      <c r="F40" s="708">
        <f>F37-F10</f>
        <v>4.7607658843344538</v>
      </c>
      <c r="G40" s="708">
        <f>G37-G10</f>
        <v>4.535125829770692E-2</v>
      </c>
      <c r="H40" s="708">
        <f>H37-H10</f>
        <v>12.947850890912846</v>
      </c>
      <c r="I40" s="708">
        <f>I37-I10</f>
        <v>13.763151408289538</v>
      </c>
      <c r="J40" s="708">
        <f>J37-J10</f>
        <v>-3.0380726899700203</v>
      </c>
    </row>
    <row r="42" spans="1:10">
      <c r="A42" s="449" t="s">
        <v>899</v>
      </c>
    </row>
    <row r="43" spans="1:10">
      <c r="A43" s="449" t="s">
        <v>1717</v>
      </c>
    </row>
    <row r="45" spans="1:10" ht="15">
      <c r="A45" s="906" t="s">
        <v>163</v>
      </c>
      <c r="B45" s="907" t="s">
        <v>1434</v>
      </c>
      <c r="C45" s="907" t="s">
        <v>1435</v>
      </c>
      <c r="D45" s="907" t="s">
        <v>1436</v>
      </c>
      <c r="E45" s="908" t="s">
        <v>1464</v>
      </c>
      <c r="F45" s="908" t="s">
        <v>1465</v>
      </c>
      <c r="G45" s="908" t="s">
        <v>1466</v>
      </c>
    </row>
    <row r="46" spans="1:10" ht="15">
      <c r="A46" s="906">
        <v>1976</v>
      </c>
      <c r="B46" s="907">
        <v>2097.8000000000002</v>
      </c>
      <c r="C46" s="907">
        <v>4999.7</v>
      </c>
      <c r="D46" s="907">
        <v>841.7</v>
      </c>
      <c r="E46" s="908">
        <v>424</v>
      </c>
      <c r="F46" s="908">
        <v>256.39999999999998</v>
      </c>
      <c r="G46" s="908">
        <v>228</v>
      </c>
    </row>
    <row r="47" spans="1:10" ht="15">
      <c r="A47" s="906">
        <v>1977</v>
      </c>
      <c r="B47" s="907">
        <v>2068.1</v>
      </c>
      <c r="C47" s="907">
        <v>5049.5</v>
      </c>
      <c r="D47" s="907">
        <v>844</v>
      </c>
      <c r="E47" s="908">
        <v>431.2</v>
      </c>
      <c r="F47" s="908">
        <v>259.5</v>
      </c>
      <c r="G47" s="908">
        <v>224.6</v>
      </c>
    </row>
    <row r="48" spans="1:10" ht="15">
      <c r="A48" s="906">
        <v>1978</v>
      </c>
      <c r="B48" s="907">
        <v>2150.3000000000002</v>
      </c>
      <c r="C48" s="907">
        <v>5482.1</v>
      </c>
      <c r="D48" s="907">
        <v>856.5</v>
      </c>
      <c r="E48" s="908">
        <v>437.2</v>
      </c>
      <c r="F48" s="908">
        <v>269.60000000000002</v>
      </c>
      <c r="G48" s="908">
        <v>235.6</v>
      </c>
    </row>
    <row r="49" spans="1:7" ht="15">
      <c r="A49" s="906">
        <v>1979</v>
      </c>
      <c r="B49" s="907">
        <v>2237.6999999999998</v>
      </c>
      <c r="C49" s="907">
        <v>5678.4</v>
      </c>
      <c r="D49" s="907">
        <v>923.4</v>
      </c>
      <c r="E49" s="908">
        <v>443.3</v>
      </c>
      <c r="F49" s="908">
        <v>276.8</v>
      </c>
      <c r="G49" s="908">
        <v>246.3</v>
      </c>
    </row>
    <row r="50" spans="1:7" ht="15">
      <c r="A50" s="906">
        <v>1980</v>
      </c>
      <c r="B50" s="907">
        <v>2108.6</v>
      </c>
      <c r="C50" s="907">
        <v>5744.1</v>
      </c>
      <c r="D50" s="907">
        <v>874</v>
      </c>
      <c r="E50" s="908">
        <v>448.4</v>
      </c>
      <c r="F50" s="908">
        <v>281.7</v>
      </c>
      <c r="G50" s="908">
        <v>250</v>
      </c>
    </row>
    <row r="51" spans="1:7" ht="15">
      <c r="A51" s="906">
        <v>1981</v>
      </c>
      <c r="B51" s="907">
        <v>2033.9</v>
      </c>
      <c r="C51" s="907">
        <v>5881.1</v>
      </c>
      <c r="D51" s="907">
        <v>802.1</v>
      </c>
      <c r="E51" s="908">
        <v>450.8</v>
      </c>
      <c r="F51" s="908">
        <v>287.3</v>
      </c>
      <c r="G51" s="908">
        <v>253.7</v>
      </c>
    </row>
    <row r="52" spans="1:7" ht="15">
      <c r="A52" s="906">
        <v>1982</v>
      </c>
      <c r="B52" s="907">
        <v>1829.5</v>
      </c>
      <c r="C52" s="907">
        <v>5823.2</v>
      </c>
      <c r="D52" s="907">
        <v>794.7</v>
      </c>
      <c r="E52" s="908">
        <v>454.4</v>
      </c>
      <c r="F52" s="908">
        <v>285.3</v>
      </c>
      <c r="G52" s="908">
        <v>244.8</v>
      </c>
    </row>
    <row r="53" spans="1:7" ht="15">
      <c r="A53" s="906">
        <v>1983</v>
      </c>
      <c r="B53" s="907">
        <v>1780.6</v>
      </c>
      <c r="C53" s="907">
        <v>6014.9</v>
      </c>
      <c r="D53" s="907">
        <v>784.7</v>
      </c>
      <c r="E53" s="908">
        <v>461</v>
      </c>
      <c r="F53" s="908">
        <v>291.10000000000002</v>
      </c>
      <c r="G53" s="908">
        <v>247.3</v>
      </c>
    </row>
    <row r="54" spans="1:7" ht="15">
      <c r="A54" s="906">
        <v>1984</v>
      </c>
      <c r="B54" s="907">
        <v>1809.8</v>
      </c>
      <c r="C54" s="907">
        <v>6116.1</v>
      </c>
      <c r="D54" s="907">
        <v>807.3</v>
      </c>
      <c r="E54" s="908">
        <v>466.6</v>
      </c>
      <c r="F54" s="908">
        <v>295.2</v>
      </c>
      <c r="G54" s="908">
        <v>251.6</v>
      </c>
    </row>
    <row r="55" spans="1:7" ht="15">
      <c r="A55" s="906">
        <v>1985</v>
      </c>
      <c r="B55" s="907">
        <v>1809.1</v>
      </c>
      <c r="C55" s="907">
        <v>6371.8</v>
      </c>
      <c r="D55" s="907">
        <v>806.5</v>
      </c>
      <c r="E55" s="908">
        <v>470.4</v>
      </c>
      <c r="F55" s="908">
        <v>305</v>
      </c>
      <c r="G55" s="908">
        <v>258.10000000000002</v>
      </c>
    </row>
    <row r="56" spans="1:7" ht="15">
      <c r="A56" s="906">
        <v>1986</v>
      </c>
      <c r="B56" s="907">
        <v>1768.7</v>
      </c>
      <c r="C56" s="907">
        <v>6745.6</v>
      </c>
      <c r="D56" s="907">
        <v>778.6</v>
      </c>
      <c r="E56" s="908">
        <v>472.8</v>
      </c>
      <c r="F56" s="908">
        <v>312.8</v>
      </c>
      <c r="G56" s="908">
        <v>267.2</v>
      </c>
    </row>
    <row r="57" spans="1:7" ht="15">
      <c r="A57" s="906">
        <v>1987</v>
      </c>
      <c r="B57" s="907">
        <v>1850</v>
      </c>
      <c r="C57" s="907">
        <v>6965</v>
      </c>
      <c r="D57" s="907">
        <v>772.8</v>
      </c>
      <c r="E57" s="908">
        <v>475.3</v>
      </c>
      <c r="F57" s="908">
        <v>320.39999999999998</v>
      </c>
      <c r="G57" s="908">
        <v>277.7</v>
      </c>
    </row>
    <row r="58" spans="1:7" ht="15">
      <c r="A58" s="906">
        <v>1988</v>
      </c>
      <c r="B58" s="907">
        <v>1876.6</v>
      </c>
      <c r="C58" s="907">
        <v>7461.1</v>
      </c>
      <c r="D58" s="907">
        <v>748.2</v>
      </c>
      <c r="E58" s="908">
        <v>478.3</v>
      </c>
      <c r="F58" s="908">
        <v>327.10000000000002</v>
      </c>
      <c r="G58" s="908">
        <v>288.39999999999998</v>
      </c>
    </row>
    <row r="59" spans="1:7" ht="15">
      <c r="A59" s="906">
        <v>1989</v>
      </c>
      <c r="B59" s="907">
        <v>1876.6</v>
      </c>
      <c r="C59" s="907">
        <v>7805.8</v>
      </c>
      <c r="D59" s="907">
        <v>778.1</v>
      </c>
      <c r="E59" s="908">
        <v>482.4</v>
      </c>
      <c r="F59" s="908">
        <v>335.3</v>
      </c>
      <c r="G59" s="908">
        <v>294.60000000000002</v>
      </c>
    </row>
    <row r="60" spans="1:7" ht="15">
      <c r="A60" s="906">
        <v>1990</v>
      </c>
      <c r="B60" s="907">
        <v>1778.1</v>
      </c>
      <c r="C60" s="907">
        <v>7942.7</v>
      </c>
      <c r="D60" s="907">
        <v>724</v>
      </c>
      <c r="E60" s="908">
        <v>487.1</v>
      </c>
      <c r="F60" s="908">
        <v>339.2</v>
      </c>
      <c r="G60" s="908">
        <v>297.89999999999998</v>
      </c>
    </row>
    <row r="61" spans="1:7" ht="15">
      <c r="A61" s="906">
        <v>1991</v>
      </c>
      <c r="B61" s="907">
        <v>1566.9</v>
      </c>
      <c r="C61" s="907">
        <v>7781.5</v>
      </c>
      <c r="D61" s="907">
        <v>724.4</v>
      </c>
      <c r="E61" s="908">
        <v>491.6</v>
      </c>
      <c r="F61" s="908">
        <v>335.3</v>
      </c>
      <c r="G61" s="908">
        <v>292.39999999999998</v>
      </c>
    </row>
    <row r="62" spans="1:7" ht="15">
      <c r="A62" s="906">
        <v>1992</v>
      </c>
      <c r="B62" s="907">
        <v>1558.3</v>
      </c>
      <c r="C62" s="907">
        <v>7826.9</v>
      </c>
      <c r="D62" s="907">
        <v>711.6</v>
      </c>
      <c r="E62" s="908">
        <v>494.7</v>
      </c>
      <c r="F62" s="908">
        <v>338.1</v>
      </c>
      <c r="G62" s="908">
        <v>293.8</v>
      </c>
    </row>
    <row r="63" spans="1:7" ht="15">
      <c r="A63" s="906">
        <v>1993</v>
      </c>
      <c r="B63" s="907">
        <v>1526.7</v>
      </c>
      <c r="C63" s="907">
        <v>8076.8</v>
      </c>
      <c r="D63" s="907">
        <v>732.1</v>
      </c>
      <c r="E63" s="908">
        <v>496.2</v>
      </c>
      <c r="F63" s="908">
        <v>340.1</v>
      </c>
      <c r="G63" s="908">
        <v>296.89999999999998</v>
      </c>
    </row>
    <row r="64" spans="1:7" ht="15">
      <c r="A64" s="906">
        <v>1994</v>
      </c>
      <c r="B64" s="907">
        <v>1522.5</v>
      </c>
      <c r="C64" s="907">
        <v>8212.9</v>
      </c>
      <c r="D64" s="907">
        <v>729.1</v>
      </c>
      <c r="E64" s="908">
        <v>498</v>
      </c>
      <c r="F64" s="908">
        <v>338.2</v>
      </c>
      <c r="G64" s="908">
        <v>295.60000000000002</v>
      </c>
    </row>
    <row r="65" spans="1:7" ht="15">
      <c r="A65" s="906">
        <v>1995</v>
      </c>
      <c r="B65" s="907">
        <v>1525</v>
      </c>
      <c r="C65" s="907">
        <v>8449.4</v>
      </c>
      <c r="D65" s="907">
        <v>771.9</v>
      </c>
      <c r="E65" s="908">
        <v>499.8</v>
      </c>
      <c r="F65" s="908">
        <v>343.6</v>
      </c>
      <c r="G65" s="908">
        <v>304</v>
      </c>
    </row>
    <row r="66" spans="1:7" ht="15">
      <c r="A66" s="906">
        <v>1996</v>
      </c>
      <c r="B66" s="907">
        <v>1453.1</v>
      </c>
      <c r="C66" s="907">
        <v>8517.6</v>
      </c>
      <c r="D66" s="907">
        <v>772.7</v>
      </c>
      <c r="E66" s="908">
        <v>502</v>
      </c>
      <c r="F66" s="908">
        <v>342.6</v>
      </c>
      <c r="G66" s="908">
        <v>302.7</v>
      </c>
    </row>
    <row r="67" spans="1:7" ht="15">
      <c r="A67" s="906">
        <v>1997</v>
      </c>
      <c r="B67" s="907">
        <v>1414.7</v>
      </c>
      <c r="C67" s="907">
        <v>8659.1</v>
      </c>
      <c r="D67" s="907">
        <v>824.6</v>
      </c>
      <c r="E67" s="908">
        <v>503.2</v>
      </c>
      <c r="F67" s="908">
        <v>351.4</v>
      </c>
      <c r="G67" s="908">
        <v>306.39999999999998</v>
      </c>
    </row>
    <row r="68" spans="1:7" ht="15">
      <c r="A68" s="906">
        <v>1998</v>
      </c>
      <c r="B68" s="907">
        <v>1476.3</v>
      </c>
      <c r="C68" s="907">
        <v>8744.6</v>
      </c>
      <c r="D68" s="907">
        <v>833.1</v>
      </c>
      <c r="E68" s="908">
        <v>503.2</v>
      </c>
      <c r="F68" s="908">
        <v>356</v>
      </c>
      <c r="G68" s="908">
        <v>312.2</v>
      </c>
    </row>
    <row r="69" spans="1:7" ht="15">
      <c r="A69" s="906">
        <v>1999</v>
      </c>
      <c r="B69" s="907">
        <v>1563.5</v>
      </c>
      <c r="C69" s="907">
        <v>8981.7999999999993</v>
      </c>
      <c r="D69" s="907">
        <v>885.7</v>
      </c>
      <c r="E69" s="908">
        <v>504.8</v>
      </c>
      <c r="F69" s="908">
        <v>359.2</v>
      </c>
      <c r="G69" s="908">
        <v>322.39999999999998</v>
      </c>
    </row>
    <row r="70" spans="1:7" ht="15">
      <c r="A70" s="906">
        <v>2000</v>
      </c>
      <c r="B70" s="907">
        <v>1555.2</v>
      </c>
      <c r="C70" s="907">
        <v>9303.6</v>
      </c>
      <c r="D70" s="907">
        <v>940.7</v>
      </c>
      <c r="E70" s="908">
        <v>506.4</v>
      </c>
      <c r="F70" s="908">
        <v>364.7</v>
      </c>
      <c r="G70" s="908">
        <v>328</v>
      </c>
    </row>
    <row r="71" spans="1:7" ht="15">
      <c r="A71" s="906">
        <v>2001</v>
      </c>
      <c r="B71" s="907">
        <v>1570.1</v>
      </c>
      <c r="C71" s="907">
        <v>8963.7999999999993</v>
      </c>
      <c r="D71" s="907">
        <v>982.7</v>
      </c>
      <c r="E71" s="908">
        <v>507.1</v>
      </c>
      <c r="F71" s="908">
        <v>368.3</v>
      </c>
      <c r="G71" s="908">
        <v>327</v>
      </c>
    </row>
    <row r="72" spans="1:7" ht="15">
      <c r="A72" s="906">
        <v>2002</v>
      </c>
      <c r="B72" s="907">
        <v>1602.1</v>
      </c>
      <c r="C72" s="907">
        <v>9187.9</v>
      </c>
      <c r="D72" s="907">
        <v>1112.4000000000001</v>
      </c>
      <c r="E72" s="908">
        <v>508.6</v>
      </c>
      <c r="F72" s="908">
        <v>378</v>
      </c>
      <c r="G72" s="908">
        <v>339.2</v>
      </c>
    </row>
    <row r="73" spans="1:7" ht="15">
      <c r="A73" s="906">
        <v>2003</v>
      </c>
      <c r="B73" s="907">
        <v>1540.4</v>
      </c>
      <c r="C73" s="907">
        <v>9034.2000000000007</v>
      </c>
      <c r="D73" s="907">
        <v>1206.3</v>
      </c>
      <c r="E73" s="908">
        <v>510.1</v>
      </c>
      <c r="F73" s="908">
        <v>378</v>
      </c>
      <c r="G73" s="908">
        <v>338.9</v>
      </c>
    </row>
    <row r="74" spans="1:7" ht="15">
      <c r="A74" s="906">
        <v>2004</v>
      </c>
      <c r="B74" s="907">
        <v>1550.4</v>
      </c>
      <c r="C74" s="907">
        <v>9018.6</v>
      </c>
      <c r="D74" s="907">
        <v>1325.8</v>
      </c>
      <c r="E74" s="908">
        <v>511.3</v>
      </c>
      <c r="F74" s="908">
        <v>383.3</v>
      </c>
      <c r="G74" s="908">
        <v>345.6</v>
      </c>
    </row>
    <row r="75" spans="1:7" ht="15">
      <c r="A75" s="906">
        <v>2005</v>
      </c>
      <c r="B75" s="907">
        <v>1518.7</v>
      </c>
      <c r="C75" s="907">
        <v>9100.1</v>
      </c>
      <c r="D75" s="907">
        <v>1403.3</v>
      </c>
      <c r="E75" s="908">
        <v>512.5</v>
      </c>
      <c r="F75" s="908">
        <v>383.8</v>
      </c>
      <c r="G75" s="908">
        <v>346.3</v>
      </c>
    </row>
    <row r="76" spans="1:7" ht="15">
      <c r="A76" s="906">
        <v>2006</v>
      </c>
      <c r="B76" s="907">
        <v>1581.8</v>
      </c>
      <c r="C76" s="907">
        <v>9151.5</v>
      </c>
      <c r="D76" s="907">
        <v>1510.7</v>
      </c>
      <c r="E76" s="908">
        <v>511.6</v>
      </c>
      <c r="F76" s="908">
        <v>384.8</v>
      </c>
      <c r="G76" s="908">
        <v>350.9</v>
      </c>
    </row>
    <row r="77" spans="1:7" ht="15">
      <c r="A77" s="906">
        <v>2007</v>
      </c>
      <c r="B77" s="907">
        <v>1582.9</v>
      </c>
      <c r="C77" s="907">
        <v>9154.2000000000007</v>
      </c>
      <c r="D77" s="907">
        <v>1674.3</v>
      </c>
      <c r="E77" s="908">
        <v>511.4</v>
      </c>
      <c r="F77" s="908">
        <v>385.8</v>
      </c>
      <c r="G77" s="908">
        <v>356.6</v>
      </c>
    </row>
  </sheetData>
  <phoneticPr fontId="36" type="noConversion"/>
  <pageMargins left="0.75" right="0.75" top="1" bottom="1" header="0.5" footer="0.5"/>
  <pageSetup scale="89" orientation="portrait" r:id="rId1"/>
  <headerFooter alignWithMargins="0"/>
</worksheet>
</file>

<file path=xl/worksheets/sheet19.xml><?xml version="1.0" encoding="utf-8"?>
<worksheet xmlns="http://schemas.openxmlformats.org/spreadsheetml/2006/main" xmlns:r="http://schemas.openxmlformats.org/officeDocument/2006/relationships">
  <sheetPr codeName="Sheet196"/>
  <dimension ref="A1:AD104"/>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1" customWidth="1"/>
    <col min="2" max="2" width="10.42578125" style="1" bestFit="1" customWidth="1"/>
    <col min="3" max="3" width="9.5703125" style="1" bestFit="1" customWidth="1"/>
    <col min="4" max="4" width="9.28515625" style="1" customWidth="1"/>
    <col min="5" max="6" width="9.42578125" style="1" bestFit="1" customWidth="1"/>
    <col min="7" max="8" width="9.85546875" style="1" bestFit="1" customWidth="1"/>
    <col min="9" max="11" width="9.42578125" style="1" bestFit="1" customWidth="1"/>
    <col min="12" max="12" width="9.42578125" style="1" customWidth="1"/>
    <col min="13" max="13" width="10.42578125" style="1" hidden="1" customWidth="1"/>
    <col min="14" max="14" width="10.5703125" style="1" hidden="1" customWidth="1"/>
    <col min="15" max="15" width="8.85546875" style="1" hidden="1" customWidth="1"/>
    <col min="16" max="17" width="9.42578125" style="1" hidden="1" customWidth="1"/>
    <col min="18" max="18" width="9.42578125" style="1" customWidth="1"/>
    <col min="19" max="16384" width="9.140625" style="1"/>
  </cols>
  <sheetData>
    <row r="1" spans="1:30" ht="15.75">
      <c r="A1" s="3" t="s">
        <v>2104</v>
      </c>
    </row>
    <row r="2" spans="1:30">
      <c r="A2" s="4"/>
      <c r="B2" s="4"/>
    </row>
    <row r="3" spans="1:30" ht="25.5">
      <c r="A3" s="4"/>
      <c r="B3" s="1166" t="s">
        <v>375</v>
      </c>
      <c r="C3" s="1164" t="s">
        <v>377</v>
      </c>
      <c r="D3" s="1164" t="s">
        <v>386</v>
      </c>
      <c r="E3" s="1164" t="s">
        <v>378</v>
      </c>
      <c r="F3" s="1164" t="s">
        <v>379</v>
      </c>
      <c r="G3" s="1164" t="s">
        <v>380</v>
      </c>
      <c r="H3" s="1164" t="s">
        <v>381</v>
      </c>
      <c r="I3" s="1164" t="s">
        <v>382</v>
      </c>
      <c r="J3" s="1164" t="s">
        <v>383</v>
      </c>
      <c r="K3" s="1164" t="s">
        <v>384</v>
      </c>
      <c r="L3" s="1164" t="s">
        <v>385</v>
      </c>
      <c r="M3" s="4"/>
      <c r="N3" s="645" t="s">
        <v>79</v>
      </c>
      <c r="O3" s="645" t="s">
        <v>84</v>
      </c>
      <c r="P3" s="124" t="s">
        <v>79</v>
      </c>
      <c r="Q3" s="124" t="s">
        <v>84</v>
      </c>
    </row>
    <row r="4" spans="1:30" s="4" customFormat="1" ht="25.5">
      <c r="A4" s="667"/>
      <c r="B4" s="1167"/>
      <c r="C4" s="1165"/>
      <c r="D4" s="1165"/>
      <c r="E4" s="1165"/>
      <c r="F4" s="1165"/>
      <c r="G4" s="1165"/>
      <c r="H4" s="1165"/>
      <c r="I4" s="1165"/>
      <c r="J4" s="1165"/>
      <c r="K4" s="1165"/>
      <c r="L4" s="1165"/>
      <c r="M4" s="667"/>
      <c r="N4" s="646" t="s">
        <v>282</v>
      </c>
      <c r="O4" s="646" t="s">
        <v>282</v>
      </c>
      <c r="P4" s="645" t="s">
        <v>281</v>
      </c>
      <c r="Q4" s="645" t="s">
        <v>281</v>
      </c>
    </row>
    <row r="5" spans="1:30" ht="12.75" customHeight="1">
      <c r="A5" s="120">
        <v>1981</v>
      </c>
      <c r="B5" s="709">
        <f>1000*('6a'!B5/'1'!B15)</f>
        <v>14523.45827936961</v>
      </c>
      <c r="C5" s="709">
        <f>1000*('6a'!C5/'1'!C15)</f>
        <v>8958.7729575075336</v>
      </c>
      <c r="D5" s="709">
        <f>1000*('6a'!D5/'1'!D15)</f>
        <v>8636.1097846233533</v>
      </c>
      <c r="E5" s="709">
        <f>1000*('6a'!E5/'1'!E15)</f>
        <v>9323.0440616186552</v>
      </c>
      <c r="F5" s="709">
        <f>1000*('6a'!F5/'1'!F15)</f>
        <v>8983.0954733465642</v>
      </c>
      <c r="G5" s="709">
        <f>1000*('6a'!G5/'1'!G15)</f>
        <v>12294.402788853322</v>
      </c>
      <c r="H5" s="709">
        <f>1000*('6a'!H5/'1'!H15)</f>
        <v>14872.871806475639</v>
      </c>
      <c r="I5" s="709">
        <f>1000*('6a'!I5/'1'!I15)</f>
        <v>13157.322955545147</v>
      </c>
      <c r="J5" s="709">
        <f>1000*('6a'!J5/'1'!J15)</f>
        <v>15143.083486803605</v>
      </c>
      <c r="K5" s="709">
        <f>1000*('6a'!K5/'1'!K15)</f>
        <v>23303.612581532747</v>
      </c>
      <c r="L5" s="709">
        <f>1000*('6a'!L5/'1'!L15)</f>
        <v>15874.077234572933</v>
      </c>
      <c r="N5" s="19">
        <f>SUM(C80:L80)/10</f>
        <v>20962284.353385054</v>
      </c>
      <c r="O5" s="19">
        <f>SQRT(N5)</f>
        <v>4578.4587312091235</v>
      </c>
      <c r="P5" s="19">
        <f>Q5^2</f>
        <v>18804855.197676335</v>
      </c>
      <c r="Q5" s="19">
        <f>STDEVP(C5:L5)</f>
        <v>4336.4565255143898</v>
      </c>
      <c r="T5" s="19"/>
      <c r="U5" s="19"/>
      <c r="V5" s="19"/>
      <c r="W5" s="19"/>
      <c r="X5" s="19"/>
      <c r="Y5" s="19"/>
      <c r="Z5" s="19"/>
      <c r="AA5" s="19"/>
      <c r="AB5" s="19"/>
      <c r="AC5" s="19"/>
      <c r="AD5" s="19"/>
    </row>
    <row r="6" spans="1:30" ht="12.75" customHeight="1">
      <c r="A6" s="120">
        <v>1982</v>
      </c>
      <c r="B6" s="39">
        <f>1000*('6a'!B6/'1'!B16)</f>
        <v>15123.616561283616</v>
      </c>
      <c r="C6" s="39">
        <f>1000*('6a'!C6/'1'!C16)</f>
        <v>9775.2681706881376</v>
      </c>
      <c r="D6" s="39">
        <f>1000*('6a'!D6/'1'!D16)</f>
        <v>9329.3847299090539</v>
      </c>
      <c r="E6" s="39">
        <f>1000*('6a'!E6/'1'!E16)</f>
        <v>10693.356987700196</v>
      </c>
      <c r="F6" s="39">
        <f>1000*('6a'!F6/'1'!F16)</f>
        <v>9968.0970009484681</v>
      </c>
      <c r="G6" s="39">
        <f>1000*('6a'!G6/'1'!G16)</f>
        <v>12949.821985156135</v>
      </c>
      <c r="H6" s="39">
        <f>1000*('6a'!H6/'1'!H16)</f>
        <v>15553.421593562896</v>
      </c>
      <c r="I6" s="39">
        <f>1000*('6a'!I6/'1'!I16)</f>
        <v>13444.96490704385</v>
      </c>
      <c r="J6" s="39">
        <f>1000*('6a'!J6/'1'!J16)</f>
        <v>15212.116174833922</v>
      </c>
      <c r="K6" s="39">
        <f>1000*('6a'!K6/'1'!K16)</f>
        <v>23969.260203381931</v>
      </c>
      <c r="L6" s="39">
        <f>1000*('6a'!L6/'1'!L16)</f>
        <v>15652.284554250233</v>
      </c>
      <c r="N6" s="19">
        <f t="shared" ref="N6:N29" si="0">SUM(C81:L81)/10</f>
        <v>19464525.492186133</v>
      </c>
      <c r="O6" s="19">
        <f t="shared" ref="O6:O29" si="1">SQRT(N6)</f>
        <v>4411.8619076514769</v>
      </c>
      <c r="P6" s="19">
        <f t="shared" ref="P6:P29" si="2">Q6^2</f>
        <v>17307096.441484794</v>
      </c>
      <c r="Q6" s="19">
        <f t="shared" ref="Q6:Q29" si="3">STDEVP(C6:L6)</f>
        <v>4160.1798568673439</v>
      </c>
      <c r="T6" s="19"/>
      <c r="U6" s="19"/>
      <c r="V6" s="19"/>
      <c r="W6" s="19"/>
      <c r="X6" s="19"/>
      <c r="Y6" s="19"/>
      <c r="Z6" s="19"/>
      <c r="AA6" s="19"/>
      <c r="AB6" s="19"/>
      <c r="AC6" s="19"/>
      <c r="AD6" s="19"/>
    </row>
    <row r="7" spans="1:30" ht="12.75" customHeight="1">
      <c r="A7" s="120">
        <v>1983</v>
      </c>
      <c r="B7" s="39">
        <f>1000*('6a'!B7/'1'!B17)</f>
        <v>16217.720011364616</v>
      </c>
      <c r="C7" s="39">
        <f>1000*('6a'!C7/'1'!C17)</f>
        <v>10339.040409970232</v>
      </c>
      <c r="D7" s="39">
        <f>1000*('6a'!D7/'1'!D17)</f>
        <v>10839.155249316556</v>
      </c>
      <c r="E7" s="39">
        <f>1000*('6a'!E7/'1'!E17)</f>
        <v>11936.118043646758</v>
      </c>
      <c r="F7" s="39">
        <f>1000*('6a'!F7/'1'!F17)</f>
        <v>11255.634112153455</v>
      </c>
      <c r="G7" s="39">
        <f>1000*('6a'!G7/'1'!G17)</f>
        <v>13907.668299869636</v>
      </c>
      <c r="H7" s="39">
        <f>1000*('6a'!H7/'1'!H17)</f>
        <v>17111.666005130333</v>
      </c>
      <c r="I7" s="39">
        <f>1000*('6a'!I7/'1'!I17)</f>
        <v>14254.278359465234</v>
      </c>
      <c r="J7" s="39">
        <f>1000*('6a'!J7/'1'!J17)</f>
        <v>15949.079599580124</v>
      </c>
      <c r="K7" s="39">
        <f>1000*('6a'!K7/'1'!K17)</f>
        <v>24397.274884932114</v>
      </c>
      <c r="L7" s="39">
        <f>1000*('6a'!L7/'1'!L17)</f>
        <v>16329.137520799641</v>
      </c>
      <c r="N7" s="19">
        <f t="shared" si="0"/>
        <v>18342252.556842949</v>
      </c>
      <c r="O7" s="19">
        <f t="shared" si="1"/>
        <v>4282.7856071537071</v>
      </c>
      <c r="P7" s="19">
        <f t="shared" si="2"/>
        <v>15827444.094680443</v>
      </c>
      <c r="Q7" s="19">
        <f t="shared" si="3"/>
        <v>3978.3720407574306</v>
      </c>
      <c r="T7" s="19"/>
      <c r="U7" s="19"/>
      <c r="V7" s="19"/>
      <c r="W7" s="19"/>
      <c r="X7" s="19"/>
      <c r="Y7" s="19"/>
      <c r="Z7" s="19"/>
      <c r="AA7" s="19"/>
      <c r="AB7" s="19"/>
      <c r="AC7" s="19"/>
      <c r="AD7" s="19"/>
    </row>
    <row r="8" spans="1:30" ht="12.75" customHeight="1">
      <c r="A8" s="120">
        <v>1984</v>
      </c>
      <c r="B8" s="39">
        <f>1000*('6a'!B8/'1'!B18)</f>
        <v>17556.959795412618</v>
      </c>
      <c r="C8" s="39">
        <f>1000*('6a'!C8/'1'!C18)</f>
        <v>10986.699766405489</v>
      </c>
      <c r="D8" s="39">
        <f>1000*('6a'!D8/'1'!D18)</f>
        <v>10974.771457693007</v>
      </c>
      <c r="E8" s="39">
        <f>1000*('6a'!E8/'1'!E18)</f>
        <v>13034.048988513581</v>
      </c>
      <c r="F8" s="39">
        <f>1000*('6a'!F8/'1'!F18)</f>
        <v>12238.926949511997</v>
      </c>
      <c r="G8" s="39">
        <f>1000*('6a'!G8/'1'!G18)</f>
        <v>15124.215453566612</v>
      </c>
      <c r="H8" s="39">
        <f>1000*('6a'!H8/'1'!H18)</f>
        <v>18853.809834846725</v>
      </c>
      <c r="I8" s="39">
        <f>1000*('6a'!I8/'1'!I18)</f>
        <v>15859.15414112576</v>
      </c>
      <c r="J8" s="39">
        <f>1000*('6a'!J8/'1'!J18)</f>
        <v>16785.677325882229</v>
      </c>
      <c r="K8" s="39">
        <f>1000*('6a'!K8/'1'!K18)</f>
        <v>26016.88369681863</v>
      </c>
      <c r="L8" s="39">
        <f>1000*('6a'!L8/'1'!L18)</f>
        <v>16911.075363203006</v>
      </c>
      <c r="N8" s="19">
        <f t="shared" si="0"/>
        <v>21829668.054167155</v>
      </c>
      <c r="O8" s="19">
        <f t="shared" si="1"/>
        <v>4672.223031295398</v>
      </c>
      <c r="P8" s="19">
        <f t="shared" si="2"/>
        <v>18301155.649051324</v>
      </c>
      <c r="Q8" s="19">
        <f t="shared" si="3"/>
        <v>4277.984998694049</v>
      </c>
      <c r="T8" s="19"/>
      <c r="U8" s="19"/>
      <c r="V8" s="19"/>
      <c r="W8" s="19"/>
      <c r="X8" s="19"/>
      <c r="Y8" s="19"/>
      <c r="Z8" s="19"/>
      <c r="AA8" s="19"/>
      <c r="AB8" s="19"/>
      <c r="AC8" s="19"/>
      <c r="AD8" s="19"/>
    </row>
    <row r="9" spans="1:30" ht="12.75" customHeight="1">
      <c r="A9" s="120">
        <v>1985</v>
      </c>
      <c r="B9" s="39">
        <f>1000*('6a'!B9/'1'!B19)</f>
        <v>18795.442292728658</v>
      </c>
      <c r="C9" s="39">
        <f>1000*('6a'!C9/'1'!C19)</f>
        <v>11474.688187820984</v>
      </c>
      <c r="D9" s="39">
        <f>1000*('6a'!D9/'1'!D19)</f>
        <v>11322.765418942321</v>
      </c>
      <c r="E9" s="39">
        <f>1000*('6a'!E9/'1'!E19)</f>
        <v>13989.984737787972</v>
      </c>
      <c r="F9" s="39">
        <f>1000*('6a'!F9/'1'!F19)</f>
        <v>12958.894602004459</v>
      </c>
      <c r="G9" s="39">
        <f>1000*('6a'!G9/'1'!G19)</f>
        <v>16110.73956292131</v>
      </c>
      <c r="H9" s="39">
        <f>1000*('6a'!H9/'1'!H19)</f>
        <v>20347.711593875923</v>
      </c>
      <c r="I9" s="39">
        <f>1000*('6a'!I9/'1'!I19)</f>
        <v>17123.404727042624</v>
      </c>
      <c r="J9" s="39">
        <f>1000*('6a'!J9/'1'!J19)</f>
        <v>17490.009054294544</v>
      </c>
      <c r="K9" s="39">
        <f>1000*('6a'!K9/'1'!K19)</f>
        <v>27775.120711668587</v>
      </c>
      <c r="L9" s="39">
        <f>1000*('6a'!L9/'1'!L19)</f>
        <v>17995.846233325527</v>
      </c>
      <c r="N9" s="19">
        <f t="shared" si="0"/>
        <v>26198306.424055986</v>
      </c>
      <c r="O9" s="19">
        <f t="shared" si="1"/>
        <v>5118.4281204346307</v>
      </c>
      <c r="P9" s="19">
        <f t="shared" si="2"/>
        <v>21633563.888284374</v>
      </c>
      <c r="Q9" s="19">
        <f t="shared" si="3"/>
        <v>4651.1895132626423</v>
      </c>
      <c r="T9" s="19"/>
      <c r="U9" s="19"/>
      <c r="V9" s="19"/>
      <c r="W9" s="19"/>
      <c r="X9" s="19"/>
      <c r="Y9" s="19"/>
      <c r="Z9" s="19"/>
      <c r="AA9" s="19"/>
      <c r="AB9" s="19"/>
      <c r="AC9" s="19"/>
      <c r="AD9" s="19"/>
    </row>
    <row r="10" spans="1:30" ht="12.75" customHeight="1">
      <c r="A10" s="120">
        <v>1986</v>
      </c>
      <c r="B10" s="39">
        <f>1000*('6a'!B10/'1'!B20)</f>
        <v>19637.377042497403</v>
      </c>
      <c r="C10" s="39">
        <f>1000*('6a'!C10/'1'!C20)</f>
        <v>12569.711229798058</v>
      </c>
      <c r="D10" s="39">
        <f>1000*('6a'!D10/'1'!D20)</f>
        <v>12691.145784670964</v>
      </c>
      <c r="E10" s="39">
        <f>1000*('6a'!E10/'1'!E20)</f>
        <v>15075.015155997107</v>
      </c>
      <c r="F10" s="39">
        <f>1000*('6a'!F10/'1'!F20)</f>
        <v>14429.966662942625</v>
      </c>
      <c r="G10" s="39">
        <f>1000*('6a'!G10/'1'!G20)</f>
        <v>17464.673674042249</v>
      </c>
      <c r="H10" s="39">
        <f>1000*('6a'!H10/'1'!H20)</f>
        <v>22088.806836743202</v>
      </c>
      <c r="I10" s="39">
        <f>1000*('6a'!I10/'1'!I20)</f>
        <v>17644.601448213187</v>
      </c>
      <c r="J10" s="39">
        <f>1000*('6a'!J10/'1'!J20)</f>
        <v>17275.888315250937</v>
      </c>
      <c r="K10" s="39">
        <f>1000*('6a'!K10/'1'!K20)</f>
        <v>23823.537874085978</v>
      </c>
      <c r="L10" s="39">
        <f>1000*('6a'!L10/'1'!L20)</f>
        <v>18826.276684042357</v>
      </c>
      <c r="N10" s="19">
        <f t="shared" si="0"/>
        <v>18459405.541260112</v>
      </c>
      <c r="O10" s="19">
        <f t="shared" si="1"/>
        <v>4296.4410319775261</v>
      </c>
      <c r="P10" s="19">
        <f t="shared" si="2"/>
        <v>12464671.116005823</v>
      </c>
      <c r="Q10" s="19">
        <f t="shared" si="3"/>
        <v>3530.5341120014436</v>
      </c>
      <c r="T10" s="19"/>
      <c r="U10" s="19"/>
      <c r="V10" s="19"/>
      <c r="W10" s="19"/>
      <c r="X10" s="19"/>
      <c r="Y10" s="19"/>
      <c r="Z10" s="19"/>
      <c r="AA10" s="19"/>
      <c r="AB10" s="19"/>
      <c r="AC10" s="19"/>
      <c r="AD10" s="19"/>
    </row>
    <row r="11" spans="1:30" ht="12.75" customHeight="1">
      <c r="A11" s="120">
        <v>1987</v>
      </c>
      <c r="B11" s="39">
        <f>1000*('6a'!B11/'1'!B21)</f>
        <v>21135.003322355111</v>
      </c>
      <c r="C11" s="39">
        <f>1000*('6a'!C11/'1'!C21)</f>
        <v>13495.189850532473</v>
      </c>
      <c r="D11" s="39">
        <f>1000*('6a'!D11/'1'!D21)</f>
        <v>13502.693542494229</v>
      </c>
      <c r="E11" s="39">
        <f>1000*('6a'!E11/'1'!E21)</f>
        <v>16150.294425059816</v>
      </c>
      <c r="F11" s="39">
        <f>1000*('6a'!F11/'1'!F21)</f>
        <v>15900.671642611382</v>
      </c>
      <c r="G11" s="39">
        <f>1000*('6a'!G11/'1'!G21)</f>
        <v>18938.116043918712</v>
      </c>
      <c r="H11" s="39">
        <f>1000*('6a'!H11/'1'!H21)</f>
        <v>23944.73095665103</v>
      </c>
      <c r="I11" s="39">
        <f>1000*('6a'!I11/'1'!I21)</f>
        <v>18559.269027916744</v>
      </c>
      <c r="J11" s="39">
        <f>1000*('6a'!J11/'1'!J21)</f>
        <v>17617.174300130035</v>
      </c>
      <c r="K11" s="39">
        <f>1000*('6a'!K11/'1'!K21)</f>
        <v>24610.006977000481</v>
      </c>
      <c r="L11" s="39">
        <f>1000*('6a'!L11/'1'!L21)</f>
        <v>20505.790921952037</v>
      </c>
      <c r="N11" s="19">
        <f t="shared" si="0"/>
        <v>21306642.330720294</v>
      </c>
      <c r="O11" s="19">
        <f t="shared" si="1"/>
        <v>4615.9118634047045</v>
      </c>
      <c r="P11" s="19">
        <f t="shared" si="2"/>
        <v>13395869.830121003</v>
      </c>
      <c r="Q11" s="19">
        <f t="shared" si="3"/>
        <v>3660.0368618527605</v>
      </c>
      <c r="T11" s="19"/>
      <c r="U11" s="19"/>
      <c r="V11" s="19"/>
      <c r="W11" s="19"/>
      <c r="X11" s="19"/>
      <c r="Y11" s="19"/>
      <c r="Z11" s="19"/>
      <c r="AA11" s="19"/>
      <c r="AB11" s="19"/>
      <c r="AC11" s="19"/>
      <c r="AD11" s="19"/>
    </row>
    <row r="12" spans="1:30" ht="12.75" customHeight="1">
      <c r="A12" s="120">
        <v>1988</v>
      </c>
      <c r="B12" s="39">
        <f>1000*('6a'!B12/'1'!B22)</f>
        <v>22883.688771769903</v>
      </c>
      <c r="C12" s="39">
        <f>1000*('6a'!C12/'1'!C22)</f>
        <v>14725.678369061989</v>
      </c>
      <c r="D12" s="39">
        <f>1000*('6a'!D12/'1'!D22)</f>
        <v>14780.839823960276</v>
      </c>
      <c r="E12" s="39">
        <f>1000*('6a'!E12/'1'!E22)</f>
        <v>17046.062486625295</v>
      </c>
      <c r="F12" s="39">
        <f>1000*('6a'!F12/'1'!F22)</f>
        <v>17030.214322193911</v>
      </c>
      <c r="G12" s="39">
        <f>1000*('6a'!G12/'1'!G22)</f>
        <v>20600.177532006732</v>
      </c>
      <c r="H12" s="39">
        <f>1000*('6a'!H12/'1'!H22)</f>
        <v>26064.732655596006</v>
      </c>
      <c r="I12" s="39">
        <f>1000*('6a'!I12/'1'!I22)</f>
        <v>19975.466178893654</v>
      </c>
      <c r="J12" s="39">
        <f>1000*('6a'!J12/'1'!J22)</f>
        <v>18332.56339808894</v>
      </c>
      <c r="K12" s="39">
        <f>1000*('6a'!K12/'1'!K22)</f>
        <v>26026.066773208979</v>
      </c>
      <c r="L12" s="39">
        <f>1000*('6a'!L12/'1'!L22)</f>
        <v>22283.571676928019</v>
      </c>
      <c r="N12" s="19">
        <f t="shared" si="0"/>
        <v>25528898.319964074</v>
      </c>
      <c r="O12" s="19">
        <f t="shared" si="1"/>
        <v>5052.6130190193744</v>
      </c>
      <c r="P12" s="19">
        <f t="shared" si="2"/>
        <v>15307120.925001144</v>
      </c>
      <c r="Q12" s="19">
        <f t="shared" si="3"/>
        <v>3912.4315872614493</v>
      </c>
      <c r="T12" s="19"/>
      <c r="U12" s="19"/>
      <c r="V12" s="19"/>
      <c r="W12" s="19"/>
      <c r="X12" s="19"/>
      <c r="Y12" s="19"/>
      <c r="Z12" s="19"/>
      <c r="AA12" s="19"/>
      <c r="AB12" s="19"/>
      <c r="AC12" s="19"/>
      <c r="AD12" s="19"/>
    </row>
    <row r="13" spans="1:30" ht="12.75" customHeight="1">
      <c r="A13" s="120">
        <v>1989</v>
      </c>
      <c r="B13" s="39">
        <f>1000*('6a'!B13/'1'!B23)</f>
        <v>24113.109241152761</v>
      </c>
      <c r="C13" s="39">
        <f>1000*('6a'!C13/'1'!C23)</f>
        <v>15601.395193139895</v>
      </c>
      <c r="D13" s="39">
        <f>1000*('6a'!D13/'1'!D23)</f>
        <v>15819.842800396458</v>
      </c>
      <c r="E13" s="39">
        <f>1000*('6a'!E13/'1'!E23)</f>
        <v>18040.78372191569</v>
      </c>
      <c r="F13" s="39">
        <f>1000*('6a'!F13/'1'!F23)</f>
        <v>17858.090212738174</v>
      </c>
      <c r="G13" s="39">
        <f>1000*('6a'!G13/'1'!G23)</f>
        <v>21433.683247443223</v>
      </c>
      <c r="H13" s="39">
        <f>1000*('6a'!H13/'1'!H23)</f>
        <v>27594.039772133969</v>
      </c>
      <c r="I13" s="39">
        <f>1000*('6a'!I13/'1'!I23)</f>
        <v>21172.467276443389</v>
      </c>
      <c r="J13" s="39">
        <f>1000*('6a'!J13/'1'!J23)</f>
        <v>19596.071957223532</v>
      </c>
      <c r="K13" s="39">
        <f>1000*('6a'!K13/'1'!K23)</f>
        <v>26968.869142325359</v>
      </c>
      <c r="L13" s="39">
        <f>1000*('6a'!L13/'1'!L23)</f>
        <v>23643.572718954554</v>
      </c>
      <c r="N13" s="19">
        <f t="shared" si="0"/>
        <v>27394897.571504384</v>
      </c>
      <c r="O13" s="19">
        <f t="shared" si="1"/>
        <v>5234.0135241996068</v>
      </c>
      <c r="P13" s="19">
        <f t="shared" si="2"/>
        <v>16237776.905318452</v>
      </c>
      <c r="Q13" s="19">
        <f t="shared" si="3"/>
        <v>4029.6125006405332</v>
      </c>
      <c r="T13" s="19"/>
      <c r="U13" s="19"/>
      <c r="V13" s="19"/>
      <c r="W13" s="19"/>
      <c r="X13" s="19"/>
      <c r="Y13" s="19"/>
      <c r="Z13" s="19"/>
      <c r="AA13" s="19"/>
      <c r="AB13" s="19"/>
      <c r="AC13" s="19"/>
      <c r="AD13" s="19"/>
    </row>
    <row r="14" spans="1:30" ht="12.75" customHeight="1">
      <c r="A14" s="120">
        <v>1990</v>
      </c>
      <c r="B14" s="39">
        <f>1000*('6a'!B14/'1'!B24)</f>
        <v>24553.739900469242</v>
      </c>
      <c r="C14" s="39">
        <f>1000*('6a'!C14/'1'!C24)</f>
        <v>15967.286029014422</v>
      </c>
      <c r="D14" s="39">
        <f>1000*('6a'!D14/'1'!D24)</f>
        <v>16632.925370387413</v>
      </c>
      <c r="E14" s="39">
        <f>1000*('6a'!E14/'1'!E24)</f>
        <v>18664.376226727192</v>
      </c>
      <c r="F14" s="39">
        <f>1000*('6a'!F14/'1'!F24)</f>
        <v>18182.653386583374</v>
      </c>
      <c r="G14" s="39">
        <f>1000*('6a'!G14/'1'!G24)</f>
        <v>21913.721136500772</v>
      </c>
      <c r="H14" s="39">
        <f>1000*('6a'!H14/'1'!H24)</f>
        <v>27470.727960596094</v>
      </c>
      <c r="I14" s="39">
        <f>1000*('6a'!I14/'1'!I24)</f>
        <v>21885.779264189841</v>
      </c>
      <c r="J14" s="39">
        <f>1000*('6a'!J14/'1'!J24)</f>
        <v>21064.236643456017</v>
      </c>
      <c r="K14" s="39">
        <f>1000*('6a'!K14/'1'!K24)</f>
        <v>28753.177265926366</v>
      </c>
      <c r="L14" s="39">
        <f>1000*('6a'!L14/'1'!L24)</f>
        <v>24103.075503833257</v>
      </c>
      <c r="N14" s="19">
        <f t="shared" si="0"/>
        <v>26435337.869485095</v>
      </c>
      <c r="O14" s="19">
        <f t="shared" si="1"/>
        <v>5141.5306932357307</v>
      </c>
      <c r="P14" s="19">
        <f t="shared" si="2"/>
        <v>16887583.811950613</v>
      </c>
      <c r="Q14" s="19">
        <f t="shared" si="3"/>
        <v>4109.4505486683511</v>
      </c>
      <c r="T14" s="19"/>
      <c r="U14" s="19"/>
      <c r="V14" s="19"/>
      <c r="W14" s="19"/>
      <c r="X14" s="19"/>
      <c r="Y14" s="19"/>
      <c r="Z14" s="19"/>
      <c r="AA14" s="19"/>
      <c r="AB14" s="19"/>
      <c r="AC14" s="19"/>
      <c r="AD14" s="19"/>
    </row>
    <row r="15" spans="1:30" ht="12.75" customHeight="1">
      <c r="A15" s="120">
        <v>1991</v>
      </c>
      <c r="B15" s="39">
        <f>1000*('6a'!B15/'1'!B25)</f>
        <v>24444.724229262181</v>
      </c>
      <c r="C15" s="39">
        <f>1000*('6a'!C15/'1'!C25)</f>
        <v>16539.462152631615</v>
      </c>
      <c r="D15" s="39">
        <f>1000*('6a'!D15/'1'!D25)</f>
        <v>17297.056815654028</v>
      </c>
      <c r="E15" s="39">
        <f>1000*('6a'!E15/'1'!E25)</f>
        <v>19290.271036505063</v>
      </c>
      <c r="F15" s="39">
        <f>1000*('6a'!F15/'1'!F25)</f>
        <v>18304.189965489353</v>
      </c>
      <c r="G15" s="39">
        <f>1000*('6a'!G15/'1'!G25)</f>
        <v>21953.771940895913</v>
      </c>
      <c r="H15" s="39">
        <f>1000*('6a'!H15/'1'!H25)</f>
        <v>27138.857647491455</v>
      </c>
      <c r="I15" s="39">
        <f>1000*('6a'!I15/'1'!I25)</f>
        <v>21655.473484234015</v>
      </c>
      <c r="J15" s="39">
        <f>1000*('6a'!J15/'1'!J25)</f>
        <v>21335.117825339854</v>
      </c>
      <c r="K15" s="39">
        <f>1000*('6a'!K15/'1'!K25)</f>
        <v>28118.594024007969</v>
      </c>
      <c r="L15" s="39">
        <f>1000*('6a'!L15/'1'!L25)</f>
        <v>24260.274878052467</v>
      </c>
      <c r="N15" s="19">
        <f t="shared" si="0"/>
        <v>22230097.743266042</v>
      </c>
      <c r="O15" s="19">
        <f t="shared" si="1"/>
        <v>4714.880459064264</v>
      </c>
      <c r="P15" s="19">
        <f t="shared" si="2"/>
        <v>14076690.058921738</v>
      </c>
      <c r="Q15" s="19">
        <f t="shared" si="3"/>
        <v>3751.8915308043938</v>
      </c>
      <c r="T15" s="19"/>
      <c r="U15" s="19"/>
      <c r="V15" s="19"/>
      <c r="W15" s="19"/>
      <c r="X15" s="19"/>
      <c r="Y15" s="19"/>
      <c r="Z15" s="19"/>
      <c r="AA15" s="19"/>
      <c r="AB15" s="19"/>
      <c r="AC15" s="19"/>
      <c r="AD15" s="19"/>
    </row>
    <row r="16" spans="1:30" ht="12.75" customHeight="1">
      <c r="A16" s="120">
        <v>1992</v>
      </c>
      <c r="B16" s="39">
        <f>1000*('6a'!B16/'1'!B26)</f>
        <v>24689.770607330007</v>
      </c>
      <c r="C16" s="39">
        <f>1000*('6a'!C16/'1'!C26)</f>
        <v>16460.699627139034</v>
      </c>
      <c r="D16" s="39">
        <f>1000*('6a'!D16/'1'!D26)</f>
        <v>17924.434558615576</v>
      </c>
      <c r="E16" s="39">
        <f>1000*('6a'!E16/'1'!E26)</f>
        <v>19679.134614025108</v>
      </c>
      <c r="F16" s="39">
        <f>1000*('6a'!F16/'1'!F26)</f>
        <v>18764.344270512393</v>
      </c>
      <c r="G16" s="39">
        <f>1000*('6a'!G16/'1'!G26)</f>
        <v>22273.105101118002</v>
      </c>
      <c r="H16" s="39">
        <f>1000*('6a'!H16/'1'!H26)</f>
        <v>27098.698899614603</v>
      </c>
      <c r="I16" s="39">
        <f>1000*('6a'!I16/'1'!I26)</f>
        <v>21959.415434141974</v>
      </c>
      <c r="J16" s="39">
        <f>1000*('6a'!J16/'1'!J26)</f>
        <v>21135.563424120635</v>
      </c>
      <c r="K16" s="39">
        <f>1000*('6a'!K16/'1'!K26)</f>
        <v>28463.857252251702</v>
      </c>
      <c r="L16" s="39">
        <f>1000*('6a'!L16/'1'!L26)</f>
        <v>25150.46981638041</v>
      </c>
      <c r="N16" s="19">
        <f t="shared" si="0"/>
        <v>21989094.09033224</v>
      </c>
      <c r="O16" s="19">
        <f t="shared" si="1"/>
        <v>4689.2530418321676</v>
      </c>
      <c r="P16" s="19">
        <f t="shared" si="2"/>
        <v>14155822.124054411</v>
      </c>
      <c r="Q16" s="19">
        <f t="shared" si="3"/>
        <v>3762.4223744888627</v>
      </c>
      <c r="T16" s="19"/>
      <c r="U16" s="19"/>
      <c r="V16" s="19"/>
      <c r="W16" s="19"/>
      <c r="X16" s="19"/>
      <c r="Y16" s="19"/>
      <c r="Z16" s="19"/>
      <c r="AA16" s="19"/>
      <c r="AB16" s="19"/>
      <c r="AC16" s="19"/>
      <c r="AD16" s="19"/>
    </row>
    <row r="17" spans="1:30" ht="12.75" customHeight="1">
      <c r="A17" s="120">
        <v>1993</v>
      </c>
      <c r="B17" s="39">
        <f>1000*('6a'!B17/'1'!B27)</f>
        <v>25350.879651650612</v>
      </c>
      <c r="C17" s="39">
        <f>1000*('6a'!C17/'1'!C27)</f>
        <v>16847.219803543932</v>
      </c>
      <c r="D17" s="39">
        <f>1000*('6a'!D17/'1'!D27)</f>
        <v>18694.629171489745</v>
      </c>
      <c r="E17" s="39">
        <f>1000*('6a'!E17/'1'!E27)</f>
        <v>19853.343074383745</v>
      </c>
      <c r="F17" s="39">
        <f>1000*('6a'!F17/'1'!F27)</f>
        <v>19621.747514729999</v>
      </c>
      <c r="G17" s="39">
        <f>1000*('6a'!G17/'1'!G27)</f>
        <v>22668.645463581059</v>
      </c>
      <c r="H17" s="39">
        <f>1000*('6a'!H17/'1'!H27)</f>
        <v>27446.581574359228</v>
      </c>
      <c r="I17" s="39">
        <f>1000*('6a'!I17/'1'!I27)</f>
        <v>22002.151003294508</v>
      </c>
      <c r="J17" s="39">
        <f>1000*('6a'!J17/'1'!J27)</f>
        <v>22770.880921640677</v>
      </c>
      <c r="K17" s="39">
        <f>1000*('6a'!K17/'1'!K27)</f>
        <v>30434.987995315099</v>
      </c>
      <c r="L17" s="39">
        <f>1000*('6a'!L17/'1'!L27)</f>
        <v>26368.557183586843</v>
      </c>
      <c r="N17" s="19">
        <f t="shared" si="0"/>
        <v>23600431.373242129</v>
      </c>
      <c r="O17" s="19">
        <f t="shared" si="1"/>
        <v>4858.0275187818906</v>
      </c>
      <c r="P17" s="19">
        <f t="shared" si="2"/>
        <v>16418003.066742783</v>
      </c>
      <c r="Q17" s="19">
        <f t="shared" si="3"/>
        <v>4051.9135068190662</v>
      </c>
      <c r="T17" s="19"/>
      <c r="U17" s="19"/>
      <c r="V17" s="19"/>
      <c r="W17" s="19"/>
      <c r="X17" s="19"/>
      <c r="Y17" s="19"/>
      <c r="Z17" s="19"/>
      <c r="AA17" s="19"/>
      <c r="AB17" s="19"/>
      <c r="AC17" s="19"/>
      <c r="AD17" s="19"/>
    </row>
    <row r="18" spans="1:30" ht="12.75" customHeight="1">
      <c r="A18" s="120">
        <v>1994</v>
      </c>
      <c r="B18" s="39">
        <f>1000*('6a'!B18/'1'!B28)</f>
        <v>26581.219884524711</v>
      </c>
      <c r="C18" s="39">
        <f>1000*('6a'!C18/'1'!C28)</f>
        <v>17867.02781365651</v>
      </c>
      <c r="D18" s="39">
        <f>1000*('6a'!D18/'1'!D28)</f>
        <v>18892.81083957223</v>
      </c>
      <c r="E18" s="39">
        <f>1000*('6a'!E18/'1'!E28)</f>
        <v>20139.803705154227</v>
      </c>
      <c r="F18" s="39">
        <f>1000*('6a'!F18/'1'!F28)</f>
        <v>20376.307177562867</v>
      </c>
      <c r="G18" s="39">
        <f>1000*('6a'!G18/'1'!G28)</f>
        <v>23702.509439473844</v>
      </c>
      <c r="H18" s="39">
        <f>1000*('6a'!H18/'1'!H28)</f>
        <v>28754.210360041354</v>
      </c>
      <c r="I18" s="39">
        <f>1000*('6a'!I18/'1'!I28)</f>
        <v>23110.137727802856</v>
      </c>
      <c r="J18" s="39">
        <f>1000*('6a'!J18/'1'!J28)</f>
        <v>24247.827055939379</v>
      </c>
      <c r="K18" s="39">
        <f>1000*('6a'!K18/'1'!K28)</f>
        <v>32600.460785468153</v>
      </c>
      <c r="L18" s="39">
        <f>1000*('6a'!L18/'1'!L28)</f>
        <v>27342.2060213679</v>
      </c>
      <c r="N18" s="19">
        <f t="shared" si="0"/>
        <v>28235391.697575696</v>
      </c>
      <c r="O18" s="19">
        <f t="shared" si="1"/>
        <v>5313.6984951703553</v>
      </c>
      <c r="P18" s="19">
        <f t="shared" si="2"/>
        <v>19953142.043134004</v>
      </c>
      <c r="Q18" s="19">
        <f t="shared" si="3"/>
        <v>4466.8940040182288</v>
      </c>
      <c r="T18" s="19"/>
      <c r="U18" s="19"/>
      <c r="V18" s="19"/>
      <c r="W18" s="19"/>
      <c r="X18" s="19"/>
      <c r="Y18" s="19"/>
      <c r="Z18" s="19"/>
      <c r="AA18" s="19"/>
      <c r="AB18" s="19"/>
      <c r="AC18" s="19"/>
      <c r="AD18" s="19"/>
    </row>
    <row r="19" spans="1:30" ht="12.75" customHeight="1">
      <c r="A19" s="120">
        <v>1995</v>
      </c>
      <c r="B19" s="39">
        <f>1000*('6a'!B19/'1'!B29)</f>
        <v>27657.409000948763</v>
      </c>
      <c r="C19" s="39">
        <f>1000*('6a'!C19/'1'!C29)</f>
        <v>18773.451392940038</v>
      </c>
      <c r="D19" s="39">
        <f>1000*('6a'!D19/'1'!D29)</f>
        <v>19804.337313543874</v>
      </c>
      <c r="E19" s="39">
        <f>1000*('6a'!E19/'1'!E29)</f>
        <v>20790.415032538895</v>
      </c>
      <c r="F19" s="39">
        <f>1000*('6a'!F19/'1'!F29)</f>
        <v>21812.574323217606</v>
      </c>
      <c r="G19" s="39">
        <f>1000*('6a'!G19/'1'!G29)</f>
        <v>24563.737434755756</v>
      </c>
      <c r="H19" s="39">
        <f>1000*('6a'!H19/'1'!H29)</f>
        <v>30074.285037450278</v>
      </c>
      <c r="I19" s="39">
        <f>1000*('6a'!I19/'1'!I29)</f>
        <v>23881.680910419342</v>
      </c>
      <c r="J19" s="39">
        <f>1000*('6a'!J19/'1'!J29)</f>
        <v>26055.352711087795</v>
      </c>
      <c r="K19" s="39">
        <f>1000*('6a'!K19/'1'!K29)</f>
        <v>33657.107520554804</v>
      </c>
      <c r="L19" s="39">
        <f>1000*('6a'!L19/'1'!L29)</f>
        <v>27974.342072171527</v>
      </c>
      <c r="N19" s="19">
        <f t="shared" si="0"/>
        <v>29024476.568318255</v>
      </c>
      <c r="O19" s="19">
        <f t="shared" si="1"/>
        <v>5387.4369201242862</v>
      </c>
      <c r="P19" s="19">
        <f t="shared" si="2"/>
        <v>20505779.971258927</v>
      </c>
      <c r="Q19" s="19">
        <f t="shared" si="3"/>
        <v>4528.3308151303308</v>
      </c>
      <c r="T19" s="19"/>
      <c r="U19" s="19"/>
      <c r="V19" s="19"/>
      <c r="W19" s="19"/>
      <c r="X19" s="19"/>
      <c r="Y19" s="19"/>
      <c r="Z19" s="19"/>
      <c r="AA19" s="19"/>
      <c r="AB19" s="19"/>
      <c r="AC19" s="19"/>
      <c r="AD19" s="19"/>
    </row>
    <row r="20" spans="1:30" ht="12.75" customHeight="1">
      <c r="A20" s="120">
        <v>1996</v>
      </c>
      <c r="B20" s="39">
        <f>1000*('6a'!B20/'1'!B30)</f>
        <v>28262.676080263911</v>
      </c>
      <c r="C20" s="39">
        <f>1000*('6a'!C20/'1'!C30)</f>
        <v>18611.822804440966</v>
      </c>
      <c r="D20" s="39">
        <f>1000*('6a'!D20/'1'!D30)</f>
        <v>20797.571774829266</v>
      </c>
      <c r="E20" s="39">
        <f>1000*('6a'!E20/'1'!E30)</f>
        <v>20950.750917776462</v>
      </c>
      <c r="F20" s="39">
        <f>1000*('6a'!F20/'1'!F30)</f>
        <v>22101.166073792851</v>
      </c>
      <c r="G20" s="39">
        <f>1000*('6a'!G20/'1'!G30)</f>
        <v>24910.799753328909</v>
      </c>
      <c r="H20" s="39">
        <f>1000*('6a'!H20/'1'!H30)</f>
        <v>30513.034355709871</v>
      </c>
      <c r="I20" s="39">
        <f>1000*('6a'!I20/'1'!I30)</f>
        <v>25069.741032414153</v>
      </c>
      <c r="J20" s="39">
        <f>1000*('6a'!J20/'1'!J30)</f>
        <v>28405.851149963932</v>
      </c>
      <c r="K20" s="39">
        <f>1000*('6a'!K20/'1'!K30)</f>
        <v>35542.080325519535</v>
      </c>
      <c r="L20" s="39">
        <f>1000*('6a'!L20/'1'!L30)</f>
        <v>28099.146249519592</v>
      </c>
      <c r="N20" s="19">
        <f t="shared" si="0"/>
        <v>31982619.51548367</v>
      </c>
      <c r="O20" s="19">
        <f t="shared" si="1"/>
        <v>5655.3178085306281</v>
      </c>
      <c r="P20" s="19">
        <f t="shared" si="2"/>
        <v>24351325.773216475</v>
      </c>
      <c r="Q20" s="19">
        <f t="shared" si="3"/>
        <v>4934.7062499419835</v>
      </c>
      <c r="T20" s="19"/>
      <c r="U20" s="19"/>
      <c r="V20" s="19"/>
      <c r="W20" s="19"/>
      <c r="X20" s="19"/>
      <c r="Y20" s="19"/>
      <c r="Z20" s="19"/>
      <c r="AA20" s="19"/>
      <c r="AB20" s="19"/>
      <c r="AC20" s="19"/>
      <c r="AD20" s="19"/>
    </row>
    <row r="21" spans="1:30" ht="12.75" customHeight="1">
      <c r="A21" s="120">
        <v>1997</v>
      </c>
      <c r="B21" s="39">
        <f>1000*('6a'!B21/'1'!B31)</f>
        <v>29516.971005232805</v>
      </c>
      <c r="C21" s="39">
        <f>1000*('6a'!C21/'1'!C31)</f>
        <v>19119.240675898647</v>
      </c>
      <c r="D21" s="39">
        <f>1000*('6a'!D21/'1'!D31)</f>
        <v>20573.863845108197</v>
      </c>
      <c r="E21" s="39">
        <f>1000*('6a'!E21/'1'!E31)</f>
        <v>21844.654987870035</v>
      </c>
      <c r="F21" s="39">
        <f>1000*('6a'!F21/'1'!F31)</f>
        <v>22385.054836407708</v>
      </c>
      <c r="G21" s="39">
        <f>1000*('6a'!G21/'1'!G31)</f>
        <v>25901.591164118603</v>
      </c>
      <c r="H21" s="39">
        <f>1000*('6a'!H21/'1'!H31)</f>
        <v>32006.071439163905</v>
      </c>
      <c r="I21" s="39">
        <f>1000*('6a'!I21/'1'!I31)</f>
        <v>26186.3099932402</v>
      </c>
      <c r="J21" s="39">
        <f>1000*('6a'!J21/'1'!J31)</f>
        <v>28644.211328791964</v>
      </c>
      <c r="K21" s="39">
        <f>1000*('6a'!K21/'1'!K31)</f>
        <v>37828.180170807762</v>
      </c>
      <c r="L21" s="39">
        <f>1000*('6a'!L21/'1'!L31)</f>
        <v>28968.113371303072</v>
      </c>
      <c r="N21" s="19">
        <f t="shared" si="0"/>
        <v>39831967.008007742</v>
      </c>
      <c r="O21" s="19">
        <f t="shared" si="1"/>
        <v>6311.2571654154408</v>
      </c>
      <c r="P21" s="19">
        <f t="shared" si="2"/>
        <v>29775192.301963344</v>
      </c>
      <c r="Q21" s="19">
        <f t="shared" si="3"/>
        <v>5456.6649431647666</v>
      </c>
      <c r="T21" s="19"/>
      <c r="U21" s="19"/>
      <c r="V21" s="19"/>
      <c r="W21" s="19"/>
      <c r="X21" s="19"/>
      <c r="Y21" s="19"/>
      <c r="Z21" s="19"/>
      <c r="AA21" s="19"/>
      <c r="AB21" s="19"/>
      <c r="AC21" s="19"/>
      <c r="AD21" s="19"/>
    </row>
    <row r="22" spans="1:30" ht="12.75" customHeight="1">
      <c r="A22" s="120">
        <v>1998</v>
      </c>
      <c r="B22" s="39">
        <f>1000*('6a'!B22/'1'!B32)</f>
        <v>30342.15721461787</v>
      </c>
      <c r="C22" s="39">
        <f>1000*('6a'!C22/'1'!C32)</f>
        <v>20702.315302782477</v>
      </c>
      <c r="D22" s="39">
        <f>1000*('6a'!D22/'1'!D32)</f>
        <v>21950.752555153013</v>
      </c>
      <c r="E22" s="39">
        <f>1000*('6a'!E22/'1'!E32)</f>
        <v>22966.487665211473</v>
      </c>
      <c r="F22" s="39">
        <f>1000*('6a'!F22/'1'!F32)</f>
        <v>23494.06419463579</v>
      </c>
      <c r="G22" s="39">
        <f>1000*('6a'!G22/'1'!G32)</f>
        <v>26899.636578450874</v>
      </c>
      <c r="H22" s="39">
        <f>1000*('6a'!H22/'1'!H32)</f>
        <v>33248.310010794572</v>
      </c>
      <c r="I22" s="39">
        <f>1000*('6a'!I22/'1'!I32)</f>
        <v>27228.395175689609</v>
      </c>
      <c r="J22" s="39">
        <f>1000*('6a'!J22/'1'!J32)</f>
        <v>29046.56493652023</v>
      </c>
      <c r="K22" s="39">
        <f>1000*('6a'!K22/'1'!K32)</f>
        <v>37059.866867466975</v>
      </c>
      <c r="L22" s="39">
        <f>1000*('6a'!L22/'1'!L32)</f>
        <v>29032.819304900462</v>
      </c>
      <c r="N22" s="19">
        <f t="shared" si="0"/>
        <v>34315183.808953822</v>
      </c>
      <c r="O22" s="19">
        <f t="shared" si="1"/>
        <v>5857.9163368004683</v>
      </c>
      <c r="P22" s="19">
        <f t="shared" si="2"/>
        <v>24207642.548480988</v>
      </c>
      <c r="Q22" s="19">
        <f t="shared" si="3"/>
        <v>4920.126273631703</v>
      </c>
      <c r="T22" s="19"/>
      <c r="U22" s="19"/>
      <c r="V22" s="19"/>
      <c r="W22" s="19"/>
      <c r="X22" s="19"/>
      <c r="Y22" s="19"/>
      <c r="Z22" s="19"/>
      <c r="AA22" s="19"/>
      <c r="AB22" s="19"/>
      <c r="AC22" s="19"/>
      <c r="AD22" s="19"/>
    </row>
    <row r="23" spans="1:30" ht="12.75" customHeight="1">
      <c r="A23" s="120">
        <v>1999</v>
      </c>
      <c r="B23" s="39">
        <f>1000*('6a'!B23/'1'!B33)</f>
        <v>32315.771115735039</v>
      </c>
      <c r="C23" s="39">
        <f>1000*('6a'!C23/'1'!C33)</f>
        <v>22845.185617133138</v>
      </c>
      <c r="D23" s="39">
        <f>1000*('6a'!D23/'1'!D33)</f>
        <v>23180.04710854778</v>
      </c>
      <c r="E23" s="39">
        <f>1000*('6a'!E23/'1'!E33)</f>
        <v>24694.147682975934</v>
      </c>
      <c r="F23" s="39">
        <f>1000*('6a'!F23/'1'!F33)</f>
        <v>25367.672038806239</v>
      </c>
      <c r="G23" s="39">
        <f>1000*('6a'!G23/'1'!G33)</f>
        <v>28786.26292971017</v>
      </c>
      <c r="H23" s="39">
        <f>1000*('6a'!H23/'1'!H33)</f>
        <v>35552.244075690767</v>
      </c>
      <c r="I23" s="39">
        <f>1000*('6a'!I23/'1'!I33)</f>
        <v>27980.26693556293</v>
      </c>
      <c r="J23" s="39">
        <f>1000*('6a'!J23/'1'!J33)</f>
        <v>30337.379894413538</v>
      </c>
      <c r="K23" s="39">
        <f>1000*('6a'!K23/'1'!K33)</f>
        <v>39651.951507302489</v>
      </c>
      <c r="L23" s="39">
        <f>1000*('6a'!L23/'1'!L33)</f>
        <v>30144.526502757781</v>
      </c>
      <c r="N23" s="19">
        <f t="shared" si="0"/>
        <v>38369532.683906227</v>
      </c>
      <c r="O23" s="19">
        <f t="shared" si="1"/>
        <v>6194.3145451216978</v>
      </c>
      <c r="P23" s="19">
        <f t="shared" si="2"/>
        <v>26385454.844028626</v>
      </c>
      <c r="Q23" s="19">
        <f t="shared" si="3"/>
        <v>5136.6774128836068</v>
      </c>
      <c r="T23" s="19"/>
      <c r="U23" s="19"/>
      <c r="V23" s="19"/>
      <c r="W23" s="19"/>
      <c r="X23" s="19"/>
      <c r="Y23" s="19"/>
      <c r="Z23" s="19"/>
      <c r="AA23" s="19"/>
      <c r="AB23" s="19"/>
      <c r="AC23" s="19"/>
      <c r="AD23" s="19"/>
    </row>
    <row r="24" spans="1:30" ht="12.75" customHeight="1">
      <c r="A24" s="120">
        <v>2000</v>
      </c>
      <c r="B24" s="39">
        <f>1000*('6a'!B24/'1'!B34)</f>
        <v>35083.962480279923</v>
      </c>
      <c r="C24" s="39">
        <f>1000*('6a'!C24/'1'!C34)</f>
        <v>26369.122254084545</v>
      </c>
      <c r="D24" s="39">
        <f>1000*('6a'!D24/'1'!D34)</f>
        <v>24664.761486040887</v>
      </c>
      <c r="E24" s="39">
        <f>1000*('6a'!E24/'1'!E34)</f>
        <v>26405.488846363489</v>
      </c>
      <c r="F24" s="39">
        <f>1000*('6a'!F24/'1'!F34)</f>
        <v>26761.55236989968</v>
      </c>
      <c r="G24" s="39">
        <f>1000*('6a'!G24/'1'!G34)</f>
        <v>30573.535150635093</v>
      </c>
      <c r="H24" s="39">
        <f>1000*('6a'!H24/'1'!H34)</f>
        <v>37725.589281786204</v>
      </c>
      <c r="I24" s="39">
        <f>1000*('6a'!I24/'1'!I34)</f>
        <v>29684.140247691779</v>
      </c>
      <c r="J24" s="39">
        <f>1000*('6a'!J24/'1'!J34)</f>
        <v>33574.012594720931</v>
      </c>
      <c r="K24" s="39">
        <f>1000*('6a'!K24/'1'!K34)</f>
        <v>48195.558348684077</v>
      </c>
      <c r="L24" s="39">
        <f>1000*('6a'!L24/'1'!L34)</f>
        <v>32514.365361714979</v>
      </c>
      <c r="N24" s="19">
        <f t="shared" si="0"/>
        <v>56636355.540939309</v>
      </c>
      <c r="O24" s="19">
        <f t="shared" si="1"/>
        <v>7525.7129589786582</v>
      </c>
      <c r="P24" s="19">
        <f t="shared" si="2"/>
        <v>44822356.201300345</v>
      </c>
      <c r="Q24" s="19">
        <f t="shared" si="3"/>
        <v>6694.9500521886157</v>
      </c>
      <c r="T24" s="19"/>
      <c r="U24" s="19"/>
      <c r="V24" s="19"/>
      <c r="W24" s="19"/>
      <c r="X24" s="19"/>
      <c r="Y24" s="19"/>
      <c r="Z24" s="19"/>
      <c r="AA24" s="19"/>
      <c r="AB24" s="19"/>
      <c r="AC24" s="19"/>
      <c r="AD24" s="19"/>
    </row>
    <row r="25" spans="1:30" ht="12.75" customHeight="1">
      <c r="A25" s="120">
        <v>2001</v>
      </c>
      <c r="B25" s="39">
        <f>1000*('6a'!B25/'1'!B35)</f>
        <v>35721.56696117414</v>
      </c>
      <c r="C25" s="39">
        <f>1000*('6a'!C25/'1'!C35)</f>
        <v>27161.118166859182</v>
      </c>
      <c r="D25" s="39">
        <f>1000*('6a'!D25/'1'!D35)</f>
        <v>25105.55161236033</v>
      </c>
      <c r="E25" s="39">
        <f>1000*('6a'!E25/'1'!E35)</f>
        <v>27785.821069993803</v>
      </c>
      <c r="F25" s="39">
        <f>1000*('6a'!F25/'1'!F35)</f>
        <v>27585.986148324686</v>
      </c>
      <c r="G25" s="39">
        <f>1000*('6a'!G25/'1'!G35)</f>
        <v>31316.067385302253</v>
      </c>
      <c r="H25" s="39">
        <f>1000*('6a'!H25/'1'!H35)</f>
        <v>38136.828789720275</v>
      </c>
      <c r="I25" s="39">
        <f>1000*('6a'!I25/'1'!I35)</f>
        <v>30533.09814935919</v>
      </c>
      <c r="J25" s="39">
        <f>1000*('6a'!J25/'1'!J35)</f>
        <v>33119.680550598321</v>
      </c>
      <c r="K25" s="39">
        <f>1000*('6a'!K25/'1'!K35)</f>
        <v>49468.004919527921</v>
      </c>
      <c r="L25" s="39">
        <f>1000*('6a'!L25/'1'!L35)</f>
        <v>32754.012007073143</v>
      </c>
      <c r="N25" s="19">
        <f t="shared" si="0"/>
        <v>57184768.012476251</v>
      </c>
      <c r="O25" s="19">
        <f t="shared" si="1"/>
        <v>7562.0610955265529</v>
      </c>
      <c r="P25" s="19">
        <f t="shared" si="2"/>
        <v>45454484.953337871</v>
      </c>
      <c r="Q25" s="19">
        <f t="shared" si="3"/>
        <v>6741.9941377412861</v>
      </c>
      <c r="T25" s="19"/>
      <c r="U25" s="19"/>
      <c r="V25" s="19"/>
      <c r="W25" s="19"/>
      <c r="X25" s="19"/>
      <c r="Y25" s="19"/>
      <c r="Z25" s="19"/>
      <c r="AA25" s="19"/>
      <c r="AB25" s="19"/>
      <c r="AC25" s="19"/>
      <c r="AD25" s="19"/>
    </row>
    <row r="26" spans="1:30" ht="12.75" customHeight="1">
      <c r="A26" s="120">
        <v>2002</v>
      </c>
      <c r="B26" s="39">
        <f>1000*('6a'!B26/'1'!B36)</f>
        <v>36770.990917295261</v>
      </c>
      <c r="C26" s="39">
        <f>1000*('6a'!C26/'1'!C36)</f>
        <v>31676.64682184509</v>
      </c>
      <c r="D26" s="39">
        <f>1000*('6a'!D26/'1'!D36)</f>
        <v>27039.071860662203</v>
      </c>
      <c r="E26" s="39">
        <f>1000*('6a'!E26/'1'!E36)</f>
        <v>28964.241215381575</v>
      </c>
      <c r="F26" s="39">
        <f>1000*('6a'!F26/'1'!F36)</f>
        <v>28250.532808598604</v>
      </c>
      <c r="G26" s="39">
        <f>1000*('6a'!G26/'1'!G36)</f>
        <v>32447.995424317669</v>
      </c>
      <c r="H26" s="39">
        <f>1000*('6a'!H26/'1'!H36)</f>
        <v>39513.841212356696</v>
      </c>
      <c r="I26" s="39">
        <f>1000*('6a'!I26/'1'!I36)</f>
        <v>31608.671180420759</v>
      </c>
      <c r="J26" s="39">
        <f>1000*('6a'!J26/'1'!J36)</f>
        <v>34453.215837464042</v>
      </c>
      <c r="K26" s="39">
        <f>1000*('6a'!K26/'1'!K36)</f>
        <v>48138.260125739842</v>
      </c>
      <c r="L26" s="39">
        <f>1000*('6a'!L26/'1'!L36)</f>
        <v>33720.594859471697</v>
      </c>
      <c r="M26" s="1">
        <f>B26*'1'!B36</f>
        <v>1152905000</v>
      </c>
      <c r="N26" s="19">
        <f t="shared" si="0"/>
        <v>45095900.710476138</v>
      </c>
      <c r="O26" s="19">
        <f t="shared" si="1"/>
        <v>6715.3481451430453</v>
      </c>
      <c r="P26" s="19">
        <f t="shared" si="2"/>
        <v>34921818.077051394</v>
      </c>
      <c r="Q26" s="19">
        <f t="shared" si="3"/>
        <v>5909.4685105389462</v>
      </c>
      <c r="T26" s="19"/>
      <c r="U26" s="19"/>
      <c r="V26" s="19"/>
      <c r="W26" s="19"/>
      <c r="X26" s="19"/>
      <c r="Y26" s="19"/>
      <c r="Z26" s="19"/>
      <c r="AA26" s="19"/>
      <c r="AB26" s="19"/>
      <c r="AC26" s="19"/>
      <c r="AD26" s="19"/>
    </row>
    <row r="27" spans="1:30" ht="12.75" customHeight="1">
      <c r="A27" s="120">
        <v>2003</v>
      </c>
      <c r="B27" s="39">
        <f>1000*('6a'!B27/'1'!B37)</f>
        <v>38343.478297972135</v>
      </c>
      <c r="C27" s="39">
        <f>1000*('6a'!C27/'1'!C37)</f>
        <v>34943.685875183211</v>
      </c>
      <c r="D27" s="39">
        <f>1000*('6a'!D27/'1'!D37)</f>
        <v>27677.97931803441</v>
      </c>
      <c r="E27" s="39">
        <f>1000*('6a'!E27/'1'!E37)</f>
        <v>30774.695437076196</v>
      </c>
      <c r="F27" s="39">
        <f>1000*('6a'!F27/'1'!F37)</f>
        <v>29845.647587568008</v>
      </c>
      <c r="G27" s="39">
        <f>1000*('6a'!G27/'1'!G37)</f>
        <v>33496.850987157355</v>
      </c>
      <c r="H27" s="39">
        <f>1000*('6a'!H27/'1'!H37)</f>
        <v>40276.915896255545</v>
      </c>
      <c r="I27" s="39">
        <f>1000*('6a'!I27/'1'!I37)</f>
        <v>32179.402467222139</v>
      </c>
      <c r="J27" s="39">
        <f>1000*('6a'!J27/'1'!J37)</f>
        <v>36782.363572685135</v>
      </c>
      <c r="K27" s="39">
        <f>1000*('6a'!K27/'1'!K37)</f>
        <v>53437.586778396399</v>
      </c>
      <c r="L27" s="39">
        <f>1000*('6a'!L27/'1'!L37)</f>
        <v>35329.454035953851</v>
      </c>
      <c r="M27" s="1">
        <f>B27*'1'!B37</f>
        <v>1213175000</v>
      </c>
      <c r="N27" s="19">
        <f t="shared" si="0"/>
        <v>55938839.812717162</v>
      </c>
      <c r="O27" s="19">
        <f t="shared" si="1"/>
        <v>7479.22722028935</v>
      </c>
      <c r="P27" s="19">
        <f t="shared" si="2"/>
        <v>47707563.464633629</v>
      </c>
      <c r="Q27" s="19">
        <f t="shared" si="3"/>
        <v>6907.0661980781415</v>
      </c>
      <c r="T27" s="19"/>
      <c r="U27" s="19"/>
      <c r="V27" s="19"/>
      <c r="W27" s="19"/>
      <c r="X27" s="19"/>
      <c r="Y27" s="19"/>
      <c r="Z27" s="19"/>
      <c r="AA27" s="19"/>
      <c r="AB27" s="19"/>
      <c r="AC27" s="19"/>
      <c r="AD27" s="19"/>
    </row>
    <row r="28" spans="1:30" ht="12.75" customHeight="1">
      <c r="A28" s="119">
        <v>2004</v>
      </c>
      <c r="B28" s="39">
        <f>1000*('6a'!B28/'1'!B38)</f>
        <v>40415.738226705034</v>
      </c>
      <c r="C28" s="39">
        <f>1000*('6a'!C28/'1'!C38)</f>
        <v>37505.290396890894</v>
      </c>
      <c r="D28" s="39">
        <f>1000*('6a'!D28/'1'!D38)</f>
        <v>28930.662289175878</v>
      </c>
      <c r="E28" s="39">
        <f>1000*('6a'!E28/'1'!E38)</f>
        <v>31779.606887976701</v>
      </c>
      <c r="F28" s="39">
        <f>1000*('6a'!F28/'1'!F38)</f>
        <v>31589.243750408677</v>
      </c>
      <c r="G28" s="39">
        <f>1000*('6a'!G28/'1'!G38)</f>
        <v>34867.764810416869</v>
      </c>
      <c r="H28" s="39">
        <f>1000*('6a'!H28/'1'!H38)</f>
        <v>41653.030656548566</v>
      </c>
      <c r="I28" s="39">
        <f>1000*('6a'!I28/'1'!I38)</f>
        <v>33869.420211560318</v>
      </c>
      <c r="J28" s="39">
        <f>1000*('6a'!J28/'1'!J38)</f>
        <v>40900.418769117554</v>
      </c>
      <c r="K28" s="39">
        <f>1000*('6a'!K28/'1'!K38)</f>
        <v>58572.217500943829</v>
      </c>
      <c r="L28" s="39">
        <f>1000*('6a'!L28/'1'!L38)</f>
        <v>37946.702541652929</v>
      </c>
      <c r="M28" s="1">
        <f>B28*'1'!B38</f>
        <v>1290906000</v>
      </c>
      <c r="N28" s="19">
        <f t="shared" si="0"/>
        <v>70402141.831905022</v>
      </c>
      <c r="O28" s="19">
        <f t="shared" si="1"/>
        <v>8390.5984191775624</v>
      </c>
      <c r="P28" s="19">
        <f t="shared" si="2"/>
        <v>63356820.361120291</v>
      </c>
      <c r="Q28" s="19">
        <f t="shared" si="3"/>
        <v>7959.6997657650563</v>
      </c>
      <c r="T28" s="19"/>
      <c r="U28" s="19"/>
      <c r="V28" s="19"/>
      <c r="W28" s="19"/>
      <c r="X28" s="19"/>
      <c r="Y28" s="19"/>
      <c r="Z28" s="19"/>
      <c r="AA28" s="19"/>
      <c r="AB28" s="19"/>
      <c r="AC28" s="19"/>
      <c r="AD28" s="19"/>
    </row>
    <row r="29" spans="1:30" ht="12.75" customHeight="1">
      <c r="A29" s="119">
        <v>2005</v>
      </c>
      <c r="B29" s="39">
        <f>1000*('6a'!B29/'1'!B39)</f>
        <v>42568.370389536009</v>
      </c>
      <c r="C29" s="39">
        <f>1000*('6a'!C29/'1'!C39)</f>
        <v>42652.756905142858</v>
      </c>
      <c r="D29" s="39">
        <f>1000*('6a'!D29/'1'!D39)</f>
        <v>30067.726630690664</v>
      </c>
      <c r="E29" s="39">
        <f>1000*('6a'!E29/'1'!E39)</f>
        <v>33344.314834301942</v>
      </c>
      <c r="F29" s="39">
        <f>1000*('6a'!F29/'1'!F39)</f>
        <v>33087.330873308732</v>
      </c>
      <c r="G29" s="39">
        <f>1000*('6a'!G29/'1'!G39)</f>
        <v>35750.749382312722</v>
      </c>
      <c r="H29" s="39">
        <f>1000*('6a'!H29/'1'!H39)</f>
        <v>42849.890808781274</v>
      </c>
      <c r="I29" s="39">
        <f>1000*('6a'!I29/'1'!I39)</f>
        <v>35234.630200602398</v>
      </c>
      <c r="J29" s="39">
        <f>1000*('6a'!J29/'1'!J39)</f>
        <v>44350.776334846043</v>
      </c>
      <c r="K29" s="39">
        <f>1000*('6a'!K29/'1'!K39)</f>
        <v>66347.299981939679</v>
      </c>
      <c r="L29" s="39">
        <f>1000*('6a'!L29/'1'!L39)</f>
        <v>40342.280810943987</v>
      </c>
      <c r="M29" s="1">
        <f>B29*'1'!B39</f>
        <v>1372626000</v>
      </c>
      <c r="N29" s="19">
        <f t="shared" si="0"/>
        <v>100515942.00935307</v>
      </c>
      <c r="O29" s="19">
        <f t="shared" si="1"/>
        <v>10025.763911510836</v>
      </c>
      <c r="P29" s="19">
        <f t="shared" si="2"/>
        <v>95826141.547301337</v>
      </c>
      <c r="Q29" s="19">
        <f t="shared" si="3"/>
        <v>9789.0827735442781</v>
      </c>
      <c r="T29" s="19"/>
      <c r="U29" s="19"/>
      <c r="V29" s="19"/>
      <c r="W29" s="19"/>
      <c r="X29" s="19"/>
      <c r="Y29" s="19"/>
      <c r="Z29" s="19"/>
      <c r="AA29" s="19"/>
      <c r="AB29" s="19"/>
      <c r="AC29" s="19"/>
      <c r="AD29" s="19"/>
    </row>
    <row r="30" spans="1:30" ht="12.75" customHeight="1">
      <c r="A30" s="119">
        <v>2006</v>
      </c>
      <c r="B30" s="39">
        <f>1000*('6a'!B30/'1'!B40)</f>
        <v>44526.237262353956</v>
      </c>
      <c r="C30" s="39">
        <f>1000*('6a'!C30/'1'!C40)</f>
        <v>50937.365891129564</v>
      </c>
      <c r="D30" s="39">
        <f>1000*('6a'!D30/'1'!D40)</f>
        <v>31329.756380510444</v>
      </c>
      <c r="E30" s="39">
        <f>1000*('6a'!E30/'1'!E40)</f>
        <v>33834.394089615249</v>
      </c>
      <c r="F30" s="39">
        <f>1000*('6a'!F30/'1'!F40)</f>
        <v>34633.097037043</v>
      </c>
      <c r="G30" s="39">
        <f>1000*('6a'!G30/'1'!G40)</f>
        <v>36889.088877334521</v>
      </c>
      <c r="H30" s="39">
        <f>1000*('6a'!H30/'1'!H40)</f>
        <v>44197.608182200471</v>
      </c>
      <c r="I30" s="39">
        <f>1000*('6a'!I30/'1'!I40)</f>
        <v>37930.594722604386</v>
      </c>
      <c r="J30" s="39">
        <f>1000*('6a'!J30/'1'!J40)</f>
        <v>46863.188196612915</v>
      </c>
      <c r="K30" s="39">
        <f>1000*('6a'!K30/'1'!K40)</f>
        <v>70028.144659281272</v>
      </c>
      <c r="L30" s="39">
        <f>1000*('6a'!L30/'1'!L40)</f>
        <v>43063.404012649698</v>
      </c>
      <c r="N30" s="19"/>
      <c r="O30" s="19"/>
      <c r="P30" s="19"/>
      <c r="Q30" s="19"/>
      <c r="T30" s="19"/>
      <c r="U30" s="19"/>
      <c r="V30" s="19"/>
      <c r="W30" s="19"/>
      <c r="X30" s="19"/>
      <c r="Y30" s="19"/>
      <c r="Z30" s="19"/>
      <c r="AA30" s="19"/>
      <c r="AB30" s="19"/>
      <c r="AC30" s="19"/>
      <c r="AD30" s="19"/>
    </row>
    <row r="31" spans="1:30" ht="12.75" customHeight="1">
      <c r="A31" s="119">
        <v>2007</v>
      </c>
      <c r="B31" s="39">
        <f>1000*('6a'!B31/'1'!B41)</f>
        <v>46637.36905575094</v>
      </c>
      <c r="C31" s="39">
        <f>1000*('6a'!C31/'1'!C41)</f>
        <v>58294.945889005823</v>
      </c>
      <c r="D31" s="39">
        <f>1000*('6a'!D31/'1'!D41)</f>
        <v>32935.605786356595</v>
      </c>
      <c r="E31" s="39">
        <f>1000*('6a'!E31/'1'!E41)</f>
        <v>35265.624616068351</v>
      </c>
      <c r="F31" s="39">
        <f>1000*('6a'!F31/'1'!F41)</f>
        <v>36152.514858392482</v>
      </c>
      <c r="G31" s="39">
        <f>1000*('6a'!G31/'1'!G41)</f>
        <v>38601.422475402804</v>
      </c>
      <c r="H31" s="39">
        <f>1000*('6a'!H31/'1'!H41)</f>
        <v>45722.727006968809</v>
      </c>
      <c r="I31" s="39">
        <f>1000*('6a'!I31/'1'!I41)</f>
        <v>40677.361136945197</v>
      </c>
      <c r="J31" s="39">
        <f>1000*('6a'!J31/'1'!J41)</f>
        <v>51643.648025351678</v>
      </c>
      <c r="K31" s="39">
        <f>1000*('6a'!K31/'1'!K41)</f>
        <v>73752.197447258426</v>
      </c>
      <c r="L31" s="39">
        <f>1000*('6a'!L31/'1'!L41)</f>
        <v>44666.908722236592</v>
      </c>
      <c r="N31" s="19"/>
      <c r="O31" s="19"/>
      <c r="P31" s="19"/>
      <c r="Q31" s="19"/>
      <c r="T31" s="19"/>
      <c r="U31" s="19"/>
      <c r="V31" s="19"/>
      <c r="W31" s="19"/>
      <c r="X31" s="19"/>
      <c r="Y31" s="19"/>
      <c r="Z31" s="19"/>
      <c r="AA31" s="19"/>
      <c r="AB31" s="19"/>
      <c r="AC31" s="19"/>
      <c r="AD31" s="19"/>
    </row>
    <row r="32" spans="1:30" ht="12.75" customHeight="1">
      <c r="A32" s="119">
        <v>2008</v>
      </c>
      <c r="B32" s="39">
        <f>1000*('6a'!B32/'1'!B42)</f>
        <v>48105.889550267624</v>
      </c>
      <c r="C32" s="39">
        <f>1000*('6a'!C32/'1'!C42)</f>
        <v>61937.998995855443</v>
      </c>
      <c r="D32" s="39">
        <f>1000*('6a'!D32/'1'!D42)</f>
        <v>33729.562717246699</v>
      </c>
      <c r="E32" s="39">
        <f>1000*('6a'!E32/'1'!E42)</f>
        <v>36458.100201425972</v>
      </c>
      <c r="F32" s="39">
        <f>1000*('6a'!F32/'1'!F42)</f>
        <v>36515.357914203356</v>
      </c>
      <c r="G32" s="39">
        <f>1000*('6a'!G32/'1'!G42)</f>
        <v>38897.986505135668</v>
      </c>
      <c r="H32" s="39">
        <f>1000*('6a'!H32/'1'!H42)</f>
        <v>45471.821632553685</v>
      </c>
      <c r="I32" s="39">
        <f>1000*('6a'!I32/'1'!I42)</f>
        <v>42125.60194509913</v>
      </c>
      <c r="J32" s="39">
        <f>1000*('6a'!J32/'1'!J42)</f>
        <v>63310.974079341722</v>
      </c>
      <c r="K32" s="39">
        <f>1000*('6a'!K32/'1'!K42)</f>
        <v>81352.984065903118</v>
      </c>
      <c r="L32" s="39">
        <f>1000*('6a'!L32/'1'!L42)</f>
        <v>45466.008673081516</v>
      </c>
      <c r="N32" s="19"/>
      <c r="O32" s="19"/>
      <c r="P32" s="19"/>
      <c r="Q32" s="19"/>
      <c r="T32" s="19"/>
      <c r="U32" s="19"/>
      <c r="V32" s="19"/>
      <c r="W32" s="19"/>
      <c r="X32" s="19"/>
      <c r="Y32" s="19"/>
      <c r="Z32" s="19"/>
      <c r="AA32" s="19"/>
      <c r="AB32" s="19"/>
      <c r="AC32" s="19"/>
      <c r="AD32" s="19"/>
    </row>
    <row r="33" spans="1:30" ht="12.75" customHeight="1">
      <c r="A33" s="120"/>
      <c r="B33" s="23"/>
      <c r="C33" s="644"/>
      <c r="D33" s="666" t="s">
        <v>802</v>
      </c>
      <c r="E33" s="644"/>
      <c r="F33" s="644"/>
      <c r="G33" s="644"/>
      <c r="H33" s="644"/>
      <c r="I33" s="644"/>
      <c r="J33" s="644"/>
      <c r="K33" s="644"/>
      <c r="L33" s="644"/>
    </row>
    <row r="34" spans="1:30" ht="12.75" customHeight="1">
      <c r="A34" s="448" t="s">
        <v>603</v>
      </c>
      <c r="B34" s="23">
        <f>((((B13/B5))^(1/8))-1)*100</f>
        <v>6.5425032662028482</v>
      </c>
      <c r="C34" s="23">
        <f t="shared" ref="C34:L34" si="4">((((C13/C5))^(1/8))-1)*100</f>
        <v>7.1801507244344309</v>
      </c>
      <c r="D34" s="23">
        <f t="shared" si="4"/>
        <v>7.8600211560350131</v>
      </c>
      <c r="E34" s="23">
        <f t="shared" si="4"/>
        <v>8.6018461306909941</v>
      </c>
      <c r="F34" s="23">
        <f t="shared" si="4"/>
        <v>8.968538127289726</v>
      </c>
      <c r="G34" s="23">
        <f t="shared" si="4"/>
        <v>7.1947884105392657</v>
      </c>
      <c r="H34" s="23">
        <f t="shared" si="4"/>
        <v>8.0320348591278456</v>
      </c>
      <c r="I34" s="23">
        <f t="shared" si="4"/>
        <v>6.1269032724101224</v>
      </c>
      <c r="J34" s="23">
        <f t="shared" si="4"/>
        <v>3.2747942926862894</v>
      </c>
      <c r="K34" s="23">
        <f t="shared" si="4"/>
        <v>1.842707261515697</v>
      </c>
      <c r="L34" s="23">
        <f t="shared" si="4"/>
        <v>5.1061374946240079</v>
      </c>
      <c r="M34" s="23" t="e">
        <f>((((M13/M5))^(1/8))-1)*100</f>
        <v>#DIV/0!</v>
      </c>
      <c r="N34" s="23">
        <f>((((N13/N5))^(1/8))-1)*100</f>
        <v>3.4019869470932385</v>
      </c>
      <c r="O34" s="23">
        <f>((((O13/O5))^(1/8))-1)*100</f>
        <v>1.6867675497127976</v>
      </c>
      <c r="P34" s="23">
        <f>((((P13/P5))^(1/8))-1)*100</f>
        <v>-1.8179553498624879</v>
      </c>
      <c r="Q34" s="23">
        <f>((((Q13/Q5))^(1/8))-1)*100</f>
        <v>-0.91314686087891062</v>
      </c>
    </row>
    <row r="35" spans="1:30">
      <c r="A35" s="448" t="s">
        <v>808</v>
      </c>
      <c r="B35" s="23">
        <f t="shared" ref="B35:L35" si="5">((((B29/B5))^(1/24))-1)*100</f>
        <v>4.5825052321789794</v>
      </c>
      <c r="C35" s="23">
        <f t="shared" si="5"/>
        <v>6.7179418039630789</v>
      </c>
      <c r="D35" s="23">
        <f t="shared" si="5"/>
        <v>5.335380472429585</v>
      </c>
      <c r="E35" s="23">
        <f t="shared" si="5"/>
        <v>5.4535009725865446</v>
      </c>
      <c r="F35" s="23">
        <f t="shared" si="5"/>
        <v>5.5827951084649552</v>
      </c>
      <c r="G35" s="23">
        <f t="shared" si="5"/>
        <v>4.5480021225839717</v>
      </c>
      <c r="H35" s="23">
        <f t="shared" si="5"/>
        <v>4.5076591616747042</v>
      </c>
      <c r="I35" s="23">
        <f t="shared" si="5"/>
        <v>4.1897727907607152</v>
      </c>
      <c r="J35" s="23">
        <f t="shared" si="5"/>
        <v>4.5791934064247641</v>
      </c>
      <c r="K35" s="23">
        <f t="shared" si="5"/>
        <v>4.45598612733209</v>
      </c>
      <c r="L35" s="23">
        <f t="shared" si="5"/>
        <v>3.9628073201867675</v>
      </c>
      <c r="M35" s="23" t="e">
        <f>((((M28/M5))^(1/23))-1)*100</f>
        <v>#DIV/0!</v>
      </c>
      <c r="N35" s="23">
        <f>((((N28/N5))^(1/23))-1)*100</f>
        <v>5.4085812559940383</v>
      </c>
      <c r="O35" s="23">
        <f>((((O28/O5))^(1/23))-1)*100</f>
        <v>2.6686813278489652</v>
      </c>
      <c r="P35" s="23">
        <f>((((P28/P5))^(1/23))-1)*100</f>
        <v>5.4231040036070821</v>
      </c>
      <c r="Q35" s="23">
        <f>((((Q28/Q5))^(1/23))-1)*100</f>
        <v>2.6757537121627761</v>
      </c>
    </row>
    <row r="36" spans="1:30">
      <c r="A36" s="448" t="s">
        <v>819</v>
      </c>
      <c r="B36" s="23">
        <f t="shared" ref="B36:L36" si="6">((((B30/B5))^(1/25))-1)*100</f>
        <v>4.5831788326306411</v>
      </c>
      <c r="C36" s="23">
        <f t="shared" si="6"/>
        <v>7.1991935205738544</v>
      </c>
      <c r="D36" s="23">
        <f t="shared" si="6"/>
        <v>5.2896190909138108</v>
      </c>
      <c r="E36" s="23">
        <f t="shared" si="6"/>
        <v>5.2911881971384966</v>
      </c>
      <c r="F36" s="23">
        <f t="shared" si="6"/>
        <v>5.5462025842589524</v>
      </c>
      <c r="G36" s="23">
        <f t="shared" si="6"/>
        <v>4.493101457601556</v>
      </c>
      <c r="H36" s="23">
        <f t="shared" si="6"/>
        <v>4.4528170727466954</v>
      </c>
      <c r="I36" s="23">
        <f t="shared" si="6"/>
        <v>4.3260788948550566</v>
      </c>
      <c r="J36" s="23">
        <f t="shared" si="6"/>
        <v>4.6224053517282204</v>
      </c>
      <c r="K36" s="23">
        <f t="shared" si="6"/>
        <v>4.4994427966724926</v>
      </c>
      <c r="L36" s="23">
        <f t="shared" si="6"/>
        <v>4.0726935076377924</v>
      </c>
      <c r="M36" s="23" t="e">
        <f>((((M29/M5))^(1/24))-1)*100</f>
        <v>#DIV/0!</v>
      </c>
      <c r="N36" s="23">
        <f>((((N29/N5))^(1/24))-1)*100</f>
        <v>6.7496633605923062</v>
      </c>
      <c r="O36" s="23">
        <f>((((O29/O5))^(1/24))-1)*100</f>
        <v>3.3197286875030096</v>
      </c>
      <c r="P36" s="23">
        <f>((((P29/P5))^(1/24))-1)*100</f>
        <v>7.0205676840057185</v>
      </c>
      <c r="Q36" s="23">
        <f>((((Q29/Q5))^(1/24))-1)*100</f>
        <v>3.4507456154887928</v>
      </c>
    </row>
    <row r="37" spans="1:30">
      <c r="A37" s="448" t="s">
        <v>447</v>
      </c>
      <c r="B37" s="23">
        <f>((((B31/B5))^(1/26))-1)*100</f>
        <v>4.5892568024405334</v>
      </c>
      <c r="C37" s="23">
        <f t="shared" ref="C37:L37" si="7">((((C31/C5))^(1/26))-1)*100</f>
        <v>7.4691805558094515</v>
      </c>
      <c r="D37" s="23">
        <f t="shared" si="7"/>
        <v>5.283307338084775</v>
      </c>
      <c r="E37" s="23">
        <f t="shared" si="7"/>
        <v>5.2501782783210604</v>
      </c>
      <c r="F37" s="23">
        <f t="shared" si="7"/>
        <v>5.5013879141939892</v>
      </c>
      <c r="G37" s="23">
        <f t="shared" si="7"/>
        <v>4.4988183755779954</v>
      </c>
      <c r="H37" s="23">
        <f t="shared" si="7"/>
        <v>4.4140945001405862</v>
      </c>
      <c r="I37" s="23">
        <f t="shared" si="7"/>
        <v>4.4367331437238589</v>
      </c>
      <c r="J37" s="23">
        <f t="shared" si="7"/>
        <v>4.831646643518317</v>
      </c>
      <c r="K37" s="23">
        <f t="shared" si="7"/>
        <v>4.530805411700034</v>
      </c>
      <c r="L37" s="23">
        <f t="shared" si="7"/>
        <v>4.0592447575282131</v>
      </c>
      <c r="M37" s="23"/>
      <c r="N37" s="23"/>
      <c r="O37" s="23"/>
      <c r="P37" s="23"/>
      <c r="Q37" s="23"/>
      <c r="T37" s="23"/>
      <c r="U37" s="23"/>
      <c r="V37" s="23"/>
      <c r="W37" s="23"/>
      <c r="X37" s="23"/>
      <c r="Y37" s="23"/>
      <c r="Z37" s="23"/>
      <c r="AA37" s="23"/>
      <c r="AB37" s="23"/>
      <c r="AC37" s="23"/>
      <c r="AD37" s="23"/>
    </row>
    <row r="38" spans="1:30">
      <c r="A38" s="448" t="s">
        <v>1408</v>
      </c>
      <c r="B38" s="23">
        <f>((((B32/B5))^(1/27))-1)*100</f>
        <v>4.53554979567794</v>
      </c>
      <c r="C38" s="23">
        <f t="shared" ref="C38:L38" si="8">((((C32/C5))^(1/27))-1)*100</f>
        <v>7.4237527569460227</v>
      </c>
      <c r="D38" s="23">
        <f t="shared" si="8"/>
        <v>5.1754888139497135</v>
      </c>
      <c r="E38" s="23">
        <f t="shared" si="8"/>
        <v>5.1803659935995672</v>
      </c>
      <c r="F38" s="23">
        <f t="shared" si="8"/>
        <v>5.3312869813713526</v>
      </c>
      <c r="G38" s="23">
        <f t="shared" si="8"/>
        <v>4.3582180949916616</v>
      </c>
      <c r="H38" s="23">
        <f t="shared" si="8"/>
        <v>4.2259432016855225</v>
      </c>
      <c r="I38" s="23">
        <f t="shared" si="8"/>
        <v>4.4041412058163809</v>
      </c>
      <c r="J38" s="23">
        <f t="shared" si="8"/>
        <v>5.4410696334397768</v>
      </c>
      <c r="K38" s="23">
        <f t="shared" si="8"/>
        <v>4.7392037560922251</v>
      </c>
      <c r="L38" s="23">
        <f t="shared" si="8"/>
        <v>3.9742663172483761</v>
      </c>
      <c r="M38" s="23"/>
      <c r="N38" s="23"/>
      <c r="O38" s="23"/>
      <c r="P38" s="23"/>
      <c r="Q38" s="23"/>
      <c r="T38" s="23"/>
      <c r="U38" s="23"/>
      <c r="V38" s="23"/>
      <c r="W38" s="23"/>
      <c r="X38" s="23"/>
      <c r="Y38" s="23"/>
      <c r="Z38" s="23"/>
      <c r="AA38" s="23"/>
      <c r="AB38" s="23"/>
      <c r="AC38" s="23"/>
      <c r="AD38" s="23"/>
    </row>
    <row r="39" spans="1:30">
      <c r="A39" s="448" t="s">
        <v>604</v>
      </c>
      <c r="B39" s="23">
        <f>((((B24/B13))^(1/11))-1)*100</f>
        <v>3.4677579819928583</v>
      </c>
      <c r="C39" s="23">
        <f t="shared" ref="C39:L39" si="9">((((C24/C13))^(1/11))-1)*100</f>
        <v>4.8868668154492756</v>
      </c>
      <c r="D39" s="23">
        <f t="shared" si="9"/>
        <v>4.1199782621448078</v>
      </c>
      <c r="E39" s="23">
        <f t="shared" si="9"/>
        <v>3.523725372791553</v>
      </c>
      <c r="F39" s="23">
        <f t="shared" si="9"/>
        <v>3.7458114264326214</v>
      </c>
      <c r="G39" s="23">
        <f t="shared" si="9"/>
        <v>3.2815204448610302</v>
      </c>
      <c r="H39" s="23">
        <f t="shared" si="9"/>
        <v>2.8838815145146635</v>
      </c>
      <c r="I39" s="23">
        <f t="shared" si="9"/>
        <v>3.1195910969345597</v>
      </c>
      <c r="J39" s="23">
        <f t="shared" si="9"/>
        <v>5.0165282182924598</v>
      </c>
      <c r="K39" s="23">
        <f t="shared" si="9"/>
        <v>5.4198046902115493</v>
      </c>
      <c r="L39" s="23">
        <f t="shared" si="9"/>
        <v>2.9386290433842666</v>
      </c>
      <c r="M39" s="23" t="e">
        <f>((((M24/M13))^(1/11))-1)*100</f>
        <v>#DIV/0!</v>
      </c>
      <c r="N39" s="23">
        <f>((((N24/N13))^(1/11))-1)*100</f>
        <v>6.825530009234626</v>
      </c>
      <c r="O39" s="23">
        <f>((((O24/O13))^(1/11))-1)*100</f>
        <v>3.3564366690505887</v>
      </c>
      <c r="P39" s="23">
        <f>((((P24/P13))^(1/11))-1)*100</f>
        <v>9.6700421071089337</v>
      </c>
      <c r="Q39" s="23">
        <f>((((Q24/Q13))^(1/11))-1)*100</f>
        <v>4.7234654254283859</v>
      </c>
      <c r="T39" s="114"/>
      <c r="U39" s="114"/>
      <c r="V39" s="114"/>
      <c r="W39" s="114"/>
      <c r="X39" s="114"/>
      <c r="Y39" s="114"/>
      <c r="Z39" s="114"/>
      <c r="AA39" s="114"/>
      <c r="AB39" s="114"/>
      <c r="AC39" s="114"/>
      <c r="AD39" s="114"/>
    </row>
    <row r="40" spans="1:30">
      <c r="A40" s="448" t="s">
        <v>809</v>
      </c>
      <c r="B40" s="644">
        <f t="shared" ref="B40:L40" si="10">((((B29/B24))^(1/5))-1)*100</f>
        <v>3.9431029413190988</v>
      </c>
      <c r="C40" s="644">
        <f t="shared" si="10"/>
        <v>10.095682168008601</v>
      </c>
      <c r="D40" s="644">
        <f t="shared" si="10"/>
        <v>4.0410519352162444</v>
      </c>
      <c r="E40" s="644">
        <f t="shared" si="10"/>
        <v>4.7768932927603425</v>
      </c>
      <c r="F40" s="644">
        <f t="shared" si="10"/>
        <v>4.3350158723814758</v>
      </c>
      <c r="G40" s="644">
        <f t="shared" si="10"/>
        <v>3.1781884048284192</v>
      </c>
      <c r="H40" s="644">
        <f t="shared" si="10"/>
        <v>2.5800100931636649</v>
      </c>
      <c r="I40" s="644">
        <f t="shared" si="10"/>
        <v>3.4877747456881991</v>
      </c>
      <c r="J40" s="644">
        <f t="shared" si="10"/>
        <v>5.7254629379788868</v>
      </c>
      <c r="K40" s="644">
        <f t="shared" si="10"/>
        <v>6.6014832704012649</v>
      </c>
      <c r="L40" s="644">
        <f t="shared" si="10"/>
        <v>4.4087829255576638</v>
      </c>
      <c r="M40" s="644" t="e">
        <f>((((M28/M24))^(1/4))-1)*100</f>
        <v>#DIV/0!</v>
      </c>
      <c r="N40" s="644">
        <f>((((N28/N24))^(1/4))-1)*100</f>
        <v>5.5899643126007481</v>
      </c>
      <c r="O40" s="644">
        <f>((((O28/O24))^(1/4))-1)*100</f>
        <v>2.756977530774396</v>
      </c>
      <c r="P40" s="644">
        <f>((((P28/P24))^(1/4))-1)*100</f>
        <v>9.0371955177411589</v>
      </c>
      <c r="Q40" s="644">
        <f>((((Q28/Q24))^(1/4))-1)*100</f>
        <v>4.4208769919795055</v>
      </c>
    </row>
    <row r="41" spans="1:30">
      <c r="A41" s="448" t="s">
        <v>818</v>
      </c>
      <c r="B41" s="644">
        <f t="shared" ref="B41:L41" si="11">((((B30/B24))^(1/6))-1)*100</f>
        <v>4.0521902591521552</v>
      </c>
      <c r="C41" s="644">
        <f t="shared" si="11"/>
        <v>11.598100219528384</v>
      </c>
      <c r="D41" s="644">
        <f t="shared" si="11"/>
        <v>4.0670753713517138</v>
      </c>
      <c r="E41" s="644">
        <f t="shared" si="11"/>
        <v>4.2183113262151517</v>
      </c>
      <c r="F41" s="644">
        <f t="shared" si="11"/>
        <v>4.3910673168412906</v>
      </c>
      <c r="G41" s="644">
        <f t="shared" si="11"/>
        <v>3.1791735930662979</v>
      </c>
      <c r="H41" s="644">
        <f t="shared" si="11"/>
        <v>2.673993892215476</v>
      </c>
      <c r="I41" s="644">
        <f t="shared" si="11"/>
        <v>4.1703674815022129</v>
      </c>
      <c r="J41" s="644">
        <f t="shared" si="11"/>
        <v>5.7153609650528292</v>
      </c>
      <c r="K41" s="644">
        <f t="shared" si="11"/>
        <v>6.4251491206588129</v>
      </c>
      <c r="L41" s="644">
        <f t="shared" si="11"/>
        <v>4.7945858817347586</v>
      </c>
      <c r="M41" s="644"/>
      <c r="N41" s="644"/>
      <c r="O41" s="644"/>
      <c r="P41" s="644"/>
      <c r="Q41" s="644"/>
    </row>
    <row r="42" spans="1:30">
      <c r="A42" s="448" t="s">
        <v>449</v>
      </c>
      <c r="B42" s="644">
        <f>((((B31/B24))^(1/7))-1)*100</f>
        <v>4.1503592012470003</v>
      </c>
      <c r="C42" s="644">
        <f>((((C31/C24))^(1/7))-1)*100</f>
        <v>12.000334192077112</v>
      </c>
      <c r="D42" s="644">
        <f t="shared" ref="D42:L42" si="12">((((D31/D24))^(1/7))-1)*100</f>
        <v>4.2176432605356862</v>
      </c>
      <c r="E42" s="644">
        <f t="shared" si="12"/>
        <v>4.2199961100818362</v>
      </c>
      <c r="F42" s="644">
        <f t="shared" si="12"/>
        <v>4.3905126018403129</v>
      </c>
      <c r="G42" s="644">
        <f t="shared" si="12"/>
        <v>3.3868679186358941</v>
      </c>
      <c r="H42" s="644">
        <f t="shared" si="12"/>
        <v>2.7845912696913055</v>
      </c>
      <c r="I42" s="644">
        <f t="shared" si="12"/>
        <v>4.6036645904668383</v>
      </c>
      <c r="J42" s="644">
        <f t="shared" si="12"/>
        <v>6.3447948151845512</v>
      </c>
      <c r="K42" s="644">
        <f t="shared" si="12"/>
        <v>6.2662661708810186</v>
      </c>
      <c r="L42" s="644">
        <f t="shared" si="12"/>
        <v>4.6409120995792863</v>
      </c>
      <c r="M42" s="644" t="e">
        <f>((((M29/M24))^(1/5))-1)*100</f>
        <v>#DIV/0!</v>
      </c>
      <c r="N42" s="644">
        <f>((((N29/N24))^(1/5))-1)*100</f>
        <v>12.157399092131115</v>
      </c>
      <c r="O42" s="644">
        <f>((((O29/O24))^(1/5))-1)*100</f>
        <v>5.9043904151905746</v>
      </c>
      <c r="P42" s="644">
        <f>((((P29/P24))^(1/5))-1)*100</f>
        <v>16.412030333084449</v>
      </c>
      <c r="Q42" s="644">
        <f>((((Q29/Q24))^(1/5))-1)*100</f>
        <v>7.8944068675871781</v>
      </c>
    </row>
    <row r="43" spans="1:30">
      <c r="A43" s="448" t="s">
        <v>1410</v>
      </c>
      <c r="B43" s="644">
        <f>((((B32/B24))^(1/8))-1)*100</f>
        <v>4.0246352080853809</v>
      </c>
      <c r="C43" s="644">
        <f t="shared" ref="C43:L43" si="13">((((C32/C24))^(1/8))-1)*100</f>
        <v>11.264773228592183</v>
      </c>
      <c r="D43" s="644">
        <f t="shared" si="13"/>
        <v>3.9900348731547242</v>
      </c>
      <c r="E43" s="644">
        <f t="shared" si="13"/>
        <v>4.1148020561335485</v>
      </c>
      <c r="F43" s="644">
        <f t="shared" si="13"/>
        <v>3.9610201407315859</v>
      </c>
      <c r="G43" s="644">
        <f t="shared" si="13"/>
        <v>3.0558578803442593</v>
      </c>
      <c r="H43" s="644">
        <f t="shared" si="13"/>
        <v>2.3618885838780024</v>
      </c>
      <c r="I43" s="644">
        <f t="shared" si="13"/>
        <v>4.4726727736609684</v>
      </c>
      <c r="J43" s="644">
        <f t="shared" si="13"/>
        <v>8.2516359420684147</v>
      </c>
      <c r="K43" s="644">
        <f t="shared" si="13"/>
        <v>6.763009874479553</v>
      </c>
      <c r="L43" s="644">
        <f t="shared" si="13"/>
        <v>4.2801011153066781</v>
      </c>
      <c r="M43" s="644"/>
      <c r="N43" s="644"/>
      <c r="O43" s="644"/>
      <c r="P43" s="644"/>
      <c r="Q43" s="644"/>
    </row>
    <row r="44" spans="1:30">
      <c r="A44" s="2"/>
      <c r="D44" s="27" t="s">
        <v>276</v>
      </c>
      <c r="N44" s="10"/>
      <c r="O44" s="10"/>
      <c r="P44" s="10"/>
      <c r="Q44" s="10"/>
    </row>
    <row r="45" spans="1:30">
      <c r="A45" s="448" t="s">
        <v>1408</v>
      </c>
      <c r="B45" s="10">
        <f>(B32/B5-1)*100</f>
        <v>231.22888932453117</v>
      </c>
      <c r="C45" s="10">
        <f t="shared" ref="C45:L45" si="14">(C32/C5-1)*100</f>
        <v>591.36699065412563</v>
      </c>
      <c r="D45" s="10">
        <f t="shared" si="14"/>
        <v>290.56431146003251</v>
      </c>
      <c r="E45" s="10">
        <f t="shared" si="14"/>
        <v>291.0536082470918</v>
      </c>
      <c r="F45" s="10">
        <f t="shared" si="14"/>
        <v>306.48970082247064</v>
      </c>
      <c r="G45" s="10">
        <f t="shared" si="14"/>
        <v>216.38776745139987</v>
      </c>
      <c r="H45" s="10">
        <f t="shared" si="14"/>
        <v>205.73666084283252</v>
      </c>
      <c r="I45" s="10">
        <f t="shared" si="14"/>
        <v>220.16848782559765</v>
      </c>
      <c r="J45" s="10">
        <f t="shared" si="14"/>
        <v>318.08508904090684</v>
      </c>
      <c r="K45" s="10">
        <f t="shared" si="14"/>
        <v>249.10031129839655</v>
      </c>
      <c r="L45" s="10">
        <f t="shared" si="14"/>
        <v>186.41670316469708</v>
      </c>
      <c r="M45" s="10" t="e">
        <f>(M29/M5-1)*100</f>
        <v>#DIV/0!</v>
      </c>
      <c r="N45" s="10">
        <f>(N29/N5-1)*100</f>
        <v>379.50853215633174</v>
      </c>
      <c r="O45" s="10">
        <f>(O29/O5-1)*100</f>
        <v>118.97683260023916</v>
      </c>
      <c r="P45" s="10">
        <f>(P29/P5-1)*100</f>
        <v>409.58191669108049</v>
      </c>
      <c r="Q45" s="10">
        <f>(Q29/Q5-1)*100</f>
        <v>125.73921163392959</v>
      </c>
    </row>
    <row r="46" spans="1:30">
      <c r="M46" s="10"/>
      <c r="N46" s="10"/>
      <c r="O46" s="10"/>
      <c r="P46" s="10"/>
      <c r="Q46" s="10"/>
    </row>
    <row r="47" spans="1:30">
      <c r="A47" s="1170" t="s">
        <v>1722</v>
      </c>
      <c r="B47" s="1170"/>
      <c r="C47" s="1170"/>
      <c r="D47" s="1170"/>
      <c r="E47" s="1170"/>
      <c r="F47" s="1170"/>
      <c r="G47" s="1170"/>
      <c r="H47" s="1170"/>
      <c r="I47" s="1170"/>
      <c r="J47" s="1170"/>
      <c r="K47" s="1170"/>
      <c r="L47" s="1170"/>
    </row>
    <row r="48" spans="1:30">
      <c r="A48" s="4" t="s">
        <v>1664</v>
      </c>
    </row>
    <row r="49" spans="1:12">
      <c r="A49" s="1" t="s">
        <v>388</v>
      </c>
    </row>
    <row r="51" spans="1:12" ht="12.75" hidden="1" customHeight="1">
      <c r="B51" s="1" t="s">
        <v>278</v>
      </c>
    </row>
    <row r="52" spans="1:12" hidden="1">
      <c r="B52" s="1" t="s">
        <v>279</v>
      </c>
    </row>
    <row r="53" spans="1:12" hidden="1">
      <c r="B53" s="1">
        <v>1981</v>
      </c>
      <c r="C53" s="300">
        <f>C5-$B5</f>
        <v>-5564.6853218620763</v>
      </c>
      <c r="D53" s="300">
        <f t="shared" ref="D53:L53" si="15">D5-$B5</f>
        <v>-5887.3484947462566</v>
      </c>
      <c r="E53" s="300">
        <f t="shared" si="15"/>
        <v>-5200.4142177509548</v>
      </c>
      <c r="F53" s="300">
        <f t="shared" si="15"/>
        <v>-5540.3628060230458</v>
      </c>
      <c r="G53" s="300">
        <f t="shared" si="15"/>
        <v>-2229.055490516288</v>
      </c>
      <c r="H53" s="300">
        <f t="shared" si="15"/>
        <v>349.41352710602951</v>
      </c>
      <c r="I53" s="300">
        <f t="shared" si="15"/>
        <v>-1366.1353238244628</v>
      </c>
      <c r="J53" s="300">
        <f t="shared" si="15"/>
        <v>619.62520743399546</v>
      </c>
      <c r="K53" s="300">
        <f t="shared" si="15"/>
        <v>8780.1543021631369</v>
      </c>
      <c r="L53" s="300">
        <f t="shared" si="15"/>
        <v>1350.6189552033229</v>
      </c>
    </row>
    <row r="54" spans="1:12" hidden="1">
      <c r="B54" s="1">
        <v>1982</v>
      </c>
      <c r="C54" s="300">
        <f t="shared" ref="C54:L69" si="16">C6-$B6</f>
        <v>-5348.3483905954781</v>
      </c>
      <c r="D54" s="300">
        <f t="shared" si="16"/>
        <v>-5794.2318313745618</v>
      </c>
      <c r="E54" s="300">
        <f t="shared" si="16"/>
        <v>-4430.2595735834202</v>
      </c>
      <c r="F54" s="300">
        <f t="shared" si="16"/>
        <v>-5155.5195603351476</v>
      </c>
      <c r="G54" s="300">
        <f t="shared" si="16"/>
        <v>-2173.7945761274805</v>
      </c>
      <c r="H54" s="300">
        <f t="shared" si="16"/>
        <v>429.80503227928057</v>
      </c>
      <c r="I54" s="300">
        <f t="shared" si="16"/>
        <v>-1678.6516542397658</v>
      </c>
      <c r="J54" s="300">
        <f t="shared" si="16"/>
        <v>88.499613550306094</v>
      </c>
      <c r="K54" s="300">
        <f t="shared" si="16"/>
        <v>8845.6436420983155</v>
      </c>
      <c r="L54" s="300">
        <f t="shared" si="16"/>
        <v>528.66799296661702</v>
      </c>
    </row>
    <row r="55" spans="1:12" hidden="1">
      <c r="B55" s="1">
        <v>1983</v>
      </c>
      <c r="C55" s="300">
        <f t="shared" si="16"/>
        <v>-5878.679601394384</v>
      </c>
      <c r="D55" s="300">
        <f t="shared" si="16"/>
        <v>-5378.5647620480595</v>
      </c>
      <c r="E55" s="300">
        <f t="shared" si="16"/>
        <v>-4281.6019677178574</v>
      </c>
      <c r="F55" s="300">
        <f t="shared" si="16"/>
        <v>-4962.0858992111607</v>
      </c>
      <c r="G55" s="300">
        <f t="shared" si="16"/>
        <v>-2310.0517114949798</v>
      </c>
      <c r="H55" s="300">
        <f t="shared" si="16"/>
        <v>893.9459937657175</v>
      </c>
      <c r="I55" s="300">
        <f t="shared" si="16"/>
        <v>-1963.4416518993821</v>
      </c>
      <c r="J55" s="300">
        <f t="shared" si="16"/>
        <v>-268.64041178449224</v>
      </c>
      <c r="K55" s="300">
        <f t="shared" si="16"/>
        <v>8179.5548735674984</v>
      </c>
      <c r="L55" s="300">
        <f t="shared" si="16"/>
        <v>111.41750943502484</v>
      </c>
    </row>
    <row r="56" spans="1:12" hidden="1">
      <c r="B56" s="1">
        <v>1984</v>
      </c>
      <c r="C56" s="300">
        <f t="shared" si="16"/>
        <v>-6570.2600290071296</v>
      </c>
      <c r="D56" s="300">
        <f t="shared" si="16"/>
        <v>-6582.1883377196118</v>
      </c>
      <c r="E56" s="300">
        <f t="shared" si="16"/>
        <v>-4522.9108068990372</v>
      </c>
      <c r="F56" s="300">
        <f t="shared" si="16"/>
        <v>-5318.0328459006214</v>
      </c>
      <c r="G56" s="300">
        <f t="shared" si="16"/>
        <v>-2432.7443418460061</v>
      </c>
      <c r="H56" s="300">
        <f t="shared" si="16"/>
        <v>1296.8500394341063</v>
      </c>
      <c r="I56" s="300">
        <f t="shared" si="16"/>
        <v>-1697.805654286858</v>
      </c>
      <c r="J56" s="300">
        <f t="shared" si="16"/>
        <v>-771.28246953038979</v>
      </c>
      <c r="K56" s="300">
        <f t="shared" si="16"/>
        <v>8459.9239014060113</v>
      </c>
      <c r="L56" s="300">
        <f t="shared" si="16"/>
        <v>-645.88443220961199</v>
      </c>
    </row>
    <row r="57" spans="1:12" hidden="1">
      <c r="B57" s="1">
        <v>1985</v>
      </c>
      <c r="C57" s="300">
        <f t="shared" si="16"/>
        <v>-7320.7541049076735</v>
      </c>
      <c r="D57" s="300">
        <f t="shared" si="16"/>
        <v>-7472.6768737863367</v>
      </c>
      <c r="E57" s="300">
        <f t="shared" si="16"/>
        <v>-4805.4575549406854</v>
      </c>
      <c r="F57" s="300">
        <f t="shared" si="16"/>
        <v>-5836.5476907241991</v>
      </c>
      <c r="G57" s="300">
        <f t="shared" si="16"/>
        <v>-2684.7027298073481</v>
      </c>
      <c r="H57" s="300">
        <f t="shared" si="16"/>
        <v>1552.2693011472657</v>
      </c>
      <c r="I57" s="300">
        <f t="shared" si="16"/>
        <v>-1672.0375656860342</v>
      </c>
      <c r="J57" s="300">
        <f t="shared" si="16"/>
        <v>-1305.4332384341142</v>
      </c>
      <c r="K57" s="300">
        <f t="shared" si="16"/>
        <v>8979.6784189399295</v>
      </c>
      <c r="L57" s="300">
        <f t="shared" si="16"/>
        <v>-799.59605940313122</v>
      </c>
    </row>
    <row r="58" spans="1:12" hidden="1">
      <c r="B58" s="1">
        <v>1986</v>
      </c>
      <c r="C58" s="300">
        <f t="shared" si="16"/>
        <v>-7067.6658126993443</v>
      </c>
      <c r="D58" s="300">
        <f t="shared" si="16"/>
        <v>-6946.2312578264391</v>
      </c>
      <c r="E58" s="300">
        <f t="shared" si="16"/>
        <v>-4562.3618865002954</v>
      </c>
      <c r="F58" s="300">
        <f t="shared" si="16"/>
        <v>-5207.410379554778</v>
      </c>
      <c r="G58" s="300">
        <f t="shared" si="16"/>
        <v>-2172.7033684551534</v>
      </c>
      <c r="H58" s="300">
        <f t="shared" si="16"/>
        <v>2451.4297942457997</v>
      </c>
      <c r="I58" s="300">
        <f t="shared" si="16"/>
        <v>-1992.7755942842159</v>
      </c>
      <c r="J58" s="300">
        <f t="shared" si="16"/>
        <v>-2361.4887272464657</v>
      </c>
      <c r="K58" s="300">
        <f t="shared" si="16"/>
        <v>4186.1608315885751</v>
      </c>
      <c r="L58" s="300">
        <f t="shared" si="16"/>
        <v>-811.10035845504535</v>
      </c>
    </row>
    <row r="59" spans="1:12" hidden="1">
      <c r="B59" s="1">
        <v>1987</v>
      </c>
      <c r="C59" s="300">
        <f t="shared" si="16"/>
        <v>-7639.8134718226374</v>
      </c>
      <c r="D59" s="300">
        <f t="shared" si="16"/>
        <v>-7632.3097798608815</v>
      </c>
      <c r="E59" s="300">
        <f t="shared" si="16"/>
        <v>-4984.7088972952952</v>
      </c>
      <c r="F59" s="300">
        <f t="shared" si="16"/>
        <v>-5234.3316797437292</v>
      </c>
      <c r="G59" s="300">
        <f t="shared" si="16"/>
        <v>-2196.8872784363994</v>
      </c>
      <c r="H59" s="300">
        <f t="shared" si="16"/>
        <v>2809.7276342959194</v>
      </c>
      <c r="I59" s="300">
        <f t="shared" si="16"/>
        <v>-2575.7342944383672</v>
      </c>
      <c r="J59" s="300">
        <f t="shared" si="16"/>
        <v>-3517.8290222250762</v>
      </c>
      <c r="K59" s="300">
        <f t="shared" si="16"/>
        <v>3475.0036546453703</v>
      </c>
      <c r="L59" s="300">
        <f t="shared" si="16"/>
        <v>-629.21240040307384</v>
      </c>
    </row>
    <row r="60" spans="1:12" hidden="1">
      <c r="B60" s="1">
        <v>1988</v>
      </c>
      <c r="C60" s="300">
        <f t="shared" si="16"/>
        <v>-8158.0104027079142</v>
      </c>
      <c r="D60" s="300">
        <f t="shared" si="16"/>
        <v>-8102.8489478096271</v>
      </c>
      <c r="E60" s="300">
        <f t="shared" si="16"/>
        <v>-5837.6262851446081</v>
      </c>
      <c r="F60" s="300">
        <f t="shared" si="16"/>
        <v>-5853.4744495759915</v>
      </c>
      <c r="G60" s="300">
        <f t="shared" si="16"/>
        <v>-2283.511239763171</v>
      </c>
      <c r="H60" s="300">
        <f t="shared" si="16"/>
        <v>3181.0438838261034</v>
      </c>
      <c r="I60" s="300">
        <f t="shared" si="16"/>
        <v>-2908.2225928762491</v>
      </c>
      <c r="J60" s="300">
        <f t="shared" si="16"/>
        <v>-4551.1253736809631</v>
      </c>
      <c r="K60" s="300">
        <f t="shared" si="16"/>
        <v>3142.3780014390759</v>
      </c>
      <c r="L60" s="300">
        <f t="shared" si="16"/>
        <v>-600.11709484188395</v>
      </c>
    </row>
    <row r="61" spans="1:12" hidden="1">
      <c r="B61" s="1">
        <v>1989</v>
      </c>
      <c r="C61" s="300">
        <f t="shared" si="16"/>
        <v>-8511.7140480128655</v>
      </c>
      <c r="D61" s="300">
        <f t="shared" si="16"/>
        <v>-8293.2664407563025</v>
      </c>
      <c r="E61" s="300">
        <f t="shared" si="16"/>
        <v>-6072.3255192370707</v>
      </c>
      <c r="F61" s="300">
        <f t="shared" si="16"/>
        <v>-6255.0190284145865</v>
      </c>
      <c r="G61" s="300">
        <f t="shared" si="16"/>
        <v>-2679.4259937095376</v>
      </c>
      <c r="H61" s="300">
        <f t="shared" si="16"/>
        <v>3480.930530981208</v>
      </c>
      <c r="I61" s="300">
        <f t="shared" si="16"/>
        <v>-2940.6419647093717</v>
      </c>
      <c r="J61" s="300">
        <f t="shared" si="16"/>
        <v>-4517.0372839292286</v>
      </c>
      <c r="K61" s="300">
        <f t="shared" si="16"/>
        <v>2855.7599011725979</v>
      </c>
      <c r="L61" s="300">
        <f t="shared" si="16"/>
        <v>-469.53652219820651</v>
      </c>
    </row>
    <row r="62" spans="1:12" hidden="1">
      <c r="B62" s="1">
        <v>1990</v>
      </c>
      <c r="C62" s="300">
        <f t="shared" si="16"/>
        <v>-8586.4538714548198</v>
      </c>
      <c r="D62" s="300">
        <f t="shared" si="16"/>
        <v>-7920.8145300818287</v>
      </c>
      <c r="E62" s="300">
        <f t="shared" si="16"/>
        <v>-5889.3636737420493</v>
      </c>
      <c r="F62" s="300">
        <f t="shared" si="16"/>
        <v>-6371.086513885868</v>
      </c>
      <c r="G62" s="300">
        <f t="shared" si="16"/>
        <v>-2640.01876396847</v>
      </c>
      <c r="H62" s="300">
        <f t="shared" si="16"/>
        <v>2916.9880601268524</v>
      </c>
      <c r="I62" s="300">
        <f t="shared" si="16"/>
        <v>-2667.9606362794002</v>
      </c>
      <c r="J62" s="300">
        <f t="shared" si="16"/>
        <v>-3489.5032570132244</v>
      </c>
      <c r="K62" s="300">
        <f t="shared" si="16"/>
        <v>4199.4373654571245</v>
      </c>
      <c r="L62" s="300">
        <f t="shared" si="16"/>
        <v>-450.6643966359843</v>
      </c>
    </row>
    <row r="63" spans="1:12" hidden="1">
      <c r="B63" s="1">
        <v>1991</v>
      </c>
      <c r="C63" s="300">
        <f t="shared" si="16"/>
        <v>-7905.2620766305663</v>
      </c>
      <c r="D63" s="300">
        <f t="shared" si="16"/>
        <v>-7147.6674136081529</v>
      </c>
      <c r="E63" s="300">
        <f t="shared" si="16"/>
        <v>-5154.4531927571188</v>
      </c>
      <c r="F63" s="300">
        <f t="shared" si="16"/>
        <v>-6140.5342637728281</v>
      </c>
      <c r="G63" s="300">
        <f t="shared" si="16"/>
        <v>-2490.9522883662685</v>
      </c>
      <c r="H63" s="300">
        <f t="shared" si="16"/>
        <v>2694.133418229274</v>
      </c>
      <c r="I63" s="300">
        <f t="shared" si="16"/>
        <v>-2789.2507450281664</v>
      </c>
      <c r="J63" s="300">
        <f t="shared" si="16"/>
        <v>-3109.6064039223274</v>
      </c>
      <c r="K63" s="300">
        <f t="shared" si="16"/>
        <v>3673.8697947457877</v>
      </c>
      <c r="L63" s="300">
        <f t="shared" si="16"/>
        <v>-184.44935120971422</v>
      </c>
    </row>
    <row r="64" spans="1:12" hidden="1">
      <c r="B64" s="1">
        <v>1992</v>
      </c>
      <c r="C64" s="300">
        <f t="shared" si="16"/>
        <v>-8229.0709801909725</v>
      </c>
      <c r="D64" s="300">
        <f t="shared" si="16"/>
        <v>-6765.3360487144309</v>
      </c>
      <c r="E64" s="300">
        <f t="shared" si="16"/>
        <v>-5010.6359933048989</v>
      </c>
      <c r="F64" s="300">
        <f t="shared" si="16"/>
        <v>-5925.4263368176144</v>
      </c>
      <c r="G64" s="300">
        <f t="shared" si="16"/>
        <v>-2416.6655062120044</v>
      </c>
      <c r="H64" s="300">
        <f t="shared" si="16"/>
        <v>2408.928292284596</v>
      </c>
      <c r="I64" s="300">
        <f t="shared" si="16"/>
        <v>-2730.3551731880325</v>
      </c>
      <c r="J64" s="300">
        <f t="shared" si="16"/>
        <v>-3554.2071832093716</v>
      </c>
      <c r="K64" s="300">
        <f t="shared" si="16"/>
        <v>3774.0866449216956</v>
      </c>
      <c r="L64" s="300">
        <f t="shared" si="16"/>
        <v>460.69920905040271</v>
      </c>
    </row>
    <row r="65" spans="2:12" hidden="1">
      <c r="B65" s="1">
        <v>1993</v>
      </c>
      <c r="C65" s="300">
        <f t="shared" si="16"/>
        <v>-8503.6598481066794</v>
      </c>
      <c r="D65" s="300">
        <f t="shared" si="16"/>
        <v>-6656.2504801608666</v>
      </c>
      <c r="E65" s="300">
        <f t="shared" si="16"/>
        <v>-5497.5365772668665</v>
      </c>
      <c r="F65" s="300">
        <f t="shared" si="16"/>
        <v>-5729.1321369206125</v>
      </c>
      <c r="G65" s="300">
        <f t="shared" si="16"/>
        <v>-2682.2341880695531</v>
      </c>
      <c r="H65" s="300">
        <f t="shared" si="16"/>
        <v>2095.7019227086166</v>
      </c>
      <c r="I65" s="300">
        <f t="shared" si="16"/>
        <v>-3348.7286483561038</v>
      </c>
      <c r="J65" s="300">
        <f t="shared" si="16"/>
        <v>-2579.9987300099347</v>
      </c>
      <c r="K65" s="300">
        <f t="shared" si="16"/>
        <v>5084.1083436644876</v>
      </c>
      <c r="L65" s="300">
        <f t="shared" si="16"/>
        <v>1017.6775319362314</v>
      </c>
    </row>
    <row r="66" spans="2:12" hidden="1">
      <c r="B66" s="1">
        <v>1994</v>
      </c>
      <c r="C66" s="300">
        <f t="shared" si="16"/>
        <v>-8714.192070868201</v>
      </c>
      <c r="D66" s="300">
        <f t="shared" si="16"/>
        <v>-7688.4090449524811</v>
      </c>
      <c r="E66" s="300">
        <f t="shared" si="16"/>
        <v>-6441.4161793704843</v>
      </c>
      <c r="F66" s="300">
        <f t="shared" si="16"/>
        <v>-6204.9127069618444</v>
      </c>
      <c r="G66" s="300">
        <f t="shared" si="16"/>
        <v>-2878.7104450508668</v>
      </c>
      <c r="H66" s="300">
        <f t="shared" si="16"/>
        <v>2172.9904755166426</v>
      </c>
      <c r="I66" s="300">
        <f t="shared" si="16"/>
        <v>-3471.0821567218554</v>
      </c>
      <c r="J66" s="300">
        <f t="shared" si="16"/>
        <v>-2333.3928285853326</v>
      </c>
      <c r="K66" s="300">
        <f t="shared" si="16"/>
        <v>6019.2409009434414</v>
      </c>
      <c r="L66" s="300">
        <f t="shared" si="16"/>
        <v>760.98613684318843</v>
      </c>
    </row>
    <row r="67" spans="2:12" hidden="1">
      <c r="B67" s="1">
        <v>1995</v>
      </c>
      <c r="C67" s="300">
        <f t="shared" si="16"/>
        <v>-8883.9576080087245</v>
      </c>
      <c r="D67" s="300">
        <f t="shared" si="16"/>
        <v>-7853.0716874048885</v>
      </c>
      <c r="E67" s="300">
        <f t="shared" si="16"/>
        <v>-6866.9939684098681</v>
      </c>
      <c r="F67" s="300">
        <f t="shared" si="16"/>
        <v>-5844.8346777311563</v>
      </c>
      <c r="G67" s="300">
        <f t="shared" si="16"/>
        <v>-3093.6715661930066</v>
      </c>
      <c r="H67" s="300">
        <f t="shared" si="16"/>
        <v>2416.876036501515</v>
      </c>
      <c r="I67" s="300">
        <f t="shared" si="16"/>
        <v>-3775.728090529421</v>
      </c>
      <c r="J67" s="300">
        <f t="shared" si="16"/>
        <v>-1602.0562898609678</v>
      </c>
      <c r="K67" s="300">
        <f t="shared" si="16"/>
        <v>5999.6985196060414</v>
      </c>
      <c r="L67" s="300">
        <f t="shared" si="16"/>
        <v>316.93307122276383</v>
      </c>
    </row>
    <row r="68" spans="2:12" hidden="1">
      <c r="B68" s="1">
        <v>1996</v>
      </c>
      <c r="C68" s="300">
        <f t="shared" si="16"/>
        <v>-9650.8532758229449</v>
      </c>
      <c r="D68" s="300">
        <f t="shared" si="16"/>
        <v>-7465.1043054346446</v>
      </c>
      <c r="E68" s="300">
        <f t="shared" si="16"/>
        <v>-7311.9251624874487</v>
      </c>
      <c r="F68" s="300">
        <f t="shared" si="16"/>
        <v>-6161.5100064710605</v>
      </c>
      <c r="G68" s="300">
        <f t="shared" si="16"/>
        <v>-3351.876326935002</v>
      </c>
      <c r="H68" s="300">
        <f t="shared" si="16"/>
        <v>2250.3582754459603</v>
      </c>
      <c r="I68" s="300">
        <f t="shared" si="16"/>
        <v>-3192.9350478497581</v>
      </c>
      <c r="J68" s="300">
        <f t="shared" si="16"/>
        <v>143.17506970002069</v>
      </c>
      <c r="K68" s="300">
        <f t="shared" si="16"/>
        <v>7279.4042452556241</v>
      </c>
      <c r="L68" s="300">
        <f t="shared" si="16"/>
        <v>-163.52983074431904</v>
      </c>
    </row>
    <row r="69" spans="2:12" hidden="1">
      <c r="B69" s="1">
        <v>1997</v>
      </c>
      <c r="C69" s="300">
        <f t="shared" si="16"/>
        <v>-10397.730329334157</v>
      </c>
      <c r="D69" s="300">
        <f t="shared" si="16"/>
        <v>-8943.1071601246076</v>
      </c>
      <c r="E69" s="300">
        <f t="shared" si="16"/>
        <v>-7672.3160173627693</v>
      </c>
      <c r="F69" s="300">
        <f t="shared" si="16"/>
        <v>-7131.916168825097</v>
      </c>
      <c r="G69" s="300">
        <f t="shared" si="16"/>
        <v>-3615.3798411142016</v>
      </c>
      <c r="H69" s="300">
        <f t="shared" si="16"/>
        <v>2489.1004339311003</v>
      </c>
      <c r="I69" s="300">
        <f t="shared" si="16"/>
        <v>-3330.6610119926045</v>
      </c>
      <c r="J69" s="300">
        <f t="shared" si="16"/>
        <v>-872.75967644084085</v>
      </c>
      <c r="K69" s="300">
        <f t="shared" si="16"/>
        <v>8311.2091655749573</v>
      </c>
      <c r="L69" s="300">
        <f t="shared" si="16"/>
        <v>-548.8576339297324</v>
      </c>
    </row>
    <row r="70" spans="2:12" hidden="1">
      <c r="B70" s="1">
        <v>1998</v>
      </c>
      <c r="C70" s="300">
        <f t="shared" ref="C70:L77" si="17">C22-$B22</f>
        <v>-9639.8419118353922</v>
      </c>
      <c r="D70" s="300">
        <f t="shared" si="17"/>
        <v>-8391.4046594648571</v>
      </c>
      <c r="E70" s="300">
        <f t="shared" si="17"/>
        <v>-7375.669549406397</v>
      </c>
      <c r="F70" s="300">
        <f t="shared" si="17"/>
        <v>-6848.0930199820796</v>
      </c>
      <c r="G70" s="300">
        <f t="shared" si="17"/>
        <v>-3442.5206361669952</v>
      </c>
      <c r="H70" s="300">
        <f t="shared" si="17"/>
        <v>2906.1527961767024</v>
      </c>
      <c r="I70" s="300">
        <f t="shared" si="17"/>
        <v>-3113.7620389282602</v>
      </c>
      <c r="J70" s="300">
        <f t="shared" si="17"/>
        <v>-1295.5922780976398</v>
      </c>
      <c r="K70" s="300">
        <f t="shared" si="17"/>
        <v>6717.7096528491056</v>
      </c>
      <c r="L70" s="300">
        <f t="shared" si="17"/>
        <v>-1309.3379097174075</v>
      </c>
    </row>
    <row r="71" spans="2:12" hidden="1">
      <c r="B71" s="1">
        <v>1999</v>
      </c>
      <c r="C71" s="300">
        <f t="shared" si="17"/>
        <v>-9470.5854986019003</v>
      </c>
      <c r="D71" s="300">
        <f t="shared" si="17"/>
        <v>-9135.7240071872584</v>
      </c>
      <c r="E71" s="300">
        <f t="shared" si="17"/>
        <v>-7621.6234327591046</v>
      </c>
      <c r="F71" s="300">
        <f t="shared" si="17"/>
        <v>-6948.0990769288001</v>
      </c>
      <c r="G71" s="300">
        <f t="shared" si="17"/>
        <v>-3529.5081860248683</v>
      </c>
      <c r="H71" s="300">
        <f t="shared" si="17"/>
        <v>3236.4729599557286</v>
      </c>
      <c r="I71" s="300">
        <f t="shared" si="17"/>
        <v>-4335.504180172109</v>
      </c>
      <c r="J71" s="300">
        <f t="shared" si="17"/>
        <v>-1978.3912213215008</v>
      </c>
      <c r="K71" s="300">
        <f t="shared" si="17"/>
        <v>7336.18039156745</v>
      </c>
      <c r="L71" s="300">
        <f t="shared" si="17"/>
        <v>-2171.2446129772579</v>
      </c>
    </row>
    <row r="72" spans="2:12" hidden="1">
      <c r="B72" s="1">
        <v>2000</v>
      </c>
      <c r="C72" s="300">
        <f t="shared" si="17"/>
        <v>-8714.8402261953779</v>
      </c>
      <c r="D72" s="300">
        <f t="shared" si="17"/>
        <v>-10419.200994239036</v>
      </c>
      <c r="E72" s="300">
        <f t="shared" si="17"/>
        <v>-8678.4736339164338</v>
      </c>
      <c r="F72" s="300">
        <f t="shared" si="17"/>
        <v>-8322.4101103802423</v>
      </c>
      <c r="G72" s="300">
        <f t="shared" si="17"/>
        <v>-4510.42732964483</v>
      </c>
      <c r="H72" s="300">
        <f t="shared" si="17"/>
        <v>2641.6268015062815</v>
      </c>
      <c r="I72" s="300">
        <f t="shared" si="17"/>
        <v>-5399.8222325881434</v>
      </c>
      <c r="J72" s="300">
        <f t="shared" si="17"/>
        <v>-1509.9498855589918</v>
      </c>
      <c r="K72" s="300">
        <f t="shared" si="17"/>
        <v>13111.595868404154</v>
      </c>
      <c r="L72" s="300">
        <f t="shared" si="17"/>
        <v>-2569.5971185649432</v>
      </c>
    </row>
    <row r="73" spans="2:12" hidden="1">
      <c r="B73" s="1">
        <v>2001</v>
      </c>
      <c r="C73" s="300">
        <f t="shared" si="17"/>
        <v>-8560.4487943149579</v>
      </c>
      <c r="D73" s="300">
        <f t="shared" si="17"/>
        <v>-10616.015348813809</v>
      </c>
      <c r="E73" s="300">
        <f t="shared" si="17"/>
        <v>-7935.7458911803369</v>
      </c>
      <c r="F73" s="300">
        <f t="shared" si="17"/>
        <v>-8135.5808128494537</v>
      </c>
      <c r="G73" s="300">
        <f t="shared" si="17"/>
        <v>-4405.4995758718869</v>
      </c>
      <c r="H73" s="300">
        <f t="shared" si="17"/>
        <v>2415.2618285461358</v>
      </c>
      <c r="I73" s="300">
        <f t="shared" si="17"/>
        <v>-5188.4688118149497</v>
      </c>
      <c r="J73" s="300">
        <f t="shared" si="17"/>
        <v>-2601.8864105758184</v>
      </c>
      <c r="K73" s="300">
        <f t="shared" si="17"/>
        <v>13746.437958353781</v>
      </c>
      <c r="L73" s="300">
        <f t="shared" si="17"/>
        <v>-2967.5549541009968</v>
      </c>
    </row>
    <row r="74" spans="2:12" hidden="1">
      <c r="B74" s="1">
        <v>2002</v>
      </c>
      <c r="C74" s="300">
        <f t="shared" si="17"/>
        <v>-5094.3440954501712</v>
      </c>
      <c r="D74" s="300">
        <f t="shared" si="17"/>
        <v>-9731.9190566330581</v>
      </c>
      <c r="E74" s="300">
        <f t="shared" si="17"/>
        <v>-7806.7497019136863</v>
      </c>
      <c r="F74" s="300">
        <f t="shared" si="17"/>
        <v>-8520.4581086966573</v>
      </c>
      <c r="G74" s="300">
        <f t="shared" si="17"/>
        <v>-4322.9954929775922</v>
      </c>
      <c r="H74" s="300">
        <f t="shared" si="17"/>
        <v>2742.8502950614347</v>
      </c>
      <c r="I74" s="300">
        <f t="shared" si="17"/>
        <v>-5162.3197368745023</v>
      </c>
      <c r="J74" s="300">
        <f t="shared" si="17"/>
        <v>-2317.775079831219</v>
      </c>
      <c r="K74" s="300">
        <f t="shared" si="17"/>
        <v>11367.269208444581</v>
      </c>
      <c r="L74" s="300">
        <f t="shared" si="17"/>
        <v>-3050.3960578235638</v>
      </c>
    </row>
    <row r="75" spans="2:12" hidden="1">
      <c r="B75" s="1">
        <v>2003</v>
      </c>
      <c r="C75" s="300">
        <f t="shared" si="17"/>
        <v>-3399.7924227889234</v>
      </c>
      <c r="D75" s="300">
        <f t="shared" si="17"/>
        <v>-10665.498979937725</v>
      </c>
      <c r="E75" s="300">
        <f t="shared" si="17"/>
        <v>-7568.7828608959389</v>
      </c>
      <c r="F75" s="300">
        <f t="shared" si="17"/>
        <v>-8497.8307104041269</v>
      </c>
      <c r="G75" s="300">
        <f t="shared" si="17"/>
        <v>-4846.6273108147798</v>
      </c>
      <c r="H75" s="300">
        <f t="shared" si="17"/>
        <v>1933.4375982834099</v>
      </c>
      <c r="I75" s="300">
        <f t="shared" si="17"/>
        <v>-6164.0758307499964</v>
      </c>
      <c r="J75" s="300">
        <f t="shared" si="17"/>
        <v>-1561.1147252869996</v>
      </c>
      <c r="K75" s="300">
        <f t="shared" si="17"/>
        <v>15094.108480424264</v>
      </c>
      <c r="L75" s="300">
        <f t="shared" si="17"/>
        <v>-3014.0242620182835</v>
      </c>
    </row>
    <row r="76" spans="2:12" hidden="1">
      <c r="B76" s="1">
        <v>2004</v>
      </c>
      <c r="C76" s="300">
        <f t="shared" si="17"/>
        <v>-2910.4478298141403</v>
      </c>
      <c r="D76" s="300">
        <f t="shared" si="17"/>
        <v>-11485.075937529156</v>
      </c>
      <c r="E76" s="300">
        <f t="shared" si="17"/>
        <v>-8636.1313387283335</v>
      </c>
      <c r="F76" s="300">
        <f t="shared" si="17"/>
        <v>-8826.4944762963569</v>
      </c>
      <c r="G76" s="300">
        <f t="shared" si="17"/>
        <v>-5547.973416288165</v>
      </c>
      <c r="H76" s="300">
        <f t="shared" si="17"/>
        <v>1237.2924298435319</v>
      </c>
      <c r="I76" s="300">
        <f t="shared" si="17"/>
        <v>-6546.3180151447159</v>
      </c>
      <c r="J76" s="300">
        <f t="shared" si="17"/>
        <v>484.68054241251957</v>
      </c>
      <c r="K76" s="300">
        <f t="shared" si="17"/>
        <v>18156.479274238794</v>
      </c>
      <c r="L76" s="300">
        <f t="shared" si="17"/>
        <v>-2469.0356850521057</v>
      </c>
    </row>
    <row r="77" spans="2:12" hidden="1">
      <c r="B77" s="1">
        <v>2005</v>
      </c>
      <c r="C77" s="300">
        <f t="shared" si="17"/>
        <v>84.386515606849571</v>
      </c>
      <c r="D77" s="300">
        <f t="shared" si="17"/>
        <v>-12500.643758845345</v>
      </c>
      <c r="E77" s="300">
        <f t="shared" si="17"/>
        <v>-9224.0555552340666</v>
      </c>
      <c r="F77" s="300">
        <f t="shared" si="17"/>
        <v>-9481.0395162272762</v>
      </c>
      <c r="G77" s="300">
        <f t="shared" si="17"/>
        <v>-6817.6210072232861</v>
      </c>
      <c r="H77" s="300">
        <f t="shared" si="17"/>
        <v>281.52041924526566</v>
      </c>
      <c r="I77" s="300">
        <f t="shared" si="17"/>
        <v>-7333.7401889336106</v>
      </c>
      <c r="J77" s="300">
        <f t="shared" si="17"/>
        <v>1782.4059453100344</v>
      </c>
      <c r="K77" s="300">
        <f t="shared" si="17"/>
        <v>23778.929592403671</v>
      </c>
      <c r="L77" s="300">
        <f t="shared" si="17"/>
        <v>-2226.089578592022</v>
      </c>
    </row>
    <row r="78" spans="2:12" hidden="1"/>
    <row r="79" spans="2:12" hidden="1">
      <c r="B79" s="1" t="s">
        <v>280</v>
      </c>
    </row>
    <row r="80" spans="2:12" hidden="1">
      <c r="B80" s="1">
        <v>1981</v>
      </c>
      <c r="C80" s="300">
        <f>C53^2</f>
        <v>30965722.731347241</v>
      </c>
      <c r="D80" s="300">
        <f t="shared" ref="D80:L80" si="18">D53^2</f>
        <v>34660872.29859101</v>
      </c>
      <c r="E80" s="300">
        <f t="shared" si="18"/>
        <v>27044308.036186274</v>
      </c>
      <c r="F80" s="300">
        <f t="shared" si="18"/>
        <v>30695620.022363558</v>
      </c>
      <c r="G80" s="300">
        <f t="shared" si="18"/>
        <v>4968688.3798008095</v>
      </c>
      <c r="H80" s="300">
        <f t="shared" si="18"/>
        <v>122089.81292467602</v>
      </c>
      <c r="I80" s="300">
        <f t="shared" si="18"/>
        <v>1866325.72300097</v>
      </c>
      <c r="J80" s="300">
        <f t="shared" si="18"/>
        <v>383935.39768762188</v>
      </c>
      <c r="K80" s="300">
        <f t="shared" si="18"/>
        <v>77091109.569793835</v>
      </c>
      <c r="L80" s="300">
        <f t="shared" si="18"/>
        <v>1824171.5621545156</v>
      </c>
    </row>
    <row r="81" spans="2:12" hidden="1">
      <c r="B81" s="1">
        <v>1982</v>
      </c>
      <c r="C81" s="300">
        <f t="shared" ref="C81:L96" si="19">C54^2</f>
        <v>28604830.507185239</v>
      </c>
      <c r="D81" s="300">
        <f t="shared" si="19"/>
        <v>33573122.515714206</v>
      </c>
      <c r="E81" s="300">
        <f t="shared" si="19"/>
        <v>19627199.889327548</v>
      </c>
      <c r="F81" s="300">
        <f t="shared" si="19"/>
        <v>26579381.936998315</v>
      </c>
      <c r="G81" s="300">
        <f t="shared" si="19"/>
        <v>4725382.8592012525</v>
      </c>
      <c r="H81" s="300">
        <f t="shared" si="19"/>
        <v>184732.36577259342</v>
      </c>
      <c r="I81" s="300">
        <f t="shared" si="19"/>
        <v>2817871.3762819022</v>
      </c>
      <c r="J81" s="300">
        <f t="shared" si="19"/>
        <v>7832.1815985535222</v>
      </c>
      <c r="K81" s="300">
        <f t="shared" si="19"/>
        <v>78245411.442994356</v>
      </c>
      <c r="L81" s="300">
        <f t="shared" si="19"/>
        <v>279489.84678735101</v>
      </c>
    </row>
    <row r="82" spans="2:12" hidden="1">
      <c r="B82" s="1">
        <v>1983</v>
      </c>
      <c r="C82" s="300">
        <f t="shared" si="19"/>
        <v>34558873.855850436</v>
      </c>
      <c r="D82" s="300">
        <f t="shared" si="19"/>
        <v>28928958.8995451</v>
      </c>
      <c r="E82" s="300">
        <f t="shared" si="19"/>
        <v>18332115.409965429</v>
      </c>
      <c r="F82" s="300">
        <f t="shared" si="19"/>
        <v>24622296.471150234</v>
      </c>
      <c r="G82" s="300">
        <f t="shared" si="19"/>
        <v>5336338.9097808851</v>
      </c>
      <c r="H82" s="300">
        <f t="shared" si="19"/>
        <v>799139.43976977619</v>
      </c>
      <c r="I82" s="300">
        <f t="shared" si="19"/>
        <v>3855103.1204133746</v>
      </c>
      <c r="J82" s="300">
        <f t="shared" si="19"/>
        <v>72167.670843741565</v>
      </c>
      <c r="K82" s="300">
        <f t="shared" si="19"/>
        <v>66905117.929701813</v>
      </c>
      <c r="L82" s="300">
        <f t="shared" si="19"/>
        <v>12413.86140870385</v>
      </c>
    </row>
    <row r="83" spans="2:12" hidden="1">
      <c r="B83" s="1">
        <v>1984</v>
      </c>
      <c r="C83" s="300">
        <f t="shared" si="19"/>
        <v>43168316.848768771</v>
      </c>
      <c r="D83" s="300">
        <f t="shared" si="19"/>
        <v>43325203.313212067</v>
      </c>
      <c r="E83" s="300">
        <f t="shared" si="19"/>
        <v>20456722.167164098</v>
      </c>
      <c r="F83" s="300">
        <f t="shared" si="19"/>
        <v>28281473.350077864</v>
      </c>
      <c r="G83" s="300">
        <f t="shared" si="19"/>
        <v>5918245.0327837579</v>
      </c>
      <c r="H83" s="300">
        <f t="shared" si="19"/>
        <v>1681820.0247802429</v>
      </c>
      <c r="I83" s="300">
        <f t="shared" si="19"/>
        <v>2882544.0397284259</v>
      </c>
      <c r="J83" s="300">
        <f t="shared" si="19"/>
        <v>594876.6478048967</v>
      </c>
      <c r="K83" s="300">
        <f t="shared" si="19"/>
        <v>71570312.417580709</v>
      </c>
      <c r="L83" s="300">
        <f t="shared" si="19"/>
        <v>417166.69977073284</v>
      </c>
    </row>
    <row r="84" spans="2:12" hidden="1">
      <c r="B84" s="1">
        <v>1985</v>
      </c>
      <c r="C84" s="300">
        <f t="shared" si="19"/>
        <v>53593440.664522551</v>
      </c>
      <c r="D84" s="300">
        <f t="shared" si="19"/>
        <v>55840899.660021141</v>
      </c>
      <c r="E84" s="300">
        <f t="shared" si="19"/>
        <v>23092422.312336512</v>
      </c>
      <c r="F84" s="300">
        <f t="shared" si="19"/>
        <v>34065288.946097985</v>
      </c>
      <c r="G84" s="300">
        <f t="shared" si="19"/>
        <v>7207628.7474350268</v>
      </c>
      <c r="H84" s="300">
        <f t="shared" si="19"/>
        <v>2409539.9832842206</v>
      </c>
      <c r="I84" s="300">
        <f t="shared" si="19"/>
        <v>2795709.621065279</v>
      </c>
      <c r="J84" s="300">
        <f t="shared" si="19"/>
        <v>1704155.9400085788</v>
      </c>
      <c r="K84" s="300">
        <f t="shared" si="19"/>
        <v>80634624.507575512</v>
      </c>
      <c r="L84" s="300">
        <f t="shared" si="19"/>
        <v>639353.85821301572</v>
      </c>
    </row>
    <row r="85" spans="2:12" hidden="1">
      <c r="B85" s="1">
        <v>1986</v>
      </c>
      <c r="C85" s="300">
        <f t="shared" si="19"/>
        <v>49951900.039999083</v>
      </c>
      <c r="D85" s="300">
        <f t="shared" si="19"/>
        <v>48250128.687205076</v>
      </c>
      <c r="E85" s="300">
        <f t="shared" si="19"/>
        <v>20815145.983390536</v>
      </c>
      <c r="F85" s="300">
        <f t="shared" si="19"/>
        <v>27117122.861094836</v>
      </c>
      <c r="G85" s="300">
        <f t="shared" si="19"/>
        <v>4720639.9272963703</v>
      </c>
      <c r="H85" s="300">
        <f t="shared" si="19"/>
        <v>6009508.036116004</v>
      </c>
      <c r="I85" s="300">
        <f t="shared" si="19"/>
        <v>3971154.5691748098</v>
      </c>
      <c r="J85" s="300">
        <f t="shared" si="19"/>
        <v>5576629.0089121321</v>
      </c>
      <c r="K85" s="300">
        <f t="shared" si="19"/>
        <v>17523942.507926352</v>
      </c>
      <c r="L85" s="300">
        <f t="shared" si="19"/>
        <v>657883.79148590309</v>
      </c>
    </row>
    <row r="86" spans="2:12" hidden="1">
      <c r="B86" s="1">
        <v>1987</v>
      </c>
      <c r="C86" s="300">
        <f t="shared" si="19"/>
        <v>58366749.884242661</v>
      </c>
      <c r="D86" s="300">
        <f t="shared" si="19"/>
        <v>58252152.575760059</v>
      </c>
      <c r="E86" s="300">
        <f t="shared" si="19"/>
        <v>24847322.790774878</v>
      </c>
      <c r="F86" s="300">
        <f t="shared" si="19"/>
        <v>27398228.133568808</v>
      </c>
      <c r="G86" s="300">
        <f t="shared" si="19"/>
        <v>4826313.7141556898</v>
      </c>
      <c r="H86" s="300">
        <f t="shared" si="19"/>
        <v>7894569.378926144</v>
      </c>
      <c r="I86" s="300">
        <f t="shared" si="19"/>
        <v>6634407.1555459136</v>
      </c>
      <c r="J86" s="300">
        <f t="shared" si="19"/>
        <v>12375121.029609036</v>
      </c>
      <c r="K86" s="300">
        <f t="shared" si="19"/>
        <v>12075650.39979868</v>
      </c>
      <c r="L86" s="300">
        <f t="shared" si="19"/>
        <v>395908.24482099811</v>
      </c>
    </row>
    <row r="87" spans="2:12" hidden="1">
      <c r="B87" s="1">
        <v>1988</v>
      </c>
      <c r="C87" s="300">
        <f t="shared" si="19"/>
        <v>66553133.730690546</v>
      </c>
      <c r="D87" s="300">
        <f t="shared" si="19"/>
        <v>65656161.071019582</v>
      </c>
      <c r="E87" s="300">
        <f t="shared" si="19"/>
        <v>34077880.645011239</v>
      </c>
      <c r="F87" s="300">
        <f t="shared" si="19"/>
        <v>34263163.131838955</v>
      </c>
      <c r="G87" s="300">
        <f t="shared" si="19"/>
        <v>5214423.5821247343</v>
      </c>
      <c r="H87" s="300">
        <f t="shared" si="19"/>
        <v>10119040.190827461</v>
      </c>
      <c r="I87" s="300">
        <f t="shared" si="19"/>
        <v>8457758.6497158539</v>
      </c>
      <c r="J87" s="300">
        <f t="shared" si="19"/>
        <v>20712742.166962687</v>
      </c>
      <c r="K87" s="300">
        <f t="shared" si="19"/>
        <v>9874539.5039282404</v>
      </c>
      <c r="L87" s="300">
        <f t="shared" si="19"/>
        <v>360140.52752146276</v>
      </c>
    </row>
    <row r="88" spans="2:12" hidden="1">
      <c r="B88" s="1">
        <v>1989</v>
      </c>
      <c r="C88" s="300">
        <f t="shared" si="19"/>
        <v>72449276.035139561</v>
      </c>
      <c r="D88" s="300">
        <f t="shared" si="19"/>
        <v>68778268.257374704</v>
      </c>
      <c r="E88" s="300">
        <f t="shared" si="19"/>
        <v>36873137.211577758</v>
      </c>
      <c r="F88" s="300">
        <f t="shared" si="19"/>
        <v>39125263.045828559</v>
      </c>
      <c r="G88" s="300">
        <f t="shared" si="19"/>
        <v>7179323.6557663428</v>
      </c>
      <c r="H88" s="300">
        <f t="shared" si="19"/>
        <v>12116877.361517115</v>
      </c>
      <c r="I88" s="300">
        <f t="shared" si="19"/>
        <v>8647375.1646097936</v>
      </c>
      <c r="J88" s="300">
        <f t="shared" si="19"/>
        <v>20403625.824406743</v>
      </c>
      <c r="K88" s="300">
        <f t="shared" si="19"/>
        <v>8155364.6131453263</v>
      </c>
      <c r="L88" s="300">
        <f t="shared" si="19"/>
        <v>220464.54567798687</v>
      </c>
    </row>
    <row r="89" spans="2:12" hidden="1">
      <c r="B89" s="1">
        <v>1990</v>
      </c>
      <c r="C89" s="300">
        <f t="shared" si="19"/>
        <v>73727190.086621463</v>
      </c>
      <c r="D89" s="300">
        <f t="shared" si="19"/>
        <v>62739302.819955423</v>
      </c>
      <c r="E89" s="300">
        <f t="shared" si="19"/>
        <v>34684604.481592447</v>
      </c>
      <c r="F89" s="300">
        <f t="shared" si="19"/>
        <v>40590743.367418386</v>
      </c>
      <c r="G89" s="300">
        <f t="shared" si="19"/>
        <v>6969699.0741056083</v>
      </c>
      <c r="H89" s="300">
        <f t="shared" si="19"/>
        <v>8508819.3429226168</v>
      </c>
      <c r="I89" s="300">
        <f t="shared" si="19"/>
        <v>7118013.9567363821</v>
      </c>
      <c r="J89" s="300">
        <f t="shared" si="19"/>
        <v>12176632.9807059</v>
      </c>
      <c r="K89" s="300">
        <f t="shared" si="19"/>
        <v>17635274.186397474</v>
      </c>
      <c r="L89" s="300">
        <f t="shared" si="19"/>
        <v>203098.39839527578</v>
      </c>
    </row>
    <row r="90" spans="2:12" hidden="1">
      <c r="B90" s="1">
        <v>1991</v>
      </c>
      <c r="C90" s="300">
        <f t="shared" si="19"/>
        <v>62493168.500213414</v>
      </c>
      <c r="D90" s="300">
        <f t="shared" si="19"/>
        <v>51089149.455555864</v>
      </c>
      <c r="E90" s="300">
        <f t="shared" si="19"/>
        <v>26568387.716324057</v>
      </c>
      <c r="F90" s="300">
        <f t="shared" si="19"/>
        <v>37706161.044568107</v>
      </c>
      <c r="G90" s="300">
        <f t="shared" si="19"/>
        <v>6204843.3029171498</v>
      </c>
      <c r="H90" s="300">
        <f t="shared" si="19"/>
        <v>7258354.8752197521</v>
      </c>
      <c r="I90" s="300">
        <f t="shared" si="19"/>
        <v>7779919.7186401812</v>
      </c>
      <c r="J90" s="300">
        <f t="shared" si="19"/>
        <v>9669651.9873147495</v>
      </c>
      <c r="K90" s="300">
        <f t="shared" si="19"/>
        <v>13497319.268745456</v>
      </c>
      <c r="L90" s="300">
        <f t="shared" si="19"/>
        <v>34021.563161684506</v>
      </c>
    </row>
    <row r="91" spans="2:12" hidden="1">
      <c r="B91" s="1">
        <v>1992</v>
      </c>
      <c r="C91" s="300">
        <f t="shared" si="19"/>
        <v>67717609.197021216</v>
      </c>
      <c r="D91" s="300">
        <f t="shared" si="19"/>
        <v>45769771.852034986</v>
      </c>
      <c r="E91" s="300">
        <f t="shared" si="19"/>
        <v>25106473.05740257</v>
      </c>
      <c r="F91" s="300">
        <f t="shared" si="19"/>
        <v>35110677.273051813</v>
      </c>
      <c r="G91" s="300">
        <f t="shared" si="19"/>
        <v>5840272.1689149234</v>
      </c>
      <c r="H91" s="300">
        <f t="shared" si="19"/>
        <v>5802935.51736918</v>
      </c>
      <c r="I91" s="300">
        <f t="shared" si="19"/>
        <v>7454839.371754651</v>
      </c>
      <c r="J91" s="300">
        <f t="shared" si="19"/>
        <v>12632388.701177096</v>
      </c>
      <c r="K91" s="300">
        <f t="shared" si="19"/>
        <v>14243730.003376301</v>
      </c>
      <c r="L91" s="300">
        <f t="shared" si="19"/>
        <v>212243.76121966666</v>
      </c>
    </row>
    <row r="92" spans="2:12" hidden="1">
      <c r="B92" s="1">
        <v>1993</v>
      </c>
      <c r="C92" s="300">
        <f t="shared" si="19"/>
        <v>72312230.81230171</v>
      </c>
      <c r="D92" s="300">
        <f t="shared" si="19"/>
        <v>44305670.454641767</v>
      </c>
      <c r="E92" s="300">
        <f t="shared" si="19"/>
        <v>30222908.418387093</v>
      </c>
      <c r="F92" s="300">
        <f t="shared" si="19"/>
        <v>32822955.042296544</v>
      </c>
      <c r="G92" s="300">
        <f t="shared" si="19"/>
        <v>7194380.2396491347</v>
      </c>
      <c r="H92" s="300">
        <f t="shared" si="19"/>
        <v>4391966.5488445926</v>
      </c>
      <c r="I92" s="300">
        <f t="shared" si="19"/>
        <v>11213983.560320897</v>
      </c>
      <c r="J92" s="300">
        <f t="shared" si="19"/>
        <v>6656393.4468528759</v>
      </c>
      <c r="K92" s="300">
        <f t="shared" si="19"/>
        <v>25848157.650118861</v>
      </c>
      <c r="L92" s="300">
        <f t="shared" si="19"/>
        <v>1035667.5590078193</v>
      </c>
    </row>
    <row r="93" spans="2:12" hidden="1">
      <c r="B93" s="1">
        <v>1994</v>
      </c>
      <c r="C93" s="300">
        <f t="shared" si="19"/>
        <v>75937143.447982222</v>
      </c>
      <c r="D93" s="300">
        <f t="shared" si="19"/>
        <v>59111633.642507121</v>
      </c>
      <c r="E93" s="300">
        <f t="shared" si="19"/>
        <v>41491842.395855844</v>
      </c>
      <c r="F93" s="300">
        <f t="shared" si="19"/>
        <v>38500941.70101656</v>
      </c>
      <c r="G93" s="300">
        <f t="shared" si="19"/>
        <v>8286973.8264449602</v>
      </c>
      <c r="H93" s="300">
        <f t="shared" si="19"/>
        <v>4721887.6066860445</v>
      </c>
      <c r="I93" s="300">
        <f t="shared" si="19"/>
        <v>12048411.338712847</v>
      </c>
      <c r="J93" s="300">
        <f t="shared" si="19"/>
        <v>5444722.0924934596</v>
      </c>
      <c r="K93" s="300">
        <f t="shared" si="19"/>
        <v>36231261.023590408</v>
      </c>
      <c r="L93" s="300">
        <f t="shared" si="19"/>
        <v>579099.90046751988</v>
      </c>
    </row>
    <row r="94" spans="2:12" hidden="1">
      <c r="B94" s="1">
        <v>1995</v>
      </c>
      <c r="C94" s="300">
        <f t="shared" si="19"/>
        <v>78924702.780896097</v>
      </c>
      <c r="D94" s="300">
        <f t="shared" si="19"/>
        <v>61670734.92752026</v>
      </c>
      <c r="E94" s="300">
        <f t="shared" si="19"/>
        <v>47155606.162177511</v>
      </c>
      <c r="F94" s="300">
        <f t="shared" si="19"/>
        <v>34162092.410008669</v>
      </c>
      <c r="G94" s="300">
        <f t="shared" si="19"/>
        <v>9570803.7594710905</v>
      </c>
      <c r="H94" s="300">
        <f t="shared" si="19"/>
        <v>5841289.7758152727</v>
      </c>
      <c r="I94" s="300">
        <f t="shared" si="19"/>
        <v>14256122.613612948</v>
      </c>
      <c r="J94" s="300">
        <f t="shared" si="19"/>
        <v>2566584.3558830894</v>
      </c>
      <c r="K94" s="300">
        <f t="shared" si="19"/>
        <v>35996382.326162927</v>
      </c>
      <c r="L94" s="300">
        <f t="shared" si="19"/>
        <v>100446.57163469349</v>
      </c>
    </row>
    <row r="95" spans="2:12" hidden="1">
      <c r="B95" s="1">
        <v>1996</v>
      </c>
      <c r="C95" s="300">
        <f t="shared" si="19"/>
        <v>93138968.951462463</v>
      </c>
      <c r="D95" s="300">
        <f t="shared" si="19"/>
        <v>55727782.291018866</v>
      </c>
      <c r="E95" s="300">
        <f t="shared" si="19"/>
        <v>53464249.581817105</v>
      </c>
      <c r="F95" s="300">
        <f t="shared" si="19"/>
        <v>37964205.559843011</v>
      </c>
      <c r="G95" s="300">
        <f t="shared" si="19"/>
        <v>11235074.911067281</v>
      </c>
      <c r="H95" s="300">
        <f t="shared" si="19"/>
        <v>5064112.3678681171</v>
      </c>
      <c r="I95" s="300">
        <f t="shared" si="19"/>
        <v>10194834.219787337</v>
      </c>
      <c r="J95" s="300">
        <f t="shared" si="19"/>
        <v>20499.100583605781</v>
      </c>
      <c r="K95" s="300">
        <f t="shared" si="19"/>
        <v>52989726.165845603</v>
      </c>
      <c r="L95" s="300">
        <f t="shared" si="19"/>
        <v>26742.005543265634</v>
      </c>
    </row>
    <row r="96" spans="2:12" hidden="1">
      <c r="B96" s="1">
        <v>1997</v>
      </c>
      <c r="C96" s="300">
        <f t="shared" si="19"/>
        <v>108112796.00155541</v>
      </c>
      <c r="D96" s="300">
        <f t="shared" si="19"/>
        <v>79979165.677472025</v>
      </c>
      <c r="E96" s="300">
        <f t="shared" si="19"/>
        <v>58864433.070281304</v>
      </c>
      <c r="F96" s="300">
        <f t="shared" si="19"/>
        <v>50864228.239148848</v>
      </c>
      <c r="G96" s="300">
        <f t="shared" si="19"/>
        <v>13070971.395534949</v>
      </c>
      <c r="H96" s="300">
        <f t="shared" si="19"/>
        <v>6195620.9701959919</v>
      </c>
      <c r="I96" s="300">
        <f t="shared" si="19"/>
        <v>11093302.776807601</v>
      </c>
      <c r="J96" s="300">
        <f t="shared" si="19"/>
        <v>761709.4528211212</v>
      </c>
      <c r="K96" s="300">
        <f t="shared" si="19"/>
        <v>69076197.793937176</v>
      </c>
      <c r="L96" s="300">
        <f t="shared" si="19"/>
        <v>301244.70232294413</v>
      </c>
    </row>
    <row r="97" spans="2:12" hidden="1">
      <c r="B97" s="1">
        <v>1998</v>
      </c>
      <c r="C97" s="300">
        <f t="shared" ref="C97:L104" si="20">C70^2</f>
        <v>92926552.085178226</v>
      </c>
      <c r="D97" s="300">
        <f t="shared" si="20"/>
        <v>70415672.158888519</v>
      </c>
      <c r="E97" s="300">
        <f t="shared" si="20"/>
        <v>54400501.302040763</v>
      </c>
      <c r="F97" s="300">
        <f t="shared" si="20"/>
        <v>46896378.01032728</v>
      </c>
      <c r="G97" s="300">
        <f t="shared" si="20"/>
        <v>11850948.330435613</v>
      </c>
      <c r="H97" s="300">
        <f t="shared" si="20"/>
        <v>8445724.0747256652</v>
      </c>
      <c r="I97" s="300">
        <f t="shared" si="20"/>
        <v>9695514.0350706764</v>
      </c>
      <c r="J97" s="300">
        <f t="shared" si="20"/>
        <v>1678559.351066232</v>
      </c>
      <c r="K97" s="300">
        <f t="shared" si="20"/>
        <v>45127622.979982048</v>
      </c>
      <c r="L97" s="300">
        <f t="shared" si="20"/>
        <v>1714365.7618231499</v>
      </c>
    </row>
    <row r="98" spans="2:12" hidden="1">
      <c r="B98" s="1">
        <v>1999</v>
      </c>
      <c r="C98" s="300">
        <f t="shared" si="20"/>
        <v>89691989.686328605</v>
      </c>
      <c r="D98" s="300">
        <f t="shared" si="20"/>
        <v>83461453.135497615</v>
      </c>
      <c r="E98" s="300">
        <f t="shared" si="20"/>
        <v>58089143.750782676</v>
      </c>
      <c r="F98" s="300">
        <f t="shared" si="20"/>
        <v>48276080.782818846</v>
      </c>
      <c r="G98" s="300">
        <f t="shared" si="20"/>
        <v>12457428.035216557</v>
      </c>
      <c r="H98" s="300">
        <f t="shared" si="20"/>
        <v>10474757.220524594</v>
      </c>
      <c r="I98" s="300">
        <f t="shared" si="20"/>
        <v>18796596.496289831</v>
      </c>
      <c r="J98" s="300">
        <f t="shared" si="20"/>
        <v>3914031.8246019795</v>
      </c>
      <c r="K98" s="300">
        <f t="shared" si="20"/>
        <v>53819542.737618744</v>
      </c>
      <c r="L98" s="300">
        <f t="shared" si="20"/>
        <v>4714303.1693827622</v>
      </c>
    </row>
    <row r="99" spans="2:12" hidden="1">
      <c r="B99" s="1">
        <v>2000</v>
      </c>
      <c r="C99" s="300">
        <f t="shared" si="20"/>
        <v>75948440.168113112</v>
      </c>
      <c r="D99" s="300">
        <f t="shared" si="20"/>
        <v>108559749.35835172</v>
      </c>
      <c r="E99" s="300">
        <f t="shared" si="20"/>
        <v>75315904.614582717</v>
      </c>
      <c r="F99" s="300">
        <f t="shared" si="20"/>
        <v>69262510.045359269</v>
      </c>
      <c r="G99" s="300">
        <f t="shared" si="20"/>
        <v>20343954.696006991</v>
      </c>
      <c r="H99" s="300">
        <f t="shared" si="20"/>
        <v>6978192.1584363068</v>
      </c>
      <c r="I99" s="300">
        <f t="shared" si="20"/>
        <v>29158080.143553201</v>
      </c>
      <c r="J99" s="300">
        <f t="shared" si="20"/>
        <v>2279948.6568996124</v>
      </c>
      <c r="K99" s="300">
        <f t="shared" si="20"/>
        <v>171913946.21635288</v>
      </c>
      <c r="L99" s="300">
        <f t="shared" si="20"/>
        <v>6602829.351737259</v>
      </c>
    </row>
    <row r="100" spans="2:12" hidden="1">
      <c r="B100" s="1">
        <v>2001</v>
      </c>
      <c r="C100" s="300">
        <f t="shared" si="20"/>
        <v>73281283.560088411</v>
      </c>
      <c r="D100" s="300">
        <f t="shared" si="20"/>
        <v>112699781.88625039</v>
      </c>
      <c r="E100" s="300">
        <f t="shared" si="20"/>
        <v>62976062.849385597</v>
      </c>
      <c r="F100" s="300">
        <f t="shared" si="20"/>
        <v>66187675.16240418</v>
      </c>
      <c r="G100" s="300">
        <f t="shared" si="20"/>
        <v>19408426.513007376</v>
      </c>
      <c r="H100" s="300">
        <f t="shared" si="20"/>
        <v>5833489.700432023</v>
      </c>
      <c r="I100" s="300">
        <f t="shared" si="20"/>
        <v>26920208.611176435</v>
      </c>
      <c r="J100" s="300">
        <f t="shared" si="20"/>
        <v>6769812.8935391167</v>
      </c>
      <c r="K100" s="300">
        <f t="shared" si="20"/>
        <v>188964556.54286966</v>
      </c>
      <c r="L100" s="300">
        <f t="shared" si="20"/>
        <v>8806382.4056093693</v>
      </c>
    </row>
    <row r="101" spans="2:12" hidden="1">
      <c r="B101" s="1">
        <v>2002</v>
      </c>
      <c r="C101" s="300">
        <f t="shared" si="20"/>
        <v>25952341.762848023</v>
      </c>
      <c r="D101" s="300">
        <f t="shared" si="20"/>
        <v>94710248.52485767</v>
      </c>
      <c r="E101" s="300">
        <f t="shared" si="20"/>
        <v>60945340.908329427</v>
      </c>
      <c r="F101" s="300">
        <f t="shared" si="20"/>
        <v>72598206.382054612</v>
      </c>
      <c r="G101" s="300">
        <f t="shared" si="20"/>
        <v>18688290.032304574</v>
      </c>
      <c r="H101" s="300">
        <f t="shared" si="20"/>
        <v>7523227.7411185997</v>
      </c>
      <c r="I101" s="300">
        <f t="shared" si="20"/>
        <v>26649545.06572403</v>
      </c>
      <c r="J101" s="300">
        <f t="shared" si="20"/>
        <v>5372081.3206866141</v>
      </c>
      <c r="K101" s="300">
        <f t="shared" si="20"/>
        <v>129214809.25725229</v>
      </c>
      <c r="L101" s="300">
        <f t="shared" si="20"/>
        <v>9304916.1095855385</v>
      </c>
    </row>
    <row r="102" spans="2:12" hidden="1">
      <c r="B102" s="1">
        <v>2003</v>
      </c>
      <c r="C102" s="300">
        <f t="shared" si="20"/>
        <v>11558588.518052978</v>
      </c>
      <c r="D102" s="300">
        <f t="shared" si="20"/>
        <v>113752868.49105266</v>
      </c>
      <c r="E102" s="300">
        <f t="shared" si="20"/>
        <v>57286473.995392114</v>
      </c>
      <c r="F102" s="300">
        <f t="shared" si="20"/>
        <v>72213126.782687515</v>
      </c>
      <c r="G102" s="300">
        <f t="shared" si="20"/>
        <v>23489796.289935704</v>
      </c>
      <c r="H102" s="300">
        <f t="shared" si="20"/>
        <v>3738180.9464559201</v>
      </c>
      <c r="I102" s="300">
        <f t="shared" si="20"/>
        <v>37995830.847236261</v>
      </c>
      <c r="J102" s="300">
        <f t="shared" si="20"/>
        <v>2437079.1855079043</v>
      </c>
      <c r="K102" s="300">
        <f t="shared" si="20"/>
        <v>227832110.81881568</v>
      </c>
      <c r="L102" s="300">
        <f t="shared" si="20"/>
        <v>9084342.2520348579</v>
      </c>
    </row>
    <row r="103" spans="2:12" hidden="1">
      <c r="B103" s="1">
        <v>2004</v>
      </c>
      <c r="C103" s="300">
        <f t="shared" si="20"/>
        <v>8470706.5700698383</v>
      </c>
      <c r="D103" s="300">
        <f t="shared" si="20"/>
        <v>131906969.29081123</v>
      </c>
      <c r="E103" s="300">
        <f t="shared" si="20"/>
        <v>74582764.499765635</v>
      </c>
      <c r="F103" s="300">
        <f t="shared" si="20"/>
        <v>77907004.740090102</v>
      </c>
      <c r="G103" s="300">
        <f t="shared" si="20"/>
        <v>30780009.027840171</v>
      </c>
      <c r="H103" s="300">
        <f t="shared" si="20"/>
        <v>1530892.5569481112</v>
      </c>
      <c r="I103" s="300">
        <f t="shared" si="20"/>
        <v>42854279.555408254</v>
      </c>
      <c r="J103" s="300">
        <f t="shared" si="20"/>
        <v>234915.22819329417</v>
      </c>
      <c r="K103" s="300">
        <f t="shared" si="20"/>
        <v>329657739.63586289</v>
      </c>
      <c r="L103" s="300">
        <f t="shared" si="20"/>
        <v>6096137.214060721</v>
      </c>
    </row>
    <row r="104" spans="2:12" hidden="1">
      <c r="B104" s="1">
        <v>2005</v>
      </c>
      <c r="C104" s="300">
        <f t="shared" si="20"/>
        <v>7121.0840162650666</v>
      </c>
      <c r="D104" s="300">
        <f t="shared" si="20"/>
        <v>156266094.38555905</v>
      </c>
      <c r="E104" s="300">
        <f t="shared" si="20"/>
        <v>85083200.886044443</v>
      </c>
      <c r="F104" s="300">
        <f t="shared" si="20"/>
        <v>89890110.308263138</v>
      </c>
      <c r="G104" s="300">
        <f t="shared" si="20"/>
        <v>46479956.198132254</v>
      </c>
      <c r="H104" s="300">
        <f t="shared" si="20"/>
        <v>79253.746452030144</v>
      </c>
      <c r="I104" s="300">
        <f t="shared" si="20"/>
        <v>53783745.158779994</v>
      </c>
      <c r="J104" s="300">
        <f t="shared" si="20"/>
        <v>3176970.9538765573</v>
      </c>
      <c r="K104" s="300">
        <f t="shared" si="20"/>
        <v>565437492.56049097</v>
      </c>
      <c r="L104" s="300">
        <f t="shared" si="20"/>
        <v>4955474.8119160058</v>
      </c>
    </row>
  </sheetData>
  <mergeCells count="12">
    <mergeCell ref="A47:L47"/>
    <mergeCell ref="B3:B4"/>
    <mergeCell ref="C3:C4"/>
    <mergeCell ref="D3:D4"/>
    <mergeCell ref="E3:E4"/>
    <mergeCell ref="F3:F4"/>
    <mergeCell ref="G3:G4"/>
    <mergeCell ref="H3:H4"/>
    <mergeCell ref="I3:I4"/>
    <mergeCell ref="J3:J4"/>
    <mergeCell ref="K3:K4"/>
    <mergeCell ref="L3:L4"/>
  </mergeCells>
  <pageMargins left="0.74803149606299213" right="0.74803149606299213" top="0.98425196850393704" bottom="0.98425196850393704" header="0.51181102362204722" footer="0.51181102362204722"/>
  <pageSetup scale="74" orientation="landscape" horizontalDpi="300" verticalDpi="300" r:id="rId1"/>
  <headerFooter alignWithMargins="0"/>
</worksheet>
</file>

<file path=xl/worksheets/sheet190.xml><?xml version="1.0" encoding="utf-8"?>
<worksheet xmlns="http://schemas.openxmlformats.org/spreadsheetml/2006/main" xmlns:r="http://schemas.openxmlformats.org/officeDocument/2006/relationships">
  <sheetPr codeName="Sheet162">
    <pageSetUpPr fitToPage="1"/>
  </sheetPr>
  <dimension ref="A1:J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2234</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89121.599999999991</v>
      </c>
      <c r="C5" s="232">
        <f>E46</f>
        <v>4285</v>
      </c>
      <c r="D5" s="232">
        <f>F46</f>
        <v>2748.4</v>
      </c>
      <c r="E5" s="232">
        <f>G46</f>
        <v>2507.1</v>
      </c>
      <c r="F5" s="701">
        <f t="shared" ref="F5:F34" si="0">B5/C5</f>
        <v>20.798506417736288</v>
      </c>
      <c r="G5" s="701">
        <f t="shared" ref="G5:G34" si="1">B5/E5</f>
        <v>35.547684575804709</v>
      </c>
      <c r="H5" s="701">
        <f t="shared" ref="H5:H34" si="2">D5/C5*100</f>
        <v>64.140023337222871</v>
      </c>
      <c r="I5" s="701">
        <f t="shared" ref="I5:I34" si="3">E5/C5*100</f>
        <v>58.508751458576427</v>
      </c>
      <c r="J5" s="692">
        <f t="shared" ref="J5:J34" si="4">(D5-E5)/D5*100</f>
        <v>8.7796536166496928</v>
      </c>
    </row>
    <row r="6" spans="1:10">
      <c r="A6" s="452">
        <v>1977</v>
      </c>
      <c r="B6" s="19">
        <f t="shared" ref="B6:B36" si="5">SUM(B47:D47)</f>
        <v>88741.400000000009</v>
      </c>
      <c r="C6" s="232">
        <f t="shared" ref="C6:E21" si="6">E47</f>
        <v>4340.6000000000004</v>
      </c>
      <c r="D6" s="232">
        <f t="shared" si="6"/>
        <v>2814.2</v>
      </c>
      <c r="E6" s="232">
        <f t="shared" si="6"/>
        <v>2518.8000000000002</v>
      </c>
      <c r="F6" s="701">
        <f t="shared" si="0"/>
        <v>20.444500760263558</v>
      </c>
      <c r="G6" s="701">
        <f t="shared" si="1"/>
        <v>35.231618230903607</v>
      </c>
      <c r="H6" s="701">
        <f t="shared" si="2"/>
        <v>64.834354697507251</v>
      </c>
      <c r="I6" s="701">
        <f t="shared" si="3"/>
        <v>58.028843938625997</v>
      </c>
      <c r="J6" s="692">
        <f t="shared" si="4"/>
        <v>10.496766398976606</v>
      </c>
    </row>
    <row r="7" spans="1:10">
      <c r="A7" s="452">
        <v>1978</v>
      </c>
      <c r="B7" s="19">
        <f t="shared" si="5"/>
        <v>90724.7</v>
      </c>
      <c r="C7" s="232">
        <f t="shared" si="6"/>
        <v>4380.7</v>
      </c>
      <c r="D7" s="232">
        <f t="shared" si="6"/>
        <v>2880.2</v>
      </c>
      <c r="E7" s="232">
        <f t="shared" si="6"/>
        <v>2559.6999999999998</v>
      </c>
      <c r="F7" s="701">
        <f t="shared" si="0"/>
        <v>20.710091994430115</v>
      </c>
      <c r="G7" s="701">
        <f t="shared" si="1"/>
        <v>35.443489471422431</v>
      </c>
      <c r="H7" s="701">
        <f t="shared" si="2"/>
        <v>65.747483278928016</v>
      </c>
      <c r="I7" s="701">
        <f t="shared" si="3"/>
        <v>58.431300933640742</v>
      </c>
      <c r="J7" s="692">
        <f t="shared" si="4"/>
        <v>11.12769946531491</v>
      </c>
    </row>
    <row r="8" spans="1:10">
      <c r="A8" s="452">
        <v>1979</v>
      </c>
      <c r="B8" s="19">
        <f t="shared" si="5"/>
        <v>92392.9</v>
      </c>
      <c r="C8" s="232">
        <f t="shared" si="6"/>
        <v>4426.3</v>
      </c>
      <c r="D8" s="232">
        <f t="shared" si="6"/>
        <v>2947.1</v>
      </c>
      <c r="E8" s="232">
        <f t="shared" si="6"/>
        <v>2657.4</v>
      </c>
      <c r="F8" s="701">
        <f t="shared" si="0"/>
        <v>20.873619049770685</v>
      </c>
      <c r="G8" s="701">
        <f t="shared" si="1"/>
        <v>34.768156845036501</v>
      </c>
      <c r="H8" s="701">
        <f t="shared" si="2"/>
        <v>66.581569256489615</v>
      </c>
      <c r="I8" s="701">
        <f t="shared" si="3"/>
        <v>60.036599417120392</v>
      </c>
      <c r="J8" s="692">
        <f t="shared" si="4"/>
        <v>9.8300023752163082</v>
      </c>
    </row>
    <row r="9" spans="1:10">
      <c r="A9" s="452">
        <v>1980</v>
      </c>
      <c r="B9" s="19">
        <f t="shared" si="5"/>
        <v>93356.800000000003</v>
      </c>
      <c r="C9" s="232">
        <f t="shared" si="6"/>
        <v>4474.7</v>
      </c>
      <c r="D9" s="232">
        <f t="shared" si="6"/>
        <v>3027.6</v>
      </c>
      <c r="E9" s="232">
        <f t="shared" si="6"/>
        <v>2721.5</v>
      </c>
      <c r="F9" s="701">
        <f t="shared" si="0"/>
        <v>20.863253402462735</v>
      </c>
      <c r="G9" s="701">
        <f t="shared" si="1"/>
        <v>34.30343560536469</v>
      </c>
      <c r="H9" s="701">
        <f t="shared" si="2"/>
        <v>67.660401814646804</v>
      </c>
      <c r="I9" s="701">
        <f t="shared" si="3"/>
        <v>60.819719757749127</v>
      </c>
      <c r="J9" s="692">
        <f t="shared" si="4"/>
        <v>10.110318404016381</v>
      </c>
    </row>
    <row r="10" spans="1:10">
      <c r="A10" s="452">
        <v>1981</v>
      </c>
      <c r="B10" s="19">
        <f t="shared" si="5"/>
        <v>93398.200000000012</v>
      </c>
      <c r="C10" s="232">
        <f t="shared" si="6"/>
        <v>4513.3999999999996</v>
      </c>
      <c r="D10" s="232">
        <f t="shared" si="6"/>
        <v>3085.9</v>
      </c>
      <c r="E10" s="232">
        <f t="shared" si="6"/>
        <v>2757.9</v>
      </c>
      <c r="F10" s="701">
        <f t="shared" si="0"/>
        <v>20.693534807462228</v>
      </c>
      <c r="G10" s="701">
        <f t="shared" si="1"/>
        <v>33.865694912795973</v>
      </c>
      <c r="H10" s="701">
        <f t="shared" si="2"/>
        <v>68.371959055257676</v>
      </c>
      <c r="I10" s="701">
        <f t="shared" si="3"/>
        <v>61.104710417866805</v>
      </c>
      <c r="J10" s="692">
        <f t="shared" si="4"/>
        <v>10.628989921902848</v>
      </c>
    </row>
    <row r="11" spans="1:10">
      <c r="A11" s="452">
        <v>1982</v>
      </c>
      <c r="B11" s="19">
        <f t="shared" si="5"/>
        <v>87924.200000000012</v>
      </c>
      <c r="C11" s="232">
        <f t="shared" si="6"/>
        <v>4542.1000000000004</v>
      </c>
      <c r="D11" s="232">
        <f t="shared" si="6"/>
        <v>3033.4</v>
      </c>
      <c r="E11" s="232">
        <f t="shared" si="6"/>
        <v>2604.9</v>
      </c>
      <c r="F11" s="701">
        <f t="shared" si="0"/>
        <v>19.357609916118097</v>
      </c>
      <c r="G11" s="701">
        <f t="shared" si="1"/>
        <v>33.753387845982573</v>
      </c>
      <c r="H11" s="701">
        <f t="shared" si="2"/>
        <v>66.784086655952095</v>
      </c>
      <c r="I11" s="701">
        <f t="shared" si="3"/>
        <v>57.350124391801153</v>
      </c>
      <c r="J11" s="692">
        <f t="shared" si="4"/>
        <v>14.126063163446956</v>
      </c>
    </row>
    <row r="12" spans="1:10">
      <c r="A12" s="452">
        <v>1983</v>
      </c>
      <c r="B12" s="19">
        <f t="shared" si="5"/>
        <v>89966.1</v>
      </c>
      <c r="C12" s="232">
        <f t="shared" si="6"/>
        <v>4563.5</v>
      </c>
      <c r="D12" s="232">
        <f t="shared" si="6"/>
        <v>3095</v>
      </c>
      <c r="E12" s="232">
        <f t="shared" si="6"/>
        <v>2652.5</v>
      </c>
      <c r="F12" s="701">
        <f t="shared" si="0"/>
        <v>19.714276322997701</v>
      </c>
      <c r="G12" s="701">
        <f t="shared" si="1"/>
        <v>33.917474081055609</v>
      </c>
      <c r="H12" s="701">
        <f t="shared" si="2"/>
        <v>67.820751616084138</v>
      </c>
      <c r="I12" s="701">
        <f t="shared" si="3"/>
        <v>58.124246740440455</v>
      </c>
      <c r="J12" s="692">
        <f t="shared" si="4"/>
        <v>14.297253634894991</v>
      </c>
    </row>
    <row r="13" spans="1:10">
      <c r="A13" s="452">
        <v>1984</v>
      </c>
      <c r="B13" s="19">
        <f t="shared" si="5"/>
        <v>91612.800000000003</v>
      </c>
      <c r="C13" s="232">
        <f t="shared" si="6"/>
        <v>4585.5</v>
      </c>
      <c r="D13" s="232">
        <f t="shared" si="6"/>
        <v>3140.2</v>
      </c>
      <c r="E13" s="232">
        <f t="shared" si="6"/>
        <v>2725</v>
      </c>
      <c r="F13" s="701">
        <f t="shared" si="0"/>
        <v>19.978802747791953</v>
      </c>
      <c r="G13" s="701">
        <f t="shared" si="1"/>
        <v>33.619376146788994</v>
      </c>
      <c r="H13" s="701">
        <f t="shared" si="2"/>
        <v>68.481081670483036</v>
      </c>
      <c r="I13" s="701">
        <f t="shared" si="3"/>
        <v>59.426452949514776</v>
      </c>
      <c r="J13" s="692">
        <f t="shared" si="4"/>
        <v>13.222087765110496</v>
      </c>
    </row>
    <row r="14" spans="1:10">
      <c r="A14" s="452">
        <v>1985</v>
      </c>
      <c r="B14" s="19">
        <f t="shared" si="5"/>
        <v>95060.3</v>
      </c>
      <c r="C14" s="232">
        <f t="shared" si="6"/>
        <v>4609.5</v>
      </c>
      <c r="D14" s="232">
        <f t="shared" si="6"/>
        <v>3199.8</v>
      </c>
      <c r="E14" s="232">
        <f t="shared" si="6"/>
        <v>2801.5</v>
      </c>
      <c r="F14" s="701">
        <f t="shared" si="0"/>
        <v>20.62269226597245</v>
      </c>
      <c r="G14" s="701">
        <f t="shared" si="1"/>
        <v>33.931929323576654</v>
      </c>
      <c r="H14" s="701">
        <f t="shared" si="2"/>
        <v>69.417507321835345</v>
      </c>
      <c r="I14" s="701">
        <f t="shared" si="3"/>
        <v>60.77665690421955</v>
      </c>
      <c r="J14" s="692">
        <f t="shared" si="4"/>
        <v>12.447652978311149</v>
      </c>
    </row>
    <row r="15" spans="1:10">
      <c r="A15" s="452">
        <v>1986</v>
      </c>
      <c r="B15" s="19">
        <f t="shared" si="5"/>
        <v>97999.400000000009</v>
      </c>
      <c r="C15" s="232">
        <f t="shared" si="6"/>
        <v>4635.3999999999996</v>
      </c>
      <c r="D15" s="232">
        <f t="shared" si="6"/>
        <v>3263.7</v>
      </c>
      <c r="E15" s="232">
        <f t="shared" si="6"/>
        <v>2899.6</v>
      </c>
      <c r="F15" s="701">
        <f t="shared" si="0"/>
        <v>21.141519609958152</v>
      </c>
      <c r="G15" s="701">
        <f t="shared" si="1"/>
        <v>33.797558283901232</v>
      </c>
      <c r="H15" s="701">
        <f t="shared" si="2"/>
        <v>70.408163265306129</v>
      </c>
      <c r="I15" s="701">
        <f t="shared" si="3"/>
        <v>62.553393450403419</v>
      </c>
      <c r="J15" s="692">
        <f t="shared" si="4"/>
        <v>11.156049882035726</v>
      </c>
    </row>
    <row r="16" spans="1:10">
      <c r="A16" s="452">
        <v>1987</v>
      </c>
      <c r="B16" s="19">
        <f t="shared" si="5"/>
        <v>101329.7</v>
      </c>
      <c r="C16" s="232">
        <f t="shared" si="6"/>
        <v>4663.7</v>
      </c>
      <c r="D16" s="232">
        <f t="shared" si="6"/>
        <v>3332.5</v>
      </c>
      <c r="E16" s="232">
        <f t="shared" si="6"/>
        <v>2991.9</v>
      </c>
      <c r="F16" s="701">
        <f t="shared" si="0"/>
        <v>21.727319510260095</v>
      </c>
      <c r="G16" s="701">
        <f t="shared" si="1"/>
        <v>33.868010294461712</v>
      </c>
      <c r="H16" s="701">
        <f t="shared" si="2"/>
        <v>71.456139974698203</v>
      </c>
      <c r="I16" s="701">
        <f t="shared" si="3"/>
        <v>64.152925788537004</v>
      </c>
      <c r="J16" s="692">
        <f t="shared" si="4"/>
        <v>10.220555138784695</v>
      </c>
    </row>
    <row r="17" spans="1:10">
      <c r="A17" s="452">
        <v>1988</v>
      </c>
      <c r="B17" s="19">
        <f t="shared" si="5"/>
        <v>105724.9</v>
      </c>
      <c r="C17" s="232">
        <f t="shared" si="6"/>
        <v>4690.7</v>
      </c>
      <c r="D17" s="232">
        <f t="shared" si="6"/>
        <v>3369.3</v>
      </c>
      <c r="E17" s="232">
        <f t="shared" si="6"/>
        <v>3046.6</v>
      </c>
      <c r="F17" s="701">
        <f t="shared" si="0"/>
        <v>22.539258532841579</v>
      </c>
      <c r="G17" s="701">
        <f t="shared" si="1"/>
        <v>34.702586489857545</v>
      </c>
      <c r="H17" s="701">
        <f t="shared" si="2"/>
        <v>71.829364487176761</v>
      </c>
      <c r="I17" s="701">
        <f t="shared" si="3"/>
        <v>64.94979427377578</v>
      </c>
      <c r="J17" s="692">
        <f t="shared" si="4"/>
        <v>9.5776570801056664</v>
      </c>
    </row>
    <row r="18" spans="1:10">
      <c r="A18" s="452">
        <v>1989</v>
      </c>
      <c r="B18" s="19">
        <f t="shared" si="5"/>
        <v>107641.1</v>
      </c>
      <c r="C18" s="232">
        <f t="shared" si="6"/>
        <v>4722.8</v>
      </c>
      <c r="D18" s="232">
        <f t="shared" si="6"/>
        <v>3422.5</v>
      </c>
      <c r="E18" s="232">
        <f t="shared" si="6"/>
        <v>3090.5</v>
      </c>
      <c r="F18" s="701">
        <f t="shared" si="0"/>
        <v>22.791797238926062</v>
      </c>
      <c r="G18" s="701">
        <f t="shared" si="1"/>
        <v>34.829671574178938</v>
      </c>
      <c r="H18" s="701">
        <f t="shared" si="2"/>
        <v>72.467603963750321</v>
      </c>
      <c r="I18" s="701">
        <f t="shared" si="3"/>
        <v>65.437875836368249</v>
      </c>
      <c r="J18" s="692">
        <f t="shared" si="4"/>
        <v>9.7005113221329431</v>
      </c>
    </row>
    <row r="19" spans="1:10">
      <c r="A19" s="452">
        <v>1990</v>
      </c>
      <c r="B19" s="19">
        <f t="shared" si="5"/>
        <v>106005.79999999999</v>
      </c>
      <c r="C19" s="232">
        <f t="shared" si="6"/>
        <v>4762.8999999999996</v>
      </c>
      <c r="D19" s="232">
        <f t="shared" si="6"/>
        <v>3472.9</v>
      </c>
      <c r="E19" s="232">
        <f t="shared" si="6"/>
        <v>3108.1</v>
      </c>
      <c r="F19" s="701">
        <f t="shared" si="0"/>
        <v>22.256566377627074</v>
      </c>
      <c r="G19" s="701">
        <f t="shared" si="1"/>
        <v>34.106302886007526</v>
      </c>
      <c r="H19" s="701">
        <f t="shared" si="2"/>
        <v>72.915660626928982</v>
      </c>
      <c r="I19" s="701">
        <f t="shared" si="3"/>
        <v>65.256461399567485</v>
      </c>
      <c r="J19" s="692">
        <f t="shared" si="4"/>
        <v>10.504189582193561</v>
      </c>
    </row>
    <row r="20" spans="1:10">
      <c r="A20" s="452">
        <v>1991</v>
      </c>
      <c r="B20" s="19">
        <f t="shared" si="5"/>
        <v>102155.5</v>
      </c>
      <c r="C20" s="232">
        <f t="shared" si="6"/>
        <v>4798.5</v>
      </c>
      <c r="D20" s="232">
        <f t="shared" si="6"/>
        <v>3480.4</v>
      </c>
      <c r="E20" s="232">
        <f t="shared" si="6"/>
        <v>3055.5</v>
      </c>
      <c r="F20" s="701">
        <f t="shared" si="0"/>
        <v>21.289048661039907</v>
      </c>
      <c r="G20" s="701">
        <f t="shared" si="1"/>
        <v>33.433316969399442</v>
      </c>
      <c r="H20" s="701">
        <f t="shared" si="2"/>
        <v>72.530999270605406</v>
      </c>
      <c r="I20" s="701">
        <f t="shared" si="3"/>
        <v>63.676148796498907</v>
      </c>
      <c r="J20" s="692">
        <f t="shared" si="4"/>
        <v>12.208366854384556</v>
      </c>
    </row>
    <row r="21" spans="1:10">
      <c r="A21" s="452">
        <v>1992</v>
      </c>
      <c r="B21" s="19">
        <f t="shared" si="5"/>
        <v>99421</v>
      </c>
      <c r="C21" s="232">
        <f t="shared" si="6"/>
        <v>4829.3999999999996</v>
      </c>
      <c r="D21" s="232">
        <f t="shared" si="6"/>
        <v>3444.2</v>
      </c>
      <c r="E21" s="232">
        <f t="shared" si="6"/>
        <v>3004.1</v>
      </c>
      <c r="F21" s="701">
        <f t="shared" si="0"/>
        <v>20.586615314531826</v>
      </c>
      <c r="G21" s="701">
        <f t="shared" si="1"/>
        <v>33.095103358743053</v>
      </c>
      <c r="H21" s="701">
        <f t="shared" si="2"/>
        <v>71.317347910713551</v>
      </c>
      <c r="I21" s="701">
        <f t="shared" si="3"/>
        <v>62.204414627075835</v>
      </c>
      <c r="J21" s="692">
        <f t="shared" si="4"/>
        <v>12.7780036002555</v>
      </c>
    </row>
    <row r="22" spans="1:10">
      <c r="A22" s="452">
        <v>1993</v>
      </c>
      <c r="B22" s="19">
        <f t="shared" si="5"/>
        <v>100831.3</v>
      </c>
      <c r="C22" s="232">
        <f t="shared" ref="C22:E36" si="7">E63</f>
        <v>4859.2</v>
      </c>
      <c r="D22" s="232">
        <f t="shared" si="7"/>
        <v>3460.5</v>
      </c>
      <c r="E22" s="232">
        <f t="shared" si="7"/>
        <v>3001.1</v>
      </c>
      <c r="F22" s="701">
        <f t="shared" si="0"/>
        <v>20.750596806058613</v>
      </c>
      <c r="G22" s="701">
        <f t="shared" si="1"/>
        <v>33.598114024857551</v>
      </c>
      <c r="H22" s="701">
        <f t="shared" si="2"/>
        <v>71.215426407639114</v>
      </c>
      <c r="I22" s="701">
        <f t="shared" si="3"/>
        <v>61.761195258478764</v>
      </c>
      <c r="J22" s="692">
        <f t="shared" si="4"/>
        <v>13.275538217020664</v>
      </c>
    </row>
    <row r="23" spans="1:10">
      <c r="A23" s="452">
        <v>1994</v>
      </c>
      <c r="B23" s="19">
        <f t="shared" si="5"/>
        <v>105123.4</v>
      </c>
      <c r="C23" s="232">
        <f t="shared" si="7"/>
        <v>4885.3</v>
      </c>
      <c r="D23" s="232">
        <f t="shared" si="7"/>
        <v>3498.1</v>
      </c>
      <c r="E23" s="232">
        <f t="shared" si="7"/>
        <v>3065.2</v>
      </c>
      <c r="F23" s="701">
        <f t="shared" si="0"/>
        <v>21.518310032137226</v>
      </c>
      <c r="G23" s="701">
        <f t="shared" si="1"/>
        <v>34.295771890904348</v>
      </c>
      <c r="H23" s="701">
        <f t="shared" si="2"/>
        <v>71.604609747610169</v>
      </c>
      <c r="I23" s="701">
        <f t="shared" si="3"/>
        <v>62.7433320369271</v>
      </c>
      <c r="J23" s="692">
        <f t="shared" si="4"/>
        <v>12.375289442840403</v>
      </c>
    </row>
    <row r="24" spans="1:10">
      <c r="A24" s="452">
        <v>1995</v>
      </c>
      <c r="B24" s="19">
        <f t="shared" si="5"/>
        <v>105482.9</v>
      </c>
      <c r="C24" s="232">
        <f t="shared" si="7"/>
        <v>4911.7</v>
      </c>
      <c r="D24" s="232">
        <f t="shared" si="7"/>
        <v>3511.1</v>
      </c>
      <c r="E24" s="232">
        <f t="shared" si="7"/>
        <v>3107.5</v>
      </c>
      <c r="F24" s="701">
        <f t="shared" si="0"/>
        <v>21.475843394344118</v>
      </c>
      <c r="G24" s="701">
        <f t="shared" si="1"/>
        <v>33.944617860016088</v>
      </c>
      <c r="H24" s="701">
        <f t="shared" si="2"/>
        <v>71.484414764745409</v>
      </c>
      <c r="I24" s="701">
        <f t="shared" si="3"/>
        <v>63.267300527312344</v>
      </c>
      <c r="J24" s="692">
        <f t="shared" si="4"/>
        <v>11.494973085357863</v>
      </c>
    </row>
    <row r="25" spans="1:10">
      <c r="A25" s="452">
        <v>1996</v>
      </c>
      <c r="B25" s="19">
        <f t="shared" si="5"/>
        <v>104891.70000000001</v>
      </c>
      <c r="C25" s="232">
        <f t="shared" si="7"/>
        <v>4939.7</v>
      </c>
      <c r="D25" s="232">
        <f t="shared" si="7"/>
        <v>3516.6</v>
      </c>
      <c r="E25" s="232">
        <f t="shared" si="7"/>
        <v>3096.7</v>
      </c>
      <c r="F25" s="701">
        <f t="shared" si="0"/>
        <v>21.234427191934735</v>
      </c>
      <c r="G25" s="701">
        <f t="shared" si="1"/>
        <v>33.872089643814391</v>
      </c>
      <c r="H25" s="701">
        <f t="shared" si="2"/>
        <v>71.190558131060584</v>
      </c>
      <c r="I25" s="701">
        <f t="shared" si="3"/>
        <v>62.69004190537887</v>
      </c>
      <c r="J25" s="692">
        <f t="shared" si="4"/>
        <v>11.940510720582385</v>
      </c>
    </row>
    <row r="26" spans="1:10">
      <c r="A26" s="452">
        <v>1997</v>
      </c>
      <c r="B26" s="19">
        <f t="shared" si="5"/>
        <v>106191.90000000001</v>
      </c>
      <c r="C26" s="232">
        <f t="shared" si="7"/>
        <v>4956.3</v>
      </c>
      <c r="D26" s="232">
        <f t="shared" si="7"/>
        <v>3542.7</v>
      </c>
      <c r="E26" s="232">
        <f t="shared" si="7"/>
        <v>3134.8</v>
      </c>
      <c r="F26" s="701">
        <f t="shared" si="0"/>
        <v>21.42564009442528</v>
      </c>
      <c r="G26" s="701">
        <f t="shared" si="1"/>
        <v>33.875175449789459</v>
      </c>
      <c r="H26" s="701">
        <f t="shared" si="2"/>
        <v>71.478724048181093</v>
      </c>
      <c r="I26" s="701">
        <f t="shared" si="3"/>
        <v>63.248794463611965</v>
      </c>
      <c r="J26" s="692">
        <f t="shared" si="4"/>
        <v>11.513817145115297</v>
      </c>
    </row>
    <row r="27" spans="1:10">
      <c r="A27" s="452">
        <v>1998</v>
      </c>
      <c r="B27" s="19">
        <f t="shared" si="5"/>
        <v>107858.9</v>
      </c>
      <c r="C27" s="232">
        <f t="shared" si="7"/>
        <v>4973.7</v>
      </c>
      <c r="D27" s="232">
        <f t="shared" si="7"/>
        <v>3590.3</v>
      </c>
      <c r="E27" s="232">
        <f t="shared" si="7"/>
        <v>3217.7</v>
      </c>
      <c r="F27" s="701">
        <f t="shared" si="0"/>
        <v>21.685847558155899</v>
      </c>
      <c r="G27" s="701">
        <f t="shared" si="1"/>
        <v>33.520496006464242</v>
      </c>
      <c r="H27" s="701">
        <f t="shared" si="2"/>
        <v>72.185696764983817</v>
      </c>
      <c r="I27" s="701">
        <f t="shared" si="3"/>
        <v>64.694291975792666</v>
      </c>
      <c r="J27" s="692">
        <f t="shared" si="4"/>
        <v>10.377962844330566</v>
      </c>
    </row>
    <row r="28" spans="1:10">
      <c r="A28" s="452">
        <v>1999</v>
      </c>
      <c r="B28" s="19">
        <f t="shared" si="5"/>
        <v>113456.4</v>
      </c>
      <c r="C28" s="232">
        <f t="shared" si="7"/>
        <v>4997.8</v>
      </c>
      <c r="D28" s="232">
        <f t="shared" si="7"/>
        <v>3637.6</v>
      </c>
      <c r="E28" s="232">
        <f t="shared" si="7"/>
        <v>3296.3</v>
      </c>
      <c r="F28" s="701">
        <f t="shared" si="0"/>
        <v>22.701268558165591</v>
      </c>
      <c r="G28" s="701">
        <f t="shared" si="1"/>
        <v>34.419318629979067</v>
      </c>
      <c r="H28" s="701">
        <f t="shared" si="2"/>
        <v>72.784024970987232</v>
      </c>
      <c r="I28" s="701">
        <f t="shared" si="3"/>
        <v>65.955020208891909</v>
      </c>
      <c r="J28" s="692">
        <f t="shared" si="4"/>
        <v>9.3825599296239215</v>
      </c>
    </row>
    <row r="29" spans="1:10">
      <c r="A29" s="452">
        <v>2000</v>
      </c>
      <c r="B29" s="19">
        <f t="shared" si="5"/>
        <v>115716.5</v>
      </c>
      <c r="C29" s="232">
        <f t="shared" si="7"/>
        <v>5025.3</v>
      </c>
      <c r="D29" s="232">
        <f t="shared" si="7"/>
        <v>3689</v>
      </c>
      <c r="E29" s="232">
        <f t="shared" si="7"/>
        <v>3375.1</v>
      </c>
      <c r="F29" s="701">
        <f t="shared" si="0"/>
        <v>23.026784470578871</v>
      </c>
      <c r="G29" s="701">
        <f t="shared" si="1"/>
        <v>34.285354508014578</v>
      </c>
      <c r="H29" s="701">
        <f t="shared" si="2"/>
        <v>73.408552723220495</v>
      </c>
      <c r="I29" s="701">
        <f t="shared" si="3"/>
        <v>67.162159473066282</v>
      </c>
      <c r="J29" s="692">
        <f t="shared" si="4"/>
        <v>8.5090810517755511</v>
      </c>
    </row>
    <row r="30" spans="1:10">
      <c r="A30" s="452">
        <v>2001</v>
      </c>
      <c r="B30" s="19">
        <f t="shared" si="5"/>
        <v>113043.8</v>
      </c>
      <c r="C30" s="232">
        <f t="shared" si="7"/>
        <v>5059.3999999999996</v>
      </c>
      <c r="D30" s="232">
        <f t="shared" si="7"/>
        <v>3736.2</v>
      </c>
      <c r="E30" s="232">
        <f t="shared" si="7"/>
        <v>3407.2</v>
      </c>
      <c r="F30" s="701">
        <f t="shared" si="0"/>
        <v>22.343321342451677</v>
      </c>
      <c r="G30" s="701">
        <f t="shared" si="1"/>
        <v>33.177917351490962</v>
      </c>
      <c r="H30" s="701">
        <f t="shared" si="2"/>
        <v>73.846701189864419</v>
      </c>
      <c r="I30" s="701">
        <f t="shared" si="3"/>
        <v>67.343953828517215</v>
      </c>
      <c r="J30" s="692">
        <f t="shared" si="4"/>
        <v>8.805738450832397</v>
      </c>
    </row>
    <row r="31" spans="1:10">
      <c r="A31" s="452">
        <v>2002</v>
      </c>
      <c r="B31" s="19">
        <f t="shared" si="5"/>
        <v>117234.59999999999</v>
      </c>
      <c r="C31" s="232">
        <f t="shared" si="7"/>
        <v>5098</v>
      </c>
      <c r="D31" s="232">
        <f t="shared" si="7"/>
        <v>3867.8</v>
      </c>
      <c r="E31" s="232">
        <f t="shared" si="7"/>
        <v>3531.8</v>
      </c>
      <c r="F31" s="701">
        <f t="shared" si="0"/>
        <v>22.9961945861122</v>
      </c>
      <c r="G31" s="701">
        <f t="shared" si="1"/>
        <v>33.194008720765609</v>
      </c>
      <c r="H31" s="701">
        <f t="shared" si="2"/>
        <v>75.868968222832493</v>
      </c>
      <c r="I31" s="701">
        <f t="shared" si="3"/>
        <v>69.27814829344841</v>
      </c>
      <c r="J31" s="692">
        <f t="shared" si="4"/>
        <v>8.6871089508247579</v>
      </c>
    </row>
    <row r="32" spans="1:10">
      <c r="A32" s="452">
        <v>2003</v>
      </c>
      <c r="B32" s="19">
        <f t="shared" si="5"/>
        <v>116322.8</v>
      </c>
      <c r="C32" s="232">
        <f t="shared" si="7"/>
        <v>5132.6000000000004</v>
      </c>
      <c r="D32" s="232">
        <f t="shared" si="7"/>
        <v>3944.7</v>
      </c>
      <c r="E32" s="232">
        <f t="shared" si="7"/>
        <v>3583.2</v>
      </c>
      <c r="F32" s="701">
        <f t="shared" si="0"/>
        <v>22.663523360480067</v>
      </c>
      <c r="G32" s="701">
        <f t="shared" si="1"/>
        <v>32.463384684081269</v>
      </c>
      <c r="H32" s="701">
        <f t="shared" si="2"/>
        <v>76.855784592604124</v>
      </c>
      <c r="I32" s="701">
        <f t="shared" si="3"/>
        <v>69.812570626972686</v>
      </c>
      <c r="J32" s="692">
        <f t="shared" si="4"/>
        <v>9.1641949958171729</v>
      </c>
    </row>
    <row r="33" spans="1:10">
      <c r="A33" s="452">
        <v>2004</v>
      </c>
      <c r="B33" s="19">
        <f t="shared" si="5"/>
        <v>119121</v>
      </c>
      <c r="C33" s="232">
        <f t="shared" si="7"/>
        <v>5174.8999999999996</v>
      </c>
      <c r="D33" s="232">
        <f t="shared" si="7"/>
        <v>3972.4</v>
      </c>
      <c r="E33" s="232">
        <f t="shared" si="7"/>
        <v>3631</v>
      </c>
      <c r="F33" s="701">
        <f t="shared" si="0"/>
        <v>23.018995536145628</v>
      </c>
      <c r="G33" s="701">
        <f t="shared" si="1"/>
        <v>32.806664830625174</v>
      </c>
      <c r="H33" s="701">
        <f t="shared" si="2"/>
        <v>76.762835996830873</v>
      </c>
      <c r="I33" s="701">
        <f t="shared" si="3"/>
        <v>70.165607064870827</v>
      </c>
      <c r="J33" s="692">
        <f t="shared" si="4"/>
        <v>8.5943006746551234</v>
      </c>
    </row>
    <row r="34" spans="1:10">
      <c r="A34" s="452">
        <v>2005</v>
      </c>
      <c r="B34" s="19">
        <f t="shared" si="5"/>
        <v>120985</v>
      </c>
      <c r="C34" s="232">
        <f t="shared" si="7"/>
        <v>5221.3</v>
      </c>
      <c r="D34" s="232">
        <f t="shared" si="7"/>
        <v>3995.7</v>
      </c>
      <c r="E34" s="232">
        <f t="shared" si="7"/>
        <v>3662.6</v>
      </c>
      <c r="F34" s="702">
        <f t="shared" si="0"/>
        <v>23.171432401892247</v>
      </c>
      <c r="G34" s="702">
        <f t="shared" si="1"/>
        <v>33.032545186479553</v>
      </c>
      <c r="H34" s="702">
        <f t="shared" si="2"/>
        <v>76.526918583494535</v>
      </c>
      <c r="I34" s="702">
        <f t="shared" si="3"/>
        <v>70.147281328404802</v>
      </c>
      <c r="J34" s="692">
        <f t="shared" si="4"/>
        <v>8.3364616963235463</v>
      </c>
    </row>
    <row r="35" spans="1:10" s="703" customFormat="1">
      <c r="A35" s="452">
        <v>2006</v>
      </c>
      <c r="B35" s="19">
        <f t="shared" si="5"/>
        <v>120898.1</v>
      </c>
      <c r="C35" s="232">
        <f t="shared" si="7"/>
        <v>5262.1</v>
      </c>
      <c r="D35" s="232">
        <f t="shared" si="7"/>
        <v>4031</v>
      </c>
      <c r="E35" s="232">
        <f t="shared" si="7"/>
        <v>3706.5</v>
      </c>
      <c r="F35" s="702">
        <f>B35/C35</f>
        <v>22.975257026662359</v>
      </c>
      <c r="G35" s="702">
        <f>B35/E35</f>
        <v>32.617860515310944</v>
      </c>
      <c r="H35" s="702">
        <f>D35/C35*100</f>
        <v>76.60439748389426</v>
      </c>
      <c r="I35" s="702">
        <f>E35/C35*100</f>
        <v>70.437657969251816</v>
      </c>
      <c r="J35" s="692">
        <f>(D35-E35)/D35*100</f>
        <v>8.050111634830067</v>
      </c>
    </row>
    <row r="36" spans="1:10" s="703" customFormat="1">
      <c r="A36" s="452">
        <v>2007</v>
      </c>
      <c r="B36" s="19">
        <f t="shared" si="5"/>
        <v>121670.40000000001</v>
      </c>
      <c r="C36" s="232">
        <f t="shared" si="7"/>
        <v>5292.6</v>
      </c>
      <c r="D36" s="232">
        <f t="shared" si="7"/>
        <v>4083</v>
      </c>
      <c r="E36" s="232">
        <f t="shared" si="7"/>
        <v>3787.1</v>
      </c>
      <c r="F36" s="702">
        <f>B36/C36</f>
        <v>22.9887767826777</v>
      </c>
      <c r="G36" s="702">
        <f>B36/E36</f>
        <v>32.127591032716332</v>
      </c>
      <c r="H36" s="702">
        <f>D36/C36*100</f>
        <v>77.145448361863728</v>
      </c>
      <c r="I36" s="702">
        <f>E36/C36*100</f>
        <v>71.554623436496229</v>
      </c>
      <c r="J36" s="692">
        <f>(D36-E36)/D36*100</f>
        <v>7.247122214058292</v>
      </c>
    </row>
    <row r="37" spans="1:10" s="703" customFormat="1">
      <c r="A37" s="452">
        <v>2008</v>
      </c>
      <c r="B37" s="19">
        <v>123913.5</v>
      </c>
      <c r="C37" s="232">
        <v>5316.2</v>
      </c>
      <c r="D37" s="232">
        <v>4109.8999999999996</v>
      </c>
      <c r="E37" s="232">
        <v>3809.8</v>
      </c>
      <c r="F37" s="702">
        <f>B37/C37</f>
        <v>23.308660321282119</v>
      </c>
      <c r="G37" s="702">
        <f>B37/E37</f>
        <v>32.524935692162316</v>
      </c>
      <c r="H37" s="702">
        <f>D37/C37*100</f>
        <v>77.308980098566636</v>
      </c>
      <c r="I37" s="702">
        <f>E37/C37*100</f>
        <v>71.663970505248116</v>
      </c>
      <c r="J37" s="692">
        <f>(D37-E37)/D37*100</f>
        <v>7.3018808243509454</v>
      </c>
    </row>
    <row r="38" spans="1:10">
      <c r="A38" s="452"/>
      <c r="B38" s="704"/>
      <c r="C38" s="704" t="s">
        <v>427</v>
      </c>
      <c r="D38" s="704"/>
      <c r="E38" s="454"/>
      <c r="F38" s="705"/>
      <c r="G38" s="705" t="s">
        <v>897</v>
      </c>
      <c r="H38" s="705"/>
      <c r="I38" s="705"/>
      <c r="J38" s="704"/>
    </row>
    <row r="39" spans="1:10">
      <c r="A39" s="454" t="s">
        <v>1716</v>
      </c>
      <c r="B39" s="706">
        <f>(POWER(B37/B5, 1/32)-1)*100</f>
        <v>1.0352659652702823</v>
      </c>
      <c r="C39" s="706">
        <f>(POWER(C37/C5, 1/32)-1)*100</f>
        <v>0.67614501595627541</v>
      </c>
      <c r="D39" s="706">
        <f>(POWER(D37/D5, 1/32)-1)*100</f>
        <v>1.2653757684473632</v>
      </c>
      <c r="E39" s="707">
        <f>(POWER(E37/E5, 1/32)-1)*100</f>
        <v>1.3162434247621757</v>
      </c>
      <c r="F39" s="708">
        <f>F37-F5</f>
        <v>2.5101539035458309</v>
      </c>
      <c r="G39" s="708">
        <f>G37-G5</f>
        <v>-3.022748883642393</v>
      </c>
      <c r="H39" s="708">
        <f>H37-H5</f>
        <v>13.168956761343765</v>
      </c>
      <c r="I39" s="708">
        <f>I37-I5</f>
        <v>13.155219046671689</v>
      </c>
      <c r="J39" s="708">
        <f>J37-J5</f>
        <v>-1.4777727922987474</v>
      </c>
    </row>
    <row r="40" spans="1:10">
      <c r="A40" s="454" t="s">
        <v>1707</v>
      </c>
      <c r="B40" s="706">
        <f>(POWER(B37/B10, 1/27)-1)*100</f>
        <v>1.05258132219197</v>
      </c>
      <c r="C40" s="706">
        <f>(POWER(C37/C10, 1/27)-1)*100</f>
        <v>0.60816784945187941</v>
      </c>
      <c r="D40" s="706">
        <f>(POWER(D37/D10, 1/27)-1)*100</f>
        <v>1.0669680414722382</v>
      </c>
      <c r="E40" s="707">
        <f>(POWER(E37/E10, 1/27)-1)*100</f>
        <v>1.2038822579057529</v>
      </c>
      <c r="F40" s="708">
        <f>F37-F10</f>
        <v>2.6151255138198906</v>
      </c>
      <c r="G40" s="708">
        <f>G37-G10</f>
        <v>-1.3407592206336574</v>
      </c>
      <c r="H40" s="708">
        <f>H37-H10</f>
        <v>8.9370210433089596</v>
      </c>
      <c r="I40" s="708">
        <f>I37-I10</f>
        <v>10.559260087381311</v>
      </c>
      <c r="J40" s="708">
        <f>J37-J10</f>
        <v>-3.3271090975519027</v>
      </c>
    </row>
    <row r="42" spans="1:10">
      <c r="A42" s="449" t="s">
        <v>899</v>
      </c>
    </row>
    <row r="43" spans="1:10">
      <c r="A43" s="449" t="s">
        <v>1717</v>
      </c>
    </row>
    <row r="45" spans="1:10" ht="15">
      <c r="A45" s="903" t="s">
        <v>163</v>
      </c>
      <c r="B45" s="904" t="s">
        <v>1437</v>
      </c>
      <c r="C45" s="904" t="s">
        <v>1438</v>
      </c>
      <c r="D45" s="904" t="s">
        <v>1439</v>
      </c>
      <c r="E45" s="905" t="s">
        <v>1467</v>
      </c>
      <c r="F45" s="905" t="s">
        <v>1468</v>
      </c>
      <c r="G45" s="905" t="s">
        <v>1469</v>
      </c>
    </row>
    <row r="46" spans="1:10" ht="15">
      <c r="A46" s="903">
        <v>1976</v>
      </c>
      <c r="B46" s="904">
        <v>22219</v>
      </c>
      <c r="C46" s="904">
        <v>58683.7</v>
      </c>
      <c r="D46" s="904">
        <v>8218.9</v>
      </c>
      <c r="E46" s="905">
        <v>4285</v>
      </c>
      <c r="F46" s="905">
        <v>2748.4</v>
      </c>
      <c r="G46" s="905">
        <v>2507.1</v>
      </c>
    </row>
    <row r="47" spans="1:10" ht="15">
      <c r="A47" s="903">
        <v>1977</v>
      </c>
      <c r="B47" s="904">
        <v>21638.799999999999</v>
      </c>
      <c r="C47" s="904">
        <v>59138.5</v>
      </c>
      <c r="D47" s="904">
        <v>7964.1</v>
      </c>
      <c r="E47" s="905">
        <v>4340.6000000000004</v>
      </c>
      <c r="F47" s="905">
        <v>2814.2</v>
      </c>
      <c r="G47" s="905">
        <v>2518.8000000000002</v>
      </c>
    </row>
    <row r="48" spans="1:10" ht="15">
      <c r="A48" s="903">
        <v>1978</v>
      </c>
      <c r="B48" s="904">
        <v>22029.5</v>
      </c>
      <c r="C48" s="904">
        <v>60501.2</v>
      </c>
      <c r="D48" s="904">
        <v>8194</v>
      </c>
      <c r="E48" s="905">
        <v>4380.7</v>
      </c>
      <c r="F48" s="905">
        <v>2880.2</v>
      </c>
      <c r="G48" s="905">
        <v>2559.6999999999998</v>
      </c>
    </row>
    <row r="49" spans="1:7" ht="15">
      <c r="A49" s="903">
        <v>1979</v>
      </c>
      <c r="B49" s="904">
        <v>22464.6</v>
      </c>
      <c r="C49" s="904">
        <v>61684.6</v>
      </c>
      <c r="D49" s="904">
        <v>8243.7000000000007</v>
      </c>
      <c r="E49" s="905">
        <v>4426.3</v>
      </c>
      <c r="F49" s="905">
        <v>2947.1</v>
      </c>
      <c r="G49" s="905">
        <v>2657.4</v>
      </c>
    </row>
    <row r="50" spans="1:7" ht="15">
      <c r="A50" s="903">
        <v>1980</v>
      </c>
      <c r="B50" s="904">
        <v>22244.3</v>
      </c>
      <c r="C50" s="904">
        <v>62493.3</v>
      </c>
      <c r="D50" s="904">
        <v>8619.2000000000007</v>
      </c>
      <c r="E50" s="905">
        <v>4474.7</v>
      </c>
      <c r="F50" s="905">
        <v>3027.6</v>
      </c>
      <c r="G50" s="905">
        <v>2721.5</v>
      </c>
    </row>
    <row r="51" spans="1:7" ht="15">
      <c r="A51" s="903">
        <v>1981</v>
      </c>
      <c r="B51" s="904">
        <v>21395.1</v>
      </c>
      <c r="C51" s="904">
        <v>63537</v>
      </c>
      <c r="D51" s="904">
        <v>8466.1</v>
      </c>
      <c r="E51" s="905">
        <v>4513.3999999999996</v>
      </c>
      <c r="F51" s="905">
        <v>3085.9</v>
      </c>
      <c r="G51" s="905">
        <v>2757.9</v>
      </c>
    </row>
    <row r="52" spans="1:7" ht="15">
      <c r="A52" s="903">
        <v>1982</v>
      </c>
      <c r="B52" s="904">
        <v>18057.3</v>
      </c>
      <c r="C52" s="904">
        <v>61823.3</v>
      </c>
      <c r="D52" s="904">
        <v>8043.6</v>
      </c>
      <c r="E52" s="905">
        <v>4542.1000000000004</v>
      </c>
      <c r="F52" s="905">
        <v>3033.4</v>
      </c>
      <c r="G52" s="905">
        <v>2604.9</v>
      </c>
    </row>
    <row r="53" spans="1:7" ht="15">
      <c r="A53" s="903">
        <v>1983</v>
      </c>
      <c r="B53" s="904">
        <v>18121.400000000001</v>
      </c>
      <c r="C53" s="904">
        <v>63604.1</v>
      </c>
      <c r="D53" s="904">
        <v>8240.6</v>
      </c>
      <c r="E53" s="905">
        <v>4563.5</v>
      </c>
      <c r="F53" s="905">
        <v>3095</v>
      </c>
      <c r="G53" s="905">
        <v>2652.5</v>
      </c>
    </row>
    <row r="54" spans="1:7" ht="15">
      <c r="A54" s="903">
        <v>1984</v>
      </c>
      <c r="B54" s="904">
        <v>18118.900000000001</v>
      </c>
      <c r="C54" s="904">
        <v>65646.2</v>
      </c>
      <c r="D54" s="904">
        <v>7847.7</v>
      </c>
      <c r="E54" s="905">
        <v>4585.5</v>
      </c>
      <c r="F54" s="905">
        <v>3140.2</v>
      </c>
      <c r="G54" s="905">
        <v>2725</v>
      </c>
    </row>
    <row r="55" spans="1:7" ht="15">
      <c r="A55" s="903">
        <v>1985</v>
      </c>
      <c r="B55" s="904">
        <v>17886.900000000001</v>
      </c>
      <c r="C55" s="904">
        <v>69113.2</v>
      </c>
      <c r="D55" s="904">
        <v>8060.2</v>
      </c>
      <c r="E55" s="905">
        <v>4609.5</v>
      </c>
      <c r="F55" s="905">
        <v>3199.8</v>
      </c>
      <c r="G55" s="905">
        <v>2801.5</v>
      </c>
    </row>
    <row r="56" spans="1:7" ht="15">
      <c r="A56" s="903">
        <v>1986</v>
      </c>
      <c r="B56" s="904">
        <v>17923.900000000001</v>
      </c>
      <c r="C56" s="904">
        <v>72122.7</v>
      </c>
      <c r="D56" s="904">
        <v>7952.8</v>
      </c>
      <c r="E56" s="905">
        <v>4635.3999999999996</v>
      </c>
      <c r="F56" s="905">
        <v>3263.7</v>
      </c>
      <c r="G56" s="905">
        <v>2899.6</v>
      </c>
    </row>
    <row r="57" spans="1:7" ht="15">
      <c r="A57" s="903">
        <v>1987</v>
      </c>
      <c r="B57" s="904">
        <v>18310.3</v>
      </c>
      <c r="C57" s="904">
        <v>75004.2</v>
      </c>
      <c r="D57" s="904">
        <v>8015.2</v>
      </c>
      <c r="E57" s="905">
        <v>4663.7</v>
      </c>
      <c r="F57" s="905">
        <v>3332.5</v>
      </c>
      <c r="G57" s="905">
        <v>2991.9</v>
      </c>
    </row>
    <row r="58" spans="1:7" ht="15">
      <c r="A58" s="903">
        <v>1988</v>
      </c>
      <c r="B58" s="904">
        <v>18083.7</v>
      </c>
      <c r="C58" s="904">
        <v>79250.899999999994</v>
      </c>
      <c r="D58" s="904">
        <v>8390.2999999999993</v>
      </c>
      <c r="E58" s="905">
        <v>4690.7</v>
      </c>
      <c r="F58" s="905">
        <v>3369.3</v>
      </c>
      <c r="G58" s="905">
        <v>3046.6</v>
      </c>
    </row>
    <row r="59" spans="1:7" ht="15">
      <c r="A59" s="903">
        <v>1989</v>
      </c>
      <c r="B59" s="904">
        <v>17518.3</v>
      </c>
      <c r="C59" s="904">
        <v>81963.7</v>
      </c>
      <c r="D59" s="904">
        <v>8159.1</v>
      </c>
      <c r="E59" s="905">
        <v>4722.8</v>
      </c>
      <c r="F59" s="905">
        <v>3422.5</v>
      </c>
      <c r="G59" s="905">
        <v>3090.5</v>
      </c>
    </row>
    <row r="60" spans="1:7" ht="15">
      <c r="A60" s="903">
        <v>1990</v>
      </c>
      <c r="B60" s="904">
        <v>15883.9</v>
      </c>
      <c r="C60" s="904">
        <v>81861.5</v>
      </c>
      <c r="D60" s="904">
        <v>8260.4</v>
      </c>
      <c r="E60" s="905">
        <v>4762.8999999999996</v>
      </c>
      <c r="F60" s="905">
        <v>3472.9</v>
      </c>
      <c r="G60" s="905">
        <v>3108.1</v>
      </c>
    </row>
    <row r="61" spans="1:7" ht="15">
      <c r="A61" s="903">
        <v>1991</v>
      </c>
      <c r="B61" s="904">
        <v>13928</v>
      </c>
      <c r="C61" s="904">
        <v>80277.2</v>
      </c>
      <c r="D61" s="904">
        <v>7950.3</v>
      </c>
      <c r="E61" s="905">
        <v>4798.5</v>
      </c>
      <c r="F61" s="905">
        <v>3480.4</v>
      </c>
      <c r="G61" s="905">
        <v>3055.5</v>
      </c>
    </row>
    <row r="62" spans="1:7" ht="15">
      <c r="A62" s="903">
        <v>1992</v>
      </c>
      <c r="B62" s="904">
        <v>12796.3</v>
      </c>
      <c r="C62" s="904">
        <v>79022.7</v>
      </c>
      <c r="D62" s="904">
        <v>7602</v>
      </c>
      <c r="E62" s="905">
        <v>4829.3999999999996</v>
      </c>
      <c r="F62" s="905">
        <v>3444.2</v>
      </c>
      <c r="G62" s="905">
        <v>3004.1</v>
      </c>
    </row>
    <row r="63" spans="1:7" ht="15">
      <c r="A63" s="903">
        <v>1993</v>
      </c>
      <c r="B63" s="904">
        <v>12235.5</v>
      </c>
      <c r="C63" s="904">
        <v>80867</v>
      </c>
      <c r="D63" s="904">
        <v>7728.8</v>
      </c>
      <c r="E63" s="905">
        <v>4859.2</v>
      </c>
      <c r="F63" s="905">
        <v>3460.5</v>
      </c>
      <c r="G63" s="905">
        <v>3001.1</v>
      </c>
    </row>
    <row r="64" spans="1:7" ht="15">
      <c r="A64" s="903">
        <v>1994</v>
      </c>
      <c r="B64" s="904">
        <v>12948.7</v>
      </c>
      <c r="C64" s="904">
        <v>84144.3</v>
      </c>
      <c r="D64" s="904">
        <v>8030.4</v>
      </c>
      <c r="E64" s="905">
        <v>4885.3</v>
      </c>
      <c r="F64" s="905">
        <v>3498.1</v>
      </c>
      <c r="G64" s="905">
        <v>3065.2</v>
      </c>
    </row>
    <row r="65" spans="1:7" ht="15">
      <c r="A65" s="903">
        <v>1995</v>
      </c>
      <c r="B65" s="904">
        <v>12927.2</v>
      </c>
      <c r="C65" s="904">
        <v>84648.9</v>
      </c>
      <c r="D65" s="904">
        <v>7906.8</v>
      </c>
      <c r="E65" s="905">
        <v>4911.7</v>
      </c>
      <c r="F65" s="905">
        <v>3511.1</v>
      </c>
      <c r="G65" s="905">
        <v>3107.5</v>
      </c>
    </row>
    <row r="66" spans="1:7" ht="15">
      <c r="A66" s="903">
        <v>1996</v>
      </c>
      <c r="B66" s="904">
        <v>12277.1</v>
      </c>
      <c r="C66" s="904">
        <v>84582.6</v>
      </c>
      <c r="D66" s="904">
        <v>8032</v>
      </c>
      <c r="E66" s="905">
        <v>4939.7</v>
      </c>
      <c r="F66" s="905">
        <v>3516.6</v>
      </c>
      <c r="G66" s="905">
        <v>3096.7</v>
      </c>
    </row>
    <row r="67" spans="1:7" ht="15">
      <c r="A67" s="903">
        <v>1997</v>
      </c>
      <c r="B67" s="904">
        <v>11884.1</v>
      </c>
      <c r="C67" s="904">
        <v>85706.3</v>
      </c>
      <c r="D67" s="904">
        <v>8601.5</v>
      </c>
      <c r="E67" s="905">
        <v>4956.3</v>
      </c>
      <c r="F67" s="905">
        <v>3542.7</v>
      </c>
      <c r="G67" s="905">
        <v>3134.8</v>
      </c>
    </row>
    <row r="68" spans="1:7" ht="15">
      <c r="A68" s="903">
        <v>1998</v>
      </c>
      <c r="B68" s="904">
        <v>12589.7</v>
      </c>
      <c r="C68" s="904">
        <v>86650.8</v>
      </c>
      <c r="D68" s="904">
        <v>8618.4</v>
      </c>
      <c r="E68" s="905">
        <v>4973.7</v>
      </c>
      <c r="F68" s="905">
        <v>3590.3</v>
      </c>
      <c r="G68" s="905">
        <v>3217.7</v>
      </c>
    </row>
    <row r="69" spans="1:7" ht="15">
      <c r="A69" s="903">
        <v>1999</v>
      </c>
      <c r="B69" s="904">
        <v>13707.2</v>
      </c>
      <c r="C69" s="904">
        <v>90077.7</v>
      </c>
      <c r="D69" s="904">
        <v>9671.5</v>
      </c>
      <c r="E69" s="905">
        <v>4997.8</v>
      </c>
      <c r="F69" s="905">
        <v>3637.6</v>
      </c>
      <c r="G69" s="905">
        <v>3296.3</v>
      </c>
    </row>
    <row r="70" spans="1:7" ht="15">
      <c r="A70" s="903">
        <v>2000</v>
      </c>
      <c r="B70" s="904">
        <v>14539.4</v>
      </c>
      <c r="C70" s="904">
        <v>91007.5</v>
      </c>
      <c r="D70" s="904">
        <v>10169.6</v>
      </c>
      <c r="E70" s="905">
        <v>5025.3</v>
      </c>
      <c r="F70" s="905">
        <v>3689</v>
      </c>
      <c r="G70" s="905">
        <v>3375.1</v>
      </c>
    </row>
    <row r="71" spans="1:7" ht="15">
      <c r="A71" s="903">
        <v>2001</v>
      </c>
      <c r="B71" s="904">
        <v>14559.6</v>
      </c>
      <c r="C71" s="904">
        <v>88391.3</v>
      </c>
      <c r="D71" s="904">
        <v>10092.9</v>
      </c>
      <c r="E71" s="905">
        <v>5059.3999999999996</v>
      </c>
      <c r="F71" s="905">
        <v>3736.2</v>
      </c>
      <c r="G71" s="905">
        <v>3407.2</v>
      </c>
    </row>
    <row r="72" spans="1:7" ht="15">
      <c r="A72" s="903">
        <v>2002</v>
      </c>
      <c r="B72" s="904">
        <v>15191.7</v>
      </c>
      <c r="C72" s="904">
        <v>90675.7</v>
      </c>
      <c r="D72" s="904">
        <v>11367.2</v>
      </c>
      <c r="E72" s="905">
        <v>5098</v>
      </c>
      <c r="F72" s="905">
        <v>3867.8</v>
      </c>
      <c r="G72" s="905">
        <v>3531.8</v>
      </c>
    </row>
    <row r="73" spans="1:7" ht="15">
      <c r="A73" s="903">
        <v>2003</v>
      </c>
      <c r="B73" s="904">
        <v>15059.9</v>
      </c>
      <c r="C73" s="904">
        <v>89029.3</v>
      </c>
      <c r="D73" s="904">
        <v>12233.6</v>
      </c>
      <c r="E73" s="905">
        <v>5132.6000000000004</v>
      </c>
      <c r="F73" s="905">
        <v>3944.7</v>
      </c>
      <c r="G73" s="905">
        <v>3583.2</v>
      </c>
    </row>
    <row r="74" spans="1:7" ht="15">
      <c r="A74" s="903">
        <v>2004</v>
      </c>
      <c r="B74" s="904">
        <v>14801.3</v>
      </c>
      <c r="C74" s="904">
        <v>91104.7</v>
      </c>
      <c r="D74" s="904">
        <v>13215</v>
      </c>
      <c r="E74" s="905">
        <v>5174.8999999999996</v>
      </c>
      <c r="F74" s="905">
        <v>3972.4</v>
      </c>
      <c r="G74" s="905">
        <v>3631</v>
      </c>
    </row>
    <row r="75" spans="1:7" ht="15">
      <c r="A75" s="903">
        <v>2005</v>
      </c>
      <c r="B75" s="904">
        <v>14668.6</v>
      </c>
      <c r="C75" s="904">
        <v>92417</v>
      </c>
      <c r="D75" s="904">
        <v>13899.4</v>
      </c>
      <c r="E75" s="905">
        <v>5221.3</v>
      </c>
      <c r="F75" s="905">
        <v>3995.7</v>
      </c>
      <c r="G75" s="905">
        <v>3662.6</v>
      </c>
    </row>
    <row r="76" spans="1:7" ht="15">
      <c r="A76" s="903">
        <v>2006</v>
      </c>
      <c r="B76" s="904">
        <v>14447.1</v>
      </c>
      <c r="C76" s="904">
        <v>92115.9</v>
      </c>
      <c r="D76" s="904">
        <v>14335.1</v>
      </c>
      <c r="E76" s="905">
        <v>5262.1</v>
      </c>
      <c r="F76" s="905">
        <v>4031</v>
      </c>
      <c r="G76" s="905">
        <v>3706.5</v>
      </c>
    </row>
    <row r="77" spans="1:7" ht="15">
      <c r="A77" s="903">
        <v>2007</v>
      </c>
      <c r="B77" s="904">
        <v>14303.6</v>
      </c>
      <c r="C77" s="904">
        <v>92201</v>
      </c>
      <c r="D77" s="904">
        <v>15165.8</v>
      </c>
      <c r="E77" s="905">
        <v>5292.6</v>
      </c>
      <c r="F77" s="905">
        <v>4083</v>
      </c>
      <c r="G77" s="905">
        <v>3787.1</v>
      </c>
    </row>
  </sheetData>
  <phoneticPr fontId="36" type="noConversion"/>
  <pageMargins left="0.75" right="0.75" top="1" bottom="1" header="0.5" footer="0.5"/>
  <pageSetup scale="89" orientation="portrait" r:id="rId1"/>
  <headerFooter alignWithMargins="0"/>
</worksheet>
</file>

<file path=xl/worksheets/sheet191.xml><?xml version="1.0" encoding="utf-8"?>
<worksheet xmlns="http://schemas.openxmlformats.org/spreadsheetml/2006/main" xmlns:r="http://schemas.openxmlformats.org/officeDocument/2006/relationships">
  <sheetPr codeName="Sheet163">
    <pageSetUpPr fitToPage="1"/>
  </sheetPr>
  <dimension ref="A1:K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2235</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128207.3</v>
      </c>
      <c r="C5" s="232">
        <f>E46</f>
        <v>5514.1</v>
      </c>
      <c r="D5" s="232">
        <f>F46</f>
        <v>3915.6</v>
      </c>
      <c r="E5" s="232">
        <f>G46</f>
        <v>3672.4</v>
      </c>
      <c r="F5" s="701">
        <f t="shared" ref="F5:F34" si="0">B5/C5</f>
        <v>23.2508115558296</v>
      </c>
      <c r="G5" s="701">
        <f t="shared" ref="G5:G34" si="1">B5/E5</f>
        <v>34.911039102494279</v>
      </c>
      <c r="H5" s="701">
        <f t="shared" ref="H5:H34" si="2">D5/C5*100</f>
        <v>71.010681706896861</v>
      </c>
      <c r="I5" s="701">
        <f t="shared" ref="I5:I34" si="3">E5/C5*100</f>
        <v>66.60017047206253</v>
      </c>
      <c r="J5" s="692">
        <f t="shared" ref="J5:J34" si="4">(D5-E5)/D5*100</f>
        <v>6.2110532230054094</v>
      </c>
    </row>
    <row r="6" spans="1:10">
      <c r="A6" s="452">
        <v>1977</v>
      </c>
      <c r="B6" s="19">
        <f t="shared" ref="B6:B36" si="5">SUM(B47:D47)</f>
        <v>131089.60000000001</v>
      </c>
      <c r="C6" s="232">
        <f t="shared" ref="C6:E21" si="6">E47</f>
        <v>5622.1</v>
      </c>
      <c r="D6" s="232">
        <f t="shared" si="6"/>
        <v>4022.7</v>
      </c>
      <c r="E6" s="232">
        <f t="shared" si="6"/>
        <v>3742</v>
      </c>
      <c r="F6" s="701">
        <f t="shared" si="0"/>
        <v>23.316838903612528</v>
      </c>
      <c r="G6" s="701">
        <f t="shared" si="1"/>
        <v>35.031961517904868</v>
      </c>
      <c r="H6" s="701">
        <f t="shared" si="2"/>
        <v>71.551555468597144</v>
      </c>
      <c r="I6" s="701">
        <f t="shared" si="3"/>
        <v>66.558759182511878</v>
      </c>
      <c r="J6" s="692">
        <f t="shared" si="4"/>
        <v>6.9779004151440533</v>
      </c>
    </row>
    <row r="7" spans="1:10">
      <c r="A7" s="452">
        <v>1978</v>
      </c>
      <c r="B7" s="19">
        <f t="shared" si="5"/>
        <v>136788.79999999999</v>
      </c>
      <c r="C7" s="232">
        <f t="shared" si="6"/>
        <v>5726.3</v>
      </c>
      <c r="D7" s="232">
        <f t="shared" si="6"/>
        <v>4163.3999999999996</v>
      </c>
      <c r="E7" s="232">
        <f t="shared" si="6"/>
        <v>3859.9</v>
      </c>
      <c r="F7" s="701">
        <f t="shared" si="0"/>
        <v>23.887815867139338</v>
      </c>
      <c r="G7" s="701">
        <f t="shared" si="1"/>
        <v>35.43843104743646</v>
      </c>
      <c r="H7" s="701">
        <f t="shared" si="2"/>
        <v>72.706634301381328</v>
      </c>
      <c r="I7" s="701">
        <f t="shared" si="3"/>
        <v>67.406527775352316</v>
      </c>
      <c r="J7" s="692">
        <f t="shared" si="4"/>
        <v>7.2897151366671364</v>
      </c>
    </row>
    <row r="8" spans="1:10">
      <c r="A8" s="452">
        <v>1979</v>
      </c>
      <c r="B8" s="19">
        <f t="shared" si="5"/>
        <v>143868.5</v>
      </c>
      <c r="C8" s="232">
        <f t="shared" si="6"/>
        <v>5817.5</v>
      </c>
      <c r="D8" s="232">
        <f t="shared" si="6"/>
        <v>4312.7</v>
      </c>
      <c r="E8" s="232">
        <f t="shared" si="6"/>
        <v>4025.6</v>
      </c>
      <c r="F8" s="701">
        <f t="shared" si="0"/>
        <v>24.730296519123335</v>
      </c>
      <c r="G8" s="701">
        <f t="shared" si="1"/>
        <v>35.738399244833069</v>
      </c>
      <c r="H8" s="701">
        <f t="shared" si="2"/>
        <v>74.133218736570697</v>
      </c>
      <c r="I8" s="701">
        <f t="shared" si="3"/>
        <v>69.198109153416411</v>
      </c>
      <c r="J8" s="692">
        <f t="shared" si="4"/>
        <v>6.6570825700837037</v>
      </c>
    </row>
    <row r="9" spans="1:10">
      <c r="A9" s="452">
        <v>1980</v>
      </c>
      <c r="B9" s="19">
        <f t="shared" si="5"/>
        <v>144358.19999999998</v>
      </c>
      <c r="C9" s="232">
        <f t="shared" si="6"/>
        <v>5905.1</v>
      </c>
      <c r="D9" s="232">
        <f t="shared" si="6"/>
        <v>4407.1000000000004</v>
      </c>
      <c r="E9" s="232">
        <f t="shared" si="6"/>
        <v>4100.6000000000004</v>
      </c>
      <c r="F9" s="701">
        <f t="shared" si="0"/>
        <v>24.446359926165513</v>
      </c>
      <c r="G9" s="701">
        <f t="shared" si="1"/>
        <v>35.204165244110612</v>
      </c>
      <c r="H9" s="701">
        <f t="shared" si="2"/>
        <v>74.6320976782781</v>
      </c>
      <c r="I9" s="701">
        <f t="shared" si="3"/>
        <v>69.441669065722849</v>
      </c>
      <c r="J9" s="692">
        <f t="shared" si="4"/>
        <v>6.9546867554627756</v>
      </c>
    </row>
    <row r="10" spans="1:10">
      <c r="A10" s="452">
        <v>1981</v>
      </c>
      <c r="B10" s="19">
        <f t="shared" si="5"/>
        <v>146828.90000000002</v>
      </c>
      <c r="C10" s="232">
        <f t="shared" si="6"/>
        <v>5977.3</v>
      </c>
      <c r="D10" s="232">
        <f t="shared" si="6"/>
        <v>4524.8999999999996</v>
      </c>
      <c r="E10" s="232">
        <f t="shared" si="6"/>
        <v>4223.8</v>
      </c>
      <c r="F10" s="701">
        <f t="shared" si="0"/>
        <v>24.564418717481139</v>
      </c>
      <c r="G10" s="701">
        <f t="shared" si="1"/>
        <v>34.762275675931626</v>
      </c>
      <c r="H10" s="701">
        <f t="shared" si="2"/>
        <v>75.701403643785653</v>
      </c>
      <c r="I10" s="701">
        <f t="shared" si="3"/>
        <v>70.664012179412111</v>
      </c>
      <c r="J10" s="692">
        <f t="shared" si="4"/>
        <v>6.6542907025569518</v>
      </c>
    </row>
    <row r="11" spans="1:10">
      <c r="A11" s="452">
        <v>1982</v>
      </c>
      <c r="B11" s="19">
        <f t="shared" si="5"/>
        <v>143099.70000000001</v>
      </c>
      <c r="C11" s="232">
        <f t="shared" si="6"/>
        <v>6067.1</v>
      </c>
      <c r="D11" s="232">
        <f t="shared" si="6"/>
        <v>4584.3</v>
      </c>
      <c r="E11" s="232">
        <f t="shared" si="6"/>
        <v>4129.3999999999996</v>
      </c>
      <c r="F11" s="701">
        <f t="shared" si="0"/>
        <v>23.586177910369042</v>
      </c>
      <c r="G11" s="701">
        <f t="shared" si="1"/>
        <v>34.653872233254233</v>
      </c>
      <c r="H11" s="701">
        <f t="shared" si="2"/>
        <v>75.559987473422225</v>
      </c>
      <c r="I11" s="701">
        <f t="shared" si="3"/>
        <v>68.06217138336271</v>
      </c>
      <c r="J11" s="692">
        <f t="shared" si="4"/>
        <v>9.9229980585912916</v>
      </c>
    </row>
    <row r="12" spans="1:10">
      <c r="A12" s="452">
        <v>1983</v>
      </c>
      <c r="B12" s="19">
        <f t="shared" si="5"/>
        <v>145444.6</v>
      </c>
      <c r="C12" s="232">
        <f t="shared" si="6"/>
        <v>6167.1</v>
      </c>
      <c r="D12" s="232">
        <f t="shared" si="6"/>
        <v>4676.8999999999996</v>
      </c>
      <c r="E12" s="232">
        <f t="shared" si="6"/>
        <v>4183.7</v>
      </c>
      <c r="F12" s="701">
        <f t="shared" si="0"/>
        <v>23.583953560020106</v>
      </c>
      <c r="G12" s="701">
        <f t="shared" si="1"/>
        <v>34.764586370915701</v>
      </c>
      <c r="H12" s="701">
        <f t="shared" si="2"/>
        <v>75.836292584845381</v>
      </c>
      <c r="I12" s="701">
        <f t="shared" si="3"/>
        <v>67.839016717744144</v>
      </c>
      <c r="J12" s="692">
        <f t="shared" si="4"/>
        <v>10.545446770296561</v>
      </c>
    </row>
    <row r="13" spans="1:10">
      <c r="A13" s="452">
        <v>1984</v>
      </c>
      <c r="B13" s="19">
        <f t="shared" si="5"/>
        <v>151880.5</v>
      </c>
      <c r="C13" s="232">
        <f t="shared" si="6"/>
        <v>6270.8</v>
      </c>
      <c r="D13" s="232">
        <f t="shared" si="6"/>
        <v>4776.8</v>
      </c>
      <c r="E13" s="232">
        <f t="shared" si="6"/>
        <v>4343.8999999999996</v>
      </c>
      <c r="F13" s="701">
        <f t="shared" si="0"/>
        <v>24.220274925049434</v>
      </c>
      <c r="G13" s="701">
        <f t="shared" si="1"/>
        <v>34.964087571076682</v>
      </c>
      <c r="H13" s="701">
        <f t="shared" si="2"/>
        <v>76.175288639408052</v>
      </c>
      <c r="I13" s="701">
        <f t="shared" si="3"/>
        <v>69.271863239140131</v>
      </c>
      <c r="J13" s="692">
        <f t="shared" si="4"/>
        <v>9.0625523362920894</v>
      </c>
    </row>
    <row r="14" spans="1:10">
      <c r="A14" s="452">
        <v>1985</v>
      </c>
      <c r="B14" s="19">
        <f t="shared" si="5"/>
        <v>158368</v>
      </c>
      <c r="C14" s="232">
        <f t="shared" si="6"/>
        <v>6366.7</v>
      </c>
      <c r="D14" s="232">
        <f t="shared" si="6"/>
        <v>4894.7</v>
      </c>
      <c r="E14" s="232">
        <f t="shared" si="6"/>
        <v>4498.2</v>
      </c>
      <c r="F14" s="701">
        <f t="shared" si="0"/>
        <v>24.874424741231721</v>
      </c>
      <c r="G14" s="701">
        <f t="shared" si="1"/>
        <v>35.206971677559913</v>
      </c>
      <c r="H14" s="701">
        <f t="shared" si="2"/>
        <v>76.879702200512028</v>
      </c>
      <c r="I14" s="701">
        <f t="shared" si="3"/>
        <v>70.651986115255937</v>
      </c>
      <c r="J14" s="692">
        <f t="shared" si="4"/>
        <v>8.1005986066561793</v>
      </c>
    </row>
    <row r="15" spans="1:10">
      <c r="A15" s="452">
        <v>1986</v>
      </c>
      <c r="B15" s="19">
        <f t="shared" si="5"/>
        <v>164046.9</v>
      </c>
      <c r="C15" s="232">
        <f t="shared" si="6"/>
        <v>6464.4</v>
      </c>
      <c r="D15" s="232">
        <f t="shared" si="6"/>
        <v>5020.2</v>
      </c>
      <c r="E15" s="232">
        <f t="shared" si="6"/>
        <v>4663.6000000000004</v>
      </c>
      <c r="F15" s="701">
        <f t="shared" si="0"/>
        <v>25.376972340820494</v>
      </c>
      <c r="G15" s="701">
        <f t="shared" si="1"/>
        <v>35.176022814992706</v>
      </c>
      <c r="H15" s="701">
        <f t="shared" si="2"/>
        <v>77.659179506218678</v>
      </c>
      <c r="I15" s="701">
        <f t="shared" si="3"/>
        <v>72.142812944743525</v>
      </c>
      <c r="J15" s="692">
        <f t="shared" si="4"/>
        <v>7.1033026572646403</v>
      </c>
    </row>
    <row r="16" spans="1:10">
      <c r="A16" s="452">
        <v>1987</v>
      </c>
      <c r="B16" s="19">
        <f t="shared" si="5"/>
        <v>169452.9</v>
      </c>
      <c r="C16" s="232">
        <f t="shared" si="6"/>
        <v>6571.7</v>
      </c>
      <c r="D16" s="232">
        <f t="shared" si="6"/>
        <v>5139.1000000000004</v>
      </c>
      <c r="E16" s="232">
        <f t="shared" si="6"/>
        <v>4823</v>
      </c>
      <c r="F16" s="701">
        <f t="shared" si="0"/>
        <v>25.785245826802807</v>
      </c>
      <c r="G16" s="701">
        <f t="shared" si="1"/>
        <v>35.134335475844907</v>
      </c>
      <c r="H16" s="701">
        <f t="shared" si="2"/>
        <v>78.200465632941246</v>
      </c>
      <c r="I16" s="701">
        <f t="shared" si="3"/>
        <v>73.390446916323029</v>
      </c>
      <c r="J16" s="692">
        <f t="shared" si="4"/>
        <v>6.1508824502344837</v>
      </c>
    </row>
    <row r="17" spans="1:11">
      <c r="A17" s="452">
        <v>1988</v>
      </c>
      <c r="B17" s="19">
        <f t="shared" si="5"/>
        <v>178468.7</v>
      </c>
      <c r="C17" s="232">
        <f t="shared" si="6"/>
        <v>6679.8</v>
      </c>
      <c r="D17" s="232">
        <f t="shared" si="6"/>
        <v>5281.8</v>
      </c>
      <c r="E17" s="232">
        <f t="shared" si="6"/>
        <v>5014.3999999999996</v>
      </c>
      <c r="F17" s="701">
        <f t="shared" si="0"/>
        <v>26.717671187760114</v>
      </c>
      <c r="G17" s="701">
        <f t="shared" si="1"/>
        <v>35.59123723675814</v>
      </c>
      <c r="H17" s="701">
        <f t="shared" si="2"/>
        <v>79.071229677535257</v>
      </c>
      <c r="I17" s="701">
        <f t="shared" si="3"/>
        <v>75.068115811850646</v>
      </c>
      <c r="J17" s="692">
        <f t="shared" si="4"/>
        <v>5.0626680298383224</v>
      </c>
    </row>
    <row r="18" spans="1:11">
      <c r="A18" s="452">
        <v>1989</v>
      </c>
      <c r="B18" s="19">
        <f t="shared" si="5"/>
        <v>184591.6</v>
      </c>
      <c r="C18" s="232">
        <f t="shared" si="6"/>
        <v>6780.3</v>
      </c>
      <c r="D18" s="232">
        <f t="shared" si="6"/>
        <v>5397</v>
      </c>
      <c r="E18" s="232">
        <f t="shared" si="6"/>
        <v>5124.3</v>
      </c>
      <c r="F18" s="701">
        <f t="shared" si="0"/>
        <v>27.224695072489418</v>
      </c>
      <c r="G18" s="701">
        <f t="shared" si="1"/>
        <v>36.02279335714146</v>
      </c>
      <c r="H18" s="701">
        <f t="shared" si="2"/>
        <v>79.598247865138703</v>
      </c>
      <c r="I18" s="701">
        <f t="shared" si="3"/>
        <v>75.576301933542766</v>
      </c>
      <c r="J18" s="692">
        <f t="shared" si="4"/>
        <v>5.0528071150639207</v>
      </c>
    </row>
    <row r="19" spans="1:11">
      <c r="A19" s="452">
        <v>1990</v>
      </c>
      <c r="B19" s="19">
        <f t="shared" si="5"/>
        <v>180648.8</v>
      </c>
      <c r="C19" s="232">
        <f t="shared" si="6"/>
        <v>6879.3</v>
      </c>
      <c r="D19" s="232">
        <f t="shared" si="6"/>
        <v>5454.1</v>
      </c>
      <c r="E19" s="232">
        <f t="shared" si="6"/>
        <v>5114.3</v>
      </c>
      <c r="F19" s="701">
        <f t="shared" si="0"/>
        <v>26.259764801651329</v>
      </c>
      <c r="G19" s="701">
        <f t="shared" si="1"/>
        <v>35.32229239583129</v>
      </c>
      <c r="H19" s="701">
        <f t="shared" si="2"/>
        <v>79.28277586382336</v>
      </c>
      <c r="I19" s="701">
        <f t="shared" si="3"/>
        <v>74.343319814516022</v>
      </c>
      <c r="J19" s="692">
        <f t="shared" si="4"/>
        <v>6.2301754643295899</v>
      </c>
    </row>
    <row r="20" spans="1:11">
      <c r="A20" s="452">
        <v>1991</v>
      </c>
      <c r="B20" s="19">
        <f t="shared" si="5"/>
        <v>171328.7</v>
      </c>
      <c r="C20" s="232">
        <f t="shared" si="6"/>
        <v>6969.5</v>
      </c>
      <c r="D20" s="232">
        <f t="shared" si="6"/>
        <v>5458.1</v>
      </c>
      <c r="E20" s="232">
        <f t="shared" si="6"/>
        <v>4932.1000000000004</v>
      </c>
      <c r="F20" s="701">
        <f t="shared" si="0"/>
        <v>24.582638639787646</v>
      </c>
      <c r="G20" s="701">
        <f t="shared" si="1"/>
        <v>34.73747490926786</v>
      </c>
      <c r="H20" s="701">
        <f t="shared" si="2"/>
        <v>78.314082789296222</v>
      </c>
      <c r="I20" s="701">
        <f t="shared" si="3"/>
        <v>70.766912977975466</v>
      </c>
      <c r="J20" s="692">
        <f t="shared" si="4"/>
        <v>9.6370531870064671</v>
      </c>
    </row>
    <row r="21" spans="1:11">
      <c r="A21" s="452">
        <v>1992</v>
      </c>
      <c r="B21" s="19">
        <f t="shared" si="5"/>
        <v>165180.29999999999</v>
      </c>
      <c r="C21" s="232">
        <f t="shared" si="6"/>
        <v>7058.8</v>
      </c>
      <c r="D21" s="232">
        <f t="shared" si="6"/>
        <v>5447.5</v>
      </c>
      <c r="E21" s="232">
        <f t="shared" si="6"/>
        <v>4855.8</v>
      </c>
      <c r="F21" s="701">
        <f t="shared" si="0"/>
        <v>23.400620502068339</v>
      </c>
      <c r="G21" s="701">
        <f t="shared" si="1"/>
        <v>34.017113554924002</v>
      </c>
      <c r="H21" s="701">
        <f t="shared" si="2"/>
        <v>77.173173910579692</v>
      </c>
      <c r="I21" s="701">
        <f t="shared" si="3"/>
        <v>68.790729302431004</v>
      </c>
      <c r="J21" s="692">
        <f t="shared" si="4"/>
        <v>10.861863240018353</v>
      </c>
    </row>
    <row r="22" spans="1:11">
      <c r="A22" s="452">
        <v>1993</v>
      </c>
      <c r="B22" s="19">
        <f t="shared" si="5"/>
        <v>168465.5</v>
      </c>
      <c r="C22" s="232">
        <f t="shared" ref="C22:E36" si="7">E63</f>
        <v>7128.9</v>
      </c>
      <c r="D22" s="232">
        <f t="shared" si="7"/>
        <v>5466.3</v>
      </c>
      <c r="E22" s="232">
        <f t="shared" si="7"/>
        <v>4864.3</v>
      </c>
      <c r="F22" s="701">
        <f t="shared" si="0"/>
        <v>23.631345649398927</v>
      </c>
      <c r="G22" s="701">
        <f t="shared" si="1"/>
        <v>34.633040725284211</v>
      </c>
      <c r="H22" s="701">
        <f t="shared" si="2"/>
        <v>76.678028868408873</v>
      </c>
      <c r="I22" s="701">
        <f t="shared" si="3"/>
        <v>68.233528314326193</v>
      </c>
      <c r="J22" s="692">
        <f t="shared" si="4"/>
        <v>11.012933794339865</v>
      </c>
    </row>
    <row r="23" spans="1:11">
      <c r="A23" s="452">
        <v>1994</v>
      </c>
      <c r="B23" s="19">
        <f t="shared" si="5"/>
        <v>172370.4</v>
      </c>
      <c r="C23" s="232">
        <f t="shared" si="7"/>
        <v>7205.3</v>
      </c>
      <c r="D23" s="232">
        <f t="shared" si="7"/>
        <v>5461.1</v>
      </c>
      <c r="E23" s="232">
        <f t="shared" si="7"/>
        <v>4931.6000000000004</v>
      </c>
      <c r="F23" s="701">
        <f t="shared" si="0"/>
        <v>23.922723550719606</v>
      </c>
      <c r="G23" s="701">
        <f t="shared" si="1"/>
        <v>34.952226457944683</v>
      </c>
      <c r="H23" s="701">
        <f t="shared" si="2"/>
        <v>75.792819174774124</v>
      </c>
      <c r="I23" s="701">
        <f t="shared" si="3"/>
        <v>68.444062009909374</v>
      </c>
      <c r="J23" s="692">
        <f t="shared" si="4"/>
        <v>9.6958488216659653</v>
      </c>
    </row>
    <row r="24" spans="1:11">
      <c r="A24" s="452">
        <v>1995</v>
      </c>
      <c r="B24" s="19">
        <f t="shared" si="5"/>
        <v>174219.7</v>
      </c>
      <c r="C24" s="232">
        <f t="shared" si="7"/>
        <v>7296</v>
      </c>
      <c r="D24" s="232">
        <f t="shared" si="7"/>
        <v>5503.6</v>
      </c>
      <c r="E24" s="232">
        <f t="shared" si="7"/>
        <v>5018.2</v>
      </c>
      <c r="F24" s="701">
        <f t="shared" si="0"/>
        <v>23.878796600877195</v>
      </c>
      <c r="G24" s="701">
        <f t="shared" si="1"/>
        <v>34.717568052289671</v>
      </c>
      <c r="H24" s="701">
        <f t="shared" si="2"/>
        <v>75.433114035087726</v>
      </c>
      <c r="I24" s="701">
        <f t="shared" si="3"/>
        <v>68.780153508771917</v>
      </c>
      <c r="J24" s="692">
        <f t="shared" si="4"/>
        <v>8.8196816629115578</v>
      </c>
    </row>
    <row r="25" spans="1:11">
      <c r="A25" s="452">
        <v>1996</v>
      </c>
      <c r="B25" s="19">
        <f t="shared" si="5"/>
        <v>178688.7</v>
      </c>
      <c r="C25" s="232">
        <f t="shared" si="7"/>
        <v>7391.6</v>
      </c>
      <c r="D25" s="232">
        <f t="shared" si="7"/>
        <v>5598.7</v>
      </c>
      <c r="E25" s="232">
        <f t="shared" si="7"/>
        <v>5088.6000000000004</v>
      </c>
      <c r="F25" s="701">
        <f t="shared" si="0"/>
        <v>24.174563017479301</v>
      </c>
      <c r="G25" s="701">
        <f t="shared" si="1"/>
        <v>35.115493455960383</v>
      </c>
      <c r="H25" s="701">
        <f t="shared" si="2"/>
        <v>75.744087883543472</v>
      </c>
      <c r="I25" s="701">
        <f t="shared" si="3"/>
        <v>68.84301098544293</v>
      </c>
      <c r="J25" s="692">
        <f t="shared" si="4"/>
        <v>9.1110436351295743</v>
      </c>
    </row>
    <row r="26" spans="1:11">
      <c r="A26" s="452">
        <v>1997</v>
      </c>
      <c r="B26" s="19">
        <f t="shared" si="5"/>
        <v>183242.5</v>
      </c>
      <c r="C26" s="232">
        <f t="shared" si="7"/>
        <v>7488.3</v>
      </c>
      <c r="D26" s="232">
        <f t="shared" si="7"/>
        <v>5689.1</v>
      </c>
      <c r="E26" s="232">
        <f t="shared" si="7"/>
        <v>5207</v>
      </c>
      <c r="F26" s="701">
        <f t="shared" si="0"/>
        <v>24.470507324759957</v>
      </c>
      <c r="G26" s="701">
        <f t="shared" si="1"/>
        <v>35.191569041674668</v>
      </c>
      <c r="H26" s="701">
        <f t="shared" si="2"/>
        <v>75.973184835009292</v>
      </c>
      <c r="I26" s="701">
        <f t="shared" si="3"/>
        <v>69.53514148738698</v>
      </c>
      <c r="J26" s="692">
        <f t="shared" si="4"/>
        <v>8.4740995939603874</v>
      </c>
    </row>
    <row r="27" spans="1:11">
      <c r="A27" s="452">
        <v>1998</v>
      </c>
      <c r="B27" s="19">
        <f t="shared" si="5"/>
        <v>188864.4</v>
      </c>
      <c r="C27" s="232">
        <f t="shared" si="7"/>
        <v>7590</v>
      </c>
      <c r="D27" s="232">
        <f t="shared" si="7"/>
        <v>5788.9</v>
      </c>
      <c r="E27" s="232">
        <f t="shared" si="7"/>
        <v>5367.5</v>
      </c>
      <c r="F27" s="701">
        <f t="shared" si="0"/>
        <v>24.883320158102766</v>
      </c>
      <c r="G27" s="701">
        <f t="shared" si="1"/>
        <v>35.186660456450859</v>
      </c>
      <c r="H27" s="701">
        <f t="shared" si="2"/>
        <v>76.270092226613968</v>
      </c>
      <c r="I27" s="701">
        <f t="shared" si="3"/>
        <v>70.718050065876142</v>
      </c>
      <c r="J27" s="692">
        <f t="shared" si="4"/>
        <v>7.2794485999067131</v>
      </c>
    </row>
    <row r="28" spans="1:11">
      <c r="A28" s="452">
        <v>1999</v>
      </c>
      <c r="B28" s="19">
        <f t="shared" si="5"/>
        <v>195692.7</v>
      </c>
      <c r="C28" s="232">
        <f t="shared" si="7"/>
        <v>7696.8</v>
      </c>
      <c r="D28" s="232">
        <f t="shared" si="7"/>
        <v>5927.8</v>
      </c>
      <c r="E28" s="232">
        <f t="shared" si="7"/>
        <v>5548.5</v>
      </c>
      <c r="F28" s="701">
        <f t="shared" si="0"/>
        <v>25.425202681633927</v>
      </c>
      <c r="G28" s="701">
        <f t="shared" si="1"/>
        <v>35.269478237361454</v>
      </c>
      <c r="H28" s="701">
        <f t="shared" si="2"/>
        <v>77.016422409312952</v>
      </c>
      <c r="I28" s="701">
        <f t="shared" si="3"/>
        <v>72.088400374181475</v>
      </c>
      <c r="J28" s="692">
        <f t="shared" si="4"/>
        <v>6.3986639225345021</v>
      </c>
    </row>
    <row r="29" spans="1:11">
      <c r="A29" s="452">
        <v>2000</v>
      </c>
      <c r="B29" s="19">
        <f t="shared" si="5"/>
        <v>203171.40000000002</v>
      </c>
      <c r="C29" s="232">
        <f t="shared" si="7"/>
        <v>7838.8</v>
      </c>
      <c r="D29" s="232">
        <f t="shared" si="7"/>
        <v>6081.4</v>
      </c>
      <c r="E29" s="232">
        <f t="shared" si="7"/>
        <v>5728.6</v>
      </c>
      <c r="F29" s="701">
        <f t="shared" si="0"/>
        <v>25.918686533653112</v>
      </c>
      <c r="G29" s="701">
        <f t="shared" si="1"/>
        <v>35.466152288517264</v>
      </c>
      <c r="H29" s="701">
        <f t="shared" si="2"/>
        <v>77.580752155942236</v>
      </c>
      <c r="I29" s="701">
        <f t="shared" si="3"/>
        <v>73.080063274991076</v>
      </c>
      <c r="J29" s="692">
        <f t="shared" si="4"/>
        <v>5.8012957542670982</v>
      </c>
    </row>
    <row r="30" spans="1:11">
      <c r="A30" s="452">
        <v>2001</v>
      </c>
      <c r="B30" s="19">
        <f t="shared" si="5"/>
        <v>203516.3</v>
      </c>
      <c r="C30" s="232">
        <f t="shared" si="7"/>
        <v>8005.5</v>
      </c>
      <c r="D30" s="232">
        <f t="shared" si="7"/>
        <v>6230.3</v>
      </c>
      <c r="E30" s="232">
        <f t="shared" si="7"/>
        <v>5832</v>
      </c>
      <c r="F30" s="701">
        <f t="shared" si="0"/>
        <v>25.422059833864218</v>
      </c>
      <c r="G30" s="701">
        <f t="shared" si="1"/>
        <v>34.896484910836762</v>
      </c>
      <c r="H30" s="701">
        <f t="shared" si="2"/>
        <v>77.825245143963528</v>
      </c>
      <c r="I30" s="701">
        <f t="shared" si="3"/>
        <v>72.849915682967961</v>
      </c>
      <c r="J30" s="692">
        <f t="shared" si="4"/>
        <v>6.3929505802288844</v>
      </c>
    </row>
    <row r="31" spans="1:11">
      <c r="A31" s="452">
        <v>2002</v>
      </c>
      <c r="B31" s="19">
        <f t="shared" si="5"/>
        <v>205878.5</v>
      </c>
      <c r="C31" s="232">
        <f t="shared" si="7"/>
        <v>8164.8</v>
      </c>
      <c r="D31" s="232">
        <f t="shared" si="7"/>
        <v>6386.9</v>
      </c>
      <c r="E31" s="232">
        <f t="shared" si="7"/>
        <v>5927</v>
      </c>
      <c r="F31" s="701">
        <f t="shared" si="0"/>
        <v>25.21537575935724</v>
      </c>
      <c r="G31" s="701">
        <f t="shared" si="1"/>
        <v>34.735701029188462</v>
      </c>
      <c r="H31" s="701">
        <f t="shared" si="2"/>
        <v>78.224818734077985</v>
      </c>
      <c r="I31" s="701">
        <f t="shared" si="3"/>
        <v>72.592102684695277</v>
      </c>
      <c r="J31" s="692">
        <f t="shared" si="4"/>
        <v>7.2006763844744661</v>
      </c>
    </row>
    <row r="32" spans="1:11">
      <c r="A32" s="452">
        <v>2003</v>
      </c>
      <c r="B32" s="19">
        <f t="shared" si="5"/>
        <v>207003.50000000003</v>
      </c>
      <c r="C32" s="232">
        <f t="shared" si="7"/>
        <v>8288.7000000000007</v>
      </c>
      <c r="D32" s="232">
        <f t="shared" si="7"/>
        <v>6554.7</v>
      </c>
      <c r="E32" s="232">
        <f t="shared" si="7"/>
        <v>6095.2</v>
      </c>
      <c r="F32" s="701">
        <f t="shared" si="0"/>
        <v>24.974181717277741</v>
      </c>
      <c r="G32" s="701">
        <f t="shared" si="1"/>
        <v>33.961723979524876</v>
      </c>
      <c r="H32" s="701">
        <f t="shared" si="2"/>
        <v>79.079952224112333</v>
      </c>
      <c r="I32" s="701">
        <f t="shared" si="3"/>
        <v>73.536260209683064</v>
      </c>
      <c r="J32" s="692">
        <f t="shared" si="4"/>
        <v>7.0102369292263571</v>
      </c>
      <c r="K32" s="673"/>
    </row>
    <row r="33" spans="1:10">
      <c r="A33" s="452">
        <v>2004</v>
      </c>
      <c r="B33" s="19">
        <f t="shared" si="5"/>
        <v>213373.1</v>
      </c>
      <c r="C33" s="232">
        <f t="shared" si="7"/>
        <v>8418.2000000000007</v>
      </c>
      <c r="D33" s="232">
        <f t="shared" si="7"/>
        <v>6650.9</v>
      </c>
      <c r="E33" s="232">
        <f t="shared" si="7"/>
        <v>6195.4</v>
      </c>
      <c r="F33" s="701">
        <f t="shared" si="0"/>
        <v>25.346641799909719</v>
      </c>
      <c r="G33" s="701">
        <f t="shared" si="1"/>
        <v>34.440568809116442</v>
      </c>
      <c r="H33" s="701">
        <f t="shared" si="2"/>
        <v>79.006200850538107</v>
      </c>
      <c r="I33" s="701">
        <f t="shared" si="3"/>
        <v>73.595305409707521</v>
      </c>
      <c r="J33" s="692">
        <f t="shared" si="4"/>
        <v>6.8486971688042226</v>
      </c>
    </row>
    <row r="34" spans="1:10">
      <c r="A34" s="452">
        <v>2005</v>
      </c>
      <c r="B34" s="19">
        <f t="shared" si="5"/>
        <v>216521.2</v>
      </c>
      <c r="C34" s="232">
        <f t="shared" si="7"/>
        <v>8555.6</v>
      </c>
      <c r="D34" s="232">
        <f t="shared" si="7"/>
        <v>6714.6</v>
      </c>
      <c r="E34" s="232">
        <f t="shared" si="7"/>
        <v>6268</v>
      </c>
      <c r="F34" s="702">
        <f t="shared" si="0"/>
        <v>25.307541259525927</v>
      </c>
      <c r="G34" s="702">
        <f t="shared" si="1"/>
        <v>34.543905552010216</v>
      </c>
      <c r="H34" s="702">
        <f t="shared" si="2"/>
        <v>78.481929964000187</v>
      </c>
      <c r="I34" s="702">
        <f t="shared" si="3"/>
        <v>73.261957080742434</v>
      </c>
      <c r="J34" s="692">
        <f t="shared" si="4"/>
        <v>6.6511780299645595</v>
      </c>
    </row>
    <row r="35" spans="1:10" s="703" customFormat="1">
      <c r="A35" s="452">
        <v>2006</v>
      </c>
      <c r="B35" s="19">
        <f t="shared" si="5"/>
        <v>217654.39999999999</v>
      </c>
      <c r="C35" s="232">
        <f t="shared" si="7"/>
        <v>8681</v>
      </c>
      <c r="D35" s="232">
        <f t="shared" si="7"/>
        <v>6792.3</v>
      </c>
      <c r="E35" s="232">
        <f t="shared" si="7"/>
        <v>6363.7</v>
      </c>
      <c r="F35" s="702">
        <f>B35/C35</f>
        <v>25.072503167837805</v>
      </c>
      <c r="G35" s="702">
        <f>B35/E35</f>
        <v>34.202492260791679</v>
      </c>
      <c r="H35" s="702">
        <f>D35/C35*100</f>
        <v>78.243289943554899</v>
      </c>
      <c r="I35" s="702">
        <f>E35/C35*100</f>
        <v>73.306070729178657</v>
      </c>
      <c r="J35" s="692">
        <f>(D35-E35)/D35*100</f>
        <v>6.3100864213889318</v>
      </c>
    </row>
    <row r="36" spans="1:10" s="703" customFormat="1">
      <c r="A36" s="452">
        <v>2007</v>
      </c>
      <c r="B36" s="19">
        <f t="shared" si="5"/>
        <v>221910.5</v>
      </c>
      <c r="C36" s="232">
        <f t="shared" si="7"/>
        <v>8777.6</v>
      </c>
      <c r="D36" s="232">
        <f t="shared" si="7"/>
        <v>6893.8</v>
      </c>
      <c r="E36" s="232">
        <f t="shared" si="7"/>
        <v>6450.6</v>
      </c>
      <c r="F36" s="702">
        <f>B36/C36</f>
        <v>25.281455067444401</v>
      </c>
      <c r="G36" s="702">
        <f>B36/E36</f>
        <v>34.401528539980774</v>
      </c>
      <c r="H36" s="702">
        <f>D36/C36*100</f>
        <v>78.538552679547934</v>
      </c>
      <c r="I36" s="702">
        <f>E36/C36*100</f>
        <v>73.489336492890999</v>
      </c>
      <c r="J36" s="692">
        <f>(D36-E36)/D36*100</f>
        <v>6.4289651570976796</v>
      </c>
    </row>
    <row r="37" spans="1:10" s="703" customFormat="1">
      <c r="A37" s="452">
        <v>2008</v>
      </c>
      <c r="B37" s="19">
        <v>221105.7</v>
      </c>
      <c r="C37" s="232">
        <v>8876.2999999999993</v>
      </c>
      <c r="D37" s="232">
        <v>6976.8</v>
      </c>
      <c r="E37" s="232">
        <v>6514.2</v>
      </c>
      <c r="F37" s="702">
        <f>B37/C37</f>
        <v>24.909669569527846</v>
      </c>
      <c r="G37" s="702">
        <f>B37/E37</f>
        <v>33.942111080408957</v>
      </c>
      <c r="H37" s="702">
        <f>D37/C37*100</f>
        <v>78.600317699942551</v>
      </c>
      <c r="I37" s="702">
        <f>E37/C37*100</f>
        <v>73.388686727577934</v>
      </c>
      <c r="J37" s="692">
        <f>(D37-E37)/D37*100</f>
        <v>6.6305469556243599</v>
      </c>
    </row>
    <row r="38" spans="1:10">
      <c r="A38" s="452"/>
      <c r="B38" s="704"/>
      <c r="C38" s="704" t="s">
        <v>427</v>
      </c>
      <c r="D38" s="704"/>
      <c r="E38" s="454"/>
      <c r="F38" s="705"/>
      <c r="G38" s="705" t="s">
        <v>897</v>
      </c>
      <c r="H38" s="705"/>
      <c r="I38" s="705"/>
      <c r="J38" s="704"/>
    </row>
    <row r="39" spans="1:10">
      <c r="A39" s="454" t="s">
        <v>1716</v>
      </c>
      <c r="B39" s="706">
        <f>(POWER(B37/B5, 1/32)-1)*100</f>
        <v>1.7176866479895914</v>
      </c>
      <c r="C39" s="706">
        <f>(POWER(C37/C5, 1/32)-1)*100</f>
        <v>1.4988605281151424</v>
      </c>
      <c r="D39" s="706">
        <f>(POWER(D37/D5, 1/32)-1)*100</f>
        <v>1.8214578977397977</v>
      </c>
      <c r="E39" s="707">
        <f>(POWER(E37/E5, 1/32)-1)*100</f>
        <v>1.8071950649789281</v>
      </c>
      <c r="F39" s="708">
        <f>F37-F5</f>
        <v>1.6588580136982465</v>
      </c>
      <c r="G39" s="708">
        <f>G37-G5</f>
        <v>-0.96892802208532203</v>
      </c>
      <c r="H39" s="708">
        <f>H37-H5</f>
        <v>7.5896359930456896</v>
      </c>
      <c r="I39" s="708">
        <f>I37-I5</f>
        <v>6.7885162555154039</v>
      </c>
      <c r="J39" s="708">
        <f>J37-J5</f>
        <v>0.41949373261895051</v>
      </c>
    </row>
    <row r="40" spans="1:10">
      <c r="A40" s="454" t="s">
        <v>1707</v>
      </c>
      <c r="B40" s="706">
        <f>(POWER(B37/B10, 1/27)-1)*100</f>
        <v>1.5277485056691242</v>
      </c>
      <c r="C40" s="706">
        <f>(POWER(C37/C10, 1/27)-1)*100</f>
        <v>1.4752795099858274</v>
      </c>
      <c r="D40" s="706">
        <f>(POWER(D37/D10, 1/27)-1)*100</f>
        <v>1.6166127858909585</v>
      </c>
      <c r="E40" s="707">
        <f>(POWER(E37/E10, 1/27)-1)*100</f>
        <v>1.6175699858290926</v>
      </c>
      <c r="F40" s="708">
        <f>F37-F10</f>
        <v>0.34525085204670702</v>
      </c>
      <c r="G40" s="708">
        <f>G37-G10</f>
        <v>-0.82016459552266952</v>
      </c>
      <c r="H40" s="708">
        <f>H37-H10</f>
        <v>2.8989140561568973</v>
      </c>
      <c r="I40" s="708">
        <f>I37-I10</f>
        <v>2.7246745481658223</v>
      </c>
      <c r="J40" s="708">
        <f>J37-J10</f>
        <v>-2.3743746932591847E-2</v>
      </c>
    </row>
    <row r="42" spans="1:10">
      <c r="A42" s="449" t="s">
        <v>899</v>
      </c>
    </row>
    <row r="43" spans="1:10">
      <c r="A43" s="449" t="s">
        <v>1717</v>
      </c>
    </row>
    <row r="45" spans="1:10" ht="15">
      <c r="A45" s="900" t="s">
        <v>163</v>
      </c>
      <c r="B45" s="901" t="s">
        <v>1440</v>
      </c>
      <c r="C45" s="901" t="s">
        <v>1441</v>
      </c>
      <c r="D45" s="901" t="s">
        <v>1442</v>
      </c>
      <c r="E45" s="902" t="s">
        <v>1470</v>
      </c>
      <c r="F45" s="902" t="s">
        <v>1471</v>
      </c>
      <c r="G45" s="902" t="s">
        <v>1472</v>
      </c>
    </row>
    <row r="46" spans="1:10" ht="15">
      <c r="A46" s="900">
        <v>1976</v>
      </c>
      <c r="B46" s="901">
        <v>28916.5</v>
      </c>
      <c r="C46" s="901">
        <v>85808</v>
      </c>
      <c r="D46" s="901">
        <v>13482.8</v>
      </c>
      <c r="E46" s="902">
        <v>5514.1</v>
      </c>
      <c r="F46" s="902">
        <v>3915.6</v>
      </c>
      <c r="G46" s="902">
        <v>3672.4</v>
      </c>
    </row>
    <row r="47" spans="1:10" ht="15">
      <c r="A47" s="900">
        <v>1977</v>
      </c>
      <c r="B47" s="901">
        <v>29751.5</v>
      </c>
      <c r="C47" s="901">
        <v>87422.3</v>
      </c>
      <c r="D47" s="901">
        <v>13915.8</v>
      </c>
      <c r="E47" s="902">
        <v>5622.1</v>
      </c>
      <c r="F47" s="902">
        <v>4022.7</v>
      </c>
      <c r="G47" s="902">
        <v>3742</v>
      </c>
    </row>
    <row r="48" spans="1:10" ht="15">
      <c r="A48" s="900">
        <v>1978</v>
      </c>
      <c r="B48" s="901">
        <v>30682</v>
      </c>
      <c r="C48" s="901">
        <v>92040</v>
      </c>
      <c r="D48" s="901">
        <v>14066.8</v>
      </c>
      <c r="E48" s="902">
        <v>5726.3</v>
      </c>
      <c r="F48" s="902">
        <v>4163.3999999999996</v>
      </c>
      <c r="G48" s="902">
        <v>3859.9</v>
      </c>
    </row>
    <row r="49" spans="1:7" ht="15">
      <c r="A49" s="900">
        <v>1979</v>
      </c>
      <c r="B49" s="901">
        <v>32737.8</v>
      </c>
      <c r="C49" s="901">
        <v>95989.8</v>
      </c>
      <c r="D49" s="901">
        <v>15140.9</v>
      </c>
      <c r="E49" s="902">
        <v>5817.5</v>
      </c>
      <c r="F49" s="902">
        <v>4312.7</v>
      </c>
      <c r="G49" s="902">
        <v>4025.6</v>
      </c>
    </row>
    <row r="50" spans="1:7" ht="15">
      <c r="A50" s="900">
        <v>1980</v>
      </c>
      <c r="B50" s="901">
        <v>32759.200000000001</v>
      </c>
      <c r="C50" s="901">
        <v>96893.2</v>
      </c>
      <c r="D50" s="901">
        <v>14705.8</v>
      </c>
      <c r="E50" s="902">
        <v>5905.1</v>
      </c>
      <c r="F50" s="902">
        <v>4407.1000000000004</v>
      </c>
      <c r="G50" s="902">
        <v>4100.6000000000004</v>
      </c>
    </row>
    <row r="51" spans="1:7" ht="15">
      <c r="A51" s="900">
        <v>1981</v>
      </c>
      <c r="B51" s="901">
        <v>32622.2</v>
      </c>
      <c r="C51" s="901">
        <v>99169.600000000006</v>
      </c>
      <c r="D51" s="901">
        <v>15037.1</v>
      </c>
      <c r="E51" s="902">
        <v>5977.3</v>
      </c>
      <c r="F51" s="902">
        <v>4524.8999999999996</v>
      </c>
      <c r="G51" s="902">
        <v>4223.8</v>
      </c>
    </row>
    <row r="52" spans="1:7" ht="15">
      <c r="A52" s="900">
        <v>1982</v>
      </c>
      <c r="B52" s="901">
        <v>29669.599999999999</v>
      </c>
      <c r="C52" s="901">
        <v>98418.9</v>
      </c>
      <c r="D52" s="901">
        <v>15011.2</v>
      </c>
      <c r="E52" s="902">
        <v>6067.1</v>
      </c>
      <c r="F52" s="902">
        <v>4584.3</v>
      </c>
      <c r="G52" s="902">
        <v>4129.3999999999996</v>
      </c>
    </row>
    <row r="53" spans="1:7" ht="15">
      <c r="A53" s="900">
        <v>1983</v>
      </c>
      <c r="B53" s="901">
        <v>29136.9</v>
      </c>
      <c r="C53" s="901">
        <v>101663.6</v>
      </c>
      <c r="D53" s="901">
        <v>14644.1</v>
      </c>
      <c r="E53" s="902">
        <v>6167.1</v>
      </c>
      <c r="F53" s="902">
        <v>4676.8999999999996</v>
      </c>
      <c r="G53" s="902">
        <v>4183.7</v>
      </c>
    </row>
    <row r="54" spans="1:7" ht="15">
      <c r="A54" s="900">
        <v>1984</v>
      </c>
      <c r="B54" s="901">
        <v>30444.7</v>
      </c>
      <c r="C54" s="901">
        <v>106173.5</v>
      </c>
      <c r="D54" s="901">
        <v>15262.3</v>
      </c>
      <c r="E54" s="902">
        <v>6270.8</v>
      </c>
      <c r="F54" s="902">
        <v>4776.8</v>
      </c>
      <c r="G54" s="902">
        <v>4343.8999999999996</v>
      </c>
    </row>
    <row r="55" spans="1:7" ht="15">
      <c r="A55" s="900">
        <v>1985</v>
      </c>
      <c r="B55" s="901">
        <v>31198.799999999999</v>
      </c>
      <c r="C55" s="901">
        <v>111211.2</v>
      </c>
      <c r="D55" s="901">
        <v>15958</v>
      </c>
      <c r="E55" s="902">
        <v>6366.7</v>
      </c>
      <c r="F55" s="902">
        <v>4894.7</v>
      </c>
      <c r="G55" s="902">
        <v>4498.2</v>
      </c>
    </row>
    <row r="56" spans="1:7" ht="15">
      <c r="A56" s="900">
        <v>1986</v>
      </c>
      <c r="B56" s="901">
        <v>31768.400000000001</v>
      </c>
      <c r="C56" s="901">
        <v>116395.2</v>
      </c>
      <c r="D56" s="901">
        <v>15883.3</v>
      </c>
      <c r="E56" s="902">
        <v>6464.4</v>
      </c>
      <c r="F56" s="902">
        <v>5020.2</v>
      </c>
      <c r="G56" s="902">
        <v>4663.6000000000004</v>
      </c>
    </row>
    <row r="57" spans="1:7" ht="15">
      <c r="A57" s="900">
        <v>1987</v>
      </c>
      <c r="B57" s="901">
        <v>32416.7</v>
      </c>
      <c r="C57" s="901">
        <v>121221.3</v>
      </c>
      <c r="D57" s="901">
        <v>15814.9</v>
      </c>
      <c r="E57" s="902">
        <v>6571.7</v>
      </c>
      <c r="F57" s="902">
        <v>5139.1000000000004</v>
      </c>
      <c r="G57" s="902">
        <v>4823</v>
      </c>
    </row>
    <row r="58" spans="1:7" ht="15">
      <c r="A58" s="900">
        <v>1988</v>
      </c>
      <c r="B58" s="901">
        <v>32159.9</v>
      </c>
      <c r="C58" s="901">
        <v>129871.3</v>
      </c>
      <c r="D58" s="901">
        <v>16437.5</v>
      </c>
      <c r="E58" s="902">
        <v>6679.8</v>
      </c>
      <c r="F58" s="902">
        <v>5281.8</v>
      </c>
      <c r="G58" s="902">
        <v>5014.3999999999996</v>
      </c>
    </row>
    <row r="59" spans="1:7" ht="15">
      <c r="A59" s="900">
        <v>1989</v>
      </c>
      <c r="B59" s="901">
        <v>31337.599999999999</v>
      </c>
      <c r="C59" s="901">
        <v>136647.1</v>
      </c>
      <c r="D59" s="901">
        <v>16606.900000000001</v>
      </c>
      <c r="E59" s="902">
        <v>6780.3</v>
      </c>
      <c r="F59" s="902">
        <v>5397</v>
      </c>
      <c r="G59" s="902">
        <v>5124.3</v>
      </c>
    </row>
    <row r="60" spans="1:7" ht="15">
      <c r="A60" s="900">
        <v>1990</v>
      </c>
      <c r="B60" s="901">
        <v>28567.9</v>
      </c>
      <c r="C60" s="901">
        <v>135665.5</v>
      </c>
      <c r="D60" s="901">
        <v>16415.400000000001</v>
      </c>
      <c r="E60" s="902">
        <v>6879.3</v>
      </c>
      <c r="F60" s="902">
        <v>5454.1</v>
      </c>
      <c r="G60" s="902">
        <v>5114.3</v>
      </c>
    </row>
    <row r="61" spans="1:7" ht="15">
      <c r="A61" s="900">
        <v>1991</v>
      </c>
      <c r="B61" s="901">
        <v>23989.599999999999</v>
      </c>
      <c r="C61" s="901">
        <v>132197.1</v>
      </c>
      <c r="D61" s="901">
        <v>15142</v>
      </c>
      <c r="E61" s="902">
        <v>6969.5</v>
      </c>
      <c r="F61" s="902">
        <v>5458.1</v>
      </c>
      <c r="G61" s="902">
        <v>4932.1000000000004</v>
      </c>
    </row>
    <row r="62" spans="1:7" ht="15">
      <c r="A62" s="900">
        <v>1992</v>
      </c>
      <c r="B62" s="901">
        <v>22042</v>
      </c>
      <c r="C62" s="901">
        <v>128875.9</v>
      </c>
      <c r="D62" s="901">
        <v>14262.4</v>
      </c>
      <c r="E62" s="902">
        <v>7058.8</v>
      </c>
      <c r="F62" s="902">
        <v>5447.5</v>
      </c>
      <c r="G62" s="902">
        <v>4855.8</v>
      </c>
    </row>
    <row r="63" spans="1:7" ht="15">
      <c r="A63" s="900">
        <v>1993</v>
      </c>
      <c r="B63" s="901">
        <v>20902</v>
      </c>
      <c r="C63" s="901">
        <v>132897.9</v>
      </c>
      <c r="D63" s="901">
        <v>14665.6</v>
      </c>
      <c r="E63" s="902">
        <v>7128.9</v>
      </c>
      <c r="F63" s="902">
        <v>5466.3</v>
      </c>
      <c r="G63" s="902">
        <v>4864.3</v>
      </c>
    </row>
    <row r="64" spans="1:7" ht="15">
      <c r="A64" s="900">
        <v>1994</v>
      </c>
      <c r="B64" s="901">
        <v>21021.1</v>
      </c>
      <c r="C64" s="901">
        <v>136752.79999999999</v>
      </c>
      <c r="D64" s="901">
        <v>14596.5</v>
      </c>
      <c r="E64" s="902">
        <v>7205.3</v>
      </c>
      <c r="F64" s="902">
        <v>5461.1</v>
      </c>
      <c r="G64" s="902">
        <v>4931.6000000000004</v>
      </c>
    </row>
    <row r="65" spans="1:7" ht="15">
      <c r="A65" s="900">
        <v>1995</v>
      </c>
      <c r="B65" s="901">
        <v>20585.099999999999</v>
      </c>
      <c r="C65" s="901">
        <v>139248.1</v>
      </c>
      <c r="D65" s="901">
        <v>14386.5</v>
      </c>
      <c r="E65" s="902">
        <v>7296</v>
      </c>
      <c r="F65" s="902">
        <v>5503.6</v>
      </c>
      <c r="G65" s="902">
        <v>5018.2</v>
      </c>
    </row>
    <row r="66" spans="1:7" ht="15">
      <c r="A66" s="900">
        <v>1996</v>
      </c>
      <c r="B66" s="901">
        <v>20771.599999999999</v>
      </c>
      <c r="C66" s="901">
        <v>142922.5</v>
      </c>
      <c r="D66" s="901">
        <v>14994.6</v>
      </c>
      <c r="E66" s="902">
        <v>7391.6</v>
      </c>
      <c r="F66" s="902">
        <v>5598.7</v>
      </c>
      <c r="G66" s="902">
        <v>5088.6000000000004</v>
      </c>
    </row>
    <row r="67" spans="1:7" ht="15">
      <c r="A67" s="900">
        <v>1997</v>
      </c>
      <c r="B67" s="901">
        <v>20546.5</v>
      </c>
      <c r="C67" s="901">
        <v>147081.1</v>
      </c>
      <c r="D67" s="901">
        <v>15614.9</v>
      </c>
      <c r="E67" s="902">
        <v>7488.3</v>
      </c>
      <c r="F67" s="902">
        <v>5689.1</v>
      </c>
      <c r="G67" s="902">
        <v>5207</v>
      </c>
    </row>
    <row r="68" spans="1:7" ht="15">
      <c r="A68" s="900">
        <v>1998</v>
      </c>
      <c r="B68" s="901">
        <v>21284.9</v>
      </c>
      <c r="C68" s="901">
        <v>151673.5</v>
      </c>
      <c r="D68" s="901">
        <v>15906</v>
      </c>
      <c r="E68" s="902">
        <v>7590</v>
      </c>
      <c r="F68" s="902">
        <v>5788.9</v>
      </c>
      <c r="G68" s="902">
        <v>5367.5</v>
      </c>
    </row>
    <row r="69" spans="1:7" ht="15">
      <c r="A69" s="900">
        <v>1999</v>
      </c>
      <c r="B69" s="901">
        <v>23105</v>
      </c>
      <c r="C69" s="901">
        <v>155244</v>
      </c>
      <c r="D69" s="901">
        <v>17343.7</v>
      </c>
      <c r="E69" s="902">
        <v>7696.8</v>
      </c>
      <c r="F69" s="902">
        <v>5927.8</v>
      </c>
      <c r="G69" s="902">
        <v>5548.5</v>
      </c>
    </row>
    <row r="70" spans="1:7" ht="15">
      <c r="A70" s="900">
        <v>2000</v>
      </c>
      <c r="B70" s="901">
        <v>24458.7</v>
      </c>
      <c r="C70" s="901">
        <v>160083</v>
      </c>
      <c r="D70" s="901">
        <v>18629.7</v>
      </c>
      <c r="E70" s="902">
        <v>7838.8</v>
      </c>
      <c r="F70" s="902">
        <v>6081.4</v>
      </c>
      <c r="G70" s="902">
        <v>5728.6</v>
      </c>
    </row>
    <row r="71" spans="1:7" ht="15">
      <c r="A71" s="900">
        <v>2001</v>
      </c>
      <c r="B71" s="901">
        <v>24367.4</v>
      </c>
      <c r="C71" s="901">
        <v>159856.29999999999</v>
      </c>
      <c r="D71" s="901">
        <v>19292.599999999999</v>
      </c>
      <c r="E71" s="902">
        <v>8005.5</v>
      </c>
      <c r="F71" s="902">
        <v>6230.3</v>
      </c>
      <c r="G71" s="902">
        <v>5832</v>
      </c>
    </row>
    <row r="72" spans="1:7" ht="15">
      <c r="A72" s="900">
        <v>2002</v>
      </c>
      <c r="B72" s="901">
        <v>24630.5</v>
      </c>
      <c r="C72" s="901">
        <v>160866.20000000001</v>
      </c>
      <c r="D72" s="901">
        <v>20381.8</v>
      </c>
      <c r="E72" s="902">
        <v>8164.8</v>
      </c>
      <c r="F72" s="902">
        <v>6386.9</v>
      </c>
      <c r="G72" s="902">
        <v>5927</v>
      </c>
    </row>
    <row r="73" spans="1:7" ht="15">
      <c r="A73" s="900">
        <v>2003</v>
      </c>
      <c r="B73" s="901">
        <v>24664.2</v>
      </c>
      <c r="C73" s="901">
        <v>159764.70000000001</v>
      </c>
      <c r="D73" s="901">
        <v>22574.6</v>
      </c>
      <c r="E73" s="902">
        <v>8288.7000000000007</v>
      </c>
      <c r="F73" s="902">
        <v>6554.7</v>
      </c>
      <c r="G73" s="902">
        <v>6095.2</v>
      </c>
    </row>
    <row r="74" spans="1:7" ht="15">
      <c r="A74" s="900">
        <v>2004</v>
      </c>
      <c r="B74" s="901">
        <v>25425.1</v>
      </c>
      <c r="C74" s="901">
        <v>163663.20000000001</v>
      </c>
      <c r="D74" s="901">
        <v>24284.799999999999</v>
      </c>
      <c r="E74" s="902">
        <v>8418.2000000000007</v>
      </c>
      <c r="F74" s="902">
        <v>6650.9</v>
      </c>
      <c r="G74" s="902">
        <v>6195.4</v>
      </c>
    </row>
    <row r="75" spans="1:7" ht="15">
      <c r="A75" s="900">
        <v>2005</v>
      </c>
      <c r="B75" s="901">
        <v>25145.200000000001</v>
      </c>
      <c r="C75" s="901">
        <v>165379.29999999999</v>
      </c>
      <c r="D75" s="901">
        <v>25996.7</v>
      </c>
      <c r="E75" s="902">
        <v>8555.6</v>
      </c>
      <c r="F75" s="902">
        <v>6714.6</v>
      </c>
      <c r="G75" s="902">
        <v>6268</v>
      </c>
    </row>
    <row r="76" spans="1:7" ht="15">
      <c r="A76" s="900">
        <v>2006</v>
      </c>
      <c r="B76" s="901">
        <v>25493.3</v>
      </c>
      <c r="C76" s="901">
        <v>165282.1</v>
      </c>
      <c r="D76" s="901">
        <v>26879</v>
      </c>
      <c r="E76" s="902">
        <v>8681</v>
      </c>
      <c r="F76" s="902">
        <v>6792.3</v>
      </c>
      <c r="G76" s="902">
        <v>6363.7</v>
      </c>
    </row>
    <row r="77" spans="1:7" ht="15">
      <c r="A77" s="900">
        <v>2007</v>
      </c>
      <c r="B77" s="901">
        <v>25697</v>
      </c>
      <c r="C77" s="901">
        <v>167504.79999999999</v>
      </c>
      <c r="D77" s="901">
        <v>28708.7</v>
      </c>
      <c r="E77" s="902">
        <v>8777.6</v>
      </c>
      <c r="F77" s="902">
        <v>6893.8</v>
      </c>
      <c r="G77" s="902">
        <v>6450.6</v>
      </c>
    </row>
  </sheetData>
  <phoneticPr fontId="36" type="noConversion"/>
  <pageMargins left="0.75" right="0.75" top="1" bottom="1" header="0.5" footer="0.5"/>
  <pageSetup scale="89" orientation="portrait" r:id="rId1"/>
  <headerFooter alignWithMargins="0"/>
</worksheet>
</file>

<file path=xl/worksheets/sheet192.xml><?xml version="1.0" encoding="utf-8"?>
<worksheet xmlns="http://schemas.openxmlformats.org/spreadsheetml/2006/main" xmlns:r="http://schemas.openxmlformats.org/officeDocument/2006/relationships">
  <sheetPr codeName="Sheet164">
    <pageSetUpPr fitToPage="1"/>
  </sheetPr>
  <dimension ref="A1:K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2236</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15317.9</v>
      </c>
      <c r="C5" s="232">
        <f>E46</f>
        <v>638.9</v>
      </c>
      <c r="D5" s="232">
        <f>F46</f>
        <v>447.5</v>
      </c>
      <c r="E5" s="232">
        <f>G46</f>
        <v>426.5</v>
      </c>
      <c r="F5" s="701">
        <f t="shared" ref="F5:F34" si="0">B5/C5</f>
        <v>23.975426514321491</v>
      </c>
      <c r="G5" s="701">
        <f t="shared" ref="G5:G34" si="1">B5/E5</f>
        <v>35.915357561547481</v>
      </c>
      <c r="H5" s="701">
        <f t="shared" ref="H5:H34" si="2">D5/C5*100</f>
        <v>70.042260134606366</v>
      </c>
      <c r="I5" s="701">
        <f t="shared" ref="I5:I34" si="3">E5/C5*100</f>
        <v>66.755360776334328</v>
      </c>
      <c r="J5" s="692">
        <f t="shared" ref="J5:J34" si="4">(D5-E5)/D5*100</f>
        <v>4.6927374301675977</v>
      </c>
    </row>
    <row r="6" spans="1:10">
      <c r="A6" s="452">
        <v>1977</v>
      </c>
      <c r="B6" s="19">
        <f t="shared" ref="B6:B36" si="5">SUM(B47:D47)</f>
        <v>15413.300000000001</v>
      </c>
      <c r="C6" s="232">
        <f t="shared" ref="C6:E21" si="6">E47</f>
        <v>645.70000000000005</v>
      </c>
      <c r="D6" s="232">
        <f t="shared" si="6"/>
        <v>455.3</v>
      </c>
      <c r="E6" s="232">
        <f t="shared" si="6"/>
        <v>429.2</v>
      </c>
      <c r="F6" s="701">
        <f t="shared" si="0"/>
        <v>23.87068297971194</v>
      </c>
      <c r="G6" s="701">
        <f t="shared" si="1"/>
        <v>35.911696178937561</v>
      </c>
      <c r="H6" s="701">
        <f t="shared" si="2"/>
        <v>70.512621960662841</v>
      </c>
      <c r="I6" s="701">
        <f t="shared" si="3"/>
        <v>66.470497134892355</v>
      </c>
      <c r="J6" s="692">
        <f t="shared" si="4"/>
        <v>5.732484076433126</v>
      </c>
    </row>
    <row r="7" spans="1:10">
      <c r="A7" s="452">
        <v>1978</v>
      </c>
      <c r="B7" s="19">
        <f t="shared" si="5"/>
        <v>15689.1</v>
      </c>
      <c r="C7" s="232">
        <f t="shared" si="6"/>
        <v>650.5</v>
      </c>
      <c r="D7" s="232">
        <f t="shared" si="6"/>
        <v>465.4</v>
      </c>
      <c r="E7" s="232">
        <f t="shared" si="6"/>
        <v>434.5</v>
      </c>
      <c r="F7" s="701">
        <f t="shared" si="0"/>
        <v>24.118524212144504</v>
      </c>
      <c r="G7" s="701">
        <f t="shared" si="1"/>
        <v>36.108400460299194</v>
      </c>
      <c r="H7" s="701">
        <f t="shared" si="2"/>
        <v>71.544965411222122</v>
      </c>
      <c r="I7" s="701">
        <f t="shared" si="3"/>
        <v>66.79477325134512</v>
      </c>
      <c r="J7" s="692">
        <f t="shared" si="4"/>
        <v>6.6394499355393171</v>
      </c>
    </row>
    <row r="8" spans="1:10">
      <c r="A8" s="452">
        <v>1979</v>
      </c>
      <c r="B8" s="19">
        <f t="shared" si="5"/>
        <v>16296.2</v>
      </c>
      <c r="C8" s="232">
        <f t="shared" si="6"/>
        <v>650.4</v>
      </c>
      <c r="D8" s="232">
        <f t="shared" si="6"/>
        <v>470.9</v>
      </c>
      <c r="E8" s="232">
        <f t="shared" si="6"/>
        <v>444.6</v>
      </c>
      <c r="F8" s="701">
        <f t="shared" si="0"/>
        <v>25.055658056580569</v>
      </c>
      <c r="G8" s="701">
        <f t="shared" si="1"/>
        <v>36.653621232568604</v>
      </c>
      <c r="H8" s="701">
        <f t="shared" si="2"/>
        <v>72.401599015990158</v>
      </c>
      <c r="I8" s="701">
        <f t="shared" si="3"/>
        <v>68.357933579335793</v>
      </c>
      <c r="J8" s="692">
        <f t="shared" si="4"/>
        <v>5.5850499044383</v>
      </c>
    </row>
    <row r="9" spans="1:10">
      <c r="A9" s="452">
        <v>1980</v>
      </c>
      <c r="B9" s="19">
        <f t="shared" si="5"/>
        <v>16046.800000000001</v>
      </c>
      <c r="C9" s="232">
        <f t="shared" si="6"/>
        <v>650.6</v>
      </c>
      <c r="D9" s="232">
        <f t="shared" si="6"/>
        <v>478.6</v>
      </c>
      <c r="E9" s="232">
        <f t="shared" si="6"/>
        <v>452</v>
      </c>
      <c r="F9" s="701">
        <f t="shared" si="0"/>
        <v>24.664617276360282</v>
      </c>
      <c r="G9" s="701">
        <f t="shared" si="1"/>
        <v>35.501769911504425</v>
      </c>
      <c r="H9" s="701">
        <f t="shared" si="2"/>
        <v>73.56286504764833</v>
      </c>
      <c r="I9" s="701">
        <f t="shared" si="3"/>
        <v>69.47433138641253</v>
      </c>
      <c r="J9" s="692">
        <f t="shared" si="4"/>
        <v>5.5578771416631891</v>
      </c>
    </row>
    <row r="10" spans="1:10">
      <c r="A10" s="452">
        <v>1981</v>
      </c>
      <c r="B10" s="19">
        <f t="shared" si="5"/>
        <v>16179.2</v>
      </c>
      <c r="C10" s="232">
        <f t="shared" si="6"/>
        <v>653.1</v>
      </c>
      <c r="D10" s="232">
        <f t="shared" si="6"/>
        <v>488.6</v>
      </c>
      <c r="E10" s="232">
        <f t="shared" si="6"/>
        <v>459.1</v>
      </c>
      <c r="F10" s="701">
        <f t="shared" si="0"/>
        <v>24.772929107334253</v>
      </c>
      <c r="G10" s="701">
        <f t="shared" si="1"/>
        <v>35.241123938139836</v>
      </c>
      <c r="H10" s="701">
        <f t="shared" si="2"/>
        <v>74.812433011789921</v>
      </c>
      <c r="I10" s="701">
        <f t="shared" si="3"/>
        <v>70.295513703873837</v>
      </c>
      <c r="J10" s="692">
        <f t="shared" si="4"/>
        <v>6.037658616455178</v>
      </c>
    </row>
    <row r="11" spans="1:10">
      <c r="A11" s="452">
        <v>1982</v>
      </c>
      <c r="B11" s="19">
        <f t="shared" si="5"/>
        <v>15707.100000000002</v>
      </c>
      <c r="C11" s="232">
        <f t="shared" si="6"/>
        <v>659.8</v>
      </c>
      <c r="D11" s="232">
        <f t="shared" si="6"/>
        <v>492.5</v>
      </c>
      <c r="E11" s="232">
        <f t="shared" si="6"/>
        <v>449.9</v>
      </c>
      <c r="F11" s="701">
        <f t="shared" si="0"/>
        <v>23.805850257653841</v>
      </c>
      <c r="G11" s="701">
        <f t="shared" si="1"/>
        <v>34.912424983329636</v>
      </c>
      <c r="H11" s="701">
        <f t="shared" si="2"/>
        <v>74.643831464080037</v>
      </c>
      <c r="I11" s="701">
        <f t="shared" si="3"/>
        <v>68.187329493785995</v>
      </c>
      <c r="J11" s="692">
        <f t="shared" si="4"/>
        <v>8.6497461928934047</v>
      </c>
    </row>
    <row r="12" spans="1:10">
      <c r="A12" s="452">
        <v>1983</v>
      </c>
      <c r="B12" s="19">
        <f t="shared" si="5"/>
        <v>15983.9</v>
      </c>
      <c r="C12" s="232">
        <f t="shared" si="6"/>
        <v>669.1</v>
      </c>
      <c r="D12" s="232">
        <f t="shared" si="6"/>
        <v>506.4</v>
      </c>
      <c r="E12" s="232">
        <f t="shared" si="6"/>
        <v>457.5</v>
      </c>
      <c r="F12" s="701">
        <f t="shared" si="0"/>
        <v>23.888656404124944</v>
      </c>
      <c r="G12" s="701">
        <f t="shared" si="1"/>
        <v>34.937486338797811</v>
      </c>
      <c r="H12" s="701">
        <f t="shared" si="2"/>
        <v>75.683754296816616</v>
      </c>
      <c r="I12" s="701">
        <f t="shared" si="3"/>
        <v>68.375429681661942</v>
      </c>
      <c r="J12" s="692">
        <f t="shared" si="4"/>
        <v>9.6563981042653992</v>
      </c>
    </row>
    <row r="13" spans="1:10">
      <c r="A13" s="452">
        <v>1984</v>
      </c>
      <c r="B13" s="19">
        <f t="shared" si="5"/>
        <v>16561.2</v>
      </c>
      <c r="C13" s="232">
        <f t="shared" si="6"/>
        <v>676.7</v>
      </c>
      <c r="D13" s="232">
        <f t="shared" si="6"/>
        <v>513.79999999999995</v>
      </c>
      <c r="E13" s="232">
        <f t="shared" si="6"/>
        <v>469.2</v>
      </c>
      <c r="F13" s="701">
        <f t="shared" si="0"/>
        <v>24.473474213092949</v>
      </c>
      <c r="G13" s="701">
        <f t="shared" si="1"/>
        <v>35.296675191815858</v>
      </c>
      <c r="H13" s="701">
        <f t="shared" si="2"/>
        <v>75.9272942219595</v>
      </c>
      <c r="I13" s="701">
        <f t="shared" si="3"/>
        <v>69.336485887394701</v>
      </c>
      <c r="J13" s="692">
        <f t="shared" si="4"/>
        <v>8.6804203970416456</v>
      </c>
    </row>
    <row r="14" spans="1:10">
      <c r="A14" s="452">
        <v>1985</v>
      </c>
      <c r="B14" s="19">
        <f t="shared" si="5"/>
        <v>16741.400000000001</v>
      </c>
      <c r="C14" s="232">
        <f t="shared" si="6"/>
        <v>683.3</v>
      </c>
      <c r="D14" s="232">
        <f t="shared" si="6"/>
        <v>519.79999999999995</v>
      </c>
      <c r="E14" s="232">
        <f t="shared" si="6"/>
        <v>475.3</v>
      </c>
      <c r="F14" s="701">
        <f t="shared" si="0"/>
        <v>24.500804917313044</v>
      </c>
      <c r="G14" s="701">
        <f t="shared" si="1"/>
        <v>35.222806648432574</v>
      </c>
      <c r="H14" s="701">
        <f t="shared" si="2"/>
        <v>76.072003512366464</v>
      </c>
      <c r="I14" s="701">
        <f t="shared" si="3"/>
        <v>69.559490706863755</v>
      </c>
      <c r="J14" s="692">
        <f t="shared" si="4"/>
        <v>8.560984994228539</v>
      </c>
    </row>
    <row r="15" spans="1:10">
      <c r="A15" s="452">
        <v>1986</v>
      </c>
      <c r="B15" s="19">
        <f t="shared" si="5"/>
        <v>17194.900000000001</v>
      </c>
      <c r="C15" s="232">
        <f t="shared" si="6"/>
        <v>688.8</v>
      </c>
      <c r="D15" s="232">
        <f t="shared" si="6"/>
        <v>530.5</v>
      </c>
      <c r="E15" s="232">
        <f t="shared" si="6"/>
        <v>488.6</v>
      </c>
      <c r="F15" s="701">
        <f t="shared" si="0"/>
        <v>24.963559814169574</v>
      </c>
      <c r="G15" s="701">
        <f t="shared" si="1"/>
        <v>35.192181743757679</v>
      </c>
      <c r="H15" s="701">
        <f t="shared" si="2"/>
        <v>77.018002322880378</v>
      </c>
      <c r="I15" s="701">
        <f t="shared" si="3"/>
        <v>70.934959349593512</v>
      </c>
      <c r="J15" s="692">
        <f t="shared" si="4"/>
        <v>7.8982092365692704</v>
      </c>
    </row>
    <row r="16" spans="1:10">
      <c r="A16" s="452">
        <v>1987</v>
      </c>
      <c r="B16" s="19">
        <f t="shared" si="5"/>
        <v>17203.3</v>
      </c>
      <c r="C16" s="232">
        <f t="shared" si="6"/>
        <v>691</v>
      </c>
      <c r="D16" s="232">
        <f t="shared" si="6"/>
        <v>535.20000000000005</v>
      </c>
      <c r="E16" s="232">
        <f t="shared" si="6"/>
        <v>494.6</v>
      </c>
      <c r="F16" s="701">
        <f t="shared" si="0"/>
        <v>24.896237337192474</v>
      </c>
      <c r="G16" s="701">
        <f t="shared" si="1"/>
        <v>34.782248281439543</v>
      </c>
      <c r="H16" s="701">
        <f t="shared" si="2"/>
        <v>77.452966714905941</v>
      </c>
      <c r="I16" s="701">
        <f t="shared" si="3"/>
        <v>71.577424023154862</v>
      </c>
      <c r="J16" s="692">
        <f t="shared" si="4"/>
        <v>7.5859491778774322</v>
      </c>
    </row>
    <row r="17" spans="1:11">
      <c r="A17" s="452">
        <v>1988</v>
      </c>
      <c r="B17" s="19">
        <f t="shared" si="5"/>
        <v>17442.900000000001</v>
      </c>
      <c r="C17" s="232">
        <f t="shared" si="6"/>
        <v>691.5</v>
      </c>
      <c r="D17" s="232">
        <f t="shared" si="6"/>
        <v>538.79999999999995</v>
      </c>
      <c r="E17" s="232">
        <f t="shared" si="6"/>
        <v>496.5</v>
      </c>
      <c r="F17" s="701">
        <f t="shared" si="0"/>
        <v>25.224728850325381</v>
      </c>
      <c r="G17" s="701">
        <f t="shared" si="1"/>
        <v>35.131722054380667</v>
      </c>
      <c r="H17" s="701">
        <f t="shared" si="2"/>
        <v>77.917570498915396</v>
      </c>
      <c r="I17" s="701">
        <f t="shared" si="3"/>
        <v>71.800433839479396</v>
      </c>
      <c r="J17" s="692">
        <f t="shared" si="4"/>
        <v>7.8507795100222637</v>
      </c>
    </row>
    <row r="18" spans="1:11">
      <c r="A18" s="452">
        <v>1989</v>
      </c>
      <c r="B18" s="19">
        <f t="shared" si="5"/>
        <v>18048.899999999998</v>
      </c>
      <c r="C18" s="232">
        <f t="shared" si="6"/>
        <v>690</v>
      </c>
      <c r="D18" s="232">
        <f t="shared" si="6"/>
        <v>542.6</v>
      </c>
      <c r="E18" s="232">
        <f t="shared" si="6"/>
        <v>501.4</v>
      </c>
      <c r="F18" s="701">
        <f t="shared" si="0"/>
        <v>26.157826086956518</v>
      </c>
      <c r="G18" s="701">
        <f t="shared" si="1"/>
        <v>35.997008376545672</v>
      </c>
      <c r="H18" s="701">
        <f t="shared" si="2"/>
        <v>78.637681159420296</v>
      </c>
      <c r="I18" s="701">
        <f t="shared" si="3"/>
        <v>72.666666666666671</v>
      </c>
      <c r="J18" s="692">
        <f t="shared" si="4"/>
        <v>7.5930704017692667</v>
      </c>
    </row>
    <row r="19" spans="1:11">
      <c r="A19" s="452">
        <v>1990</v>
      </c>
      <c r="B19" s="19">
        <f t="shared" si="5"/>
        <v>17905.900000000001</v>
      </c>
      <c r="C19" s="232">
        <f t="shared" si="6"/>
        <v>689.5</v>
      </c>
      <c r="D19" s="232">
        <f t="shared" si="6"/>
        <v>544.1</v>
      </c>
      <c r="E19" s="232">
        <f t="shared" si="6"/>
        <v>503.4</v>
      </c>
      <c r="F19" s="701">
        <f t="shared" si="0"/>
        <v>25.969398114575782</v>
      </c>
      <c r="G19" s="701">
        <f t="shared" si="1"/>
        <v>35.569924513309502</v>
      </c>
      <c r="H19" s="701">
        <f t="shared" si="2"/>
        <v>78.912255257432932</v>
      </c>
      <c r="I19" s="701">
        <f t="shared" si="3"/>
        <v>73.009427121102249</v>
      </c>
      <c r="J19" s="692">
        <f t="shared" si="4"/>
        <v>7.4802426024627904</v>
      </c>
    </row>
    <row r="20" spans="1:11">
      <c r="A20" s="452">
        <v>1991</v>
      </c>
      <c r="B20" s="19">
        <f t="shared" si="5"/>
        <v>17152.400000000001</v>
      </c>
      <c r="C20" s="232">
        <f t="shared" si="6"/>
        <v>690.4</v>
      </c>
      <c r="D20" s="232">
        <f t="shared" si="6"/>
        <v>542.70000000000005</v>
      </c>
      <c r="E20" s="232">
        <f t="shared" si="6"/>
        <v>495.4</v>
      </c>
      <c r="F20" s="701">
        <f t="shared" si="0"/>
        <v>24.844148319814604</v>
      </c>
      <c r="G20" s="701">
        <f t="shared" si="1"/>
        <v>34.62333467904724</v>
      </c>
      <c r="H20" s="701">
        <f t="shared" si="2"/>
        <v>78.606604866743922</v>
      </c>
      <c r="I20" s="701">
        <f t="shared" si="3"/>
        <v>71.755504055619937</v>
      </c>
      <c r="J20" s="692">
        <f t="shared" si="4"/>
        <v>8.715680854984349</v>
      </c>
    </row>
    <row r="21" spans="1:11">
      <c r="A21" s="452">
        <v>1992</v>
      </c>
      <c r="B21" s="19">
        <f t="shared" si="5"/>
        <v>16782.7</v>
      </c>
      <c r="C21" s="232">
        <f t="shared" si="6"/>
        <v>690.2</v>
      </c>
      <c r="D21" s="232">
        <f t="shared" si="6"/>
        <v>540.6</v>
      </c>
      <c r="E21" s="232">
        <f t="shared" si="6"/>
        <v>490.3</v>
      </c>
      <c r="F21" s="701">
        <f t="shared" si="0"/>
        <v>24.31570559258186</v>
      </c>
      <c r="G21" s="701">
        <f t="shared" si="1"/>
        <v>34.22945135631246</v>
      </c>
      <c r="H21" s="701">
        <f t="shared" si="2"/>
        <v>78.325123152709352</v>
      </c>
      <c r="I21" s="701">
        <f t="shared" si="3"/>
        <v>71.037380469429152</v>
      </c>
      <c r="J21" s="692">
        <f t="shared" si="4"/>
        <v>9.304476507584166</v>
      </c>
    </row>
    <row r="22" spans="1:11">
      <c r="A22" s="452">
        <v>1993</v>
      </c>
      <c r="B22" s="19">
        <f t="shared" si="5"/>
        <v>17184.900000000001</v>
      </c>
      <c r="C22" s="232">
        <f t="shared" ref="C22:E36" si="7">E63</f>
        <v>691.3</v>
      </c>
      <c r="D22" s="232">
        <f t="shared" si="7"/>
        <v>544.4</v>
      </c>
      <c r="E22" s="232">
        <f t="shared" si="7"/>
        <v>493.1</v>
      </c>
      <c r="F22" s="701">
        <f t="shared" si="0"/>
        <v>24.858816722117751</v>
      </c>
      <c r="G22" s="701">
        <f t="shared" si="1"/>
        <v>34.850740214966542</v>
      </c>
      <c r="H22" s="701">
        <f t="shared" si="2"/>
        <v>78.750180818747296</v>
      </c>
      <c r="I22" s="701">
        <f t="shared" si="3"/>
        <v>71.329379430059319</v>
      </c>
      <c r="J22" s="692">
        <f t="shared" si="4"/>
        <v>9.4232182218956577</v>
      </c>
    </row>
    <row r="23" spans="1:11">
      <c r="A23" s="452">
        <v>1994</v>
      </c>
      <c r="B23" s="19">
        <f t="shared" si="5"/>
        <v>17509.399999999998</v>
      </c>
      <c r="C23" s="232">
        <f t="shared" si="7"/>
        <v>692.8</v>
      </c>
      <c r="D23" s="232">
        <f t="shared" si="7"/>
        <v>544.9</v>
      </c>
      <c r="E23" s="232">
        <f t="shared" si="7"/>
        <v>496.8</v>
      </c>
      <c r="F23" s="701">
        <f t="shared" si="0"/>
        <v>25.27338337182448</v>
      </c>
      <c r="G23" s="701">
        <f t="shared" si="1"/>
        <v>35.24436392914653</v>
      </c>
      <c r="H23" s="701">
        <f t="shared" si="2"/>
        <v>78.651847575057744</v>
      </c>
      <c r="I23" s="701">
        <f t="shared" si="3"/>
        <v>71.709006928406467</v>
      </c>
      <c r="J23" s="692">
        <f t="shared" si="4"/>
        <v>8.8273077628922678</v>
      </c>
    </row>
    <row r="24" spans="1:11">
      <c r="A24" s="452">
        <v>1995</v>
      </c>
      <c r="B24" s="19">
        <f t="shared" si="5"/>
        <v>17733.900000000001</v>
      </c>
      <c r="C24" s="232">
        <f t="shared" si="7"/>
        <v>694.7</v>
      </c>
      <c r="D24" s="232">
        <f t="shared" si="7"/>
        <v>546.70000000000005</v>
      </c>
      <c r="E24" s="232">
        <f t="shared" si="7"/>
        <v>506.6</v>
      </c>
      <c r="F24" s="701">
        <f t="shared" si="0"/>
        <v>25.527421908737583</v>
      </c>
      <c r="G24" s="701">
        <f t="shared" si="1"/>
        <v>35.005724437425975</v>
      </c>
      <c r="H24" s="701">
        <f t="shared" si="2"/>
        <v>78.695839930905436</v>
      </c>
      <c r="I24" s="701">
        <f t="shared" si="3"/>
        <v>72.923564128400741</v>
      </c>
      <c r="J24" s="692">
        <f t="shared" si="4"/>
        <v>7.3349186025242403</v>
      </c>
    </row>
    <row r="25" spans="1:11">
      <c r="A25" s="452">
        <v>1996</v>
      </c>
      <c r="B25" s="19">
        <f t="shared" si="5"/>
        <v>17971.2</v>
      </c>
      <c r="C25" s="232">
        <f t="shared" si="7"/>
        <v>697.9</v>
      </c>
      <c r="D25" s="232">
        <f t="shared" si="7"/>
        <v>548.4</v>
      </c>
      <c r="E25" s="232">
        <f t="shared" si="7"/>
        <v>508</v>
      </c>
      <c r="F25" s="701">
        <f t="shared" si="0"/>
        <v>25.750394039260641</v>
      </c>
      <c r="G25" s="701">
        <f t="shared" si="1"/>
        <v>35.376377952755909</v>
      </c>
      <c r="H25" s="701">
        <f t="shared" si="2"/>
        <v>78.578592921622004</v>
      </c>
      <c r="I25" s="701">
        <f t="shared" si="3"/>
        <v>72.789797965324539</v>
      </c>
      <c r="J25" s="692">
        <f t="shared" si="4"/>
        <v>7.3668854850474075</v>
      </c>
    </row>
    <row r="26" spans="1:11">
      <c r="A26" s="452">
        <v>1997</v>
      </c>
      <c r="B26" s="19">
        <f t="shared" si="5"/>
        <v>18401.400000000001</v>
      </c>
      <c r="C26" s="232">
        <f t="shared" si="7"/>
        <v>700</v>
      </c>
      <c r="D26" s="232">
        <f t="shared" si="7"/>
        <v>551.70000000000005</v>
      </c>
      <c r="E26" s="232">
        <f t="shared" si="7"/>
        <v>515.5</v>
      </c>
      <c r="F26" s="701">
        <f t="shared" si="0"/>
        <v>26.287714285714287</v>
      </c>
      <c r="G26" s="701">
        <f t="shared" si="1"/>
        <v>35.696217264791464</v>
      </c>
      <c r="H26" s="701">
        <f t="shared" si="2"/>
        <v>78.814285714285731</v>
      </c>
      <c r="I26" s="701">
        <f t="shared" si="3"/>
        <v>73.642857142857139</v>
      </c>
      <c r="J26" s="692">
        <f t="shared" si="4"/>
        <v>6.5615370672466993</v>
      </c>
    </row>
    <row r="27" spans="1:11">
      <c r="A27" s="452">
        <v>1998</v>
      </c>
      <c r="B27" s="19">
        <f t="shared" si="5"/>
        <v>18501.400000000001</v>
      </c>
      <c r="C27" s="232">
        <f t="shared" si="7"/>
        <v>701.8</v>
      </c>
      <c r="D27" s="232">
        <f t="shared" si="7"/>
        <v>554.9</v>
      </c>
      <c r="E27" s="232">
        <f t="shared" si="7"/>
        <v>523.4</v>
      </c>
      <c r="F27" s="701">
        <f t="shared" si="0"/>
        <v>26.362781419207757</v>
      </c>
      <c r="G27" s="701">
        <f t="shared" si="1"/>
        <v>35.348490638135274</v>
      </c>
      <c r="H27" s="701">
        <f t="shared" si="2"/>
        <v>79.06811057281277</v>
      </c>
      <c r="I27" s="701">
        <f t="shared" si="3"/>
        <v>74.579652322599031</v>
      </c>
      <c r="J27" s="692">
        <f t="shared" si="4"/>
        <v>5.6766985042349978</v>
      </c>
    </row>
    <row r="28" spans="1:11">
      <c r="A28" s="452">
        <v>1999</v>
      </c>
      <c r="B28" s="19">
        <f t="shared" si="5"/>
        <v>18669.2</v>
      </c>
      <c r="C28" s="232">
        <f t="shared" si="7"/>
        <v>706.7</v>
      </c>
      <c r="D28" s="232">
        <f t="shared" si="7"/>
        <v>562.6</v>
      </c>
      <c r="E28" s="232">
        <f t="shared" si="7"/>
        <v>530.4</v>
      </c>
      <c r="F28" s="701">
        <f t="shared" si="0"/>
        <v>26.41743313994623</v>
      </c>
      <c r="G28" s="701">
        <f t="shared" si="1"/>
        <v>35.198340874811464</v>
      </c>
      <c r="H28" s="701">
        <f t="shared" si="2"/>
        <v>79.609452384321486</v>
      </c>
      <c r="I28" s="701">
        <f t="shared" si="3"/>
        <v>75.053063534738911</v>
      </c>
      <c r="J28" s="692">
        <f t="shared" si="4"/>
        <v>5.7234269463206617</v>
      </c>
    </row>
    <row r="29" spans="1:11">
      <c r="A29" s="452">
        <v>2000</v>
      </c>
      <c r="B29" s="19">
        <f t="shared" si="5"/>
        <v>19160.399999999998</v>
      </c>
      <c r="C29" s="232">
        <f t="shared" si="7"/>
        <v>711.8</v>
      </c>
      <c r="D29" s="232">
        <f t="shared" si="7"/>
        <v>569.1</v>
      </c>
      <c r="E29" s="232">
        <f t="shared" si="7"/>
        <v>540.5</v>
      </c>
      <c r="F29" s="701">
        <f t="shared" si="0"/>
        <v>26.918235459398705</v>
      </c>
      <c r="G29" s="701">
        <f t="shared" si="1"/>
        <v>35.449398704902862</v>
      </c>
      <c r="H29" s="701">
        <f t="shared" si="2"/>
        <v>79.952233773531901</v>
      </c>
      <c r="I29" s="701">
        <f t="shared" si="3"/>
        <v>75.934251194155664</v>
      </c>
      <c r="J29" s="692">
        <f t="shared" si="4"/>
        <v>5.0254788262168368</v>
      </c>
    </row>
    <row r="30" spans="1:11">
      <c r="A30" s="452">
        <v>2001</v>
      </c>
      <c r="B30" s="19">
        <f t="shared" si="5"/>
        <v>19015</v>
      </c>
      <c r="C30" s="232">
        <f t="shared" si="7"/>
        <v>716.5</v>
      </c>
      <c r="D30" s="232">
        <f t="shared" si="7"/>
        <v>572.79999999999995</v>
      </c>
      <c r="E30" s="232">
        <f t="shared" si="7"/>
        <v>543.6</v>
      </c>
      <c r="F30" s="701">
        <f t="shared" si="0"/>
        <v>26.538729937194695</v>
      </c>
      <c r="G30" s="701">
        <f t="shared" si="1"/>
        <v>34.97976453274466</v>
      </c>
      <c r="H30" s="701">
        <f t="shared" si="2"/>
        <v>79.944173063503129</v>
      </c>
      <c r="I30" s="701">
        <f t="shared" si="3"/>
        <v>75.86880669923238</v>
      </c>
      <c r="J30" s="692">
        <f t="shared" si="4"/>
        <v>5.0977653631284801</v>
      </c>
    </row>
    <row r="31" spans="1:11">
      <c r="A31" s="452">
        <v>2002</v>
      </c>
      <c r="B31" s="19">
        <f t="shared" si="5"/>
        <v>19163.599999999999</v>
      </c>
      <c r="C31" s="232">
        <f t="shared" si="7"/>
        <v>721.6</v>
      </c>
      <c r="D31" s="232">
        <f t="shared" si="7"/>
        <v>587.4</v>
      </c>
      <c r="E31" s="232">
        <f t="shared" si="7"/>
        <v>557.1</v>
      </c>
      <c r="F31" s="701">
        <f t="shared" si="0"/>
        <v>26.557095343680707</v>
      </c>
      <c r="G31" s="701">
        <f t="shared" si="1"/>
        <v>34.398851193681558</v>
      </c>
      <c r="H31" s="701">
        <f t="shared" si="2"/>
        <v>81.402439024390233</v>
      </c>
      <c r="I31" s="701">
        <f t="shared" si="3"/>
        <v>77.203436807095343</v>
      </c>
      <c r="J31" s="692">
        <f t="shared" si="4"/>
        <v>5.1583248212461621</v>
      </c>
    </row>
    <row r="32" spans="1:11">
      <c r="A32" s="452">
        <v>2003</v>
      </c>
      <c r="B32" s="19">
        <f t="shared" si="5"/>
        <v>19119.900000000001</v>
      </c>
      <c r="C32" s="232">
        <f t="shared" si="7"/>
        <v>728.2</v>
      </c>
      <c r="D32" s="232">
        <f t="shared" si="7"/>
        <v>588.5</v>
      </c>
      <c r="E32" s="232">
        <f t="shared" si="7"/>
        <v>558.79999999999995</v>
      </c>
      <c r="F32" s="701">
        <f t="shared" si="0"/>
        <v>26.256385608349355</v>
      </c>
      <c r="G32" s="701">
        <f t="shared" si="1"/>
        <v>34.215998568360781</v>
      </c>
      <c r="H32" s="701">
        <f t="shared" si="2"/>
        <v>80.815709969788514</v>
      </c>
      <c r="I32" s="701">
        <f t="shared" si="3"/>
        <v>76.737160120845914</v>
      </c>
      <c r="J32" s="692">
        <f t="shared" si="4"/>
        <v>5.0467289719626249</v>
      </c>
      <c r="K32" s="673"/>
    </row>
    <row r="33" spans="1:10">
      <c r="A33" s="452">
        <v>2004</v>
      </c>
      <c r="B33" s="19">
        <f t="shared" si="5"/>
        <v>19330.2</v>
      </c>
      <c r="C33" s="232">
        <f t="shared" si="7"/>
        <v>736.1</v>
      </c>
      <c r="D33" s="232">
        <f t="shared" si="7"/>
        <v>596.70000000000005</v>
      </c>
      <c r="E33" s="232">
        <f t="shared" si="7"/>
        <v>564.6</v>
      </c>
      <c r="F33" s="701">
        <f t="shared" si="0"/>
        <v>26.26029072136938</v>
      </c>
      <c r="G33" s="701">
        <f t="shared" si="1"/>
        <v>34.236981934112649</v>
      </c>
      <c r="H33" s="701">
        <f t="shared" si="2"/>
        <v>81.062355658198612</v>
      </c>
      <c r="I33" s="701">
        <f t="shared" si="3"/>
        <v>76.701535117511213</v>
      </c>
      <c r="J33" s="692">
        <f t="shared" si="4"/>
        <v>5.3795877325289121</v>
      </c>
    </row>
    <row r="34" spans="1:10">
      <c r="A34" s="452">
        <v>2005</v>
      </c>
      <c r="B34" s="19">
        <f t="shared" si="5"/>
        <v>19542.899999999998</v>
      </c>
      <c r="C34" s="232">
        <f t="shared" si="7"/>
        <v>742.7</v>
      </c>
      <c r="D34" s="232">
        <f t="shared" si="7"/>
        <v>596.4</v>
      </c>
      <c r="E34" s="232">
        <f t="shared" si="7"/>
        <v>567.5</v>
      </c>
      <c r="F34" s="702">
        <f t="shared" si="0"/>
        <v>26.313316278443512</v>
      </c>
      <c r="G34" s="702">
        <f t="shared" si="1"/>
        <v>34.436828193832596</v>
      </c>
      <c r="H34" s="702">
        <f t="shared" si="2"/>
        <v>80.301602262016957</v>
      </c>
      <c r="I34" s="702">
        <f t="shared" si="3"/>
        <v>76.410394506530224</v>
      </c>
      <c r="J34" s="692">
        <f t="shared" si="4"/>
        <v>4.8457411133467438</v>
      </c>
    </row>
    <row r="35" spans="1:10" s="703" customFormat="1">
      <c r="A35" s="452">
        <v>2006</v>
      </c>
      <c r="B35" s="19">
        <f t="shared" si="5"/>
        <v>19758</v>
      </c>
      <c r="C35" s="232">
        <f t="shared" si="7"/>
        <v>745.7</v>
      </c>
      <c r="D35" s="232">
        <f t="shared" si="7"/>
        <v>598.9</v>
      </c>
      <c r="E35" s="232">
        <f t="shared" si="7"/>
        <v>572.70000000000005</v>
      </c>
      <c r="F35" s="702">
        <f>B35/C35</f>
        <v>26.495909883331098</v>
      </c>
      <c r="G35" s="702">
        <f>B35/E35</f>
        <v>34.499738082765845</v>
      </c>
      <c r="H35" s="702">
        <f>D35/C35*100</f>
        <v>80.313799114925573</v>
      </c>
      <c r="I35" s="702">
        <f>E35/C35*100</f>
        <v>76.800321845246074</v>
      </c>
      <c r="J35" s="692">
        <f>(D35-E35)/D35*100</f>
        <v>4.3746869260310453</v>
      </c>
    </row>
    <row r="36" spans="1:10" s="703" customFormat="1">
      <c r="A36" s="452">
        <v>2007</v>
      </c>
      <c r="B36" s="19">
        <f t="shared" si="5"/>
        <v>20268</v>
      </c>
      <c r="C36" s="232">
        <f t="shared" si="7"/>
        <v>751.1</v>
      </c>
      <c r="D36" s="232">
        <f t="shared" si="7"/>
        <v>609</v>
      </c>
      <c r="E36" s="232">
        <f t="shared" si="7"/>
        <v>582</v>
      </c>
      <c r="F36" s="702">
        <f>B36/C36</f>
        <v>26.98442284649181</v>
      </c>
      <c r="G36" s="702">
        <f>B36/E36</f>
        <v>34.824742268041234</v>
      </c>
      <c r="H36" s="702">
        <f>D36/C36*100</f>
        <v>81.081081081081081</v>
      </c>
      <c r="I36" s="702">
        <f>E36/C36*100</f>
        <v>77.486353348422313</v>
      </c>
      <c r="J36" s="692">
        <f>(D36-E36)/D36*100</f>
        <v>4.4334975369458132</v>
      </c>
    </row>
    <row r="37" spans="1:10" s="703" customFormat="1">
      <c r="A37" s="452">
        <v>2008</v>
      </c>
      <c r="B37" s="19">
        <v>20295.2</v>
      </c>
      <c r="C37" s="232">
        <v>760.1</v>
      </c>
      <c r="D37" s="232">
        <v>615.4</v>
      </c>
      <c r="E37" s="232">
        <v>589.4</v>
      </c>
      <c r="F37" s="702">
        <f>B37/C37</f>
        <v>26.700697276674124</v>
      </c>
      <c r="G37" s="702">
        <f>B37/E37</f>
        <v>34.433661350525959</v>
      </c>
      <c r="H37" s="702">
        <f>D37/C37*100</f>
        <v>80.963031180107876</v>
      </c>
      <c r="I37" s="702">
        <f>E37/C37*100</f>
        <v>77.542428627812114</v>
      </c>
      <c r="J37" s="692">
        <f>(D37-E37)/D37*100</f>
        <v>4.2248943776405588</v>
      </c>
    </row>
    <row r="38" spans="1:10">
      <c r="A38" s="452"/>
      <c r="B38" s="704"/>
      <c r="C38" s="704" t="s">
        <v>427</v>
      </c>
      <c r="D38" s="704"/>
      <c r="E38" s="454"/>
      <c r="F38" s="705"/>
      <c r="G38" s="705" t="s">
        <v>897</v>
      </c>
      <c r="H38" s="705"/>
      <c r="I38" s="705"/>
      <c r="J38" s="704"/>
    </row>
    <row r="39" spans="1:10">
      <c r="A39" s="454" t="s">
        <v>1716</v>
      </c>
      <c r="B39" s="706">
        <f>(POWER(B37/B5, 1/32)-1)*100</f>
        <v>0.88313408856770526</v>
      </c>
      <c r="C39" s="706">
        <f>(POWER(C37/C5, 1/32)-1)*100</f>
        <v>0.54429485614890805</v>
      </c>
      <c r="D39" s="706">
        <f>(POWER(D37/D5, 1/32)-1)*100</f>
        <v>1.0005849743514261</v>
      </c>
      <c r="E39" s="707">
        <f>(POWER(E37/E5, 1/32)-1)*100</f>
        <v>1.0160417026542801</v>
      </c>
      <c r="F39" s="708">
        <f>F37-F5</f>
        <v>2.7252707623526327</v>
      </c>
      <c r="G39" s="708">
        <f>G37-G5</f>
        <v>-1.4816962110215215</v>
      </c>
      <c r="H39" s="708">
        <f>H37-H5</f>
        <v>10.92077104550151</v>
      </c>
      <c r="I39" s="708">
        <f>I37-I5</f>
        <v>10.787067851477786</v>
      </c>
      <c r="J39" s="708">
        <f>J37-J5</f>
        <v>-0.46784305252703895</v>
      </c>
    </row>
    <row r="40" spans="1:10">
      <c r="A40" s="454" t="s">
        <v>1707</v>
      </c>
      <c r="B40" s="706">
        <f>(POWER(B37/B10, 1/27)-1)*100</f>
        <v>0.84300730758002373</v>
      </c>
      <c r="C40" s="706">
        <f>(POWER(C37/C10, 1/27)-1)*100</f>
        <v>0.5635067474808686</v>
      </c>
      <c r="D40" s="706">
        <f>(POWER(D37/D10, 1/27)-1)*100</f>
        <v>0.85821096952138909</v>
      </c>
      <c r="E40" s="707">
        <f>(POWER(E37/E10, 1/27)-1)*100</f>
        <v>0.92961663478081658</v>
      </c>
      <c r="F40" s="708">
        <f>F37-F10</f>
        <v>1.9277681693398705</v>
      </c>
      <c r="G40" s="708">
        <f>G37-G10</f>
        <v>-0.80746258761387679</v>
      </c>
      <c r="H40" s="708">
        <f>H37-H10</f>
        <v>6.1505981683179556</v>
      </c>
      <c r="I40" s="708">
        <f>I37-I10</f>
        <v>7.2469149239382773</v>
      </c>
      <c r="J40" s="708">
        <f>J37-J10</f>
        <v>-1.8127642388146192</v>
      </c>
    </row>
    <row r="42" spans="1:10">
      <c r="A42" s="449" t="s">
        <v>899</v>
      </c>
    </row>
    <row r="43" spans="1:10">
      <c r="A43" s="449" t="s">
        <v>1717</v>
      </c>
    </row>
    <row r="45" spans="1:10" ht="15">
      <c r="A45" s="897" t="s">
        <v>163</v>
      </c>
      <c r="B45" s="898" t="s">
        <v>1443</v>
      </c>
      <c r="C45" s="898" t="s">
        <v>1444</v>
      </c>
      <c r="D45" s="898" t="s">
        <v>1445</v>
      </c>
      <c r="E45" s="899" t="s">
        <v>1473</v>
      </c>
      <c r="F45" s="899" t="s">
        <v>1474</v>
      </c>
      <c r="G45" s="899" t="s">
        <v>1475</v>
      </c>
    </row>
    <row r="46" spans="1:10" ht="15">
      <c r="A46" s="897">
        <v>1976</v>
      </c>
      <c r="B46" s="898">
        <v>3960.4</v>
      </c>
      <c r="C46" s="898">
        <v>9524.5</v>
      </c>
      <c r="D46" s="898">
        <v>1833</v>
      </c>
      <c r="E46" s="899">
        <v>638.9</v>
      </c>
      <c r="F46" s="899">
        <v>447.5</v>
      </c>
      <c r="G46" s="899">
        <v>426.5</v>
      </c>
    </row>
    <row r="47" spans="1:10" ht="15">
      <c r="A47" s="897">
        <v>1977</v>
      </c>
      <c r="B47" s="898">
        <v>3917.3</v>
      </c>
      <c r="C47" s="898">
        <v>9655.6</v>
      </c>
      <c r="D47" s="898">
        <v>1840.4</v>
      </c>
      <c r="E47" s="899">
        <v>645.70000000000005</v>
      </c>
      <c r="F47" s="899">
        <v>455.3</v>
      </c>
      <c r="G47" s="899">
        <v>429.2</v>
      </c>
    </row>
    <row r="48" spans="1:10" ht="15">
      <c r="A48" s="897">
        <v>1978</v>
      </c>
      <c r="B48" s="898">
        <v>3866.5</v>
      </c>
      <c r="C48" s="898">
        <v>9980.1</v>
      </c>
      <c r="D48" s="898">
        <v>1842.5</v>
      </c>
      <c r="E48" s="899">
        <v>650.5</v>
      </c>
      <c r="F48" s="899">
        <v>465.4</v>
      </c>
      <c r="G48" s="899">
        <v>434.5</v>
      </c>
    </row>
    <row r="49" spans="1:7" ht="15">
      <c r="A49" s="897">
        <v>1979</v>
      </c>
      <c r="B49" s="898">
        <v>4067</v>
      </c>
      <c r="C49" s="898">
        <v>10369.700000000001</v>
      </c>
      <c r="D49" s="898">
        <v>1859.5</v>
      </c>
      <c r="E49" s="899">
        <v>650.4</v>
      </c>
      <c r="F49" s="899">
        <v>470.9</v>
      </c>
      <c r="G49" s="899">
        <v>444.6</v>
      </c>
    </row>
    <row r="50" spans="1:7" ht="15">
      <c r="A50" s="897">
        <v>1980</v>
      </c>
      <c r="B50" s="898">
        <v>3939.1</v>
      </c>
      <c r="C50" s="898">
        <v>10231.1</v>
      </c>
      <c r="D50" s="898">
        <v>1876.6</v>
      </c>
      <c r="E50" s="899">
        <v>650.6</v>
      </c>
      <c r="F50" s="899">
        <v>478.6</v>
      </c>
      <c r="G50" s="899">
        <v>452</v>
      </c>
    </row>
    <row r="51" spans="1:7" ht="15">
      <c r="A51" s="897">
        <v>1981</v>
      </c>
      <c r="B51" s="898">
        <v>3857.5</v>
      </c>
      <c r="C51" s="898">
        <v>10482.6</v>
      </c>
      <c r="D51" s="898">
        <v>1839.1</v>
      </c>
      <c r="E51" s="899">
        <v>653.1</v>
      </c>
      <c r="F51" s="899">
        <v>488.6</v>
      </c>
      <c r="G51" s="899">
        <v>459.1</v>
      </c>
    </row>
    <row r="52" spans="1:7" ht="15">
      <c r="A52" s="897">
        <v>1982</v>
      </c>
      <c r="B52" s="898">
        <v>3582.7</v>
      </c>
      <c r="C52" s="898">
        <v>10353.700000000001</v>
      </c>
      <c r="D52" s="898">
        <v>1770.7</v>
      </c>
      <c r="E52" s="899">
        <v>659.8</v>
      </c>
      <c r="F52" s="899">
        <v>492.5</v>
      </c>
      <c r="G52" s="899">
        <v>449.9</v>
      </c>
    </row>
    <row r="53" spans="1:7" ht="15">
      <c r="A53" s="897">
        <v>1983</v>
      </c>
      <c r="B53" s="898">
        <v>3493.5</v>
      </c>
      <c r="C53" s="898">
        <v>10676.6</v>
      </c>
      <c r="D53" s="898">
        <v>1813.8</v>
      </c>
      <c r="E53" s="899">
        <v>669.1</v>
      </c>
      <c r="F53" s="899">
        <v>506.4</v>
      </c>
      <c r="G53" s="899">
        <v>457.5</v>
      </c>
    </row>
    <row r="54" spans="1:7" ht="15">
      <c r="A54" s="897">
        <v>1984</v>
      </c>
      <c r="B54" s="898">
        <v>3592.6</v>
      </c>
      <c r="C54" s="898">
        <v>11149.8</v>
      </c>
      <c r="D54" s="898">
        <v>1818.8</v>
      </c>
      <c r="E54" s="899">
        <v>676.7</v>
      </c>
      <c r="F54" s="899">
        <v>513.79999999999995</v>
      </c>
      <c r="G54" s="899">
        <v>469.2</v>
      </c>
    </row>
    <row r="55" spans="1:7" ht="15">
      <c r="A55" s="897">
        <v>1985</v>
      </c>
      <c r="B55" s="898">
        <v>3533.8</v>
      </c>
      <c r="C55" s="898">
        <v>11512.4</v>
      </c>
      <c r="D55" s="898">
        <v>1695.2</v>
      </c>
      <c r="E55" s="899">
        <v>683.3</v>
      </c>
      <c r="F55" s="899">
        <v>519.79999999999995</v>
      </c>
      <c r="G55" s="899">
        <v>475.3</v>
      </c>
    </row>
    <row r="56" spans="1:7" ht="15">
      <c r="A56" s="897">
        <v>1986</v>
      </c>
      <c r="B56" s="898">
        <v>3620.4</v>
      </c>
      <c r="C56" s="898">
        <v>11900.7</v>
      </c>
      <c r="D56" s="898">
        <v>1673.8</v>
      </c>
      <c r="E56" s="899">
        <v>688.8</v>
      </c>
      <c r="F56" s="899">
        <v>530.5</v>
      </c>
      <c r="G56" s="899">
        <v>488.6</v>
      </c>
    </row>
    <row r="57" spans="1:7" ht="15">
      <c r="A57" s="897">
        <v>1987</v>
      </c>
      <c r="B57" s="898">
        <v>3256</v>
      </c>
      <c r="C57" s="898">
        <v>12275.6</v>
      </c>
      <c r="D57" s="898">
        <v>1671.7</v>
      </c>
      <c r="E57" s="899">
        <v>691</v>
      </c>
      <c r="F57" s="899">
        <v>535.20000000000005</v>
      </c>
      <c r="G57" s="899">
        <v>494.6</v>
      </c>
    </row>
    <row r="58" spans="1:7" ht="15">
      <c r="A58" s="897">
        <v>1988</v>
      </c>
      <c r="B58" s="898">
        <v>3201.1</v>
      </c>
      <c r="C58" s="898">
        <v>12546.3</v>
      </c>
      <c r="D58" s="898">
        <v>1695.5</v>
      </c>
      <c r="E58" s="899">
        <v>691.5</v>
      </c>
      <c r="F58" s="899">
        <v>538.79999999999995</v>
      </c>
      <c r="G58" s="899">
        <v>496.5</v>
      </c>
    </row>
    <row r="59" spans="1:7" ht="15">
      <c r="A59" s="897">
        <v>1989</v>
      </c>
      <c r="B59" s="898">
        <v>3207.5</v>
      </c>
      <c r="C59" s="898">
        <v>13187.8</v>
      </c>
      <c r="D59" s="898">
        <v>1653.6</v>
      </c>
      <c r="E59" s="899">
        <v>690</v>
      </c>
      <c r="F59" s="899">
        <v>542.6</v>
      </c>
      <c r="G59" s="899">
        <v>501.4</v>
      </c>
    </row>
    <row r="60" spans="1:7" ht="15">
      <c r="A60" s="897">
        <v>1990</v>
      </c>
      <c r="B60" s="898">
        <v>3008.9</v>
      </c>
      <c r="C60" s="898">
        <v>13316.1</v>
      </c>
      <c r="D60" s="898">
        <v>1580.9</v>
      </c>
      <c r="E60" s="899">
        <v>689.5</v>
      </c>
      <c r="F60" s="899">
        <v>544.1</v>
      </c>
      <c r="G60" s="899">
        <v>503.4</v>
      </c>
    </row>
    <row r="61" spans="1:7" ht="15">
      <c r="A61" s="897">
        <v>1991</v>
      </c>
      <c r="B61" s="898">
        <v>2671.8</v>
      </c>
      <c r="C61" s="898">
        <v>12869.9</v>
      </c>
      <c r="D61" s="898">
        <v>1610.7</v>
      </c>
      <c r="E61" s="899">
        <v>690.4</v>
      </c>
      <c r="F61" s="899">
        <v>542.70000000000005</v>
      </c>
      <c r="G61" s="899">
        <v>495.4</v>
      </c>
    </row>
    <row r="62" spans="1:7" ht="15">
      <c r="A62" s="897">
        <v>1992</v>
      </c>
      <c r="B62" s="898">
        <v>2520.8000000000002</v>
      </c>
      <c r="C62" s="898">
        <v>12761.7</v>
      </c>
      <c r="D62" s="898">
        <v>1500.2</v>
      </c>
      <c r="E62" s="899">
        <v>690.2</v>
      </c>
      <c r="F62" s="899">
        <v>540.6</v>
      </c>
      <c r="G62" s="899">
        <v>490.3</v>
      </c>
    </row>
    <row r="63" spans="1:7" ht="15">
      <c r="A63" s="897">
        <v>1993</v>
      </c>
      <c r="B63" s="898">
        <v>2595</v>
      </c>
      <c r="C63" s="898">
        <v>13048.2</v>
      </c>
      <c r="D63" s="898">
        <v>1541.7</v>
      </c>
      <c r="E63" s="899">
        <v>691.3</v>
      </c>
      <c r="F63" s="899">
        <v>544.4</v>
      </c>
      <c r="G63" s="899">
        <v>493.1</v>
      </c>
    </row>
    <row r="64" spans="1:7" ht="15">
      <c r="A64" s="897">
        <v>1994</v>
      </c>
      <c r="B64" s="898">
        <v>2621.9</v>
      </c>
      <c r="C64" s="898">
        <v>13303.3</v>
      </c>
      <c r="D64" s="898">
        <v>1584.2</v>
      </c>
      <c r="E64" s="899">
        <v>692.8</v>
      </c>
      <c r="F64" s="899">
        <v>544.9</v>
      </c>
      <c r="G64" s="899">
        <v>496.8</v>
      </c>
    </row>
    <row r="65" spans="1:7" ht="15">
      <c r="A65" s="897">
        <v>1995</v>
      </c>
      <c r="B65" s="898">
        <v>2641</v>
      </c>
      <c r="C65" s="898">
        <v>13625.6</v>
      </c>
      <c r="D65" s="898">
        <v>1467.3</v>
      </c>
      <c r="E65" s="899">
        <v>694.7</v>
      </c>
      <c r="F65" s="899">
        <v>546.70000000000005</v>
      </c>
      <c r="G65" s="899">
        <v>506.6</v>
      </c>
    </row>
    <row r="66" spans="1:7" ht="15">
      <c r="A66" s="897">
        <v>1996</v>
      </c>
      <c r="B66" s="898">
        <v>2634.6</v>
      </c>
      <c r="C66" s="898">
        <v>13865.1</v>
      </c>
      <c r="D66" s="898">
        <v>1471.5</v>
      </c>
      <c r="E66" s="899">
        <v>697.9</v>
      </c>
      <c r="F66" s="899">
        <v>548.4</v>
      </c>
      <c r="G66" s="899">
        <v>508</v>
      </c>
    </row>
    <row r="67" spans="1:7" ht="15">
      <c r="A67" s="897">
        <v>1997</v>
      </c>
      <c r="B67" s="898">
        <v>2726.7</v>
      </c>
      <c r="C67" s="898">
        <v>14152</v>
      </c>
      <c r="D67" s="898">
        <v>1522.7</v>
      </c>
      <c r="E67" s="899">
        <v>700</v>
      </c>
      <c r="F67" s="899">
        <v>551.70000000000005</v>
      </c>
      <c r="G67" s="899">
        <v>515.5</v>
      </c>
    </row>
    <row r="68" spans="1:7" ht="15">
      <c r="A68" s="897">
        <v>1998</v>
      </c>
      <c r="B68" s="898">
        <v>2662.9</v>
      </c>
      <c r="C68" s="898">
        <v>14186.7</v>
      </c>
      <c r="D68" s="898">
        <v>1651.8</v>
      </c>
      <c r="E68" s="899">
        <v>701.8</v>
      </c>
      <c r="F68" s="899">
        <v>554.9</v>
      </c>
      <c r="G68" s="899">
        <v>523.4</v>
      </c>
    </row>
    <row r="69" spans="1:7" ht="15">
      <c r="A69" s="897">
        <v>1999</v>
      </c>
      <c r="B69" s="898">
        <v>2747</v>
      </c>
      <c r="C69" s="898">
        <v>14225.2</v>
      </c>
      <c r="D69" s="898">
        <v>1697</v>
      </c>
      <c r="E69" s="899">
        <v>706.7</v>
      </c>
      <c r="F69" s="899">
        <v>562.6</v>
      </c>
      <c r="G69" s="899">
        <v>530.4</v>
      </c>
    </row>
    <row r="70" spans="1:7" ht="15">
      <c r="A70" s="897">
        <v>2000</v>
      </c>
      <c r="B70" s="898">
        <v>2828</v>
      </c>
      <c r="C70" s="898">
        <v>14534.6</v>
      </c>
      <c r="D70" s="898">
        <v>1797.8</v>
      </c>
      <c r="E70" s="899">
        <v>711.8</v>
      </c>
      <c r="F70" s="899">
        <v>569.1</v>
      </c>
      <c r="G70" s="899">
        <v>540.5</v>
      </c>
    </row>
    <row r="71" spans="1:7" ht="15">
      <c r="A71" s="897">
        <v>2001</v>
      </c>
      <c r="B71" s="898">
        <v>2792.8</v>
      </c>
      <c r="C71" s="898">
        <v>14390.7</v>
      </c>
      <c r="D71" s="898">
        <v>1831.5</v>
      </c>
      <c r="E71" s="899">
        <v>716.5</v>
      </c>
      <c r="F71" s="899">
        <v>572.79999999999995</v>
      </c>
      <c r="G71" s="899">
        <v>543.6</v>
      </c>
    </row>
    <row r="72" spans="1:7" ht="15">
      <c r="A72" s="897">
        <v>2002</v>
      </c>
      <c r="B72" s="898">
        <v>2780</v>
      </c>
      <c r="C72" s="898">
        <v>14339.6</v>
      </c>
      <c r="D72" s="898">
        <v>2044</v>
      </c>
      <c r="E72" s="899">
        <v>721.6</v>
      </c>
      <c r="F72" s="899">
        <v>587.4</v>
      </c>
      <c r="G72" s="899">
        <v>557.1</v>
      </c>
    </row>
    <row r="73" spans="1:7" ht="15">
      <c r="A73" s="897">
        <v>2003</v>
      </c>
      <c r="B73" s="898">
        <v>2794.5</v>
      </c>
      <c r="C73" s="898">
        <v>14173.4</v>
      </c>
      <c r="D73" s="898">
        <v>2152</v>
      </c>
      <c r="E73" s="899">
        <v>728.2</v>
      </c>
      <c r="F73" s="899">
        <v>588.5</v>
      </c>
      <c r="G73" s="899">
        <v>558.79999999999995</v>
      </c>
    </row>
    <row r="74" spans="1:7" ht="15">
      <c r="A74" s="897">
        <v>2004</v>
      </c>
      <c r="B74" s="898">
        <v>2735.4</v>
      </c>
      <c r="C74" s="898">
        <v>14303.4</v>
      </c>
      <c r="D74" s="898">
        <v>2291.4</v>
      </c>
      <c r="E74" s="899">
        <v>736.1</v>
      </c>
      <c r="F74" s="899">
        <v>596.70000000000005</v>
      </c>
      <c r="G74" s="899">
        <v>564.6</v>
      </c>
    </row>
    <row r="75" spans="1:7" ht="15">
      <c r="A75" s="897">
        <v>2005</v>
      </c>
      <c r="B75" s="898">
        <v>2732.1</v>
      </c>
      <c r="C75" s="898">
        <v>14308.7</v>
      </c>
      <c r="D75" s="898">
        <v>2502.1</v>
      </c>
      <c r="E75" s="899">
        <v>742.7</v>
      </c>
      <c r="F75" s="899">
        <v>596.4</v>
      </c>
      <c r="G75" s="899">
        <v>567.5</v>
      </c>
    </row>
    <row r="76" spans="1:7" ht="15">
      <c r="A76" s="897">
        <v>2006</v>
      </c>
      <c r="B76" s="898">
        <v>2846.8</v>
      </c>
      <c r="C76" s="898">
        <v>14365</v>
      </c>
      <c r="D76" s="898">
        <v>2546.1999999999998</v>
      </c>
      <c r="E76" s="899">
        <v>745.7</v>
      </c>
      <c r="F76" s="899">
        <v>598.9</v>
      </c>
      <c r="G76" s="899">
        <v>572.70000000000005</v>
      </c>
    </row>
    <row r="77" spans="1:7" ht="15">
      <c r="A77" s="897">
        <v>2007</v>
      </c>
      <c r="B77" s="898">
        <v>2948.7</v>
      </c>
      <c r="C77" s="898">
        <v>14668.8</v>
      </c>
      <c r="D77" s="898">
        <v>2650.5</v>
      </c>
      <c r="E77" s="899">
        <v>751.1</v>
      </c>
      <c r="F77" s="899">
        <v>609</v>
      </c>
      <c r="G77" s="899">
        <v>582</v>
      </c>
    </row>
  </sheetData>
  <phoneticPr fontId="36" type="noConversion"/>
  <pageMargins left="0.75" right="0.75" top="1" bottom="1" header="0.5" footer="0.5"/>
  <pageSetup scale="89" orientation="portrait" r:id="rId1"/>
  <headerFooter alignWithMargins="0"/>
</worksheet>
</file>

<file path=xl/worksheets/sheet193.xml><?xml version="1.0" encoding="utf-8"?>
<worksheet xmlns="http://schemas.openxmlformats.org/spreadsheetml/2006/main" xmlns:r="http://schemas.openxmlformats.org/officeDocument/2006/relationships">
  <sheetPr codeName="Sheet165">
    <pageSetUpPr fitToPage="1"/>
  </sheetPr>
  <dimension ref="A1:J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2237</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14258.6</v>
      </c>
      <c r="C5" s="232">
        <f>E46</f>
        <v>562.29999999999995</v>
      </c>
      <c r="D5" s="232">
        <f>F46</f>
        <v>385.2</v>
      </c>
      <c r="E5" s="232">
        <f>G46</f>
        <v>369.9</v>
      </c>
      <c r="F5" s="701">
        <f t="shared" ref="F5:F34" si="0">B5/C5</f>
        <v>25.357638271385383</v>
      </c>
      <c r="G5" s="701">
        <f t="shared" ref="G5:G34" si="1">B5/E5</f>
        <v>38.547174912138416</v>
      </c>
      <c r="H5" s="701">
        <f t="shared" ref="H5:H34" si="2">D5/C5*100</f>
        <v>68.504357104748365</v>
      </c>
      <c r="I5" s="701">
        <f t="shared" ref="I5:I34" si="3">E5/C5*100</f>
        <v>65.783389649653216</v>
      </c>
      <c r="J5" s="692">
        <f t="shared" ref="J5:J34" si="4">(D5-E5)/D5*100</f>
        <v>3.9719626168224331</v>
      </c>
    </row>
    <row r="6" spans="1:10">
      <c r="A6" s="452">
        <v>1977</v>
      </c>
      <c r="B6" s="19">
        <f t="shared" ref="B6:B36" si="5">SUM(B47:D47)</f>
        <v>14714.8</v>
      </c>
      <c r="C6" s="232">
        <f t="shared" ref="C6:E21" si="6">E47</f>
        <v>574.1</v>
      </c>
      <c r="D6" s="232">
        <f t="shared" si="6"/>
        <v>400.6</v>
      </c>
      <c r="E6" s="232">
        <f t="shared" si="6"/>
        <v>382.7</v>
      </c>
      <c r="F6" s="701">
        <f t="shared" si="0"/>
        <v>25.631074725657548</v>
      </c>
      <c r="G6" s="701">
        <f t="shared" si="1"/>
        <v>38.449960804807944</v>
      </c>
      <c r="H6" s="701">
        <f t="shared" si="2"/>
        <v>69.778784183940076</v>
      </c>
      <c r="I6" s="701">
        <f t="shared" si="3"/>
        <v>66.66086047726877</v>
      </c>
      <c r="J6" s="692">
        <f t="shared" si="4"/>
        <v>4.4682975536695047</v>
      </c>
    </row>
    <row r="7" spans="1:10">
      <c r="A7" s="452">
        <v>1978</v>
      </c>
      <c r="B7" s="19">
        <f t="shared" si="5"/>
        <v>15039.4</v>
      </c>
      <c r="C7" s="232">
        <f t="shared" si="6"/>
        <v>582.1</v>
      </c>
      <c r="D7" s="232">
        <f t="shared" si="6"/>
        <v>410</v>
      </c>
      <c r="E7" s="232">
        <f t="shared" si="6"/>
        <v>389.6</v>
      </c>
      <c r="F7" s="701">
        <f t="shared" si="0"/>
        <v>25.836454217488402</v>
      </c>
      <c r="G7" s="701">
        <f t="shared" si="1"/>
        <v>38.602156057494867</v>
      </c>
      <c r="H7" s="701">
        <f t="shared" si="2"/>
        <v>70.434633224531865</v>
      </c>
      <c r="I7" s="701">
        <f t="shared" si="3"/>
        <v>66.930080742140532</v>
      </c>
      <c r="J7" s="692">
        <f t="shared" si="4"/>
        <v>4.9756097560975556</v>
      </c>
    </row>
    <row r="8" spans="1:10">
      <c r="A8" s="452">
        <v>1979</v>
      </c>
      <c r="B8" s="19">
        <f t="shared" si="5"/>
        <v>15624.6</v>
      </c>
      <c r="C8" s="232">
        <f t="shared" si="6"/>
        <v>589.1</v>
      </c>
      <c r="D8" s="232">
        <f t="shared" si="6"/>
        <v>422</v>
      </c>
      <c r="E8" s="232">
        <f t="shared" si="6"/>
        <v>404</v>
      </c>
      <c r="F8" s="701">
        <f t="shared" si="0"/>
        <v>26.522831437786454</v>
      </c>
      <c r="G8" s="701">
        <f t="shared" si="1"/>
        <v>38.674752475247523</v>
      </c>
      <c r="H8" s="701">
        <f t="shared" si="2"/>
        <v>71.634696995416732</v>
      </c>
      <c r="I8" s="701">
        <f t="shared" si="3"/>
        <v>68.579188592768631</v>
      </c>
      <c r="J8" s="692">
        <f t="shared" si="4"/>
        <v>4.2654028436018958</v>
      </c>
    </row>
    <row r="9" spans="1:10">
      <c r="A9" s="452">
        <v>1980</v>
      </c>
      <c r="B9" s="19">
        <f t="shared" si="5"/>
        <v>15344.3</v>
      </c>
      <c r="C9" s="232">
        <f t="shared" si="6"/>
        <v>596.1</v>
      </c>
      <c r="D9" s="232">
        <f t="shared" si="6"/>
        <v>429</v>
      </c>
      <c r="E9" s="232">
        <f t="shared" si="6"/>
        <v>410.1</v>
      </c>
      <c r="F9" s="701">
        <f t="shared" si="0"/>
        <v>25.741150813621875</v>
      </c>
      <c r="G9" s="701">
        <f t="shared" si="1"/>
        <v>37.415996098512551</v>
      </c>
      <c r="H9" s="701">
        <f t="shared" si="2"/>
        <v>71.967790639154501</v>
      </c>
      <c r="I9" s="701">
        <f t="shared" si="3"/>
        <v>68.797181680926016</v>
      </c>
      <c r="J9" s="692">
        <f t="shared" si="4"/>
        <v>4.4055944055944005</v>
      </c>
    </row>
    <row r="10" spans="1:10">
      <c r="A10" s="452">
        <v>1981</v>
      </c>
      <c r="B10" s="19">
        <f t="shared" si="5"/>
        <v>15409.5</v>
      </c>
      <c r="C10" s="232">
        <f t="shared" si="6"/>
        <v>602</v>
      </c>
      <c r="D10" s="232">
        <f t="shared" si="6"/>
        <v>438.6</v>
      </c>
      <c r="E10" s="232">
        <f t="shared" si="6"/>
        <v>418.4</v>
      </c>
      <c r="F10" s="701">
        <f t="shared" si="0"/>
        <v>25.597176079734218</v>
      </c>
      <c r="G10" s="701">
        <f t="shared" si="1"/>
        <v>36.829588910133843</v>
      </c>
      <c r="H10" s="701">
        <f t="shared" si="2"/>
        <v>72.857142857142861</v>
      </c>
      <c r="I10" s="701">
        <f t="shared" si="3"/>
        <v>69.501661129568106</v>
      </c>
      <c r="J10" s="692">
        <f t="shared" si="4"/>
        <v>4.6055631554947665</v>
      </c>
    </row>
    <row r="11" spans="1:10">
      <c r="A11" s="452">
        <v>1982</v>
      </c>
      <c r="B11" s="19">
        <f t="shared" si="5"/>
        <v>15277.3</v>
      </c>
      <c r="C11" s="232">
        <f t="shared" si="6"/>
        <v>608.9</v>
      </c>
      <c r="D11" s="232">
        <f t="shared" si="6"/>
        <v>445.6</v>
      </c>
      <c r="E11" s="232">
        <f t="shared" si="6"/>
        <v>417</v>
      </c>
      <c r="F11" s="701">
        <f t="shared" si="0"/>
        <v>25.089998357694203</v>
      </c>
      <c r="G11" s="701">
        <f t="shared" si="1"/>
        <v>36.636211031175058</v>
      </c>
      <c r="H11" s="701">
        <f t="shared" si="2"/>
        <v>73.181146329446548</v>
      </c>
      <c r="I11" s="701">
        <f t="shared" si="3"/>
        <v>68.484151749055684</v>
      </c>
      <c r="J11" s="692">
        <f t="shared" si="4"/>
        <v>6.4183123877917456</v>
      </c>
    </row>
    <row r="12" spans="1:10">
      <c r="A12" s="452">
        <v>1983</v>
      </c>
      <c r="B12" s="19">
        <f t="shared" si="5"/>
        <v>15415.2</v>
      </c>
      <c r="C12" s="232">
        <f t="shared" si="6"/>
        <v>617.29999999999995</v>
      </c>
      <c r="D12" s="232">
        <f t="shared" si="6"/>
        <v>459.6</v>
      </c>
      <c r="E12" s="232">
        <f t="shared" si="6"/>
        <v>423.4</v>
      </c>
      <c r="F12" s="701">
        <f t="shared" si="0"/>
        <v>24.971974728657059</v>
      </c>
      <c r="G12" s="701">
        <f t="shared" si="1"/>
        <v>36.408124704770906</v>
      </c>
      <c r="H12" s="701">
        <f t="shared" si="2"/>
        <v>74.453264215130417</v>
      </c>
      <c r="I12" s="701">
        <f t="shared" si="3"/>
        <v>68.589016685566179</v>
      </c>
      <c r="J12" s="692">
        <f t="shared" si="4"/>
        <v>7.8764142732811235</v>
      </c>
    </row>
    <row r="13" spans="1:10">
      <c r="A13" s="452">
        <v>1984</v>
      </c>
      <c r="B13" s="19">
        <f t="shared" si="5"/>
        <v>15530.6</v>
      </c>
      <c r="C13" s="232">
        <f t="shared" si="6"/>
        <v>625.5</v>
      </c>
      <c r="D13" s="232">
        <f t="shared" si="6"/>
        <v>468.5</v>
      </c>
      <c r="E13" s="232">
        <f t="shared" si="6"/>
        <v>429.6</v>
      </c>
      <c r="F13" s="701">
        <f t="shared" si="0"/>
        <v>24.829096722621902</v>
      </c>
      <c r="G13" s="701">
        <f t="shared" si="1"/>
        <v>36.151303538175043</v>
      </c>
      <c r="H13" s="701">
        <f t="shared" si="2"/>
        <v>74.900079936051156</v>
      </c>
      <c r="I13" s="701">
        <f t="shared" si="3"/>
        <v>68.681055155875299</v>
      </c>
      <c r="J13" s="692">
        <f t="shared" si="4"/>
        <v>8.303094983991457</v>
      </c>
    </row>
    <row r="14" spans="1:10">
      <c r="A14" s="452">
        <v>1985</v>
      </c>
      <c r="B14" s="19">
        <f t="shared" si="5"/>
        <v>16012</v>
      </c>
      <c r="C14" s="232">
        <f t="shared" si="6"/>
        <v>630.29999999999995</v>
      </c>
      <c r="D14" s="232">
        <f t="shared" si="6"/>
        <v>477.8</v>
      </c>
      <c r="E14" s="232">
        <f t="shared" si="6"/>
        <v>436.7</v>
      </c>
      <c r="F14" s="701">
        <f t="shared" si="0"/>
        <v>25.403775979692213</v>
      </c>
      <c r="G14" s="701">
        <f t="shared" si="1"/>
        <v>36.665903366155256</v>
      </c>
      <c r="H14" s="701">
        <f t="shared" si="2"/>
        <v>75.805172140250676</v>
      </c>
      <c r="I14" s="701">
        <f t="shared" si="3"/>
        <v>69.284467713787095</v>
      </c>
      <c r="J14" s="692">
        <f t="shared" si="4"/>
        <v>8.6019254918375943</v>
      </c>
    </row>
    <row r="15" spans="1:10">
      <c r="A15" s="452">
        <v>1986</v>
      </c>
      <c r="B15" s="19">
        <f t="shared" si="5"/>
        <v>16323.699999999999</v>
      </c>
      <c r="C15" s="232">
        <f t="shared" si="6"/>
        <v>631.4</v>
      </c>
      <c r="D15" s="232">
        <f t="shared" si="6"/>
        <v>485.2</v>
      </c>
      <c r="E15" s="232">
        <f t="shared" si="6"/>
        <v>446</v>
      </c>
      <c r="F15" s="701">
        <f t="shared" si="0"/>
        <v>25.853183401963889</v>
      </c>
      <c r="G15" s="701">
        <f t="shared" si="1"/>
        <v>36.600224215246634</v>
      </c>
      <c r="H15" s="701">
        <f t="shared" si="2"/>
        <v>76.845106113398799</v>
      </c>
      <c r="I15" s="701">
        <f t="shared" si="3"/>
        <v>70.636680392777961</v>
      </c>
      <c r="J15" s="692">
        <f t="shared" si="4"/>
        <v>8.0791426215993383</v>
      </c>
    </row>
    <row r="16" spans="1:10">
      <c r="A16" s="452">
        <v>1987</v>
      </c>
      <c r="B16" s="19">
        <f t="shared" si="5"/>
        <v>16136.6</v>
      </c>
      <c r="C16" s="232">
        <f t="shared" si="6"/>
        <v>630.5</v>
      </c>
      <c r="D16" s="232">
        <f t="shared" si="6"/>
        <v>483.2</v>
      </c>
      <c r="E16" s="232">
        <f t="shared" si="6"/>
        <v>446.8</v>
      </c>
      <c r="F16" s="701">
        <f t="shared" si="0"/>
        <v>25.593338620142745</v>
      </c>
      <c r="G16" s="701">
        <f t="shared" si="1"/>
        <v>36.115935541629362</v>
      </c>
      <c r="H16" s="701">
        <f t="shared" si="2"/>
        <v>76.6375892149088</v>
      </c>
      <c r="I16" s="701">
        <f t="shared" si="3"/>
        <v>70.864393338620147</v>
      </c>
      <c r="J16" s="692">
        <f t="shared" si="4"/>
        <v>7.5331125827814525</v>
      </c>
    </row>
    <row r="17" spans="1:10">
      <c r="A17" s="452">
        <v>1988</v>
      </c>
      <c r="B17" s="19">
        <f t="shared" si="5"/>
        <v>16200.7</v>
      </c>
      <c r="C17" s="232">
        <f t="shared" si="6"/>
        <v>625.20000000000005</v>
      </c>
      <c r="D17" s="232">
        <f t="shared" si="6"/>
        <v>484.5</v>
      </c>
      <c r="E17" s="232">
        <f t="shared" si="6"/>
        <v>448</v>
      </c>
      <c r="F17" s="701">
        <f t="shared" si="0"/>
        <v>25.912827895073576</v>
      </c>
      <c r="G17" s="701">
        <f t="shared" si="1"/>
        <v>36.16227678571429</v>
      </c>
      <c r="H17" s="701">
        <f t="shared" si="2"/>
        <v>77.495201535508627</v>
      </c>
      <c r="I17" s="701">
        <f t="shared" si="3"/>
        <v>71.657069737683926</v>
      </c>
      <c r="J17" s="692">
        <f t="shared" si="4"/>
        <v>7.5335397316821471</v>
      </c>
    </row>
    <row r="18" spans="1:10">
      <c r="A18" s="452">
        <v>1989</v>
      </c>
      <c r="B18" s="19">
        <f t="shared" si="5"/>
        <v>16490.099999999999</v>
      </c>
      <c r="C18" s="232">
        <f t="shared" si="6"/>
        <v>616.1</v>
      </c>
      <c r="D18" s="232">
        <f t="shared" si="6"/>
        <v>477.4</v>
      </c>
      <c r="E18" s="232">
        <f t="shared" si="6"/>
        <v>441.5</v>
      </c>
      <c r="F18" s="701">
        <f t="shared" si="0"/>
        <v>26.765297841259532</v>
      </c>
      <c r="G18" s="701">
        <f t="shared" si="1"/>
        <v>37.350169875424683</v>
      </c>
      <c r="H18" s="701">
        <f t="shared" si="2"/>
        <v>77.487420873234854</v>
      </c>
      <c r="I18" s="701">
        <f t="shared" si="3"/>
        <v>71.660444732997888</v>
      </c>
      <c r="J18" s="692">
        <f t="shared" si="4"/>
        <v>7.5198994553833218</v>
      </c>
    </row>
    <row r="19" spans="1:10">
      <c r="A19" s="452">
        <v>1990</v>
      </c>
      <c r="B19" s="19">
        <f t="shared" si="5"/>
        <v>16365.099999999999</v>
      </c>
      <c r="C19" s="232">
        <f t="shared" si="6"/>
        <v>606</v>
      </c>
      <c r="D19" s="232">
        <f t="shared" si="6"/>
        <v>474</v>
      </c>
      <c r="E19" s="232">
        <f t="shared" si="6"/>
        <v>439.8</v>
      </c>
      <c r="F19" s="701">
        <f t="shared" si="0"/>
        <v>27.005115511551153</v>
      </c>
      <c r="G19" s="701">
        <f t="shared" si="1"/>
        <v>37.21032287403365</v>
      </c>
      <c r="H19" s="701">
        <f t="shared" si="2"/>
        <v>78.21782178217822</v>
      </c>
      <c r="I19" s="701">
        <f t="shared" si="3"/>
        <v>72.574257425742573</v>
      </c>
      <c r="J19" s="692">
        <f t="shared" si="4"/>
        <v>7.21518987341772</v>
      </c>
    </row>
    <row r="20" spans="1:10">
      <c r="A20" s="452">
        <v>1991</v>
      </c>
      <c r="B20" s="19">
        <f t="shared" si="5"/>
        <v>16259.699999999999</v>
      </c>
      <c r="C20" s="232">
        <f t="shared" si="6"/>
        <v>601.6</v>
      </c>
      <c r="D20" s="232">
        <f t="shared" si="6"/>
        <v>473.4</v>
      </c>
      <c r="E20" s="232">
        <f t="shared" si="6"/>
        <v>437.6</v>
      </c>
      <c r="F20" s="701">
        <f t="shared" si="0"/>
        <v>27.027426861702125</v>
      </c>
      <c r="G20" s="701">
        <f t="shared" si="1"/>
        <v>37.156535648994513</v>
      </c>
      <c r="H20" s="701">
        <f t="shared" si="2"/>
        <v>78.690159574468083</v>
      </c>
      <c r="I20" s="701">
        <f t="shared" si="3"/>
        <v>72.739361702127653</v>
      </c>
      <c r="J20" s="692">
        <f t="shared" si="4"/>
        <v>7.5623151668778945</v>
      </c>
    </row>
    <row r="21" spans="1:10">
      <c r="A21" s="452">
        <v>1992</v>
      </c>
      <c r="B21" s="19">
        <f t="shared" si="5"/>
        <v>15751.9</v>
      </c>
      <c r="C21" s="232">
        <f t="shared" si="6"/>
        <v>601</v>
      </c>
      <c r="D21" s="232">
        <f t="shared" si="6"/>
        <v>470</v>
      </c>
      <c r="E21" s="232">
        <f t="shared" si="6"/>
        <v>431.5</v>
      </c>
      <c r="F21" s="701">
        <f t="shared" si="0"/>
        <v>26.209484193011647</v>
      </c>
      <c r="G21" s="701">
        <f t="shared" si="1"/>
        <v>36.504982618771727</v>
      </c>
      <c r="H21" s="701">
        <f t="shared" si="2"/>
        <v>78.202995008319462</v>
      </c>
      <c r="I21" s="701">
        <f t="shared" si="3"/>
        <v>71.797004991680538</v>
      </c>
      <c r="J21" s="692">
        <f t="shared" si="4"/>
        <v>8.1914893617021267</v>
      </c>
    </row>
    <row r="22" spans="1:10">
      <c r="A22" s="452">
        <v>1993</v>
      </c>
      <c r="B22" s="19">
        <f t="shared" si="5"/>
        <v>15802.3</v>
      </c>
      <c r="C22" s="232">
        <f t="shared" ref="C22:E36" si="7">E63</f>
        <v>602.1</v>
      </c>
      <c r="D22" s="232">
        <f t="shared" si="7"/>
        <v>471.9</v>
      </c>
      <c r="E22" s="232">
        <f t="shared" si="7"/>
        <v>431.7</v>
      </c>
      <c r="F22" s="701">
        <f t="shared" si="0"/>
        <v>26.245308088357415</v>
      </c>
      <c r="G22" s="701">
        <f t="shared" si="1"/>
        <v>36.604818160759784</v>
      </c>
      <c r="H22" s="701">
        <f t="shared" si="2"/>
        <v>78.375685102142484</v>
      </c>
      <c r="I22" s="701">
        <f t="shared" si="3"/>
        <v>71.699053313403084</v>
      </c>
      <c r="J22" s="692">
        <f t="shared" si="4"/>
        <v>8.5187539732994253</v>
      </c>
    </row>
    <row r="23" spans="1:10">
      <c r="A23" s="452">
        <v>1994</v>
      </c>
      <c r="B23" s="19">
        <f t="shared" si="5"/>
        <v>16207.599999999999</v>
      </c>
      <c r="C23" s="232">
        <f t="shared" si="7"/>
        <v>604.4</v>
      </c>
      <c r="D23" s="232">
        <f t="shared" si="7"/>
        <v>471</v>
      </c>
      <c r="E23" s="232">
        <f t="shared" si="7"/>
        <v>437.6</v>
      </c>
      <c r="F23" s="701">
        <f t="shared" si="0"/>
        <v>26.816015883520844</v>
      </c>
      <c r="G23" s="701">
        <f t="shared" si="1"/>
        <v>37.037477148080434</v>
      </c>
      <c r="H23" s="701">
        <f t="shared" si="2"/>
        <v>77.928524156187962</v>
      </c>
      <c r="I23" s="701">
        <f t="shared" si="3"/>
        <v>72.402382528127077</v>
      </c>
      <c r="J23" s="692">
        <f t="shared" si="4"/>
        <v>7.0912951167728195</v>
      </c>
    </row>
    <row r="24" spans="1:10">
      <c r="A24" s="452">
        <v>1995</v>
      </c>
      <c r="B24" s="19">
        <f t="shared" si="5"/>
        <v>16133.800000000001</v>
      </c>
      <c r="C24" s="232">
        <f t="shared" si="7"/>
        <v>608.20000000000005</v>
      </c>
      <c r="D24" s="232">
        <f t="shared" si="7"/>
        <v>472.8</v>
      </c>
      <c r="E24" s="232">
        <f t="shared" si="7"/>
        <v>439.9</v>
      </c>
      <c r="F24" s="701">
        <f t="shared" si="0"/>
        <v>26.527129233804668</v>
      </c>
      <c r="G24" s="701">
        <f t="shared" si="1"/>
        <v>36.676062741532171</v>
      </c>
      <c r="H24" s="701">
        <f t="shared" si="2"/>
        <v>77.737586320289381</v>
      </c>
      <c r="I24" s="701">
        <f t="shared" si="3"/>
        <v>72.328181519237091</v>
      </c>
      <c r="J24" s="692">
        <f t="shared" si="4"/>
        <v>6.9585448392555067</v>
      </c>
    </row>
    <row r="25" spans="1:10">
      <c r="A25" s="452">
        <v>1996</v>
      </c>
      <c r="B25" s="19">
        <f t="shared" si="5"/>
        <v>16425</v>
      </c>
      <c r="C25" s="232">
        <f t="shared" si="7"/>
        <v>612.5</v>
      </c>
      <c r="D25" s="232">
        <f t="shared" si="7"/>
        <v>473.4</v>
      </c>
      <c r="E25" s="232">
        <f t="shared" si="7"/>
        <v>440.8</v>
      </c>
      <c r="F25" s="701">
        <f t="shared" si="0"/>
        <v>26.816326530612244</v>
      </c>
      <c r="G25" s="701">
        <f t="shared" si="1"/>
        <v>37.261796733212343</v>
      </c>
      <c r="H25" s="701">
        <f t="shared" si="2"/>
        <v>77.289795918367346</v>
      </c>
      <c r="I25" s="701">
        <f t="shared" si="3"/>
        <v>71.967346938775506</v>
      </c>
      <c r="J25" s="692">
        <f t="shared" si="4"/>
        <v>6.8863540346430012</v>
      </c>
    </row>
    <row r="26" spans="1:10">
      <c r="A26" s="452">
        <v>1997</v>
      </c>
      <c r="B26" s="19">
        <f t="shared" si="5"/>
        <v>16757</v>
      </c>
      <c r="C26" s="232">
        <f t="shared" si="7"/>
        <v>613.20000000000005</v>
      </c>
      <c r="D26" s="232">
        <f t="shared" si="7"/>
        <v>479.4</v>
      </c>
      <c r="E26" s="232">
        <f t="shared" si="7"/>
        <v>450</v>
      </c>
      <c r="F26" s="701">
        <f t="shared" si="0"/>
        <v>27.327136333985646</v>
      </c>
      <c r="G26" s="701">
        <f t="shared" si="1"/>
        <v>37.237777777777779</v>
      </c>
      <c r="H26" s="701">
        <f t="shared" si="2"/>
        <v>78.180039138943229</v>
      </c>
      <c r="I26" s="701">
        <f t="shared" si="3"/>
        <v>73.385518590998032</v>
      </c>
      <c r="J26" s="692">
        <f t="shared" si="4"/>
        <v>6.1326658322903587</v>
      </c>
    </row>
    <row r="27" spans="1:10">
      <c r="A27" s="452">
        <v>1998</v>
      </c>
      <c r="B27" s="19">
        <f t="shared" si="5"/>
        <v>16516.2</v>
      </c>
      <c r="C27" s="232">
        <f t="shared" si="7"/>
        <v>614.20000000000005</v>
      </c>
      <c r="D27" s="232">
        <f t="shared" si="7"/>
        <v>483.2</v>
      </c>
      <c r="E27" s="232">
        <f t="shared" si="7"/>
        <v>454.4</v>
      </c>
      <c r="F27" s="701">
        <f t="shared" si="0"/>
        <v>26.890589384565288</v>
      </c>
      <c r="G27" s="701">
        <f t="shared" si="1"/>
        <v>36.347271126760567</v>
      </c>
      <c r="H27" s="701">
        <f t="shared" si="2"/>
        <v>78.671442526864212</v>
      </c>
      <c r="I27" s="701">
        <f t="shared" si="3"/>
        <v>73.982416151090845</v>
      </c>
      <c r="J27" s="692">
        <f t="shared" si="4"/>
        <v>5.9602649006622546</v>
      </c>
    </row>
    <row r="28" spans="1:10">
      <c r="A28" s="452">
        <v>1999</v>
      </c>
      <c r="B28" s="19">
        <f t="shared" si="5"/>
        <v>16529.099999999999</v>
      </c>
      <c r="C28" s="232">
        <f t="shared" si="7"/>
        <v>614.1</v>
      </c>
      <c r="D28" s="232">
        <f t="shared" si="7"/>
        <v>485.6</v>
      </c>
      <c r="E28" s="232">
        <f t="shared" si="7"/>
        <v>455.4</v>
      </c>
      <c r="F28" s="701">
        <f t="shared" si="0"/>
        <v>26.915974596971175</v>
      </c>
      <c r="G28" s="701">
        <f t="shared" si="1"/>
        <v>36.295783926218711</v>
      </c>
      <c r="H28" s="701">
        <f t="shared" si="2"/>
        <v>79.075069206969545</v>
      </c>
      <c r="I28" s="701">
        <f t="shared" si="3"/>
        <v>74.157303370786508</v>
      </c>
      <c r="J28" s="692">
        <f t="shared" si="4"/>
        <v>6.2191103789126938</v>
      </c>
    </row>
    <row r="29" spans="1:10">
      <c r="A29" s="452">
        <v>2000</v>
      </c>
      <c r="B29" s="19">
        <f t="shared" si="5"/>
        <v>16690.900000000001</v>
      </c>
      <c r="C29" s="232">
        <f t="shared" si="7"/>
        <v>611.70000000000005</v>
      </c>
      <c r="D29" s="232">
        <f t="shared" si="7"/>
        <v>481.1</v>
      </c>
      <c r="E29" s="232">
        <f t="shared" si="7"/>
        <v>455.5</v>
      </c>
      <c r="F29" s="701">
        <f t="shared" si="0"/>
        <v>27.286087951610266</v>
      </c>
      <c r="G29" s="701">
        <f t="shared" si="1"/>
        <v>36.643029637760705</v>
      </c>
      <c r="H29" s="701">
        <f t="shared" si="2"/>
        <v>78.64966486839954</v>
      </c>
      <c r="I29" s="701">
        <f t="shared" si="3"/>
        <v>74.464606833415075</v>
      </c>
      <c r="J29" s="692">
        <f t="shared" si="4"/>
        <v>5.3211390563292502</v>
      </c>
    </row>
    <row r="30" spans="1:10">
      <c r="A30" s="452">
        <v>2001</v>
      </c>
      <c r="B30" s="19">
        <f t="shared" si="5"/>
        <v>16016.800000000001</v>
      </c>
      <c r="C30" s="232">
        <f t="shared" si="7"/>
        <v>609.20000000000005</v>
      </c>
      <c r="D30" s="232">
        <f t="shared" si="7"/>
        <v>473.7</v>
      </c>
      <c r="E30" s="232">
        <f t="shared" si="7"/>
        <v>445.7</v>
      </c>
      <c r="F30" s="701">
        <f t="shared" si="0"/>
        <v>26.291529875246223</v>
      </c>
      <c r="G30" s="701">
        <f t="shared" si="1"/>
        <v>35.936280008974649</v>
      </c>
      <c r="H30" s="701">
        <f t="shared" si="2"/>
        <v>77.757715036112927</v>
      </c>
      <c r="I30" s="701">
        <f t="shared" si="3"/>
        <v>73.16152330925803</v>
      </c>
      <c r="J30" s="692">
        <f t="shared" si="4"/>
        <v>5.9109140806417564</v>
      </c>
    </row>
    <row r="31" spans="1:10">
      <c r="A31" s="452">
        <v>2002</v>
      </c>
      <c r="B31" s="19">
        <f t="shared" si="5"/>
        <v>16087.2</v>
      </c>
      <c r="C31" s="232">
        <f t="shared" si="7"/>
        <v>607.79999999999995</v>
      </c>
      <c r="D31" s="232">
        <f t="shared" si="7"/>
        <v>481.7</v>
      </c>
      <c r="E31" s="232">
        <f t="shared" si="7"/>
        <v>453.8</v>
      </c>
      <c r="F31" s="701">
        <f t="shared" si="0"/>
        <v>26.467917077986183</v>
      </c>
      <c r="G31" s="701">
        <f t="shared" si="1"/>
        <v>35.449977963860732</v>
      </c>
      <c r="H31" s="701">
        <f t="shared" si="2"/>
        <v>79.253043764396196</v>
      </c>
      <c r="I31" s="701">
        <f t="shared" si="3"/>
        <v>74.662717999341893</v>
      </c>
      <c r="J31" s="692">
        <f t="shared" si="4"/>
        <v>5.7919867137222285</v>
      </c>
    </row>
    <row r="32" spans="1:10">
      <c r="A32" s="452">
        <v>2003</v>
      </c>
      <c r="B32" s="19">
        <f t="shared" si="5"/>
        <v>16080.000000000002</v>
      </c>
      <c r="C32" s="232">
        <f t="shared" si="7"/>
        <v>608.70000000000005</v>
      </c>
      <c r="D32" s="232">
        <f t="shared" si="7"/>
        <v>488.7</v>
      </c>
      <c r="E32" s="232">
        <f t="shared" si="7"/>
        <v>460.8</v>
      </c>
      <c r="F32" s="701">
        <f t="shared" si="0"/>
        <v>26.416954164613109</v>
      </c>
      <c r="G32" s="701">
        <f t="shared" si="1"/>
        <v>34.895833333333336</v>
      </c>
      <c r="H32" s="701">
        <f t="shared" si="2"/>
        <v>80.285855101034983</v>
      </c>
      <c r="I32" s="701">
        <f t="shared" si="3"/>
        <v>75.702316412025624</v>
      </c>
      <c r="J32" s="692">
        <f t="shared" si="4"/>
        <v>5.7090239410681347</v>
      </c>
    </row>
    <row r="33" spans="1:10">
      <c r="A33" s="452">
        <v>2004</v>
      </c>
      <c r="B33" s="19">
        <f t="shared" si="5"/>
        <v>16193.7</v>
      </c>
      <c r="C33" s="232">
        <f t="shared" si="7"/>
        <v>611.5</v>
      </c>
      <c r="D33" s="232">
        <f t="shared" si="7"/>
        <v>490.2</v>
      </c>
      <c r="E33" s="232">
        <f t="shared" si="7"/>
        <v>463.6</v>
      </c>
      <c r="F33" s="701">
        <f t="shared" si="0"/>
        <v>26.481929681112021</v>
      </c>
      <c r="G33" s="701">
        <f t="shared" si="1"/>
        <v>34.930327868852459</v>
      </c>
      <c r="H33" s="701">
        <f t="shared" si="2"/>
        <v>80.163532297628777</v>
      </c>
      <c r="I33" s="701">
        <f t="shared" si="3"/>
        <v>75.813573180703202</v>
      </c>
      <c r="J33" s="692">
        <f t="shared" si="4"/>
        <v>5.4263565891472796</v>
      </c>
    </row>
    <row r="34" spans="1:10">
      <c r="A34" s="452">
        <v>2005</v>
      </c>
      <c r="B34" s="19">
        <f t="shared" si="5"/>
        <v>16639.5</v>
      </c>
      <c r="C34" s="232">
        <f t="shared" si="7"/>
        <v>614.4</v>
      </c>
      <c r="D34" s="232">
        <f t="shared" si="7"/>
        <v>491.8</v>
      </c>
      <c r="E34" s="232">
        <f t="shared" si="7"/>
        <v>466.2</v>
      </c>
      <c r="F34" s="702">
        <f t="shared" si="0"/>
        <v>27.08251953125</v>
      </c>
      <c r="G34" s="702">
        <f t="shared" si="1"/>
        <v>35.691763191763194</v>
      </c>
      <c r="H34" s="702">
        <f t="shared" si="2"/>
        <v>80.045572916666671</v>
      </c>
      <c r="I34" s="702">
        <f t="shared" si="3"/>
        <v>75.87890625</v>
      </c>
      <c r="J34" s="692">
        <f t="shared" si="4"/>
        <v>5.2053680357869103</v>
      </c>
    </row>
    <row r="35" spans="1:10" s="703" customFormat="1">
      <c r="A35" s="452">
        <v>2006</v>
      </c>
      <c r="B35" s="19">
        <f t="shared" si="5"/>
        <v>16887.2</v>
      </c>
      <c r="C35" s="232">
        <f t="shared" si="7"/>
        <v>612.6</v>
      </c>
      <c r="D35" s="232">
        <f t="shared" si="7"/>
        <v>497.5</v>
      </c>
      <c r="E35" s="232">
        <f t="shared" si="7"/>
        <v>473.7</v>
      </c>
      <c r="F35" s="702">
        <f>B35/C35</f>
        <v>27.566438132549788</v>
      </c>
      <c r="G35" s="702">
        <f>B35/E35</f>
        <v>35.64956723664767</v>
      </c>
      <c r="H35" s="702">
        <f>D35/C35*100</f>
        <v>81.211230819458052</v>
      </c>
      <c r="I35" s="702">
        <f>E35/C35*100</f>
        <v>77.326150832517143</v>
      </c>
      <c r="J35" s="692">
        <f>(D35-E35)/D35*100</f>
        <v>4.7839195979899527</v>
      </c>
    </row>
    <row r="36" spans="1:10" s="703" customFormat="1">
      <c r="A36" s="452">
        <v>2007</v>
      </c>
      <c r="B36" s="19">
        <f t="shared" si="5"/>
        <v>17435.5</v>
      </c>
      <c r="C36" s="232">
        <f t="shared" si="7"/>
        <v>616.9</v>
      </c>
      <c r="D36" s="232">
        <f t="shared" si="7"/>
        <v>505.5</v>
      </c>
      <c r="E36" s="232">
        <f t="shared" si="7"/>
        <v>483.7</v>
      </c>
      <c r="F36" s="702">
        <f>B36/C36</f>
        <v>28.263089641757173</v>
      </c>
      <c r="G36" s="702">
        <f>B36/E36</f>
        <v>36.046102956377922</v>
      </c>
      <c r="H36" s="702">
        <f>D36/C36*100</f>
        <v>81.941967904036318</v>
      </c>
      <c r="I36" s="702">
        <f>E36/C36*100</f>
        <v>78.408169881666396</v>
      </c>
      <c r="J36" s="692">
        <f>(D36-E36)/D36*100</f>
        <v>4.3125618199802203</v>
      </c>
    </row>
    <row r="37" spans="1:10" s="703" customFormat="1">
      <c r="A37" s="452">
        <v>2008</v>
      </c>
      <c r="B37" s="19">
        <v>17662.7</v>
      </c>
      <c r="C37" s="232">
        <v>630.79999999999995</v>
      </c>
      <c r="D37" s="232">
        <v>515.6</v>
      </c>
      <c r="E37" s="232">
        <v>494.1</v>
      </c>
      <c r="F37" s="702">
        <f>B37/C37</f>
        <v>28.000475586556757</v>
      </c>
      <c r="G37" s="702">
        <f>B37/E37</f>
        <v>35.747217162517707</v>
      </c>
      <c r="H37" s="702">
        <f>D37/C37*100</f>
        <v>81.737476220672164</v>
      </c>
      <c r="I37" s="702">
        <f>E37/C37*100</f>
        <v>78.329105897273308</v>
      </c>
      <c r="J37" s="692">
        <f>(D37-E37)/D37*100</f>
        <v>4.1698991466252906</v>
      </c>
    </row>
    <row r="38" spans="1:10">
      <c r="A38" s="452"/>
      <c r="B38" s="704"/>
      <c r="C38" s="704" t="s">
        <v>427</v>
      </c>
      <c r="D38" s="704"/>
      <c r="E38" s="454"/>
      <c r="F38" s="705"/>
      <c r="G38" s="705" t="s">
        <v>897</v>
      </c>
      <c r="H38" s="705"/>
      <c r="I38" s="705"/>
      <c r="J38" s="704"/>
    </row>
    <row r="39" spans="1:10">
      <c r="A39" s="454" t="s">
        <v>1716</v>
      </c>
      <c r="B39" s="706">
        <f>(POWER(B37/B5, 1/32)-1)*100</f>
        <v>0.67128948342956019</v>
      </c>
      <c r="C39" s="706">
        <f>(POWER(C37/C5, 1/32)-1)*100</f>
        <v>0.35987518819962094</v>
      </c>
      <c r="D39" s="706">
        <f>(POWER(D37/D5, 1/32)-1)*100</f>
        <v>0.91531547179970474</v>
      </c>
      <c r="E39" s="707">
        <f>(POWER(E37/E5, 1/32)-1)*100</f>
        <v>0.90880864902338487</v>
      </c>
      <c r="F39" s="708">
        <f>F37-F5</f>
        <v>2.6428373151713735</v>
      </c>
      <c r="G39" s="708">
        <f>G37-G5</f>
        <v>-2.7999577496207095</v>
      </c>
      <c r="H39" s="708">
        <f>H37-H5</f>
        <v>13.233119115923799</v>
      </c>
      <c r="I39" s="708">
        <f>I37-I5</f>
        <v>12.545716247620092</v>
      </c>
      <c r="J39" s="708">
        <f>J37-J5</f>
        <v>0.19793652980285747</v>
      </c>
    </row>
    <row r="40" spans="1:10">
      <c r="A40" s="454" t="s">
        <v>1707</v>
      </c>
      <c r="B40" s="706">
        <f>(POWER(B37/B10, 1/27)-1)*100</f>
        <v>0.50672720466906629</v>
      </c>
      <c r="C40" s="706">
        <f>(POWER(C37/C10, 1/27)-1)*100</f>
        <v>0.17322916414572731</v>
      </c>
      <c r="D40" s="706">
        <f>(POWER(D37/D10, 1/27)-1)*100</f>
        <v>0.60084765092736081</v>
      </c>
      <c r="E40" s="707">
        <f>(POWER(E37/E10, 1/27)-1)*100</f>
        <v>0.61782669882604058</v>
      </c>
      <c r="F40" s="708">
        <f>F37-F10</f>
        <v>2.4032995068225382</v>
      </c>
      <c r="G40" s="708">
        <f>G37-G10</f>
        <v>-1.0823717476161363</v>
      </c>
      <c r="H40" s="708">
        <f>H37-H10</f>
        <v>8.8803333635293029</v>
      </c>
      <c r="I40" s="708">
        <f>I37-I10</f>
        <v>8.8274447677052024</v>
      </c>
      <c r="J40" s="708">
        <f>J37-J10</f>
        <v>-0.43566400886947587</v>
      </c>
    </row>
    <row r="42" spans="1:10">
      <c r="A42" s="449" t="s">
        <v>899</v>
      </c>
    </row>
    <row r="43" spans="1:10">
      <c r="A43" s="449" t="s">
        <v>1717</v>
      </c>
    </row>
    <row r="45" spans="1:10" ht="15">
      <c r="A45" s="894" t="s">
        <v>163</v>
      </c>
      <c r="B45" s="895" t="s">
        <v>1446</v>
      </c>
      <c r="C45" s="895" t="s">
        <v>1447</v>
      </c>
      <c r="D45" s="895" t="s">
        <v>1448</v>
      </c>
      <c r="E45" s="896" t="s">
        <v>1476</v>
      </c>
      <c r="F45" s="896" t="s">
        <v>1477</v>
      </c>
      <c r="G45" s="896" t="s">
        <v>1478</v>
      </c>
    </row>
    <row r="46" spans="1:10" ht="15">
      <c r="A46" s="894">
        <v>1976</v>
      </c>
      <c r="B46" s="895">
        <v>3753.6</v>
      </c>
      <c r="C46" s="895">
        <v>8542.2000000000007</v>
      </c>
      <c r="D46" s="895">
        <v>1962.8</v>
      </c>
      <c r="E46" s="896">
        <v>562.29999999999995</v>
      </c>
      <c r="F46" s="896">
        <v>385.2</v>
      </c>
      <c r="G46" s="896">
        <v>369.9</v>
      </c>
    </row>
    <row r="47" spans="1:10" ht="15">
      <c r="A47" s="894">
        <v>1977</v>
      </c>
      <c r="B47" s="895">
        <v>3852</v>
      </c>
      <c r="C47" s="895">
        <v>8940.2999999999993</v>
      </c>
      <c r="D47" s="895">
        <v>1922.5</v>
      </c>
      <c r="E47" s="896">
        <v>574.1</v>
      </c>
      <c r="F47" s="896">
        <v>400.6</v>
      </c>
      <c r="G47" s="896">
        <v>382.7</v>
      </c>
    </row>
    <row r="48" spans="1:10" ht="15">
      <c r="A48" s="894">
        <v>1978</v>
      </c>
      <c r="B48" s="895">
        <v>3839.1</v>
      </c>
      <c r="C48" s="895">
        <v>9249</v>
      </c>
      <c r="D48" s="895">
        <v>1951.3</v>
      </c>
      <c r="E48" s="896">
        <v>582.1</v>
      </c>
      <c r="F48" s="896">
        <v>410</v>
      </c>
      <c r="G48" s="896">
        <v>389.6</v>
      </c>
    </row>
    <row r="49" spans="1:7" ht="15">
      <c r="A49" s="894">
        <v>1979</v>
      </c>
      <c r="B49" s="895">
        <v>4066.1</v>
      </c>
      <c r="C49" s="895">
        <v>9673.5</v>
      </c>
      <c r="D49" s="895">
        <v>1885</v>
      </c>
      <c r="E49" s="896">
        <v>589.1</v>
      </c>
      <c r="F49" s="896">
        <v>422</v>
      </c>
      <c r="G49" s="896">
        <v>404</v>
      </c>
    </row>
    <row r="50" spans="1:7" ht="15">
      <c r="A50" s="894">
        <v>1980</v>
      </c>
      <c r="B50" s="895">
        <v>3980.6</v>
      </c>
      <c r="C50" s="895">
        <v>9485.9</v>
      </c>
      <c r="D50" s="895">
        <v>1877.8</v>
      </c>
      <c r="E50" s="896">
        <v>596.1</v>
      </c>
      <c r="F50" s="896">
        <v>429</v>
      </c>
      <c r="G50" s="896">
        <v>410.1</v>
      </c>
    </row>
    <row r="51" spans="1:7" ht="15">
      <c r="A51" s="894">
        <v>1981</v>
      </c>
      <c r="B51" s="895">
        <v>3835.2</v>
      </c>
      <c r="C51" s="895">
        <v>9785.1</v>
      </c>
      <c r="D51" s="895">
        <v>1789.2</v>
      </c>
      <c r="E51" s="896">
        <v>602</v>
      </c>
      <c r="F51" s="896">
        <v>438.6</v>
      </c>
      <c r="G51" s="896">
        <v>418.4</v>
      </c>
    </row>
    <row r="52" spans="1:7" ht="15">
      <c r="A52" s="894">
        <v>1982</v>
      </c>
      <c r="B52" s="895">
        <v>3609</v>
      </c>
      <c r="C52" s="895">
        <v>9879.2999999999993</v>
      </c>
      <c r="D52" s="895">
        <v>1789</v>
      </c>
      <c r="E52" s="896">
        <v>608.9</v>
      </c>
      <c r="F52" s="896">
        <v>445.6</v>
      </c>
      <c r="G52" s="896">
        <v>417</v>
      </c>
    </row>
    <row r="53" spans="1:7" ht="15">
      <c r="A53" s="894">
        <v>1983</v>
      </c>
      <c r="B53" s="895">
        <v>3473.7</v>
      </c>
      <c r="C53" s="895">
        <v>10192.799999999999</v>
      </c>
      <c r="D53" s="895">
        <v>1748.7</v>
      </c>
      <c r="E53" s="896">
        <v>617.29999999999995</v>
      </c>
      <c r="F53" s="896">
        <v>459.6</v>
      </c>
      <c r="G53" s="896">
        <v>423.4</v>
      </c>
    </row>
    <row r="54" spans="1:7" ht="15">
      <c r="A54" s="894">
        <v>1984</v>
      </c>
      <c r="B54" s="895">
        <v>3420.8</v>
      </c>
      <c r="C54" s="895">
        <v>10331.200000000001</v>
      </c>
      <c r="D54" s="895">
        <v>1778.6</v>
      </c>
      <c r="E54" s="896">
        <v>625.5</v>
      </c>
      <c r="F54" s="896">
        <v>468.5</v>
      </c>
      <c r="G54" s="896">
        <v>429.6</v>
      </c>
    </row>
    <row r="55" spans="1:7" ht="15">
      <c r="A55" s="894">
        <v>1985</v>
      </c>
      <c r="B55" s="895">
        <v>3380.6</v>
      </c>
      <c r="C55" s="895">
        <v>10866.9</v>
      </c>
      <c r="D55" s="895">
        <v>1764.5</v>
      </c>
      <c r="E55" s="896">
        <v>630.29999999999995</v>
      </c>
      <c r="F55" s="896">
        <v>477.8</v>
      </c>
      <c r="G55" s="896">
        <v>436.7</v>
      </c>
    </row>
    <row r="56" spans="1:7" ht="15">
      <c r="A56" s="894">
        <v>1986</v>
      </c>
      <c r="B56" s="895">
        <v>3313.7</v>
      </c>
      <c r="C56" s="895">
        <v>11203.9</v>
      </c>
      <c r="D56" s="895">
        <v>1806.1</v>
      </c>
      <c r="E56" s="896">
        <v>631.4</v>
      </c>
      <c r="F56" s="896">
        <v>485.2</v>
      </c>
      <c r="G56" s="896">
        <v>446</v>
      </c>
    </row>
    <row r="57" spans="1:7" ht="15">
      <c r="A57" s="894">
        <v>1987</v>
      </c>
      <c r="B57" s="895">
        <v>3115.3</v>
      </c>
      <c r="C57" s="895">
        <v>11275.7</v>
      </c>
      <c r="D57" s="895">
        <v>1745.6</v>
      </c>
      <c r="E57" s="896">
        <v>630.5</v>
      </c>
      <c r="F57" s="896">
        <v>483.2</v>
      </c>
      <c r="G57" s="896">
        <v>446.8</v>
      </c>
    </row>
    <row r="58" spans="1:7" ht="15">
      <c r="A58" s="894">
        <v>1988</v>
      </c>
      <c r="B58" s="895">
        <v>2925.3</v>
      </c>
      <c r="C58" s="895">
        <v>11563.6</v>
      </c>
      <c r="D58" s="895">
        <v>1711.8</v>
      </c>
      <c r="E58" s="896">
        <v>625.20000000000005</v>
      </c>
      <c r="F58" s="896">
        <v>484.5</v>
      </c>
      <c r="G58" s="896">
        <v>448</v>
      </c>
    </row>
    <row r="59" spans="1:7" ht="15">
      <c r="A59" s="894">
        <v>1989</v>
      </c>
      <c r="B59" s="895">
        <v>2820.9</v>
      </c>
      <c r="C59" s="895">
        <v>11934</v>
      </c>
      <c r="D59" s="895">
        <v>1735.2</v>
      </c>
      <c r="E59" s="896">
        <v>616.1</v>
      </c>
      <c r="F59" s="896">
        <v>477.4</v>
      </c>
      <c r="G59" s="896">
        <v>441.5</v>
      </c>
    </row>
    <row r="60" spans="1:7" ht="15">
      <c r="A60" s="894">
        <v>1990</v>
      </c>
      <c r="B60" s="895">
        <v>2565.1999999999998</v>
      </c>
      <c r="C60" s="895">
        <v>12053.9</v>
      </c>
      <c r="D60" s="895">
        <v>1746</v>
      </c>
      <c r="E60" s="896">
        <v>606</v>
      </c>
      <c r="F60" s="896">
        <v>474</v>
      </c>
      <c r="G60" s="896">
        <v>439.8</v>
      </c>
    </row>
    <row r="61" spans="1:7" ht="15">
      <c r="A61" s="894">
        <v>1991</v>
      </c>
      <c r="B61" s="895">
        <v>2385</v>
      </c>
      <c r="C61" s="895">
        <v>12095.8</v>
      </c>
      <c r="D61" s="895">
        <v>1778.9</v>
      </c>
      <c r="E61" s="896">
        <v>601.6</v>
      </c>
      <c r="F61" s="896">
        <v>473.4</v>
      </c>
      <c r="G61" s="896">
        <v>437.6</v>
      </c>
    </row>
    <row r="62" spans="1:7" ht="15">
      <c r="A62" s="894">
        <v>1992</v>
      </c>
      <c r="B62" s="895">
        <v>2179.9</v>
      </c>
      <c r="C62" s="895">
        <v>11837.3</v>
      </c>
      <c r="D62" s="895">
        <v>1734.7</v>
      </c>
      <c r="E62" s="896">
        <v>601</v>
      </c>
      <c r="F62" s="896">
        <v>470</v>
      </c>
      <c r="G62" s="896">
        <v>431.5</v>
      </c>
    </row>
    <row r="63" spans="1:7" ht="15">
      <c r="A63" s="894">
        <v>1993</v>
      </c>
      <c r="B63" s="895">
        <v>2215</v>
      </c>
      <c r="C63" s="895">
        <v>11934.4</v>
      </c>
      <c r="D63" s="895">
        <v>1652.9</v>
      </c>
      <c r="E63" s="896">
        <v>602.1</v>
      </c>
      <c r="F63" s="896">
        <v>471.9</v>
      </c>
      <c r="G63" s="896">
        <v>431.7</v>
      </c>
    </row>
    <row r="64" spans="1:7" ht="15">
      <c r="A64" s="894">
        <v>1994</v>
      </c>
      <c r="B64" s="895">
        <v>2287.8000000000002</v>
      </c>
      <c r="C64" s="895">
        <v>12247.3</v>
      </c>
      <c r="D64" s="895">
        <v>1672.5</v>
      </c>
      <c r="E64" s="896">
        <v>604.4</v>
      </c>
      <c r="F64" s="896">
        <v>471</v>
      </c>
      <c r="G64" s="896">
        <v>437.6</v>
      </c>
    </row>
    <row r="65" spans="1:7" ht="15">
      <c r="A65" s="894">
        <v>1995</v>
      </c>
      <c r="B65" s="895">
        <v>2355.8000000000002</v>
      </c>
      <c r="C65" s="895">
        <v>12158.4</v>
      </c>
      <c r="D65" s="895">
        <v>1619.6</v>
      </c>
      <c r="E65" s="896">
        <v>608.20000000000005</v>
      </c>
      <c r="F65" s="896">
        <v>472.8</v>
      </c>
      <c r="G65" s="896">
        <v>439.9</v>
      </c>
    </row>
    <row r="66" spans="1:7" ht="15">
      <c r="A66" s="894">
        <v>1996</v>
      </c>
      <c r="B66" s="895">
        <v>2441</v>
      </c>
      <c r="C66" s="895">
        <v>12347.1</v>
      </c>
      <c r="D66" s="895">
        <v>1636.9</v>
      </c>
      <c r="E66" s="896">
        <v>612.5</v>
      </c>
      <c r="F66" s="896">
        <v>473.4</v>
      </c>
      <c r="G66" s="896">
        <v>440.8</v>
      </c>
    </row>
    <row r="67" spans="1:7" ht="15">
      <c r="A67" s="894">
        <v>1997</v>
      </c>
      <c r="B67" s="895">
        <v>2518.1999999999998</v>
      </c>
      <c r="C67" s="895">
        <v>12633.5</v>
      </c>
      <c r="D67" s="895">
        <v>1605.3</v>
      </c>
      <c r="E67" s="896">
        <v>613.20000000000005</v>
      </c>
      <c r="F67" s="896">
        <v>479.4</v>
      </c>
      <c r="G67" s="896">
        <v>450</v>
      </c>
    </row>
    <row r="68" spans="1:7" ht="15">
      <c r="A68" s="894">
        <v>1998</v>
      </c>
      <c r="B68" s="895">
        <v>2437.6999999999998</v>
      </c>
      <c r="C68" s="895">
        <v>12336.8</v>
      </c>
      <c r="D68" s="895">
        <v>1741.7</v>
      </c>
      <c r="E68" s="896">
        <v>614.20000000000005</v>
      </c>
      <c r="F68" s="896">
        <v>483.2</v>
      </c>
      <c r="G68" s="896">
        <v>454.4</v>
      </c>
    </row>
    <row r="69" spans="1:7" ht="15">
      <c r="A69" s="894">
        <v>1999</v>
      </c>
      <c r="B69" s="895">
        <v>2382</v>
      </c>
      <c r="C69" s="895">
        <v>12392.6</v>
      </c>
      <c r="D69" s="895">
        <v>1754.5</v>
      </c>
      <c r="E69" s="896">
        <v>614.1</v>
      </c>
      <c r="F69" s="896">
        <v>485.6</v>
      </c>
      <c r="G69" s="896">
        <v>455.4</v>
      </c>
    </row>
    <row r="70" spans="1:7" ht="15">
      <c r="A70" s="894">
        <v>2000</v>
      </c>
      <c r="B70" s="895">
        <v>2500.8000000000002</v>
      </c>
      <c r="C70" s="895">
        <v>12464.1</v>
      </c>
      <c r="D70" s="895">
        <v>1726</v>
      </c>
      <c r="E70" s="896">
        <v>611.70000000000005</v>
      </c>
      <c r="F70" s="896">
        <v>481.1</v>
      </c>
      <c r="G70" s="896">
        <v>455.5</v>
      </c>
    </row>
    <row r="71" spans="1:7" ht="15">
      <c r="A71" s="894">
        <v>2001</v>
      </c>
      <c r="B71" s="895">
        <v>2367.6</v>
      </c>
      <c r="C71" s="895">
        <v>11988.6</v>
      </c>
      <c r="D71" s="895">
        <v>1660.6</v>
      </c>
      <c r="E71" s="896">
        <v>609.20000000000005</v>
      </c>
      <c r="F71" s="896">
        <v>473.7</v>
      </c>
      <c r="G71" s="896">
        <v>445.7</v>
      </c>
    </row>
    <row r="72" spans="1:7" ht="15">
      <c r="A72" s="894">
        <v>2002</v>
      </c>
      <c r="B72" s="895">
        <v>2389.9</v>
      </c>
      <c r="C72" s="895">
        <v>11920.6</v>
      </c>
      <c r="D72" s="895">
        <v>1776.7</v>
      </c>
      <c r="E72" s="896">
        <v>607.79999999999995</v>
      </c>
      <c r="F72" s="896">
        <v>481.7</v>
      </c>
      <c r="G72" s="896">
        <v>453.8</v>
      </c>
    </row>
    <row r="73" spans="1:7" ht="15">
      <c r="A73" s="894">
        <v>2003</v>
      </c>
      <c r="B73" s="895">
        <v>2474.3000000000002</v>
      </c>
      <c r="C73" s="895">
        <v>11712.1</v>
      </c>
      <c r="D73" s="895">
        <v>1893.6</v>
      </c>
      <c r="E73" s="896">
        <v>608.70000000000005</v>
      </c>
      <c r="F73" s="896">
        <v>488.7</v>
      </c>
      <c r="G73" s="896">
        <v>460.8</v>
      </c>
    </row>
    <row r="74" spans="1:7" ht="15">
      <c r="A74" s="894">
        <v>2004</v>
      </c>
      <c r="B74" s="895">
        <v>2502.1</v>
      </c>
      <c r="C74" s="895">
        <v>11736.7</v>
      </c>
      <c r="D74" s="895">
        <v>1954.9</v>
      </c>
      <c r="E74" s="896">
        <v>611.5</v>
      </c>
      <c r="F74" s="896">
        <v>490.2</v>
      </c>
      <c r="G74" s="896">
        <v>463.6</v>
      </c>
    </row>
    <row r="75" spans="1:7" ht="15">
      <c r="A75" s="894">
        <v>2005</v>
      </c>
      <c r="B75" s="895">
        <v>2520.1</v>
      </c>
      <c r="C75" s="895">
        <v>12031.6</v>
      </c>
      <c r="D75" s="895">
        <v>2087.8000000000002</v>
      </c>
      <c r="E75" s="896">
        <v>614.4</v>
      </c>
      <c r="F75" s="896">
        <v>491.8</v>
      </c>
      <c r="G75" s="896">
        <v>466.2</v>
      </c>
    </row>
    <row r="76" spans="1:7" ht="15">
      <c r="A76" s="894">
        <v>2006</v>
      </c>
      <c r="B76" s="895">
        <v>2690.3</v>
      </c>
      <c r="C76" s="895">
        <v>11993</v>
      </c>
      <c r="D76" s="895">
        <v>2203.9</v>
      </c>
      <c r="E76" s="896">
        <v>612.6</v>
      </c>
      <c r="F76" s="896">
        <v>497.5</v>
      </c>
      <c r="G76" s="896">
        <v>473.7</v>
      </c>
    </row>
    <row r="77" spans="1:7" ht="15">
      <c r="A77" s="894">
        <v>2007</v>
      </c>
      <c r="B77" s="895">
        <v>2781</v>
      </c>
      <c r="C77" s="895">
        <v>12230</v>
      </c>
      <c r="D77" s="895">
        <v>2424.5</v>
      </c>
      <c r="E77" s="896">
        <v>616.9</v>
      </c>
      <c r="F77" s="896">
        <v>505.5</v>
      </c>
      <c r="G77" s="896">
        <v>483.7</v>
      </c>
    </row>
  </sheetData>
  <phoneticPr fontId="36" type="noConversion"/>
  <pageMargins left="0.75" right="0.75" top="1" bottom="1" header="0.5" footer="0.5"/>
  <pageSetup scale="89" orientation="portrait" r:id="rId1"/>
  <headerFooter alignWithMargins="0"/>
</worksheet>
</file>

<file path=xl/worksheets/sheet194.xml><?xml version="1.0" encoding="utf-8"?>
<worksheet xmlns="http://schemas.openxmlformats.org/spreadsheetml/2006/main" xmlns:r="http://schemas.openxmlformats.org/officeDocument/2006/relationships">
  <sheetPr codeName="Sheet166">
    <pageSetUpPr fitToPage="1"/>
  </sheetPr>
  <dimension ref="A1:J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2238</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31160</v>
      </c>
      <c r="C5" s="232">
        <f>E46</f>
        <v>1196.0999999999999</v>
      </c>
      <c r="D5" s="232">
        <f>F46</f>
        <v>873.3</v>
      </c>
      <c r="E5" s="232">
        <f>G46</f>
        <v>838.3</v>
      </c>
      <c r="F5" s="701">
        <f t="shared" ref="F5:F34" si="0">B5/C5</f>
        <v>26.051333500543436</v>
      </c>
      <c r="G5" s="701">
        <f t="shared" ref="G5:G34" si="1">B5/E5</f>
        <v>37.170464034355241</v>
      </c>
      <c r="H5" s="701">
        <f t="shared" ref="H5:H34" si="2">D5/C5*100</f>
        <v>73.01228994231252</v>
      </c>
      <c r="I5" s="701">
        <f t="shared" ref="I5:I34" si="3">E5/C5*100</f>
        <v>70.086113201237353</v>
      </c>
      <c r="J5" s="692">
        <f t="shared" ref="J5:J34" si="4">(D5-E5)/D5*100</f>
        <v>4.0077865567388073</v>
      </c>
    </row>
    <row r="6" spans="1:10">
      <c r="A6" s="452">
        <v>1977</v>
      </c>
      <c r="B6" s="19">
        <f t="shared" ref="B6:B36" si="5">SUM(B47:D47)</f>
        <v>32753.9</v>
      </c>
      <c r="C6" s="232">
        <f t="shared" ref="C6:E21" si="6">E47</f>
        <v>1270.2</v>
      </c>
      <c r="D6" s="232">
        <f t="shared" si="6"/>
        <v>932.4</v>
      </c>
      <c r="E6" s="232">
        <f t="shared" si="6"/>
        <v>890.1</v>
      </c>
      <c r="F6" s="701">
        <f t="shared" si="0"/>
        <v>25.786411588726185</v>
      </c>
      <c r="G6" s="701">
        <f t="shared" si="1"/>
        <v>36.798000224693858</v>
      </c>
      <c r="H6" s="701">
        <f t="shared" si="2"/>
        <v>73.405762871988657</v>
      </c>
      <c r="I6" s="701">
        <f t="shared" si="3"/>
        <v>70.075578649031641</v>
      </c>
      <c r="J6" s="692">
        <f t="shared" si="4"/>
        <v>4.5366795366795314</v>
      </c>
    </row>
    <row r="7" spans="1:10">
      <c r="A7" s="452">
        <v>1978</v>
      </c>
      <c r="B7" s="19">
        <f t="shared" si="5"/>
        <v>34944.9</v>
      </c>
      <c r="C7" s="232">
        <f t="shared" si="6"/>
        <v>1335.9</v>
      </c>
      <c r="D7" s="232">
        <f t="shared" si="6"/>
        <v>992.9</v>
      </c>
      <c r="E7" s="232">
        <f t="shared" si="6"/>
        <v>945.1</v>
      </c>
      <c r="F7" s="701">
        <f t="shared" si="0"/>
        <v>26.158320233550416</v>
      </c>
      <c r="G7" s="701">
        <f t="shared" si="1"/>
        <v>36.974817479631788</v>
      </c>
      <c r="H7" s="701">
        <f t="shared" si="2"/>
        <v>74.324425480949159</v>
      </c>
      <c r="I7" s="701">
        <f t="shared" si="3"/>
        <v>70.746313346807383</v>
      </c>
      <c r="J7" s="692">
        <f t="shared" si="4"/>
        <v>4.8141806828482183</v>
      </c>
    </row>
    <row r="8" spans="1:10">
      <c r="A8" s="452">
        <v>1979</v>
      </c>
      <c r="B8" s="19">
        <f t="shared" si="5"/>
        <v>38522.199999999997</v>
      </c>
      <c r="C8" s="232">
        <f t="shared" si="6"/>
        <v>1400.8</v>
      </c>
      <c r="D8" s="232">
        <f t="shared" si="6"/>
        <v>1061.4000000000001</v>
      </c>
      <c r="E8" s="232">
        <f t="shared" si="6"/>
        <v>1019.3</v>
      </c>
      <c r="F8" s="701">
        <f t="shared" si="0"/>
        <v>27.500142775556824</v>
      </c>
      <c r="G8" s="701">
        <f t="shared" si="1"/>
        <v>37.792798979691945</v>
      </c>
      <c r="H8" s="701">
        <f t="shared" si="2"/>
        <v>75.77098800685323</v>
      </c>
      <c r="I8" s="701">
        <f t="shared" si="3"/>
        <v>72.765562535693888</v>
      </c>
      <c r="J8" s="692">
        <f t="shared" si="4"/>
        <v>3.9664593932542047</v>
      </c>
    </row>
    <row r="9" spans="1:10">
      <c r="A9" s="452">
        <v>1980</v>
      </c>
      <c r="B9" s="19">
        <f t="shared" si="5"/>
        <v>40696.300000000003</v>
      </c>
      <c r="C9" s="232">
        <f t="shared" si="6"/>
        <v>1476.5</v>
      </c>
      <c r="D9" s="232">
        <f t="shared" si="6"/>
        <v>1132.9000000000001</v>
      </c>
      <c r="E9" s="232">
        <f t="shared" si="6"/>
        <v>1088.7</v>
      </c>
      <c r="F9" s="701">
        <f t="shared" si="0"/>
        <v>27.562682018286491</v>
      </c>
      <c r="G9" s="701">
        <f t="shared" si="1"/>
        <v>37.380637457518141</v>
      </c>
      <c r="H9" s="701">
        <f t="shared" si="2"/>
        <v>76.728750423298337</v>
      </c>
      <c r="I9" s="701">
        <f t="shared" si="3"/>
        <v>73.73518455807654</v>
      </c>
      <c r="J9" s="692">
        <f t="shared" si="4"/>
        <v>3.9014917468443855</v>
      </c>
    </row>
    <row r="10" spans="1:10">
      <c r="A10" s="452">
        <v>1981</v>
      </c>
      <c r="B10" s="19">
        <f t="shared" si="5"/>
        <v>42841</v>
      </c>
      <c r="C10" s="232">
        <f t="shared" si="6"/>
        <v>1554.8</v>
      </c>
      <c r="D10" s="232">
        <f t="shared" si="6"/>
        <v>1216.4000000000001</v>
      </c>
      <c r="E10" s="232">
        <f t="shared" si="6"/>
        <v>1168.5</v>
      </c>
      <c r="F10" s="701">
        <f t="shared" si="0"/>
        <v>27.554026241317214</v>
      </c>
      <c r="G10" s="701">
        <f t="shared" si="1"/>
        <v>36.66324347454001</v>
      </c>
      <c r="H10" s="701">
        <f t="shared" si="2"/>
        <v>78.235142783637784</v>
      </c>
      <c r="I10" s="701">
        <f t="shared" si="3"/>
        <v>75.154360689477755</v>
      </c>
      <c r="J10" s="692">
        <f t="shared" si="4"/>
        <v>3.9378493916474917</v>
      </c>
    </row>
    <row r="11" spans="1:10">
      <c r="A11" s="452">
        <v>1982</v>
      </c>
      <c r="B11" s="19">
        <f t="shared" si="5"/>
        <v>41863.399999999994</v>
      </c>
      <c r="C11" s="232">
        <f t="shared" si="6"/>
        <v>1607.4</v>
      </c>
      <c r="D11" s="232">
        <f t="shared" si="6"/>
        <v>1248.0999999999999</v>
      </c>
      <c r="E11" s="232">
        <f t="shared" si="6"/>
        <v>1151.0999999999999</v>
      </c>
      <c r="F11" s="701">
        <f t="shared" si="0"/>
        <v>26.044170710464098</v>
      </c>
      <c r="G11" s="701">
        <f t="shared" si="1"/>
        <v>36.368169576926419</v>
      </c>
      <c r="H11" s="701">
        <f t="shared" si="2"/>
        <v>77.64713201443324</v>
      </c>
      <c r="I11" s="701">
        <f t="shared" si="3"/>
        <v>71.61254199328107</v>
      </c>
      <c r="J11" s="692">
        <f t="shared" si="4"/>
        <v>7.7718131559971164</v>
      </c>
    </row>
    <row r="12" spans="1:10">
      <c r="A12" s="452">
        <v>1983</v>
      </c>
      <c r="B12" s="19">
        <f t="shared" si="5"/>
        <v>39963.699999999997</v>
      </c>
      <c r="C12" s="232">
        <f t="shared" si="6"/>
        <v>1621.2</v>
      </c>
      <c r="D12" s="232">
        <f t="shared" si="6"/>
        <v>1258</v>
      </c>
      <c r="E12" s="232">
        <f t="shared" si="6"/>
        <v>1118.2</v>
      </c>
      <c r="F12" s="701">
        <f t="shared" si="0"/>
        <v>24.6506908462867</v>
      </c>
      <c r="G12" s="701">
        <f t="shared" si="1"/>
        <v>35.739313181899476</v>
      </c>
      <c r="H12" s="701">
        <f t="shared" si="2"/>
        <v>77.596841845546507</v>
      </c>
      <c r="I12" s="701">
        <f t="shared" si="3"/>
        <v>68.973599802615354</v>
      </c>
      <c r="J12" s="692">
        <f t="shared" si="4"/>
        <v>11.112877583465815</v>
      </c>
    </row>
    <row r="13" spans="1:10">
      <c r="A13" s="452">
        <v>1984</v>
      </c>
      <c r="B13" s="19">
        <f t="shared" si="5"/>
        <v>40164.199999999997</v>
      </c>
      <c r="C13" s="232">
        <f t="shared" si="6"/>
        <v>1617.6</v>
      </c>
      <c r="D13" s="232">
        <f t="shared" si="6"/>
        <v>1268.5999999999999</v>
      </c>
      <c r="E13" s="232">
        <f t="shared" si="6"/>
        <v>1123.5</v>
      </c>
      <c r="F13" s="701">
        <f t="shared" si="0"/>
        <v>24.829500494559841</v>
      </c>
      <c r="G13" s="701">
        <f t="shared" si="1"/>
        <v>35.749176680017797</v>
      </c>
      <c r="H13" s="701">
        <f t="shared" si="2"/>
        <v>78.424826904055394</v>
      </c>
      <c r="I13" s="701">
        <f t="shared" si="3"/>
        <v>69.454747774480722</v>
      </c>
      <c r="J13" s="692">
        <f t="shared" si="4"/>
        <v>11.437805454832093</v>
      </c>
    </row>
    <row r="14" spans="1:10">
      <c r="A14" s="452">
        <v>1985</v>
      </c>
      <c r="B14" s="19">
        <f t="shared" si="5"/>
        <v>42079.7</v>
      </c>
      <c r="C14" s="232">
        <f t="shared" si="6"/>
        <v>1623.2</v>
      </c>
      <c r="D14" s="232">
        <f t="shared" si="6"/>
        <v>1285.3</v>
      </c>
      <c r="E14" s="232">
        <f t="shared" si="6"/>
        <v>1156</v>
      </c>
      <c r="F14" s="701">
        <f t="shared" si="0"/>
        <v>25.923915722030554</v>
      </c>
      <c r="G14" s="701">
        <f t="shared" si="1"/>
        <v>36.401124567474049</v>
      </c>
      <c r="H14" s="701">
        <f t="shared" si="2"/>
        <v>79.18309512074913</v>
      </c>
      <c r="I14" s="701">
        <f t="shared" si="3"/>
        <v>71.217348447511085</v>
      </c>
      <c r="J14" s="692">
        <f t="shared" si="4"/>
        <v>10.059908192639847</v>
      </c>
    </row>
    <row r="15" spans="1:10">
      <c r="A15" s="452">
        <v>1986</v>
      </c>
      <c r="B15" s="19">
        <f t="shared" si="5"/>
        <v>42056.1</v>
      </c>
      <c r="C15" s="232">
        <f t="shared" si="6"/>
        <v>1637.4</v>
      </c>
      <c r="D15" s="232">
        <f t="shared" si="6"/>
        <v>1297.3</v>
      </c>
      <c r="E15" s="232">
        <f t="shared" si="6"/>
        <v>1165</v>
      </c>
      <c r="F15" s="701">
        <f t="shared" si="0"/>
        <v>25.684683034078414</v>
      </c>
      <c r="G15" s="701">
        <f t="shared" si="1"/>
        <v>36.099656652360515</v>
      </c>
      <c r="H15" s="701">
        <f t="shared" si="2"/>
        <v>79.229265909368507</v>
      </c>
      <c r="I15" s="701">
        <f t="shared" si="3"/>
        <v>71.149383168437765</v>
      </c>
      <c r="J15" s="692">
        <f t="shared" si="4"/>
        <v>10.198103753950509</v>
      </c>
    </row>
    <row r="16" spans="1:10">
      <c r="A16" s="452">
        <v>1987</v>
      </c>
      <c r="B16" s="19">
        <f t="shared" si="5"/>
        <v>41989.599999999999</v>
      </c>
      <c r="C16" s="232">
        <f t="shared" si="6"/>
        <v>1633.2</v>
      </c>
      <c r="D16" s="232">
        <f t="shared" si="6"/>
        <v>1297.3</v>
      </c>
      <c r="E16" s="232">
        <f t="shared" si="6"/>
        <v>1171.7</v>
      </c>
      <c r="F16" s="701">
        <f t="shared" si="0"/>
        <v>25.710017144256671</v>
      </c>
      <c r="G16" s="701">
        <f t="shared" si="1"/>
        <v>35.836476913885804</v>
      </c>
      <c r="H16" s="701">
        <f t="shared" si="2"/>
        <v>79.43301493999509</v>
      </c>
      <c r="I16" s="701">
        <f t="shared" si="3"/>
        <v>71.742591231937297</v>
      </c>
      <c r="J16" s="692">
        <f t="shared" si="4"/>
        <v>9.6816464965697921</v>
      </c>
    </row>
    <row r="17" spans="1:10">
      <c r="A17" s="452">
        <v>1988</v>
      </c>
      <c r="B17" s="19">
        <f t="shared" si="5"/>
        <v>43649.5</v>
      </c>
      <c r="C17" s="232">
        <f t="shared" si="6"/>
        <v>1638.5</v>
      </c>
      <c r="D17" s="232">
        <f t="shared" si="6"/>
        <v>1309</v>
      </c>
      <c r="E17" s="232">
        <f t="shared" si="6"/>
        <v>1202.9000000000001</v>
      </c>
      <c r="F17" s="701">
        <f t="shared" si="0"/>
        <v>26.639914555996338</v>
      </c>
      <c r="G17" s="701">
        <f t="shared" si="1"/>
        <v>36.286890015795159</v>
      </c>
      <c r="H17" s="701">
        <f t="shared" si="2"/>
        <v>79.890143423863293</v>
      </c>
      <c r="I17" s="701">
        <f t="shared" si="3"/>
        <v>73.414708574916091</v>
      </c>
      <c r="J17" s="692">
        <f t="shared" si="4"/>
        <v>8.1054239877769216</v>
      </c>
    </row>
    <row r="18" spans="1:10">
      <c r="A18" s="452">
        <v>1989</v>
      </c>
      <c r="B18" s="19">
        <f t="shared" si="5"/>
        <v>45818.400000000001</v>
      </c>
      <c r="C18" s="232">
        <f t="shared" si="6"/>
        <v>1657.3</v>
      </c>
      <c r="D18" s="232">
        <f t="shared" si="6"/>
        <v>1328</v>
      </c>
      <c r="E18" s="232">
        <f t="shared" si="6"/>
        <v>1231.5999999999999</v>
      </c>
      <c r="F18" s="701">
        <f t="shared" si="0"/>
        <v>27.646412840161709</v>
      </c>
      <c r="G18" s="701">
        <f t="shared" si="1"/>
        <v>37.20233842156545</v>
      </c>
      <c r="H18" s="701">
        <f t="shared" si="2"/>
        <v>80.130332468472815</v>
      </c>
      <c r="I18" s="701">
        <f t="shared" si="3"/>
        <v>74.3136426718156</v>
      </c>
      <c r="J18" s="692">
        <f t="shared" si="4"/>
        <v>7.2590361445783191</v>
      </c>
    </row>
    <row r="19" spans="1:10">
      <c r="A19" s="452">
        <v>1990</v>
      </c>
      <c r="B19" s="19">
        <f t="shared" si="5"/>
        <v>46991.8</v>
      </c>
      <c r="C19" s="232">
        <f t="shared" si="6"/>
        <v>1686</v>
      </c>
      <c r="D19" s="232">
        <f t="shared" si="6"/>
        <v>1348.6</v>
      </c>
      <c r="E19" s="232">
        <f t="shared" si="6"/>
        <v>1254.8</v>
      </c>
      <c r="F19" s="701">
        <f t="shared" si="0"/>
        <v>27.871767497034401</v>
      </c>
      <c r="G19" s="701">
        <f t="shared" si="1"/>
        <v>37.44963340771438</v>
      </c>
      <c r="H19" s="701">
        <f t="shared" si="2"/>
        <v>79.988137603795963</v>
      </c>
      <c r="I19" s="701">
        <f t="shared" si="3"/>
        <v>74.424673784104385</v>
      </c>
      <c r="J19" s="692">
        <f t="shared" si="4"/>
        <v>6.9553611152306072</v>
      </c>
    </row>
    <row r="20" spans="1:10">
      <c r="A20" s="452">
        <v>1991</v>
      </c>
      <c r="B20" s="19">
        <f t="shared" si="5"/>
        <v>46069.599999999999</v>
      </c>
      <c r="C20" s="232">
        <f t="shared" si="6"/>
        <v>1715.5</v>
      </c>
      <c r="D20" s="232">
        <f t="shared" si="6"/>
        <v>1375.9</v>
      </c>
      <c r="E20" s="232">
        <f t="shared" si="6"/>
        <v>1261.8</v>
      </c>
      <c r="F20" s="701">
        <f t="shared" si="0"/>
        <v>26.854911104634215</v>
      </c>
      <c r="G20" s="701">
        <f t="shared" si="1"/>
        <v>36.511016008876211</v>
      </c>
      <c r="H20" s="701">
        <f t="shared" si="2"/>
        <v>80.2040221509764</v>
      </c>
      <c r="I20" s="701">
        <f t="shared" si="3"/>
        <v>73.552900029146016</v>
      </c>
      <c r="J20" s="692">
        <f t="shared" si="4"/>
        <v>8.2927538338542135</v>
      </c>
    </row>
    <row r="21" spans="1:10">
      <c r="A21" s="452">
        <v>1992</v>
      </c>
      <c r="B21" s="19">
        <f t="shared" si="5"/>
        <v>44865.799999999996</v>
      </c>
      <c r="C21" s="232">
        <f t="shared" si="6"/>
        <v>1738.7</v>
      </c>
      <c r="D21" s="232">
        <f t="shared" si="6"/>
        <v>1390.6</v>
      </c>
      <c r="E21" s="232">
        <f t="shared" si="6"/>
        <v>1257.5</v>
      </c>
      <c r="F21" s="701">
        <f t="shared" si="0"/>
        <v>25.804221544832341</v>
      </c>
      <c r="G21" s="701">
        <f t="shared" si="1"/>
        <v>35.678568588469183</v>
      </c>
      <c r="H21" s="701">
        <f t="shared" si="2"/>
        <v>79.979294875481671</v>
      </c>
      <c r="I21" s="701">
        <f t="shared" si="3"/>
        <v>72.324150227181221</v>
      </c>
      <c r="J21" s="692">
        <f t="shared" si="4"/>
        <v>9.5714080253128078</v>
      </c>
    </row>
    <row r="22" spans="1:10">
      <c r="A22" s="452">
        <v>1993</v>
      </c>
      <c r="B22" s="19">
        <f t="shared" si="5"/>
        <v>45588.100000000006</v>
      </c>
      <c r="C22" s="232">
        <f t="shared" ref="C22:E36" si="7">E63</f>
        <v>1760.3</v>
      </c>
      <c r="D22" s="232">
        <f t="shared" si="7"/>
        <v>1403.1</v>
      </c>
      <c r="E22" s="232">
        <f t="shared" si="7"/>
        <v>1267</v>
      </c>
      <c r="F22" s="701">
        <f t="shared" si="0"/>
        <v>25.897915128103168</v>
      </c>
      <c r="G22" s="701">
        <f t="shared" si="1"/>
        <v>35.981136543014998</v>
      </c>
      <c r="H22" s="701">
        <f t="shared" si="2"/>
        <v>79.708004317445898</v>
      </c>
      <c r="I22" s="701">
        <f t="shared" si="3"/>
        <v>71.97636766460262</v>
      </c>
      <c r="J22" s="692">
        <f t="shared" si="4"/>
        <v>9.6999501104696684</v>
      </c>
    </row>
    <row r="23" spans="1:10">
      <c r="A23" s="452">
        <v>1994</v>
      </c>
      <c r="B23" s="19">
        <f t="shared" si="5"/>
        <v>47864.6</v>
      </c>
      <c r="C23" s="232">
        <f t="shared" si="7"/>
        <v>1782.1</v>
      </c>
      <c r="D23" s="232">
        <f t="shared" si="7"/>
        <v>1429.9</v>
      </c>
      <c r="E23" s="232">
        <f t="shared" si="7"/>
        <v>1303.3</v>
      </c>
      <c r="F23" s="701">
        <f t="shared" si="0"/>
        <v>26.858537680264856</v>
      </c>
      <c r="G23" s="701">
        <f t="shared" si="1"/>
        <v>36.725696309368523</v>
      </c>
      <c r="H23" s="701">
        <f t="shared" si="2"/>
        <v>80.236799281746258</v>
      </c>
      <c r="I23" s="701">
        <f t="shared" si="3"/>
        <v>73.132820829358621</v>
      </c>
      <c r="J23" s="692">
        <f t="shared" si="4"/>
        <v>8.8537659976222205</v>
      </c>
    </row>
    <row r="24" spans="1:10">
      <c r="A24" s="452">
        <v>1995</v>
      </c>
      <c r="B24" s="19">
        <f t="shared" si="5"/>
        <v>48964.4</v>
      </c>
      <c r="C24" s="232">
        <f t="shared" si="7"/>
        <v>1807.2</v>
      </c>
      <c r="D24" s="232">
        <f t="shared" si="7"/>
        <v>1455.1</v>
      </c>
      <c r="E24" s="232">
        <f t="shared" si="7"/>
        <v>1340.2</v>
      </c>
      <c r="F24" s="701">
        <f t="shared" si="0"/>
        <v>27.094068171757414</v>
      </c>
      <c r="G24" s="701">
        <f t="shared" si="1"/>
        <v>36.535144008356959</v>
      </c>
      <c r="H24" s="701">
        <f t="shared" si="2"/>
        <v>80.516821602478956</v>
      </c>
      <c r="I24" s="701">
        <f t="shared" si="3"/>
        <v>74.158919876051357</v>
      </c>
      <c r="J24" s="692">
        <f t="shared" si="4"/>
        <v>7.8963645110301615</v>
      </c>
    </row>
    <row r="25" spans="1:10">
      <c r="A25" s="452">
        <v>1996</v>
      </c>
      <c r="B25" s="19">
        <f t="shared" si="5"/>
        <v>51002</v>
      </c>
      <c r="C25" s="232">
        <f t="shared" si="7"/>
        <v>1839</v>
      </c>
      <c r="D25" s="232">
        <f t="shared" si="7"/>
        <v>1482.2</v>
      </c>
      <c r="E25" s="232">
        <f t="shared" si="7"/>
        <v>1378.5</v>
      </c>
      <c r="F25" s="701">
        <f t="shared" si="0"/>
        <v>27.733550842849375</v>
      </c>
      <c r="G25" s="701">
        <f t="shared" si="1"/>
        <v>36.99818643453029</v>
      </c>
      <c r="H25" s="701">
        <f t="shared" si="2"/>
        <v>80.598151169113649</v>
      </c>
      <c r="I25" s="701">
        <f t="shared" si="3"/>
        <v>74.959216965742243</v>
      </c>
      <c r="J25" s="692">
        <f t="shared" si="4"/>
        <v>6.9963567669680229</v>
      </c>
    </row>
    <row r="26" spans="1:10">
      <c r="A26" s="452">
        <v>1997</v>
      </c>
      <c r="B26" s="19">
        <f t="shared" si="5"/>
        <v>52636</v>
      </c>
      <c r="C26" s="232">
        <f t="shared" si="7"/>
        <v>1884.5</v>
      </c>
      <c r="D26" s="232">
        <f t="shared" si="7"/>
        <v>1517</v>
      </c>
      <c r="E26" s="232">
        <f t="shared" si="7"/>
        <v>1426.1</v>
      </c>
      <c r="F26" s="701">
        <f t="shared" si="0"/>
        <v>27.931016184664369</v>
      </c>
      <c r="G26" s="701">
        <f t="shared" si="1"/>
        <v>36.909052661103715</v>
      </c>
      <c r="H26" s="701">
        <f t="shared" si="2"/>
        <v>80.498806049349952</v>
      </c>
      <c r="I26" s="701">
        <f t="shared" si="3"/>
        <v>75.675245423189182</v>
      </c>
      <c r="J26" s="692">
        <f t="shared" si="4"/>
        <v>5.9920896506262427</v>
      </c>
    </row>
    <row r="27" spans="1:10">
      <c r="A27" s="452">
        <v>1998</v>
      </c>
      <c r="B27" s="19">
        <f t="shared" si="5"/>
        <v>53166.1</v>
      </c>
      <c r="C27" s="232">
        <f t="shared" si="7"/>
        <v>1940.7</v>
      </c>
      <c r="D27" s="232">
        <f t="shared" si="7"/>
        <v>1573.9</v>
      </c>
      <c r="E27" s="232">
        <f t="shared" si="7"/>
        <v>1484.6</v>
      </c>
      <c r="F27" s="701">
        <f t="shared" si="0"/>
        <v>27.395321275828309</v>
      </c>
      <c r="G27" s="701">
        <f t="shared" si="1"/>
        <v>35.811733800350261</v>
      </c>
      <c r="H27" s="701">
        <f t="shared" si="2"/>
        <v>81.099603235945793</v>
      </c>
      <c r="I27" s="701">
        <f t="shared" si="3"/>
        <v>76.498170763126708</v>
      </c>
      <c r="J27" s="692">
        <f t="shared" si="4"/>
        <v>5.6738039265518889</v>
      </c>
    </row>
    <row r="28" spans="1:10">
      <c r="A28" s="452">
        <v>1999</v>
      </c>
      <c r="B28" s="19">
        <f t="shared" si="5"/>
        <v>54536.700000000004</v>
      </c>
      <c r="C28" s="232">
        <f t="shared" si="7"/>
        <v>1985.2</v>
      </c>
      <c r="D28" s="232">
        <f t="shared" si="7"/>
        <v>1608.8</v>
      </c>
      <c r="E28" s="232">
        <f t="shared" si="7"/>
        <v>1515.8</v>
      </c>
      <c r="F28" s="701">
        <f t="shared" si="0"/>
        <v>27.471640137013903</v>
      </c>
      <c r="G28" s="701">
        <f t="shared" si="1"/>
        <v>35.978823063728726</v>
      </c>
      <c r="H28" s="701">
        <f t="shared" si="2"/>
        <v>81.039693733628852</v>
      </c>
      <c r="I28" s="701">
        <f t="shared" si="3"/>
        <v>76.355027201289545</v>
      </c>
      <c r="J28" s="692">
        <f t="shared" si="4"/>
        <v>5.7807061163600206</v>
      </c>
    </row>
    <row r="29" spans="1:10">
      <c r="A29" s="452">
        <v>2000</v>
      </c>
      <c r="B29" s="19">
        <f t="shared" si="5"/>
        <v>57187.199999999997</v>
      </c>
      <c r="C29" s="232">
        <f t="shared" si="7"/>
        <v>2030.2</v>
      </c>
      <c r="D29" s="232">
        <f t="shared" si="7"/>
        <v>1638.1</v>
      </c>
      <c r="E29" s="232">
        <f t="shared" si="7"/>
        <v>1556.1</v>
      </c>
      <c r="F29" s="701">
        <f t="shared" si="0"/>
        <v>28.168259284799525</v>
      </c>
      <c r="G29" s="701">
        <f t="shared" si="1"/>
        <v>36.750337381916331</v>
      </c>
      <c r="H29" s="701">
        <f t="shared" si="2"/>
        <v>80.686631858930141</v>
      </c>
      <c r="I29" s="701">
        <f t="shared" si="3"/>
        <v>76.64762092404689</v>
      </c>
      <c r="J29" s="692">
        <f t="shared" si="4"/>
        <v>5.005799401745926</v>
      </c>
    </row>
    <row r="30" spans="1:10">
      <c r="A30" s="452">
        <v>2001</v>
      </c>
      <c r="B30" s="19">
        <f t="shared" si="5"/>
        <v>58789.5</v>
      </c>
      <c r="C30" s="232">
        <f t="shared" si="7"/>
        <v>2078.1999999999998</v>
      </c>
      <c r="D30" s="232">
        <f t="shared" si="7"/>
        <v>1683.7</v>
      </c>
      <c r="E30" s="232">
        <f t="shared" si="7"/>
        <v>1604.7</v>
      </c>
      <c r="F30" s="701">
        <f t="shared" si="0"/>
        <v>28.288663266288136</v>
      </c>
      <c r="G30" s="701">
        <f t="shared" si="1"/>
        <v>36.63581977939802</v>
      </c>
      <c r="H30" s="701">
        <f t="shared" si="2"/>
        <v>81.017226445962862</v>
      </c>
      <c r="I30" s="701">
        <f t="shared" si="3"/>
        <v>77.215859878741227</v>
      </c>
      <c r="J30" s="692">
        <f t="shared" si="4"/>
        <v>4.692047276830789</v>
      </c>
    </row>
    <row r="31" spans="1:10">
      <c r="A31" s="452">
        <v>2002</v>
      </c>
      <c r="B31" s="19">
        <f t="shared" si="5"/>
        <v>58904.9</v>
      </c>
      <c r="C31" s="232">
        <f t="shared" si="7"/>
        <v>2125.5</v>
      </c>
      <c r="D31" s="232">
        <f t="shared" si="7"/>
        <v>1735.9</v>
      </c>
      <c r="E31" s="232">
        <f t="shared" si="7"/>
        <v>1643.1</v>
      </c>
      <c r="F31" s="701">
        <f t="shared" si="0"/>
        <v>27.713432133615619</v>
      </c>
      <c r="G31" s="701">
        <f t="shared" si="1"/>
        <v>35.849856977664174</v>
      </c>
      <c r="H31" s="701">
        <f t="shared" si="2"/>
        <v>81.670195248176896</v>
      </c>
      <c r="I31" s="701">
        <f t="shared" si="3"/>
        <v>77.304163726182068</v>
      </c>
      <c r="J31" s="692">
        <f t="shared" si="4"/>
        <v>5.3459300650959261</v>
      </c>
    </row>
    <row r="32" spans="1:10">
      <c r="A32" s="452">
        <v>2003</v>
      </c>
      <c r="B32" s="19">
        <f t="shared" si="5"/>
        <v>60025.299999999996</v>
      </c>
      <c r="C32" s="232">
        <f t="shared" si="7"/>
        <v>2161.1999999999998</v>
      </c>
      <c r="D32" s="232">
        <f t="shared" si="7"/>
        <v>1774.8</v>
      </c>
      <c r="E32" s="232">
        <f t="shared" si="7"/>
        <v>1683.3</v>
      </c>
      <c r="F32" s="701">
        <f t="shared" si="0"/>
        <v>27.774060707014623</v>
      </c>
      <c r="G32" s="701">
        <f t="shared" si="1"/>
        <v>35.659300184162063</v>
      </c>
      <c r="H32" s="701">
        <f t="shared" si="2"/>
        <v>82.12104386451972</v>
      </c>
      <c r="I32" s="701">
        <f t="shared" si="3"/>
        <v>77.887284841754592</v>
      </c>
      <c r="J32" s="692">
        <f t="shared" si="4"/>
        <v>5.1555104800540912</v>
      </c>
    </row>
    <row r="33" spans="1:10">
      <c r="A33" s="452">
        <v>2004</v>
      </c>
      <c r="B33" s="19">
        <f t="shared" si="5"/>
        <v>61750.5</v>
      </c>
      <c r="C33" s="232">
        <f t="shared" si="7"/>
        <v>2198.6</v>
      </c>
      <c r="D33" s="232">
        <f t="shared" si="7"/>
        <v>1804.4</v>
      </c>
      <c r="E33" s="232">
        <f t="shared" si="7"/>
        <v>1720.2</v>
      </c>
      <c r="F33" s="701">
        <f t="shared" si="0"/>
        <v>28.086282179568819</v>
      </c>
      <c r="G33" s="701">
        <f t="shared" si="1"/>
        <v>35.897279386117894</v>
      </c>
      <c r="H33" s="701">
        <f t="shared" si="2"/>
        <v>82.070408441735651</v>
      </c>
      <c r="I33" s="701">
        <f t="shared" si="3"/>
        <v>78.240698626398625</v>
      </c>
      <c r="J33" s="692">
        <f t="shared" si="4"/>
        <v>4.6663710928840629</v>
      </c>
    </row>
    <row r="34" spans="1:10">
      <c r="A34" s="452">
        <v>2005</v>
      </c>
      <c r="B34" s="19">
        <f t="shared" si="5"/>
        <v>63685.2</v>
      </c>
      <c r="C34" s="232">
        <f t="shared" si="7"/>
        <v>2240.8000000000002</v>
      </c>
      <c r="D34" s="232">
        <f t="shared" si="7"/>
        <v>1821.1</v>
      </c>
      <c r="E34" s="232">
        <f t="shared" si="7"/>
        <v>1748.8</v>
      </c>
      <c r="F34" s="702">
        <f t="shared" si="0"/>
        <v>28.42074259193145</v>
      </c>
      <c r="G34" s="702">
        <f t="shared" si="1"/>
        <v>36.416514181152792</v>
      </c>
      <c r="H34" s="702">
        <f t="shared" si="2"/>
        <v>81.270082113530876</v>
      </c>
      <c r="I34" s="702">
        <f t="shared" si="3"/>
        <v>78.04355587290253</v>
      </c>
      <c r="J34" s="692">
        <f t="shared" si="4"/>
        <v>3.9701279446488367</v>
      </c>
    </row>
    <row r="35" spans="1:10" s="703" customFormat="1">
      <c r="A35" s="452">
        <v>2006</v>
      </c>
      <c r="B35" s="19">
        <f t="shared" si="5"/>
        <v>66539</v>
      </c>
      <c r="C35" s="232">
        <f t="shared" si="7"/>
        <v>2316.1</v>
      </c>
      <c r="D35" s="232">
        <f t="shared" si="7"/>
        <v>1898.3</v>
      </c>
      <c r="E35" s="232">
        <f t="shared" si="7"/>
        <v>1832.1</v>
      </c>
      <c r="F35" s="702">
        <f>B35/C35</f>
        <v>28.728897715988083</v>
      </c>
      <c r="G35" s="702">
        <f>B35/E35</f>
        <v>36.318432399978171</v>
      </c>
      <c r="H35" s="702">
        <f>D35/C35*100</f>
        <v>81.961055222140672</v>
      </c>
      <c r="I35" s="702">
        <f>E35/C35*100</f>
        <v>79.102802124260606</v>
      </c>
      <c r="J35" s="692">
        <f>(D35-E35)/D35*100</f>
        <v>3.4873307696359928</v>
      </c>
    </row>
    <row r="36" spans="1:10" s="703" customFormat="1">
      <c r="A36" s="452">
        <v>2007</v>
      </c>
      <c r="B36" s="19">
        <f t="shared" si="5"/>
        <v>70419.400000000009</v>
      </c>
      <c r="C36" s="232">
        <f t="shared" si="7"/>
        <v>2404.1</v>
      </c>
      <c r="D36" s="232">
        <f t="shared" si="7"/>
        <v>1984</v>
      </c>
      <c r="E36" s="232">
        <f t="shared" si="7"/>
        <v>1913.6</v>
      </c>
      <c r="F36" s="702">
        <f>B36/C36</f>
        <v>29.291377230564457</v>
      </c>
      <c r="G36" s="702">
        <f>B36/E36</f>
        <v>36.799435618729106</v>
      </c>
      <c r="H36" s="702">
        <f>D36/C36*100</f>
        <v>82.525685287633635</v>
      </c>
      <c r="I36" s="702">
        <f>E36/C36*100</f>
        <v>79.597354519362753</v>
      </c>
      <c r="J36" s="692">
        <f>(D36-E36)/D36*100</f>
        <v>3.5483870967741984</v>
      </c>
    </row>
    <row r="37" spans="1:10" s="703" customFormat="1">
      <c r="A37" s="452">
        <v>2008</v>
      </c>
      <c r="B37" s="19">
        <v>70575</v>
      </c>
      <c r="C37" s="232">
        <v>2451.1</v>
      </c>
      <c r="D37" s="232">
        <v>2032.4</v>
      </c>
      <c r="E37" s="232">
        <v>1958.3</v>
      </c>
      <c r="F37" s="702">
        <f>B37/C37</f>
        <v>28.793194892089268</v>
      </c>
      <c r="G37" s="702">
        <f>B37/E37</f>
        <v>36.038911300617883</v>
      </c>
      <c r="H37" s="702">
        <f>D37/C37*100</f>
        <v>82.917873607767945</v>
      </c>
      <c r="I37" s="702">
        <f>E37/C37*100</f>
        <v>79.894741136632533</v>
      </c>
      <c r="J37" s="692">
        <f>(D37-E37)/D37*100</f>
        <v>3.645935839401699</v>
      </c>
    </row>
    <row r="38" spans="1:10">
      <c r="A38" s="452"/>
      <c r="B38" s="704"/>
      <c r="C38" s="704" t="s">
        <v>427</v>
      </c>
      <c r="D38" s="704"/>
      <c r="E38" s="454"/>
      <c r="F38" s="705"/>
      <c r="G38" s="705" t="s">
        <v>897</v>
      </c>
      <c r="H38" s="705"/>
      <c r="I38" s="705"/>
      <c r="J38" s="704"/>
    </row>
    <row r="39" spans="1:10">
      <c r="A39" s="454" t="s">
        <v>1716</v>
      </c>
      <c r="B39" s="706">
        <f>(POWER(B37/B5, 1/32)-1)*100</f>
        <v>2.5877299570936652</v>
      </c>
      <c r="C39" s="706">
        <f>(POWER(C37/C5, 1/32)-1)*100</f>
        <v>2.267419622259248</v>
      </c>
      <c r="D39" s="706">
        <f>(POWER(D37/D5, 1/32)-1)*100</f>
        <v>2.6748149828805801</v>
      </c>
      <c r="E39" s="707">
        <f>(POWER(E37/E5, 1/32)-1)*100</f>
        <v>2.6868879951647218</v>
      </c>
      <c r="F39" s="708">
        <f>F37-F5</f>
        <v>2.7418613915458323</v>
      </c>
      <c r="G39" s="708">
        <f>G37-G5</f>
        <v>-1.1315527337373581</v>
      </c>
      <c r="H39" s="708">
        <f>H37-H5</f>
        <v>9.9055836654554241</v>
      </c>
      <c r="I39" s="708">
        <f>I37-I5</f>
        <v>9.8086279353951795</v>
      </c>
      <c r="J39" s="708">
        <f>J37-J5</f>
        <v>-0.36185071733710839</v>
      </c>
    </row>
    <row r="40" spans="1:10">
      <c r="A40" s="454" t="s">
        <v>1707</v>
      </c>
      <c r="B40" s="706">
        <f>(POWER(B37/B10, 1/27)-1)*100</f>
        <v>1.8660126658475606</v>
      </c>
      <c r="C40" s="706">
        <f>(POWER(C37/C10, 1/27)-1)*100</f>
        <v>1.7001801319451282</v>
      </c>
      <c r="D40" s="706">
        <f>(POWER(D37/D10, 1/27)-1)*100</f>
        <v>1.919379144323341</v>
      </c>
      <c r="E40" s="707">
        <f>(POWER(E37/E10, 1/27)-1)*100</f>
        <v>1.9308332273730411</v>
      </c>
      <c r="F40" s="708">
        <f>F37-F10</f>
        <v>1.2391686507720543</v>
      </c>
      <c r="G40" s="708">
        <f>G37-G10</f>
        <v>-0.62433217392212725</v>
      </c>
      <c r="H40" s="708">
        <f>H37-H10</f>
        <v>4.6827308241301608</v>
      </c>
      <c r="I40" s="708">
        <f>I37-I10</f>
        <v>4.7403804471547772</v>
      </c>
      <c r="J40" s="708">
        <f>J37-J10</f>
        <v>-0.29191355224579274</v>
      </c>
    </row>
    <row r="42" spans="1:10">
      <c r="A42" s="449" t="s">
        <v>899</v>
      </c>
    </row>
    <row r="43" spans="1:10">
      <c r="A43" s="449" t="s">
        <v>1717</v>
      </c>
    </row>
    <row r="45" spans="1:10" ht="15">
      <c r="A45" s="891" t="s">
        <v>163</v>
      </c>
      <c r="B45" s="892" t="s">
        <v>1449</v>
      </c>
      <c r="C45" s="892" t="s">
        <v>1450</v>
      </c>
      <c r="D45" s="892" t="s">
        <v>1451</v>
      </c>
      <c r="E45" s="893" t="s">
        <v>1479</v>
      </c>
      <c r="F45" s="893" t="s">
        <v>1480</v>
      </c>
      <c r="G45" s="893" t="s">
        <v>1481</v>
      </c>
    </row>
    <row r="46" spans="1:10" ht="15">
      <c r="A46" s="891">
        <v>1976</v>
      </c>
      <c r="B46" s="892">
        <v>8491.7000000000007</v>
      </c>
      <c r="C46" s="892">
        <v>19712.099999999999</v>
      </c>
      <c r="D46" s="892">
        <v>2956.2</v>
      </c>
      <c r="E46" s="893">
        <v>1196.0999999999999</v>
      </c>
      <c r="F46" s="893">
        <v>873.3</v>
      </c>
      <c r="G46" s="893">
        <v>838.3</v>
      </c>
    </row>
    <row r="47" spans="1:10" ht="15">
      <c r="A47" s="891">
        <v>1977</v>
      </c>
      <c r="B47" s="892">
        <v>9203.6</v>
      </c>
      <c r="C47" s="892">
        <v>20674.900000000001</v>
      </c>
      <c r="D47" s="892">
        <v>2875.4</v>
      </c>
      <c r="E47" s="893">
        <v>1270.2</v>
      </c>
      <c r="F47" s="893">
        <v>932.4</v>
      </c>
      <c r="G47" s="893">
        <v>890.1</v>
      </c>
    </row>
    <row r="48" spans="1:10" ht="15">
      <c r="A48" s="891">
        <v>1978</v>
      </c>
      <c r="B48" s="892">
        <v>9871.6</v>
      </c>
      <c r="C48" s="892">
        <v>22107.8</v>
      </c>
      <c r="D48" s="892">
        <v>2965.5</v>
      </c>
      <c r="E48" s="893">
        <v>1335.9</v>
      </c>
      <c r="F48" s="893">
        <v>992.9</v>
      </c>
      <c r="G48" s="893">
        <v>945.1</v>
      </c>
    </row>
    <row r="49" spans="1:7" ht="15">
      <c r="A49" s="891">
        <v>1979</v>
      </c>
      <c r="B49" s="892">
        <v>10996.9</v>
      </c>
      <c r="C49" s="892">
        <v>24385.7</v>
      </c>
      <c r="D49" s="892">
        <v>3139.6</v>
      </c>
      <c r="E49" s="893">
        <v>1400.8</v>
      </c>
      <c r="F49" s="893">
        <v>1061.4000000000001</v>
      </c>
      <c r="G49" s="893">
        <v>1019.3</v>
      </c>
    </row>
    <row r="50" spans="1:7" ht="15">
      <c r="A50" s="891">
        <v>1980</v>
      </c>
      <c r="B50" s="892">
        <v>11671.9</v>
      </c>
      <c r="C50" s="892">
        <v>25966.9</v>
      </c>
      <c r="D50" s="892">
        <v>3057.5</v>
      </c>
      <c r="E50" s="893">
        <v>1476.5</v>
      </c>
      <c r="F50" s="893">
        <v>1132.9000000000001</v>
      </c>
      <c r="G50" s="893">
        <v>1088.7</v>
      </c>
    </row>
    <row r="51" spans="1:7" ht="15">
      <c r="A51" s="891">
        <v>1981</v>
      </c>
      <c r="B51" s="892">
        <v>12120.4</v>
      </c>
      <c r="C51" s="892">
        <v>27566</v>
      </c>
      <c r="D51" s="892">
        <v>3154.6</v>
      </c>
      <c r="E51" s="893">
        <v>1554.8</v>
      </c>
      <c r="F51" s="893">
        <v>1216.4000000000001</v>
      </c>
      <c r="G51" s="893">
        <v>1168.5</v>
      </c>
    </row>
    <row r="52" spans="1:7" ht="15">
      <c r="A52" s="891">
        <v>1982</v>
      </c>
      <c r="B52" s="892">
        <v>10786.3</v>
      </c>
      <c r="C52" s="892">
        <v>27846.9</v>
      </c>
      <c r="D52" s="892">
        <v>3230.2</v>
      </c>
      <c r="E52" s="893">
        <v>1607.4</v>
      </c>
      <c r="F52" s="893">
        <v>1248.0999999999999</v>
      </c>
      <c r="G52" s="893">
        <v>1151.0999999999999</v>
      </c>
    </row>
    <row r="53" spans="1:7" ht="15">
      <c r="A53" s="891">
        <v>1983</v>
      </c>
      <c r="B53" s="892">
        <v>9530.5</v>
      </c>
      <c r="C53" s="892">
        <v>27345.7</v>
      </c>
      <c r="D53" s="892">
        <v>3087.5</v>
      </c>
      <c r="E53" s="893">
        <v>1621.2</v>
      </c>
      <c r="F53" s="893">
        <v>1258</v>
      </c>
      <c r="G53" s="893">
        <v>1118.2</v>
      </c>
    </row>
    <row r="54" spans="1:7" ht="15">
      <c r="A54" s="891">
        <v>1984</v>
      </c>
      <c r="B54" s="892">
        <v>8836.2999999999993</v>
      </c>
      <c r="C54" s="892">
        <v>28069.599999999999</v>
      </c>
      <c r="D54" s="892">
        <v>3258.3</v>
      </c>
      <c r="E54" s="893">
        <v>1617.6</v>
      </c>
      <c r="F54" s="893">
        <v>1268.5999999999999</v>
      </c>
      <c r="G54" s="893">
        <v>1123.5</v>
      </c>
    </row>
    <row r="55" spans="1:7" ht="15">
      <c r="A55" s="891">
        <v>1985</v>
      </c>
      <c r="B55" s="892">
        <v>8916.9</v>
      </c>
      <c r="C55" s="892">
        <v>29835.3</v>
      </c>
      <c r="D55" s="892">
        <v>3327.5</v>
      </c>
      <c r="E55" s="893">
        <v>1623.2</v>
      </c>
      <c r="F55" s="893">
        <v>1285.3</v>
      </c>
      <c r="G55" s="893">
        <v>1156</v>
      </c>
    </row>
    <row r="56" spans="1:7" ht="15">
      <c r="A56" s="891">
        <v>1986</v>
      </c>
      <c r="B56" s="892">
        <v>8452.5</v>
      </c>
      <c r="C56" s="892">
        <v>30317.200000000001</v>
      </c>
      <c r="D56" s="892">
        <v>3286.4</v>
      </c>
      <c r="E56" s="893">
        <v>1637.4</v>
      </c>
      <c r="F56" s="893">
        <v>1297.3</v>
      </c>
      <c r="G56" s="893">
        <v>1165</v>
      </c>
    </row>
    <row r="57" spans="1:7" ht="15">
      <c r="A57" s="891">
        <v>1987</v>
      </c>
      <c r="B57" s="892">
        <v>7892.6</v>
      </c>
      <c r="C57" s="892">
        <v>30787.1</v>
      </c>
      <c r="D57" s="892">
        <v>3309.9</v>
      </c>
      <c r="E57" s="893">
        <v>1633.2</v>
      </c>
      <c r="F57" s="893">
        <v>1297.3</v>
      </c>
      <c r="G57" s="893">
        <v>1171.7</v>
      </c>
    </row>
    <row r="58" spans="1:7" ht="15">
      <c r="A58" s="891">
        <v>1988</v>
      </c>
      <c r="B58" s="892">
        <v>7886.8</v>
      </c>
      <c r="C58" s="892">
        <v>32449.3</v>
      </c>
      <c r="D58" s="892">
        <v>3313.4</v>
      </c>
      <c r="E58" s="893">
        <v>1638.5</v>
      </c>
      <c r="F58" s="893">
        <v>1309</v>
      </c>
      <c r="G58" s="893">
        <v>1202.9000000000001</v>
      </c>
    </row>
    <row r="59" spans="1:7" ht="15">
      <c r="A59" s="891">
        <v>1989</v>
      </c>
      <c r="B59" s="892">
        <v>8026.4</v>
      </c>
      <c r="C59" s="892">
        <v>34336.699999999997</v>
      </c>
      <c r="D59" s="892">
        <v>3455.3</v>
      </c>
      <c r="E59" s="893">
        <v>1657.3</v>
      </c>
      <c r="F59" s="893">
        <v>1328</v>
      </c>
      <c r="G59" s="893">
        <v>1231.5999999999999</v>
      </c>
    </row>
    <row r="60" spans="1:7" ht="15">
      <c r="A60" s="891">
        <v>1990</v>
      </c>
      <c r="B60" s="892">
        <v>7730.8</v>
      </c>
      <c r="C60" s="892">
        <v>35614</v>
      </c>
      <c r="D60" s="892">
        <v>3647</v>
      </c>
      <c r="E60" s="893">
        <v>1686</v>
      </c>
      <c r="F60" s="893">
        <v>1348.6</v>
      </c>
      <c r="G60" s="893">
        <v>1254.8</v>
      </c>
    </row>
    <row r="61" spans="1:7" ht="15">
      <c r="A61" s="891">
        <v>1991</v>
      </c>
      <c r="B61" s="892">
        <v>7543.6</v>
      </c>
      <c r="C61" s="892">
        <v>34861.800000000003</v>
      </c>
      <c r="D61" s="892">
        <v>3664.2</v>
      </c>
      <c r="E61" s="893">
        <v>1715.5</v>
      </c>
      <c r="F61" s="893">
        <v>1375.9</v>
      </c>
      <c r="G61" s="893">
        <v>1261.8</v>
      </c>
    </row>
    <row r="62" spans="1:7" ht="15">
      <c r="A62" s="891">
        <v>1992</v>
      </c>
      <c r="B62" s="892">
        <v>6750.7</v>
      </c>
      <c r="C62" s="892">
        <v>34498.5</v>
      </c>
      <c r="D62" s="892">
        <v>3616.6</v>
      </c>
      <c r="E62" s="893">
        <v>1738.7</v>
      </c>
      <c r="F62" s="893">
        <v>1390.6</v>
      </c>
      <c r="G62" s="893">
        <v>1257.5</v>
      </c>
    </row>
    <row r="63" spans="1:7" ht="15">
      <c r="A63" s="891">
        <v>1993</v>
      </c>
      <c r="B63" s="892">
        <v>6616.9</v>
      </c>
      <c r="C63" s="892">
        <v>35519.800000000003</v>
      </c>
      <c r="D63" s="892">
        <v>3451.4</v>
      </c>
      <c r="E63" s="893">
        <v>1760.3</v>
      </c>
      <c r="F63" s="893">
        <v>1403.1</v>
      </c>
      <c r="G63" s="893">
        <v>1267</v>
      </c>
    </row>
    <row r="64" spans="1:7" ht="15">
      <c r="A64" s="891">
        <v>1994</v>
      </c>
      <c r="B64" s="892">
        <v>6921.7</v>
      </c>
      <c r="C64" s="892">
        <v>37307.9</v>
      </c>
      <c r="D64" s="892">
        <v>3635</v>
      </c>
      <c r="E64" s="893">
        <v>1782.1</v>
      </c>
      <c r="F64" s="893">
        <v>1429.9</v>
      </c>
      <c r="G64" s="893">
        <v>1303.3</v>
      </c>
    </row>
    <row r="65" spans="1:7" ht="15">
      <c r="A65" s="891">
        <v>1995</v>
      </c>
      <c r="B65" s="892">
        <v>7173.1</v>
      </c>
      <c r="C65" s="892">
        <v>38097.4</v>
      </c>
      <c r="D65" s="892">
        <v>3693.9</v>
      </c>
      <c r="E65" s="893">
        <v>1807.2</v>
      </c>
      <c r="F65" s="893">
        <v>1455.1</v>
      </c>
      <c r="G65" s="893">
        <v>1340.2</v>
      </c>
    </row>
    <row r="66" spans="1:7" ht="15">
      <c r="A66" s="891">
        <v>1996</v>
      </c>
      <c r="B66" s="892">
        <v>7256.5</v>
      </c>
      <c r="C66" s="892">
        <v>39880</v>
      </c>
      <c r="D66" s="892">
        <v>3865.5</v>
      </c>
      <c r="E66" s="893">
        <v>1839</v>
      </c>
      <c r="F66" s="893">
        <v>1482.2</v>
      </c>
      <c r="G66" s="893">
        <v>1378.5</v>
      </c>
    </row>
    <row r="67" spans="1:7" ht="15">
      <c r="A67" s="891">
        <v>1997</v>
      </c>
      <c r="B67" s="892">
        <v>7474.6</v>
      </c>
      <c r="C67" s="892">
        <v>41030</v>
      </c>
      <c r="D67" s="892">
        <v>4131.3999999999996</v>
      </c>
      <c r="E67" s="893">
        <v>1884.5</v>
      </c>
      <c r="F67" s="893">
        <v>1517</v>
      </c>
      <c r="G67" s="893">
        <v>1426.1</v>
      </c>
    </row>
    <row r="68" spans="1:7" ht="15">
      <c r="A68" s="891">
        <v>1998</v>
      </c>
      <c r="B68" s="892">
        <v>7822.8</v>
      </c>
      <c r="C68" s="892">
        <v>41011.199999999997</v>
      </c>
      <c r="D68" s="892">
        <v>4332.1000000000004</v>
      </c>
      <c r="E68" s="893">
        <v>1940.7</v>
      </c>
      <c r="F68" s="893">
        <v>1573.9</v>
      </c>
      <c r="G68" s="893">
        <v>1484.6</v>
      </c>
    </row>
    <row r="69" spans="1:7" ht="15">
      <c r="A69" s="891">
        <v>1999</v>
      </c>
      <c r="B69" s="892">
        <v>7943.9</v>
      </c>
      <c r="C69" s="892">
        <v>42130.9</v>
      </c>
      <c r="D69" s="892">
        <v>4461.8999999999996</v>
      </c>
      <c r="E69" s="893">
        <v>1985.2</v>
      </c>
      <c r="F69" s="893">
        <v>1608.8</v>
      </c>
      <c r="G69" s="893">
        <v>1515.8</v>
      </c>
    </row>
    <row r="70" spans="1:7" ht="15">
      <c r="A70" s="891">
        <v>2000</v>
      </c>
      <c r="B70" s="892">
        <v>8495.1</v>
      </c>
      <c r="C70" s="892">
        <v>43806.5</v>
      </c>
      <c r="D70" s="892">
        <v>4885.6000000000004</v>
      </c>
      <c r="E70" s="893">
        <v>2030.2</v>
      </c>
      <c r="F70" s="893">
        <v>1638.1</v>
      </c>
      <c r="G70" s="893">
        <v>1556.1</v>
      </c>
    </row>
    <row r="71" spans="1:7" ht="15">
      <c r="A71" s="891">
        <v>2001</v>
      </c>
      <c r="B71" s="892">
        <v>8908</v>
      </c>
      <c r="C71" s="892">
        <v>44646</v>
      </c>
      <c r="D71" s="892">
        <v>5235.5</v>
      </c>
      <c r="E71" s="893">
        <v>2078.1999999999998</v>
      </c>
      <c r="F71" s="893">
        <v>1683.7</v>
      </c>
      <c r="G71" s="893">
        <v>1604.7</v>
      </c>
    </row>
    <row r="72" spans="1:7" ht="15">
      <c r="A72" s="891">
        <v>2002</v>
      </c>
      <c r="B72" s="892">
        <v>8802.9</v>
      </c>
      <c r="C72" s="892">
        <v>44417.599999999999</v>
      </c>
      <c r="D72" s="892">
        <v>5684.4</v>
      </c>
      <c r="E72" s="893">
        <v>2125.5</v>
      </c>
      <c r="F72" s="893">
        <v>1735.9</v>
      </c>
      <c r="G72" s="893">
        <v>1643.1</v>
      </c>
    </row>
    <row r="73" spans="1:7" ht="15">
      <c r="A73" s="891">
        <v>2003</v>
      </c>
      <c r="B73" s="892">
        <v>9038.7999999999993</v>
      </c>
      <c r="C73" s="892">
        <v>44913.599999999999</v>
      </c>
      <c r="D73" s="892">
        <v>6072.9</v>
      </c>
      <c r="E73" s="893">
        <v>2161.1999999999998</v>
      </c>
      <c r="F73" s="893">
        <v>1774.8</v>
      </c>
      <c r="G73" s="893">
        <v>1683.3</v>
      </c>
    </row>
    <row r="74" spans="1:7" ht="15">
      <c r="A74" s="891">
        <v>2004</v>
      </c>
      <c r="B74" s="892">
        <v>9315.6</v>
      </c>
      <c r="C74" s="892">
        <v>45765.3</v>
      </c>
      <c r="D74" s="892">
        <v>6669.6</v>
      </c>
      <c r="E74" s="893">
        <v>2198.6</v>
      </c>
      <c r="F74" s="893">
        <v>1804.4</v>
      </c>
      <c r="G74" s="893">
        <v>1720.2</v>
      </c>
    </row>
    <row r="75" spans="1:7" ht="15">
      <c r="A75" s="891">
        <v>2005</v>
      </c>
      <c r="B75" s="892">
        <v>9648.7999999999993</v>
      </c>
      <c r="C75" s="892">
        <v>47010.9</v>
      </c>
      <c r="D75" s="892">
        <v>7025.5</v>
      </c>
      <c r="E75" s="893">
        <v>2240.8000000000002</v>
      </c>
      <c r="F75" s="893">
        <v>1821.1</v>
      </c>
      <c r="G75" s="893">
        <v>1748.8</v>
      </c>
    </row>
    <row r="76" spans="1:7" ht="15">
      <c r="A76" s="891">
        <v>2006</v>
      </c>
      <c r="B76" s="892">
        <v>10326.799999999999</v>
      </c>
      <c r="C76" s="892">
        <v>48509.9</v>
      </c>
      <c r="D76" s="892">
        <v>7702.3</v>
      </c>
      <c r="E76" s="893">
        <v>2316.1</v>
      </c>
      <c r="F76" s="893">
        <v>1898.3</v>
      </c>
      <c r="G76" s="893">
        <v>1832.1</v>
      </c>
    </row>
    <row r="77" spans="1:7" ht="15">
      <c r="A77" s="891">
        <v>2007</v>
      </c>
      <c r="B77" s="892">
        <v>10569.4</v>
      </c>
      <c r="C77" s="892">
        <v>51353.8</v>
      </c>
      <c r="D77" s="892">
        <v>8496.2000000000007</v>
      </c>
      <c r="E77" s="893">
        <v>2404.1</v>
      </c>
      <c r="F77" s="893">
        <v>1984</v>
      </c>
      <c r="G77" s="893">
        <v>1913.6</v>
      </c>
    </row>
  </sheetData>
  <phoneticPr fontId="36" type="noConversion"/>
  <pageMargins left="0.75" right="0.75" top="1" bottom="1" header="0.5" footer="0.5"/>
  <pageSetup scale="89" orientation="portrait" r:id="rId1"/>
  <headerFooter alignWithMargins="0"/>
</worksheet>
</file>

<file path=xl/worksheets/sheet195.xml><?xml version="1.0" encoding="utf-8"?>
<worksheet xmlns="http://schemas.openxmlformats.org/spreadsheetml/2006/main" xmlns:r="http://schemas.openxmlformats.org/officeDocument/2006/relationships">
  <sheetPr codeName="Sheet167">
    <pageSetUpPr fitToPage="1"/>
  </sheetPr>
  <dimension ref="A1:J77"/>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2" width="10.42578125" style="449" customWidth="1"/>
    <col min="3" max="3" width="11.7109375" style="449" customWidth="1"/>
    <col min="4" max="4" width="9.28515625" style="449" customWidth="1"/>
    <col min="5" max="5" width="10.7109375" style="449" customWidth="1"/>
    <col min="6" max="7" width="9.42578125" style="449" customWidth="1"/>
    <col min="8" max="8" width="10.28515625" style="449" customWidth="1"/>
    <col min="9" max="9" width="10.5703125" style="449" customWidth="1"/>
    <col min="10" max="10" width="12" style="449" customWidth="1"/>
    <col min="11" max="16384" width="9.140625" style="449"/>
  </cols>
  <sheetData>
    <row r="1" spans="1:10" ht="15.75">
      <c r="A1" s="322" t="s">
        <v>2239</v>
      </c>
    </row>
    <row r="2" spans="1:10" ht="15.75">
      <c r="A2" s="320"/>
    </row>
    <row r="3" spans="1:10" ht="63.75">
      <c r="A3" s="695"/>
      <c r="B3" s="696" t="s">
        <v>884</v>
      </c>
      <c r="C3" s="696" t="s">
        <v>885</v>
      </c>
      <c r="D3" s="696" t="s">
        <v>886</v>
      </c>
      <c r="E3" s="696" t="s">
        <v>887</v>
      </c>
      <c r="F3" s="696" t="s">
        <v>888</v>
      </c>
      <c r="G3" s="696" t="s">
        <v>889</v>
      </c>
      <c r="H3" s="696" t="s">
        <v>890</v>
      </c>
      <c r="I3" s="696" t="s">
        <v>891</v>
      </c>
      <c r="J3" s="696" t="s">
        <v>892</v>
      </c>
    </row>
    <row r="4" spans="1:10">
      <c r="A4" s="697"/>
      <c r="B4" s="698" t="s">
        <v>584</v>
      </c>
      <c r="C4" s="698" t="s">
        <v>585</v>
      </c>
      <c r="D4" s="697" t="s">
        <v>587</v>
      </c>
      <c r="E4" s="697" t="s">
        <v>588</v>
      </c>
      <c r="F4" s="697" t="s">
        <v>893</v>
      </c>
      <c r="G4" s="697" t="s">
        <v>894</v>
      </c>
      <c r="H4" s="697" t="s">
        <v>895</v>
      </c>
      <c r="I4" s="697" t="s">
        <v>896</v>
      </c>
      <c r="J4" s="699"/>
    </row>
    <row r="5" spans="1:10">
      <c r="A5" s="700">
        <v>1976</v>
      </c>
      <c r="B5" s="19">
        <f>SUM(B46:D46)</f>
        <v>35282.800000000003</v>
      </c>
      <c r="C5" s="232">
        <f>E46</f>
        <v>1647.9</v>
      </c>
      <c r="D5" s="232">
        <f>F46</f>
        <v>1142.8</v>
      </c>
      <c r="E5" s="232">
        <f>G46</f>
        <v>1045.7</v>
      </c>
      <c r="F5" s="701">
        <f t="shared" ref="F5:F34" si="0">B5/C5</f>
        <v>21.410765216335943</v>
      </c>
      <c r="G5" s="701">
        <f t="shared" ref="G5:G34" si="1">B5/E5</f>
        <v>33.740843454145548</v>
      </c>
      <c r="H5" s="701">
        <f t="shared" ref="H5:H34" si="2">D5/C5*100</f>
        <v>69.348868256568963</v>
      </c>
      <c r="I5" s="701">
        <f t="shared" ref="I5:I34" si="3">E5/C5*100</f>
        <v>63.456520419928395</v>
      </c>
      <c r="J5" s="692">
        <f t="shared" ref="J5:J34" si="4">(D5-E5)/D5*100</f>
        <v>8.4966748337416789</v>
      </c>
    </row>
    <row r="6" spans="1:10">
      <c r="A6" s="452">
        <v>1977</v>
      </c>
      <c r="B6" s="19">
        <f t="shared" ref="B6:B36" si="5">SUM(B47:D47)</f>
        <v>36462.400000000001</v>
      </c>
      <c r="C6" s="232">
        <f t="shared" ref="C6:E21" si="6">E47</f>
        <v>1686</v>
      </c>
      <c r="D6" s="232">
        <f t="shared" si="6"/>
        <v>1172.0999999999999</v>
      </c>
      <c r="E6" s="232">
        <f t="shared" si="6"/>
        <v>1073.2</v>
      </c>
      <c r="F6" s="701">
        <f t="shared" si="0"/>
        <v>21.626571767497037</v>
      </c>
      <c r="G6" s="701">
        <f t="shared" si="1"/>
        <v>33.975400670890792</v>
      </c>
      <c r="H6" s="701">
        <f t="shared" si="2"/>
        <v>69.519572953736656</v>
      </c>
      <c r="I6" s="701">
        <f t="shared" si="3"/>
        <v>63.653618030842232</v>
      </c>
      <c r="J6" s="692">
        <f t="shared" si="4"/>
        <v>8.4378466001194319</v>
      </c>
    </row>
    <row r="7" spans="1:10">
      <c r="A7" s="452">
        <v>1978</v>
      </c>
      <c r="B7" s="19">
        <f t="shared" si="5"/>
        <v>38855.1</v>
      </c>
      <c r="C7" s="232">
        <f t="shared" si="6"/>
        <v>1728</v>
      </c>
      <c r="D7" s="232">
        <f t="shared" si="6"/>
        <v>1226</v>
      </c>
      <c r="E7" s="232">
        <f t="shared" si="6"/>
        <v>1123.8</v>
      </c>
      <c r="F7" s="701">
        <f t="shared" si="0"/>
        <v>22.485590277777778</v>
      </c>
      <c r="G7" s="701">
        <f t="shared" si="1"/>
        <v>34.574746396155902</v>
      </c>
      <c r="H7" s="701">
        <f t="shared" si="2"/>
        <v>70.949074074074076</v>
      </c>
      <c r="I7" s="701">
        <f t="shared" si="3"/>
        <v>65.034722222222214</v>
      </c>
      <c r="J7" s="692">
        <f t="shared" si="4"/>
        <v>8.3360522022838541</v>
      </c>
    </row>
    <row r="8" spans="1:10">
      <c r="A8" s="452">
        <v>1979</v>
      </c>
      <c r="B8" s="19">
        <f t="shared" si="5"/>
        <v>40474.6</v>
      </c>
      <c r="C8" s="232">
        <f t="shared" si="6"/>
        <v>1772.8</v>
      </c>
      <c r="D8" s="232">
        <f t="shared" si="6"/>
        <v>1270.8</v>
      </c>
      <c r="E8" s="232">
        <f t="shared" si="6"/>
        <v>1171.5999999999999</v>
      </c>
      <c r="F8" s="701">
        <f t="shared" si="0"/>
        <v>22.830888989169676</v>
      </c>
      <c r="G8" s="701">
        <f t="shared" si="1"/>
        <v>34.54643222942984</v>
      </c>
      <c r="H8" s="701">
        <f t="shared" si="2"/>
        <v>71.683212996389884</v>
      </c>
      <c r="I8" s="701">
        <f t="shared" si="3"/>
        <v>66.087545126353788</v>
      </c>
      <c r="J8" s="692">
        <f t="shared" si="4"/>
        <v>7.806106389675799</v>
      </c>
    </row>
    <row r="9" spans="1:10">
      <c r="A9" s="452">
        <v>1980</v>
      </c>
      <c r="B9" s="19">
        <f t="shared" si="5"/>
        <v>42550.6</v>
      </c>
      <c r="C9" s="232">
        <f t="shared" si="6"/>
        <v>1832</v>
      </c>
      <c r="D9" s="232">
        <f t="shared" si="6"/>
        <v>1337.4</v>
      </c>
      <c r="E9" s="232">
        <f>G50</f>
        <v>1247.0999999999999</v>
      </c>
      <c r="F9" s="701">
        <f t="shared" si="0"/>
        <v>23.226310043668121</v>
      </c>
      <c r="G9" s="701">
        <f t="shared" si="1"/>
        <v>34.119637559137196</v>
      </c>
      <c r="H9" s="701">
        <f t="shared" si="2"/>
        <v>73.002183406113545</v>
      </c>
      <c r="I9" s="701">
        <f t="shared" si="3"/>
        <v>68.07314410480349</v>
      </c>
      <c r="J9" s="692">
        <f t="shared" si="4"/>
        <v>6.7519066846119467</v>
      </c>
    </row>
    <row r="10" spans="1:10">
      <c r="A10" s="452">
        <v>1981</v>
      </c>
      <c r="B10" s="19">
        <f t="shared" si="5"/>
        <v>43106.1</v>
      </c>
      <c r="C10" s="232">
        <f t="shared" si="6"/>
        <v>1889.9</v>
      </c>
      <c r="D10" s="232">
        <f t="shared" si="6"/>
        <v>1397.6</v>
      </c>
      <c r="E10" s="232">
        <f t="shared" si="6"/>
        <v>1301.5999999999999</v>
      </c>
      <c r="F10" s="701">
        <f t="shared" si="0"/>
        <v>22.808667125244721</v>
      </c>
      <c r="G10" s="701">
        <f t="shared" si="1"/>
        <v>33.117778119237862</v>
      </c>
      <c r="H10" s="701">
        <f t="shared" si="2"/>
        <v>73.95100269855547</v>
      </c>
      <c r="I10" s="701">
        <f t="shared" si="3"/>
        <v>68.871368855494993</v>
      </c>
      <c r="J10" s="692">
        <f t="shared" si="4"/>
        <v>6.8689181453921018</v>
      </c>
    </row>
    <row r="11" spans="1:10">
      <c r="A11" s="452">
        <v>1982</v>
      </c>
      <c r="B11" s="19">
        <f t="shared" si="5"/>
        <v>40611.4</v>
      </c>
      <c r="C11" s="232">
        <f t="shared" si="6"/>
        <v>1923.2</v>
      </c>
      <c r="D11" s="232">
        <f t="shared" si="6"/>
        <v>1407.9</v>
      </c>
      <c r="E11" s="232">
        <f t="shared" si="6"/>
        <v>1235.2</v>
      </c>
      <c r="F11" s="701">
        <f t="shared" si="0"/>
        <v>21.116576539101498</v>
      </c>
      <c r="G11" s="701">
        <f t="shared" si="1"/>
        <v>32.878400259067355</v>
      </c>
      <c r="H11" s="701">
        <f t="shared" si="2"/>
        <v>73.206114808652245</v>
      </c>
      <c r="I11" s="701">
        <f t="shared" si="3"/>
        <v>64.226289517470875</v>
      </c>
      <c r="J11" s="692">
        <f t="shared" si="4"/>
        <v>12.266496200014208</v>
      </c>
    </row>
    <row r="12" spans="1:10">
      <c r="A12" s="452">
        <v>1983</v>
      </c>
      <c r="B12" s="19">
        <f t="shared" si="5"/>
        <v>40718.700000000004</v>
      </c>
      <c r="C12" s="232">
        <f t="shared" si="6"/>
        <v>1946.6</v>
      </c>
      <c r="D12" s="232">
        <f t="shared" si="6"/>
        <v>1427.6</v>
      </c>
      <c r="E12" s="232">
        <f t="shared" si="6"/>
        <v>1227.3</v>
      </c>
      <c r="F12" s="701">
        <f t="shared" si="0"/>
        <v>20.917856775916988</v>
      </c>
      <c r="G12" s="701">
        <f t="shared" si="1"/>
        <v>33.177462723050603</v>
      </c>
      <c r="H12" s="701">
        <f t="shared" si="2"/>
        <v>73.338128018082799</v>
      </c>
      <c r="I12" s="701">
        <f t="shared" si="3"/>
        <v>63.048392068221517</v>
      </c>
      <c r="J12" s="692">
        <f t="shared" si="4"/>
        <v>14.03054076772205</v>
      </c>
    </row>
    <row r="13" spans="1:10">
      <c r="A13" s="452">
        <v>1984</v>
      </c>
      <c r="B13" s="19">
        <f t="shared" si="5"/>
        <v>41282.400000000001</v>
      </c>
      <c r="C13" s="232">
        <f t="shared" si="6"/>
        <v>1973.1</v>
      </c>
      <c r="D13" s="232">
        <f t="shared" si="6"/>
        <v>1448.3</v>
      </c>
      <c r="E13" s="232">
        <f t="shared" si="6"/>
        <v>1229.0999999999999</v>
      </c>
      <c r="F13" s="701">
        <f t="shared" si="0"/>
        <v>20.922609092291321</v>
      </c>
      <c r="G13" s="701">
        <f t="shared" si="1"/>
        <v>33.587503051012938</v>
      </c>
      <c r="H13" s="701">
        <f t="shared" si="2"/>
        <v>73.402260402412452</v>
      </c>
      <c r="I13" s="701">
        <f t="shared" si="3"/>
        <v>62.292838680249353</v>
      </c>
      <c r="J13" s="692">
        <f t="shared" si="4"/>
        <v>15.134985845474008</v>
      </c>
    </row>
    <row r="14" spans="1:10">
      <c r="A14" s="452">
        <v>1985</v>
      </c>
      <c r="B14" s="19">
        <f t="shared" si="5"/>
        <v>42510.299999999996</v>
      </c>
      <c r="C14" s="232">
        <f t="shared" si="6"/>
        <v>1990.7</v>
      </c>
      <c r="D14" s="232">
        <f t="shared" si="6"/>
        <v>1474.5</v>
      </c>
      <c r="E14" s="232">
        <f t="shared" si="6"/>
        <v>1257.0999999999999</v>
      </c>
      <c r="F14" s="701">
        <f t="shared" si="0"/>
        <v>21.354448184055858</v>
      </c>
      <c r="G14" s="701">
        <f t="shared" si="1"/>
        <v>33.816164187415481</v>
      </c>
      <c r="H14" s="701">
        <f t="shared" si="2"/>
        <v>74.069422816094843</v>
      </c>
      <c r="I14" s="701">
        <f t="shared" si="3"/>
        <v>63.148641181493936</v>
      </c>
      <c r="J14" s="692">
        <f t="shared" si="4"/>
        <v>14.743981010512044</v>
      </c>
    </row>
    <row r="15" spans="1:10">
      <c r="A15" s="452">
        <v>1986</v>
      </c>
      <c r="B15" s="19">
        <f t="shared" si="5"/>
        <v>44630.3</v>
      </c>
      <c r="C15" s="232">
        <f t="shared" si="6"/>
        <v>2005.7</v>
      </c>
      <c r="D15" s="232">
        <f t="shared" si="6"/>
        <v>1506.8</v>
      </c>
      <c r="E15" s="232">
        <f t="shared" si="6"/>
        <v>1310.0999999999999</v>
      </c>
      <c r="F15" s="701">
        <f t="shared" si="0"/>
        <v>22.251732562197738</v>
      </c>
      <c r="G15" s="701">
        <f t="shared" si="1"/>
        <v>34.066330814441649</v>
      </c>
      <c r="H15" s="701">
        <f t="shared" si="2"/>
        <v>75.12589121005135</v>
      </c>
      <c r="I15" s="701">
        <f t="shared" si="3"/>
        <v>65.318841302288476</v>
      </c>
      <c r="J15" s="692">
        <f t="shared" si="4"/>
        <v>13.054154499601808</v>
      </c>
    </row>
    <row r="16" spans="1:10">
      <c r="A16" s="452">
        <v>1987</v>
      </c>
      <c r="B16" s="19">
        <f t="shared" si="5"/>
        <v>45974.299999999996</v>
      </c>
      <c r="C16" s="232">
        <f t="shared" si="6"/>
        <v>2027.3</v>
      </c>
      <c r="D16" s="232">
        <f t="shared" si="6"/>
        <v>1549.2</v>
      </c>
      <c r="E16" s="232">
        <f t="shared" si="6"/>
        <v>1360.7</v>
      </c>
      <c r="F16" s="701">
        <f t="shared" si="0"/>
        <v>22.677600749765695</v>
      </c>
      <c r="G16" s="701">
        <f t="shared" si="1"/>
        <v>33.787241860806937</v>
      </c>
      <c r="H16" s="701">
        <f t="shared" si="2"/>
        <v>76.416909189562475</v>
      </c>
      <c r="I16" s="701">
        <f t="shared" si="3"/>
        <v>67.118827997829626</v>
      </c>
      <c r="J16" s="692">
        <f t="shared" si="4"/>
        <v>12.167570358894913</v>
      </c>
    </row>
    <row r="17" spans="1:10">
      <c r="A17" s="452">
        <v>1988</v>
      </c>
      <c r="B17" s="19">
        <f t="shared" si="5"/>
        <v>49147.6</v>
      </c>
      <c r="C17" s="232">
        <f t="shared" si="6"/>
        <v>2061.9</v>
      </c>
      <c r="D17" s="232">
        <f t="shared" si="6"/>
        <v>1580.6</v>
      </c>
      <c r="E17" s="232">
        <f t="shared" si="6"/>
        <v>1417</v>
      </c>
      <c r="F17" s="701">
        <f t="shared" si="0"/>
        <v>23.836073524419223</v>
      </c>
      <c r="G17" s="701">
        <f t="shared" si="1"/>
        <v>34.684262526464359</v>
      </c>
      <c r="H17" s="701">
        <f t="shared" si="2"/>
        <v>76.657451864784903</v>
      </c>
      <c r="I17" s="701">
        <f t="shared" si="3"/>
        <v>68.723022455017215</v>
      </c>
      <c r="J17" s="692">
        <f t="shared" si="4"/>
        <v>10.350499810198652</v>
      </c>
    </row>
    <row r="18" spans="1:10">
      <c r="A18" s="452">
        <v>1989</v>
      </c>
      <c r="B18" s="19">
        <f t="shared" si="5"/>
        <v>52993.5</v>
      </c>
      <c r="C18" s="232">
        <f t="shared" si="6"/>
        <v>2106.3000000000002</v>
      </c>
      <c r="D18" s="232">
        <f t="shared" si="6"/>
        <v>1642.6</v>
      </c>
      <c r="E18" s="232">
        <f t="shared" si="6"/>
        <v>1492.3</v>
      </c>
      <c r="F18" s="701">
        <f t="shared" si="0"/>
        <v>25.15952143569292</v>
      </c>
      <c r="G18" s="701">
        <f t="shared" si="1"/>
        <v>35.511291295315957</v>
      </c>
      <c r="H18" s="701">
        <f t="shared" si="2"/>
        <v>77.985092342021545</v>
      </c>
      <c r="I18" s="701">
        <f t="shared" si="3"/>
        <v>70.849356691829271</v>
      </c>
      <c r="J18" s="692">
        <f t="shared" si="4"/>
        <v>9.1501278460976483</v>
      </c>
    </row>
    <row r="19" spans="1:10">
      <c r="A19" s="452">
        <v>1990</v>
      </c>
      <c r="B19" s="19">
        <f t="shared" si="5"/>
        <v>53897.600000000006</v>
      </c>
      <c r="C19" s="232">
        <f t="shared" si="6"/>
        <v>2161.6999999999998</v>
      </c>
      <c r="D19" s="232">
        <f t="shared" si="6"/>
        <v>1681.4</v>
      </c>
      <c r="E19" s="232">
        <f t="shared" si="6"/>
        <v>1538.2</v>
      </c>
      <c r="F19" s="701">
        <f t="shared" si="0"/>
        <v>24.932969422214004</v>
      </c>
      <c r="G19" s="701">
        <f t="shared" si="1"/>
        <v>35.039396697438569</v>
      </c>
      <c r="H19" s="701">
        <f t="shared" si="2"/>
        <v>77.78137576907065</v>
      </c>
      <c r="I19" s="701">
        <f t="shared" si="3"/>
        <v>71.156959800157296</v>
      </c>
      <c r="J19" s="692">
        <f t="shared" si="4"/>
        <v>8.5167122635898682</v>
      </c>
    </row>
    <row r="20" spans="1:10">
      <c r="A20" s="452">
        <v>1991</v>
      </c>
      <c r="B20" s="19">
        <f t="shared" si="5"/>
        <v>53265</v>
      </c>
      <c r="C20" s="232">
        <f t="shared" si="6"/>
        <v>2219.1</v>
      </c>
      <c r="D20" s="232">
        <f t="shared" si="6"/>
        <v>1730.2</v>
      </c>
      <c r="E20" s="232">
        <f t="shared" si="6"/>
        <v>1557.9</v>
      </c>
      <c r="F20" s="701">
        <f t="shared" si="0"/>
        <v>24.002974178721104</v>
      </c>
      <c r="G20" s="701">
        <f t="shared" si="1"/>
        <v>34.19025611399961</v>
      </c>
      <c r="H20" s="701">
        <f t="shared" si="2"/>
        <v>77.968545806858643</v>
      </c>
      <c r="I20" s="701">
        <f t="shared" si="3"/>
        <v>70.204136812221179</v>
      </c>
      <c r="J20" s="692">
        <f t="shared" si="4"/>
        <v>9.9583863137209541</v>
      </c>
    </row>
    <row r="21" spans="1:10">
      <c r="A21" s="452">
        <v>1992</v>
      </c>
      <c r="B21" s="19">
        <f t="shared" si="5"/>
        <v>53883.8</v>
      </c>
      <c r="C21" s="232">
        <f t="shared" si="6"/>
        <v>2282.3000000000002</v>
      </c>
      <c r="D21" s="232">
        <f t="shared" si="6"/>
        <v>1779.9</v>
      </c>
      <c r="E21" s="232">
        <f t="shared" si="6"/>
        <v>1598.2</v>
      </c>
      <c r="F21" s="701">
        <f t="shared" si="0"/>
        <v>23.609429084695265</v>
      </c>
      <c r="G21" s="701">
        <f t="shared" si="1"/>
        <v>33.715304717807534</v>
      </c>
      <c r="H21" s="701">
        <f t="shared" si="2"/>
        <v>77.987118257897734</v>
      </c>
      <c r="I21" s="701">
        <f t="shared" si="3"/>
        <v>70.02585111510318</v>
      </c>
      <c r="J21" s="692">
        <f t="shared" si="4"/>
        <v>10.208438676330132</v>
      </c>
    </row>
    <row r="22" spans="1:10">
      <c r="A22" s="452">
        <v>1993</v>
      </c>
      <c r="B22" s="19">
        <f t="shared" si="5"/>
        <v>56032.100000000006</v>
      </c>
      <c r="C22" s="232">
        <f t="shared" ref="C22:E36" si="7">E63</f>
        <v>2351.9</v>
      </c>
      <c r="D22" s="232">
        <f t="shared" si="7"/>
        <v>1825.9</v>
      </c>
      <c r="E22" s="232">
        <f t="shared" si="7"/>
        <v>1647</v>
      </c>
      <c r="F22" s="701">
        <f t="shared" si="0"/>
        <v>23.824184701730516</v>
      </c>
      <c r="G22" s="701">
        <f t="shared" si="1"/>
        <v>34.020704310868247</v>
      </c>
      <c r="H22" s="701">
        <f t="shared" si="2"/>
        <v>77.635103533313483</v>
      </c>
      <c r="I22" s="701">
        <f t="shared" si="3"/>
        <v>70.028487605765548</v>
      </c>
      <c r="J22" s="692">
        <f t="shared" si="4"/>
        <v>9.7979078810449689</v>
      </c>
    </row>
    <row r="23" spans="1:10">
      <c r="A23" s="452">
        <v>1994</v>
      </c>
      <c r="B23" s="19">
        <f t="shared" si="5"/>
        <v>58345.200000000004</v>
      </c>
      <c r="C23" s="232">
        <f t="shared" si="7"/>
        <v>2428.5</v>
      </c>
      <c r="D23" s="232">
        <f t="shared" si="7"/>
        <v>1888.9</v>
      </c>
      <c r="E23" s="232">
        <f t="shared" si="7"/>
        <v>1714.6</v>
      </c>
      <c r="F23" s="701">
        <f t="shared" si="0"/>
        <v>24.025200741198272</v>
      </c>
      <c r="G23" s="701">
        <f t="shared" si="1"/>
        <v>34.028461448734404</v>
      </c>
      <c r="H23" s="701">
        <f t="shared" si="2"/>
        <v>77.780522956557547</v>
      </c>
      <c r="I23" s="701">
        <f t="shared" si="3"/>
        <v>70.603253036854014</v>
      </c>
      <c r="J23" s="692">
        <f t="shared" si="4"/>
        <v>9.2275927788660166</v>
      </c>
    </row>
    <row r="24" spans="1:10">
      <c r="A24" s="452">
        <v>1995</v>
      </c>
      <c r="B24" s="19">
        <f t="shared" si="5"/>
        <v>59795.600000000006</v>
      </c>
      <c r="C24" s="232">
        <f t="shared" si="7"/>
        <v>2502.1</v>
      </c>
      <c r="D24" s="232">
        <f t="shared" si="7"/>
        <v>1928.6</v>
      </c>
      <c r="E24" s="232">
        <f t="shared" si="7"/>
        <v>1764.4</v>
      </c>
      <c r="F24" s="701">
        <f t="shared" si="0"/>
        <v>23.898165540945609</v>
      </c>
      <c r="G24" s="701">
        <f t="shared" si="1"/>
        <v>33.890047608252097</v>
      </c>
      <c r="H24" s="701">
        <f t="shared" si="2"/>
        <v>77.079253427121216</v>
      </c>
      <c r="I24" s="701">
        <f t="shared" si="3"/>
        <v>70.516765916630035</v>
      </c>
      <c r="J24" s="692">
        <f t="shared" si="4"/>
        <v>8.5139479415119688</v>
      </c>
    </row>
    <row r="25" spans="1:10">
      <c r="A25" s="452">
        <v>1996</v>
      </c>
      <c r="B25" s="19">
        <f t="shared" si="5"/>
        <v>60883.4</v>
      </c>
      <c r="C25" s="232">
        <f t="shared" si="7"/>
        <v>2575.1</v>
      </c>
      <c r="D25" s="232">
        <f t="shared" si="7"/>
        <v>1964</v>
      </c>
      <c r="E25" s="232">
        <f t="shared" si="7"/>
        <v>1793.3</v>
      </c>
      <c r="F25" s="701">
        <f t="shared" si="0"/>
        <v>23.643120655508525</v>
      </c>
      <c r="G25" s="701">
        <f t="shared" si="1"/>
        <v>33.950482350973068</v>
      </c>
      <c r="H25" s="701">
        <f t="shared" si="2"/>
        <v>76.268882761834504</v>
      </c>
      <c r="I25" s="701">
        <f t="shared" si="3"/>
        <v>69.640013980039612</v>
      </c>
      <c r="J25" s="692">
        <f t="shared" si="4"/>
        <v>8.6914460285132407</v>
      </c>
    </row>
    <row r="26" spans="1:10">
      <c r="A26" s="452">
        <v>1997</v>
      </c>
      <c r="B26" s="19">
        <f t="shared" si="5"/>
        <v>62091</v>
      </c>
      <c r="C26" s="232">
        <f t="shared" si="7"/>
        <v>2634</v>
      </c>
      <c r="D26" s="232">
        <f t="shared" si="7"/>
        <v>2005.4</v>
      </c>
      <c r="E26" s="232">
        <f t="shared" si="7"/>
        <v>1836.5</v>
      </c>
      <c r="F26" s="701">
        <f t="shared" si="0"/>
        <v>23.572892938496583</v>
      </c>
      <c r="G26" s="701">
        <f t="shared" si="1"/>
        <v>33.809420092567386</v>
      </c>
      <c r="H26" s="701">
        <f t="shared" si="2"/>
        <v>76.135155656795746</v>
      </c>
      <c r="I26" s="701">
        <f t="shared" si="3"/>
        <v>69.722854973424447</v>
      </c>
      <c r="J26" s="692">
        <f t="shared" si="4"/>
        <v>8.4222598982746621</v>
      </c>
    </row>
    <row r="27" spans="1:10">
      <c r="A27" s="452">
        <v>1998</v>
      </c>
      <c r="B27" s="19">
        <f t="shared" si="5"/>
        <v>60893.9</v>
      </c>
      <c r="C27" s="232">
        <f t="shared" si="7"/>
        <v>2664.6</v>
      </c>
      <c r="D27" s="232">
        <f t="shared" si="7"/>
        <v>2007.4</v>
      </c>
      <c r="E27" s="232">
        <f t="shared" si="7"/>
        <v>1828.6</v>
      </c>
      <c r="F27" s="701">
        <f t="shared" si="0"/>
        <v>22.852923515724687</v>
      </c>
      <c r="G27" s="701">
        <f t="shared" si="1"/>
        <v>33.300831237011927</v>
      </c>
      <c r="H27" s="701">
        <f t="shared" si="2"/>
        <v>75.33588531111613</v>
      </c>
      <c r="I27" s="701">
        <f t="shared" si="3"/>
        <v>68.625684905802004</v>
      </c>
      <c r="J27" s="692">
        <f t="shared" si="4"/>
        <v>8.9070439374315118</v>
      </c>
    </row>
    <row r="28" spans="1:10">
      <c r="A28" s="452">
        <v>1999</v>
      </c>
      <c r="B28" s="19">
        <f t="shared" si="5"/>
        <v>62134.000000000007</v>
      </c>
      <c r="C28" s="232">
        <f t="shared" si="7"/>
        <v>2690.4</v>
      </c>
      <c r="D28" s="232">
        <f t="shared" si="7"/>
        <v>2036.4</v>
      </c>
      <c r="E28" s="232">
        <f t="shared" si="7"/>
        <v>1867.2</v>
      </c>
      <c r="F28" s="701">
        <f t="shared" si="0"/>
        <v>23.094707106749926</v>
      </c>
      <c r="G28" s="701">
        <f t="shared" si="1"/>
        <v>33.276563838903172</v>
      </c>
      <c r="H28" s="701">
        <f t="shared" si="2"/>
        <v>75.69134701159679</v>
      </c>
      <c r="I28" s="701">
        <f t="shared" si="3"/>
        <v>69.402319357716323</v>
      </c>
      <c r="J28" s="692">
        <f t="shared" si="4"/>
        <v>8.3087802003535671</v>
      </c>
    </row>
    <row r="29" spans="1:10">
      <c r="A29" s="452">
        <v>2000</v>
      </c>
      <c r="B29" s="19">
        <f t="shared" si="5"/>
        <v>64787.9</v>
      </c>
      <c r="C29" s="232">
        <f t="shared" si="7"/>
        <v>2718.7</v>
      </c>
      <c r="D29" s="232">
        <f t="shared" si="7"/>
        <v>2054.1999999999998</v>
      </c>
      <c r="E29" s="232">
        <f t="shared" si="7"/>
        <v>1906.1</v>
      </c>
      <c r="F29" s="701">
        <f t="shared" si="0"/>
        <v>23.83047044543348</v>
      </c>
      <c r="G29" s="701">
        <f t="shared" si="1"/>
        <v>33.989769686795029</v>
      </c>
      <c r="H29" s="701">
        <f t="shared" si="2"/>
        <v>75.558171184757413</v>
      </c>
      <c r="I29" s="701">
        <f t="shared" si="3"/>
        <v>70.110714679810201</v>
      </c>
      <c r="J29" s="692">
        <f t="shared" si="4"/>
        <v>7.209619316522244</v>
      </c>
    </row>
    <row r="30" spans="1:10">
      <c r="A30" s="452">
        <v>2001</v>
      </c>
      <c r="B30" s="19">
        <f t="shared" si="5"/>
        <v>62567</v>
      </c>
      <c r="C30" s="232">
        <f t="shared" si="7"/>
        <v>2753.6</v>
      </c>
      <c r="D30" s="232">
        <f t="shared" si="7"/>
        <v>2056.5</v>
      </c>
      <c r="E30" s="232">
        <f t="shared" si="7"/>
        <v>1897</v>
      </c>
      <c r="F30" s="701">
        <f t="shared" si="0"/>
        <v>22.721891342242884</v>
      </c>
      <c r="G30" s="701">
        <f t="shared" si="1"/>
        <v>32.982076963626781</v>
      </c>
      <c r="H30" s="701">
        <f t="shared" si="2"/>
        <v>74.684049970947129</v>
      </c>
      <c r="I30" s="701">
        <f t="shared" si="3"/>
        <v>68.891632771644396</v>
      </c>
      <c r="J30" s="692">
        <f t="shared" si="4"/>
        <v>7.7558959397033789</v>
      </c>
    </row>
    <row r="31" spans="1:10">
      <c r="A31" s="452">
        <v>2002</v>
      </c>
      <c r="B31" s="19">
        <f t="shared" si="5"/>
        <v>63348.7</v>
      </c>
      <c r="C31" s="232">
        <f t="shared" si="7"/>
        <v>2787.9</v>
      </c>
      <c r="D31" s="232">
        <f t="shared" si="7"/>
        <v>2114</v>
      </c>
      <c r="E31" s="232">
        <f t="shared" si="7"/>
        <v>1933.3</v>
      </c>
      <c r="F31" s="701">
        <f t="shared" si="0"/>
        <v>22.722730370529789</v>
      </c>
      <c r="G31" s="701">
        <f t="shared" si="1"/>
        <v>32.767133916102004</v>
      </c>
      <c r="H31" s="701">
        <f t="shared" si="2"/>
        <v>75.827683919796257</v>
      </c>
      <c r="I31" s="701">
        <f t="shared" si="3"/>
        <v>69.346102801391723</v>
      </c>
      <c r="J31" s="692">
        <f t="shared" si="4"/>
        <v>8.5477767265846758</v>
      </c>
    </row>
    <row r="32" spans="1:10">
      <c r="A32" s="452">
        <v>2003</v>
      </c>
      <c r="B32" s="19">
        <f t="shared" si="5"/>
        <v>64405.5</v>
      </c>
      <c r="C32" s="232">
        <f t="shared" si="7"/>
        <v>2817.6</v>
      </c>
      <c r="D32" s="232">
        <f t="shared" si="7"/>
        <v>2153.1999999999998</v>
      </c>
      <c r="E32" s="232">
        <f t="shared" si="7"/>
        <v>1978.8</v>
      </c>
      <c r="F32" s="701">
        <f t="shared" si="0"/>
        <v>22.858283645655877</v>
      </c>
      <c r="G32" s="701">
        <f t="shared" si="1"/>
        <v>32.54775621588842</v>
      </c>
      <c r="H32" s="701">
        <f t="shared" si="2"/>
        <v>76.419647927314031</v>
      </c>
      <c r="I32" s="701">
        <f t="shared" si="3"/>
        <v>70.229982964224874</v>
      </c>
      <c r="J32" s="692">
        <f t="shared" si="4"/>
        <v>8.0995727289615402</v>
      </c>
    </row>
    <row r="33" spans="1:10">
      <c r="A33" s="452">
        <v>2004</v>
      </c>
      <c r="B33" s="19">
        <f t="shared" si="5"/>
        <v>67191</v>
      </c>
      <c r="C33" s="232">
        <f t="shared" si="7"/>
        <v>2855.1</v>
      </c>
      <c r="D33" s="232">
        <f t="shared" si="7"/>
        <v>2183.6999999999998</v>
      </c>
      <c r="E33" s="232">
        <f t="shared" si="7"/>
        <v>2026.1</v>
      </c>
      <c r="F33" s="701">
        <f t="shared" si="0"/>
        <v>23.533676578753809</v>
      </c>
      <c r="G33" s="701">
        <f t="shared" si="1"/>
        <v>33.162726420216181</v>
      </c>
      <c r="H33" s="701">
        <f t="shared" si="2"/>
        <v>76.484186193128082</v>
      </c>
      <c r="I33" s="701">
        <f t="shared" si="3"/>
        <v>70.964239431193306</v>
      </c>
      <c r="J33" s="692">
        <f t="shared" si="4"/>
        <v>7.2171085771855079</v>
      </c>
    </row>
    <row r="34" spans="1:10">
      <c r="A34" s="452">
        <v>2005</v>
      </c>
      <c r="B34" s="19">
        <f t="shared" si="5"/>
        <v>69996.599999999991</v>
      </c>
      <c r="C34" s="232">
        <f t="shared" si="7"/>
        <v>2899.8</v>
      </c>
      <c r="D34" s="232">
        <f t="shared" si="7"/>
        <v>2219.1999999999998</v>
      </c>
      <c r="E34" s="232">
        <f t="shared" si="7"/>
        <v>2087.8000000000002</v>
      </c>
      <c r="F34" s="702">
        <f t="shared" si="0"/>
        <v>24.138423339540655</v>
      </c>
      <c r="G34" s="702">
        <f t="shared" si="1"/>
        <v>33.526487211418711</v>
      </c>
      <c r="H34" s="702">
        <f t="shared" si="2"/>
        <v>76.529415821780802</v>
      </c>
      <c r="I34" s="702">
        <f t="shared" si="3"/>
        <v>71.99806883233326</v>
      </c>
      <c r="J34" s="692">
        <f t="shared" si="4"/>
        <v>5.9210526315789318</v>
      </c>
    </row>
    <row r="35" spans="1:10" s="703" customFormat="1">
      <c r="A35" s="452">
        <v>2006</v>
      </c>
      <c r="B35" s="19">
        <f t="shared" si="5"/>
        <v>71804.800000000003</v>
      </c>
      <c r="C35" s="232">
        <f t="shared" si="7"/>
        <v>2947.7</v>
      </c>
      <c r="D35" s="232">
        <f t="shared" si="7"/>
        <v>2259</v>
      </c>
      <c r="E35" s="232">
        <f t="shared" si="7"/>
        <v>2152.1</v>
      </c>
      <c r="F35" s="702">
        <f>B35/C35</f>
        <v>24.35960240187265</v>
      </c>
      <c r="G35" s="702">
        <f>B35/E35</f>
        <v>33.364992333070028</v>
      </c>
      <c r="H35" s="702">
        <f>D35/C35*100</f>
        <v>76.63602130474608</v>
      </c>
      <c r="I35" s="702">
        <f>E35/C35*100</f>
        <v>73.009465006615329</v>
      </c>
      <c r="J35" s="692">
        <f>(D35-E35)/D35*100</f>
        <v>4.7321823815847761</v>
      </c>
    </row>
    <row r="36" spans="1:10" s="703" customFormat="1">
      <c r="A36" s="452">
        <v>2007</v>
      </c>
      <c r="B36" s="19">
        <f t="shared" si="5"/>
        <v>74964.3</v>
      </c>
      <c r="C36" s="232">
        <f t="shared" si="7"/>
        <v>2992.8</v>
      </c>
      <c r="D36" s="232">
        <f t="shared" si="7"/>
        <v>2317.3000000000002</v>
      </c>
      <c r="E36" s="232">
        <f t="shared" si="7"/>
        <v>2218.6999999999998</v>
      </c>
      <c r="F36" s="702">
        <f>B36/C36</f>
        <v>25.048215717722535</v>
      </c>
      <c r="G36" s="702">
        <f>B36/E36</f>
        <v>33.787488168747466</v>
      </c>
      <c r="H36" s="702">
        <f>D36/C36*100</f>
        <v>77.429163325314093</v>
      </c>
      <c r="I36" s="702">
        <f>E36/C36*100</f>
        <v>74.134589681903236</v>
      </c>
      <c r="J36" s="692">
        <f>(D36-E36)/D36*100</f>
        <v>4.2549518836577205</v>
      </c>
    </row>
    <row r="37" spans="1:10" s="703" customFormat="1">
      <c r="A37" s="452">
        <v>2008</v>
      </c>
      <c r="B37" s="19">
        <v>74886.3</v>
      </c>
      <c r="C37" s="232">
        <v>3045.5</v>
      </c>
      <c r="D37" s="232">
        <v>2365.5</v>
      </c>
      <c r="E37" s="232">
        <v>2255.3000000000002</v>
      </c>
      <c r="F37" s="702">
        <f>B37/C37</f>
        <v>24.589164340830735</v>
      </c>
      <c r="G37" s="702">
        <f>B37/E37</f>
        <v>33.2045847559083</v>
      </c>
      <c r="H37" s="702">
        <f>D37/C37*100</f>
        <v>77.671975045148571</v>
      </c>
      <c r="I37" s="702">
        <f>E37/C37*100</f>
        <v>74.053521589230016</v>
      </c>
      <c r="J37" s="692">
        <f>(D37-E37)/D37*100</f>
        <v>4.6586345381526026</v>
      </c>
    </row>
    <row r="38" spans="1:10">
      <c r="A38" s="452"/>
      <c r="B38" s="704"/>
      <c r="C38" s="704" t="s">
        <v>427</v>
      </c>
      <c r="D38" s="704"/>
      <c r="E38" s="454"/>
      <c r="F38" s="705"/>
      <c r="G38" s="705" t="s">
        <v>897</v>
      </c>
      <c r="H38" s="705"/>
      <c r="I38" s="705"/>
      <c r="J38" s="704"/>
    </row>
    <row r="39" spans="1:10">
      <c r="A39" s="454" t="s">
        <v>1716</v>
      </c>
      <c r="B39" s="706">
        <f>(POWER(B37/B5, 1/32)-1)*100</f>
        <v>2.3796708771557151</v>
      </c>
      <c r="C39" s="706">
        <f>(POWER(C37/C5, 1/32)-1)*100</f>
        <v>1.9377966407206682</v>
      </c>
      <c r="D39" s="706">
        <f>(POWER(D37/D5, 1/32)-1)*100</f>
        <v>2.2995027007393976</v>
      </c>
      <c r="E39" s="707">
        <f>(POWER(E37/E5, 1/32)-1)*100</f>
        <v>2.4309410973813783</v>
      </c>
      <c r="F39" s="708">
        <f>F37-F5</f>
        <v>3.178399124494792</v>
      </c>
      <c r="G39" s="708">
        <f>G37-G5</f>
        <v>-0.5362586982372477</v>
      </c>
      <c r="H39" s="708">
        <f>H37-H5</f>
        <v>8.323106788579608</v>
      </c>
      <c r="I39" s="708">
        <f>I37-I5</f>
        <v>10.59700116930162</v>
      </c>
      <c r="J39" s="708">
        <f>J37-J5</f>
        <v>-3.8380402955890762</v>
      </c>
    </row>
    <row r="40" spans="1:10">
      <c r="A40" s="454" t="s">
        <v>1707</v>
      </c>
      <c r="B40" s="706">
        <f>(POWER(B37/B10, 1/27)-1)*100</f>
        <v>2.066644792303074</v>
      </c>
      <c r="C40" s="706">
        <f>(POWER(C37/C10, 1/27)-1)*100</f>
        <v>1.7828967151571229</v>
      </c>
      <c r="D40" s="706">
        <f>(POWER(D37/D10, 1/27)-1)*100</f>
        <v>1.9681280888358632</v>
      </c>
      <c r="E40" s="707">
        <f>(POWER(E37/E10, 1/27)-1)*100</f>
        <v>2.0567496463471002</v>
      </c>
      <c r="F40" s="708">
        <f>F37-F10</f>
        <v>1.7804972155860135</v>
      </c>
      <c r="G40" s="708">
        <f>G37-G10</f>
        <v>8.6806636670438309E-2</v>
      </c>
      <c r="H40" s="708">
        <f>H37-H10</f>
        <v>3.7209723465931006</v>
      </c>
      <c r="I40" s="708">
        <f>I37-I10</f>
        <v>5.1821527337350233</v>
      </c>
      <c r="J40" s="708">
        <f>J37-J10</f>
        <v>-2.2102836072394991</v>
      </c>
    </row>
    <row r="42" spans="1:10">
      <c r="A42" s="449" t="s">
        <v>899</v>
      </c>
    </row>
    <row r="43" spans="1:10">
      <c r="A43" s="449" t="s">
        <v>1717</v>
      </c>
    </row>
    <row r="45" spans="1:10" ht="15">
      <c r="A45" s="888" t="s">
        <v>163</v>
      </c>
      <c r="B45" s="889" t="s">
        <v>1452</v>
      </c>
      <c r="C45" s="889" t="s">
        <v>1453</v>
      </c>
      <c r="D45" s="889" t="s">
        <v>1454</v>
      </c>
      <c r="E45" s="890" t="s">
        <v>1482</v>
      </c>
      <c r="F45" s="890" t="s">
        <v>1483</v>
      </c>
      <c r="G45" s="890" t="s">
        <v>1484</v>
      </c>
    </row>
    <row r="46" spans="1:10" ht="15">
      <c r="A46" s="888">
        <v>1976</v>
      </c>
      <c r="B46" s="889">
        <v>8195.5</v>
      </c>
      <c r="C46" s="889">
        <v>23645</v>
      </c>
      <c r="D46" s="889">
        <v>3442.3</v>
      </c>
      <c r="E46" s="890">
        <v>1647.9</v>
      </c>
      <c r="F46" s="890">
        <v>1142.8</v>
      </c>
      <c r="G46" s="890">
        <v>1045.7</v>
      </c>
    </row>
    <row r="47" spans="1:10" ht="15">
      <c r="A47" s="888">
        <v>1977</v>
      </c>
      <c r="B47" s="889">
        <v>8513.1</v>
      </c>
      <c r="C47" s="889">
        <v>24320.5</v>
      </c>
      <c r="D47" s="889">
        <v>3628.8</v>
      </c>
      <c r="E47" s="890">
        <v>1686</v>
      </c>
      <c r="F47" s="890">
        <v>1172.0999999999999</v>
      </c>
      <c r="G47" s="890">
        <v>1073.2</v>
      </c>
    </row>
    <row r="48" spans="1:10" ht="15">
      <c r="A48" s="888">
        <v>1978</v>
      </c>
      <c r="B48" s="889">
        <v>8962</v>
      </c>
      <c r="C48" s="889">
        <v>26159.1</v>
      </c>
      <c r="D48" s="889">
        <v>3734</v>
      </c>
      <c r="E48" s="890">
        <v>1728</v>
      </c>
      <c r="F48" s="890">
        <v>1226</v>
      </c>
      <c r="G48" s="890">
        <v>1123.8</v>
      </c>
    </row>
    <row r="49" spans="1:7" ht="15">
      <c r="A49" s="888">
        <v>1979</v>
      </c>
      <c r="B49" s="889">
        <v>9499.6</v>
      </c>
      <c r="C49" s="889">
        <v>27139.1</v>
      </c>
      <c r="D49" s="889">
        <v>3835.9</v>
      </c>
      <c r="E49" s="890">
        <v>1772.8</v>
      </c>
      <c r="F49" s="890">
        <v>1270.8</v>
      </c>
      <c r="G49" s="890">
        <v>1171.5999999999999</v>
      </c>
    </row>
    <row r="50" spans="1:7" ht="15">
      <c r="A50" s="888">
        <v>1980</v>
      </c>
      <c r="B50" s="889">
        <v>9943.5</v>
      </c>
      <c r="C50" s="889">
        <v>28588.5</v>
      </c>
      <c r="D50" s="889">
        <v>4018.6</v>
      </c>
      <c r="E50" s="890">
        <v>1832</v>
      </c>
      <c r="F50" s="890">
        <v>1337.4</v>
      </c>
      <c r="G50" s="890">
        <v>1247.0999999999999</v>
      </c>
    </row>
    <row r="51" spans="1:7" ht="15">
      <c r="A51" s="888">
        <v>1981</v>
      </c>
      <c r="B51" s="889">
        <v>9918.1</v>
      </c>
      <c r="C51" s="889">
        <v>29158.1</v>
      </c>
      <c r="D51" s="889">
        <v>4029.9</v>
      </c>
      <c r="E51" s="890">
        <v>1889.9</v>
      </c>
      <c r="F51" s="890">
        <v>1397.6</v>
      </c>
      <c r="G51" s="890">
        <v>1301.5999999999999</v>
      </c>
    </row>
    <row r="52" spans="1:7" ht="15">
      <c r="A52" s="888">
        <v>1982</v>
      </c>
      <c r="B52" s="889">
        <v>8154</v>
      </c>
      <c r="C52" s="889">
        <v>28651.599999999999</v>
      </c>
      <c r="D52" s="889">
        <v>3805.8</v>
      </c>
      <c r="E52" s="890">
        <v>1923.2</v>
      </c>
      <c r="F52" s="890">
        <v>1407.9</v>
      </c>
      <c r="G52" s="890">
        <v>1235.2</v>
      </c>
    </row>
    <row r="53" spans="1:7" ht="15">
      <c r="A53" s="888">
        <v>1983</v>
      </c>
      <c r="B53" s="889">
        <v>7556</v>
      </c>
      <c r="C53" s="889">
        <v>29284.3</v>
      </c>
      <c r="D53" s="889">
        <v>3878.4</v>
      </c>
      <c r="E53" s="890">
        <v>1946.6</v>
      </c>
      <c r="F53" s="890">
        <v>1427.6</v>
      </c>
      <c r="G53" s="890">
        <v>1227.3</v>
      </c>
    </row>
    <row r="54" spans="1:7" ht="15">
      <c r="A54" s="888">
        <v>1984</v>
      </c>
      <c r="B54" s="889">
        <v>7373.6</v>
      </c>
      <c r="C54" s="889">
        <v>29945</v>
      </c>
      <c r="D54" s="889">
        <v>3963.8</v>
      </c>
      <c r="E54" s="890">
        <v>1973.1</v>
      </c>
      <c r="F54" s="890">
        <v>1448.3</v>
      </c>
      <c r="G54" s="890">
        <v>1229.0999999999999</v>
      </c>
    </row>
    <row r="55" spans="1:7" ht="15">
      <c r="A55" s="888">
        <v>1985</v>
      </c>
      <c r="B55" s="889">
        <v>7398.6</v>
      </c>
      <c r="C55" s="889">
        <v>31129.5</v>
      </c>
      <c r="D55" s="889">
        <v>3982.2</v>
      </c>
      <c r="E55" s="890">
        <v>1990.7</v>
      </c>
      <c r="F55" s="890">
        <v>1474.5</v>
      </c>
      <c r="G55" s="890">
        <v>1257.0999999999999</v>
      </c>
    </row>
    <row r="56" spans="1:7" ht="15">
      <c r="A56" s="888">
        <v>1986</v>
      </c>
      <c r="B56" s="889">
        <v>7722.8</v>
      </c>
      <c r="C56" s="889">
        <v>32897.300000000003</v>
      </c>
      <c r="D56" s="889">
        <v>4010.2</v>
      </c>
      <c r="E56" s="890">
        <v>2005.7</v>
      </c>
      <c r="F56" s="890">
        <v>1506.8</v>
      </c>
      <c r="G56" s="890">
        <v>1310.0999999999999</v>
      </c>
    </row>
    <row r="57" spans="1:7" ht="15">
      <c r="A57" s="888">
        <v>1987</v>
      </c>
      <c r="B57" s="889">
        <v>7847.9</v>
      </c>
      <c r="C57" s="889">
        <v>34157.699999999997</v>
      </c>
      <c r="D57" s="889">
        <v>3968.7</v>
      </c>
      <c r="E57" s="890">
        <v>2027.3</v>
      </c>
      <c r="F57" s="890">
        <v>1549.2</v>
      </c>
      <c r="G57" s="890">
        <v>1360.7</v>
      </c>
    </row>
    <row r="58" spans="1:7" ht="15">
      <c r="A58" s="888">
        <v>1988</v>
      </c>
      <c r="B58" s="889">
        <v>7987</v>
      </c>
      <c r="C58" s="889">
        <v>36875.1</v>
      </c>
      <c r="D58" s="889">
        <v>4285.5</v>
      </c>
      <c r="E58" s="890">
        <v>2061.9</v>
      </c>
      <c r="F58" s="890">
        <v>1580.6</v>
      </c>
      <c r="G58" s="890">
        <v>1417</v>
      </c>
    </row>
    <row r="59" spans="1:7" ht="15">
      <c r="A59" s="888">
        <v>1989</v>
      </c>
      <c r="B59" s="889">
        <v>8689.5</v>
      </c>
      <c r="C59" s="889">
        <v>39885.300000000003</v>
      </c>
      <c r="D59" s="889">
        <v>4418.7</v>
      </c>
      <c r="E59" s="890">
        <v>2106.3000000000002</v>
      </c>
      <c r="F59" s="890">
        <v>1642.6</v>
      </c>
      <c r="G59" s="890">
        <v>1492.3</v>
      </c>
    </row>
    <row r="60" spans="1:7" ht="15">
      <c r="A60" s="888">
        <v>1990</v>
      </c>
      <c r="B60" s="889">
        <v>8503.4</v>
      </c>
      <c r="C60" s="889">
        <v>41150.9</v>
      </c>
      <c r="D60" s="889">
        <v>4243.3</v>
      </c>
      <c r="E60" s="890">
        <v>2161.6999999999998</v>
      </c>
      <c r="F60" s="890">
        <v>1681.4</v>
      </c>
      <c r="G60" s="890">
        <v>1538.2</v>
      </c>
    </row>
    <row r="61" spans="1:7" ht="15">
      <c r="A61" s="888">
        <v>1991</v>
      </c>
      <c r="B61" s="889">
        <v>7847.3</v>
      </c>
      <c r="C61" s="889">
        <v>41115</v>
      </c>
      <c r="D61" s="889">
        <v>4302.7</v>
      </c>
      <c r="E61" s="890">
        <v>2219.1</v>
      </c>
      <c r="F61" s="890">
        <v>1730.2</v>
      </c>
      <c r="G61" s="890">
        <v>1557.9</v>
      </c>
    </row>
    <row r="62" spans="1:7" ht="15">
      <c r="A62" s="888">
        <v>1992</v>
      </c>
      <c r="B62" s="889">
        <v>7708.5</v>
      </c>
      <c r="C62" s="889">
        <v>41620</v>
      </c>
      <c r="D62" s="889">
        <v>4555.3</v>
      </c>
      <c r="E62" s="890">
        <v>2282.3000000000002</v>
      </c>
      <c r="F62" s="890">
        <v>1779.9</v>
      </c>
      <c r="G62" s="890">
        <v>1598.2</v>
      </c>
    </row>
    <row r="63" spans="1:7" ht="15">
      <c r="A63" s="888">
        <v>1993</v>
      </c>
      <c r="B63" s="889">
        <v>8014.9</v>
      </c>
      <c r="C63" s="889">
        <v>43492.9</v>
      </c>
      <c r="D63" s="889">
        <v>4524.3</v>
      </c>
      <c r="E63" s="890">
        <v>2351.9</v>
      </c>
      <c r="F63" s="890">
        <v>1825.9</v>
      </c>
      <c r="G63" s="890">
        <v>1647</v>
      </c>
    </row>
    <row r="64" spans="1:7" ht="15">
      <c r="A64" s="888">
        <v>1994</v>
      </c>
      <c r="B64" s="889">
        <v>7855.9</v>
      </c>
      <c r="C64" s="889">
        <v>45613.5</v>
      </c>
      <c r="D64" s="889">
        <v>4875.8</v>
      </c>
      <c r="E64" s="890">
        <v>2428.5</v>
      </c>
      <c r="F64" s="890">
        <v>1888.9</v>
      </c>
      <c r="G64" s="890">
        <v>1714.6</v>
      </c>
    </row>
    <row r="65" spans="1:7" ht="15">
      <c r="A65" s="888">
        <v>1995</v>
      </c>
      <c r="B65" s="889">
        <v>7858.9</v>
      </c>
      <c r="C65" s="889">
        <v>46808.9</v>
      </c>
      <c r="D65" s="889">
        <v>5127.8</v>
      </c>
      <c r="E65" s="890">
        <v>2502.1</v>
      </c>
      <c r="F65" s="890">
        <v>1928.6</v>
      </c>
      <c r="G65" s="890">
        <v>1764.4</v>
      </c>
    </row>
    <row r="66" spans="1:7" ht="15">
      <c r="A66" s="888">
        <v>1996</v>
      </c>
      <c r="B66" s="889">
        <v>7398.4</v>
      </c>
      <c r="C66" s="889">
        <v>48215.7</v>
      </c>
      <c r="D66" s="889">
        <v>5269.3</v>
      </c>
      <c r="E66" s="890">
        <v>2575.1</v>
      </c>
      <c r="F66" s="890">
        <v>1964</v>
      </c>
      <c r="G66" s="890">
        <v>1793.3</v>
      </c>
    </row>
    <row r="67" spans="1:7" ht="15">
      <c r="A67" s="888">
        <v>1997</v>
      </c>
      <c r="B67" s="889">
        <v>7331</v>
      </c>
      <c r="C67" s="889">
        <v>49298.2</v>
      </c>
      <c r="D67" s="889">
        <v>5461.8</v>
      </c>
      <c r="E67" s="890">
        <v>2634</v>
      </c>
      <c r="F67" s="890">
        <v>2005.4</v>
      </c>
      <c r="G67" s="890">
        <v>1836.5</v>
      </c>
    </row>
    <row r="68" spans="1:7" ht="15">
      <c r="A68" s="888">
        <v>1998</v>
      </c>
      <c r="B68" s="889">
        <v>6983.4</v>
      </c>
      <c r="C68" s="889">
        <v>48588.1</v>
      </c>
      <c r="D68" s="889">
        <v>5322.4</v>
      </c>
      <c r="E68" s="890">
        <v>2664.6</v>
      </c>
      <c r="F68" s="890">
        <v>2007.4</v>
      </c>
      <c r="G68" s="890">
        <v>1828.6</v>
      </c>
    </row>
    <row r="69" spans="1:7" ht="15">
      <c r="A69" s="888">
        <v>1999</v>
      </c>
      <c r="B69" s="889">
        <v>7189.4</v>
      </c>
      <c r="C69" s="889">
        <v>49137.3</v>
      </c>
      <c r="D69" s="889">
        <v>5807.3</v>
      </c>
      <c r="E69" s="890">
        <v>2690.4</v>
      </c>
      <c r="F69" s="890">
        <v>2036.4</v>
      </c>
      <c r="G69" s="890">
        <v>1867.2</v>
      </c>
    </row>
    <row r="70" spans="1:7" ht="15">
      <c r="A70" s="888">
        <v>2000</v>
      </c>
      <c r="B70" s="889">
        <v>7520</v>
      </c>
      <c r="C70" s="889">
        <v>50869.8</v>
      </c>
      <c r="D70" s="889">
        <v>6398.1</v>
      </c>
      <c r="E70" s="890">
        <v>2718.7</v>
      </c>
      <c r="F70" s="890">
        <v>2054.1999999999998</v>
      </c>
      <c r="G70" s="890">
        <v>1906.1</v>
      </c>
    </row>
    <row r="71" spans="1:7" ht="15">
      <c r="A71" s="888">
        <v>2001</v>
      </c>
      <c r="B71" s="889">
        <v>7332.4</v>
      </c>
      <c r="C71" s="889">
        <v>48829.599999999999</v>
      </c>
      <c r="D71" s="889">
        <v>6405</v>
      </c>
      <c r="E71" s="890">
        <v>2753.6</v>
      </c>
      <c r="F71" s="890">
        <v>2056.5</v>
      </c>
      <c r="G71" s="890">
        <v>1897</v>
      </c>
    </row>
    <row r="72" spans="1:7" ht="15">
      <c r="A72" s="888">
        <v>2002</v>
      </c>
      <c r="B72" s="889">
        <v>7552.5</v>
      </c>
      <c r="C72" s="889">
        <v>48905.2</v>
      </c>
      <c r="D72" s="889">
        <v>6891</v>
      </c>
      <c r="E72" s="890">
        <v>2787.9</v>
      </c>
      <c r="F72" s="890">
        <v>2114</v>
      </c>
      <c r="G72" s="890">
        <v>1933.3</v>
      </c>
    </row>
    <row r="73" spans="1:7" ht="15">
      <c r="A73" s="888">
        <v>2003</v>
      </c>
      <c r="B73" s="889">
        <v>7719.4</v>
      </c>
      <c r="C73" s="889">
        <v>49077.599999999999</v>
      </c>
      <c r="D73" s="889">
        <v>7608.5</v>
      </c>
      <c r="E73" s="890">
        <v>2817.6</v>
      </c>
      <c r="F73" s="890">
        <v>2153.1999999999998</v>
      </c>
      <c r="G73" s="890">
        <v>1978.8</v>
      </c>
    </row>
    <row r="74" spans="1:7" ht="15">
      <c r="A74" s="888">
        <v>2004</v>
      </c>
      <c r="B74" s="889">
        <v>8235.1</v>
      </c>
      <c r="C74" s="889">
        <v>51135.8</v>
      </c>
      <c r="D74" s="889">
        <v>7820.1</v>
      </c>
      <c r="E74" s="890">
        <v>2855.1</v>
      </c>
      <c r="F74" s="890">
        <v>2183.6999999999998</v>
      </c>
      <c r="G74" s="890">
        <v>2026.1</v>
      </c>
    </row>
    <row r="75" spans="1:7" ht="15">
      <c r="A75" s="888">
        <v>2005</v>
      </c>
      <c r="B75" s="889">
        <v>9105.2000000000007</v>
      </c>
      <c r="C75" s="889">
        <v>52045.5</v>
      </c>
      <c r="D75" s="889">
        <v>8845.9</v>
      </c>
      <c r="E75" s="890">
        <v>2899.8</v>
      </c>
      <c r="F75" s="890">
        <v>2219.1999999999998</v>
      </c>
      <c r="G75" s="890">
        <v>2087.8000000000002</v>
      </c>
    </row>
    <row r="76" spans="1:7" ht="15">
      <c r="A76" s="888">
        <v>2006</v>
      </c>
      <c r="B76" s="889">
        <v>9621.6</v>
      </c>
      <c r="C76" s="889">
        <v>52828.6</v>
      </c>
      <c r="D76" s="889">
        <v>9354.6</v>
      </c>
      <c r="E76" s="890">
        <v>2947.7</v>
      </c>
      <c r="F76" s="890">
        <v>2259</v>
      </c>
      <c r="G76" s="890">
        <v>2152.1</v>
      </c>
    </row>
    <row r="77" spans="1:7" ht="15">
      <c r="A77" s="888">
        <v>2007</v>
      </c>
      <c r="B77" s="889">
        <v>10022.9</v>
      </c>
      <c r="C77" s="889">
        <v>54818</v>
      </c>
      <c r="D77" s="889">
        <v>10123.4</v>
      </c>
      <c r="E77" s="890">
        <v>2992.8</v>
      </c>
      <c r="F77" s="890">
        <v>2317.3000000000002</v>
      </c>
      <c r="G77" s="890">
        <v>2218.6999999999998</v>
      </c>
    </row>
  </sheetData>
  <phoneticPr fontId="36" type="noConversion"/>
  <pageMargins left="0.75" right="0.75" top="1" bottom="1" header="0.5" footer="0.5"/>
  <pageSetup scale="89" orientation="portrait" r:id="rId1"/>
  <headerFooter alignWithMargins="0"/>
</worksheet>
</file>

<file path=xl/worksheets/sheet196.xml><?xml version="1.0" encoding="utf-8"?>
<worksheet xmlns="http://schemas.openxmlformats.org/spreadsheetml/2006/main" xmlns:r="http://schemas.openxmlformats.org/officeDocument/2006/relationships">
  <sheetPr codeName="Sheet168"/>
  <dimension ref="A1:L129"/>
  <sheetViews>
    <sheetView view="pageBreakPreview" zoomScaleSheetLayoutView="10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 style="449" customWidth="1"/>
    <col min="2" max="9" width="8.5703125" style="449" customWidth="1"/>
    <col min="10" max="10" width="9.7109375" style="449" customWidth="1"/>
    <col min="11" max="11" width="8.5703125" style="449" customWidth="1"/>
    <col min="12" max="12" width="12.5703125" style="449" customWidth="1"/>
    <col min="13" max="16384" width="9.140625" style="449"/>
  </cols>
  <sheetData>
    <row r="1" spans="1:12" ht="15.75">
      <c r="A1" s="322" t="s">
        <v>2240</v>
      </c>
    </row>
    <row r="2" spans="1:12" ht="15.75">
      <c r="A2" s="320"/>
    </row>
    <row r="3" spans="1:12" ht="15.75">
      <c r="A3" s="322" t="s">
        <v>900</v>
      </c>
    </row>
    <row r="4" spans="1:12" ht="25.5">
      <c r="A4" s="696"/>
      <c r="B4" s="696" t="s">
        <v>901</v>
      </c>
      <c r="C4" s="696" t="s">
        <v>902</v>
      </c>
      <c r="D4" s="696" t="s">
        <v>903</v>
      </c>
      <c r="E4" s="696" t="s">
        <v>904</v>
      </c>
      <c r="F4" s="879" t="s">
        <v>905</v>
      </c>
      <c r="G4" s="696" t="s">
        <v>906</v>
      </c>
      <c r="H4" s="696" t="s">
        <v>907</v>
      </c>
      <c r="I4" s="696" t="s">
        <v>908</v>
      </c>
      <c r="J4" s="696" t="s">
        <v>909</v>
      </c>
      <c r="K4" s="880" t="s">
        <v>910</v>
      </c>
      <c r="L4" s="696" t="s">
        <v>911</v>
      </c>
    </row>
    <row r="5" spans="1:12" ht="25.5">
      <c r="A5" s="869"/>
      <c r="B5" s="869" t="s">
        <v>584</v>
      </c>
      <c r="C5" s="869" t="s">
        <v>585</v>
      </c>
      <c r="D5" s="869" t="s">
        <v>587</v>
      </c>
      <c r="E5" s="869" t="s">
        <v>912</v>
      </c>
      <c r="F5" s="870" t="s">
        <v>592</v>
      </c>
      <c r="G5" s="869" t="s">
        <v>593</v>
      </c>
      <c r="H5" s="869" t="s">
        <v>595</v>
      </c>
      <c r="I5" s="869" t="s">
        <v>596</v>
      </c>
      <c r="J5" s="869" t="s">
        <v>721</v>
      </c>
      <c r="K5" s="871" t="s">
        <v>913</v>
      </c>
      <c r="L5" s="869" t="s">
        <v>914</v>
      </c>
    </row>
    <row r="6" spans="1:12">
      <c r="A6" s="452">
        <v>1976</v>
      </c>
      <c r="B6" s="883">
        <v>698.5</v>
      </c>
      <c r="C6" s="883">
        <v>515.6</v>
      </c>
      <c r="D6" s="883">
        <v>1005.7</v>
      </c>
      <c r="E6" s="884">
        <f t="shared" ref="E6:E38" si="0">SUM(B6:D6)</f>
        <v>2219.8000000000002</v>
      </c>
      <c r="F6" s="883">
        <v>1126</v>
      </c>
      <c r="G6" s="883">
        <v>1384.1</v>
      </c>
      <c r="H6" s="883">
        <v>2891</v>
      </c>
      <c r="I6" s="883">
        <v>944.6</v>
      </c>
      <c r="J6" s="883">
        <v>1182</v>
      </c>
      <c r="K6" s="885">
        <f t="shared" ref="K6:K36" si="1">SUM(F6:J6)</f>
        <v>7527.7000000000007</v>
      </c>
      <c r="L6" s="886">
        <f t="shared" ref="L6:L36" si="2">E6+K6</f>
        <v>9747.5</v>
      </c>
    </row>
    <row r="7" spans="1:12">
      <c r="A7" s="452">
        <v>1977</v>
      </c>
      <c r="B7" s="883">
        <v>690.8</v>
      </c>
      <c r="C7" s="883">
        <v>548.79999999999995</v>
      </c>
      <c r="D7" s="883">
        <v>1020.3</v>
      </c>
      <c r="E7" s="885">
        <f t="shared" si="0"/>
        <v>2259.8999999999996</v>
      </c>
      <c r="F7" s="883">
        <v>1069.2</v>
      </c>
      <c r="G7" s="883">
        <v>1485.3</v>
      </c>
      <c r="H7" s="883">
        <v>2968.8</v>
      </c>
      <c r="I7" s="883">
        <v>941.5</v>
      </c>
      <c r="J7" s="883">
        <v>1192.4000000000001</v>
      </c>
      <c r="K7" s="885">
        <f t="shared" si="1"/>
        <v>7657.2000000000007</v>
      </c>
      <c r="L7" s="886">
        <f t="shared" si="2"/>
        <v>9917.1</v>
      </c>
    </row>
    <row r="8" spans="1:12">
      <c r="A8" s="452">
        <v>1978</v>
      </c>
      <c r="B8" s="883">
        <v>716.2</v>
      </c>
      <c r="C8" s="883">
        <v>564.9</v>
      </c>
      <c r="D8" s="883">
        <v>989.8</v>
      </c>
      <c r="E8" s="885">
        <f t="shared" si="0"/>
        <v>2270.8999999999996</v>
      </c>
      <c r="F8" s="883">
        <v>841.2</v>
      </c>
      <c r="G8" s="883">
        <v>1611.7</v>
      </c>
      <c r="H8" s="883">
        <v>3243.1</v>
      </c>
      <c r="I8" s="883">
        <v>987.6</v>
      </c>
      <c r="J8" s="883">
        <v>1265.8</v>
      </c>
      <c r="K8" s="885">
        <f t="shared" si="1"/>
        <v>7949.4000000000005</v>
      </c>
      <c r="L8" s="886">
        <f t="shared" si="2"/>
        <v>10220.299999999999</v>
      </c>
    </row>
    <row r="9" spans="1:12">
      <c r="A9" s="452">
        <v>1979</v>
      </c>
      <c r="B9" s="883">
        <v>798.3</v>
      </c>
      <c r="C9" s="883">
        <v>606.5</v>
      </c>
      <c r="D9" s="883">
        <v>1012.7</v>
      </c>
      <c r="E9" s="885">
        <f t="shared" si="0"/>
        <v>2417.5</v>
      </c>
      <c r="F9" s="883">
        <v>752.6</v>
      </c>
      <c r="G9" s="883">
        <v>1633.2</v>
      </c>
      <c r="H9" s="883">
        <v>3410.6</v>
      </c>
      <c r="I9" s="883">
        <v>1063.4000000000001</v>
      </c>
      <c r="J9" s="883">
        <v>1391.2</v>
      </c>
      <c r="K9" s="885">
        <f t="shared" si="1"/>
        <v>8251</v>
      </c>
      <c r="L9" s="886">
        <f t="shared" si="2"/>
        <v>10668.5</v>
      </c>
    </row>
    <row r="10" spans="1:12">
      <c r="A10" s="452">
        <v>1980</v>
      </c>
      <c r="B10" s="883">
        <v>814.6</v>
      </c>
      <c r="C10" s="883">
        <v>654.1</v>
      </c>
      <c r="D10" s="883">
        <v>1134.4000000000001</v>
      </c>
      <c r="E10" s="885">
        <f t="shared" si="0"/>
        <v>2603.1000000000004</v>
      </c>
      <c r="F10" s="883">
        <v>1023.6</v>
      </c>
      <c r="G10" s="883">
        <v>1648</v>
      </c>
      <c r="H10" s="883">
        <v>3276.4</v>
      </c>
      <c r="I10" s="883">
        <v>1058.0999999999999</v>
      </c>
      <c r="J10" s="883">
        <v>1374.8</v>
      </c>
      <c r="K10" s="885">
        <f t="shared" si="1"/>
        <v>8380.9</v>
      </c>
      <c r="L10" s="886">
        <f t="shared" si="2"/>
        <v>10984</v>
      </c>
    </row>
    <row r="11" spans="1:12">
      <c r="A11" s="452">
        <v>1981</v>
      </c>
      <c r="B11" s="883">
        <v>850.5</v>
      </c>
      <c r="C11" s="883">
        <v>690.1</v>
      </c>
      <c r="D11" s="883">
        <v>1266.2</v>
      </c>
      <c r="E11" s="885">
        <f t="shared" si="0"/>
        <v>2806.8</v>
      </c>
      <c r="F11" s="883">
        <v>1373.6</v>
      </c>
      <c r="G11" s="883">
        <v>1633.9</v>
      </c>
      <c r="H11" s="883">
        <v>3070.6</v>
      </c>
      <c r="I11" s="883">
        <v>1050.8</v>
      </c>
      <c r="J11" s="883">
        <v>1369.2</v>
      </c>
      <c r="K11" s="885">
        <f t="shared" si="1"/>
        <v>8498.1</v>
      </c>
      <c r="L11" s="886">
        <f t="shared" si="2"/>
        <v>11304.900000000001</v>
      </c>
    </row>
    <row r="12" spans="1:12">
      <c r="A12" s="452">
        <v>1982</v>
      </c>
      <c r="B12" s="883">
        <v>786.9</v>
      </c>
      <c r="C12" s="883">
        <v>724.8</v>
      </c>
      <c r="D12" s="883">
        <v>1299</v>
      </c>
      <c r="E12" s="885">
        <f t="shared" si="0"/>
        <v>2810.7</v>
      </c>
      <c r="F12" s="883">
        <v>1164.0999999999999</v>
      </c>
      <c r="G12" s="883">
        <v>1714.6</v>
      </c>
      <c r="H12" s="883">
        <v>3017.1</v>
      </c>
      <c r="I12" s="883">
        <v>949.1</v>
      </c>
      <c r="J12" s="883">
        <v>1288.0999999999999</v>
      </c>
      <c r="K12" s="885">
        <f t="shared" si="1"/>
        <v>8133</v>
      </c>
      <c r="L12" s="886">
        <f t="shared" si="2"/>
        <v>10943.7</v>
      </c>
    </row>
    <row r="13" spans="1:12">
      <c r="A13" s="452">
        <v>1983</v>
      </c>
      <c r="B13" s="883">
        <v>813.2</v>
      </c>
      <c r="C13" s="883">
        <v>778.7</v>
      </c>
      <c r="D13" s="883">
        <v>1247.2</v>
      </c>
      <c r="E13" s="885">
        <f t="shared" si="0"/>
        <v>2839.1000000000004</v>
      </c>
      <c r="F13" s="883">
        <v>1073.5</v>
      </c>
      <c r="G13" s="883">
        <v>1720.6</v>
      </c>
      <c r="H13" s="883">
        <v>3018.3</v>
      </c>
      <c r="I13" s="883">
        <v>1002.3</v>
      </c>
      <c r="J13" s="883">
        <v>1368.2</v>
      </c>
      <c r="K13" s="885">
        <f t="shared" si="1"/>
        <v>8182.9</v>
      </c>
      <c r="L13" s="886">
        <f t="shared" si="2"/>
        <v>11022</v>
      </c>
    </row>
    <row r="14" spans="1:12">
      <c r="A14" s="452">
        <v>1984</v>
      </c>
      <c r="B14" s="883">
        <v>872.1</v>
      </c>
      <c r="C14" s="883">
        <v>776.4</v>
      </c>
      <c r="D14" s="883">
        <v>1274.4000000000001</v>
      </c>
      <c r="E14" s="885">
        <f t="shared" si="0"/>
        <v>2922.9</v>
      </c>
      <c r="F14" s="883">
        <v>1032.5</v>
      </c>
      <c r="G14" s="883">
        <v>1729.3</v>
      </c>
      <c r="H14" s="883">
        <v>3099.1</v>
      </c>
      <c r="I14" s="883">
        <v>1067.2</v>
      </c>
      <c r="J14" s="883">
        <v>1450.7</v>
      </c>
      <c r="K14" s="885">
        <f t="shared" si="1"/>
        <v>8378.7999999999993</v>
      </c>
      <c r="L14" s="886">
        <f t="shared" si="2"/>
        <v>11301.699999999999</v>
      </c>
    </row>
    <row r="15" spans="1:12">
      <c r="A15" s="452">
        <v>1985</v>
      </c>
      <c r="B15" s="883">
        <v>863.3</v>
      </c>
      <c r="C15" s="883">
        <v>793.9</v>
      </c>
      <c r="D15" s="883">
        <v>1332.6</v>
      </c>
      <c r="E15" s="885">
        <f t="shared" si="0"/>
        <v>2989.7999999999997</v>
      </c>
      <c r="F15" s="883">
        <v>1084.7</v>
      </c>
      <c r="G15" s="883">
        <v>1692.1</v>
      </c>
      <c r="H15" s="883">
        <v>3149.9</v>
      </c>
      <c r="I15" s="883">
        <v>1130</v>
      </c>
      <c r="J15" s="883">
        <v>1580.9</v>
      </c>
      <c r="K15" s="885">
        <f t="shared" si="1"/>
        <v>8637.6</v>
      </c>
      <c r="L15" s="886">
        <f t="shared" si="2"/>
        <v>11627.4</v>
      </c>
    </row>
    <row r="16" spans="1:12">
      <c r="A16" s="452">
        <v>1986</v>
      </c>
      <c r="B16" s="883">
        <v>896.1</v>
      </c>
      <c r="C16" s="883">
        <v>789.9</v>
      </c>
      <c r="D16" s="883">
        <v>1393.3</v>
      </c>
      <c r="E16" s="885">
        <f t="shared" si="0"/>
        <v>3079.3</v>
      </c>
      <c r="F16" s="883">
        <v>1105.7</v>
      </c>
      <c r="G16" s="883">
        <v>1736</v>
      </c>
      <c r="H16" s="883">
        <v>3269.5</v>
      </c>
      <c r="I16" s="883">
        <v>1175.0999999999999</v>
      </c>
      <c r="J16" s="883">
        <v>1621.1</v>
      </c>
      <c r="K16" s="885">
        <f t="shared" si="1"/>
        <v>8907.4</v>
      </c>
      <c r="L16" s="886">
        <f t="shared" si="2"/>
        <v>11986.7</v>
      </c>
    </row>
    <row r="17" spans="1:12">
      <c r="A17" s="452">
        <v>1987</v>
      </c>
      <c r="B17" s="883">
        <v>931.7</v>
      </c>
      <c r="C17" s="883">
        <v>786.2</v>
      </c>
      <c r="D17" s="883">
        <v>1473.7</v>
      </c>
      <c r="E17" s="885">
        <f t="shared" si="0"/>
        <v>3191.6000000000004</v>
      </c>
      <c r="F17" s="883">
        <v>1423</v>
      </c>
      <c r="G17" s="883">
        <v>1671.8</v>
      </c>
      <c r="H17" s="883">
        <v>3160.5</v>
      </c>
      <c r="I17" s="883">
        <v>1183.4000000000001</v>
      </c>
      <c r="J17" s="883">
        <v>1702.8</v>
      </c>
      <c r="K17" s="885">
        <f t="shared" si="1"/>
        <v>9141.5</v>
      </c>
      <c r="L17" s="886">
        <f t="shared" si="2"/>
        <v>12333.1</v>
      </c>
    </row>
    <row r="18" spans="1:12">
      <c r="A18" s="452">
        <v>1988</v>
      </c>
      <c r="B18" s="883">
        <v>920.3</v>
      </c>
      <c r="C18" s="883">
        <v>810.4</v>
      </c>
      <c r="D18" s="883">
        <v>1455.6</v>
      </c>
      <c r="E18" s="885">
        <f t="shared" si="0"/>
        <v>3186.2999999999997</v>
      </c>
      <c r="F18" s="883">
        <v>1164.0999999999999</v>
      </c>
      <c r="G18" s="883">
        <v>1744.3</v>
      </c>
      <c r="H18" s="883">
        <v>3433.4</v>
      </c>
      <c r="I18" s="883">
        <v>1298.4000000000001</v>
      </c>
      <c r="J18" s="883">
        <v>1883</v>
      </c>
      <c r="K18" s="885">
        <f t="shared" si="1"/>
        <v>9523.1999999999989</v>
      </c>
      <c r="L18" s="886">
        <f t="shared" si="2"/>
        <v>12709.499999999998</v>
      </c>
    </row>
    <row r="19" spans="1:12">
      <c r="A19" s="452">
        <v>1989</v>
      </c>
      <c r="B19" s="883">
        <v>930.6</v>
      </c>
      <c r="C19" s="883">
        <v>783.2</v>
      </c>
      <c r="D19" s="883">
        <v>1433.3</v>
      </c>
      <c r="E19" s="885">
        <f t="shared" si="0"/>
        <v>3147.1000000000004</v>
      </c>
      <c r="F19" s="883">
        <v>837.7</v>
      </c>
      <c r="G19" s="883">
        <v>1891</v>
      </c>
      <c r="H19" s="883">
        <v>3743.6</v>
      </c>
      <c r="I19" s="883">
        <v>1395.6</v>
      </c>
      <c r="J19" s="883">
        <v>1981.2</v>
      </c>
      <c r="K19" s="885">
        <f t="shared" si="1"/>
        <v>9849.1</v>
      </c>
      <c r="L19" s="886">
        <f t="shared" si="2"/>
        <v>12996.2</v>
      </c>
    </row>
    <row r="20" spans="1:12">
      <c r="A20" s="452">
        <v>1990</v>
      </c>
      <c r="B20" s="883">
        <v>1042.7</v>
      </c>
      <c r="C20" s="883">
        <v>813.5</v>
      </c>
      <c r="D20" s="883">
        <v>1478.3</v>
      </c>
      <c r="E20" s="885">
        <f t="shared" si="0"/>
        <v>3334.5</v>
      </c>
      <c r="F20" s="883">
        <v>919.6</v>
      </c>
      <c r="G20" s="883">
        <v>1864.6</v>
      </c>
      <c r="H20" s="883">
        <v>3672</v>
      </c>
      <c r="I20" s="883">
        <v>1335.7</v>
      </c>
      <c r="J20" s="883">
        <v>1960</v>
      </c>
      <c r="K20" s="885">
        <f t="shared" si="1"/>
        <v>9751.9</v>
      </c>
      <c r="L20" s="886">
        <f t="shared" si="2"/>
        <v>13086.4</v>
      </c>
    </row>
    <row r="21" spans="1:12">
      <c r="A21" s="452">
        <v>1991</v>
      </c>
      <c r="B21" s="883">
        <v>1005</v>
      </c>
      <c r="C21" s="883">
        <v>876.9</v>
      </c>
      <c r="D21" s="883">
        <v>1566.4</v>
      </c>
      <c r="E21" s="885">
        <f t="shared" si="0"/>
        <v>3448.3</v>
      </c>
      <c r="F21" s="883">
        <v>1184.0999999999999</v>
      </c>
      <c r="G21" s="883">
        <v>1822.1</v>
      </c>
      <c r="H21" s="883">
        <v>3393.7</v>
      </c>
      <c r="I21" s="883">
        <v>1191</v>
      </c>
      <c r="J21" s="883">
        <v>1818.2</v>
      </c>
      <c r="K21" s="885">
        <f t="shared" si="1"/>
        <v>9409.1</v>
      </c>
      <c r="L21" s="886">
        <f t="shared" si="2"/>
        <v>12857.400000000001</v>
      </c>
    </row>
    <row r="22" spans="1:12">
      <c r="A22" s="452">
        <v>1992</v>
      </c>
      <c r="B22" s="883">
        <v>1014.4</v>
      </c>
      <c r="C22" s="883">
        <v>905.4</v>
      </c>
      <c r="D22" s="883">
        <v>1640</v>
      </c>
      <c r="E22" s="885">
        <f t="shared" si="0"/>
        <v>3559.8</v>
      </c>
      <c r="F22" s="883">
        <v>1482.5</v>
      </c>
      <c r="G22" s="883">
        <v>1711.5</v>
      </c>
      <c r="H22" s="883">
        <v>3098.9</v>
      </c>
      <c r="I22" s="883">
        <v>1115.2</v>
      </c>
      <c r="J22" s="883">
        <v>1762.9</v>
      </c>
      <c r="K22" s="885">
        <f t="shared" si="1"/>
        <v>9171</v>
      </c>
      <c r="L22" s="886">
        <f t="shared" si="2"/>
        <v>12730.8</v>
      </c>
    </row>
    <row r="23" spans="1:12">
      <c r="A23" s="452">
        <v>1993</v>
      </c>
      <c r="B23" s="883">
        <v>958.9</v>
      </c>
      <c r="C23" s="883">
        <v>930.2</v>
      </c>
      <c r="D23" s="883">
        <v>1669.5</v>
      </c>
      <c r="E23" s="885">
        <f t="shared" si="0"/>
        <v>3558.6</v>
      </c>
      <c r="F23" s="883">
        <v>1307.5</v>
      </c>
      <c r="G23" s="883">
        <v>1704.8</v>
      </c>
      <c r="H23" s="883">
        <v>3149.3</v>
      </c>
      <c r="I23" s="883">
        <v>1177.4000000000001</v>
      </c>
      <c r="J23" s="883">
        <v>1895.2</v>
      </c>
      <c r="K23" s="885">
        <f t="shared" si="1"/>
        <v>9234.2000000000007</v>
      </c>
      <c r="L23" s="886">
        <f t="shared" si="2"/>
        <v>12792.800000000001</v>
      </c>
    </row>
    <row r="24" spans="1:12">
      <c r="A24" s="452">
        <v>1994</v>
      </c>
      <c r="B24" s="883">
        <v>963.7</v>
      </c>
      <c r="C24" s="883">
        <v>903.8</v>
      </c>
      <c r="D24" s="883">
        <v>1640.4</v>
      </c>
      <c r="E24" s="885">
        <f t="shared" si="0"/>
        <v>3507.9</v>
      </c>
      <c r="F24" s="883">
        <v>1205.0999999999999</v>
      </c>
      <c r="G24" s="883">
        <v>1792.3</v>
      </c>
      <c r="H24" s="883">
        <v>3284.3</v>
      </c>
      <c r="I24" s="883">
        <v>1251.9000000000001</v>
      </c>
      <c r="J24" s="883">
        <v>2017.3</v>
      </c>
      <c r="K24" s="885">
        <f t="shared" si="1"/>
        <v>9550.9</v>
      </c>
      <c r="L24" s="886">
        <f t="shared" si="2"/>
        <v>13058.8</v>
      </c>
    </row>
    <row r="25" spans="1:12">
      <c r="A25" s="452">
        <v>1995</v>
      </c>
      <c r="B25" s="883">
        <v>982.2</v>
      </c>
      <c r="C25" s="883">
        <v>905</v>
      </c>
      <c r="D25" s="883">
        <v>1684.8</v>
      </c>
      <c r="E25" s="885">
        <f t="shared" si="0"/>
        <v>3572</v>
      </c>
      <c r="F25" s="883">
        <v>1368</v>
      </c>
      <c r="G25" s="883">
        <v>1752.9</v>
      </c>
      <c r="H25" s="883">
        <v>3363.5</v>
      </c>
      <c r="I25" s="883">
        <v>1239.9000000000001</v>
      </c>
      <c r="J25" s="883">
        <v>1999.1</v>
      </c>
      <c r="K25" s="885">
        <f t="shared" si="1"/>
        <v>9723.4</v>
      </c>
      <c r="L25" s="886">
        <f t="shared" si="2"/>
        <v>13295.4</v>
      </c>
    </row>
    <row r="26" spans="1:12">
      <c r="A26" s="452">
        <v>1996</v>
      </c>
      <c r="B26" s="883">
        <v>997.3</v>
      </c>
      <c r="C26" s="883">
        <v>911.4</v>
      </c>
      <c r="D26" s="883">
        <v>1688.2</v>
      </c>
      <c r="E26" s="885">
        <f t="shared" si="0"/>
        <v>3596.8999999999996</v>
      </c>
      <c r="F26" s="883">
        <v>1223.5</v>
      </c>
      <c r="G26" s="883">
        <v>1765.9</v>
      </c>
      <c r="H26" s="883">
        <v>3430.2</v>
      </c>
      <c r="I26" s="883">
        <v>1291.5999999999999</v>
      </c>
      <c r="J26" s="883">
        <v>2113.4</v>
      </c>
      <c r="K26" s="885">
        <f t="shared" si="1"/>
        <v>9824.6</v>
      </c>
      <c r="L26" s="886">
        <f t="shared" si="2"/>
        <v>13421.5</v>
      </c>
    </row>
    <row r="27" spans="1:12">
      <c r="A27" s="452">
        <v>1997</v>
      </c>
      <c r="B27" s="883">
        <v>1061.0999999999999</v>
      </c>
      <c r="C27" s="883">
        <v>918.9</v>
      </c>
      <c r="D27" s="883">
        <v>1742</v>
      </c>
      <c r="E27" s="885">
        <f t="shared" si="0"/>
        <v>3722</v>
      </c>
      <c r="F27" s="883">
        <v>1185.5999999999999</v>
      </c>
      <c r="G27" s="883">
        <v>1918.2</v>
      </c>
      <c r="H27" s="883">
        <v>3258.5</v>
      </c>
      <c r="I27" s="883">
        <v>1490.9</v>
      </c>
      <c r="J27" s="883">
        <v>2130.9</v>
      </c>
      <c r="K27" s="885">
        <f t="shared" si="1"/>
        <v>9984.1</v>
      </c>
      <c r="L27" s="886">
        <f t="shared" si="2"/>
        <v>13706.1</v>
      </c>
    </row>
    <row r="28" spans="1:12">
      <c r="A28" s="452">
        <v>1998</v>
      </c>
      <c r="B28" s="883">
        <v>1119.4000000000001</v>
      </c>
      <c r="C28" s="883">
        <v>922.1</v>
      </c>
      <c r="D28" s="883">
        <v>1854.9</v>
      </c>
      <c r="E28" s="885">
        <f t="shared" si="0"/>
        <v>3896.4</v>
      </c>
      <c r="F28" s="883">
        <v>1334.4</v>
      </c>
      <c r="G28" s="883">
        <v>1921.6</v>
      </c>
      <c r="H28" s="883">
        <v>3252.1</v>
      </c>
      <c r="I28" s="883">
        <v>1524.5</v>
      </c>
      <c r="J28" s="883">
        <v>2117.1</v>
      </c>
      <c r="K28" s="885">
        <f t="shared" si="1"/>
        <v>10149.700000000001</v>
      </c>
      <c r="L28" s="886">
        <f t="shared" si="2"/>
        <v>14046.1</v>
      </c>
    </row>
    <row r="29" spans="1:12">
      <c r="A29" s="452">
        <v>1999</v>
      </c>
      <c r="B29" s="883">
        <v>1088.4000000000001</v>
      </c>
      <c r="C29" s="883">
        <v>913</v>
      </c>
      <c r="D29" s="883">
        <v>1876.4</v>
      </c>
      <c r="E29" s="885">
        <f t="shared" si="0"/>
        <v>3877.8</v>
      </c>
      <c r="F29" s="883">
        <v>1306.7</v>
      </c>
      <c r="G29" s="883">
        <v>2033.2</v>
      </c>
      <c r="H29" s="883">
        <v>3435.9</v>
      </c>
      <c r="I29" s="883">
        <v>1583.1</v>
      </c>
      <c r="J29" s="883">
        <v>2169.9</v>
      </c>
      <c r="K29" s="885">
        <f t="shared" si="1"/>
        <v>10528.8</v>
      </c>
      <c r="L29" s="886">
        <f t="shared" si="2"/>
        <v>14406.599999999999</v>
      </c>
    </row>
    <row r="30" spans="1:12">
      <c r="A30" s="452">
        <v>2000</v>
      </c>
      <c r="B30" s="883">
        <v>1099.5</v>
      </c>
      <c r="C30" s="883">
        <v>916.6</v>
      </c>
      <c r="D30" s="883">
        <v>1854.8</v>
      </c>
      <c r="E30" s="885">
        <f t="shared" si="0"/>
        <v>3870.8999999999996</v>
      </c>
      <c r="F30" s="883">
        <v>1165.7</v>
      </c>
      <c r="G30" s="883">
        <v>2169.1999999999998</v>
      </c>
      <c r="H30" s="883">
        <v>3645.7</v>
      </c>
      <c r="I30" s="883">
        <v>1693.7</v>
      </c>
      <c r="J30" s="883">
        <v>2219.1</v>
      </c>
      <c r="K30" s="885">
        <f t="shared" si="1"/>
        <v>10893.4</v>
      </c>
      <c r="L30" s="886">
        <f t="shared" si="2"/>
        <v>14764.3</v>
      </c>
    </row>
    <row r="31" spans="1:12">
      <c r="A31" s="452">
        <v>2001</v>
      </c>
      <c r="B31" s="883">
        <v>1177</v>
      </c>
      <c r="C31" s="883">
        <v>939.9</v>
      </c>
      <c r="D31" s="883">
        <v>2020.7</v>
      </c>
      <c r="E31" s="885">
        <f t="shared" si="0"/>
        <v>4137.6000000000004</v>
      </c>
      <c r="F31" s="883">
        <v>1474.1</v>
      </c>
      <c r="G31" s="883">
        <v>2139.1</v>
      </c>
      <c r="H31" s="883">
        <v>3418.3</v>
      </c>
      <c r="I31" s="883">
        <v>1696.1</v>
      </c>
      <c r="J31" s="883">
        <v>2080.9</v>
      </c>
      <c r="K31" s="885">
        <f t="shared" si="1"/>
        <v>10808.5</v>
      </c>
      <c r="L31" s="886">
        <f t="shared" si="2"/>
        <v>14946.1</v>
      </c>
    </row>
    <row r="32" spans="1:12">
      <c r="A32" s="452">
        <v>2002</v>
      </c>
      <c r="B32" s="883">
        <v>1223.7</v>
      </c>
      <c r="C32" s="883">
        <v>1011.2</v>
      </c>
      <c r="D32" s="883">
        <v>2108.6999999999998</v>
      </c>
      <c r="E32" s="885">
        <f t="shared" si="0"/>
        <v>4343.6000000000004</v>
      </c>
      <c r="F32" s="883">
        <v>1526.4</v>
      </c>
      <c r="G32" s="883">
        <v>2176.9</v>
      </c>
      <c r="H32" s="883">
        <v>3349.1</v>
      </c>
      <c r="I32" s="883">
        <v>1818.8</v>
      </c>
      <c r="J32" s="883">
        <v>2095.5</v>
      </c>
      <c r="K32" s="885">
        <f t="shared" si="1"/>
        <v>10966.699999999999</v>
      </c>
      <c r="L32" s="886">
        <f t="shared" si="2"/>
        <v>15310.3</v>
      </c>
    </row>
    <row r="33" spans="1:12">
      <c r="A33" s="452">
        <v>2003</v>
      </c>
      <c r="B33" s="883">
        <v>1283.2</v>
      </c>
      <c r="C33" s="883">
        <v>1062.4000000000001</v>
      </c>
      <c r="D33" s="883">
        <v>2291.4</v>
      </c>
      <c r="E33" s="885">
        <f t="shared" si="0"/>
        <v>4637</v>
      </c>
      <c r="F33" s="883">
        <v>1882.8</v>
      </c>
      <c r="G33" s="883">
        <v>2134.5</v>
      </c>
      <c r="H33" s="883">
        <v>3261.2</v>
      </c>
      <c r="I33" s="883">
        <v>1743.6</v>
      </c>
      <c r="J33" s="883">
        <v>2013.3</v>
      </c>
      <c r="K33" s="885">
        <f t="shared" si="1"/>
        <v>11035.4</v>
      </c>
      <c r="L33" s="886">
        <f t="shared" si="2"/>
        <v>15672.4</v>
      </c>
    </row>
    <row r="34" spans="1:12">
      <c r="A34" s="452">
        <v>2004</v>
      </c>
      <c r="B34" s="883">
        <v>1283</v>
      </c>
      <c r="C34" s="883">
        <v>1036.9000000000001</v>
      </c>
      <c r="D34" s="883">
        <v>2297.4</v>
      </c>
      <c r="E34" s="885">
        <f t="shared" si="0"/>
        <v>4617.3</v>
      </c>
      <c r="F34" s="883">
        <v>1736.8</v>
      </c>
      <c r="G34" s="883">
        <v>2233.6</v>
      </c>
      <c r="H34" s="883">
        <v>3429.5</v>
      </c>
      <c r="I34" s="883">
        <v>1800.3</v>
      </c>
      <c r="J34" s="883">
        <v>2129.5</v>
      </c>
      <c r="K34" s="885">
        <f t="shared" si="1"/>
        <v>11329.699999999999</v>
      </c>
      <c r="L34" s="886">
        <f t="shared" si="2"/>
        <v>15947</v>
      </c>
    </row>
    <row r="35" spans="1:12">
      <c r="A35" s="452">
        <v>2005</v>
      </c>
      <c r="B35" s="883">
        <v>1307.8</v>
      </c>
      <c r="C35" s="883">
        <v>1023.5</v>
      </c>
      <c r="D35" s="883">
        <v>2245.1999999999998</v>
      </c>
      <c r="E35" s="885">
        <f t="shared" si="0"/>
        <v>4576.5</v>
      </c>
      <c r="F35" s="883">
        <v>1644.9</v>
      </c>
      <c r="G35" s="883">
        <v>2326.4</v>
      </c>
      <c r="H35" s="883">
        <v>3458.5</v>
      </c>
      <c r="I35" s="883">
        <v>1943.4</v>
      </c>
      <c r="J35" s="883">
        <v>2220.1</v>
      </c>
      <c r="K35" s="885">
        <f t="shared" si="1"/>
        <v>11593.300000000001</v>
      </c>
      <c r="L35" s="722">
        <f t="shared" si="2"/>
        <v>16169.800000000001</v>
      </c>
    </row>
    <row r="36" spans="1:12">
      <c r="A36" s="452">
        <v>2006</v>
      </c>
      <c r="B36" s="883">
        <v>1350</v>
      </c>
      <c r="C36" s="883">
        <v>1041.0999999999999</v>
      </c>
      <c r="D36" s="883">
        <v>2343</v>
      </c>
      <c r="E36" s="885">
        <f t="shared" si="0"/>
        <v>4734.1000000000004</v>
      </c>
      <c r="F36" s="883">
        <v>1844</v>
      </c>
      <c r="G36" s="883">
        <v>2284.3000000000002</v>
      </c>
      <c r="H36" s="883">
        <v>3538.8</v>
      </c>
      <c r="I36" s="883">
        <v>1894.9</v>
      </c>
      <c r="J36" s="883">
        <v>2188.1999999999998</v>
      </c>
      <c r="K36" s="885">
        <f t="shared" si="1"/>
        <v>11750.2</v>
      </c>
      <c r="L36" s="722">
        <f t="shared" si="2"/>
        <v>16484.300000000003</v>
      </c>
    </row>
    <row r="37" spans="1:12" s="703" customFormat="1">
      <c r="A37" s="452">
        <v>2007</v>
      </c>
      <c r="B37" s="883">
        <v>1449.3</v>
      </c>
      <c r="C37" s="883">
        <v>1071.5</v>
      </c>
      <c r="D37" s="883">
        <v>2322.9</v>
      </c>
      <c r="E37" s="885">
        <f t="shared" si="0"/>
        <v>4843.7000000000007</v>
      </c>
      <c r="F37" s="883">
        <v>1642.4</v>
      </c>
      <c r="G37" s="883">
        <v>2408.6</v>
      </c>
      <c r="H37" s="883">
        <v>3717.1</v>
      </c>
      <c r="I37" s="883">
        <v>1964.3</v>
      </c>
      <c r="J37" s="883">
        <v>2290.3000000000002</v>
      </c>
      <c r="K37" s="885">
        <f>SUM(F37:J37)</f>
        <v>12022.7</v>
      </c>
      <c r="L37" s="722">
        <f>E37+K37</f>
        <v>16866.400000000001</v>
      </c>
    </row>
    <row r="38" spans="1:12" s="703" customFormat="1">
      <c r="A38" s="452">
        <v>2008</v>
      </c>
      <c r="B38" s="883">
        <v>1447.5</v>
      </c>
      <c r="C38" s="883">
        <v>1129.8</v>
      </c>
      <c r="D38" s="883">
        <v>2413.5</v>
      </c>
      <c r="E38" s="885">
        <f t="shared" si="0"/>
        <v>4990.8</v>
      </c>
      <c r="F38" s="883">
        <v>1803.4</v>
      </c>
      <c r="G38" s="883">
        <v>2422.6</v>
      </c>
      <c r="H38" s="883">
        <v>3731.6</v>
      </c>
      <c r="I38" s="883">
        <v>1970.4</v>
      </c>
      <c r="J38" s="883">
        <v>2207</v>
      </c>
      <c r="K38" s="885">
        <f>SUM(F38:J38)</f>
        <v>12135</v>
      </c>
      <c r="L38" s="722">
        <f>E38+K38</f>
        <v>17125.8</v>
      </c>
    </row>
    <row r="39" spans="1:12" s="703" customFormat="1" ht="15">
      <c r="A39" s="452"/>
      <c r="B39" s="887"/>
    </row>
    <row r="40" spans="1:12">
      <c r="A40" s="452" t="s">
        <v>1716</v>
      </c>
      <c r="B40" s="708">
        <f>(POWER(B38/B6, 1/32)-1)*100</f>
        <v>2.3031791744741126</v>
      </c>
      <c r="C40" s="708">
        <f t="shared" ref="C40:L40" si="3">(POWER(C38/C6, 1/32)-1)*100</f>
        <v>2.4817471151130199</v>
      </c>
      <c r="D40" s="708">
        <f t="shared" si="3"/>
        <v>2.7733680172026043</v>
      </c>
      <c r="E40" s="708">
        <f t="shared" si="3"/>
        <v>2.5641322446251724</v>
      </c>
      <c r="F40" s="708">
        <f t="shared" si="3"/>
        <v>1.482767532402085</v>
      </c>
      <c r="G40" s="708">
        <f t="shared" si="3"/>
        <v>1.7647383082807666</v>
      </c>
      <c r="H40" s="708">
        <f t="shared" si="3"/>
        <v>0.80079759669047235</v>
      </c>
      <c r="I40" s="708">
        <f t="shared" si="3"/>
        <v>2.3241926744508312</v>
      </c>
      <c r="J40" s="708">
        <f t="shared" si="3"/>
        <v>1.9704948229681607</v>
      </c>
      <c r="K40" s="708">
        <f t="shared" si="3"/>
        <v>1.5033898048795624</v>
      </c>
      <c r="L40" s="708">
        <f t="shared" si="3"/>
        <v>1.7767727695390478</v>
      </c>
    </row>
    <row r="41" spans="1:12">
      <c r="A41" s="452" t="s">
        <v>1707</v>
      </c>
      <c r="B41" s="708">
        <f>(POWER(B38/B11, 1/27)-1)*100</f>
        <v>1.989036951522194</v>
      </c>
      <c r="C41" s="708">
        <f t="shared" ref="C41:L41" si="4">(POWER(C38/C11, 1/27)-1)*100</f>
        <v>1.8425447011430007</v>
      </c>
      <c r="D41" s="708">
        <f t="shared" si="4"/>
        <v>2.4178702389845208</v>
      </c>
      <c r="E41" s="708">
        <f t="shared" si="4"/>
        <v>2.1545534215374307</v>
      </c>
      <c r="F41" s="708">
        <f t="shared" si="4"/>
        <v>1.0133920230761539</v>
      </c>
      <c r="G41" s="708">
        <f t="shared" si="4"/>
        <v>1.469475688455435</v>
      </c>
      <c r="H41" s="708">
        <f t="shared" si="4"/>
        <v>0.72470266191901889</v>
      </c>
      <c r="I41" s="708">
        <f t="shared" si="4"/>
        <v>2.3557824977678443</v>
      </c>
      <c r="J41" s="708">
        <f t="shared" si="4"/>
        <v>1.7839006987803163</v>
      </c>
      <c r="K41" s="708">
        <f t="shared" si="4"/>
        <v>1.3281921400581043</v>
      </c>
      <c r="L41" s="708">
        <f t="shared" si="4"/>
        <v>1.5502259802343765</v>
      </c>
    </row>
    <row r="43" spans="1:12" ht="24.75" customHeight="1">
      <c r="A43" s="1300" t="s">
        <v>1127</v>
      </c>
      <c r="B43" s="1301"/>
      <c r="C43" s="1301"/>
      <c r="D43" s="1301"/>
      <c r="E43" s="1301"/>
      <c r="F43" s="1301"/>
      <c r="G43" s="1301"/>
      <c r="H43" s="1301"/>
      <c r="I43" s="1301"/>
      <c r="J43" s="1301"/>
      <c r="K43" s="1301"/>
      <c r="L43" s="1301"/>
    </row>
    <row r="44" spans="1:12">
      <c r="A44" s="449" t="s">
        <v>1830</v>
      </c>
    </row>
    <row r="48" spans="1:12">
      <c r="A48" s="1" t="s">
        <v>1705</v>
      </c>
    </row>
    <row r="49" spans="1:9">
      <c r="A49" s="1"/>
    </row>
    <row r="50" spans="1:9">
      <c r="A50" s="1" t="s">
        <v>1665</v>
      </c>
    </row>
    <row r="51" spans="1:9">
      <c r="A51" s="1" t="s">
        <v>1708</v>
      </c>
    </row>
    <row r="52" spans="1:9">
      <c r="A52" s="1" t="s">
        <v>1709</v>
      </c>
    </row>
    <row r="53" spans="1:9">
      <c r="A53" s="1" t="s">
        <v>1710</v>
      </c>
    </row>
    <row r="54" spans="1:9">
      <c r="A54" s="1" t="s">
        <v>1711</v>
      </c>
    </row>
    <row r="55" spans="1:9">
      <c r="A55" s="1" t="s">
        <v>1712</v>
      </c>
    </row>
    <row r="56" spans="1:9">
      <c r="A56" s="1" t="s">
        <v>1713</v>
      </c>
    </row>
    <row r="57" spans="1:9">
      <c r="A57" s="1" t="s">
        <v>1714</v>
      </c>
    </row>
    <row r="58" spans="1:9">
      <c r="A58" s="1" t="s">
        <v>1715</v>
      </c>
    </row>
    <row r="59" spans="1:9">
      <c r="A59" s="1"/>
    </row>
    <row r="60" spans="1:9">
      <c r="A60" s="1" t="s">
        <v>1685</v>
      </c>
      <c r="B60" s="449" t="s">
        <v>1686</v>
      </c>
      <c r="C60" s="449" t="s">
        <v>1687</v>
      </c>
      <c r="D60" s="449" t="s">
        <v>1688</v>
      </c>
      <c r="E60" s="449" t="s">
        <v>1689</v>
      </c>
      <c r="F60" s="449" t="s">
        <v>1690</v>
      </c>
      <c r="G60" s="449" t="s">
        <v>1691</v>
      </c>
      <c r="H60" s="449" t="s">
        <v>1692</v>
      </c>
      <c r="I60" s="449" t="s">
        <v>1693</v>
      </c>
    </row>
    <row r="61" spans="1:9">
      <c r="A61" s="1"/>
    </row>
    <row r="62" spans="1:9">
      <c r="A62" s="1">
        <v>1976</v>
      </c>
      <c r="B62" s="449">
        <v>698500</v>
      </c>
      <c r="C62" s="449">
        <v>515600</v>
      </c>
      <c r="D62" s="449">
        <v>1005700</v>
      </c>
      <c r="E62" s="449">
        <v>1126000</v>
      </c>
      <c r="F62" s="449">
        <v>1384100</v>
      </c>
      <c r="G62" s="449">
        <v>2891000</v>
      </c>
      <c r="H62" s="449">
        <v>944600</v>
      </c>
      <c r="I62" s="449">
        <v>1182000</v>
      </c>
    </row>
    <row r="63" spans="1:9">
      <c r="A63" s="1">
        <v>1977</v>
      </c>
      <c r="B63" s="449">
        <v>690800</v>
      </c>
      <c r="C63" s="449">
        <v>548800</v>
      </c>
      <c r="D63" s="449">
        <v>1020300</v>
      </c>
      <c r="E63" s="449">
        <v>1069200</v>
      </c>
      <c r="F63" s="449">
        <v>1485300</v>
      </c>
      <c r="G63" s="449">
        <v>2968800</v>
      </c>
      <c r="H63" s="449">
        <v>941500</v>
      </c>
      <c r="I63" s="449">
        <v>1192400</v>
      </c>
    </row>
    <row r="64" spans="1:9">
      <c r="A64" s="1">
        <v>1978</v>
      </c>
      <c r="B64" s="449">
        <v>716200</v>
      </c>
      <c r="C64" s="449">
        <v>564900</v>
      </c>
      <c r="D64" s="449">
        <v>989800</v>
      </c>
      <c r="E64" s="449">
        <v>841200</v>
      </c>
      <c r="F64" s="449">
        <v>1611700</v>
      </c>
      <c r="G64" s="449">
        <v>3243100</v>
      </c>
      <c r="H64" s="449">
        <v>987600</v>
      </c>
      <c r="I64" s="449">
        <v>1265800</v>
      </c>
    </row>
    <row r="65" spans="1:9">
      <c r="A65" s="1">
        <v>1979</v>
      </c>
      <c r="B65" s="449">
        <v>798300</v>
      </c>
      <c r="C65" s="449">
        <v>606500</v>
      </c>
      <c r="D65" s="449">
        <v>1012700</v>
      </c>
      <c r="E65" s="449">
        <v>752600</v>
      </c>
      <c r="F65" s="449">
        <v>1633200</v>
      </c>
      <c r="G65" s="449">
        <v>3410600</v>
      </c>
      <c r="H65" s="449">
        <v>1063400</v>
      </c>
      <c r="I65" s="449">
        <v>1391200</v>
      </c>
    </row>
    <row r="66" spans="1:9">
      <c r="A66" s="1">
        <v>1980</v>
      </c>
      <c r="B66" s="449">
        <v>814600</v>
      </c>
      <c r="C66" s="449">
        <v>654100</v>
      </c>
      <c r="D66" s="449">
        <v>1134400</v>
      </c>
      <c r="E66" s="449">
        <v>1023600</v>
      </c>
      <c r="F66" s="449">
        <v>1648000</v>
      </c>
      <c r="G66" s="449">
        <v>3276400</v>
      </c>
      <c r="H66" s="449">
        <v>1058100</v>
      </c>
      <c r="I66" s="449">
        <v>1374800</v>
      </c>
    </row>
    <row r="67" spans="1:9">
      <c r="A67" s="1">
        <v>1981</v>
      </c>
      <c r="B67" s="449">
        <v>850500</v>
      </c>
      <c r="C67" s="449">
        <v>690100</v>
      </c>
      <c r="D67" s="449">
        <v>1266200</v>
      </c>
      <c r="E67" s="449">
        <v>1373600</v>
      </c>
      <c r="F67" s="449">
        <v>1633900</v>
      </c>
      <c r="G67" s="449">
        <v>3070600</v>
      </c>
      <c r="H67" s="449">
        <v>1050800</v>
      </c>
      <c r="I67" s="449">
        <v>1369200</v>
      </c>
    </row>
    <row r="68" spans="1:9">
      <c r="A68" s="1">
        <v>1982</v>
      </c>
      <c r="B68" s="449">
        <v>786900</v>
      </c>
      <c r="C68" s="449">
        <v>724800</v>
      </c>
      <c r="D68" s="449">
        <v>1299000</v>
      </c>
      <c r="E68" s="449">
        <v>1164100</v>
      </c>
      <c r="F68" s="449">
        <v>1714600</v>
      </c>
      <c r="G68" s="449">
        <v>3017100</v>
      </c>
      <c r="H68" s="449">
        <v>949100</v>
      </c>
      <c r="I68" s="449">
        <v>1288100</v>
      </c>
    </row>
    <row r="69" spans="1:9">
      <c r="A69" s="1">
        <v>1983</v>
      </c>
      <c r="B69" s="449">
        <v>813200</v>
      </c>
      <c r="C69" s="449">
        <v>778700</v>
      </c>
      <c r="D69" s="449">
        <v>1247200</v>
      </c>
      <c r="E69" s="449">
        <v>1073500</v>
      </c>
      <c r="F69" s="449">
        <v>1720600</v>
      </c>
      <c r="G69" s="449">
        <v>3018300</v>
      </c>
      <c r="H69" s="449">
        <v>1002300</v>
      </c>
      <c r="I69" s="449">
        <v>1368200</v>
      </c>
    </row>
    <row r="70" spans="1:9">
      <c r="A70" s="1">
        <v>1984</v>
      </c>
      <c r="B70" s="449">
        <v>872100</v>
      </c>
      <c r="C70" s="449">
        <v>776400</v>
      </c>
      <c r="D70" s="449">
        <v>1274400</v>
      </c>
      <c r="E70" s="449">
        <v>1032500</v>
      </c>
      <c r="F70" s="449">
        <v>1729300</v>
      </c>
      <c r="G70" s="449">
        <v>3099100</v>
      </c>
      <c r="H70" s="449">
        <v>1067200</v>
      </c>
      <c r="I70" s="449">
        <v>1450700</v>
      </c>
    </row>
    <row r="71" spans="1:9">
      <c r="A71" s="1">
        <v>1985</v>
      </c>
      <c r="B71" s="449">
        <v>863300</v>
      </c>
      <c r="C71" s="449">
        <v>793900</v>
      </c>
      <c r="D71" s="449">
        <v>1332600</v>
      </c>
      <c r="E71" s="449">
        <v>1084700</v>
      </c>
      <c r="F71" s="449">
        <v>1692100</v>
      </c>
      <c r="G71" s="449">
        <v>3149900</v>
      </c>
      <c r="H71" s="449">
        <v>1130000</v>
      </c>
      <c r="I71" s="449">
        <v>1580900</v>
      </c>
    </row>
    <row r="72" spans="1:9">
      <c r="A72" s="1">
        <v>1986</v>
      </c>
      <c r="B72" s="449">
        <v>896100</v>
      </c>
      <c r="C72" s="449">
        <v>789900</v>
      </c>
      <c r="D72" s="449">
        <v>1393300</v>
      </c>
      <c r="E72" s="449">
        <v>1105700</v>
      </c>
      <c r="F72" s="449">
        <v>1736000</v>
      </c>
      <c r="G72" s="449">
        <v>3269500</v>
      </c>
      <c r="H72" s="449">
        <v>1175100</v>
      </c>
      <c r="I72" s="449">
        <v>1621100</v>
      </c>
    </row>
    <row r="73" spans="1:9">
      <c r="A73" s="1">
        <v>1987</v>
      </c>
      <c r="B73" s="449">
        <v>931700</v>
      </c>
      <c r="C73" s="449">
        <v>786200</v>
      </c>
      <c r="D73" s="449">
        <v>1473700</v>
      </c>
      <c r="E73" s="449">
        <v>1423000</v>
      </c>
      <c r="F73" s="449">
        <v>1671800</v>
      </c>
      <c r="G73" s="449">
        <v>3160500</v>
      </c>
      <c r="H73" s="449">
        <v>1183400</v>
      </c>
      <c r="I73" s="449">
        <v>1702800</v>
      </c>
    </row>
    <row r="74" spans="1:9">
      <c r="A74" s="1">
        <v>1988</v>
      </c>
      <c r="B74" s="449">
        <v>920300</v>
      </c>
      <c r="C74" s="449">
        <v>810400</v>
      </c>
      <c r="D74" s="449">
        <v>1455600</v>
      </c>
      <c r="E74" s="449">
        <v>1164100</v>
      </c>
      <c r="F74" s="449">
        <v>1744300</v>
      </c>
      <c r="G74" s="449">
        <v>3433400</v>
      </c>
      <c r="H74" s="449">
        <v>1298400</v>
      </c>
      <c r="I74" s="449">
        <v>1883000</v>
      </c>
    </row>
    <row r="75" spans="1:9">
      <c r="A75" s="1">
        <v>1989</v>
      </c>
      <c r="B75" s="449">
        <v>930600</v>
      </c>
      <c r="C75" s="449">
        <v>783200</v>
      </c>
      <c r="D75" s="449">
        <v>1433300</v>
      </c>
      <c r="E75" s="449">
        <v>837700</v>
      </c>
      <c r="F75" s="449">
        <v>1891000</v>
      </c>
      <c r="G75" s="449">
        <v>3743600</v>
      </c>
      <c r="H75" s="449">
        <v>1395600</v>
      </c>
      <c r="I75" s="449">
        <v>1981200</v>
      </c>
    </row>
    <row r="76" spans="1:9">
      <c r="A76" s="1">
        <v>1990</v>
      </c>
      <c r="B76" s="449">
        <v>1042700</v>
      </c>
      <c r="C76" s="449">
        <v>813500</v>
      </c>
      <c r="D76" s="449">
        <v>1478300</v>
      </c>
      <c r="E76" s="449">
        <v>919600</v>
      </c>
      <c r="F76" s="449">
        <v>1864600</v>
      </c>
      <c r="G76" s="449">
        <v>3672000</v>
      </c>
      <c r="H76" s="449">
        <v>1335700</v>
      </c>
      <c r="I76" s="449">
        <v>1960000</v>
      </c>
    </row>
    <row r="77" spans="1:9">
      <c r="A77" s="1">
        <v>1991</v>
      </c>
      <c r="B77" s="449">
        <v>1005000</v>
      </c>
      <c r="C77" s="449">
        <v>876900</v>
      </c>
      <c r="D77" s="449">
        <v>1566400</v>
      </c>
      <c r="E77" s="449">
        <v>1184100</v>
      </c>
      <c r="F77" s="449">
        <v>1822100</v>
      </c>
      <c r="G77" s="449">
        <v>3393700</v>
      </c>
      <c r="H77" s="449">
        <v>1191000</v>
      </c>
      <c r="I77" s="449">
        <v>1818200</v>
      </c>
    </row>
    <row r="78" spans="1:9">
      <c r="A78" s="1">
        <v>1992</v>
      </c>
      <c r="B78" s="449">
        <v>1014400</v>
      </c>
      <c r="C78" s="449">
        <v>905400</v>
      </c>
      <c r="D78" s="449">
        <v>1640000</v>
      </c>
      <c r="E78" s="449">
        <v>1482500</v>
      </c>
      <c r="F78" s="449">
        <v>1711500</v>
      </c>
      <c r="G78" s="449">
        <v>3098900</v>
      </c>
      <c r="H78" s="449">
        <v>1115200</v>
      </c>
      <c r="I78" s="449">
        <v>1762900</v>
      </c>
    </row>
    <row r="79" spans="1:9">
      <c r="A79" s="1">
        <v>1993</v>
      </c>
      <c r="B79" s="449">
        <v>958900</v>
      </c>
      <c r="C79" s="449">
        <v>930200</v>
      </c>
      <c r="D79" s="449">
        <v>1669500</v>
      </c>
      <c r="E79" s="449">
        <v>1307500</v>
      </c>
      <c r="F79" s="449">
        <v>1704800</v>
      </c>
      <c r="G79" s="449">
        <v>3149300</v>
      </c>
      <c r="H79" s="449">
        <v>1177400</v>
      </c>
      <c r="I79" s="449">
        <v>1895200</v>
      </c>
    </row>
    <row r="80" spans="1:9">
      <c r="A80" s="1">
        <v>1994</v>
      </c>
      <c r="B80" s="449">
        <v>963700</v>
      </c>
      <c r="C80" s="449">
        <v>903800</v>
      </c>
      <c r="D80" s="449">
        <v>1640400</v>
      </c>
      <c r="E80" s="449">
        <v>1205100</v>
      </c>
      <c r="F80" s="449">
        <v>1792300</v>
      </c>
      <c r="G80" s="449">
        <v>3284300</v>
      </c>
      <c r="H80" s="449">
        <v>1251900</v>
      </c>
      <c r="I80" s="449">
        <v>2017300</v>
      </c>
    </row>
    <row r="81" spans="1:9">
      <c r="A81" s="1">
        <v>1995</v>
      </c>
      <c r="B81" s="449">
        <v>982200</v>
      </c>
      <c r="C81" s="449">
        <v>905000</v>
      </c>
      <c r="D81" s="449">
        <v>1684800</v>
      </c>
      <c r="E81" s="449">
        <v>1368000</v>
      </c>
      <c r="F81" s="449">
        <v>1752900</v>
      </c>
      <c r="G81" s="449">
        <v>3363500</v>
      </c>
      <c r="H81" s="449">
        <v>1239900</v>
      </c>
      <c r="I81" s="449">
        <v>1999100</v>
      </c>
    </row>
    <row r="82" spans="1:9">
      <c r="A82" s="1">
        <v>1996</v>
      </c>
      <c r="B82" s="449">
        <v>997300</v>
      </c>
      <c r="C82" s="449">
        <v>911400</v>
      </c>
      <c r="D82" s="449">
        <v>1688200</v>
      </c>
      <c r="E82" s="449">
        <v>1223500</v>
      </c>
      <c r="F82" s="449">
        <v>1765900</v>
      </c>
      <c r="G82" s="449">
        <v>3430200</v>
      </c>
      <c r="H82" s="449">
        <v>1291600</v>
      </c>
      <c r="I82" s="449">
        <v>2113400</v>
      </c>
    </row>
    <row r="83" spans="1:9">
      <c r="A83" s="1">
        <v>1997</v>
      </c>
      <c r="B83" s="449">
        <v>1061100</v>
      </c>
      <c r="C83" s="449">
        <v>918900</v>
      </c>
      <c r="D83" s="449">
        <v>1742000</v>
      </c>
      <c r="E83" s="449">
        <v>1185600</v>
      </c>
      <c r="F83" s="449">
        <v>1918200</v>
      </c>
      <c r="G83" s="449">
        <v>3258500</v>
      </c>
      <c r="H83" s="449">
        <v>1490900</v>
      </c>
      <c r="I83" s="449">
        <v>2130900</v>
      </c>
    </row>
    <row r="84" spans="1:9">
      <c r="A84" s="1">
        <v>1998</v>
      </c>
      <c r="B84" s="449">
        <v>1119400</v>
      </c>
      <c r="C84" s="449">
        <v>922100</v>
      </c>
      <c r="D84" s="449">
        <v>1854900</v>
      </c>
      <c r="E84" s="449">
        <v>1334400</v>
      </c>
      <c r="F84" s="449">
        <v>1921600</v>
      </c>
      <c r="G84" s="449">
        <v>3252100</v>
      </c>
      <c r="H84" s="449">
        <v>1524500</v>
      </c>
      <c r="I84" s="449">
        <v>2117100</v>
      </c>
    </row>
    <row r="85" spans="1:9">
      <c r="A85" s="1">
        <v>1999</v>
      </c>
      <c r="B85" s="449">
        <v>1088400</v>
      </c>
      <c r="C85" s="449">
        <v>913000</v>
      </c>
      <c r="D85" s="449">
        <v>1876400</v>
      </c>
      <c r="E85" s="449">
        <v>1306700</v>
      </c>
      <c r="F85" s="449">
        <v>2033200</v>
      </c>
      <c r="G85" s="449">
        <v>3435900</v>
      </c>
      <c r="H85" s="449">
        <v>1583100</v>
      </c>
      <c r="I85" s="449">
        <v>2169900</v>
      </c>
    </row>
    <row r="86" spans="1:9">
      <c r="A86" s="1">
        <v>2000</v>
      </c>
      <c r="B86" s="449">
        <v>1099500</v>
      </c>
      <c r="C86" s="449">
        <v>916600</v>
      </c>
      <c r="D86" s="449">
        <v>1854800</v>
      </c>
      <c r="E86" s="449">
        <v>1165700</v>
      </c>
      <c r="F86" s="449">
        <v>2169200</v>
      </c>
      <c r="G86" s="449">
        <v>3645700</v>
      </c>
      <c r="H86" s="449">
        <v>1693700</v>
      </c>
      <c r="I86" s="449">
        <v>2219100</v>
      </c>
    </row>
    <row r="87" spans="1:9">
      <c r="A87" s="1">
        <v>2001</v>
      </c>
      <c r="B87" s="449">
        <v>1177000</v>
      </c>
      <c r="C87" s="449">
        <v>939900</v>
      </c>
      <c r="D87" s="449">
        <v>2020700</v>
      </c>
      <c r="E87" s="449">
        <v>1474100</v>
      </c>
      <c r="F87" s="449">
        <v>2139100</v>
      </c>
      <c r="G87" s="449">
        <v>3418300</v>
      </c>
      <c r="H87" s="449">
        <v>1696100</v>
      </c>
      <c r="I87" s="449">
        <v>2080900</v>
      </c>
    </row>
    <row r="88" spans="1:9">
      <c r="A88" s="1">
        <v>2002</v>
      </c>
      <c r="B88" s="449">
        <v>1223700</v>
      </c>
      <c r="C88" s="449">
        <v>1011200</v>
      </c>
      <c r="D88" s="449">
        <v>2108700</v>
      </c>
      <c r="E88" s="449">
        <v>1526400</v>
      </c>
      <c r="F88" s="449">
        <v>2176900</v>
      </c>
      <c r="G88" s="449">
        <v>3349100</v>
      </c>
      <c r="H88" s="449">
        <v>1818800</v>
      </c>
      <c r="I88" s="449">
        <v>2095500</v>
      </c>
    </row>
    <row r="89" spans="1:9">
      <c r="A89" s="1">
        <v>2003</v>
      </c>
      <c r="B89" s="449">
        <v>1283200</v>
      </c>
      <c r="C89" s="449">
        <v>1062400</v>
      </c>
      <c r="D89" s="449">
        <v>2291400</v>
      </c>
      <c r="E89" s="449">
        <v>1882800</v>
      </c>
      <c r="F89" s="449">
        <v>2134500</v>
      </c>
      <c r="G89" s="449">
        <v>3261200</v>
      </c>
      <c r="H89" s="449">
        <v>1743600</v>
      </c>
      <c r="I89" s="449">
        <v>2013300</v>
      </c>
    </row>
    <row r="90" spans="1:9">
      <c r="A90" s="1">
        <v>2004</v>
      </c>
      <c r="B90" s="449">
        <v>1283000</v>
      </c>
      <c r="C90" s="449">
        <v>1036900</v>
      </c>
      <c r="D90" s="449">
        <v>2297400</v>
      </c>
      <c r="E90" s="449">
        <v>1736800</v>
      </c>
      <c r="F90" s="449">
        <v>2233600</v>
      </c>
      <c r="G90" s="449">
        <v>3429500</v>
      </c>
      <c r="H90" s="449">
        <v>1800300</v>
      </c>
      <c r="I90" s="449">
        <v>2129500</v>
      </c>
    </row>
    <row r="91" spans="1:9">
      <c r="A91" s="1">
        <v>2005</v>
      </c>
      <c r="B91" s="449">
        <v>1307800</v>
      </c>
      <c r="C91" s="449">
        <v>1023500</v>
      </c>
      <c r="D91" s="449">
        <v>2245200</v>
      </c>
      <c r="E91" s="449">
        <v>1644900</v>
      </c>
      <c r="F91" s="449">
        <v>2326400</v>
      </c>
      <c r="G91" s="449">
        <v>3458500</v>
      </c>
      <c r="H91" s="449">
        <v>1943400</v>
      </c>
      <c r="I91" s="449">
        <v>2220100</v>
      </c>
    </row>
    <row r="92" spans="1:9">
      <c r="A92" s="1">
        <v>2006</v>
      </c>
      <c r="B92" s="449">
        <v>1350000</v>
      </c>
      <c r="C92" s="449">
        <v>1041100</v>
      </c>
      <c r="D92" s="449">
        <v>2343000</v>
      </c>
      <c r="E92" s="449">
        <v>1844000</v>
      </c>
      <c r="F92" s="449">
        <v>2284300</v>
      </c>
      <c r="G92" s="449">
        <v>3538800</v>
      </c>
      <c r="H92" s="449">
        <v>1894900</v>
      </c>
      <c r="I92" s="449">
        <v>2188200</v>
      </c>
    </row>
    <row r="93" spans="1:9">
      <c r="A93" s="1">
        <v>2007</v>
      </c>
      <c r="B93" s="449">
        <v>1449300</v>
      </c>
      <c r="C93" s="449">
        <v>1071500</v>
      </c>
      <c r="D93" s="449">
        <v>2322900</v>
      </c>
      <c r="E93" s="449">
        <v>1642400</v>
      </c>
      <c r="F93" s="449">
        <v>2408600</v>
      </c>
      <c r="G93" s="449">
        <v>3717100</v>
      </c>
      <c r="H93" s="449">
        <v>1964300</v>
      </c>
      <c r="I93" s="449">
        <v>2290300</v>
      </c>
    </row>
    <row r="94" spans="1:9">
      <c r="A94" s="1">
        <v>2008</v>
      </c>
      <c r="B94" s="449">
        <v>1447500</v>
      </c>
      <c r="C94" s="449">
        <v>1129800</v>
      </c>
      <c r="D94" s="449">
        <v>2413500</v>
      </c>
      <c r="E94" s="449">
        <v>1803400</v>
      </c>
      <c r="F94" s="449">
        <v>2422600</v>
      </c>
      <c r="G94" s="449">
        <v>3731600</v>
      </c>
      <c r="H94" s="449">
        <v>1970400</v>
      </c>
      <c r="I94" s="449">
        <v>2207000</v>
      </c>
    </row>
    <row r="97" spans="1:9">
      <c r="A97" s="1">
        <v>1976</v>
      </c>
      <c r="B97" s="449">
        <v>698.5</v>
      </c>
      <c r="C97" s="449">
        <v>515.6</v>
      </c>
      <c r="D97" s="449">
        <v>1005.7</v>
      </c>
      <c r="E97" s="449">
        <v>1126</v>
      </c>
      <c r="F97" s="449">
        <v>1384.1</v>
      </c>
      <c r="G97" s="449">
        <v>2891</v>
      </c>
      <c r="H97" s="449">
        <v>944.6</v>
      </c>
      <c r="I97" s="449">
        <v>1182</v>
      </c>
    </row>
    <row r="98" spans="1:9">
      <c r="A98" s="1">
        <v>1977</v>
      </c>
      <c r="B98" s="449">
        <v>690.8</v>
      </c>
      <c r="C98" s="449">
        <v>548.79999999999995</v>
      </c>
      <c r="D98" s="449">
        <v>1020.3</v>
      </c>
      <c r="E98" s="449">
        <v>1069.2</v>
      </c>
      <c r="F98" s="449">
        <v>1485.3</v>
      </c>
      <c r="G98" s="449">
        <v>2968.8</v>
      </c>
      <c r="H98" s="449">
        <v>941.5</v>
      </c>
      <c r="I98" s="449">
        <v>1192.4000000000001</v>
      </c>
    </row>
    <row r="99" spans="1:9">
      <c r="A99" s="1">
        <v>1978</v>
      </c>
      <c r="B99" s="449">
        <v>716.2</v>
      </c>
      <c r="C99" s="449">
        <v>564.9</v>
      </c>
      <c r="D99" s="449">
        <v>989.8</v>
      </c>
      <c r="E99" s="449">
        <v>841.2</v>
      </c>
      <c r="F99" s="449">
        <v>1611.7</v>
      </c>
      <c r="G99" s="449">
        <v>3243.1</v>
      </c>
      <c r="H99" s="449">
        <v>987.6</v>
      </c>
      <c r="I99" s="449">
        <v>1265.8</v>
      </c>
    </row>
    <row r="100" spans="1:9">
      <c r="A100" s="1">
        <v>1979</v>
      </c>
      <c r="B100" s="449">
        <v>798.3</v>
      </c>
      <c r="C100" s="449">
        <v>606.5</v>
      </c>
      <c r="D100" s="449">
        <v>1012.7</v>
      </c>
      <c r="E100" s="449">
        <v>752.6</v>
      </c>
      <c r="F100" s="449">
        <v>1633.2</v>
      </c>
      <c r="G100" s="449">
        <v>3410.6</v>
      </c>
      <c r="H100" s="449">
        <v>1063.4000000000001</v>
      </c>
      <c r="I100" s="449">
        <v>1391.2</v>
      </c>
    </row>
    <row r="101" spans="1:9">
      <c r="A101" s="1">
        <v>1980</v>
      </c>
      <c r="B101" s="449">
        <v>814.6</v>
      </c>
      <c r="C101" s="449">
        <v>654.1</v>
      </c>
      <c r="D101" s="449">
        <v>1134.4000000000001</v>
      </c>
      <c r="E101" s="449">
        <v>1023.6</v>
      </c>
      <c r="F101" s="449">
        <v>1648</v>
      </c>
      <c r="G101" s="449">
        <v>3276.4</v>
      </c>
      <c r="H101" s="449">
        <v>1058.0999999999999</v>
      </c>
      <c r="I101" s="449">
        <v>1374.8</v>
      </c>
    </row>
    <row r="102" spans="1:9">
      <c r="A102" s="1">
        <v>1981</v>
      </c>
      <c r="B102" s="449">
        <v>850.5</v>
      </c>
      <c r="C102" s="449">
        <v>690.1</v>
      </c>
      <c r="D102" s="449">
        <v>1266.2</v>
      </c>
      <c r="E102" s="449">
        <v>1373.6</v>
      </c>
      <c r="F102" s="449">
        <v>1633.9</v>
      </c>
      <c r="G102" s="449">
        <v>3070.6</v>
      </c>
      <c r="H102" s="449">
        <v>1050.8</v>
      </c>
      <c r="I102" s="449">
        <v>1369.2</v>
      </c>
    </row>
    <row r="103" spans="1:9">
      <c r="A103" s="1">
        <v>1982</v>
      </c>
      <c r="B103" s="449">
        <v>786.9</v>
      </c>
      <c r="C103" s="449">
        <v>724.8</v>
      </c>
      <c r="D103" s="449">
        <v>1299</v>
      </c>
      <c r="E103" s="449">
        <v>1164.0999999999999</v>
      </c>
      <c r="F103" s="449">
        <v>1714.6</v>
      </c>
      <c r="G103" s="449">
        <v>3017.1</v>
      </c>
      <c r="H103" s="449">
        <v>949.1</v>
      </c>
      <c r="I103" s="449">
        <v>1288.0999999999999</v>
      </c>
    </row>
    <row r="104" spans="1:9">
      <c r="A104" s="1">
        <v>1983</v>
      </c>
      <c r="B104" s="449">
        <v>813.2</v>
      </c>
      <c r="C104" s="449">
        <v>778.7</v>
      </c>
      <c r="D104" s="449">
        <v>1247.2</v>
      </c>
      <c r="E104" s="449">
        <v>1073.5</v>
      </c>
      <c r="F104" s="449">
        <v>1720.6</v>
      </c>
      <c r="G104" s="449">
        <v>3018.3</v>
      </c>
      <c r="H104" s="449">
        <v>1002.3</v>
      </c>
      <c r="I104" s="449">
        <v>1368.2</v>
      </c>
    </row>
    <row r="105" spans="1:9">
      <c r="A105" s="1">
        <v>1984</v>
      </c>
      <c r="B105" s="449">
        <v>872.1</v>
      </c>
      <c r="C105" s="449">
        <v>776.4</v>
      </c>
      <c r="D105" s="449">
        <v>1274.4000000000001</v>
      </c>
      <c r="E105" s="449">
        <v>1032.5</v>
      </c>
      <c r="F105" s="449">
        <v>1729.3</v>
      </c>
      <c r="G105" s="449">
        <v>3099.1</v>
      </c>
      <c r="H105" s="449">
        <v>1067.2</v>
      </c>
      <c r="I105" s="449">
        <v>1450.7</v>
      </c>
    </row>
    <row r="106" spans="1:9">
      <c r="A106" s="1">
        <v>1985</v>
      </c>
      <c r="B106" s="449">
        <v>863.3</v>
      </c>
      <c r="C106" s="449">
        <v>793.9</v>
      </c>
      <c r="D106" s="449">
        <v>1332.6</v>
      </c>
      <c r="E106" s="449">
        <v>1084.7</v>
      </c>
      <c r="F106" s="449">
        <v>1692.1</v>
      </c>
      <c r="G106" s="449">
        <v>3149.9</v>
      </c>
      <c r="H106" s="449">
        <v>1130</v>
      </c>
      <c r="I106" s="449">
        <v>1580.9</v>
      </c>
    </row>
    <row r="107" spans="1:9">
      <c r="A107" s="1">
        <v>1986</v>
      </c>
      <c r="B107" s="449">
        <v>896.1</v>
      </c>
      <c r="C107" s="449">
        <v>789.9</v>
      </c>
      <c r="D107" s="449">
        <v>1393.3</v>
      </c>
      <c r="E107" s="449">
        <v>1105.7</v>
      </c>
      <c r="F107" s="449">
        <v>1736</v>
      </c>
      <c r="G107" s="449">
        <v>3269.5</v>
      </c>
      <c r="H107" s="449">
        <v>1175.0999999999999</v>
      </c>
      <c r="I107" s="449">
        <v>1621.1</v>
      </c>
    </row>
    <row r="108" spans="1:9">
      <c r="A108" s="1">
        <v>1987</v>
      </c>
      <c r="B108" s="449">
        <v>931.7</v>
      </c>
      <c r="C108" s="449">
        <v>786.2</v>
      </c>
      <c r="D108" s="449">
        <v>1473.7</v>
      </c>
      <c r="E108" s="449">
        <v>1423</v>
      </c>
      <c r="F108" s="449">
        <v>1671.8</v>
      </c>
      <c r="G108" s="449">
        <v>3160.5</v>
      </c>
      <c r="H108" s="449">
        <v>1183.4000000000001</v>
      </c>
      <c r="I108" s="449">
        <v>1702.8</v>
      </c>
    </row>
    <row r="109" spans="1:9">
      <c r="A109" s="1">
        <v>1988</v>
      </c>
      <c r="B109" s="449">
        <v>920.3</v>
      </c>
      <c r="C109" s="449">
        <v>810.4</v>
      </c>
      <c r="D109" s="449">
        <v>1455.6</v>
      </c>
      <c r="E109" s="449">
        <v>1164.0999999999999</v>
      </c>
      <c r="F109" s="449">
        <v>1744.3</v>
      </c>
      <c r="G109" s="449">
        <v>3433.4</v>
      </c>
      <c r="H109" s="449">
        <v>1298.4000000000001</v>
      </c>
      <c r="I109" s="449">
        <v>1883</v>
      </c>
    </row>
    <row r="110" spans="1:9">
      <c r="A110" s="1">
        <v>1989</v>
      </c>
      <c r="B110" s="449">
        <v>930.6</v>
      </c>
      <c r="C110" s="449">
        <v>783.2</v>
      </c>
      <c r="D110" s="449">
        <v>1433.3</v>
      </c>
      <c r="E110" s="449">
        <v>837.7</v>
      </c>
      <c r="F110" s="449">
        <v>1891</v>
      </c>
      <c r="G110" s="449">
        <v>3743.6</v>
      </c>
      <c r="H110" s="449">
        <v>1395.6</v>
      </c>
      <c r="I110" s="449">
        <v>1981.2</v>
      </c>
    </row>
    <row r="111" spans="1:9">
      <c r="A111" s="1">
        <v>1990</v>
      </c>
      <c r="B111" s="449">
        <v>1042.7</v>
      </c>
      <c r="C111" s="449">
        <v>813.5</v>
      </c>
      <c r="D111" s="449">
        <v>1478.3</v>
      </c>
      <c r="E111" s="449">
        <v>919.6</v>
      </c>
      <c r="F111" s="449">
        <v>1864.6</v>
      </c>
      <c r="G111" s="449">
        <v>3672</v>
      </c>
      <c r="H111" s="449">
        <v>1335.7</v>
      </c>
      <c r="I111" s="449">
        <v>1960</v>
      </c>
    </row>
    <row r="112" spans="1:9">
      <c r="A112" s="1">
        <v>1991</v>
      </c>
      <c r="B112" s="449">
        <v>1005</v>
      </c>
      <c r="C112" s="449">
        <v>876.9</v>
      </c>
      <c r="D112" s="449">
        <v>1566.4</v>
      </c>
      <c r="E112" s="449">
        <v>1184.0999999999999</v>
      </c>
      <c r="F112" s="449">
        <v>1822.1</v>
      </c>
      <c r="G112" s="449">
        <v>3393.7</v>
      </c>
      <c r="H112" s="449">
        <v>1191</v>
      </c>
      <c r="I112" s="449">
        <v>1818.2</v>
      </c>
    </row>
    <row r="113" spans="1:9">
      <c r="A113" s="1">
        <v>1992</v>
      </c>
      <c r="B113" s="449">
        <v>1014.4</v>
      </c>
      <c r="C113" s="449">
        <v>905.4</v>
      </c>
      <c r="D113" s="449">
        <v>1640</v>
      </c>
      <c r="E113" s="449">
        <v>1482.5</v>
      </c>
      <c r="F113" s="449">
        <v>1711.5</v>
      </c>
      <c r="G113" s="449">
        <v>3098.9</v>
      </c>
      <c r="H113" s="449">
        <v>1115.2</v>
      </c>
      <c r="I113" s="449">
        <v>1762.9</v>
      </c>
    </row>
    <row r="114" spans="1:9">
      <c r="A114" s="1">
        <v>1993</v>
      </c>
      <c r="B114" s="449">
        <v>958.9</v>
      </c>
      <c r="C114" s="449">
        <v>930.2</v>
      </c>
      <c r="D114" s="449">
        <v>1669.5</v>
      </c>
      <c r="E114" s="449">
        <v>1307.5</v>
      </c>
      <c r="F114" s="449">
        <v>1704.8</v>
      </c>
      <c r="G114" s="449">
        <v>3149.3</v>
      </c>
      <c r="H114" s="449">
        <v>1177.4000000000001</v>
      </c>
      <c r="I114" s="449">
        <v>1895.2</v>
      </c>
    </row>
    <row r="115" spans="1:9">
      <c r="A115" s="1">
        <v>1994</v>
      </c>
      <c r="B115" s="449">
        <v>963.7</v>
      </c>
      <c r="C115" s="449">
        <v>903.8</v>
      </c>
      <c r="D115" s="449">
        <v>1640.4</v>
      </c>
      <c r="E115" s="449">
        <v>1205.0999999999999</v>
      </c>
      <c r="F115" s="449">
        <v>1792.3</v>
      </c>
      <c r="G115" s="449">
        <v>3284.3</v>
      </c>
      <c r="H115" s="449">
        <v>1251.9000000000001</v>
      </c>
      <c r="I115" s="449">
        <v>2017.3</v>
      </c>
    </row>
    <row r="116" spans="1:9">
      <c r="A116" s="1">
        <v>1995</v>
      </c>
      <c r="B116" s="449">
        <v>982.2</v>
      </c>
      <c r="C116" s="449">
        <v>905</v>
      </c>
      <c r="D116" s="449">
        <v>1684.8</v>
      </c>
      <c r="E116" s="449">
        <v>1368</v>
      </c>
      <c r="F116" s="449">
        <v>1752.9</v>
      </c>
      <c r="G116" s="449">
        <v>3363.5</v>
      </c>
      <c r="H116" s="449">
        <v>1239.9000000000001</v>
      </c>
      <c r="I116" s="449">
        <v>1999.1</v>
      </c>
    </row>
    <row r="117" spans="1:9">
      <c r="A117" s="1">
        <v>1996</v>
      </c>
      <c r="B117" s="449">
        <v>997.3</v>
      </c>
      <c r="C117" s="449">
        <v>911.4</v>
      </c>
      <c r="D117" s="449">
        <v>1688.2</v>
      </c>
      <c r="E117" s="449">
        <v>1223.5</v>
      </c>
      <c r="F117" s="449">
        <v>1765.9</v>
      </c>
      <c r="G117" s="449">
        <v>3430.2</v>
      </c>
      <c r="H117" s="449">
        <v>1291.5999999999999</v>
      </c>
      <c r="I117" s="449">
        <v>2113.4</v>
      </c>
    </row>
    <row r="118" spans="1:9">
      <c r="A118" s="1">
        <v>1997</v>
      </c>
      <c r="B118" s="449">
        <v>1061.0999999999999</v>
      </c>
      <c r="C118" s="449">
        <v>918.9</v>
      </c>
      <c r="D118" s="449">
        <v>1742</v>
      </c>
      <c r="E118" s="449">
        <v>1185.5999999999999</v>
      </c>
      <c r="F118" s="449">
        <v>1918.2</v>
      </c>
      <c r="G118" s="449">
        <v>3258.5</v>
      </c>
      <c r="H118" s="449">
        <v>1490.9</v>
      </c>
      <c r="I118" s="449">
        <v>2130.9</v>
      </c>
    </row>
    <row r="119" spans="1:9">
      <c r="A119" s="1">
        <v>1998</v>
      </c>
      <c r="B119" s="449">
        <v>1119.4000000000001</v>
      </c>
      <c r="C119" s="449">
        <v>922.1</v>
      </c>
      <c r="D119" s="449">
        <v>1854.9</v>
      </c>
      <c r="E119" s="449">
        <v>1334.4</v>
      </c>
      <c r="F119" s="449">
        <v>1921.6</v>
      </c>
      <c r="G119" s="449">
        <v>3252.1</v>
      </c>
      <c r="H119" s="449">
        <v>1524.5</v>
      </c>
      <c r="I119" s="449">
        <v>2117.1</v>
      </c>
    </row>
    <row r="120" spans="1:9">
      <c r="A120" s="1">
        <v>1999</v>
      </c>
      <c r="B120" s="449">
        <v>1088.4000000000001</v>
      </c>
      <c r="C120" s="449">
        <v>913</v>
      </c>
      <c r="D120" s="449">
        <v>1876.4</v>
      </c>
      <c r="E120" s="449">
        <v>1306.7</v>
      </c>
      <c r="F120" s="449">
        <v>2033.2</v>
      </c>
      <c r="G120" s="449">
        <v>3435.9</v>
      </c>
      <c r="H120" s="449">
        <v>1583.1</v>
      </c>
      <c r="I120" s="449">
        <v>2169.9</v>
      </c>
    </row>
    <row r="121" spans="1:9">
      <c r="A121" s="1">
        <v>2000</v>
      </c>
      <c r="B121" s="449">
        <v>1099.5</v>
      </c>
      <c r="C121" s="449">
        <v>916.6</v>
      </c>
      <c r="D121" s="449">
        <v>1854.8</v>
      </c>
      <c r="E121" s="449">
        <v>1165.7</v>
      </c>
      <c r="F121" s="449">
        <v>2169.1999999999998</v>
      </c>
      <c r="G121" s="449">
        <v>3645.7</v>
      </c>
      <c r="H121" s="449">
        <v>1693.7</v>
      </c>
      <c r="I121" s="449">
        <v>2219.1</v>
      </c>
    </row>
    <row r="122" spans="1:9">
      <c r="A122" s="1">
        <v>2001</v>
      </c>
      <c r="B122" s="449">
        <v>1177</v>
      </c>
      <c r="C122" s="449">
        <v>939.9</v>
      </c>
      <c r="D122" s="449">
        <v>2020.7</v>
      </c>
      <c r="E122" s="449">
        <v>1474.1</v>
      </c>
      <c r="F122" s="449">
        <v>2139.1</v>
      </c>
      <c r="G122" s="449">
        <v>3418.3</v>
      </c>
      <c r="H122" s="449">
        <v>1696.1</v>
      </c>
      <c r="I122" s="449">
        <v>2080.9</v>
      </c>
    </row>
    <row r="123" spans="1:9">
      <c r="A123" s="1">
        <v>2002</v>
      </c>
      <c r="B123" s="449">
        <v>1223.7</v>
      </c>
      <c r="C123" s="449">
        <v>1011.2</v>
      </c>
      <c r="D123" s="449">
        <v>2108.6999999999998</v>
      </c>
      <c r="E123" s="449">
        <v>1526.4</v>
      </c>
      <c r="F123" s="449">
        <v>2176.9</v>
      </c>
      <c r="G123" s="449">
        <v>3349.1</v>
      </c>
      <c r="H123" s="449">
        <v>1818.8</v>
      </c>
      <c r="I123" s="449">
        <v>2095.5</v>
      </c>
    </row>
    <row r="124" spans="1:9">
      <c r="A124" s="1">
        <v>2003</v>
      </c>
      <c r="B124" s="449">
        <v>1283.2</v>
      </c>
      <c r="C124" s="449">
        <v>1062.4000000000001</v>
      </c>
      <c r="D124" s="449">
        <v>2291.4</v>
      </c>
      <c r="E124" s="449">
        <v>1882.8</v>
      </c>
      <c r="F124" s="449">
        <v>2134.5</v>
      </c>
      <c r="G124" s="449">
        <v>3261.2</v>
      </c>
      <c r="H124" s="449">
        <v>1743.6</v>
      </c>
      <c r="I124" s="449">
        <v>2013.3</v>
      </c>
    </row>
    <row r="125" spans="1:9">
      <c r="A125" s="1">
        <v>2004</v>
      </c>
      <c r="B125" s="449">
        <v>1283</v>
      </c>
      <c r="C125" s="449">
        <v>1036.9000000000001</v>
      </c>
      <c r="D125" s="449">
        <v>2297.4</v>
      </c>
      <c r="E125" s="449">
        <v>1736.8</v>
      </c>
      <c r="F125" s="449">
        <v>2233.6</v>
      </c>
      <c r="G125" s="449">
        <v>3429.5</v>
      </c>
      <c r="H125" s="449">
        <v>1800.3</v>
      </c>
      <c r="I125" s="449">
        <v>2129.5</v>
      </c>
    </row>
    <row r="126" spans="1:9">
      <c r="A126" s="1">
        <v>2005</v>
      </c>
      <c r="B126" s="449">
        <v>1307.8</v>
      </c>
      <c r="C126" s="449">
        <v>1023.5</v>
      </c>
      <c r="D126" s="449">
        <v>2245.1999999999998</v>
      </c>
      <c r="E126" s="449">
        <v>1644.9</v>
      </c>
      <c r="F126" s="449">
        <v>2326.4</v>
      </c>
      <c r="G126" s="449">
        <v>3458.5</v>
      </c>
      <c r="H126" s="449">
        <v>1943.4</v>
      </c>
      <c r="I126" s="449">
        <v>2220.1</v>
      </c>
    </row>
    <row r="127" spans="1:9">
      <c r="A127" s="1">
        <v>2006</v>
      </c>
      <c r="B127" s="449">
        <v>1350</v>
      </c>
      <c r="C127" s="449">
        <v>1041.0999999999999</v>
      </c>
      <c r="D127" s="449">
        <v>2343</v>
      </c>
      <c r="E127" s="449">
        <v>1844</v>
      </c>
      <c r="F127" s="449">
        <v>2284.3000000000002</v>
      </c>
      <c r="G127" s="449">
        <v>3538.8</v>
      </c>
      <c r="H127" s="449">
        <v>1894.9</v>
      </c>
      <c r="I127" s="449">
        <v>2188.1999999999998</v>
      </c>
    </row>
    <row r="128" spans="1:9">
      <c r="A128" s="1">
        <v>2007</v>
      </c>
      <c r="B128" s="449">
        <v>1449.3</v>
      </c>
      <c r="C128" s="449">
        <v>1071.5</v>
      </c>
      <c r="D128" s="449">
        <v>2322.9</v>
      </c>
      <c r="E128" s="449">
        <v>1642.4</v>
      </c>
      <c r="F128" s="449">
        <v>2408.6</v>
      </c>
      <c r="G128" s="449">
        <v>3717.1</v>
      </c>
      <c r="H128" s="449">
        <v>1964.3</v>
      </c>
      <c r="I128" s="449">
        <v>2290.3000000000002</v>
      </c>
    </row>
    <row r="129" spans="1:9">
      <c r="A129" s="1">
        <v>2008</v>
      </c>
      <c r="B129" s="449">
        <v>1447.5</v>
      </c>
      <c r="C129" s="449">
        <v>1129.8</v>
      </c>
      <c r="D129" s="449">
        <v>2413.5</v>
      </c>
      <c r="E129" s="449">
        <v>1803.4</v>
      </c>
      <c r="F129" s="449">
        <v>2422.6</v>
      </c>
      <c r="G129" s="449">
        <v>3731.6</v>
      </c>
      <c r="H129" s="449">
        <v>1970.4</v>
      </c>
      <c r="I129" s="449">
        <v>2207</v>
      </c>
    </row>
  </sheetData>
  <mergeCells count="1">
    <mergeCell ref="A43:L43"/>
  </mergeCells>
  <phoneticPr fontId="36" type="noConversion"/>
  <pageMargins left="0.75" right="0.75" top="1" bottom="1" header="0.5" footer="0.5"/>
  <pageSetup scale="79" orientation="portrait" r:id="rId1"/>
  <headerFooter alignWithMargins="0"/>
</worksheet>
</file>

<file path=xl/worksheets/sheet197.xml><?xml version="1.0" encoding="utf-8"?>
<worksheet xmlns="http://schemas.openxmlformats.org/spreadsheetml/2006/main" xmlns:r="http://schemas.openxmlformats.org/officeDocument/2006/relationships">
  <sheetPr codeName="Sheet178">
    <pageSetUpPr fitToPage="1"/>
  </sheetPr>
  <dimension ref="A1:L43"/>
  <sheetViews>
    <sheetView view="pageBreakPreview" zoomScaleSheetLayoutView="10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9" width="8" style="449" customWidth="1"/>
    <col min="10" max="10" width="9.42578125" style="449" customWidth="1"/>
    <col min="11" max="11" width="8" style="449" customWidth="1"/>
    <col min="12" max="12" width="12.7109375" style="449" customWidth="1"/>
    <col min="13" max="16384" width="8" style="449"/>
  </cols>
  <sheetData>
    <row r="1" spans="1:12" ht="15.75">
      <c r="A1" s="322" t="s">
        <v>2241</v>
      </c>
    </row>
    <row r="2" spans="1:12" ht="15.75">
      <c r="A2" s="320"/>
    </row>
    <row r="3" spans="1:12" ht="15.75">
      <c r="A3" s="320"/>
    </row>
    <row r="4" spans="1:12" ht="25.5">
      <c r="A4" s="696"/>
      <c r="B4" s="696" t="s">
        <v>901</v>
      </c>
      <c r="C4" s="696" t="s">
        <v>902</v>
      </c>
      <c r="D4" s="696" t="s">
        <v>903</v>
      </c>
      <c r="E4" s="696" t="s">
        <v>904</v>
      </c>
      <c r="F4" s="879" t="s">
        <v>905</v>
      </c>
      <c r="G4" s="696" t="s">
        <v>906</v>
      </c>
      <c r="H4" s="696" t="s">
        <v>907</v>
      </c>
      <c r="I4" s="696" t="s">
        <v>908</v>
      </c>
      <c r="J4" s="696" t="s">
        <v>909</v>
      </c>
      <c r="K4" s="880" t="s">
        <v>910</v>
      </c>
      <c r="L4" s="696" t="s">
        <v>911</v>
      </c>
    </row>
    <row r="5" spans="1:12" ht="25.5">
      <c r="A5" s="869"/>
      <c r="B5" s="869" t="s">
        <v>584</v>
      </c>
      <c r="C5" s="869" t="s">
        <v>585</v>
      </c>
      <c r="D5" s="869" t="s">
        <v>587</v>
      </c>
      <c r="E5" s="869" t="s">
        <v>912</v>
      </c>
      <c r="F5" s="870" t="s">
        <v>592</v>
      </c>
      <c r="G5" s="869" t="s">
        <v>593</v>
      </c>
      <c r="H5" s="869" t="s">
        <v>595</v>
      </c>
      <c r="I5" s="869" t="s">
        <v>596</v>
      </c>
      <c r="J5" s="869" t="s">
        <v>721</v>
      </c>
      <c r="K5" s="871" t="s">
        <v>913</v>
      </c>
      <c r="L5" s="869" t="s">
        <v>914</v>
      </c>
    </row>
    <row r="6" spans="1:12">
      <c r="A6" s="452">
        <v>1976</v>
      </c>
      <c r="B6" s="701">
        <f>'59a'!B6/'59a'!$L6*100</f>
        <v>7.1659399846114384</v>
      </c>
      <c r="C6" s="701">
        <f>'59a'!C6/'59a'!$L6*100</f>
        <v>5.2895614260066681</v>
      </c>
      <c r="D6" s="701">
        <f>'59a'!D6/'59a'!$L6*100</f>
        <v>10.317517312131317</v>
      </c>
      <c r="E6" s="701">
        <f>'59a'!E6/'59a'!$L6*100</f>
        <v>22.773018722749423</v>
      </c>
      <c r="F6" s="881">
        <f>'59a'!F6/'59a'!$L6*100</f>
        <v>11.551679917927673</v>
      </c>
      <c r="G6" s="702">
        <f>'59a'!G6/'59a'!$L6*100</f>
        <v>14.199538343164914</v>
      </c>
      <c r="H6" s="702">
        <f>'59a'!H6/'59a'!$L6*100</f>
        <v>29.658886894075405</v>
      </c>
      <c r="I6" s="702">
        <f>'59a'!I6/'59a'!$L6*100</f>
        <v>9.690689920492435</v>
      </c>
      <c r="J6" s="702">
        <f>'59a'!J6/'59a'!$L6*100</f>
        <v>12.126186201590151</v>
      </c>
      <c r="K6" s="882">
        <f>'59a'!K6/'59a'!$L6*100</f>
        <v>77.226981277250587</v>
      </c>
      <c r="L6" s="701">
        <f>'59a'!L6/'59a'!$L6*100</f>
        <v>100</v>
      </c>
    </row>
    <row r="7" spans="1:12">
      <c r="A7" s="452">
        <v>1977</v>
      </c>
      <c r="B7" s="701">
        <f>'59a'!B7/'59a'!$L7*100</f>
        <v>6.965746034627057</v>
      </c>
      <c r="C7" s="701">
        <f>'59a'!C7/'59a'!$L7*100</f>
        <v>5.5338758306359717</v>
      </c>
      <c r="D7" s="701">
        <f>'59a'!D7/'59a'!$L7*100</f>
        <v>10.288289923465529</v>
      </c>
      <c r="E7" s="701">
        <f>'59a'!E7/'59a'!$L7*100</f>
        <v>22.787911788728554</v>
      </c>
      <c r="F7" s="881">
        <f>'59a'!F7/'59a'!$L7*100</f>
        <v>10.781377620473727</v>
      </c>
      <c r="G7" s="702">
        <f>'59a'!G7/'59a'!$L7*100</f>
        <v>14.977160661887043</v>
      </c>
      <c r="H7" s="702">
        <f>'59a'!H7/'59a'!$L7*100</f>
        <v>29.936170856399553</v>
      </c>
      <c r="I7" s="702">
        <f>'59a'!I7/'59a'!$L7*100</f>
        <v>9.4937027961803349</v>
      </c>
      <c r="J7" s="702">
        <f>'59a'!J7/'59a'!$L7*100</f>
        <v>12.023676276330782</v>
      </c>
      <c r="K7" s="882">
        <f>'59a'!K7/'59a'!$L7*100</f>
        <v>77.21208821127145</v>
      </c>
      <c r="L7" s="701">
        <f>'59a'!L7/'59a'!$L7*100</f>
        <v>100</v>
      </c>
    </row>
    <row r="8" spans="1:12">
      <c r="A8" s="452">
        <v>1978</v>
      </c>
      <c r="B8" s="701">
        <f>'59a'!B8/'59a'!$L8*100</f>
        <v>7.007622085457375</v>
      </c>
      <c r="C8" s="701">
        <f>'59a'!C8/'59a'!$L8*100</f>
        <v>5.5272350126708609</v>
      </c>
      <c r="D8" s="701">
        <f>'59a'!D8/'59a'!$L8*100</f>
        <v>9.6846472217058199</v>
      </c>
      <c r="E8" s="701">
        <f>'59a'!E8/'59a'!$L8*100</f>
        <v>22.219504319834055</v>
      </c>
      <c r="F8" s="881">
        <f>'59a'!F8/'59a'!$L8*100</f>
        <v>8.2306781601322854</v>
      </c>
      <c r="G8" s="702">
        <f>'59a'!G8/'59a'!$L8*100</f>
        <v>15.769595804428443</v>
      </c>
      <c r="H8" s="702">
        <f>'59a'!H8/'59a'!$L8*100</f>
        <v>31.731945246225653</v>
      </c>
      <c r="I8" s="702">
        <f>'59a'!I8/'59a'!$L8*100</f>
        <v>9.6631214347915417</v>
      </c>
      <c r="J8" s="702">
        <f>'59a'!J8/'59a'!$L8*100</f>
        <v>12.385155034588026</v>
      </c>
      <c r="K8" s="882">
        <f>'59a'!K8/'59a'!$L8*100</f>
        <v>77.780495680165956</v>
      </c>
      <c r="L8" s="701">
        <f>'59a'!L8/'59a'!$L8*100</f>
        <v>100</v>
      </c>
    </row>
    <row r="9" spans="1:12">
      <c r="A9" s="452">
        <v>1979</v>
      </c>
      <c r="B9" s="701">
        <f>'59a'!B9/'59a'!$L9*100</f>
        <v>7.4827763978066271</v>
      </c>
      <c r="C9" s="701">
        <f>'59a'!C9/'59a'!$L9*100</f>
        <v>5.6849603974316913</v>
      </c>
      <c r="D9" s="701">
        <f>'59a'!D9/'59a'!$L9*100</f>
        <v>9.492430988423866</v>
      </c>
      <c r="E9" s="701">
        <f>'59a'!E9/'59a'!$L9*100</f>
        <v>22.660167783662182</v>
      </c>
      <c r="F9" s="881">
        <f>'59a'!F9/'59a'!$L9*100</f>
        <v>7.0544125228476364</v>
      </c>
      <c r="G9" s="702">
        <f>'59a'!G9/'59a'!$L9*100</f>
        <v>15.308618831138398</v>
      </c>
      <c r="H9" s="702">
        <f>'59a'!H9/'59a'!$L9*100</f>
        <v>31.968880348690071</v>
      </c>
      <c r="I9" s="702">
        <f>'59a'!I9/'59a'!$L9*100</f>
        <v>9.9676618081267296</v>
      </c>
      <c r="J9" s="702">
        <f>'59a'!J9/'59a'!$L9*100</f>
        <v>13.040258705534988</v>
      </c>
      <c r="K9" s="882">
        <f>'59a'!K9/'59a'!$L9*100</f>
        <v>77.339832216337811</v>
      </c>
      <c r="L9" s="701">
        <f>'59a'!L9/'59a'!$L9*100</f>
        <v>100</v>
      </c>
    </row>
    <row r="10" spans="1:12">
      <c r="A10" s="452">
        <v>1980</v>
      </c>
      <c r="B10" s="701">
        <f>'59a'!B10/'59a'!$L10*100</f>
        <v>7.416241806263657</v>
      </c>
      <c r="C10" s="701">
        <f>'59a'!C10/'59a'!$L10*100</f>
        <v>5.9550254916241805</v>
      </c>
      <c r="D10" s="701">
        <f>'59a'!D10/'59a'!$L10*100</f>
        <v>10.327749453750911</v>
      </c>
      <c r="E10" s="701">
        <f>'59a'!E10/'59a'!$L10*100</f>
        <v>23.699016751638752</v>
      </c>
      <c r="F10" s="881">
        <f>'59a'!F10/'59a'!$L10*100</f>
        <v>9.3190094683175531</v>
      </c>
      <c r="G10" s="702">
        <f>'59a'!G10/'59a'!$L10*100</f>
        <v>15.003641660597234</v>
      </c>
      <c r="H10" s="702">
        <f>'59a'!H10/'59a'!$L10*100</f>
        <v>29.82884195193008</v>
      </c>
      <c r="I10" s="702">
        <f>'59a'!I10/'59a'!$L10*100</f>
        <v>9.6331026948288407</v>
      </c>
      <c r="J10" s="702">
        <f>'59a'!J10/'59a'!$L10*100</f>
        <v>12.516387472687546</v>
      </c>
      <c r="K10" s="882">
        <f>'59a'!K10/'59a'!$L10*100</f>
        <v>76.300983248361248</v>
      </c>
      <c r="L10" s="701">
        <f>'59a'!L10/'59a'!$L10*100</f>
        <v>100</v>
      </c>
    </row>
    <row r="11" spans="1:12">
      <c r="A11" s="452">
        <v>1981</v>
      </c>
      <c r="B11" s="701">
        <f>'59a'!B11/'59a'!$L11*100</f>
        <v>7.5232863625507518</v>
      </c>
      <c r="C11" s="701">
        <f>'59a'!C11/'59a'!$L11*100</f>
        <v>6.1044325911772761</v>
      </c>
      <c r="D11" s="701">
        <f>'59a'!D11/'59a'!$L11*100</f>
        <v>11.200452900954453</v>
      </c>
      <c r="E11" s="701">
        <f>'59a'!E11/'59a'!$L11*100</f>
        <v>24.828171854682481</v>
      </c>
      <c r="F11" s="881">
        <f>'59a'!F11/'59a'!$L11*100</f>
        <v>12.150483418694547</v>
      </c>
      <c r="G11" s="702">
        <f>'59a'!G11/'59a'!$L11*100</f>
        <v>14.453024794558111</v>
      </c>
      <c r="H11" s="702">
        <f>'59a'!H11/'59a'!$L11*100</f>
        <v>27.161673256729379</v>
      </c>
      <c r="I11" s="702">
        <f>'59a'!I11/'59a'!$L11*100</f>
        <v>9.2950844324142601</v>
      </c>
      <c r="J11" s="702">
        <f>'59a'!J11/'59a'!$L11*100</f>
        <v>12.11156224292121</v>
      </c>
      <c r="K11" s="882">
        <f>'59a'!K11/'59a'!$L11*100</f>
        <v>75.171828145317505</v>
      </c>
      <c r="L11" s="701">
        <f>'59a'!L11/'59a'!$L11*100</f>
        <v>100</v>
      </c>
    </row>
    <row r="12" spans="1:12">
      <c r="A12" s="452">
        <v>1982</v>
      </c>
      <c r="B12" s="701">
        <f>'59a'!B12/'59a'!$L12*100</f>
        <v>7.1904383343841651</v>
      </c>
      <c r="C12" s="701">
        <f>'59a'!C12/'59a'!$L12*100</f>
        <v>6.6229885687655905</v>
      </c>
      <c r="D12" s="701">
        <f>'59a'!D12/'59a'!$L12*100</f>
        <v>11.869842923325749</v>
      </c>
      <c r="E12" s="701">
        <f>'59a'!E12/'59a'!$L12*100</f>
        <v>25.683269826475502</v>
      </c>
      <c r="F12" s="881">
        <f>'59a'!F12/'59a'!$L12*100</f>
        <v>10.637170244067363</v>
      </c>
      <c r="G12" s="702">
        <f>'59a'!G12/'59a'!$L12*100</f>
        <v>15.667461644599173</v>
      </c>
      <c r="H12" s="702">
        <f>'59a'!H12/'59a'!$L12*100</f>
        <v>27.569286438772988</v>
      </c>
      <c r="I12" s="702">
        <f>'59a'!I12/'59a'!$L12*100</f>
        <v>8.6725696062574809</v>
      </c>
      <c r="J12" s="702">
        <f>'59a'!J12/'59a'!$L12*100</f>
        <v>11.770242239827478</v>
      </c>
      <c r="K12" s="882">
        <f>'59a'!K12/'59a'!$L12*100</f>
        <v>74.316730173524491</v>
      </c>
      <c r="L12" s="701">
        <f>'59a'!L12/'59a'!$L12*100</f>
        <v>100</v>
      </c>
    </row>
    <row r="13" spans="1:12">
      <c r="A13" s="452">
        <v>1983</v>
      </c>
      <c r="B13" s="701">
        <f>'59a'!B13/'59a'!$L13*100</f>
        <v>7.3779713300671386</v>
      </c>
      <c r="C13" s="701">
        <f>'59a'!C13/'59a'!$L13*100</f>
        <v>7.0649609871166765</v>
      </c>
      <c r="D13" s="701">
        <f>'59a'!D13/'59a'!$L13*100</f>
        <v>11.315550716748323</v>
      </c>
      <c r="E13" s="701">
        <f>'59a'!E13/'59a'!$L13*100</f>
        <v>25.758483033932141</v>
      </c>
      <c r="F13" s="881">
        <f>'59a'!F13/'59a'!$L13*100</f>
        <v>9.7396116857194688</v>
      </c>
      <c r="G13" s="702">
        <f>'59a'!G13/'59a'!$L13*100</f>
        <v>15.610596987842495</v>
      </c>
      <c r="H13" s="702">
        <f>'59a'!H13/'59a'!$L13*100</f>
        <v>27.384322264561789</v>
      </c>
      <c r="I13" s="702">
        <f>'59a'!I13/'59a'!$L13*100</f>
        <v>9.0936309199782261</v>
      </c>
      <c r="J13" s="702">
        <f>'59a'!J13/'59a'!$L13*100</f>
        <v>12.413355107965888</v>
      </c>
      <c r="K13" s="882">
        <f>'59a'!K13/'59a'!$L13*100</f>
        <v>74.241516966067863</v>
      </c>
      <c r="L13" s="701">
        <f>'59a'!L13/'59a'!$L13*100</f>
        <v>100</v>
      </c>
    </row>
    <row r="14" spans="1:12">
      <c r="A14" s="452">
        <v>1984</v>
      </c>
      <c r="B14" s="701">
        <f>'59a'!B14/'59a'!$L14*100</f>
        <v>7.7165382199138195</v>
      </c>
      <c r="C14" s="701">
        <f>'59a'!C14/'59a'!$L14*100</f>
        <v>6.8697629560154665</v>
      </c>
      <c r="D14" s="701">
        <f>'59a'!D14/'59a'!$L14*100</f>
        <v>11.276179689781184</v>
      </c>
      <c r="E14" s="701">
        <f>'59a'!E14/'59a'!$L14*100</f>
        <v>25.862480865710474</v>
      </c>
      <c r="F14" s="881">
        <f>'59a'!F14/'59a'!$L14*100</f>
        <v>9.1357937301467942</v>
      </c>
      <c r="G14" s="702">
        <f>'59a'!G14/'59a'!$L14*100</f>
        <v>15.301237866869588</v>
      </c>
      <c r="H14" s="702">
        <f>'59a'!H14/'59a'!$L14*100</f>
        <v>27.421538352637214</v>
      </c>
      <c r="I14" s="702">
        <f>'59a'!I14/'59a'!$L14*100</f>
        <v>9.4428271852907102</v>
      </c>
      <c r="J14" s="702">
        <f>'59a'!J14/'59a'!$L14*100</f>
        <v>12.836121999345233</v>
      </c>
      <c r="K14" s="882">
        <f>'59a'!K14/'59a'!$L14*100</f>
        <v>74.137519134289533</v>
      </c>
      <c r="L14" s="701">
        <f>'59a'!L14/'59a'!$L14*100</f>
        <v>100</v>
      </c>
    </row>
    <row r="15" spans="1:12">
      <c r="A15" s="452">
        <v>1985</v>
      </c>
      <c r="B15" s="701">
        <f>'59a'!B15/'59a'!$L15*100</f>
        <v>7.4247037170820649</v>
      </c>
      <c r="C15" s="701">
        <f>'59a'!C15/'59a'!$L15*100</f>
        <v>6.8278376937234455</v>
      </c>
      <c r="D15" s="701">
        <f>'59a'!D15/'59a'!$L15*100</f>
        <v>11.460859693482634</v>
      </c>
      <c r="E15" s="701">
        <f>'59a'!E15/'59a'!$L15*100</f>
        <v>25.713401104288145</v>
      </c>
      <c r="F15" s="881">
        <f>'59a'!F15/'59a'!$L15*100</f>
        <v>9.3288267368457269</v>
      </c>
      <c r="G15" s="702">
        <f>'59a'!G15/'59a'!$L15*100</f>
        <v>14.55269449748009</v>
      </c>
      <c r="H15" s="702">
        <f>'59a'!H15/'59a'!$L15*100</f>
        <v>27.090321138001617</v>
      </c>
      <c r="I15" s="702">
        <f>'59a'!I15/'59a'!$L15*100</f>
        <v>9.7184237232743342</v>
      </c>
      <c r="J15" s="702">
        <f>'59a'!J15/'59a'!$L15*100</f>
        <v>13.596332800110087</v>
      </c>
      <c r="K15" s="882">
        <f>'59a'!K15/'59a'!$L15*100</f>
        <v>74.286598895711862</v>
      </c>
      <c r="L15" s="701">
        <f>'59a'!L15/'59a'!$L15*100</f>
        <v>100</v>
      </c>
    </row>
    <row r="16" spans="1:12">
      <c r="A16" s="452">
        <v>1986</v>
      </c>
      <c r="B16" s="701">
        <f>'59a'!B16/'59a'!$L16*100</f>
        <v>7.4757856624425401</v>
      </c>
      <c r="C16" s="701">
        <f>'59a'!C16/'59a'!$L16*100</f>
        <v>6.5898036990998348</v>
      </c>
      <c r="D16" s="701">
        <f>'59a'!D16/'59a'!$L16*100</f>
        <v>11.623716285549817</v>
      </c>
      <c r="E16" s="701">
        <f>'59a'!E16/'59a'!$L16*100</f>
        <v>25.689305647092191</v>
      </c>
      <c r="F16" s="881">
        <f>'59a'!F16/'59a'!$L16*100</f>
        <v>9.2243903659889721</v>
      </c>
      <c r="G16" s="702">
        <f>'59a'!G16/'59a'!$L16*100</f>
        <v>14.482718346167001</v>
      </c>
      <c r="H16" s="702">
        <f>'59a'!H16/'59a'!$L16*100</f>
        <v>27.276064304604269</v>
      </c>
      <c r="I16" s="702">
        <f>'59a'!I16/'59a'!$L16*100</f>
        <v>9.8033653966479513</v>
      </c>
      <c r="J16" s="702">
        <f>'59a'!J16/'59a'!$L16*100</f>
        <v>13.524155939499611</v>
      </c>
      <c r="K16" s="882">
        <f>'59a'!K16/'59a'!$L16*100</f>
        <v>74.310694352907802</v>
      </c>
      <c r="L16" s="701">
        <f>'59a'!L16/'59a'!$L16*100</f>
        <v>100</v>
      </c>
    </row>
    <row r="17" spans="1:12">
      <c r="A17" s="452">
        <v>1987</v>
      </c>
      <c r="B17" s="701">
        <f>'59a'!B17/'59a'!$L17*100</f>
        <v>7.5544672466776399</v>
      </c>
      <c r="C17" s="701">
        <f>'59a'!C17/'59a'!$L17*100</f>
        <v>6.3747151973145444</v>
      </c>
      <c r="D17" s="701">
        <f>'59a'!D17/'59a'!$L17*100</f>
        <v>11.949144983824018</v>
      </c>
      <c r="E17" s="701">
        <f>'59a'!E17/'59a'!$L17*100</f>
        <v>25.878327427816206</v>
      </c>
      <c r="F17" s="881">
        <f>'59a'!F17/'59a'!$L17*100</f>
        <v>11.538056125386156</v>
      </c>
      <c r="G17" s="702">
        <f>'59a'!G17/'59a'!$L17*100</f>
        <v>13.55539158848951</v>
      </c>
      <c r="H17" s="702">
        <f>'59a'!H17/'59a'!$L17*100</f>
        <v>25.626160494928278</v>
      </c>
      <c r="I17" s="702">
        <f>'59a'!I17/'59a'!$L17*100</f>
        <v>9.595316668153183</v>
      </c>
      <c r="J17" s="702">
        <f>'59a'!J17/'59a'!$L17*100</f>
        <v>13.806747695226665</v>
      </c>
      <c r="K17" s="882">
        <f>'59a'!K17/'59a'!$L17*100</f>
        <v>74.121672572183797</v>
      </c>
      <c r="L17" s="701">
        <f>'59a'!L17/'59a'!$L17*100</f>
        <v>100</v>
      </c>
    </row>
    <row r="18" spans="1:12">
      <c r="A18" s="452">
        <v>1988</v>
      </c>
      <c r="B18" s="701">
        <f>'59a'!B18/'59a'!$L18*100</f>
        <v>7.2410401668043596</v>
      </c>
      <c r="C18" s="701">
        <f>'59a'!C18/'59a'!$L18*100</f>
        <v>6.3763326645422724</v>
      </c>
      <c r="D18" s="701">
        <f>'59a'!D18/'59a'!$L18*100</f>
        <v>11.452850230142808</v>
      </c>
      <c r="E18" s="701">
        <f>'59a'!E18/'59a'!$L18*100</f>
        <v>25.07022306148944</v>
      </c>
      <c r="F18" s="881">
        <f>'59a'!F18/'59a'!$L18*100</f>
        <v>9.1592902946614743</v>
      </c>
      <c r="G18" s="702">
        <f>'59a'!G18/'59a'!$L18*100</f>
        <v>13.724379401235298</v>
      </c>
      <c r="H18" s="702">
        <f>'59a'!H18/'59a'!$L18*100</f>
        <v>27.014438018804839</v>
      </c>
      <c r="I18" s="702">
        <f>'59a'!I18/'59a'!$L18*100</f>
        <v>10.215980172312051</v>
      </c>
      <c r="J18" s="702">
        <f>'59a'!J18/'59a'!$L18*100</f>
        <v>14.815689051496914</v>
      </c>
      <c r="K18" s="882">
        <f>'59a'!K18/'59a'!$L18*100</f>
        <v>74.929776938510557</v>
      </c>
      <c r="L18" s="701">
        <f>'59a'!L18/'59a'!$L18*100</f>
        <v>100</v>
      </c>
    </row>
    <row r="19" spans="1:12">
      <c r="A19" s="452">
        <v>1989</v>
      </c>
      <c r="B19" s="701">
        <f>'59a'!B19/'59a'!$L19*100</f>
        <v>7.1605546236592241</v>
      </c>
      <c r="C19" s="701">
        <f>'59a'!C19/'59a'!$L19*100</f>
        <v>6.0263769409519705</v>
      </c>
      <c r="D19" s="701">
        <f>'59a'!D19/'59a'!$L19*100</f>
        <v>11.028608362444405</v>
      </c>
      <c r="E19" s="701">
        <f>'59a'!E19/'59a'!$L19*100</f>
        <v>24.215539927055602</v>
      </c>
      <c r="F19" s="881">
        <f>'59a'!F19/'59a'!$L19*100</f>
        <v>6.4457302903925759</v>
      </c>
      <c r="G19" s="702">
        <f>'59a'!G19/'59a'!$L19*100</f>
        <v>14.550407042058447</v>
      </c>
      <c r="H19" s="702">
        <f>'59a'!H19/'59a'!$L19*100</f>
        <v>28.805343100290852</v>
      </c>
      <c r="I19" s="702">
        <f>'59a'!I19/'59a'!$L19*100</f>
        <v>10.738523568427693</v>
      </c>
      <c r="J19" s="702">
        <f>'59a'!J19/'59a'!$L19*100</f>
        <v>15.244456071774826</v>
      </c>
      <c r="K19" s="882">
        <f>'59a'!K19/'59a'!$L19*100</f>
        <v>75.784460072944398</v>
      </c>
      <c r="L19" s="701">
        <f>'59a'!L19/'59a'!$L19*100</f>
        <v>100</v>
      </c>
    </row>
    <row r="20" spans="1:12">
      <c r="A20" s="452">
        <v>1990</v>
      </c>
      <c r="B20" s="701">
        <f>'59a'!B20/'59a'!$L20*100</f>
        <v>7.967813913681379</v>
      </c>
      <c r="C20" s="701">
        <f>'59a'!C20/'59a'!$L20*100</f>
        <v>6.2163773077393323</v>
      </c>
      <c r="D20" s="701">
        <f>'59a'!D20/'59a'!$L20*100</f>
        <v>11.296460447487467</v>
      </c>
      <c r="E20" s="701">
        <f>'59a'!E20/'59a'!$L20*100</f>
        <v>25.480651668908177</v>
      </c>
      <c r="F20" s="881">
        <f>'59a'!F20/'59a'!$L20*100</f>
        <v>7.0271426824795213</v>
      </c>
      <c r="G20" s="702">
        <f>'59a'!G20/'59a'!$L20*100</f>
        <v>14.248379997554714</v>
      </c>
      <c r="H20" s="702">
        <f>'59a'!H20/'59a'!$L20*100</f>
        <v>28.059664995720752</v>
      </c>
      <c r="I20" s="702">
        <f>'59a'!I20/'59a'!$L20*100</f>
        <v>10.206779557403106</v>
      </c>
      <c r="J20" s="702">
        <f>'59a'!J20/'59a'!$L20*100</f>
        <v>14.977381097933733</v>
      </c>
      <c r="K20" s="882">
        <f>'59a'!K20/'59a'!$L20*100</f>
        <v>74.51934833109182</v>
      </c>
      <c r="L20" s="701">
        <f>'59a'!L20/'59a'!$L20*100</f>
        <v>100</v>
      </c>
    </row>
    <row r="21" spans="1:12">
      <c r="A21" s="452">
        <v>1991</v>
      </c>
      <c r="B21" s="701">
        <f>'59a'!B21/'59a'!$L21*100</f>
        <v>7.8165103364599364</v>
      </c>
      <c r="C21" s="701">
        <f>'59a'!C21/'59a'!$L21*100</f>
        <v>6.8201969293947453</v>
      </c>
      <c r="D21" s="701">
        <f>'59a'!D21/'59a'!$L21*100</f>
        <v>12.182867453762034</v>
      </c>
      <c r="E21" s="701">
        <f>'59a'!E21/'59a'!$L21*100</f>
        <v>26.819574719616718</v>
      </c>
      <c r="F21" s="881">
        <f>'59a'!F21/'59a'!$L21*100</f>
        <v>9.2094824770171257</v>
      </c>
      <c r="G21" s="702">
        <f>'59a'!G21/'59a'!$L21*100</f>
        <v>14.171605456779751</v>
      </c>
      <c r="H21" s="702">
        <f>'59a'!H21/'59a'!$L21*100</f>
        <v>26.394916546113517</v>
      </c>
      <c r="I21" s="702">
        <f>'59a'!I21/'59a'!$L21*100</f>
        <v>9.2631480703719244</v>
      </c>
      <c r="J21" s="702">
        <f>'59a'!J21/'59a'!$L21*100</f>
        <v>14.141272730100951</v>
      </c>
      <c r="K21" s="882">
        <f>'59a'!K21/'59a'!$L21*100</f>
        <v>73.180425280383275</v>
      </c>
      <c r="L21" s="701">
        <f>'59a'!L21/'59a'!$L21*100</f>
        <v>100</v>
      </c>
    </row>
    <row r="22" spans="1:12">
      <c r="A22" s="452">
        <v>1992</v>
      </c>
      <c r="B22" s="701">
        <f>'59a'!B22/'59a'!$L22*100</f>
        <v>7.9680774185440031</v>
      </c>
      <c r="C22" s="701">
        <f>'59a'!C22/'59a'!$L22*100</f>
        <v>7.1118861344141759</v>
      </c>
      <c r="D22" s="701">
        <f>'59a'!D22/'59a'!$L22*100</f>
        <v>12.882144091494643</v>
      </c>
      <c r="E22" s="701">
        <f>'59a'!E22/'59a'!$L22*100</f>
        <v>27.962107644452828</v>
      </c>
      <c r="F22" s="881">
        <f>'59a'!F22/'59a'!$L22*100</f>
        <v>11.644986960756592</v>
      </c>
      <c r="G22" s="702">
        <f>'59a'!G22/'59a'!$L22*100</f>
        <v>13.443774154020172</v>
      </c>
      <c r="H22" s="702">
        <f>'59a'!H22/'59a'!$L22*100</f>
        <v>24.341753856788266</v>
      </c>
      <c r="I22" s="702">
        <f>'59a'!I22/'59a'!$L22*100</f>
        <v>8.7598579822163583</v>
      </c>
      <c r="J22" s="702">
        <f>'59a'!J22/'59a'!$L22*100</f>
        <v>13.847519401765798</v>
      </c>
      <c r="K22" s="882">
        <f>'59a'!K22/'59a'!$L22*100</f>
        <v>72.037892355547186</v>
      </c>
      <c r="L22" s="701">
        <f>'59a'!L22/'59a'!$L22*100</f>
        <v>100</v>
      </c>
    </row>
    <row r="23" spans="1:12">
      <c r="A23" s="452">
        <v>1993</v>
      </c>
      <c r="B23" s="701">
        <f>'59a'!B23/'59a'!$L23*100</f>
        <v>7.495622537677443</v>
      </c>
      <c r="C23" s="701">
        <f>'59a'!C23/'59a'!$L23*100</f>
        <v>7.2712775936464258</v>
      </c>
      <c r="D23" s="701">
        <f>'59a'!D23/'59a'!$L23*100</f>
        <v>13.05030954912138</v>
      </c>
      <c r="E23" s="701">
        <f>'59a'!E23/'59a'!$L23*100</f>
        <v>27.817209680445249</v>
      </c>
      <c r="F23" s="881">
        <f>'59a'!F23/'59a'!$L23*100</f>
        <v>10.220592833468825</v>
      </c>
      <c r="G23" s="702">
        <f>'59a'!G23/'59a'!$L23*100</f>
        <v>13.326246013382526</v>
      </c>
      <c r="H23" s="702">
        <f>'59a'!H23/'59a'!$L23*100</f>
        <v>24.617753736476764</v>
      </c>
      <c r="I23" s="702">
        <f>'59a'!I23/'59a'!$L23*100</f>
        <v>9.2036145331749122</v>
      </c>
      <c r="J23" s="702">
        <f>'59a'!J23/'59a'!$L23*100</f>
        <v>14.814583203051715</v>
      </c>
      <c r="K23" s="882">
        <f>'59a'!K23/'59a'!$L23*100</f>
        <v>72.182790319554741</v>
      </c>
      <c r="L23" s="701">
        <f>'59a'!L23/'59a'!$L23*100</f>
        <v>100</v>
      </c>
    </row>
    <row r="24" spans="1:12">
      <c r="A24" s="452">
        <v>1994</v>
      </c>
      <c r="B24" s="701">
        <f>'59a'!B24/'59a'!$L24*100</f>
        <v>7.379697981437805</v>
      </c>
      <c r="C24" s="701">
        <f>'59a'!C24/'59a'!$L24*100</f>
        <v>6.9210034612674987</v>
      </c>
      <c r="D24" s="701">
        <f>'59a'!D24/'59a'!$L24*100</f>
        <v>12.561644255214876</v>
      </c>
      <c r="E24" s="701">
        <f>'59a'!E24/'59a'!$L24*100</f>
        <v>26.86234569792018</v>
      </c>
      <c r="F24" s="881">
        <f>'59a'!F24/'59a'!$L24*100</f>
        <v>9.2282598707385066</v>
      </c>
      <c r="G24" s="702">
        <f>'59a'!G24/'59a'!$L24*100</f>
        <v>13.724844549269458</v>
      </c>
      <c r="H24" s="702">
        <f>'59a'!H24/'59a'!$L24*100</f>
        <v>25.150090360523176</v>
      </c>
      <c r="I24" s="702">
        <f>'59a'!I24/'59a'!$L24*100</f>
        <v>9.5866388948448567</v>
      </c>
      <c r="J24" s="702">
        <f>'59a'!J24/'59a'!$L24*100</f>
        <v>15.447820626703832</v>
      </c>
      <c r="K24" s="882">
        <f>'59a'!K24/'59a'!$L24*100</f>
        <v>73.137654302079824</v>
      </c>
      <c r="L24" s="701">
        <f>'59a'!L24/'59a'!$L24*100</f>
        <v>100</v>
      </c>
    </row>
    <row r="25" spans="1:12">
      <c r="A25" s="452">
        <v>1995</v>
      </c>
      <c r="B25" s="701">
        <f>'59a'!B25/'59a'!$L25*100</f>
        <v>7.3875174872512304</v>
      </c>
      <c r="C25" s="701">
        <f>'59a'!C25/'59a'!$L25*100</f>
        <v>6.806865532439792</v>
      </c>
      <c r="D25" s="701">
        <f>'59a'!D25/'59a'!$L25*100</f>
        <v>12.672051987905592</v>
      </c>
      <c r="E25" s="701">
        <f>'59a'!E25/'59a'!$L25*100</f>
        <v>26.866435007596611</v>
      </c>
      <c r="F25" s="881">
        <f>'59a'!F25/'59a'!$L25*100</f>
        <v>10.289272981632745</v>
      </c>
      <c r="G25" s="702">
        <f>'59a'!G25/'59a'!$L25*100</f>
        <v>13.184259217473715</v>
      </c>
      <c r="H25" s="702">
        <f>'59a'!H25/'59a'!$L25*100</f>
        <v>25.298223445703027</v>
      </c>
      <c r="I25" s="702">
        <f>'59a'!I25/'59a'!$L25*100</f>
        <v>9.3257818493614337</v>
      </c>
      <c r="J25" s="702">
        <f>'59a'!J25/'59a'!$L25*100</f>
        <v>15.036027498232471</v>
      </c>
      <c r="K25" s="882">
        <f>'59a'!K25/'59a'!$L25*100</f>
        <v>73.133564992403393</v>
      </c>
      <c r="L25" s="701">
        <f>'59a'!L25/'59a'!$L25*100</f>
        <v>100</v>
      </c>
    </row>
    <row r="26" spans="1:12">
      <c r="A26" s="452">
        <v>1996</v>
      </c>
      <c r="B26" s="701">
        <f>'59a'!B26/'59a'!$L26*100</f>
        <v>7.4306150579294403</v>
      </c>
      <c r="C26" s="701">
        <f>'59a'!C26/'59a'!$L26*100</f>
        <v>6.7905971761725583</v>
      </c>
      <c r="D26" s="701">
        <f>'59a'!D26/'59a'!$L26*100</f>
        <v>12.578325820511866</v>
      </c>
      <c r="E26" s="701">
        <f>'59a'!E26/'59a'!$L26*100</f>
        <v>26.799538054613866</v>
      </c>
      <c r="F26" s="881">
        <f>'59a'!F26/'59a'!$L26*100</f>
        <v>9.1159706441157837</v>
      </c>
      <c r="G26" s="702">
        <f>'59a'!G26/'59a'!$L26*100</f>
        <v>13.157247699586486</v>
      </c>
      <c r="H26" s="702">
        <f>'59a'!H26/'59a'!$L26*100</f>
        <v>25.557501024475656</v>
      </c>
      <c r="I26" s="702">
        <f>'59a'!I26/'59a'!$L26*100</f>
        <v>9.6233654956599484</v>
      </c>
      <c r="J26" s="702">
        <f>'59a'!J26/'59a'!$L26*100</f>
        <v>15.746377081548262</v>
      </c>
      <c r="K26" s="882">
        <f>'59a'!K26/'59a'!$L26*100</f>
        <v>73.200461945386138</v>
      </c>
      <c r="L26" s="701">
        <f>'59a'!L26/'59a'!$L26*100</f>
        <v>100</v>
      </c>
    </row>
    <row r="27" spans="1:12">
      <c r="A27" s="452">
        <v>1997</v>
      </c>
      <c r="B27" s="701">
        <f>'59a'!B27/'59a'!$L27*100</f>
        <v>7.7418083918839047</v>
      </c>
      <c r="C27" s="701">
        <f>'59a'!C27/'59a'!$L27*100</f>
        <v>6.7043141375008206</v>
      </c>
      <c r="D27" s="701">
        <f>'59a'!D27/'59a'!$L27*100</f>
        <v>12.709669417266763</v>
      </c>
      <c r="E27" s="701">
        <f>'59a'!E27/'59a'!$L27*100</f>
        <v>27.15579194665149</v>
      </c>
      <c r="F27" s="881">
        <f>'59a'!F27/'59a'!$L27*100</f>
        <v>8.6501630660800668</v>
      </c>
      <c r="G27" s="702">
        <f>'59a'!G27/'59a'!$L27*100</f>
        <v>13.995228401952414</v>
      </c>
      <c r="H27" s="702">
        <f>'59a'!H27/'59a'!$L27*100</f>
        <v>23.774085990909157</v>
      </c>
      <c r="I27" s="702">
        <f>'59a'!I27/'59a'!$L27*100</f>
        <v>10.87763842376752</v>
      </c>
      <c r="J27" s="702">
        <f>'59a'!J27/'59a'!$L27*100</f>
        <v>15.547092170639351</v>
      </c>
      <c r="K27" s="882">
        <f>'59a'!K27/'59a'!$L27*100</f>
        <v>72.84420805334851</v>
      </c>
      <c r="L27" s="701">
        <f>'59a'!L27/'59a'!$L27*100</f>
        <v>100</v>
      </c>
    </row>
    <row r="28" spans="1:12">
      <c r="A28" s="452">
        <v>1998</v>
      </c>
      <c r="B28" s="701">
        <f>'59a'!B28/'59a'!$L28*100</f>
        <v>7.9694719530688243</v>
      </c>
      <c r="C28" s="701">
        <f>'59a'!C28/'59a'!$L28*100</f>
        <v>6.5648115847103465</v>
      </c>
      <c r="D28" s="701">
        <f>'59a'!D28/'59a'!$L28*100</f>
        <v>13.205800898470038</v>
      </c>
      <c r="E28" s="701">
        <f>'59a'!E28/'59a'!$L28*100</f>
        <v>27.740084436249209</v>
      </c>
      <c r="F28" s="881">
        <f>'59a'!F28/'59a'!$L28*100</f>
        <v>9.5001459479855619</v>
      </c>
      <c r="G28" s="702">
        <f>'59a'!G28/'59a'!$L28*100</f>
        <v>13.680665807590719</v>
      </c>
      <c r="H28" s="702">
        <f>'59a'!H28/'59a'!$L28*100</f>
        <v>23.153046041249883</v>
      </c>
      <c r="I28" s="702">
        <f>'59a'!I28/'59a'!$L28*100</f>
        <v>10.853546536049151</v>
      </c>
      <c r="J28" s="702">
        <f>'59a'!J28/'59a'!$L28*100</f>
        <v>15.072511230875474</v>
      </c>
      <c r="K28" s="882">
        <f>'59a'!K28/'59a'!$L28*100</f>
        <v>72.259915563750795</v>
      </c>
      <c r="L28" s="701">
        <f>'59a'!L28/'59a'!$L28*100</f>
        <v>100</v>
      </c>
    </row>
    <row r="29" spans="1:12">
      <c r="A29" s="452">
        <v>1999</v>
      </c>
      <c r="B29" s="701">
        <f>'59a'!B29/'59a'!$L29*100</f>
        <v>7.5548706842697113</v>
      </c>
      <c r="C29" s="701">
        <f>'59a'!C29/'59a'!$L29*100</f>
        <v>6.3373731484180862</v>
      </c>
      <c r="D29" s="701">
        <f>'59a'!D29/'59a'!$L29*100</f>
        <v>13.02458595366013</v>
      </c>
      <c r="E29" s="701">
        <f>'59a'!E29/'59a'!$L29*100</f>
        <v>26.916829786347929</v>
      </c>
      <c r="F29" s="881">
        <f>'59a'!F29/'59a'!$L29*100</f>
        <v>9.0701484042036302</v>
      </c>
      <c r="G29" s="702">
        <f>'59a'!G29/'59a'!$L29*100</f>
        <v>14.112975997112438</v>
      </c>
      <c r="H29" s="702">
        <f>'59a'!H29/'59a'!$L29*100</f>
        <v>23.849485652409317</v>
      </c>
      <c r="I29" s="702">
        <f>'59a'!I29/'59a'!$L29*100</f>
        <v>10.988713506309608</v>
      </c>
      <c r="J29" s="702">
        <f>'59a'!J29/'59a'!$L29*100</f>
        <v>15.061846653617096</v>
      </c>
      <c r="K29" s="882">
        <f>'59a'!K29/'59a'!$L29*100</f>
        <v>73.083170213652082</v>
      </c>
      <c r="L29" s="701">
        <f>'59a'!L29/'59a'!$L29*100</f>
        <v>100</v>
      </c>
    </row>
    <row r="30" spans="1:12">
      <c r="A30" s="452">
        <v>2000</v>
      </c>
      <c r="B30" s="701">
        <f>'59a'!B30/'59a'!$L30*100</f>
        <v>7.447017467810868</v>
      </c>
      <c r="C30" s="701">
        <f>'59a'!C30/'59a'!$L30*100</f>
        <v>6.2082184729381016</v>
      </c>
      <c r="D30" s="701">
        <f>'59a'!D30/'59a'!$L30*100</f>
        <v>12.562735788354344</v>
      </c>
      <c r="E30" s="701">
        <f>'59a'!E30/'59a'!$L30*100</f>
        <v>26.217971729103308</v>
      </c>
      <c r="F30" s="881">
        <f>'59a'!F30/'59a'!$L30*100</f>
        <v>7.8953963276281307</v>
      </c>
      <c r="G30" s="702">
        <f>'59a'!G30/'59a'!$L30*100</f>
        <v>14.692196717758376</v>
      </c>
      <c r="H30" s="702">
        <f>'59a'!H30/'59a'!$L30*100</f>
        <v>24.69267083437752</v>
      </c>
      <c r="I30" s="702">
        <f>'59a'!I30/'59a'!$L30*100</f>
        <v>11.47159025487155</v>
      </c>
      <c r="J30" s="702">
        <f>'59a'!J30/'59a'!$L30*100</f>
        <v>15.030174136261115</v>
      </c>
      <c r="K30" s="882">
        <f>'59a'!K30/'59a'!$L30*100</f>
        <v>73.782028270896689</v>
      </c>
      <c r="L30" s="701">
        <f>'59a'!L30/'59a'!$L30*100</f>
        <v>100</v>
      </c>
    </row>
    <row r="31" spans="1:12">
      <c r="A31" s="452">
        <v>2001</v>
      </c>
      <c r="B31" s="701">
        <f>'59a'!B31/'59a'!$L31*100</f>
        <v>7.8749640374412051</v>
      </c>
      <c r="C31" s="701">
        <f>'59a'!C31/'59a'!$L31*100</f>
        <v>6.2885970253109509</v>
      </c>
      <c r="D31" s="701">
        <f>'59a'!D31/'59a'!$L31*100</f>
        <v>13.519914894186444</v>
      </c>
      <c r="E31" s="701">
        <f>'59a'!E31/'59a'!$L31*100</f>
        <v>27.683475956938601</v>
      </c>
      <c r="F31" s="881">
        <f>'59a'!F31/'59a'!$L31*100</f>
        <v>9.8627735663484106</v>
      </c>
      <c r="G31" s="702">
        <f>'59a'!G31/'59a'!$L31*100</f>
        <v>14.312094793959625</v>
      </c>
      <c r="H31" s="702">
        <f>'59a'!H31/'59a'!$L31*100</f>
        <v>22.870849251644245</v>
      </c>
      <c r="I31" s="702">
        <f>'59a'!I31/'59a'!$L31*100</f>
        <v>11.348110878423133</v>
      </c>
      <c r="J31" s="702">
        <f>'59a'!J31/'59a'!$L31*100</f>
        <v>13.922695552685985</v>
      </c>
      <c r="K31" s="882">
        <f>'59a'!K31/'59a'!$L31*100</f>
        <v>72.316524043061406</v>
      </c>
      <c r="L31" s="701">
        <f>'59a'!L31/'59a'!$L31*100</f>
        <v>100</v>
      </c>
    </row>
    <row r="32" spans="1:12">
      <c r="A32" s="452">
        <v>2002</v>
      </c>
      <c r="B32" s="701">
        <f>'59a'!B32/'59a'!$L32*100</f>
        <v>7.992658537063285</v>
      </c>
      <c r="C32" s="701">
        <f>'59a'!C32/'59a'!$L32*100</f>
        <v>6.6047040227820499</v>
      </c>
      <c r="D32" s="701">
        <f>'59a'!D32/'59a'!$L32*100</f>
        <v>13.773080867128664</v>
      </c>
      <c r="E32" s="701">
        <f>'59a'!E32/'59a'!$L32*100</f>
        <v>28.370443426974003</v>
      </c>
      <c r="F32" s="881">
        <f>'59a'!F32/'59a'!$L32*100</f>
        <v>9.9697589204653081</v>
      </c>
      <c r="G32" s="702">
        <f>'59a'!G32/'59a'!$L32*100</f>
        <v>14.218532621829748</v>
      </c>
      <c r="H32" s="702">
        <f>'59a'!H32/'59a'!$L32*100</f>
        <v>21.874816300137816</v>
      </c>
      <c r="I32" s="702">
        <f>'59a'!I32/'59a'!$L32*100</f>
        <v>11.879584332116288</v>
      </c>
      <c r="J32" s="702">
        <f>'59a'!J32/'59a'!$L32*100</f>
        <v>13.686864398476843</v>
      </c>
      <c r="K32" s="882">
        <f>'59a'!K32/'59a'!$L32*100</f>
        <v>71.629556573025994</v>
      </c>
      <c r="L32" s="701">
        <f>'59a'!L32/'59a'!$L32*100</f>
        <v>100</v>
      </c>
    </row>
    <row r="33" spans="1:12">
      <c r="A33" s="452">
        <v>2003</v>
      </c>
      <c r="B33" s="701">
        <f>'59a'!B33/'59a'!$L33*100</f>
        <v>8.1876419693218647</v>
      </c>
      <c r="C33" s="701">
        <f>'59a'!C33/'59a'!$L33*100</f>
        <v>6.7787958449248373</v>
      </c>
      <c r="D33" s="701">
        <f>'59a'!D33/'59a'!$L33*100</f>
        <v>14.620606926826779</v>
      </c>
      <c r="E33" s="701">
        <f>'59a'!E33/'59a'!$L33*100</f>
        <v>29.58704474107348</v>
      </c>
      <c r="F33" s="881">
        <f>'59a'!F33/'59a'!$L33*100</f>
        <v>12.013475919450753</v>
      </c>
      <c r="G33" s="702">
        <f>'59a'!G33/'59a'!$L33*100</f>
        <v>13.619483933539216</v>
      </c>
      <c r="H33" s="702">
        <f>'59a'!H33/'59a'!$L33*100</f>
        <v>20.808555167045249</v>
      </c>
      <c r="I33" s="702">
        <f>'59a'!I33/'59a'!$L33*100</f>
        <v>11.125290319287409</v>
      </c>
      <c r="J33" s="702">
        <f>'59a'!J33/'59a'!$L33*100</f>
        <v>12.846149919603889</v>
      </c>
      <c r="K33" s="882">
        <f>'59a'!K33/'59a'!$L33*100</f>
        <v>70.41295525892653</v>
      </c>
      <c r="L33" s="701">
        <f>'59a'!L33/'59a'!$L33*100</f>
        <v>100</v>
      </c>
    </row>
    <row r="34" spans="1:12">
      <c r="A34" s="452">
        <v>2004</v>
      </c>
      <c r="B34" s="701">
        <f>'59a'!B34/'59a'!$L34*100</f>
        <v>8.0454003887878596</v>
      </c>
      <c r="C34" s="701">
        <f>'59a'!C34/'59a'!$L34*100</f>
        <v>6.5021634163165487</v>
      </c>
      <c r="D34" s="701">
        <f>'59a'!D34/'59a'!$L34*100</f>
        <v>14.406471436633851</v>
      </c>
      <c r="E34" s="701">
        <f>'59a'!E34/'59a'!$L34*100</f>
        <v>28.954035241738257</v>
      </c>
      <c r="F34" s="881">
        <f>'59a'!F34/'59a'!$L34*100</f>
        <v>10.891076691540729</v>
      </c>
      <c r="G34" s="702">
        <f>'59a'!G34/'59a'!$L34*100</f>
        <v>14.006396187370665</v>
      </c>
      <c r="H34" s="702">
        <f>'59a'!H34/'59a'!$L34*100</f>
        <v>21.505612340879164</v>
      </c>
      <c r="I34" s="702">
        <f>'59a'!I34/'59a'!$L34*100</f>
        <v>11.289270709224306</v>
      </c>
      <c r="J34" s="702">
        <f>'59a'!J34/'59a'!$L34*100</f>
        <v>13.35360882924688</v>
      </c>
      <c r="K34" s="882">
        <f>'59a'!K34/'59a'!$L34*100</f>
        <v>71.045964758261732</v>
      </c>
      <c r="L34" s="701">
        <f>'59a'!L34/'59a'!$L34*100</f>
        <v>100</v>
      </c>
    </row>
    <row r="35" spans="1:12">
      <c r="A35" s="452">
        <v>2005</v>
      </c>
      <c r="B35" s="702">
        <f>'59a'!B35/'59a'!$L35*100</f>
        <v>8.0879169810387257</v>
      </c>
      <c r="C35" s="702">
        <f>'59a'!C35/'59a'!$L35*100</f>
        <v>6.329701047632005</v>
      </c>
      <c r="D35" s="702">
        <f>'59a'!D35/'59a'!$L35*100</f>
        <v>13.885143910252443</v>
      </c>
      <c r="E35" s="702">
        <f>'59a'!E35/'59a'!$L35*100</f>
        <v>28.302761938923176</v>
      </c>
      <c r="F35" s="881">
        <f>'59a'!F35/'59a'!$L35*100</f>
        <v>10.172667565461539</v>
      </c>
      <c r="G35" s="702">
        <f>'59a'!G35/'59a'!$L35*100</f>
        <v>14.387314623557495</v>
      </c>
      <c r="H35" s="702">
        <f>'59a'!H35/'59a'!$L35*100</f>
        <v>21.388638078393051</v>
      </c>
      <c r="I35" s="702">
        <f>'59a'!I35/'59a'!$L35*100</f>
        <v>12.01870153001274</v>
      </c>
      <c r="J35" s="702">
        <f>'59a'!J35/'59a'!$L35*100</f>
        <v>13.729916263651992</v>
      </c>
      <c r="K35" s="882">
        <f>'59a'!K35/'59a'!$L35*100</f>
        <v>71.697238061076831</v>
      </c>
      <c r="L35" s="702">
        <f>'59a'!L35/'59a'!$L35*100</f>
        <v>100</v>
      </c>
    </row>
    <row r="36" spans="1:12" s="703" customFormat="1">
      <c r="A36" s="452">
        <v>2006</v>
      </c>
      <c r="B36" s="702">
        <f>'59a'!B36/'59a'!$L36*100</f>
        <v>8.1896107205037509</v>
      </c>
      <c r="C36" s="702">
        <f>'59a'!C36/'59a'!$L36*100</f>
        <v>6.315706460086262</v>
      </c>
      <c r="D36" s="702">
        <f>'59a'!D36/'59a'!$L36*100</f>
        <v>14.213524383807622</v>
      </c>
      <c r="E36" s="702">
        <f>'59a'!E36/'59a'!$L36*100</f>
        <v>28.718841564397636</v>
      </c>
      <c r="F36" s="881">
        <f>'59a'!F36/'59a'!$L36*100</f>
        <v>11.186401606376975</v>
      </c>
      <c r="G36" s="702">
        <f>'59a'!G36/'59a'!$L36*100</f>
        <v>13.857427976923494</v>
      </c>
      <c r="H36" s="702">
        <f>'59a'!H36/'59a'!$L36*100</f>
        <v>21.467699568680498</v>
      </c>
      <c r="I36" s="702">
        <f>'59a'!I36/'59a'!$L36*100</f>
        <v>11.495180262431525</v>
      </c>
      <c r="J36" s="702">
        <f>'59a'!J36/'59a'!$L36*100</f>
        <v>13.274449021189854</v>
      </c>
      <c r="K36" s="882">
        <f>'59a'!K36/'59a'!$L36*100</f>
        <v>71.28115843560235</v>
      </c>
      <c r="L36" s="702">
        <f>'59a'!L36/'59a'!$L36*100</f>
        <v>100</v>
      </c>
    </row>
    <row r="37" spans="1:12" s="703" customFormat="1">
      <c r="A37" s="452">
        <v>2007</v>
      </c>
      <c r="B37" s="702">
        <f>'59a'!B37/'59a'!$L37*100</f>
        <v>8.5928236019541799</v>
      </c>
      <c r="C37" s="702">
        <f>'59a'!C37/'59a'!$L37*100</f>
        <v>6.3528672390077308</v>
      </c>
      <c r="D37" s="702">
        <f>'59a'!D37/'59a'!$L37*100</f>
        <v>13.772352132049518</v>
      </c>
      <c r="E37" s="702">
        <f>'59a'!E37/'59a'!$L37*100</f>
        <v>28.718042973011432</v>
      </c>
      <c r="F37" s="881">
        <f>'59a'!F37/'59a'!$L37*100</f>
        <v>9.7377033628990173</v>
      </c>
      <c r="G37" s="702">
        <f>'59a'!G37/'59a'!$L37*100</f>
        <v>14.280462932220269</v>
      </c>
      <c r="H37" s="702">
        <f>'59a'!H37/'59a'!$L37*100</f>
        <v>22.038490727126117</v>
      </c>
      <c r="I37" s="702">
        <f>'59a'!I37/'59a'!$L37*100</f>
        <v>11.646231560973295</v>
      </c>
      <c r="J37" s="702">
        <f>'59a'!J37/'59a'!$L37*100</f>
        <v>13.579068443769863</v>
      </c>
      <c r="K37" s="882">
        <f>'59a'!K37/'59a'!$L37*100</f>
        <v>71.281957026988565</v>
      </c>
      <c r="L37" s="702">
        <f>'59a'!L37/'59a'!$L37*100</f>
        <v>100</v>
      </c>
    </row>
    <row r="38" spans="1:12" s="703" customFormat="1">
      <c r="A38" s="452">
        <v>2008</v>
      </c>
      <c r="B38" s="702">
        <f>'59a'!B38/'59a'!$L38*100</f>
        <v>8.4521598990996036</v>
      </c>
      <c r="C38" s="702">
        <f>'59a'!C38/'59a'!$L38*100</f>
        <v>6.5970640787583648</v>
      </c>
      <c r="D38" s="702">
        <f>'59a'!D38/'59a'!$L38*100</f>
        <v>14.092772308446905</v>
      </c>
      <c r="E38" s="702">
        <f>'59a'!E38/'59a'!$L38*100</f>
        <v>29.141996286304877</v>
      </c>
      <c r="F38" s="881">
        <f>'59a'!F38/'59a'!$L38*100</f>
        <v>10.530310992771142</v>
      </c>
      <c r="G38" s="702">
        <f>'59a'!G38/'59a'!$L38*100</f>
        <v>14.145908512303073</v>
      </c>
      <c r="H38" s="702">
        <f>'59a'!H38/'59a'!$L38*100</f>
        <v>21.789347066998328</v>
      </c>
      <c r="I38" s="702">
        <f>'59a'!I38/'59a'!$L38*100</f>
        <v>11.50544792068108</v>
      </c>
      <c r="J38" s="702">
        <f>'59a'!J38/'59a'!$L38*100</f>
        <v>12.886989220941503</v>
      </c>
      <c r="K38" s="882">
        <f>'59a'!K38/'59a'!$L38*100</f>
        <v>70.858003713695126</v>
      </c>
      <c r="L38" s="702">
        <f>'59a'!L38/'59a'!$L38*100</f>
        <v>100</v>
      </c>
    </row>
    <row r="39" spans="1:12">
      <c r="A39" s="452"/>
    </row>
    <row r="40" spans="1:12">
      <c r="A40" s="452" t="s">
        <v>1716</v>
      </c>
      <c r="B40" s="708">
        <f>(POWER(B38/B6, 1/32)-1)*100</f>
        <v>0.51721664050701222</v>
      </c>
      <c r="C40" s="708">
        <f t="shared" ref="C40:L40" si="0">(POWER(C38/C6, 1/32)-1)*100</f>
        <v>0.69266722297267602</v>
      </c>
      <c r="D40" s="708">
        <f t="shared" si="0"/>
        <v>0.97919713952832055</v>
      </c>
      <c r="E40" s="708">
        <f t="shared" si="0"/>
        <v>0.77361411023417759</v>
      </c>
      <c r="F40" s="708">
        <f t="shared" si="0"/>
        <v>-0.288872626962422</v>
      </c>
      <c r="G40" s="708">
        <f t="shared" si="0"/>
        <v>-1.182436908814255E-2</v>
      </c>
      <c r="H40" s="708">
        <f t="shared" si="0"/>
        <v>-0.95893704063357843</v>
      </c>
      <c r="I40" s="708">
        <f t="shared" si="0"/>
        <v>0.53786329632534713</v>
      </c>
      <c r="J40" s="708">
        <f t="shared" si="0"/>
        <v>0.19034014162326862</v>
      </c>
      <c r="K40" s="708">
        <f t="shared" si="0"/>
        <v>-0.26861036877098288</v>
      </c>
      <c r="L40" s="708">
        <f t="shared" si="0"/>
        <v>0</v>
      </c>
    </row>
    <row r="41" spans="1:12">
      <c r="A41" s="452" t="s">
        <v>1707</v>
      </c>
      <c r="B41" s="708">
        <f>(POWER(B38/B11, 1/27)-1)*100</f>
        <v>0.43211225484938165</v>
      </c>
      <c r="C41" s="708">
        <f t="shared" ref="C41:L41" si="1">(POWER(C38/C11, 1/27)-1)*100</f>
        <v>0.28785629779448652</v>
      </c>
      <c r="D41" s="708">
        <f t="shared" si="1"/>
        <v>0.8543991412870211</v>
      </c>
      <c r="E41" s="708">
        <f t="shared" si="1"/>
        <v>0.59510201525370121</v>
      </c>
      <c r="F41" s="708">
        <f t="shared" si="1"/>
        <v>-0.52863886020568795</v>
      </c>
      <c r="G41" s="708">
        <f t="shared" si="1"/>
        <v>-7.951758944845233E-2</v>
      </c>
      <c r="H41" s="708">
        <f t="shared" si="1"/>
        <v>-0.81292120263328771</v>
      </c>
      <c r="I41" s="708">
        <f t="shared" si="1"/>
        <v>0.79325920721267096</v>
      </c>
      <c r="J41" s="708">
        <f t="shared" si="1"/>
        <v>0.23010753180543464</v>
      </c>
      <c r="K41" s="708">
        <f t="shared" si="1"/>
        <v>-0.21864435852607667</v>
      </c>
      <c r="L41" s="708">
        <f t="shared" si="1"/>
        <v>0</v>
      </c>
    </row>
    <row r="43" spans="1:12">
      <c r="A43" s="449" t="s">
        <v>1128</v>
      </c>
    </row>
  </sheetData>
  <phoneticPr fontId="36" type="noConversion"/>
  <pageMargins left="0.75" right="0.75" top="1" bottom="1" header="0.5" footer="0.5"/>
  <pageSetup scale="89" orientation="portrait" horizontalDpi="4294967293" verticalDpi="0" r:id="rId1"/>
  <headerFooter alignWithMargins="0"/>
</worksheet>
</file>

<file path=xl/worksheets/sheet198.xml><?xml version="1.0" encoding="utf-8"?>
<worksheet xmlns="http://schemas.openxmlformats.org/spreadsheetml/2006/main" xmlns:r="http://schemas.openxmlformats.org/officeDocument/2006/relationships">
  <sheetPr codeName="Sheet179"/>
  <dimension ref="A1:N60"/>
  <sheetViews>
    <sheetView view="pageBreakPreview" zoomScaleSheetLayoutView="100" workbookViewId="0">
      <pane xSplit="1" ySplit="6" topLeftCell="B7"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3" width="8.140625" style="449" bestFit="1" customWidth="1"/>
    <col min="4" max="4" width="10" style="449" customWidth="1"/>
    <col min="5" max="5" width="9.85546875" style="449" customWidth="1"/>
    <col min="6" max="11" width="8.140625" style="449" bestFit="1" customWidth="1"/>
    <col min="12" max="12" width="8" style="449" customWidth="1"/>
    <col min="13" max="14" width="11.140625" style="449" bestFit="1" customWidth="1"/>
    <col min="15" max="16384" width="9.140625" style="449"/>
  </cols>
  <sheetData>
    <row r="1" spans="1:14">
      <c r="A1" s="449" t="s">
        <v>2242</v>
      </c>
    </row>
    <row r="2" spans="1:14">
      <c r="A2" s="449" t="s">
        <v>2243</v>
      </c>
    </row>
    <row r="5" spans="1:14" ht="39.75" customHeight="1">
      <c r="A5" s="711"/>
      <c r="B5" s="1302" t="s">
        <v>915</v>
      </c>
      <c r="C5" s="1303"/>
      <c r="D5" s="1302" t="s">
        <v>234</v>
      </c>
      <c r="E5" s="1304"/>
      <c r="F5" s="1302" t="s">
        <v>235</v>
      </c>
      <c r="G5" s="1303"/>
      <c r="H5" s="1304"/>
      <c r="I5" s="1303" t="s">
        <v>236</v>
      </c>
      <c r="J5" s="1303"/>
      <c r="K5" s="1303"/>
      <c r="L5" s="715"/>
    </row>
    <row r="6" spans="1:14" ht="36" customHeight="1">
      <c r="A6" s="869" t="s">
        <v>163</v>
      </c>
      <c r="B6" s="870" t="s">
        <v>237</v>
      </c>
      <c r="C6" s="869" t="s">
        <v>238</v>
      </c>
      <c r="D6" s="870" t="s">
        <v>237</v>
      </c>
      <c r="E6" s="871" t="s">
        <v>238</v>
      </c>
      <c r="F6" s="870" t="s">
        <v>237</v>
      </c>
      <c r="G6" s="869" t="s">
        <v>238</v>
      </c>
      <c r="H6" s="871" t="s">
        <v>239</v>
      </c>
      <c r="I6" s="869" t="s">
        <v>237</v>
      </c>
      <c r="J6" s="869" t="s">
        <v>238</v>
      </c>
      <c r="K6" s="713" t="s">
        <v>239</v>
      </c>
      <c r="L6" s="721"/>
      <c r="M6" s="872"/>
      <c r="N6" s="873"/>
    </row>
    <row r="7" spans="1:14">
      <c r="A7" s="700">
        <v>1997</v>
      </c>
      <c r="B7" s="455">
        <v>5948.5</v>
      </c>
      <c r="C7" s="693">
        <v>5408.1</v>
      </c>
      <c r="D7" s="874">
        <f>B7/M7*100000</f>
        <v>50.663863978789053</v>
      </c>
      <c r="E7" s="875">
        <f>C7/N7*100000</f>
        <v>44.375584788087941</v>
      </c>
      <c r="F7" s="449">
        <v>17.09</v>
      </c>
      <c r="G7" s="876">
        <v>13.94</v>
      </c>
      <c r="H7" s="875">
        <f t="shared" ref="H7:H18" si="0">G7/F7*100</f>
        <v>81.568168519602096</v>
      </c>
      <c r="I7" s="874">
        <v>15.75</v>
      </c>
      <c r="J7" s="875">
        <v>12.41</v>
      </c>
      <c r="K7" s="692">
        <f t="shared" ref="K7:K18" si="1">J7/I7*100</f>
        <v>78.793650793650798</v>
      </c>
      <c r="L7" s="862"/>
      <c r="M7" s="652">
        <v>11741110</v>
      </c>
      <c r="N7" s="652">
        <v>12187107</v>
      </c>
    </row>
    <row r="8" spans="1:14">
      <c r="A8" s="452">
        <v>1998</v>
      </c>
      <c r="B8" s="455">
        <v>6062.3</v>
      </c>
      <c r="C8" s="693">
        <v>5578.3</v>
      </c>
      <c r="D8" s="874">
        <f t="shared" ref="D8:D18" si="2">B8/M8*100000</f>
        <v>51.067435161802976</v>
      </c>
      <c r="E8" s="875">
        <f t="shared" ref="E8:E18" si="3">C8/N8*100000</f>
        <v>45.257811643678075</v>
      </c>
      <c r="F8" s="449">
        <v>17.32</v>
      </c>
      <c r="G8" s="876">
        <v>14.1</v>
      </c>
      <c r="H8" s="875">
        <f t="shared" si="0"/>
        <v>81.408775981524258</v>
      </c>
      <c r="I8" s="874">
        <v>16</v>
      </c>
      <c r="J8" s="875">
        <v>12.5</v>
      </c>
      <c r="K8" s="692">
        <f t="shared" si="1"/>
        <v>78.125</v>
      </c>
      <c r="L8" s="862"/>
      <c r="M8" s="652">
        <v>11871166</v>
      </c>
      <c r="N8" s="652">
        <v>12325607</v>
      </c>
    </row>
    <row r="9" spans="1:14">
      <c r="A9" s="452">
        <v>1999</v>
      </c>
      <c r="B9" s="455">
        <v>6214.4</v>
      </c>
      <c r="C9" s="693">
        <v>5759.4</v>
      </c>
      <c r="D9" s="874">
        <f t="shared" si="2"/>
        <v>51.717645159397691</v>
      </c>
      <c r="E9" s="875">
        <f t="shared" si="3"/>
        <v>46.199776774075758</v>
      </c>
      <c r="F9" s="449">
        <v>17.79</v>
      </c>
      <c r="G9" s="876">
        <v>14.42</v>
      </c>
      <c r="H9" s="875">
        <f t="shared" si="0"/>
        <v>81.056773468240578</v>
      </c>
      <c r="I9" s="874">
        <v>16.29</v>
      </c>
      <c r="J9" s="875">
        <v>12.98</v>
      </c>
      <c r="K9" s="692">
        <f t="shared" si="1"/>
        <v>79.680785758133837</v>
      </c>
      <c r="L9" s="862"/>
      <c r="M9" s="652">
        <v>12016015</v>
      </c>
      <c r="N9" s="652">
        <v>12466294</v>
      </c>
    </row>
    <row r="10" spans="1:14">
      <c r="A10" s="452">
        <v>2000</v>
      </c>
      <c r="B10" s="455">
        <v>6435.2</v>
      </c>
      <c r="C10" s="693">
        <v>5955.3</v>
      </c>
      <c r="D10" s="874">
        <f t="shared" si="2"/>
        <v>52.829764883246156</v>
      </c>
      <c r="E10" s="875">
        <f t="shared" si="3"/>
        <v>47.184857870204205</v>
      </c>
      <c r="F10" s="449">
        <v>18.38</v>
      </c>
      <c r="G10" s="876">
        <v>14.81</v>
      </c>
      <c r="H10" s="875">
        <f t="shared" si="0"/>
        <v>80.576713819368877</v>
      </c>
      <c r="I10" s="874">
        <v>16.95</v>
      </c>
      <c r="J10" s="875">
        <v>13.14</v>
      </c>
      <c r="K10" s="692">
        <f t="shared" si="1"/>
        <v>77.522123893805315</v>
      </c>
      <c r="L10" s="862"/>
      <c r="M10" s="652">
        <v>12181012</v>
      </c>
      <c r="N10" s="652">
        <v>12621210</v>
      </c>
    </row>
    <row r="11" spans="1:14">
      <c r="A11" s="452">
        <v>2001</v>
      </c>
      <c r="B11" s="455">
        <v>6532.5</v>
      </c>
      <c r="C11" s="693">
        <v>6137</v>
      </c>
      <c r="D11" s="874">
        <f t="shared" si="2"/>
        <v>52.815312875245418</v>
      </c>
      <c r="E11" s="875">
        <f t="shared" si="3"/>
        <v>47.959824093649587</v>
      </c>
      <c r="F11" s="449">
        <v>18.98</v>
      </c>
      <c r="G11" s="876">
        <v>15.35</v>
      </c>
      <c r="H11" s="875">
        <f t="shared" si="0"/>
        <v>80.874604847207593</v>
      </c>
      <c r="I11" s="874">
        <v>17.3</v>
      </c>
      <c r="J11" s="875">
        <v>13.83</v>
      </c>
      <c r="K11" s="692">
        <f t="shared" si="1"/>
        <v>79.942196531791907</v>
      </c>
      <c r="L11" s="862"/>
      <c r="M11" s="652">
        <v>12368572</v>
      </c>
      <c r="N11" s="652">
        <v>12796127</v>
      </c>
    </row>
    <row r="12" spans="1:14">
      <c r="A12" s="452">
        <v>2002</v>
      </c>
      <c r="B12" s="455">
        <v>6684.7</v>
      </c>
      <c r="C12" s="693">
        <v>6311.3</v>
      </c>
      <c r="D12" s="874">
        <f t="shared" si="2"/>
        <v>53.273273555673626</v>
      </c>
      <c r="E12" s="875">
        <f t="shared" si="3"/>
        <v>48.639267309045429</v>
      </c>
      <c r="F12" s="449">
        <v>19.37</v>
      </c>
      <c r="G12" s="876">
        <v>15.84</v>
      </c>
      <c r="H12" s="875">
        <f t="shared" si="0"/>
        <v>81.775942178626735</v>
      </c>
      <c r="I12" s="874">
        <v>17.5</v>
      </c>
      <c r="J12" s="875">
        <v>14</v>
      </c>
      <c r="K12" s="692">
        <f t="shared" si="1"/>
        <v>80</v>
      </c>
      <c r="L12" s="862"/>
      <c r="M12" s="652">
        <v>12547943</v>
      </c>
      <c r="N12" s="652">
        <v>12975730</v>
      </c>
    </row>
    <row r="13" spans="1:14">
      <c r="A13" s="452">
        <v>2003</v>
      </c>
      <c r="B13" s="455">
        <v>6777</v>
      </c>
      <c r="C13" s="693">
        <v>6493.5</v>
      </c>
      <c r="D13" s="874">
        <f t="shared" si="2"/>
        <v>53.332279856200365</v>
      </c>
      <c r="E13" s="875">
        <f t="shared" si="3"/>
        <v>49.429778200474423</v>
      </c>
      <c r="F13" s="449">
        <v>19.75</v>
      </c>
      <c r="G13" s="876">
        <v>16.260000000000002</v>
      </c>
      <c r="H13" s="875">
        <f t="shared" si="0"/>
        <v>82.329113924050645</v>
      </c>
      <c r="I13" s="874">
        <v>18</v>
      </c>
      <c r="J13" s="875">
        <v>14.42</v>
      </c>
      <c r="K13" s="692">
        <f t="shared" si="1"/>
        <v>80.111111111111114</v>
      </c>
      <c r="L13" s="862"/>
      <c r="M13" s="652">
        <v>12707126</v>
      </c>
      <c r="N13" s="652">
        <v>13136818</v>
      </c>
    </row>
    <row r="14" spans="1:14">
      <c r="A14" s="452">
        <v>2004</v>
      </c>
      <c r="B14" s="455">
        <v>6866.1</v>
      </c>
      <c r="C14" s="693">
        <v>6627.5</v>
      </c>
      <c r="D14" s="874">
        <f t="shared" si="2"/>
        <v>53.316368010831475</v>
      </c>
      <c r="E14" s="875">
        <f t="shared" si="3"/>
        <v>49.800939015396921</v>
      </c>
      <c r="F14" s="449">
        <v>20.16</v>
      </c>
      <c r="G14" s="876">
        <v>16.78</v>
      </c>
      <c r="H14" s="875">
        <f t="shared" si="0"/>
        <v>83.234126984126988</v>
      </c>
      <c r="I14" s="874">
        <v>18</v>
      </c>
      <c r="J14" s="875">
        <v>15</v>
      </c>
      <c r="K14" s="692">
        <f t="shared" si="1"/>
        <v>83.333333333333343</v>
      </c>
      <c r="L14" s="862"/>
      <c r="M14" s="652">
        <v>12878034</v>
      </c>
      <c r="N14" s="652">
        <v>13307982</v>
      </c>
    </row>
    <row r="15" spans="1:14">
      <c r="A15" s="452">
        <v>2005</v>
      </c>
      <c r="B15" s="455">
        <v>6949.1</v>
      </c>
      <c r="C15" s="693">
        <v>6709.1</v>
      </c>
      <c r="D15" s="874">
        <f t="shared" si="2"/>
        <v>53.209454867829358</v>
      </c>
      <c r="E15" s="875">
        <f t="shared" si="3"/>
        <v>49.746020285011014</v>
      </c>
      <c r="F15" s="449">
        <v>20.74</v>
      </c>
      <c r="G15" s="876">
        <v>17.38</v>
      </c>
      <c r="H15" s="875">
        <f t="shared" si="0"/>
        <v>83.799421407907431</v>
      </c>
      <c r="I15" s="874">
        <v>18.71</v>
      </c>
      <c r="J15" s="875">
        <v>15.19</v>
      </c>
      <c r="K15" s="877">
        <f t="shared" si="1"/>
        <v>81.186531266702289</v>
      </c>
      <c r="L15" s="862"/>
      <c r="M15" s="652">
        <v>13059897</v>
      </c>
      <c r="N15" s="652">
        <v>13486707</v>
      </c>
    </row>
    <row r="16" spans="1:14" s="703" customFormat="1">
      <c r="A16" s="452">
        <v>2006</v>
      </c>
      <c r="B16" s="455">
        <v>7105.7</v>
      </c>
      <c r="C16" s="693">
        <v>6880.6</v>
      </c>
      <c r="D16" s="874">
        <f t="shared" si="2"/>
        <v>53.630272117571941</v>
      </c>
      <c r="E16" s="875">
        <f t="shared" si="3"/>
        <v>50.315703507225237</v>
      </c>
      <c r="F16" s="449">
        <v>21.43</v>
      </c>
      <c r="G16" s="876">
        <v>17.96</v>
      </c>
      <c r="H16" s="875">
        <f t="shared" si="0"/>
        <v>83.807746150256662</v>
      </c>
      <c r="I16" s="874">
        <v>19.23</v>
      </c>
      <c r="J16" s="875">
        <v>15.86</v>
      </c>
      <c r="K16" s="877">
        <f t="shared" si="1"/>
        <v>82.475299011960473</v>
      </c>
      <c r="M16" s="652">
        <v>13249420</v>
      </c>
      <c r="N16" s="652">
        <v>13674856</v>
      </c>
    </row>
    <row r="17" spans="1:14" s="703" customFormat="1">
      <c r="A17" s="452">
        <v>2007</v>
      </c>
      <c r="B17" s="455">
        <v>7185.8</v>
      </c>
      <c r="C17" s="693">
        <v>7065.6</v>
      </c>
      <c r="D17" s="874">
        <f t="shared" si="2"/>
        <v>53.447679543011859</v>
      </c>
      <c r="E17" s="875">
        <f t="shared" si="3"/>
        <v>50.952856492595053</v>
      </c>
      <c r="F17" s="449">
        <v>22.17</v>
      </c>
      <c r="G17" s="876">
        <v>18.62</v>
      </c>
      <c r="H17" s="875">
        <f t="shared" si="0"/>
        <v>83.987370320252595</v>
      </c>
      <c r="I17" s="874">
        <v>20</v>
      </c>
      <c r="J17" s="875">
        <v>16.37</v>
      </c>
      <c r="K17" s="877">
        <f t="shared" si="1"/>
        <v>81.849999999999994</v>
      </c>
      <c r="M17" s="652">
        <v>13444550</v>
      </c>
      <c r="N17" s="652">
        <v>13866936</v>
      </c>
    </row>
    <row r="18" spans="1:14" s="703" customFormat="1">
      <c r="A18" s="452">
        <v>2008</v>
      </c>
      <c r="B18" s="455">
        <v>7301.6</v>
      </c>
      <c r="C18" s="694">
        <v>7194.6</v>
      </c>
      <c r="D18" s="874">
        <f t="shared" si="2"/>
        <v>53.49572149987889</v>
      </c>
      <c r="E18" s="875">
        <f t="shared" si="3"/>
        <v>51.153295432997439</v>
      </c>
      <c r="F18" s="449">
        <v>23.18</v>
      </c>
      <c r="G18" s="876">
        <v>19.43</v>
      </c>
      <c r="H18" s="875">
        <f t="shared" si="0"/>
        <v>83.822260569456432</v>
      </c>
      <c r="I18" s="877">
        <v>20.190000000000001</v>
      </c>
      <c r="J18" s="875">
        <v>17</v>
      </c>
      <c r="K18" s="877">
        <f t="shared" si="1"/>
        <v>84.200099058940054</v>
      </c>
      <c r="M18" s="652">
        <v>13648942</v>
      </c>
      <c r="N18" s="652">
        <v>14064783</v>
      </c>
    </row>
    <row r="20" spans="1:14" ht="26.25" customHeight="1">
      <c r="A20" s="1294" t="s">
        <v>1129</v>
      </c>
      <c r="B20" s="1188"/>
      <c r="C20" s="1188"/>
      <c r="D20" s="1188"/>
      <c r="E20" s="1188"/>
      <c r="F20" s="1188"/>
      <c r="G20" s="1188"/>
      <c r="H20" s="1188"/>
      <c r="I20" s="1188"/>
      <c r="J20" s="1188"/>
      <c r="K20" s="1188"/>
    </row>
    <row r="21" spans="1:14">
      <c r="A21" s="449" t="s">
        <v>1485</v>
      </c>
    </row>
    <row r="23" spans="1:14">
      <c r="A23" s="1"/>
    </row>
    <row r="24" spans="1:14">
      <c r="A24" s="1"/>
    </row>
    <row r="25" spans="1:14">
      <c r="A25" s="1"/>
    </row>
    <row r="26" spans="1:14">
      <c r="A26" s="1"/>
    </row>
    <row r="27" spans="1:14">
      <c r="A27" s="1"/>
    </row>
    <row r="28" spans="1:14">
      <c r="A28" s="1"/>
    </row>
    <row r="29" spans="1:14">
      <c r="A29" s="1"/>
    </row>
    <row r="30" spans="1:14">
      <c r="A30" s="1"/>
    </row>
    <row r="31" spans="1:14">
      <c r="A31" s="1"/>
    </row>
    <row r="32" spans="1:14">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9" spans="1:11">
      <c r="K49" s="878"/>
    </row>
    <row r="50" spans="1:11">
      <c r="A50" s="1"/>
      <c r="K50" s="878"/>
    </row>
    <row r="51" spans="1:11">
      <c r="A51" s="1"/>
      <c r="K51" s="878"/>
    </row>
    <row r="52" spans="1:11">
      <c r="A52" s="1"/>
      <c r="K52" s="878"/>
    </row>
    <row r="53" spans="1:11">
      <c r="A53" s="1"/>
      <c r="K53" s="878"/>
    </row>
    <row r="54" spans="1:11">
      <c r="A54" s="1"/>
      <c r="K54" s="878"/>
    </row>
    <row r="55" spans="1:11">
      <c r="A55" s="1"/>
      <c r="K55" s="878"/>
    </row>
    <row r="56" spans="1:11">
      <c r="A56" s="1"/>
      <c r="K56" s="878"/>
    </row>
    <row r="57" spans="1:11">
      <c r="A57" s="1"/>
      <c r="K57" s="878"/>
    </row>
    <row r="58" spans="1:11">
      <c r="A58" s="1"/>
      <c r="K58" s="878"/>
    </row>
    <row r="59" spans="1:11">
      <c r="A59" s="1"/>
      <c r="K59" s="878"/>
    </row>
    <row r="60" spans="1:11">
      <c r="A60" s="1"/>
      <c r="K60" s="878"/>
    </row>
  </sheetData>
  <mergeCells count="5">
    <mergeCell ref="B5:C5"/>
    <mergeCell ref="D5:E5"/>
    <mergeCell ref="F5:H5"/>
    <mergeCell ref="I5:K5"/>
    <mergeCell ref="A20:K20"/>
  </mergeCells>
  <phoneticPr fontId="36" type="noConversion"/>
  <pageMargins left="0.75" right="0.75" top="1" bottom="1" header="0.5" footer="0.5"/>
  <pageSetup orientation="landscape" horizontalDpi="4294967293" verticalDpi="0" r:id="rId1"/>
  <headerFooter alignWithMargins="0"/>
</worksheet>
</file>

<file path=xl/worksheets/sheet199.xml><?xml version="1.0" encoding="utf-8"?>
<worksheet xmlns="http://schemas.openxmlformats.org/spreadsheetml/2006/main" xmlns:r="http://schemas.openxmlformats.org/officeDocument/2006/relationships">
  <sheetPr codeName="Sheet180"/>
  <dimension ref="A1:K21"/>
  <sheetViews>
    <sheetView view="pageBreakPreview" zoomScale="98" zoomScaleSheetLayoutView="98" workbookViewId="0">
      <selection activeCell="H62" sqref="H62"/>
    </sheetView>
  </sheetViews>
  <sheetFormatPr defaultRowHeight="12.75"/>
  <cols>
    <col min="1" max="1" width="37.85546875" style="449" customWidth="1"/>
    <col min="2" max="3" width="9.85546875" style="449" customWidth="1"/>
    <col min="4" max="5" width="8" style="449" customWidth="1"/>
    <col min="6" max="7" width="8.7109375" style="449" bestFit="1" customWidth="1"/>
    <col min="8" max="16384" width="9.140625" style="449"/>
  </cols>
  <sheetData>
    <row r="1" spans="1:11">
      <c r="A1" s="449" t="s">
        <v>2244</v>
      </c>
    </row>
    <row r="2" spans="1:11">
      <c r="A2" s="449" t="s">
        <v>2245</v>
      </c>
    </row>
    <row r="3" spans="1:11">
      <c r="B3" s="853" t="s">
        <v>240</v>
      </c>
      <c r="C3" s="452"/>
      <c r="D3" s="456" t="s">
        <v>241</v>
      </c>
      <c r="E3" s="854"/>
      <c r="F3" s="456" t="s">
        <v>1969</v>
      </c>
      <c r="G3" s="452"/>
    </row>
    <row r="4" spans="1:11" ht="13.5" thickBot="1">
      <c r="A4" s="855"/>
      <c r="B4" s="449">
        <v>1981</v>
      </c>
      <c r="C4" s="452">
        <v>2007</v>
      </c>
      <c r="D4" s="856">
        <v>1981</v>
      </c>
      <c r="E4" s="857">
        <v>2007</v>
      </c>
      <c r="F4" s="858">
        <v>1981</v>
      </c>
      <c r="G4" s="859">
        <v>2007</v>
      </c>
      <c r="I4" s="652"/>
      <c r="J4" s="652"/>
    </row>
    <row r="5" spans="1:11" ht="12" customHeight="1">
      <c r="A5" s="323" t="s">
        <v>964</v>
      </c>
      <c r="B5" s="860">
        <f>'2d'!I5</f>
        <v>9132</v>
      </c>
      <c r="C5" s="861">
        <f>'2d'!AB5</f>
        <v>13837</v>
      </c>
      <c r="D5" s="862">
        <f t="shared" ref="D5:D18" si="0">B5/B$5*100</f>
        <v>100</v>
      </c>
      <c r="E5" s="863">
        <f>C5/C$5*100</f>
        <v>100</v>
      </c>
      <c r="F5" s="864">
        <v>51700</v>
      </c>
      <c r="G5" s="865">
        <v>53200</v>
      </c>
      <c r="H5" s="866"/>
      <c r="I5" s="19"/>
      <c r="J5" s="19"/>
      <c r="K5" s="866"/>
    </row>
    <row r="6" spans="1:11" ht="12" customHeight="1">
      <c r="A6" s="324" t="s">
        <v>610</v>
      </c>
      <c r="B6" s="867">
        <f>'2d'!I7</f>
        <v>6611</v>
      </c>
      <c r="C6" s="868">
        <f>'2d'!AB7</f>
        <v>9067</v>
      </c>
      <c r="D6" s="862">
        <f t="shared" si="0"/>
        <v>72.393780113885242</v>
      </c>
      <c r="E6" s="863">
        <f t="shared" ref="E6:E18" si="1">C6/C$5*100</f>
        <v>65.527209655272102</v>
      </c>
      <c r="F6" s="864">
        <v>63500</v>
      </c>
      <c r="G6" s="865">
        <v>70800</v>
      </c>
      <c r="H6" s="866"/>
      <c r="I6" s="19"/>
      <c r="J6" s="19"/>
      <c r="K6" s="866"/>
    </row>
    <row r="7" spans="1:11" ht="12" customHeight="1">
      <c r="A7" s="703" t="s">
        <v>242</v>
      </c>
      <c r="B7" s="867">
        <f>'2d'!I9</f>
        <v>806</v>
      </c>
      <c r="C7" s="868">
        <f>'2d'!AB9</f>
        <v>1370</v>
      </c>
      <c r="D7" s="862">
        <f t="shared" si="0"/>
        <v>8.8261060008760399</v>
      </c>
      <c r="E7" s="863">
        <f t="shared" si="1"/>
        <v>9.9009900990099009</v>
      </c>
      <c r="F7" s="864">
        <v>33800</v>
      </c>
      <c r="G7" s="865">
        <v>47900</v>
      </c>
      <c r="H7" s="866"/>
      <c r="I7" s="19"/>
      <c r="J7" s="19"/>
      <c r="K7" s="866"/>
    </row>
    <row r="8" spans="1:11" ht="12" customHeight="1">
      <c r="A8" s="703" t="s">
        <v>243</v>
      </c>
      <c r="B8" s="867">
        <f>'2d'!I13</f>
        <v>5805</v>
      </c>
      <c r="C8" s="868">
        <f>'2d'!AB13</f>
        <v>7698</v>
      </c>
      <c r="D8" s="862">
        <f t="shared" si="0"/>
        <v>63.567674113009197</v>
      </c>
      <c r="E8" s="863">
        <f t="shared" si="1"/>
        <v>55.633446556334462</v>
      </c>
      <c r="F8" s="864">
        <v>66700</v>
      </c>
      <c r="G8" s="865">
        <v>76200</v>
      </c>
      <c r="H8" s="866"/>
      <c r="I8" s="19"/>
      <c r="J8" s="19"/>
      <c r="K8" s="866"/>
    </row>
    <row r="9" spans="1:11" ht="12" customHeight="1">
      <c r="A9" s="325" t="s">
        <v>923</v>
      </c>
      <c r="B9" s="867">
        <f>'2d'!I15</f>
        <v>1354</v>
      </c>
      <c r="C9" s="868">
        <f>'2d'!AB15</f>
        <v>2228</v>
      </c>
      <c r="D9" s="862">
        <f t="shared" si="0"/>
        <v>14.826982041173894</v>
      </c>
      <c r="E9" s="863">
        <f t="shared" si="1"/>
        <v>16.101756161017562</v>
      </c>
      <c r="F9" s="864">
        <v>65000</v>
      </c>
      <c r="G9" s="865">
        <v>71700</v>
      </c>
      <c r="H9" s="866"/>
      <c r="I9" s="19"/>
      <c r="J9" s="19"/>
      <c r="K9" s="866"/>
    </row>
    <row r="10" spans="1:11" ht="12" customHeight="1">
      <c r="A10" s="325" t="s">
        <v>244</v>
      </c>
      <c r="B10" s="867">
        <f>'2d'!I20</f>
        <v>3081</v>
      </c>
      <c r="C10" s="868">
        <f>'2d'!AB20</f>
        <v>2897</v>
      </c>
      <c r="D10" s="862">
        <f t="shared" si="0"/>
        <v>33.73850197109067</v>
      </c>
      <c r="E10" s="863">
        <f t="shared" si="1"/>
        <v>20.936619209366192</v>
      </c>
      <c r="F10" s="864">
        <v>69200</v>
      </c>
      <c r="G10" s="865">
        <v>85400</v>
      </c>
      <c r="H10" s="866"/>
      <c r="I10" s="19"/>
      <c r="J10" s="19"/>
      <c r="K10" s="866"/>
    </row>
    <row r="11" spans="1:11" ht="12" customHeight="1">
      <c r="A11" s="325" t="s">
        <v>245</v>
      </c>
      <c r="B11" s="867">
        <f>'2d'!I26</f>
        <v>643</v>
      </c>
      <c r="C11" s="868">
        <f>'2d'!AB26</f>
        <v>972</v>
      </c>
      <c r="D11" s="862">
        <f t="shared" si="0"/>
        <v>7.0411738939991242</v>
      </c>
      <c r="E11" s="863">
        <f t="shared" si="1"/>
        <v>7.024644070246441</v>
      </c>
      <c r="F11" s="864">
        <v>90300</v>
      </c>
      <c r="G11" s="865">
        <v>110500</v>
      </c>
      <c r="H11" s="866"/>
      <c r="I11" s="19"/>
      <c r="J11" s="19"/>
      <c r="K11" s="866"/>
    </row>
    <row r="12" spans="1:11" ht="12" customHeight="1">
      <c r="A12" s="325" t="s">
        <v>246</v>
      </c>
      <c r="B12" s="867">
        <f>'2d'!I28</f>
        <v>429</v>
      </c>
      <c r="C12" s="868">
        <f>'2d'!AB28</f>
        <v>698</v>
      </c>
      <c r="D12" s="862">
        <f t="shared" si="0"/>
        <v>4.6977660972404731</v>
      </c>
      <c r="E12" s="863">
        <f t="shared" si="1"/>
        <v>5.0444460504444608</v>
      </c>
      <c r="F12" s="864">
        <v>30600</v>
      </c>
      <c r="G12" s="865">
        <v>37300</v>
      </c>
      <c r="H12" s="866"/>
      <c r="I12" s="19"/>
      <c r="J12" s="19"/>
      <c r="K12" s="866"/>
    </row>
    <row r="13" spans="1:11" ht="12" customHeight="1">
      <c r="A13" s="325" t="s">
        <v>247</v>
      </c>
      <c r="B13" s="867">
        <f>'2d'!I35</f>
        <v>298</v>
      </c>
      <c r="C13" s="868">
        <f>'2d'!AB35</f>
        <v>904</v>
      </c>
      <c r="D13" s="862">
        <f t="shared" si="0"/>
        <v>3.2632501095050372</v>
      </c>
      <c r="E13" s="863">
        <f t="shared" si="1"/>
        <v>6.5332080653320803</v>
      </c>
      <c r="F13" s="864">
        <v>51800</v>
      </c>
      <c r="G13" s="865">
        <v>65000</v>
      </c>
      <c r="H13" s="866"/>
      <c r="I13" s="19"/>
      <c r="J13" s="19"/>
      <c r="K13" s="866"/>
    </row>
    <row r="14" spans="1:11" ht="12" customHeight="1">
      <c r="A14" s="324" t="s">
        <v>817</v>
      </c>
      <c r="B14" s="867">
        <f>'2d'!I37</f>
        <v>2521</v>
      </c>
      <c r="C14" s="868">
        <f>'2d'!AB37</f>
        <v>4769</v>
      </c>
      <c r="D14" s="862">
        <f t="shared" si="0"/>
        <v>27.606219886114765</v>
      </c>
      <c r="E14" s="863">
        <f t="shared" si="1"/>
        <v>34.465563344655628</v>
      </c>
      <c r="F14" s="864">
        <v>23900</v>
      </c>
      <c r="G14" s="865">
        <v>26600</v>
      </c>
      <c r="H14" s="866"/>
      <c r="I14" s="19"/>
      <c r="J14" s="19"/>
      <c r="K14" s="866"/>
    </row>
    <row r="15" spans="1:11" ht="12" customHeight="1">
      <c r="A15" s="326" t="s">
        <v>248</v>
      </c>
      <c r="B15" s="867">
        <f>'2d'!I39</f>
        <v>191</v>
      </c>
      <c r="C15" s="868">
        <f>'2d'!AB39</f>
        <v>339</v>
      </c>
      <c r="D15" s="862">
        <f t="shared" si="0"/>
        <v>2.0915462111257117</v>
      </c>
      <c r="E15" s="863">
        <f t="shared" si="1"/>
        <v>2.4499530244995302</v>
      </c>
      <c r="F15" s="864">
        <v>16500</v>
      </c>
      <c r="G15" s="865">
        <v>25100</v>
      </c>
      <c r="H15" s="866"/>
      <c r="I15" s="19"/>
      <c r="J15" s="19"/>
      <c r="K15" s="866"/>
    </row>
    <row r="16" spans="1:11" ht="12" customHeight="1">
      <c r="A16" s="326" t="s">
        <v>249</v>
      </c>
      <c r="B16" s="867">
        <f>'2d'!I42</f>
        <v>529</v>
      </c>
      <c r="C16" s="868">
        <f>'2d'!AB42</f>
        <v>863</v>
      </c>
      <c r="D16" s="862">
        <f t="shared" si="0"/>
        <v>5.7928164695576001</v>
      </c>
      <c r="E16" s="863">
        <f t="shared" si="1"/>
        <v>6.2369010623690109</v>
      </c>
      <c r="F16" s="864">
        <v>14600</v>
      </c>
      <c r="G16" s="865">
        <v>21800</v>
      </c>
      <c r="H16" s="866"/>
      <c r="I16" s="19"/>
      <c r="J16" s="19"/>
      <c r="K16" s="866"/>
    </row>
    <row r="17" spans="1:11" ht="12" customHeight="1">
      <c r="A17" s="326" t="s">
        <v>250</v>
      </c>
      <c r="B17" s="867">
        <f>'2d'!I46</f>
        <v>965</v>
      </c>
      <c r="C17" s="868">
        <f>'2d'!AB46</f>
        <v>2069</v>
      </c>
      <c r="D17" s="862">
        <f t="shared" si="0"/>
        <v>10.567236092860272</v>
      </c>
      <c r="E17" s="863">
        <f t="shared" si="1"/>
        <v>14.952663149526632</v>
      </c>
      <c r="F17" s="864">
        <v>35300</v>
      </c>
      <c r="G17" s="865">
        <v>31600</v>
      </c>
      <c r="H17" s="866"/>
      <c r="I17" s="19"/>
      <c r="J17" s="19"/>
      <c r="K17" s="866"/>
    </row>
    <row r="18" spans="1:11" ht="12" customHeight="1">
      <c r="A18" s="326" t="s">
        <v>251</v>
      </c>
      <c r="B18" s="867">
        <f>'2d'!I49</f>
        <v>837</v>
      </c>
      <c r="C18" s="868">
        <f>'2d'!AB49</f>
        <v>1498</v>
      </c>
      <c r="D18" s="862">
        <f t="shared" si="0"/>
        <v>9.1655716162943488</v>
      </c>
      <c r="E18" s="863">
        <f t="shared" si="1"/>
        <v>10.82604610826046</v>
      </c>
      <c r="F18" s="864">
        <v>26100</v>
      </c>
      <c r="G18" s="865">
        <v>25100</v>
      </c>
      <c r="H18" s="866"/>
      <c r="I18" s="19"/>
      <c r="J18" s="19"/>
      <c r="K18" s="866"/>
    </row>
    <row r="19" spans="1:11">
      <c r="B19" s="866"/>
      <c r="C19" s="866"/>
      <c r="E19" s="862"/>
    </row>
    <row r="20" spans="1:11" ht="28.5" customHeight="1">
      <c r="A20" s="1305" t="s">
        <v>366</v>
      </c>
      <c r="B20" s="1306"/>
      <c r="C20" s="1306"/>
      <c r="D20" s="1306"/>
      <c r="E20" s="1306"/>
      <c r="F20" s="1306"/>
      <c r="G20" s="1306"/>
    </row>
    <row r="21" spans="1:11">
      <c r="A21" s="931" t="s">
        <v>1970</v>
      </c>
    </row>
  </sheetData>
  <mergeCells count="1">
    <mergeCell ref="A20:G20"/>
  </mergeCells>
  <phoneticPr fontId="36" type="noConversion"/>
  <pageMargins left="0.75" right="0.75" top="1" bottom="1" header="0.5" footer="0.5"/>
  <pageSetup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codeName="Sheet1">
    <pageSetUpPr fitToPage="1"/>
  </sheetPr>
  <dimension ref="A1:X95"/>
  <sheetViews>
    <sheetView view="pageBreakPreview" zoomScale="85" zoomScaleSheetLayoutView="85" workbookViewId="0">
      <pane xSplit="1" ySplit="4" topLeftCell="B1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8.28515625" style="1" customWidth="1"/>
    <col min="3" max="10" width="9.42578125" style="1" bestFit="1" customWidth="1"/>
    <col min="11" max="11" width="8" style="1" customWidth="1"/>
    <col min="12" max="12" width="9.42578125" style="1" bestFit="1" customWidth="1"/>
    <col min="13" max="13" width="9.140625" style="1"/>
    <col min="14" max="14" width="11.140625" style="1" bestFit="1" customWidth="1"/>
    <col min="15" max="18" width="9.28515625" style="1" bestFit="1" customWidth="1"/>
    <col min="19" max="19" width="9.85546875" style="1" bestFit="1" customWidth="1"/>
    <col min="20" max="20" width="11.140625" style="1" bestFit="1" customWidth="1"/>
    <col min="21" max="16384" width="9.140625" style="1"/>
  </cols>
  <sheetData>
    <row r="1" spans="1:24" ht="15.75">
      <c r="A1" s="3" t="s">
        <v>1958</v>
      </c>
    </row>
    <row r="2" spans="1:24">
      <c r="A2" s="4"/>
      <c r="B2" s="4"/>
    </row>
    <row r="3" spans="1:24">
      <c r="B3" s="1166" t="s">
        <v>375</v>
      </c>
      <c r="C3" s="1164" t="s">
        <v>377</v>
      </c>
      <c r="D3" s="1164" t="s">
        <v>386</v>
      </c>
      <c r="E3" s="1164" t="s">
        <v>378</v>
      </c>
      <c r="F3" s="1164" t="s">
        <v>379</v>
      </c>
      <c r="G3" s="1164" t="s">
        <v>380</v>
      </c>
      <c r="H3" s="1164" t="s">
        <v>381</v>
      </c>
      <c r="I3" s="1164" t="s">
        <v>382</v>
      </c>
      <c r="J3" s="1164" t="s">
        <v>383</v>
      </c>
      <c r="K3" s="1164" t="s">
        <v>384</v>
      </c>
      <c r="L3" s="1164" t="s">
        <v>385</v>
      </c>
    </row>
    <row r="4" spans="1:24" s="4" customFormat="1">
      <c r="A4" s="7"/>
      <c r="B4" s="1167"/>
      <c r="C4" s="1165"/>
      <c r="D4" s="1165"/>
      <c r="E4" s="1165"/>
      <c r="F4" s="1165"/>
      <c r="G4" s="1165"/>
      <c r="H4" s="1165"/>
      <c r="I4" s="1165"/>
      <c r="J4" s="1165"/>
      <c r="K4" s="1165"/>
      <c r="L4" s="1165"/>
      <c r="M4" s="4" t="s">
        <v>1581</v>
      </c>
    </row>
    <row r="5" spans="1:24">
      <c r="A5" s="2">
        <v>1971</v>
      </c>
      <c r="B5" s="21">
        <f t="shared" ref="B5:L20" si="0">N5/1000</f>
        <v>21962.031999999999</v>
      </c>
      <c r="C5" s="21">
        <f t="shared" si="0"/>
        <v>530.85400000000004</v>
      </c>
      <c r="D5" s="21">
        <f t="shared" si="0"/>
        <v>112.59099999999999</v>
      </c>
      <c r="E5" s="21">
        <f t="shared" si="0"/>
        <v>797.29399999999998</v>
      </c>
      <c r="F5" s="21">
        <f t="shared" si="0"/>
        <v>642.471</v>
      </c>
      <c r="G5" s="21">
        <f t="shared" si="0"/>
        <v>6137.3050000000003</v>
      </c>
      <c r="H5" s="21">
        <f t="shared" si="0"/>
        <v>7849.027</v>
      </c>
      <c r="I5" s="21">
        <f t="shared" si="0"/>
        <v>998.87599999999998</v>
      </c>
      <c r="J5" s="21">
        <f t="shared" si="0"/>
        <v>932.03800000000001</v>
      </c>
      <c r="K5" s="21">
        <f t="shared" si="0"/>
        <v>1665.7170000000001</v>
      </c>
      <c r="L5" s="21">
        <f t="shared" si="0"/>
        <v>2240.4699999999998</v>
      </c>
      <c r="M5" s="121">
        <f>SUM(C5:L5)</f>
        <v>21906.643</v>
      </c>
      <c r="N5" s="1">
        <v>21962032</v>
      </c>
      <c r="O5" s="1">
        <v>530854</v>
      </c>
      <c r="P5" s="1">
        <v>112591</v>
      </c>
      <c r="Q5" s="1">
        <v>797294</v>
      </c>
      <c r="R5" s="1">
        <v>642471</v>
      </c>
      <c r="S5" s="1">
        <v>6137305</v>
      </c>
      <c r="T5" s="1">
        <v>7849027</v>
      </c>
      <c r="U5" s="1">
        <v>998876</v>
      </c>
      <c r="V5" s="1">
        <v>932038</v>
      </c>
      <c r="W5" s="1">
        <v>1665717</v>
      </c>
      <c r="X5" s="1">
        <v>2240470</v>
      </c>
    </row>
    <row r="6" spans="1:24">
      <c r="A6" s="2">
        <v>1972</v>
      </c>
      <c r="B6" s="21">
        <f t="shared" si="0"/>
        <v>22218.463</v>
      </c>
      <c r="C6" s="21">
        <f t="shared" si="0"/>
        <v>539.12400000000002</v>
      </c>
      <c r="D6" s="21">
        <f t="shared" si="0"/>
        <v>113.46</v>
      </c>
      <c r="E6" s="21">
        <f t="shared" si="0"/>
        <v>802.255</v>
      </c>
      <c r="F6" s="21">
        <f t="shared" si="0"/>
        <v>648.76900000000001</v>
      </c>
      <c r="G6" s="21">
        <f t="shared" si="0"/>
        <v>6174.2160000000003</v>
      </c>
      <c r="H6" s="21">
        <f t="shared" si="0"/>
        <v>7963.1170000000002</v>
      </c>
      <c r="I6" s="21">
        <f t="shared" si="0"/>
        <v>1001.652</v>
      </c>
      <c r="J6" s="21">
        <f t="shared" si="0"/>
        <v>920.78</v>
      </c>
      <c r="K6" s="21">
        <f t="shared" si="0"/>
        <v>1694.09</v>
      </c>
      <c r="L6" s="21">
        <f t="shared" si="0"/>
        <v>2302.0859999999998</v>
      </c>
      <c r="M6" s="121">
        <f t="shared" ref="M6:M42" si="1">SUM(C6:L6)</f>
        <v>22159.548999999999</v>
      </c>
      <c r="N6" s="1">
        <v>22218463</v>
      </c>
      <c r="O6" s="1">
        <v>539124</v>
      </c>
      <c r="P6" s="1">
        <v>113460</v>
      </c>
      <c r="Q6" s="1">
        <v>802255</v>
      </c>
      <c r="R6" s="1">
        <v>648769</v>
      </c>
      <c r="S6" s="1">
        <v>6174216</v>
      </c>
      <c r="T6" s="1">
        <v>7963117</v>
      </c>
      <c r="U6" s="1">
        <v>1001652</v>
      </c>
      <c r="V6" s="1">
        <v>920780</v>
      </c>
      <c r="W6" s="1">
        <v>1694090</v>
      </c>
      <c r="X6" s="1">
        <v>2302086</v>
      </c>
    </row>
    <row r="7" spans="1:24">
      <c r="A7" s="2">
        <v>1973</v>
      </c>
      <c r="B7" s="21">
        <f t="shared" si="0"/>
        <v>22491.776999999998</v>
      </c>
      <c r="C7" s="21">
        <f t="shared" si="0"/>
        <v>545.56100000000004</v>
      </c>
      <c r="D7" s="21">
        <f t="shared" si="0"/>
        <v>114.62</v>
      </c>
      <c r="E7" s="21">
        <f t="shared" si="0"/>
        <v>812.38599999999997</v>
      </c>
      <c r="F7" s="21">
        <f t="shared" si="0"/>
        <v>656.72</v>
      </c>
      <c r="G7" s="21">
        <f t="shared" si="0"/>
        <v>6213.1490000000003</v>
      </c>
      <c r="H7" s="21">
        <f t="shared" si="0"/>
        <v>8075.5469999999996</v>
      </c>
      <c r="I7" s="21">
        <f t="shared" si="0"/>
        <v>1007.3579999999999</v>
      </c>
      <c r="J7" s="21">
        <f t="shared" si="0"/>
        <v>911.93700000000001</v>
      </c>
      <c r="K7" s="21">
        <f t="shared" si="0"/>
        <v>1725.327</v>
      </c>
      <c r="L7" s="21">
        <f t="shared" si="0"/>
        <v>2367.2710000000002</v>
      </c>
      <c r="M7" s="121">
        <f t="shared" si="1"/>
        <v>22429.876000000004</v>
      </c>
      <c r="N7" s="1">
        <v>22491777</v>
      </c>
      <c r="O7" s="1">
        <v>545561</v>
      </c>
      <c r="P7" s="1">
        <v>114620</v>
      </c>
      <c r="Q7" s="1">
        <v>812386</v>
      </c>
      <c r="R7" s="1">
        <v>656720</v>
      </c>
      <c r="S7" s="1">
        <v>6213149</v>
      </c>
      <c r="T7" s="1">
        <v>8075547</v>
      </c>
      <c r="U7" s="1">
        <v>1007358</v>
      </c>
      <c r="V7" s="1">
        <v>911937</v>
      </c>
      <c r="W7" s="1">
        <v>1725327</v>
      </c>
      <c r="X7" s="1">
        <v>2367271</v>
      </c>
    </row>
    <row r="8" spans="1:24">
      <c r="A8" s="2">
        <v>1974</v>
      </c>
      <c r="B8" s="21">
        <f t="shared" si="0"/>
        <v>22807.969000000001</v>
      </c>
      <c r="C8" s="21">
        <f t="shared" si="0"/>
        <v>549.60400000000004</v>
      </c>
      <c r="D8" s="21">
        <f t="shared" si="0"/>
        <v>115.962</v>
      </c>
      <c r="E8" s="21">
        <f t="shared" si="0"/>
        <v>818.75099999999998</v>
      </c>
      <c r="F8" s="21">
        <f t="shared" si="0"/>
        <v>664.74400000000003</v>
      </c>
      <c r="G8" s="21">
        <f t="shared" si="0"/>
        <v>6268.5709999999999</v>
      </c>
      <c r="H8" s="21">
        <f t="shared" si="0"/>
        <v>8204.2749999999996</v>
      </c>
      <c r="I8" s="21">
        <f t="shared" si="0"/>
        <v>1018.206</v>
      </c>
      <c r="J8" s="21">
        <f t="shared" si="0"/>
        <v>908.45699999999999</v>
      </c>
      <c r="K8" s="21">
        <f t="shared" si="0"/>
        <v>1754.6210000000001</v>
      </c>
      <c r="L8" s="21">
        <f t="shared" si="0"/>
        <v>2442.578</v>
      </c>
      <c r="M8" s="121">
        <f t="shared" si="1"/>
        <v>22745.768999999997</v>
      </c>
      <c r="N8" s="1">
        <v>22807969</v>
      </c>
      <c r="O8" s="1">
        <v>549604</v>
      </c>
      <c r="P8" s="1">
        <v>115962</v>
      </c>
      <c r="Q8" s="1">
        <v>818751</v>
      </c>
      <c r="R8" s="1">
        <v>664744</v>
      </c>
      <c r="S8" s="1">
        <v>6268571</v>
      </c>
      <c r="T8" s="1">
        <v>8204275</v>
      </c>
      <c r="U8" s="1">
        <v>1018206</v>
      </c>
      <c r="V8" s="1">
        <v>908457</v>
      </c>
      <c r="W8" s="1">
        <v>1754621</v>
      </c>
      <c r="X8" s="1">
        <v>2442578</v>
      </c>
    </row>
    <row r="9" spans="1:24">
      <c r="A9" s="2">
        <v>1975</v>
      </c>
      <c r="B9" s="21">
        <f t="shared" si="0"/>
        <v>23143.275000000001</v>
      </c>
      <c r="C9" s="21">
        <f t="shared" si="0"/>
        <v>556.49599999999998</v>
      </c>
      <c r="D9" s="21">
        <f t="shared" si="0"/>
        <v>117.724</v>
      </c>
      <c r="E9" s="21">
        <f t="shared" si="0"/>
        <v>826.54899999999998</v>
      </c>
      <c r="F9" s="21">
        <f t="shared" si="0"/>
        <v>677.00800000000004</v>
      </c>
      <c r="G9" s="21">
        <f t="shared" si="0"/>
        <v>6330.3029999999999</v>
      </c>
      <c r="H9" s="21">
        <f t="shared" si="0"/>
        <v>8319.7950000000001</v>
      </c>
      <c r="I9" s="21">
        <f t="shared" si="0"/>
        <v>1024.9749999999999</v>
      </c>
      <c r="J9" s="21">
        <f t="shared" si="0"/>
        <v>917.41499999999996</v>
      </c>
      <c r="K9" s="21">
        <f t="shared" si="0"/>
        <v>1808.6890000000001</v>
      </c>
      <c r="L9" s="21">
        <f t="shared" si="0"/>
        <v>2499.5639999999999</v>
      </c>
      <c r="M9" s="121">
        <f t="shared" si="1"/>
        <v>23078.517999999996</v>
      </c>
      <c r="N9" s="1">
        <v>23143275</v>
      </c>
      <c r="O9" s="1">
        <v>556496</v>
      </c>
      <c r="P9" s="1">
        <v>117724</v>
      </c>
      <c r="Q9" s="1">
        <v>826549</v>
      </c>
      <c r="R9" s="1">
        <v>677008</v>
      </c>
      <c r="S9" s="1">
        <v>6330303</v>
      </c>
      <c r="T9" s="1">
        <v>8319795</v>
      </c>
      <c r="U9" s="1">
        <v>1024975</v>
      </c>
      <c r="V9" s="1">
        <v>917415</v>
      </c>
      <c r="W9" s="1">
        <v>1808689</v>
      </c>
      <c r="X9" s="1">
        <v>2499564</v>
      </c>
    </row>
    <row r="10" spans="1:24">
      <c r="A10" s="2">
        <v>1976</v>
      </c>
      <c r="B10" s="21">
        <f t="shared" si="0"/>
        <v>23449.808000000001</v>
      </c>
      <c r="C10" s="21">
        <f t="shared" si="0"/>
        <v>562.63900000000001</v>
      </c>
      <c r="D10" s="21">
        <f t="shared" si="0"/>
        <v>118.648</v>
      </c>
      <c r="E10" s="21">
        <f t="shared" si="0"/>
        <v>835.16600000000005</v>
      </c>
      <c r="F10" s="21">
        <f t="shared" si="0"/>
        <v>689.49400000000003</v>
      </c>
      <c r="G10" s="21">
        <f t="shared" si="0"/>
        <v>6396.7610000000004</v>
      </c>
      <c r="H10" s="21">
        <f t="shared" si="0"/>
        <v>8413.7790000000005</v>
      </c>
      <c r="I10" s="21">
        <f t="shared" si="0"/>
        <v>1031.758</v>
      </c>
      <c r="J10" s="21">
        <f t="shared" si="0"/>
        <v>931.61199999999997</v>
      </c>
      <c r="K10" s="21">
        <f t="shared" si="0"/>
        <v>1869.287</v>
      </c>
      <c r="L10" s="21">
        <f t="shared" si="0"/>
        <v>2533.8989999999999</v>
      </c>
      <c r="M10" s="121">
        <f t="shared" si="1"/>
        <v>23383.043000000005</v>
      </c>
      <c r="N10" s="1">
        <v>23449808</v>
      </c>
      <c r="O10" s="1">
        <v>562639</v>
      </c>
      <c r="P10" s="1">
        <v>118648</v>
      </c>
      <c r="Q10" s="1">
        <v>835166</v>
      </c>
      <c r="R10" s="1">
        <v>689494</v>
      </c>
      <c r="S10" s="1">
        <v>6396761</v>
      </c>
      <c r="T10" s="1">
        <v>8413779</v>
      </c>
      <c r="U10" s="1">
        <v>1031758</v>
      </c>
      <c r="V10" s="1">
        <v>931612</v>
      </c>
      <c r="W10" s="1">
        <v>1869287</v>
      </c>
      <c r="X10" s="1">
        <v>2533899</v>
      </c>
    </row>
    <row r="11" spans="1:24">
      <c r="A11" s="2">
        <v>1977</v>
      </c>
      <c r="B11" s="21">
        <f t="shared" si="0"/>
        <v>23725.843000000001</v>
      </c>
      <c r="C11" s="21">
        <f t="shared" si="0"/>
        <v>565.34799999999996</v>
      </c>
      <c r="D11" s="21">
        <f t="shared" si="0"/>
        <v>119.902</v>
      </c>
      <c r="E11" s="21">
        <f t="shared" si="0"/>
        <v>840.02800000000002</v>
      </c>
      <c r="F11" s="21">
        <f t="shared" si="0"/>
        <v>695.84299999999996</v>
      </c>
      <c r="G11" s="21">
        <f t="shared" si="0"/>
        <v>6433.1329999999998</v>
      </c>
      <c r="H11" s="21">
        <f t="shared" si="0"/>
        <v>8504.08</v>
      </c>
      <c r="I11" s="21">
        <f t="shared" si="0"/>
        <v>1037.3689999999999</v>
      </c>
      <c r="J11" s="21">
        <f t="shared" si="0"/>
        <v>944.62099999999998</v>
      </c>
      <c r="K11" s="21">
        <f t="shared" si="0"/>
        <v>1948.2629999999999</v>
      </c>
      <c r="L11" s="21">
        <f t="shared" si="0"/>
        <v>2570.3150000000001</v>
      </c>
      <c r="M11" s="121">
        <f t="shared" si="1"/>
        <v>23658.901999999998</v>
      </c>
      <c r="N11" s="1">
        <v>23725843</v>
      </c>
      <c r="O11" s="1">
        <v>565348</v>
      </c>
      <c r="P11" s="1">
        <v>119902</v>
      </c>
      <c r="Q11" s="1">
        <v>840028</v>
      </c>
      <c r="R11" s="1">
        <v>695843</v>
      </c>
      <c r="S11" s="1">
        <v>6433133</v>
      </c>
      <c r="T11" s="1">
        <v>8504080</v>
      </c>
      <c r="U11" s="1">
        <v>1037369</v>
      </c>
      <c r="V11" s="1">
        <v>944621</v>
      </c>
      <c r="W11" s="1">
        <v>1948263</v>
      </c>
      <c r="X11" s="1">
        <v>2570315</v>
      </c>
    </row>
    <row r="12" spans="1:24">
      <c r="A12" s="2">
        <v>1978</v>
      </c>
      <c r="B12" s="21">
        <f t="shared" si="0"/>
        <v>23963.203000000001</v>
      </c>
      <c r="C12" s="21">
        <f t="shared" si="0"/>
        <v>567.63900000000001</v>
      </c>
      <c r="D12" s="21">
        <f t="shared" si="0"/>
        <v>121.684</v>
      </c>
      <c r="E12" s="21">
        <f t="shared" si="0"/>
        <v>844.62800000000004</v>
      </c>
      <c r="F12" s="21">
        <f t="shared" si="0"/>
        <v>699.51400000000001</v>
      </c>
      <c r="G12" s="21">
        <f t="shared" si="0"/>
        <v>6440.4589999999998</v>
      </c>
      <c r="H12" s="21">
        <f t="shared" si="0"/>
        <v>8590.1440000000002</v>
      </c>
      <c r="I12" s="21">
        <f t="shared" si="0"/>
        <v>1040.8810000000001</v>
      </c>
      <c r="J12" s="21">
        <f t="shared" si="0"/>
        <v>952.43</v>
      </c>
      <c r="K12" s="21">
        <f t="shared" si="0"/>
        <v>2022.241</v>
      </c>
      <c r="L12" s="21">
        <f t="shared" si="0"/>
        <v>2615.1619999999998</v>
      </c>
      <c r="M12" s="121">
        <f t="shared" si="1"/>
        <v>23894.782000000003</v>
      </c>
      <c r="N12" s="1">
        <v>23963203</v>
      </c>
      <c r="O12" s="1">
        <v>567639</v>
      </c>
      <c r="P12" s="1">
        <v>121684</v>
      </c>
      <c r="Q12" s="1">
        <v>844628</v>
      </c>
      <c r="R12" s="1">
        <v>699514</v>
      </c>
      <c r="S12" s="1">
        <v>6440459</v>
      </c>
      <c r="T12" s="1">
        <v>8590144</v>
      </c>
      <c r="U12" s="1">
        <v>1040881</v>
      </c>
      <c r="V12" s="1">
        <v>952430</v>
      </c>
      <c r="W12" s="1">
        <v>2022241</v>
      </c>
      <c r="X12" s="1">
        <v>2615162</v>
      </c>
    </row>
    <row r="13" spans="1:24">
      <c r="A13" s="2">
        <v>1979</v>
      </c>
      <c r="B13" s="21">
        <f t="shared" si="0"/>
        <v>24201.544000000002</v>
      </c>
      <c r="C13" s="21">
        <f t="shared" si="0"/>
        <v>570.07500000000005</v>
      </c>
      <c r="D13" s="21">
        <f t="shared" si="0"/>
        <v>122.88500000000001</v>
      </c>
      <c r="E13" s="21">
        <f t="shared" si="0"/>
        <v>849.39599999999996</v>
      </c>
      <c r="F13" s="21">
        <f t="shared" si="0"/>
        <v>703.15800000000002</v>
      </c>
      <c r="G13" s="21">
        <f t="shared" si="0"/>
        <v>6465.9960000000001</v>
      </c>
      <c r="H13" s="21">
        <f t="shared" si="0"/>
        <v>8662.0879999999997</v>
      </c>
      <c r="I13" s="21">
        <f t="shared" si="0"/>
        <v>1037.2719999999999</v>
      </c>
      <c r="J13" s="21">
        <f t="shared" si="0"/>
        <v>959.73500000000001</v>
      </c>
      <c r="K13" s="21">
        <f t="shared" si="0"/>
        <v>2096.9659999999999</v>
      </c>
      <c r="L13" s="21">
        <f t="shared" si="0"/>
        <v>2665.2379999999998</v>
      </c>
      <c r="M13" s="121">
        <f t="shared" si="1"/>
        <v>24132.809000000001</v>
      </c>
      <c r="N13" s="1">
        <v>24201544</v>
      </c>
      <c r="O13" s="1">
        <v>570075</v>
      </c>
      <c r="P13" s="1">
        <v>122885</v>
      </c>
      <c r="Q13" s="1">
        <v>849396</v>
      </c>
      <c r="R13" s="1">
        <v>703158</v>
      </c>
      <c r="S13" s="1">
        <v>6465996</v>
      </c>
      <c r="T13" s="1">
        <v>8662088</v>
      </c>
      <c r="U13" s="1">
        <v>1037272</v>
      </c>
      <c r="V13" s="1">
        <v>959735</v>
      </c>
      <c r="W13" s="1">
        <v>2096966</v>
      </c>
      <c r="X13" s="1">
        <v>2665238</v>
      </c>
    </row>
    <row r="14" spans="1:24">
      <c r="A14" s="2">
        <v>1980</v>
      </c>
      <c r="B14" s="21">
        <f t="shared" si="0"/>
        <v>24515.667000000001</v>
      </c>
      <c r="C14" s="21">
        <f t="shared" si="0"/>
        <v>572.75900000000001</v>
      </c>
      <c r="D14" s="21">
        <f t="shared" si="0"/>
        <v>123.735</v>
      </c>
      <c r="E14" s="21">
        <f t="shared" si="0"/>
        <v>852.65899999999999</v>
      </c>
      <c r="F14" s="21">
        <f t="shared" si="0"/>
        <v>706.21900000000005</v>
      </c>
      <c r="G14" s="21">
        <f t="shared" si="0"/>
        <v>6505.9970000000003</v>
      </c>
      <c r="H14" s="21">
        <f t="shared" si="0"/>
        <v>8746.0130000000008</v>
      </c>
      <c r="I14" s="21">
        <f t="shared" si="0"/>
        <v>1034.4349999999999</v>
      </c>
      <c r="J14" s="21">
        <f t="shared" si="0"/>
        <v>967.548</v>
      </c>
      <c r="K14" s="21">
        <f t="shared" si="0"/>
        <v>2191.029</v>
      </c>
      <c r="L14" s="21">
        <f t="shared" si="0"/>
        <v>2745.8609999999999</v>
      </c>
      <c r="M14" s="121">
        <f t="shared" si="1"/>
        <v>24446.255000000001</v>
      </c>
      <c r="N14" s="1">
        <v>24515667</v>
      </c>
      <c r="O14" s="1">
        <v>572759</v>
      </c>
      <c r="P14" s="1">
        <v>123735</v>
      </c>
      <c r="Q14" s="1">
        <v>852659</v>
      </c>
      <c r="R14" s="1">
        <v>706219</v>
      </c>
      <c r="S14" s="1">
        <v>6505997</v>
      </c>
      <c r="T14" s="1">
        <v>8746013</v>
      </c>
      <c r="U14" s="1">
        <v>1034435</v>
      </c>
      <c r="V14" s="1">
        <v>967548</v>
      </c>
      <c r="W14" s="1">
        <v>2191029</v>
      </c>
      <c r="X14" s="1">
        <v>2745861</v>
      </c>
    </row>
    <row r="15" spans="1:24">
      <c r="A15" s="2">
        <v>1981</v>
      </c>
      <c r="B15" s="21">
        <f t="shared" si="0"/>
        <v>24819.915000000001</v>
      </c>
      <c r="C15" s="21">
        <f t="shared" si="0"/>
        <v>575.30200000000002</v>
      </c>
      <c r="D15" s="21">
        <f t="shared" si="0"/>
        <v>123.551</v>
      </c>
      <c r="E15" s="21">
        <f t="shared" si="0"/>
        <v>854.87099999999998</v>
      </c>
      <c r="F15" s="21">
        <f t="shared" si="0"/>
        <v>706.43799999999999</v>
      </c>
      <c r="G15" s="21">
        <f t="shared" si="0"/>
        <v>6547.2070000000003</v>
      </c>
      <c r="H15" s="21">
        <f t="shared" si="0"/>
        <v>8812.2860000000001</v>
      </c>
      <c r="I15" s="21">
        <f t="shared" si="0"/>
        <v>1035.5450000000001</v>
      </c>
      <c r="J15" s="21">
        <f t="shared" si="0"/>
        <v>975.75900000000001</v>
      </c>
      <c r="K15" s="21">
        <f t="shared" si="0"/>
        <v>2291.1039999999998</v>
      </c>
      <c r="L15" s="21">
        <f t="shared" si="0"/>
        <v>2826.558</v>
      </c>
      <c r="M15" s="121">
        <f t="shared" si="1"/>
        <v>24748.620999999996</v>
      </c>
      <c r="N15" s="1">
        <v>24819915</v>
      </c>
      <c r="O15" s="1">
        <v>575302</v>
      </c>
      <c r="P15" s="1">
        <v>123551</v>
      </c>
      <c r="Q15" s="1">
        <v>854871</v>
      </c>
      <c r="R15" s="1">
        <v>706438</v>
      </c>
      <c r="S15" s="1">
        <v>6547207</v>
      </c>
      <c r="T15" s="1">
        <v>8812286</v>
      </c>
      <c r="U15" s="1">
        <v>1035545</v>
      </c>
      <c r="V15" s="1">
        <v>975759</v>
      </c>
      <c r="W15" s="1">
        <v>2291104</v>
      </c>
      <c r="X15" s="1">
        <v>2826558</v>
      </c>
    </row>
    <row r="16" spans="1:24">
      <c r="A16" s="2">
        <v>1982</v>
      </c>
      <c r="B16" s="21">
        <f t="shared" si="0"/>
        <v>25116.941999999999</v>
      </c>
      <c r="C16" s="21">
        <f t="shared" si="0"/>
        <v>573.79499999999996</v>
      </c>
      <c r="D16" s="21">
        <f t="shared" si="0"/>
        <v>123.58799999999999</v>
      </c>
      <c r="E16" s="21">
        <f t="shared" si="0"/>
        <v>859.03800000000001</v>
      </c>
      <c r="F16" s="21">
        <f t="shared" si="0"/>
        <v>707.45699999999999</v>
      </c>
      <c r="G16" s="21">
        <f t="shared" si="0"/>
        <v>6580.6310000000003</v>
      </c>
      <c r="H16" s="21">
        <f t="shared" si="0"/>
        <v>8920.2880000000005</v>
      </c>
      <c r="I16" s="21">
        <f t="shared" si="0"/>
        <v>1045.2239999999999</v>
      </c>
      <c r="J16" s="21">
        <f t="shared" si="0"/>
        <v>986.58199999999999</v>
      </c>
      <c r="K16" s="21">
        <f t="shared" si="0"/>
        <v>2369.8270000000002</v>
      </c>
      <c r="L16" s="21">
        <f t="shared" si="0"/>
        <v>2876.5129999999999</v>
      </c>
      <c r="M16" s="121">
        <f t="shared" si="1"/>
        <v>25042.942999999996</v>
      </c>
      <c r="N16" s="1">
        <v>25116942</v>
      </c>
      <c r="O16" s="1">
        <v>573795</v>
      </c>
      <c r="P16" s="1">
        <v>123588</v>
      </c>
      <c r="Q16" s="1">
        <v>859038</v>
      </c>
      <c r="R16" s="1">
        <v>707457</v>
      </c>
      <c r="S16" s="1">
        <v>6580631</v>
      </c>
      <c r="T16" s="1">
        <v>8920288</v>
      </c>
      <c r="U16" s="1">
        <v>1045224</v>
      </c>
      <c r="V16" s="1">
        <v>986582</v>
      </c>
      <c r="W16" s="1">
        <v>2369827</v>
      </c>
      <c r="X16" s="1">
        <v>2876513</v>
      </c>
    </row>
    <row r="17" spans="1:24">
      <c r="A17" s="2">
        <v>1983</v>
      </c>
      <c r="B17" s="21">
        <f t="shared" si="0"/>
        <v>25366.451000000001</v>
      </c>
      <c r="C17" s="21">
        <f t="shared" si="0"/>
        <v>579.16399999999999</v>
      </c>
      <c r="D17" s="21">
        <f t="shared" si="0"/>
        <v>125.102</v>
      </c>
      <c r="E17" s="21">
        <f t="shared" si="0"/>
        <v>868.28899999999999</v>
      </c>
      <c r="F17" s="21">
        <f t="shared" si="0"/>
        <v>714.84199999999998</v>
      </c>
      <c r="G17" s="21">
        <f t="shared" si="0"/>
        <v>6602.9759999999997</v>
      </c>
      <c r="H17" s="21">
        <f t="shared" si="0"/>
        <v>9039.5640000000003</v>
      </c>
      <c r="I17" s="21">
        <f t="shared" si="0"/>
        <v>1059.752</v>
      </c>
      <c r="J17" s="21">
        <f t="shared" si="0"/>
        <v>1001.249</v>
      </c>
      <c r="K17" s="21">
        <f t="shared" si="0"/>
        <v>2393.587</v>
      </c>
      <c r="L17" s="21">
        <f t="shared" si="0"/>
        <v>2907.502</v>
      </c>
      <c r="M17" s="121">
        <f t="shared" si="1"/>
        <v>25292.026999999998</v>
      </c>
      <c r="N17" s="1">
        <v>25366451</v>
      </c>
      <c r="O17" s="1">
        <v>579164</v>
      </c>
      <c r="P17" s="1">
        <v>125102</v>
      </c>
      <c r="Q17" s="1">
        <v>868289</v>
      </c>
      <c r="R17" s="1">
        <v>714842</v>
      </c>
      <c r="S17" s="1">
        <v>6602976</v>
      </c>
      <c r="T17" s="1">
        <v>9039564</v>
      </c>
      <c r="U17" s="1">
        <v>1059752</v>
      </c>
      <c r="V17" s="1">
        <v>1001249</v>
      </c>
      <c r="W17" s="1">
        <v>2393587</v>
      </c>
      <c r="X17" s="1">
        <v>2907502</v>
      </c>
    </row>
    <row r="18" spans="1:24">
      <c r="A18" s="2">
        <v>1984</v>
      </c>
      <c r="B18" s="21">
        <f t="shared" si="0"/>
        <v>25607.053</v>
      </c>
      <c r="C18" s="21">
        <f t="shared" si="0"/>
        <v>580.06500000000005</v>
      </c>
      <c r="D18" s="21">
        <f t="shared" si="0"/>
        <v>126.563</v>
      </c>
      <c r="E18" s="21">
        <f t="shared" si="0"/>
        <v>877.471</v>
      </c>
      <c r="F18" s="21">
        <f t="shared" si="0"/>
        <v>720.48800000000006</v>
      </c>
      <c r="G18" s="21">
        <f t="shared" si="0"/>
        <v>6631.22</v>
      </c>
      <c r="H18" s="21">
        <f t="shared" si="0"/>
        <v>9167.4840000000004</v>
      </c>
      <c r="I18" s="21">
        <f t="shared" si="0"/>
        <v>1071.81</v>
      </c>
      <c r="J18" s="21">
        <f t="shared" si="0"/>
        <v>1014.615</v>
      </c>
      <c r="K18" s="21">
        <f t="shared" si="0"/>
        <v>2393.9070000000002</v>
      </c>
      <c r="L18" s="21">
        <f t="shared" si="0"/>
        <v>2947.181</v>
      </c>
      <c r="M18" s="121">
        <f t="shared" si="1"/>
        <v>25530.804000000004</v>
      </c>
      <c r="N18" s="1">
        <v>25607053</v>
      </c>
      <c r="O18" s="1">
        <v>580065</v>
      </c>
      <c r="P18" s="1">
        <v>126563</v>
      </c>
      <c r="Q18" s="1">
        <v>877471</v>
      </c>
      <c r="R18" s="1">
        <v>720488</v>
      </c>
      <c r="S18" s="1">
        <v>6631220</v>
      </c>
      <c r="T18" s="1">
        <v>9167484</v>
      </c>
      <c r="U18" s="1">
        <v>1071810</v>
      </c>
      <c r="V18" s="1">
        <v>1014615</v>
      </c>
      <c r="W18" s="1">
        <v>2393907</v>
      </c>
      <c r="X18" s="1">
        <v>2947181</v>
      </c>
    </row>
    <row r="19" spans="1:24">
      <c r="A19" s="2">
        <v>1985</v>
      </c>
      <c r="B19" s="21">
        <f t="shared" si="0"/>
        <v>25842.116000000002</v>
      </c>
      <c r="C19" s="21">
        <f t="shared" si="0"/>
        <v>579.27499999999998</v>
      </c>
      <c r="D19" s="21">
        <f t="shared" si="0"/>
        <v>127.619</v>
      </c>
      <c r="E19" s="21">
        <f t="shared" si="0"/>
        <v>885.84799999999996</v>
      </c>
      <c r="F19" s="21">
        <f t="shared" si="0"/>
        <v>723.28700000000003</v>
      </c>
      <c r="G19" s="21">
        <f t="shared" si="0"/>
        <v>6665.8019999999997</v>
      </c>
      <c r="H19" s="21">
        <f t="shared" si="0"/>
        <v>9294.6569999999992</v>
      </c>
      <c r="I19" s="21">
        <f t="shared" si="0"/>
        <v>1082.4949999999999</v>
      </c>
      <c r="J19" s="21">
        <f t="shared" si="0"/>
        <v>1024.9280000000001</v>
      </c>
      <c r="K19" s="21">
        <f t="shared" si="0"/>
        <v>2404.4899999999998</v>
      </c>
      <c r="L19" s="21">
        <f t="shared" si="0"/>
        <v>2975.1309999999999</v>
      </c>
      <c r="M19" s="121">
        <f t="shared" si="1"/>
        <v>25763.531999999999</v>
      </c>
      <c r="N19" s="1">
        <v>25842116</v>
      </c>
      <c r="O19" s="1">
        <v>579275</v>
      </c>
      <c r="P19" s="1">
        <v>127619</v>
      </c>
      <c r="Q19" s="1">
        <v>885848</v>
      </c>
      <c r="R19" s="1">
        <v>723287</v>
      </c>
      <c r="S19" s="1">
        <v>6665802</v>
      </c>
      <c r="T19" s="1">
        <v>9294657</v>
      </c>
      <c r="U19" s="1">
        <v>1082495</v>
      </c>
      <c r="V19" s="1">
        <v>1024928</v>
      </c>
      <c r="W19" s="1">
        <v>2404490</v>
      </c>
      <c r="X19" s="1">
        <v>2975131</v>
      </c>
    </row>
    <row r="20" spans="1:24">
      <c r="A20" s="2">
        <v>1986</v>
      </c>
      <c r="B20" s="21">
        <f t="shared" si="0"/>
        <v>26100.277999999998</v>
      </c>
      <c r="C20" s="21">
        <f t="shared" si="0"/>
        <v>576.30600000000004</v>
      </c>
      <c r="D20" s="21">
        <f t="shared" si="0"/>
        <v>128.43600000000001</v>
      </c>
      <c r="E20" s="21">
        <f t="shared" si="0"/>
        <v>889.08699999999999</v>
      </c>
      <c r="F20" s="21">
        <f t="shared" si="0"/>
        <v>725.01900000000001</v>
      </c>
      <c r="G20" s="21">
        <f t="shared" si="0"/>
        <v>6708.17</v>
      </c>
      <c r="H20" s="21">
        <f t="shared" si="0"/>
        <v>9437.3590000000004</v>
      </c>
      <c r="I20" s="21">
        <f t="shared" si="0"/>
        <v>1091.5519999999999</v>
      </c>
      <c r="J20" s="21">
        <f t="shared" si="0"/>
        <v>1028.7170000000001</v>
      </c>
      <c r="K20" s="21">
        <f t="shared" si="0"/>
        <v>2432.9299999999998</v>
      </c>
      <c r="L20" s="21">
        <f t="shared" si="0"/>
        <v>3003.6210000000001</v>
      </c>
      <c r="M20" s="121">
        <f t="shared" si="1"/>
        <v>26021.197</v>
      </c>
      <c r="N20" s="1">
        <v>26100278</v>
      </c>
      <c r="O20" s="1">
        <v>576306</v>
      </c>
      <c r="P20" s="1">
        <v>128436</v>
      </c>
      <c r="Q20" s="1">
        <v>889087</v>
      </c>
      <c r="R20" s="1">
        <v>725019</v>
      </c>
      <c r="S20" s="1">
        <v>6708170</v>
      </c>
      <c r="T20" s="1">
        <v>9437359</v>
      </c>
      <c r="U20" s="1">
        <v>1091552</v>
      </c>
      <c r="V20" s="1">
        <v>1028717</v>
      </c>
      <c r="W20" s="1">
        <v>2432930</v>
      </c>
      <c r="X20" s="1">
        <v>3003621</v>
      </c>
    </row>
    <row r="21" spans="1:24">
      <c r="A21" s="2">
        <v>1987</v>
      </c>
      <c r="B21" s="21">
        <f t="shared" ref="B21:L42" si="2">N21/1000</f>
        <v>26446.600999999999</v>
      </c>
      <c r="C21" s="21">
        <f t="shared" si="2"/>
        <v>575.24199999999996</v>
      </c>
      <c r="D21" s="21">
        <f t="shared" si="2"/>
        <v>128.64099999999999</v>
      </c>
      <c r="E21" s="21">
        <f t="shared" si="2"/>
        <v>893.60599999999999</v>
      </c>
      <c r="F21" s="21">
        <f t="shared" si="2"/>
        <v>727.76800000000003</v>
      </c>
      <c r="G21" s="21">
        <f t="shared" si="2"/>
        <v>6781.9840000000004</v>
      </c>
      <c r="H21" s="21">
        <f t="shared" si="2"/>
        <v>9637.9449999999997</v>
      </c>
      <c r="I21" s="21">
        <f t="shared" si="2"/>
        <v>1098.373</v>
      </c>
      <c r="J21" s="21">
        <f t="shared" si="2"/>
        <v>1032.799</v>
      </c>
      <c r="K21" s="21">
        <f t="shared" si="2"/>
        <v>2440.877</v>
      </c>
      <c r="L21" s="21">
        <f t="shared" si="2"/>
        <v>3048.6509999999998</v>
      </c>
      <c r="M21" s="121">
        <f t="shared" si="1"/>
        <v>26365.885999999999</v>
      </c>
      <c r="N21" s="1">
        <v>26446601</v>
      </c>
      <c r="O21" s="1">
        <v>575242</v>
      </c>
      <c r="P21" s="1">
        <v>128641</v>
      </c>
      <c r="Q21" s="1">
        <v>893606</v>
      </c>
      <c r="R21" s="1">
        <v>727768</v>
      </c>
      <c r="S21" s="1">
        <v>6781984</v>
      </c>
      <c r="T21" s="1">
        <v>9637945</v>
      </c>
      <c r="U21" s="1">
        <v>1098373</v>
      </c>
      <c r="V21" s="1">
        <v>1032799</v>
      </c>
      <c r="W21" s="1">
        <v>2440877</v>
      </c>
      <c r="X21" s="1">
        <v>3048651</v>
      </c>
    </row>
    <row r="22" spans="1:24">
      <c r="A22" s="2">
        <v>1988</v>
      </c>
      <c r="B22" s="21">
        <f t="shared" si="2"/>
        <v>26791.746999999999</v>
      </c>
      <c r="C22" s="21">
        <f t="shared" si="2"/>
        <v>574.98199999999997</v>
      </c>
      <c r="D22" s="21">
        <f t="shared" si="2"/>
        <v>129.28899999999999</v>
      </c>
      <c r="E22" s="21">
        <f t="shared" si="2"/>
        <v>897.21600000000001</v>
      </c>
      <c r="F22" s="21">
        <f t="shared" si="2"/>
        <v>730.34900000000005</v>
      </c>
      <c r="G22" s="21">
        <f t="shared" si="2"/>
        <v>6837.0770000000002</v>
      </c>
      <c r="H22" s="21">
        <f t="shared" si="2"/>
        <v>9838.6200000000008</v>
      </c>
      <c r="I22" s="21">
        <f t="shared" si="2"/>
        <v>1102.152</v>
      </c>
      <c r="J22" s="21">
        <f t="shared" si="2"/>
        <v>1028.2249999999999</v>
      </c>
      <c r="K22" s="21">
        <f t="shared" si="2"/>
        <v>2456.614</v>
      </c>
      <c r="L22" s="21">
        <f t="shared" si="2"/>
        <v>3114.761</v>
      </c>
      <c r="M22" s="121">
        <f t="shared" si="1"/>
        <v>26709.285000000003</v>
      </c>
      <c r="N22" s="1">
        <v>26791747</v>
      </c>
      <c r="O22" s="1">
        <v>574982</v>
      </c>
      <c r="P22" s="1">
        <v>129289</v>
      </c>
      <c r="Q22" s="1">
        <v>897216</v>
      </c>
      <c r="R22" s="1">
        <v>730349</v>
      </c>
      <c r="S22" s="1">
        <v>6837077</v>
      </c>
      <c r="T22" s="1">
        <v>9838620</v>
      </c>
      <c r="U22" s="1">
        <v>1102152</v>
      </c>
      <c r="V22" s="1">
        <v>1028225</v>
      </c>
      <c r="W22" s="1">
        <v>2456614</v>
      </c>
      <c r="X22" s="1">
        <v>3114761</v>
      </c>
    </row>
    <row r="23" spans="1:24">
      <c r="A23" s="2">
        <v>1989</v>
      </c>
      <c r="B23" s="21">
        <f t="shared" si="2"/>
        <v>27276.780999999999</v>
      </c>
      <c r="C23" s="21">
        <f t="shared" si="2"/>
        <v>576.55100000000004</v>
      </c>
      <c r="D23" s="21">
        <f t="shared" si="2"/>
        <v>130.15299999999999</v>
      </c>
      <c r="E23" s="21">
        <f t="shared" si="2"/>
        <v>903.84100000000001</v>
      </c>
      <c r="F23" s="21">
        <f t="shared" si="2"/>
        <v>735.12900000000002</v>
      </c>
      <c r="G23" s="21">
        <f t="shared" si="2"/>
        <v>6925.1279999999997</v>
      </c>
      <c r="H23" s="21">
        <f t="shared" si="2"/>
        <v>10103.305</v>
      </c>
      <c r="I23" s="21">
        <f t="shared" si="2"/>
        <v>1103.7919999999999</v>
      </c>
      <c r="J23" s="21">
        <f t="shared" si="2"/>
        <v>1019.439</v>
      </c>
      <c r="K23" s="21">
        <f t="shared" si="2"/>
        <v>2498.3249999999998</v>
      </c>
      <c r="L23" s="21">
        <f t="shared" si="2"/>
        <v>3196.7249999999999</v>
      </c>
      <c r="M23" s="121">
        <f t="shared" si="1"/>
        <v>27192.387999999999</v>
      </c>
      <c r="N23" s="1">
        <v>27276781</v>
      </c>
      <c r="O23" s="1">
        <v>576551</v>
      </c>
      <c r="P23" s="1">
        <v>130153</v>
      </c>
      <c r="Q23" s="1">
        <v>903841</v>
      </c>
      <c r="R23" s="1">
        <v>735129</v>
      </c>
      <c r="S23" s="1">
        <v>6925128</v>
      </c>
      <c r="T23" s="1">
        <v>10103305</v>
      </c>
      <c r="U23" s="1">
        <v>1103792</v>
      </c>
      <c r="V23" s="1">
        <v>1019439</v>
      </c>
      <c r="W23" s="1">
        <v>2498325</v>
      </c>
      <c r="X23" s="1">
        <v>3196725</v>
      </c>
    </row>
    <row r="24" spans="1:24">
      <c r="A24" s="2">
        <v>1990</v>
      </c>
      <c r="B24" s="21">
        <f t="shared" si="2"/>
        <v>27691.137999999999</v>
      </c>
      <c r="C24" s="21">
        <f t="shared" si="2"/>
        <v>577.36800000000005</v>
      </c>
      <c r="D24" s="21">
        <f t="shared" si="2"/>
        <v>130.404</v>
      </c>
      <c r="E24" s="21">
        <f t="shared" si="2"/>
        <v>910.45100000000002</v>
      </c>
      <c r="F24" s="21">
        <f t="shared" si="2"/>
        <v>740.15599999999995</v>
      </c>
      <c r="G24" s="21">
        <f t="shared" si="2"/>
        <v>6996.9859999999999</v>
      </c>
      <c r="H24" s="21">
        <f t="shared" si="2"/>
        <v>10295.832</v>
      </c>
      <c r="I24" s="21">
        <f t="shared" si="2"/>
        <v>1105.421</v>
      </c>
      <c r="J24" s="21">
        <f t="shared" si="2"/>
        <v>1007.727</v>
      </c>
      <c r="K24" s="21">
        <f t="shared" si="2"/>
        <v>2547.788</v>
      </c>
      <c r="L24" s="21">
        <f t="shared" si="2"/>
        <v>3292.1109999999999</v>
      </c>
      <c r="M24" s="121">
        <f t="shared" si="1"/>
        <v>27604.243999999999</v>
      </c>
      <c r="N24" s="1">
        <v>27691138</v>
      </c>
      <c r="O24" s="1">
        <v>577368</v>
      </c>
      <c r="P24" s="1">
        <v>130404</v>
      </c>
      <c r="Q24" s="1">
        <v>910451</v>
      </c>
      <c r="R24" s="1">
        <v>740156</v>
      </c>
      <c r="S24" s="1">
        <v>6996986</v>
      </c>
      <c r="T24" s="1">
        <v>10295832</v>
      </c>
      <c r="U24" s="1">
        <v>1105421</v>
      </c>
      <c r="V24" s="1">
        <v>1007727</v>
      </c>
      <c r="W24" s="1">
        <v>2547788</v>
      </c>
      <c r="X24" s="1">
        <v>3292111</v>
      </c>
    </row>
    <row r="25" spans="1:24">
      <c r="A25" s="2">
        <v>1991</v>
      </c>
      <c r="B25" s="21">
        <f t="shared" si="2"/>
        <v>28037.42</v>
      </c>
      <c r="C25" s="21">
        <f t="shared" si="2"/>
        <v>579.64400000000001</v>
      </c>
      <c r="D25" s="21">
        <f t="shared" si="2"/>
        <v>130.369</v>
      </c>
      <c r="E25" s="21">
        <f t="shared" si="2"/>
        <v>914.96900000000005</v>
      </c>
      <c r="F25" s="21">
        <f t="shared" si="2"/>
        <v>745.56700000000001</v>
      </c>
      <c r="G25" s="21">
        <f t="shared" si="2"/>
        <v>7067.3959999999997</v>
      </c>
      <c r="H25" s="21">
        <f t="shared" si="2"/>
        <v>10431.316000000001</v>
      </c>
      <c r="I25" s="21">
        <f t="shared" si="2"/>
        <v>1109.604</v>
      </c>
      <c r="J25" s="21">
        <f t="shared" si="2"/>
        <v>1002.713</v>
      </c>
      <c r="K25" s="21">
        <f t="shared" si="2"/>
        <v>2592.306</v>
      </c>
      <c r="L25" s="21">
        <f t="shared" si="2"/>
        <v>3373.7869999999998</v>
      </c>
      <c r="M25" s="121">
        <f t="shared" si="1"/>
        <v>27947.670999999998</v>
      </c>
      <c r="N25" s="1">
        <v>28037420</v>
      </c>
      <c r="O25" s="1">
        <v>579644</v>
      </c>
      <c r="P25" s="1">
        <v>130369</v>
      </c>
      <c r="Q25" s="1">
        <v>914969</v>
      </c>
      <c r="R25" s="1">
        <v>745567</v>
      </c>
      <c r="S25" s="1">
        <v>7067396</v>
      </c>
      <c r="T25" s="1">
        <v>10431316</v>
      </c>
      <c r="U25" s="1">
        <v>1109604</v>
      </c>
      <c r="V25" s="1">
        <v>1002713</v>
      </c>
      <c r="W25" s="1">
        <v>2592306</v>
      </c>
      <c r="X25" s="1">
        <v>3373787</v>
      </c>
    </row>
    <row r="26" spans="1:24">
      <c r="A26" s="2">
        <v>1992</v>
      </c>
      <c r="B26" s="21">
        <f t="shared" si="2"/>
        <v>28371.263999999999</v>
      </c>
      <c r="C26" s="21">
        <f t="shared" si="2"/>
        <v>580.10900000000004</v>
      </c>
      <c r="D26" s="21">
        <f t="shared" si="2"/>
        <v>130.827</v>
      </c>
      <c r="E26" s="21">
        <f t="shared" si="2"/>
        <v>919.45100000000002</v>
      </c>
      <c r="F26" s="21">
        <f t="shared" si="2"/>
        <v>748.12099999999998</v>
      </c>
      <c r="G26" s="21">
        <f t="shared" si="2"/>
        <v>7110.01</v>
      </c>
      <c r="H26" s="21">
        <f t="shared" si="2"/>
        <v>10572.205</v>
      </c>
      <c r="I26" s="21">
        <f t="shared" si="2"/>
        <v>1112.6890000000001</v>
      </c>
      <c r="J26" s="21">
        <f t="shared" si="2"/>
        <v>1003.995</v>
      </c>
      <c r="K26" s="21">
        <f t="shared" si="2"/>
        <v>2632.672</v>
      </c>
      <c r="L26" s="21">
        <f t="shared" si="2"/>
        <v>3468.8020000000001</v>
      </c>
      <c r="M26" s="121">
        <f t="shared" si="1"/>
        <v>28278.880999999994</v>
      </c>
      <c r="N26" s="1">
        <v>28371264</v>
      </c>
      <c r="O26" s="1">
        <v>580109</v>
      </c>
      <c r="P26" s="1">
        <v>130827</v>
      </c>
      <c r="Q26" s="1">
        <v>919451</v>
      </c>
      <c r="R26" s="1">
        <v>748121</v>
      </c>
      <c r="S26" s="1">
        <v>7110010</v>
      </c>
      <c r="T26" s="1">
        <v>10572205</v>
      </c>
      <c r="U26" s="1">
        <v>1112689</v>
      </c>
      <c r="V26" s="1">
        <v>1003995</v>
      </c>
      <c r="W26" s="1">
        <v>2632672</v>
      </c>
      <c r="X26" s="1">
        <v>3468802</v>
      </c>
    </row>
    <row r="27" spans="1:24">
      <c r="A27" s="2">
        <v>1993</v>
      </c>
      <c r="B27" s="21">
        <f t="shared" si="2"/>
        <v>28684.763999999999</v>
      </c>
      <c r="C27" s="21">
        <f t="shared" si="2"/>
        <v>579.97699999999998</v>
      </c>
      <c r="D27" s="21">
        <f t="shared" si="2"/>
        <v>132.17699999999999</v>
      </c>
      <c r="E27" s="21">
        <f t="shared" si="2"/>
        <v>923.92499999999995</v>
      </c>
      <c r="F27" s="21">
        <f t="shared" si="2"/>
        <v>748.81200000000001</v>
      </c>
      <c r="G27" s="21">
        <f t="shared" si="2"/>
        <v>7156.5370000000003</v>
      </c>
      <c r="H27" s="21">
        <f t="shared" si="2"/>
        <v>10690.038</v>
      </c>
      <c r="I27" s="21">
        <f t="shared" si="2"/>
        <v>1117.6179999999999</v>
      </c>
      <c r="J27" s="21">
        <f t="shared" si="2"/>
        <v>1006.9</v>
      </c>
      <c r="K27" s="21">
        <f t="shared" si="2"/>
        <v>2667.2919999999999</v>
      </c>
      <c r="L27" s="21">
        <f t="shared" si="2"/>
        <v>3567.7719999999999</v>
      </c>
      <c r="M27" s="121">
        <f t="shared" si="1"/>
        <v>28591.048000000003</v>
      </c>
      <c r="N27" s="1">
        <v>28684764</v>
      </c>
      <c r="O27" s="1">
        <v>579977</v>
      </c>
      <c r="P27" s="1">
        <v>132177</v>
      </c>
      <c r="Q27" s="1">
        <v>923925</v>
      </c>
      <c r="R27" s="1">
        <v>748812</v>
      </c>
      <c r="S27" s="1">
        <v>7156537</v>
      </c>
      <c r="T27" s="1">
        <v>10690038</v>
      </c>
      <c r="U27" s="1">
        <v>1117618</v>
      </c>
      <c r="V27" s="1">
        <v>1006900</v>
      </c>
      <c r="W27" s="1">
        <v>2667292</v>
      </c>
      <c r="X27" s="1">
        <v>3567772</v>
      </c>
    </row>
    <row r="28" spans="1:24">
      <c r="A28" s="2">
        <v>1994</v>
      </c>
      <c r="B28" s="21">
        <f t="shared" si="2"/>
        <v>29000.663</v>
      </c>
      <c r="C28" s="21">
        <f t="shared" si="2"/>
        <v>574.46600000000001</v>
      </c>
      <c r="D28" s="21">
        <f t="shared" si="2"/>
        <v>133.43700000000001</v>
      </c>
      <c r="E28" s="21">
        <f t="shared" si="2"/>
        <v>926.87099999999998</v>
      </c>
      <c r="F28" s="21">
        <f t="shared" si="2"/>
        <v>750.18499999999995</v>
      </c>
      <c r="G28" s="21">
        <f t="shared" si="2"/>
        <v>7192.4030000000002</v>
      </c>
      <c r="H28" s="21">
        <f t="shared" si="2"/>
        <v>10819.146000000001</v>
      </c>
      <c r="I28" s="21">
        <f t="shared" si="2"/>
        <v>1123.23</v>
      </c>
      <c r="J28" s="21">
        <f t="shared" si="2"/>
        <v>1009.575</v>
      </c>
      <c r="K28" s="21">
        <f t="shared" si="2"/>
        <v>2700.6060000000002</v>
      </c>
      <c r="L28" s="21">
        <f t="shared" si="2"/>
        <v>3676.0749999999998</v>
      </c>
      <c r="M28" s="121">
        <f t="shared" si="1"/>
        <v>28905.994000000002</v>
      </c>
      <c r="N28" s="1">
        <v>29000663</v>
      </c>
      <c r="O28" s="1">
        <v>574466</v>
      </c>
      <c r="P28" s="1">
        <v>133437</v>
      </c>
      <c r="Q28" s="1">
        <v>926871</v>
      </c>
      <c r="R28" s="1">
        <v>750185</v>
      </c>
      <c r="S28" s="1">
        <v>7192403</v>
      </c>
      <c r="T28" s="1">
        <v>10819146</v>
      </c>
      <c r="U28" s="1">
        <v>1123230</v>
      </c>
      <c r="V28" s="1">
        <v>1009575</v>
      </c>
      <c r="W28" s="1">
        <v>2700606</v>
      </c>
      <c r="X28" s="1">
        <v>3676075</v>
      </c>
    </row>
    <row r="29" spans="1:24">
      <c r="A29" s="2">
        <v>1995</v>
      </c>
      <c r="B29" s="21">
        <f t="shared" si="2"/>
        <v>29302.311000000002</v>
      </c>
      <c r="C29" s="21">
        <f t="shared" si="2"/>
        <v>567.39700000000005</v>
      </c>
      <c r="D29" s="21">
        <f t="shared" si="2"/>
        <v>134.41499999999999</v>
      </c>
      <c r="E29" s="21">
        <f t="shared" si="2"/>
        <v>928.12</v>
      </c>
      <c r="F29" s="21">
        <f t="shared" si="2"/>
        <v>750.94299999999998</v>
      </c>
      <c r="G29" s="21">
        <f t="shared" si="2"/>
        <v>7219.2190000000001</v>
      </c>
      <c r="H29" s="21">
        <f t="shared" si="2"/>
        <v>10950.119000000001</v>
      </c>
      <c r="I29" s="21">
        <f t="shared" si="2"/>
        <v>1129.1500000000001</v>
      </c>
      <c r="J29" s="21">
        <f t="shared" si="2"/>
        <v>1014.187</v>
      </c>
      <c r="K29" s="21">
        <f t="shared" si="2"/>
        <v>2734.5189999999998</v>
      </c>
      <c r="L29" s="21">
        <f t="shared" si="2"/>
        <v>3777.39</v>
      </c>
      <c r="M29" s="121">
        <f t="shared" si="1"/>
        <v>29205.459000000006</v>
      </c>
      <c r="N29" s="1">
        <v>29302311</v>
      </c>
      <c r="O29" s="1">
        <v>567397</v>
      </c>
      <c r="P29" s="1">
        <v>134415</v>
      </c>
      <c r="Q29" s="1">
        <v>928120</v>
      </c>
      <c r="R29" s="1">
        <v>750943</v>
      </c>
      <c r="S29" s="1">
        <v>7219219</v>
      </c>
      <c r="T29" s="1">
        <v>10950119</v>
      </c>
      <c r="U29" s="1">
        <v>1129150</v>
      </c>
      <c r="V29" s="1">
        <v>1014187</v>
      </c>
      <c r="W29" s="1">
        <v>2734519</v>
      </c>
      <c r="X29" s="1">
        <v>3777390</v>
      </c>
    </row>
    <row r="30" spans="1:24">
      <c r="A30" s="2">
        <v>1996</v>
      </c>
      <c r="B30" s="21">
        <f t="shared" si="2"/>
        <v>29610.218000000001</v>
      </c>
      <c r="C30" s="21">
        <f t="shared" si="2"/>
        <v>559.69799999999998</v>
      </c>
      <c r="D30" s="21">
        <f t="shared" si="2"/>
        <v>135.73699999999999</v>
      </c>
      <c r="E30" s="21">
        <f t="shared" si="2"/>
        <v>931.327</v>
      </c>
      <c r="F30" s="21">
        <f t="shared" si="2"/>
        <v>752.26800000000003</v>
      </c>
      <c r="G30" s="21">
        <f t="shared" si="2"/>
        <v>7246.8969999999999</v>
      </c>
      <c r="H30" s="21">
        <f t="shared" si="2"/>
        <v>11082.903</v>
      </c>
      <c r="I30" s="21">
        <f t="shared" si="2"/>
        <v>1134.1959999999999</v>
      </c>
      <c r="J30" s="21">
        <f t="shared" si="2"/>
        <v>1018.9450000000001</v>
      </c>
      <c r="K30" s="21">
        <f t="shared" si="2"/>
        <v>2775.1329999999998</v>
      </c>
      <c r="L30" s="21">
        <f t="shared" si="2"/>
        <v>3874.317</v>
      </c>
      <c r="M30" s="121">
        <f t="shared" si="1"/>
        <v>29511.420999999998</v>
      </c>
      <c r="N30" s="1">
        <v>29610218</v>
      </c>
      <c r="O30" s="1">
        <v>559698</v>
      </c>
      <c r="P30" s="1">
        <v>135737</v>
      </c>
      <c r="Q30" s="1">
        <v>931327</v>
      </c>
      <c r="R30" s="1">
        <v>752268</v>
      </c>
      <c r="S30" s="1">
        <v>7246897</v>
      </c>
      <c r="T30" s="1">
        <v>11082903</v>
      </c>
      <c r="U30" s="1">
        <v>1134196</v>
      </c>
      <c r="V30" s="1">
        <v>1018945</v>
      </c>
      <c r="W30" s="1">
        <v>2775133</v>
      </c>
      <c r="X30" s="1">
        <v>3874317</v>
      </c>
    </row>
    <row r="31" spans="1:24">
      <c r="A31" s="2">
        <v>1997</v>
      </c>
      <c r="B31" s="21">
        <f t="shared" si="2"/>
        <v>29905.948</v>
      </c>
      <c r="C31" s="21">
        <f t="shared" si="2"/>
        <v>550.91099999999994</v>
      </c>
      <c r="D31" s="21">
        <f t="shared" si="2"/>
        <v>136.095</v>
      </c>
      <c r="E31" s="21">
        <f t="shared" si="2"/>
        <v>932.40200000000004</v>
      </c>
      <c r="F31" s="21">
        <f t="shared" si="2"/>
        <v>752.51099999999997</v>
      </c>
      <c r="G31" s="21">
        <f t="shared" si="2"/>
        <v>7274.6109999999999</v>
      </c>
      <c r="H31" s="21">
        <f t="shared" si="2"/>
        <v>11227.651</v>
      </c>
      <c r="I31" s="21">
        <f t="shared" si="2"/>
        <v>1136.1279999999999</v>
      </c>
      <c r="J31" s="21">
        <f t="shared" si="2"/>
        <v>1017.902</v>
      </c>
      <c r="K31" s="21">
        <f t="shared" si="2"/>
        <v>2829.848</v>
      </c>
      <c r="L31" s="21">
        <f t="shared" si="2"/>
        <v>3948.5830000000001</v>
      </c>
      <c r="M31" s="121">
        <f t="shared" si="1"/>
        <v>29806.641999999993</v>
      </c>
      <c r="N31" s="1">
        <v>29905948</v>
      </c>
      <c r="O31" s="1">
        <v>550911</v>
      </c>
      <c r="P31" s="1">
        <v>136095</v>
      </c>
      <c r="Q31" s="1">
        <v>932402</v>
      </c>
      <c r="R31" s="1">
        <v>752511</v>
      </c>
      <c r="S31" s="1">
        <v>7274611</v>
      </c>
      <c r="T31" s="1">
        <v>11227651</v>
      </c>
      <c r="U31" s="1">
        <v>1136128</v>
      </c>
      <c r="V31" s="1">
        <v>1017902</v>
      </c>
      <c r="W31" s="1">
        <v>2829848</v>
      </c>
      <c r="X31" s="1">
        <v>3948583</v>
      </c>
    </row>
    <row r="32" spans="1:24">
      <c r="A32" s="2">
        <v>1998</v>
      </c>
      <c r="B32" s="21">
        <f t="shared" si="2"/>
        <v>30155.172999999999</v>
      </c>
      <c r="C32" s="21">
        <f t="shared" si="2"/>
        <v>539.84299999999996</v>
      </c>
      <c r="D32" s="21">
        <f t="shared" si="2"/>
        <v>135.804</v>
      </c>
      <c r="E32" s="21">
        <f t="shared" si="2"/>
        <v>931.83600000000001</v>
      </c>
      <c r="F32" s="21">
        <f t="shared" si="2"/>
        <v>750.53</v>
      </c>
      <c r="G32" s="21">
        <f t="shared" si="2"/>
        <v>7295.9350000000004</v>
      </c>
      <c r="H32" s="21">
        <f t="shared" si="2"/>
        <v>11365.901</v>
      </c>
      <c r="I32" s="21">
        <f t="shared" si="2"/>
        <v>1137.489</v>
      </c>
      <c r="J32" s="21">
        <f t="shared" si="2"/>
        <v>1017.332</v>
      </c>
      <c r="K32" s="21">
        <f t="shared" si="2"/>
        <v>2899.0659999999998</v>
      </c>
      <c r="L32" s="21">
        <f t="shared" si="2"/>
        <v>3983.1129999999998</v>
      </c>
      <c r="M32" s="121">
        <f t="shared" si="1"/>
        <v>30056.849000000002</v>
      </c>
      <c r="N32" s="1">
        <v>30155173</v>
      </c>
      <c r="O32" s="1">
        <v>539843</v>
      </c>
      <c r="P32" s="1">
        <v>135804</v>
      </c>
      <c r="Q32" s="1">
        <v>931836</v>
      </c>
      <c r="R32" s="1">
        <v>750530</v>
      </c>
      <c r="S32" s="1">
        <v>7295935</v>
      </c>
      <c r="T32" s="1">
        <v>11365901</v>
      </c>
      <c r="U32" s="1">
        <v>1137489</v>
      </c>
      <c r="V32" s="1">
        <v>1017332</v>
      </c>
      <c r="W32" s="1">
        <v>2899066</v>
      </c>
      <c r="X32" s="1">
        <v>3983113</v>
      </c>
    </row>
    <row r="33" spans="1:24">
      <c r="A33" s="2">
        <v>1999</v>
      </c>
      <c r="B33" s="21">
        <f t="shared" si="2"/>
        <v>30401.286</v>
      </c>
      <c r="C33" s="21">
        <f t="shared" si="2"/>
        <v>533.32899999999995</v>
      </c>
      <c r="D33" s="21">
        <f t="shared" si="2"/>
        <v>136.28100000000001</v>
      </c>
      <c r="E33" s="21">
        <f t="shared" si="2"/>
        <v>933.78399999999999</v>
      </c>
      <c r="F33" s="21">
        <f t="shared" si="2"/>
        <v>750.601</v>
      </c>
      <c r="G33" s="21">
        <f t="shared" si="2"/>
        <v>7323.25</v>
      </c>
      <c r="H33" s="21">
        <f t="shared" si="2"/>
        <v>11504.759</v>
      </c>
      <c r="I33" s="21">
        <f t="shared" si="2"/>
        <v>1142.4480000000001</v>
      </c>
      <c r="J33" s="21">
        <f t="shared" si="2"/>
        <v>1014.524</v>
      </c>
      <c r="K33" s="21">
        <f t="shared" si="2"/>
        <v>2952.692</v>
      </c>
      <c r="L33" s="21">
        <f t="shared" si="2"/>
        <v>4011.375</v>
      </c>
      <c r="M33" s="121">
        <f t="shared" si="1"/>
        <v>30303.043000000001</v>
      </c>
      <c r="N33" s="1">
        <v>30401286</v>
      </c>
      <c r="O33" s="1">
        <v>533329</v>
      </c>
      <c r="P33" s="1">
        <v>136281</v>
      </c>
      <c r="Q33" s="1">
        <v>933784</v>
      </c>
      <c r="R33" s="1">
        <v>750601</v>
      </c>
      <c r="S33" s="1">
        <v>7323250</v>
      </c>
      <c r="T33" s="1">
        <v>11504759</v>
      </c>
      <c r="U33" s="1">
        <v>1142448</v>
      </c>
      <c r="V33" s="1">
        <v>1014524</v>
      </c>
      <c r="W33" s="1">
        <v>2952692</v>
      </c>
      <c r="X33" s="1">
        <v>4011375</v>
      </c>
    </row>
    <row r="34" spans="1:24">
      <c r="A34" s="2">
        <v>2000</v>
      </c>
      <c r="B34" s="21">
        <f t="shared" si="2"/>
        <v>30685.73</v>
      </c>
      <c r="C34" s="21">
        <f t="shared" si="2"/>
        <v>527.96600000000001</v>
      </c>
      <c r="D34" s="21">
        <f t="shared" si="2"/>
        <v>136.47</v>
      </c>
      <c r="E34" s="21">
        <f t="shared" si="2"/>
        <v>933.82100000000003</v>
      </c>
      <c r="F34" s="21">
        <f t="shared" si="2"/>
        <v>750.51700000000005</v>
      </c>
      <c r="G34" s="21">
        <f t="shared" si="2"/>
        <v>7356.951</v>
      </c>
      <c r="H34" s="21">
        <f t="shared" si="2"/>
        <v>11683.29</v>
      </c>
      <c r="I34" s="21">
        <f t="shared" si="2"/>
        <v>1147.3130000000001</v>
      </c>
      <c r="J34" s="21">
        <f t="shared" si="2"/>
        <v>1007.5650000000001</v>
      </c>
      <c r="K34" s="21">
        <f t="shared" si="2"/>
        <v>3004.1979999999999</v>
      </c>
      <c r="L34" s="21">
        <f t="shared" si="2"/>
        <v>4039.23</v>
      </c>
      <c r="M34" s="121">
        <f t="shared" si="1"/>
        <v>30587.321</v>
      </c>
      <c r="N34" s="1">
        <v>30685730</v>
      </c>
      <c r="O34" s="1">
        <v>527966</v>
      </c>
      <c r="P34" s="1">
        <v>136470</v>
      </c>
      <c r="Q34" s="1">
        <v>933821</v>
      </c>
      <c r="R34" s="1">
        <v>750517</v>
      </c>
      <c r="S34" s="1">
        <v>7356951</v>
      </c>
      <c r="T34" s="1">
        <v>11683290</v>
      </c>
      <c r="U34" s="1">
        <v>1147313</v>
      </c>
      <c r="V34" s="1">
        <v>1007565</v>
      </c>
      <c r="W34" s="1">
        <v>3004198</v>
      </c>
      <c r="X34" s="1">
        <v>4039230</v>
      </c>
    </row>
    <row r="35" spans="1:24">
      <c r="A35" s="2">
        <v>2001</v>
      </c>
      <c r="B35" s="21">
        <f t="shared" si="2"/>
        <v>31019.02</v>
      </c>
      <c r="C35" s="21">
        <f t="shared" si="2"/>
        <v>522.03300000000002</v>
      </c>
      <c r="D35" s="21">
        <f t="shared" si="2"/>
        <v>136.66300000000001</v>
      </c>
      <c r="E35" s="21">
        <f t="shared" si="2"/>
        <v>932.45399999999995</v>
      </c>
      <c r="F35" s="21">
        <f t="shared" si="2"/>
        <v>749.80100000000004</v>
      </c>
      <c r="G35" s="21">
        <f t="shared" si="2"/>
        <v>7396.3310000000001</v>
      </c>
      <c r="H35" s="21">
        <f t="shared" si="2"/>
        <v>11896.663</v>
      </c>
      <c r="I35" s="21">
        <f t="shared" si="2"/>
        <v>1151.4390000000001</v>
      </c>
      <c r="J35" s="21">
        <f t="shared" si="2"/>
        <v>1000.221</v>
      </c>
      <c r="K35" s="21">
        <f t="shared" si="2"/>
        <v>3058.0169999999998</v>
      </c>
      <c r="L35" s="21">
        <f t="shared" si="2"/>
        <v>4076.2640000000001</v>
      </c>
      <c r="M35" s="121">
        <f t="shared" si="1"/>
        <v>30919.885999999999</v>
      </c>
      <c r="N35" s="1">
        <v>31019020</v>
      </c>
      <c r="O35" s="1">
        <v>522033</v>
      </c>
      <c r="P35" s="1">
        <v>136663</v>
      </c>
      <c r="Q35" s="1">
        <v>932454</v>
      </c>
      <c r="R35" s="1">
        <v>749801</v>
      </c>
      <c r="S35" s="1">
        <v>7396331</v>
      </c>
      <c r="T35" s="1">
        <v>11896663</v>
      </c>
      <c r="U35" s="1">
        <v>1151439</v>
      </c>
      <c r="V35" s="1">
        <v>1000221</v>
      </c>
      <c r="W35" s="1">
        <v>3058017</v>
      </c>
      <c r="X35" s="1">
        <v>4076264</v>
      </c>
    </row>
    <row r="36" spans="1:24">
      <c r="A36" s="2">
        <v>2002</v>
      </c>
      <c r="B36" s="21">
        <f t="shared" si="2"/>
        <v>31353.655999999999</v>
      </c>
      <c r="C36" s="21">
        <f t="shared" si="2"/>
        <v>519.53099999999995</v>
      </c>
      <c r="D36" s="21">
        <f t="shared" si="2"/>
        <v>136.876</v>
      </c>
      <c r="E36" s="21">
        <f t="shared" si="2"/>
        <v>935.01499999999999</v>
      </c>
      <c r="F36" s="21">
        <f t="shared" si="2"/>
        <v>749.33100000000002</v>
      </c>
      <c r="G36" s="21">
        <f t="shared" si="2"/>
        <v>7441.076</v>
      </c>
      <c r="H36" s="21">
        <f t="shared" si="2"/>
        <v>12091.029</v>
      </c>
      <c r="I36" s="21">
        <f t="shared" si="2"/>
        <v>1156.6130000000001</v>
      </c>
      <c r="J36" s="21">
        <f t="shared" si="2"/>
        <v>996.80100000000004</v>
      </c>
      <c r="K36" s="21">
        <f t="shared" si="2"/>
        <v>3128.364</v>
      </c>
      <c r="L36" s="21">
        <f t="shared" si="2"/>
        <v>4098.1779999999999</v>
      </c>
      <c r="M36" s="121">
        <f t="shared" si="1"/>
        <v>31252.814000000002</v>
      </c>
      <c r="N36" s="1">
        <v>31353656</v>
      </c>
      <c r="O36" s="1">
        <v>519531</v>
      </c>
      <c r="P36" s="1">
        <v>136876</v>
      </c>
      <c r="Q36" s="1">
        <v>935015</v>
      </c>
      <c r="R36" s="1">
        <v>749331</v>
      </c>
      <c r="S36" s="1">
        <v>7441076</v>
      </c>
      <c r="T36" s="1">
        <v>12091029</v>
      </c>
      <c r="U36" s="1">
        <v>1156613</v>
      </c>
      <c r="V36" s="1">
        <v>996801</v>
      </c>
      <c r="W36" s="1">
        <v>3128364</v>
      </c>
      <c r="X36" s="1">
        <v>4098178</v>
      </c>
    </row>
    <row r="37" spans="1:24">
      <c r="A37" s="2">
        <v>2003</v>
      </c>
      <c r="B37" s="21">
        <f t="shared" si="2"/>
        <v>31639.67</v>
      </c>
      <c r="C37" s="21">
        <f t="shared" si="2"/>
        <v>518.52</v>
      </c>
      <c r="D37" s="21">
        <f t="shared" si="2"/>
        <v>137.221</v>
      </c>
      <c r="E37" s="21">
        <f t="shared" si="2"/>
        <v>937.49099999999999</v>
      </c>
      <c r="F37" s="21">
        <f t="shared" si="2"/>
        <v>749.38900000000001</v>
      </c>
      <c r="G37" s="21">
        <f t="shared" si="2"/>
        <v>7485.8379999999997</v>
      </c>
      <c r="H37" s="21">
        <f t="shared" si="2"/>
        <v>12242.272999999999</v>
      </c>
      <c r="I37" s="21">
        <f t="shared" si="2"/>
        <v>1163.819</v>
      </c>
      <c r="J37" s="21">
        <f t="shared" si="2"/>
        <v>996.48299999999995</v>
      </c>
      <c r="K37" s="21">
        <f t="shared" si="2"/>
        <v>3183.3960000000002</v>
      </c>
      <c r="L37" s="21">
        <f t="shared" si="2"/>
        <v>4122.3959999999997</v>
      </c>
      <c r="M37" s="121">
        <f t="shared" si="1"/>
        <v>31536.825999999997</v>
      </c>
      <c r="N37" s="1">
        <v>31639670</v>
      </c>
      <c r="O37" s="1">
        <v>518520</v>
      </c>
      <c r="P37" s="1">
        <v>137221</v>
      </c>
      <c r="Q37" s="1">
        <v>937491</v>
      </c>
      <c r="R37" s="1">
        <v>749389</v>
      </c>
      <c r="S37" s="1">
        <v>7485838</v>
      </c>
      <c r="T37" s="1">
        <v>12242273</v>
      </c>
      <c r="U37" s="1">
        <v>1163819</v>
      </c>
      <c r="V37" s="1">
        <v>996483</v>
      </c>
      <c r="W37" s="1">
        <v>3183396</v>
      </c>
      <c r="X37" s="1">
        <v>4122396</v>
      </c>
    </row>
    <row r="38" spans="1:24">
      <c r="A38" s="2">
        <v>2004</v>
      </c>
      <c r="B38" s="21">
        <f t="shared" si="2"/>
        <v>31940.675999999999</v>
      </c>
      <c r="C38" s="21">
        <f t="shared" si="2"/>
        <v>517.447</v>
      </c>
      <c r="D38" s="21">
        <f t="shared" si="2"/>
        <v>137.67400000000001</v>
      </c>
      <c r="E38" s="21">
        <f t="shared" si="2"/>
        <v>939.37599999999998</v>
      </c>
      <c r="F38" s="21">
        <f t="shared" si="2"/>
        <v>749.36900000000003</v>
      </c>
      <c r="G38" s="21">
        <f t="shared" si="2"/>
        <v>7535.9290000000001</v>
      </c>
      <c r="H38" s="21">
        <f t="shared" si="2"/>
        <v>12390.599</v>
      </c>
      <c r="I38" s="21">
        <f t="shared" si="2"/>
        <v>1173.566</v>
      </c>
      <c r="J38" s="21">
        <f t="shared" si="2"/>
        <v>997.447</v>
      </c>
      <c r="K38" s="21">
        <f t="shared" si="2"/>
        <v>3239.471</v>
      </c>
      <c r="L38" s="21">
        <f t="shared" si="2"/>
        <v>4155.17</v>
      </c>
      <c r="M38" s="121">
        <f t="shared" si="1"/>
        <v>31836.048000000003</v>
      </c>
      <c r="N38" s="1">
        <v>31940676</v>
      </c>
      <c r="O38" s="1">
        <v>517447</v>
      </c>
      <c r="P38" s="1">
        <v>137674</v>
      </c>
      <c r="Q38" s="1">
        <v>939376</v>
      </c>
      <c r="R38" s="1">
        <v>749369</v>
      </c>
      <c r="S38" s="1">
        <v>7535929</v>
      </c>
      <c r="T38" s="1">
        <v>12390599</v>
      </c>
      <c r="U38" s="1">
        <v>1173566</v>
      </c>
      <c r="V38" s="1">
        <v>997447</v>
      </c>
      <c r="W38" s="1">
        <v>3239471</v>
      </c>
      <c r="X38" s="1">
        <v>4155170</v>
      </c>
    </row>
    <row r="39" spans="1:24">
      <c r="A39" s="2">
        <v>2005</v>
      </c>
      <c r="B39" s="21">
        <f t="shared" si="2"/>
        <v>32245.208999999999</v>
      </c>
      <c r="C39" s="21">
        <f t="shared" si="2"/>
        <v>514.36300000000006</v>
      </c>
      <c r="D39" s="21">
        <f t="shared" si="2"/>
        <v>138.05500000000001</v>
      </c>
      <c r="E39" s="21">
        <f t="shared" si="2"/>
        <v>937.94100000000003</v>
      </c>
      <c r="F39" s="21">
        <f t="shared" si="2"/>
        <v>747.96</v>
      </c>
      <c r="G39" s="21">
        <f t="shared" si="2"/>
        <v>7581.9110000000001</v>
      </c>
      <c r="H39" s="21">
        <f t="shared" si="2"/>
        <v>12528.48</v>
      </c>
      <c r="I39" s="21">
        <f t="shared" si="2"/>
        <v>1178.3009999999999</v>
      </c>
      <c r="J39" s="21">
        <f t="shared" si="2"/>
        <v>993.57899999999995</v>
      </c>
      <c r="K39" s="21">
        <f t="shared" si="2"/>
        <v>3322.2</v>
      </c>
      <c r="L39" s="21">
        <f t="shared" si="2"/>
        <v>4196.7879999999996</v>
      </c>
      <c r="M39" s="121">
        <f t="shared" si="1"/>
        <v>32139.578000000001</v>
      </c>
      <c r="N39" s="1">
        <v>32245209</v>
      </c>
      <c r="O39" s="1">
        <v>514363</v>
      </c>
      <c r="P39" s="1">
        <v>138055</v>
      </c>
      <c r="Q39" s="1">
        <v>937941</v>
      </c>
      <c r="R39" s="1">
        <v>747960</v>
      </c>
      <c r="S39" s="1">
        <v>7581911</v>
      </c>
      <c r="T39" s="1">
        <v>12528480</v>
      </c>
      <c r="U39" s="1">
        <v>1178301</v>
      </c>
      <c r="V39" s="1">
        <v>993579</v>
      </c>
      <c r="W39" s="1">
        <v>3322200</v>
      </c>
      <c r="X39" s="1">
        <v>4196788</v>
      </c>
    </row>
    <row r="40" spans="1:24">
      <c r="A40" s="2">
        <v>2006</v>
      </c>
      <c r="B40" s="21">
        <f t="shared" si="2"/>
        <v>32576.074000000001</v>
      </c>
      <c r="C40" s="21">
        <f t="shared" si="2"/>
        <v>510.31299999999999</v>
      </c>
      <c r="D40" s="21">
        <f t="shared" si="2"/>
        <v>137.91999999999999</v>
      </c>
      <c r="E40" s="21">
        <f t="shared" si="2"/>
        <v>938.01</v>
      </c>
      <c r="F40" s="21">
        <f t="shared" si="2"/>
        <v>745.67399999999998</v>
      </c>
      <c r="G40" s="21">
        <f t="shared" si="2"/>
        <v>7631.5519999999997</v>
      </c>
      <c r="H40" s="21">
        <f t="shared" si="2"/>
        <v>12665.346</v>
      </c>
      <c r="I40" s="21">
        <f t="shared" si="2"/>
        <v>1184.0309999999999</v>
      </c>
      <c r="J40" s="21">
        <f t="shared" si="2"/>
        <v>992.12199999999996</v>
      </c>
      <c r="K40" s="21">
        <f t="shared" si="2"/>
        <v>3421.2530000000002</v>
      </c>
      <c r="L40" s="21">
        <f t="shared" si="2"/>
        <v>4243.58</v>
      </c>
      <c r="M40" s="121">
        <f t="shared" si="1"/>
        <v>32469.800999999999</v>
      </c>
      <c r="N40" s="1">
        <v>32576074</v>
      </c>
      <c r="O40" s="1">
        <v>510313</v>
      </c>
      <c r="P40" s="1">
        <v>137920</v>
      </c>
      <c r="Q40" s="1">
        <v>938010</v>
      </c>
      <c r="R40" s="1">
        <v>745674</v>
      </c>
      <c r="S40" s="1">
        <v>7631552</v>
      </c>
      <c r="T40" s="1">
        <v>12665346</v>
      </c>
      <c r="U40" s="1">
        <v>1184031</v>
      </c>
      <c r="V40" s="1">
        <v>992122</v>
      </c>
      <c r="W40" s="1">
        <v>3421253</v>
      </c>
      <c r="X40" s="1">
        <v>4243580</v>
      </c>
    </row>
    <row r="41" spans="1:24">
      <c r="A41" s="2">
        <v>2007</v>
      </c>
      <c r="B41" s="21">
        <f t="shared" si="2"/>
        <v>32927.372000000003</v>
      </c>
      <c r="C41" s="21">
        <f t="shared" si="2"/>
        <v>506.459</v>
      </c>
      <c r="D41" s="21">
        <f t="shared" si="2"/>
        <v>138.11799999999999</v>
      </c>
      <c r="E41" s="21">
        <f t="shared" si="2"/>
        <v>936.03899999999999</v>
      </c>
      <c r="F41" s="21">
        <f t="shared" si="2"/>
        <v>745.37</v>
      </c>
      <c r="G41" s="21">
        <f t="shared" si="2"/>
        <v>7686.0379999999996</v>
      </c>
      <c r="H41" s="21">
        <f t="shared" si="2"/>
        <v>12793.572</v>
      </c>
      <c r="I41" s="21">
        <f t="shared" si="2"/>
        <v>1193.5139999999999</v>
      </c>
      <c r="J41" s="21">
        <f t="shared" si="2"/>
        <v>999.697</v>
      </c>
      <c r="K41" s="21">
        <f t="shared" si="2"/>
        <v>3510.8919999999998</v>
      </c>
      <c r="L41" s="21">
        <f t="shared" si="2"/>
        <v>4310.3050000000003</v>
      </c>
      <c r="M41" s="121">
        <f t="shared" si="1"/>
        <v>32820.004000000001</v>
      </c>
      <c r="N41" s="1">
        <v>32927372</v>
      </c>
      <c r="O41" s="1">
        <v>506459</v>
      </c>
      <c r="P41" s="1">
        <v>138118</v>
      </c>
      <c r="Q41" s="1">
        <v>936039</v>
      </c>
      <c r="R41" s="1">
        <v>745370</v>
      </c>
      <c r="S41" s="1">
        <v>7686038</v>
      </c>
      <c r="T41" s="1">
        <v>12793572</v>
      </c>
      <c r="U41" s="1">
        <v>1193514</v>
      </c>
      <c r="V41" s="1">
        <v>999697</v>
      </c>
      <c r="W41" s="1">
        <v>3510892</v>
      </c>
      <c r="X41" s="1">
        <v>4310305</v>
      </c>
    </row>
    <row r="42" spans="1:24">
      <c r="A42" s="2">
        <v>2008</v>
      </c>
      <c r="B42" s="21">
        <f t="shared" si="2"/>
        <v>33311.389000000003</v>
      </c>
      <c r="C42" s="21">
        <f t="shared" si="2"/>
        <v>507.89499999999998</v>
      </c>
      <c r="D42" s="21">
        <f t="shared" si="2"/>
        <v>139.81800000000001</v>
      </c>
      <c r="E42" s="21">
        <f t="shared" si="2"/>
        <v>938.31</v>
      </c>
      <c r="F42" s="21">
        <f t="shared" si="2"/>
        <v>747.30200000000002</v>
      </c>
      <c r="G42" s="21">
        <f t="shared" si="2"/>
        <v>7750.5039999999999</v>
      </c>
      <c r="H42" s="21">
        <f t="shared" si="2"/>
        <v>12928.995999999999</v>
      </c>
      <c r="I42" s="21">
        <f t="shared" si="2"/>
        <v>1207.9590000000001</v>
      </c>
      <c r="J42" s="21">
        <f t="shared" si="2"/>
        <v>1015.985</v>
      </c>
      <c r="K42" s="21">
        <f t="shared" si="2"/>
        <v>3585.1419999999998</v>
      </c>
      <c r="L42" s="21">
        <f t="shared" si="2"/>
        <v>4381.6030000000001</v>
      </c>
      <c r="M42" s="121">
        <f t="shared" si="1"/>
        <v>33203.513999999996</v>
      </c>
      <c r="N42" s="1">
        <v>33311389</v>
      </c>
      <c r="O42" s="1">
        <v>507895</v>
      </c>
      <c r="P42" s="1">
        <v>139818</v>
      </c>
      <c r="Q42" s="1">
        <v>938310</v>
      </c>
      <c r="R42" s="1">
        <v>747302</v>
      </c>
      <c r="S42" s="1">
        <v>7750504</v>
      </c>
      <c r="T42" s="1">
        <v>12928996</v>
      </c>
      <c r="U42" s="1">
        <v>1207959</v>
      </c>
      <c r="V42" s="1">
        <v>1015985</v>
      </c>
      <c r="W42" s="1">
        <v>3585142</v>
      </c>
      <c r="X42" s="1">
        <v>4381603</v>
      </c>
    </row>
    <row r="43" spans="1:24">
      <c r="B43" s="21"/>
      <c r="C43" s="21"/>
      <c r="D43" s="21"/>
      <c r="E43" s="21"/>
      <c r="F43" s="21"/>
      <c r="G43" s="21"/>
      <c r="H43" s="21"/>
      <c r="I43" s="21"/>
      <c r="J43" s="21"/>
      <c r="K43" s="21"/>
      <c r="L43" s="21"/>
      <c r="M43" s="121"/>
    </row>
    <row r="44" spans="1:24">
      <c r="B44" s="21"/>
      <c r="C44" s="21"/>
      <c r="D44" s="666" t="s">
        <v>802</v>
      </c>
      <c r="E44" s="21"/>
      <c r="F44" s="21"/>
      <c r="G44" s="21"/>
      <c r="H44" s="21"/>
      <c r="I44" s="21"/>
      <c r="J44" s="21"/>
      <c r="K44" s="21"/>
      <c r="L44" s="21"/>
      <c r="M44" s="121"/>
    </row>
    <row r="45" spans="1:24">
      <c r="A45" s="448" t="s">
        <v>603</v>
      </c>
      <c r="B45" s="27">
        <f>((((B23/B15))^(1/8))-1)*100</f>
        <v>1.1868563074801441</v>
      </c>
      <c r="C45" s="27">
        <f t="shared" ref="C45:L45" si="3">((((C23/C15))^(1/8))-1)*100</f>
        <v>2.7112179190780239E-2</v>
      </c>
      <c r="D45" s="27">
        <f t="shared" si="3"/>
        <v>0.65282989541473047</v>
      </c>
      <c r="E45" s="27">
        <f t="shared" si="3"/>
        <v>0.69871570197463928</v>
      </c>
      <c r="F45" s="27">
        <f t="shared" si="3"/>
        <v>0.49887214760493404</v>
      </c>
      <c r="G45" s="27">
        <f t="shared" si="3"/>
        <v>0.70394096244801307</v>
      </c>
      <c r="H45" s="27">
        <f t="shared" si="3"/>
        <v>1.7236324524947166</v>
      </c>
      <c r="I45" s="27">
        <f t="shared" si="3"/>
        <v>0.80098669744173012</v>
      </c>
      <c r="J45" s="27">
        <f t="shared" si="3"/>
        <v>0.54890254592527832</v>
      </c>
      <c r="K45" s="27">
        <f t="shared" si="3"/>
        <v>1.0882122952093232</v>
      </c>
      <c r="L45" s="27">
        <f t="shared" si="3"/>
        <v>1.5502324853960525</v>
      </c>
    </row>
    <row r="46" spans="1:24">
      <c r="A46" s="448" t="s">
        <v>604</v>
      </c>
      <c r="B46" s="27">
        <f>((((B34/B23))^(1/11))-1)*100</f>
        <v>1.076313738000878</v>
      </c>
      <c r="C46" s="27">
        <f t="shared" ref="C46:L46" si="4">((((C34/C23))^(1/11))-1)*100</f>
        <v>-0.79709632216518056</v>
      </c>
      <c r="D46" s="27">
        <f t="shared" si="4"/>
        <v>0.4317852336161998</v>
      </c>
      <c r="E46" s="27">
        <f t="shared" si="4"/>
        <v>0.29708871890494759</v>
      </c>
      <c r="F46" s="27">
        <f t="shared" si="4"/>
        <v>0.1885075285216864</v>
      </c>
      <c r="G46" s="27">
        <f t="shared" si="4"/>
        <v>0.55141513613408133</v>
      </c>
      <c r="H46" s="27">
        <f t="shared" si="4"/>
        <v>1.3296441626642563</v>
      </c>
      <c r="I46" s="27">
        <f t="shared" si="4"/>
        <v>0.35217470481661017</v>
      </c>
      <c r="J46" s="27">
        <f t="shared" si="4"/>
        <v>-0.1064519097486949</v>
      </c>
      <c r="K46" s="27">
        <f t="shared" si="4"/>
        <v>1.6904022731106361</v>
      </c>
      <c r="L46" s="27">
        <f t="shared" si="4"/>
        <v>2.1493847197283644</v>
      </c>
    </row>
    <row r="47" spans="1:24">
      <c r="A47" s="448" t="s">
        <v>1410</v>
      </c>
      <c r="B47" s="27">
        <f>((((B42/B34))^(1/8))-1)*100</f>
        <v>1.0315545255838776</v>
      </c>
      <c r="C47" s="27">
        <f t="shared" ref="C47:L47" si="5">((((C42/C34))^(1/8))-1)*100</f>
        <v>-0.48329279380174839</v>
      </c>
      <c r="D47" s="27">
        <f t="shared" si="5"/>
        <v>0.3034189691732303</v>
      </c>
      <c r="E47" s="27">
        <f t="shared" si="5"/>
        <v>5.9963142856833684E-2</v>
      </c>
      <c r="F47" s="27">
        <f t="shared" si="5"/>
        <v>-5.3647044181903691E-2</v>
      </c>
      <c r="G47" s="27">
        <f t="shared" si="5"/>
        <v>0.65352990926617061</v>
      </c>
      <c r="H47" s="27">
        <f t="shared" si="5"/>
        <v>1.2744645132282573</v>
      </c>
      <c r="I47" s="27">
        <f t="shared" si="5"/>
        <v>0.64594568638032257</v>
      </c>
      <c r="J47" s="27">
        <f t="shared" si="5"/>
        <v>0.10407983026676781</v>
      </c>
      <c r="K47" s="27">
        <f t="shared" si="5"/>
        <v>2.2344408738250943</v>
      </c>
      <c r="L47" s="27">
        <f t="shared" si="5"/>
        <v>1.0221960850948175</v>
      </c>
    </row>
    <row r="48" spans="1:24">
      <c r="A48" s="119" t="s">
        <v>1408</v>
      </c>
      <c r="B48" s="644">
        <f>((((B42/B15))^(1/27))-1)*100</f>
        <v>1.0957861438775085</v>
      </c>
      <c r="C48" s="644">
        <f t="shared" ref="C48:L48" si="6">((((C42/C15))^(1/27))-1)*100</f>
        <v>-0.46049345155867449</v>
      </c>
      <c r="D48" s="644">
        <f t="shared" si="6"/>
        <v>0.45915293070202257</v>
      </c>
      <c r="E48" s="644">
        <f t="shared" si="6"/>
        <v>0.34552075318206033</v>
      </c>
      <c r="F48" s="644">
        <f t="shared" si="6"/>
        <v>0.20849091292955979</v>
      </c>
      <c r="G48" s="644">
        <f t="shared" si="6"/>
        <v>0.62684288454648573</v>
      </c>
      <c r="H48" s="644">
        <f t="shared" si="6"/>
        <v>1.4298506085206109</v>
      </c>
      <c r="I48" s="644">
        <f t="shared" si="6"/>
        <v>0.57201609752839389</v>
      </c>
      <c r="J48" s="644">
        <f t="shared" si="6"/>
        <v>0.14973508214886078</v>
      </c>
      <c r="K48" s="644">
        <f t="shared" si="6"/>
        <v>1.6722137987828622</v>
      </c>
      <c r="L48" s="644">
        <f t="shared" si="6"/>
        <v>1.6367877209846116</v>
      </c>
    </row>
    <row r="49" spans="1:12">
      <c r="A49" s="448" t="s">
        <v>1719</v>
      </c>
      <c r="B49" s="27">
        <f>((((B42/B5))^(1/37))-1)*100</f>
        <v>1.1322654057792647</v>
      </c>
      <c r="C49" s="27">
        <f t="shared" ref="C49:L49" si="7">((((C42/C5))^(1/37))-1)*100</f>
        <v>-0.11942133108316932</v>
      </c>
      <c r="D49" s="27">
        <f t="shared" si="7"/>
        <v>0.58706731809925472</v>
      </c>
      <c r="E49" s="27">
        <f t="shared" si="7"/>
        <v>0.44112385817249855</v>
      </c>
      <c r="F49" s="27">
        <f t="shared" si="7"/>
        <v>0.40934284651590325</v>
      </c>
      <c r="G49" s="27">
        <f t="shared" si="7"/>
        <v>0.63272887339778094</v>
      </c>
      <c r="H49" s="27">
        <f t="shared" si="7"/>
        <v>1.3580112127770771</v>
      </c>
      <c r="I49" s="27">
        <f t="shared" si="7"/>
        <v>0.51498853262568201</v>
      </c>
      <c r="J49" s="27">
        <f t="shared" si="7"/>
        <v>0.23335367893271286</v>
      </c>
      <c r="K49" s="27">
        <f t="shared" si="7"/>
        <v>2.0933457020797519</v>
      </c>
      <c r="L49" s="27">
        <f t="shared" si="7"/>
        <v>1.8293116223058847</v>
      </c>
    </row>
    <row r="50" spans="1:12">
      <c r="A50" s="448"/>
      <c r="B50" s="27"/>
      <c r="D50" s="27" t="s">
        <v>276</v>
      </c>
      <c r="E50" s="27"/>
      <c r="F50" s="27"/>
      <c r="G50" s="27"/>
      <c r="H50" s="27"/>
      <c r="I50" s="27"/>
      <c r="J50" s="27"/>
      <c r="K50" s="27"/>
      <c r="L50" s="27"/>
    </row>
    <row r="51" spans="1:12">
      <c r="A51" s="448" t="s">
        <v>1719</v>
      </c>
      <c r="B51" s="12">
        <f>(B42/B5-1)*100</f>
        <v>51.677171766255526</v>
      </c>
      <c r="C51" s="12">
        <f t="shared" ref="C51:L51" si="8">(C42/C5-1)*100</f>
        <v>-4.3249179623776168</v>
      </c>
      <c r="D51" s="12">
        <f t="shared" si="8"/>
        <v>24.182217051096465</v>
      </c>
      <c r="E51" s="12">
        <f t="shared" si="8"/>
        <v>17.686825687889286</v>
      </c>
      <c r="F51" s="12">
        <f t="shared" si="8"/>
        <v>16.316845429599169</v>
      </c>
      <c r="G51" s="12">
        <f t="shared" si="8"/>
        <v>26.285136554236743</v>
      </c>
      <c r="H51" s="12">
        <f t="shared" si="8"/>
        <v>64.721002998206004</v>
      </c>
      <c r="I51" s="12">
        <f t="shared" si="8"/>
        <v>20.931827373968346</v>
      </c>
      <c r="J51" s="12">
        <f t="shared" si="8"/>
        <v>9.006821610277683</v>
      </c>
      <c r="K51" s="12">
        <f t="shared" si="8"/>
        <v>115.23115871423535</v>
      </c>
      <c r="L51" s="12">
        <f t="shared" si="8"/>
        <v>95.566242797270235</v>
      </c>
    </row>
    <row r="52" spans="1:12">
      <c r="A52" s="448" t="s">
        <v>1408</v>
      </c>
      <c r="B52" s="12">
        <f>(B42/B15-1)*100</f>
        <v>34.212341178444802</v>
      </c>
      <c r="C52" s="12">
        <f t="shared" ref="C52:L52" si="9">(C42/C15-1)*100</f>
        <v>-11.716802653215186</v>
      </c>
      <c r="D52" s="12">
        <f t="shared" si="9"/>
        <v>13.166222855339104</v>
      </c>
      <c r="E52" s="12">
        <f t="shared" si="9"/>
        <v>9.7604199931919489</v>
      </c>
      <c r="F52" s="12">
        <f t="shared" si="9"/>
        <v>5.7845132906213959</v>
      </c>
      <c r="G52" s="12">
        <f t="shared" si="9"/>
        <v>18.378783502644701</v>
      </c>
      <c r="H52" s="12">
        <f t="shared" si="9"/>
        <v>46.715574142736614</v>
      </c>
      <c r="I52" s="12">
        <f t="shared" si="9"/>
        <v>16.649590312347605</v>
      </c>
      <c r="J52" s="12">
        <f t="shared" si="9"/>
        <v>4.122534355307006</v>
      </c>
      <c r="K52" s="12">
        <f t="shared" si="9"/>
        <v>56.480980348338619</v>
      </c>
      <c r="L52" s="12">
        <f t="shared" si="9"/>
        <v>55.015499416604932</v>
      </c>
    </row>
    <row r="53" spans="1:12">
      <c r="A53" s="4"/>
      <c r="B53" s="4"/>
    </row>
    <row r="54" spans="1:12">
      <c r="A54" s="4" t="s">
        <v>514</v>
      </c>
    </row>
    <row r="55" spans="1:12">
      <c r="A55" s="4" t="s">
        <v>1718</v>
      </c>
    </row>
    <row r="56" spans="1:12">
      <c r="A56" s="1" t="s">
        <v>388</v>
      </c>
      <c r="B56" s="4"/>
    </row>
    <row r="57" spans="1:12">
      <c r="A57" s="4"/>
      <c r="B57" s="4"/>
    </row>
    <row r="58" spans="1:12">
      <c r="A58" s="4"/>
      <c r="G58" s="6"/>
      <c r="H58" s="6"/>
    </row>
    <row r="59" spans="1:12">
      <c r="A59" s="4"/>
      <c r="G59" s="6"/>
      <c r="H59" s="6"/>
    </row>
    <row r="60" spans="1:12">
      <c r="A60" s="4"/>
      <c r="C60" s="6"/>
      <c r="D60" s="6"/>
      <c r="G60" s="6"/>
      <c r="H60" s="6"/>
    </row>
    <row r="61" spans="1:12">
      <c r="A61" s="4"/>
      <c r="C61" s="10"/>
      <c r="D61" s="10"/>
      <c r="G61" s="6"/>
      <c r="H61" s="6"/>
    </row>
    <row r="62" spans="1:12">
      <c r="A62" s="4"/>
      <c r="G62" s="6"/>
      <c r="H62" s="6"/>
    </row>
    <row r="63" spans="1:12">
      <c r="A63" s="4"/>
      <c r="G63" s="6"/>
      <c r="H63" s="6"/>
    </row>
    <row r="64" spans="1:12">
      <c r="A64" s="4"/>
      <c r="G64" s="6"/>
      <c r="H64" s="6"/>
    </row>
    <row r="65" spans="1:8">
      <c r="A65" s="4"/>
      <c r="G65" s="6"/>
      <c r="H65" s="6"/>
    </row>
    <row r="66" spans="1:8">
      <c r="A66" s="4"/>
      <c r="G66" s="6"/>
      <c r="H66" s="6"/>
    </row>
    <row r="67" spans="1:8">
      <c r="A67" s="4"/>
      <c r="B67" s="4"/>
      <c r="G67" s="6"/>
      <c r="H67" s="6"/>
    </row>
    <row r="68" spans="1:8">
      <c r="A68" s="4"/>
      <c r="B68" s="4"/>
      <c r="G68" s="6"/>
      <c r="H68" s="6"/>
    </row>
    <row r="69" spans="1:8">
      <c r="A69" s="4"/>
      <c r="B69" s="4"/>
      <c r="G69" s="6"/>
      <c r="H69" s="6"/>
    </row>
    <row r="70" spans="1:8">
      <c r="A70" s="4"/>
      <c r="B70" s="4"/>
      <c r="G70" s="6"/>
      <c r="H70" s="6"/>
    </row>
    <row r="71" spans="1:8">
      <c r="A71" s="4"/>
      <c r="B71" s="4"/>
      <c r="G71" s="6"/>
      <c r="H71" s="6"/>
    </row>
    <row r="72" spans="1:8">
      <c r="A72" s="4"/>
      <c r="B72" s="4"/>
      <c r="G72" s="6"/>
      <c r="H72" s="6"/>
    </row>
    <row r="73" spans="1:8">
      <c r="A73" s="4"/>
      <c r="B73" s="4"/>
      <c r="G73" s="6"/>
      <c r="H73" s="6"/>
    </row>
    <row r="74" spans="1:8">
      <c r="A74" s="4"/>
      <c r="B74" s="4"/>
      <c r="G74" s="6"/>
      <c r="H74" s="6"/>
    </row>
    <row r="75" spans="1:8">
      <c r="A75" s="4"/>
      <c r="B75" s="4"/>
      <c r="G75" s="6"/>
      <c r="H75" s="6"/>
    </row>
    <row r="76" spans="1:8">
      <c r="A76" s="4"/>
      <c r="B76" s="4"/>
      <c r="G76" s="6"/>
      <c r="H76" s="6"/>
    </row>
    <row r="77" spans="1:8">
      <c r="A77" s="4"/>
      <c r="B77" s="4"/>
      <c r="G77" s="6"/>
      <c r="H77" s="6"/>
    </row>
    <row r="78" spans="1:8">
      <c r="A78" s="4"/>
      <c r="B78" s="4"/>
      <c r="G78" s="6"/>
      <c r="H78" s="6"/>
    </row>
    <row r="79" spans="1:8">
      <c r="A79" s="4"/>
      <c r="B79" s="4"/>
      <c r="G79" s="6"/>
      <c r="H79" s="6"/>
    </row>
    <row r="80" spans="1:8">
      <c r="A80" s="4"/>
      <c r="B80" s="4"/>
      <c r="G80" s="6"/>
      <c r="H80" s="6"/>
    </row>
    <row r="81" spans="1:8">
      <c r="A81" s="4"/>
      <c r="B81" s="4"/>
      <c r="G81" s="6"/>
      <c r="H81" s="6"/>
    </row>
    <row r="82" spans="1:8">
      <c r="A82" s="4"/>
      <c r="B82" s="4"/>
      <c r="G82" s="6"/>
      <c r="H82" s="6"/>
    </row>
    <row r="83" spans="1:8">
      <c r="G83" s="6"/>
      <c r="H83" s="6"/>
    </row>
    <row r="84" spans="1:8">
      <c r="G84" s="6"/>
      <c r="H84" s="6"/>
    </row>
    <row r="85" spans="1:8">
      <c r="G85" s="6"/>
      <c r="H85" s="6"/>
    </row>
    <row r="86" spans="1:8">
      <c r="G86" s="6"/>
      <c r="H86" s="6"/>
    </row>
    <row r="91" spans="1:8" ht="15.75">
      <c r="A91" s="40"/>
    </row>
    <row r="92" spans="1:8" ht="15.75">
      <c r="A92" s="40"/>
    </row>
    <row r="93" spans="1:8" ht="15.75">
      <c r="A93" s="40"/>
    </row>
    <row r="94" spans="1:8" ht="15.75">
      <c r="A94" s="40"/>
    </row>
    <row r="95" spans="1:8" ht="15.75">
      <c r="A95" s="40"/>
    </row>
  </sheetData>
  <mergeCells count="11">
    <mergeCell ref="B3:B4"/>
    <mergeCell ref="C3:C4"/>
    <mergeCell ref="D3:D4"/>
    <mergeCell ref="E3:E4"/>
    <mergeCell ref="J3:J4"/>
    <mergeCell ref="L3:L4"/>
    <mergeCell ref="F3:F4"/>
    <mergeCell ref="G3:G4"/>
    <mergeCell ref="H3:H4"/>
    <mergeCell ref="I3:I4"/>
    <mergeCell ref="K3:K4"/>
  </mergeCells>
  <phoneticPr fontId="35" type="noConversion"/>
  <pageMargins left="0.75" right="0.75" top="1" bottom="1" header="0.5" footer="0.5"/>
  <pageSetup scale="83"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codeName="Sheet197">
    <pageSetUpPr fitToPage="1"/>
  </sheetPr>
  <dimension ref="A1:Q109"/>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3" width="14.85546875" style="1" bestFit="1" customWidth="1"/>
    <col min="4" max="6" width="9.28515625" style="1" bestFit="1" customWidth="1"/>
    <col min="7" max="8" width="9.7109375" style="1" bestFit="1" customWidth="1"/>
    <col min="9" max="12" width="9.28515625" style="1" bestFit="1" customWidth="1"/>
    <col min="13" max="13" width="4.140625" style="1" customWidth="1"/>
    <col min="14" max="15" width="8.85546875" style="1" customWidth="1"/>
    <col min="16" max="17" width="9.42578125" style="1" hidden="1" customWidth="1"/>
    <col min="18" max="16384" width="8.85546875" style="1"/>
  </cols>
  <sheetData>
    <row r="1" spans="1:17" ht="15.75">
      <c r="A1" s="3" t="s">
        <v>2105</v>
      </c>
    </row>
    <row r="2" spans="1:17">
      <c r="A2" s="4"/>
      <c r="B2" s="4"/>
    </row>
    <row r="3" spans="1:17" ht="25.5">
      <c r="A3" s="2"/>
      <c r="B3" s="1166" t="s">
        <v>375</v>
      </c>
      <c r="C3" s="1164" t="s">
        <v>377</v>
      </c>
      <c r="D3" s="1164" t="s">
        <v>386</v>
      </c>
      <c r="E3" s="1164" t="s">
        <v>378</v>
      </c>
      <c r="F3" s="1164" t="s">
        <v>379</v>
      </c>
      <c r="G3" s="1164" t="s">
        <v>380</v>
      </c>
      <c r="H3" s="1164" t="s">
        <v>381</v>
      </c>
      <c r="I3" s="1164" t="s">
        <v>382</v>
      </c>
      <c r="J3" s="1164" t="s">
        <v>383</v>
      </c>
      <c r="K3" s="1164" t="s">
        <v>384</v>
      </c>
      <c r="L3" s="1164" t="s">
        <v>385</v>
      </c>
      <c r="M3" s="4"/>
      <c r="N3" s="645" t="s">
        <v>79</v>
      </c>
      <c r="O3" s="645" t="s">
        <v>84</v>
      </c>
      <c r="P3" s="124" t="s">
        <v>79</v>
      </c>
      <c r="Q3" s="124" t="s">
        <v>84</v>
      </c>
    </row>
    <row r="4" spans="1:17" s="4" customFormat="1" ht="25.5">
      <c r="A4" s="7"/>
      <c r="B4" s="1167"/>
      <c r="C4" s="1165"/>
      <c r="D4" s="1165"/>
      <c r="E4" s="1165"/>
      <c r="F4" s="1165"/>
      <c r="G4" s="1165"/>
      <c r="H4" s="1165"/>
      <c r="I4" s="1165"/>
      <c r="J4" s="1165"/>
      <c r="K4" s="1165"/>
      <c r="L4" s="1165"/>
      <c r="M4" s="667"/>
      <c r="N4" s="646" t="s">
        <v>282</v>
      </c>
      <c r="O4" s="646" t="s">
        <v>282</v>
      </c>
      <c r="P4" s="645" t="s">
        <v>281</v>
      </c>
      <c r="Q4" s="645" t="s">
        <v>281</v>
      </c>
    </row>
    <row r="5" spans="1:17">
      <c r="A5" s="120">
        <v>1981</v>
      </c>
      <c r="B5" s="39">
        <f>'7c'!B5/'7c'!$B5*100</f>
        <v>100</v>
      </c>
      <c r="C5" s="36">
        <f>'7c'!C5/'7c'!$B5*100</f>
        <v>61.684846578403153</v>
      </c>
      <c r="D5" s="36">
        <f>'7c'!D5/'7c'!$B5*100</f>
        <v>59.463177560752442</v>
      </c>
      <c r="E5" s="36">
        <f>'7c'!E5/'7c'!$B5*100</f>
        <v>64.193003362442411</v>
      </c>
      <c r="F5" s="36">
        <f>'7c'!F5/'7c'!$B5*100</f>
        <v>61.852317131016513</v>
      </c>
      <c r="G5" s="36">
        <f>'7c'!G5/'7c'!$B5*100</f>
        <v>84.65203364351153</v>
      </c>
      <c r="H5" s="36">
        <f>'7c'!H5/'7c'!$B5*100</f>
        <v>102.40585623881584</v>
      </c>
      <c r="I5" s="36">
        <f>'7c'!I5/'7c'!$B5*100</f>
        <v>90.593594875643078</v>
      </c>
      <c r="J5" s="36">
        <f>'7c'!J5/'7c'!$B5*100</f>
        <v>104.2663750982379</v>
      </c>
      <c r="K5" s="36">
        <f>'7c'!K5/'7c'!$B5*100</f>
        <v>160.45498347067405</v>
      </c>
      <c r="L5" s="36">
        <f>'7c'!L5/'7c'!$B5*100</f>
        <v>109.29956852715898</v>
      </c>
      <c r="N5" s="19">
        <f>SUM(C82:L82)/10</f>
        <v>993.79893022611282</v>
      </c>
      <c r="O5" s="19">
        <f>SQRT(N5)</f>
        <v>31.524576606611433</v>
      </c>
      <c r="P5" s="19">
        <f>Q5^2</f>
        <v>891.51757811595235</v>
      </c>
      <c r="Q5" s="19">
        <f>STDEVP(C5:L5)</f>
        <v>29.858291614155561</v>
      </c>
    </row>
    <row r="6" spans="1:17">
      <c r="A6" s="120">
        <v>1982</v>
      </c>
      <c r="B6" s="39">
        <f>'7c'!B6/'7c'!$B6*100</f>
        <v>100</v>
      </c>
      <c r="C6" s="36">
        <f>'7c'!C6/'7c'!$B6*100</f>
        <v>64.635784245633261</v>
      </c>
      <c r="D6" s="36">
        <f>'7c'!D6/'7c'!$B6*100</f>
        <v>61.687524886026488</v>
      </c>
      <c r="E6" s="36">
        <f>'7c'!E6/'7c'!$B6*100</f>
        <v>70.706348209562094</v>
      </c>
      <c r="F6" s="36">
        <f>'7c'!F6/'7c'!$B6*100</f>
        <v>65.910802224824636</v>
      </c>
      <c r="G6" s="36">
        <f>'7c'!G6/'7c'!$B6*100</f>
        <v>85.626489753169338</v>
      </c>
      <c r="H6" s="36">
        <f>'7c'!H6/'7c'!$B6*100</f>
        <v>102.84194610817879</v>
      </c>
      <c r="I6" s="36">
        <f>'7c'!I6/'7c'!$B6*100</f>
        <v>88.90046142443795</v>
      </c>
      <c r="J6" s="36">
        <f>'7c'!J6/'7c'!$B6*100</f>
        <v>100.58517493611194</v>
      </c>
      <c r="K6" s="36">
        <f>'7c'!K6/'7c'!$B6*100</f>
        <v>158.48894413749633</v>
      </c>
      <c r="L6" s="36">
        <f>'7c'!L6/'7c'!$B6*100</f>
        <v>103.49564530960144</v>
      </c>
      <c r="N6" s="19">
        <f t="shared" ref="N6:N32" si="0">SUM(C83:L83)/10</f>
        <v>851.00577086981752</v>
      </c>
      <c r="O6" s="19">
        <f t="shared" ref="O6:O30" si="1">SQRT(N6)</f>
        <v>29.172003202896736</v>
      </c>
      <c r="P6" s="19">
        <f t="shared" ref="P6:P29" si="2">Q6^2</f>
        <v>756.68111994904348</v>
      </c>
      <c r="Q6" s="19">
        <f t="shared" ref="Q6:Q29" si="3">STDEVP(C6:L6)</f>
        <v>27.507837427704917</v>
      </c>
    </row>
    <row r="7" spans="1:17">
      <c r="A7" s="120">
        <v>1983</v>
      </c>
      <c r="B7" s="39">
        <f>'7c'!B7/'7c'!$B7*100</f>
        <v>100</v>
      </c>
      <c r="C7" s="36">
        <f>'7c'!C7/'7c'!$B7*100</f>
        <v>63.7515039273407</v>
      </c>
      <c r="D7" s="36">
        <f>'7c'!D7/'7c'!$B7*100</f>
        <v>66.835259467551452</v>
      </c>
      <c r="E7" s="36">
        <f>'7c'!E7/'7c'!$B7*100</f>
        <v>73.599236115079606</v>
      </c>
      <c r="F7" s="36">
        <f>'7c'!F7/'7c'!$B7*100</f>
        <v>69.403307642911798</v>
      </c>
      <c r="G7" s="36">
        <f>'7c'!G7/'7c'!$B7*100</f>
        <v>85.756002015843137</v>
      </c>
      <c r="H7" s="36">
        <f>'7c'!H7/'7c'!$B7*100</f>
        <v>105.51215579711133</v>
      </c>
      <c r="I7" s="36">
        <f>'7c'!I7/'7c'!$B7*100</f>
        <v>87.893232522675845</v>
      </c>
      <c r="J7" s="36">
        <f>'7c'!J7/'7c'!$B7*100</f>
        <v>98.343537737756961</v>
      </c>
      <c r="K7" s="36">
        <f>'7c'!K7/'7c'!$B7*100</f>
        <v>150.4359112614822</v>
      </c>
      <c r="L7" s="36">
        <f>'7c'!L7/'7c'!$B7*100</f>
        <v>100.68701093222074</v>
      </c>
      <c r="N7" s="19">
        <f t="shared" si="0"/>
        <v>697.38575538934697</v>
      </c>
      <c r="O7" s="19">
        <f t="shared" si="1"/>
        <v>26.408062317961669</v>
      </c>
      <c r="P7" s="19">
        <f t="shared" si="2"/>
        <v>601.77091235904606</v>
      </c>
      <c r="Q7" s="19">
        <f t="shared" si="3"/>
        <v>24.531019390947577</v>
      </c>
    </row>
    <row r="8" spans="1:17">
      <c r="A8" s="120">
        <v>1984</v>
      </c>
      <c r="B8" s="39">
        <f>'7c'!B8/'7c'!$B8*100</f>
        <v>100</v>
      </c>
      <c r="C8" s="36">
        <f>'7c'!C8/'7c'!$B8*100</f>
        <v>62.577461556163925</v>
      </c>
      <c r="D8" s="36">
        <f>'7c'!D8/'7c'!$B8*100</f>
        <v>62.509520928336102</v>
      </c>
      <c r="E8" s="36">
        <f>'7c'!E8/'7c'!$B8*100</f>
        <v>74.238644619549632</v>
      </c>
      <c r="F8" s="36">
        <f>'7c'!F8/'7c'!$B8*100</f>
        <v>69.709830700357656</v>
      </c>
      <c r="G8" s="36">
        <f>'7c'!G8/'7c'!$B8*100</f>
        <v>86.143703863344001</v>
      </c>
      <c r="H8" s="36">
        <f>'7c'!H8/'7c'!$B8*100</f>
        <v>107.38652964149837</v>
      </c>
      <c r="I8" s="36">
        <f>'7c'!I8/'7c'!$B8*100</f>
        <v>90.329728642823056</v>
      </c>
      <c r="J8" s="36">
        <f>'7c'!J8/'7c'!$B8*100</f>
        <v>95.606970235633199</v>
      </c>
      <c r="K8" s="36">
        <f>'7c'!K8/'7c'!$B8*100</f>
        <v>148.18558565940597</v>
      </c>
      <c r="L8" s="36">
        <f>'7c'!L8/'7c'!$B8*100</f>
        <v>96.321205722767729</v>
      </c>
      <c r="N8" s="19">
        <f t="shared" si="0"/>
        <v>708.18790059197511</v>
      </c>
      <c r="O8" s="19">
        <f t="shared" si="1"/>
        <v>26.611800025401799</v>
      </c>
      <c r="P8" s="19">
        <f t="shared" si="2"/>
        <v>593.71754830850534</v>
      </c>
      <c r="Q8" s="19">
        <f t="shared" si="3"/>
        <v>24.366319958264221</v>
      </c>
    </row>
    <row r="9" spans="1:17">
      <c r="A9" s="120">
        <v>1985</v>
      </c>
      <c r="B9" s="39">
        <f>'7c'!B9/'7c'!$B9*100</f>
        <v>100</v>
      </c>
      <c r="C9" s="36">
        <f>'7c'!C9/'7c'!$B9*100</f>
        <v>61.050375985353455</v>
      </c>
      <c r="D9" s="36">
        <f>'7c'!D9/'7c'!$B9*100</f>
        <v>60.24208019474343</v>
      </c>
      <c r="E9" s="36">
        <f>'7c'!E9/'7c'!$B9*100</f>
        <v>74.432857284769725</v>
      </c>
      <c r="F9" s="36">
        <f>'7c'!F9/'7c'!$B9*100</f>
        <v>68.947005344044669</v>
      </c>
      <c r="G9" s="36">
        <f>'7c'!G9/'7c'!$B9*100</f>
        <v>85.71620349234361</v>
      </c>
      <c r="H9" s="36">
        <f>'7c'!H9/'7c'!$B9*100</f>
        <v>108.25875378174945</v>
      </c>
      <c r="I9" s="36">
        <f>'7c'!I9/'7c'!$B9*100</f>
        <v>91.104026499376971</v>
      </c>
      <c r="J9" s="36">
        <f>'7c'!J9/'7c'!$B9*100</f>
        <v>93.054522377804631</v>
      </c>
      <c r="K9" s="36">
        <f>'7c'!K9/'7c'!$B9*100</f>
        <v>147.77582926268181</v>
      </c>
      <c r="L9" s="36">
        <f>'7c'!L9/'7c'!$B9*100</f>
        <v>95.745798119832131</v>
      </c>
      <c r="N9" s="19">
        <f t="shared" si="0"/>
        <v>741.59726178453343</v>
      </c>
      <c r="O9" s="19">
        <f t="shared" si="1"/>
        <v>27.232283447858965</v>
      </c>
      <c r="P9" s="19">
        <f t="shared" si="2"/>
        <v>612.38278087552283</v>
      </c>
      <c r="Q9" s="19">
        <f t="shared" si="3"/>
        <v>24.746369044276431</v>
      </c>
    </row>
    <row r="10" spans="1:17">
      <c r="A10" s="120">
        <v>1986</v>
      </c>
      <c r="B10" s="39">
        <f>'7c'!B10/'7c'!$B10*100</f>
        <v>100</v>
      </c>
      <c r="C10" s="36">
        <f>'7c'!C10/'7c'!$B10*100</f>
        <v>64.009114876166237</v>
      </c>
      <c r="D10" s="36">
        <f>'7c'!D10/'7c'!$B10*100</f>
        <v>64.627499676794685</v>
      </c>
      <c r="E10" s="36">
        <f>'7c'!E10/'7c'!$B10*100</f>
        <v>76.766948678396034</v>
      </c>
      <c r="F10" s="36">
        <f>'7c'!F10/'7c'!$B10*100</f>
        <v>73.482149024865279</v>
      </c>
      <c r="G10" s="36">
        <f>'7c'!G10/'7c'!$B10*100</f>
        <v>88.93587792426051</v>
      </c>
      <c r="H10" s="36">
        <f>'7c'!H10/'7c'!$B10*100</f>
        <v>112.48348895547832</v>
      </c>
      <c r="I10" s="36">
        <f>'7c'!I10/'7c'!$B10*100</f>
        <v>89.852129487702797</v>
      </c>
      <c r="J10" s="36">
        <f>'7c'!J10/'7c'!$B10*100</f>
        <v>87.974520618838497</v>
      </c>
      <c r="K10" s="36">
        <f>'7c'!K10/'7c'!$B10*100</f>
        <v>121.31731148477351</v>
      </c>
      <c r="L10" s="36">
        <f>'7c'!L10/'7c'!$B10*100</f>
        <v>95.869609486543254</v>
      </c>
      <c r="N10" s="19">
        <f t="shared" si="0"/>
        <v>478.68603039859124</v>
      </c>
      <c r="O10" s="19">
        <f t="shared" si="1"/>
        <v>21.878894633838136</v>
      </c>
      <c r="P10" s="19">
        <f t="shared" si="2"/>
        <v>323.23164055355119</v>
      </c>
      <c r="Q10" s="19">
        <f t="shared" si="3"/>
        <v>17.978644013204978</v>
      </c>
    </row>
    <row r="11" spans="1:17">
      <c r="A11" s="120">
        <v>1987</v>
      </c>
      <c r="B11" s="39">
        <f>'7c'!B11/'7c'!$B11*100</f>
        <v>100</v>
      </c>
      <c r="C11" s="36">
        <f>'7c'!C11/'7c'!$B11*100</f>
        <v>63.852319513279745</v>
      </c>
      <c r="D11" s="36">
        <f>'7c'!D11/'7c'!$B11*100</f>
        <v>63.887823136569068</v>
      </c>
      <c r="E11" s="36">
        <f>'7c'!E11/'7c'!$B11*100</f>
        <v>76.414913112302074</v>
      </c>
      <c r="F11" s="36">
        <f>'7c'!F11/'7c'!$B11*100</f>
        <v>75.233826085055668</v>
      </c>
      <c r="G11" s="36">
        <f>'7c'!G11/'7c'!$B11*100</f>
        <v>89.605455722296071</v>
      </c>
      <c r="H11" s="36">
        <f>'7c'!H11/'7c'!$B11*100</f>
        <v>113.2941906440298</v>
      </c>
      <c r="I11" s="36">
        <f>'7c'!I11/'7c'!$B11*100</f>
        <v>87.812945873947712</v>
      </c>
      <c r="J11" s="36">
        <f>'7c'!J11/'7c'!$B11*100</f>
        <v>83.355436625343856</v>
      </c>
      <c r="K11" s="36">
        <f>'7c'!K11/'7c'!$B11*100</f>
        <v>116.44193569144016</v>
      </c>
      <c r="L11" s="36">
        <f>'7c'!L11/'7c'!$B11*100</f>
        <v>97.022889512690369</v>
      </c>
      <c r="N11" s="19">
        <f t="shared" si="0"/>
        <v>476.99120862315948</v>
      </c>
      <c r="O11" s="19">
        <f t="shared" si="1"/>
        <v>21.840128402167409</v>
      </c>
      <c r="P11" s="19">
        <f t="shared" si="2"/>
        <v>299.89296490959242</v>
      </c>
      <c r="Q11" s="19">
        <f t="shared" si="3"/>
        <v>17.317417963125809</v>
      </c>
    </row>
    <row r="12" spans="1:17">
      <c r="A12" s="120">
        <v>1988</v>
      </c>
      <c r="B12" s="39">
        <f>'7c'!B12/'7c'!$B12*100</f>
        <v>100</v>
      </c>
      <c r="C12" s="36">
        <f>'7c'!C12/'7c'!$B12*100</f>
        <v>64.35010769429833</v>
      </c>
      <c r="D12" s="36">
        <f>'7c'!D12/'7c'!$B12*100</f>
        <v>64.59115910628195</v>
      </c>
      <c r="E12" s="36">
        <f>'7c'!E12/'7c'!$B12*100</f>
        <v>74.490011888528642</v>
      </c>
      <c r="F12" s="36">
        <f>'7c'!F12/'7c'!$B12*100</f>
        <v>74.420756601107783</v>
      </c>
      <c r="G12" s="36">
        <f>'7c'!G12/'7c'!$B12*100</f>
        <v>90.021227510399513</v>
      </c>
      <c r="H12" s="36">
        <f>'7c'!H12/'7c'!$B12*100</f>
        <v>113.90092268581431</v>
      </c>
      <c r="I12" s="36">
        <f>'7c'!I12/'7c'!$B12*100</f>
        <v>87.291285850452866</v>
      </c>
      <c r="J12" s="36">
        <f>'7c'!J12/'7c'!$B12*100</f>
        <v>80.11192417852061</v>
      </c>
      <c r="K12" s="36">
        <f>'7c'!K12/'7c'!$B12*100</f>
        <v>113.73195568590158</v>
      </c>
      <c r="L12" s="36">
        <f>'7c'!L12/'7c'!$B12*100</f>
        <v>97.377533400199852</v>
      </c>
      <c r="N12" s="19">
        <f t="shared" si="0"/>
        <v>487.50604863105872</v>
      </c>
      <c r="O12" s="19">
        <f t="shared" si="1"/>
        <v>22.079539139915461</v>
      </c>
      <c r="P12" s="19">
        <f t="shared" si="2"/>
        <v>292.30850248753092</v>
      </c>
      <c r="Q12" s="19">
        <f t="shared" si="3"/>
        <v>17.097031978900048</v>
      </c>
    </row>
    <row r="13" spans="1:17">
      <c r="A13" s="120">
        <v>1989</v>
      </c>
      <c r="B13" s="39">
        <f>'7c'!B13/'7c'!$B13*100</f>
        <v>100</v>
      </c>
      <c r="C13" s="36">
        <f>'7c'!C13/'7c'!$B13*100</f>
        <v>64.700885469028165</v>
      </c>
      <c r="D13" s="36">
        <f>'7c'!D13/'7c'!$B13*100</f>
        <v>65.606814294182541</v>
      </c>
      <c r="E13" s="36">
        <f>'7c'!E13/'7c'!$B13*100</f>
        <v>74.81732671424345</v>
      </c>
      <c r="F13" s="36">
        <f>'7c'!F13/'7c'!$B13*100</f>
        <v>74.059674487189625</v>
      </c>
      <c r="G13" s="36">
        <f>'7c'!G13/'7c'!$B13*100</f>
        <v>88.888094161093576</v>
      </c>
      <c r="H13" s="36">
        <f>'7c'!H13/'7c'!$B13*100</f>
        <v>114.43584274499308</v>
      </c>
      <c r="I13" s="36">
        <f>'7c'!I13/'7c'!$B13*100</f>
        <v>87.8047997240824</v>
      </c>
      <c r="J13" s="36">
        <f>'7c'!J13/'7c'!$B13*100</f>
        <v>81.267296395687509</v>
      </c>
      <c r="K13" s="36">
        <f>'7c'!K13/'7c'!$B13*100</f>
        <v>111.84318402331459</v>
      </c>
      <c r="L13" s="36">
        <f>'7c'!L13/'7c'!$B13*100</f>
        <v>98.052774872363329</v>
      </c>
      <c r="N13" s="19">
        <f t="shared" si="0"/>
        <v>471.154402592868</v>
      </c>
      <c r="O13" s="19">
        <f t="shared" si="1"/>
        <v>21.706091370692882</v>
      </c>
      <c r="P13" s="19">
        <f t="shared" si="2"/>
        <v>279.26733645536706</v>
      </c>
      <c r="Q13" s="19">
        <f t="shared" si="3"/>
        <v>16.711293679885081</v>
      </c>
    </row>
    <row r="14" spans="1:17">
      <c r="A14" s="120">
        <v>1990</v>
      </c>
      <c r="B14" s="39">
        <f>'7c'!B14/'7c'!$B14*100</f>
        <v>100</v>
      </c>
      <c r="C14" s="36">
        <f>'7c'!C14/'7c'!$B14*100</f>
        <v>65.029955085209949</v>
      </c>
      <c r="D14" s="36">
        <f>'7c'!D14/'7c'!$B14*100</f>
        <v>67.740903983712656</v>
      </c>
      <c r="E14" s="36">
        <f>'7c'!E14/'7c'!$B14*100</f>
        <v>76.014392521810905</v>
      </c>
      <c r="F14" s="36">
        <f>'7c'!F14/'7c'!$B14*100</f>
        <v>74.052480234328328</v>
      </c>
      <c r="G14" s="36">
        <f>'7c'!G14/'7c'!$B14*100</f>
        <v>89.247997353274826</v>
      </c>
      <c r="H14" s="36">
        <f>'7c'!H14/'7c'!$B14*100</f>
        <v>111.88001531315035</v>
      </c>
      <c r="I14" s="36">
        <f>'7c'!I14/'7c'!$B14*100</f>
        <v>89.13419850868253</v>
      </c>
      <c r="J14" s="36">
        <f>'7c'!J14/'7c'!$B14*100</f>
        <v>85.78830242904651</v>
      </c>
      <c r="K14" s="36">
        <f>'7c'!K14/'7c'!$B14*100</f>
        <v>117.10304573755327</v>
      </c>
      <c r="L14" s="36">
        <f>'7c'!L14/'7c'!$B14*100</f>
        <v>98.164579414529953</v>
      </c>
      <c r="N14" s="19">
        <f t="shared" si="0"/>
        <v>438.47977220974025</v>
      </c>
      <c r="O14" s="19">
        <f t="shared" si="1"/>
        <v>20.939908600797192</v>
      </c>
      <c r="P14" s="19">
        <f t="shared" si="2"/>
        <v>280.11232311823062</v>
      </c>
      <c r="Q14" s="19">
        <f t="shared" si="3"/>
        <v>16.736556489261183</v>
      </c>
    </row>
    <row r="15" spans="1:17">
      <c r="A15" s="120">
        <v>1991</v>
      </c>
      <c r="B15" s="39">
        <f>'7c'!B15/'7c'!$B15*100</f>
        <v>100</v>
      </c>
      <c r="C15" s="36">
        <f>'7c'!C15/'7c'!$B15*100</f>
        <v>67.660661652433902</v>
      </c>
      <c r="D15" s="36">
        <f>'7c'!D15/'7c'!$B15*100</f>
        <v>70.759877073794698</v>
      </c>
      <c r="E15" s="36">
        <f>'7c'!E15/'7c'!$B15*100</f>
        <v>78.913841921821117</v>
      </c>
      <c r="F15" s="36">
        <f>'7c'!F15/'7c'!$B15*100</f>
        <v>74.879920075260472</v>
      </c>
      <c r="G15" s="36">
        <f>'7c'!G15/'7c'!$B15*100</f>
        <v>89.809857272251776</v>
      </c>
      <c r="H15" s="36">
        <f>'7c'!H15/'7c'!$B15*100</f>
        <v>111.02132874546481</v>
      </c>
      <c r="I15" s="36">
        <f>'7c'!I15/'7c'!$B15*100</f>
        <v>88.589559371305072</v>
      </c>
      <c r="J15" s="36">
        <f>'7c'!J15/'7c'!$B15*100</f>
        <v>87.279028494009793</v>
      </c>
      <c r="K15" s="36">
        <f>'7c'!K15/'7c'!$B15*100</f>
        <v>115.02929532069702</v>
      </c>
      <c r="L15" s="36">
        <f>'7c'!L15/'7c'!$B15*100</f>
        <v>99.245443108787811</v>
      </c>
      <c r="N15" s="19">
        <f t="shared" si="0"/>
        <v>372.02411128846836</v>
      </c>
      <c r="O15" s="19">
        <f t="shared" si="1"/>
        <v>19.287926567893926</v>
      </c>
      <c r="P15" s="19">
        <f t="shared" si="2"/>
        <v>235.5755772886798</v>
      </c>
      <c r="Q15" s="19">
        <f t="shared" si="3"/>
        <v>15.348471496819473</v>
      </c>
    </row>
    <row r="16" spans="1:17">
      <c r="A16" s="120">
        <v>1992</v>
      </c>
      <c r="B16" s="39">
        <f>'7c'!B16/'7c'!$B16*100</f>
        <v>100</v>
      </c>
      <c r="C16" s="36">
        <f>'7c'!C16/'7c'!$B16*100</f>
        <v>66.670119738788131</v>
      </c>
      <c r="D16" s="36">
        <f>'7c'!D16/'7c'!$B16*100</f>
        <v>72.598627357412909</v>
      </c>
      <c r="E16" s="36">
        <f>'7c'!E16/'7c'!$B16*100</f>
        <v>79.705619493211017</v>
      </c>
      <c r="F16" s="36">
        <f>'7c'!F16/'7c'!$B16*100</f>
        <v>76.000480397098343</v>
      </c>
      <c r="G16" s="36">
        <f>'7c'!G16/'7c'!$B16*100</f>
        <v>90.211875417366031</v>
      </c>
      <c r="H16" s="36">
        <f>'7c'!H16/'7c'!$B16*100</f>
        <v>109.7567868515126</v>
      </c>
      <c r="I16" s="36">
        <f>'7c'!I16/'7c'!$B16*100</f>
        <v>88.94135058355937</v>
      </c>
      <c r="J16" s="36">
        <f>'7c'!J16/'7c'!$B16*100</f>
        <v>85.604535417780752</v>
      </c>
      <c r="K16" s="36">
        <f>'7c'!K16/'7c'!$B16*100</f>
        <v>115.28603365719903</v>
      </c>
      <c r="L16" s="36">
        <f>'7c'!L16/'7c'!$B16*100</f>
        <v>101.86595175944497</v>
      </c>
      <c r="N16" s="19">
        <f t="shared" si="0"/>
        <v>360.72249631513193</v>
      </c>
      <c r="O16" s="19">
        <f t="shared" si="1"/>
        <v>18.992695867494216</v>
      </c>
      <c r="P16" s="19">
        <f t="shared" si="2"/>
        <v>232.22073055873977</v>
      </c>
      <c r="Q16" s="19">
        <f t="shared" si="3"/>
        <v>15.238790324653062</v>
      </c>
    </row>
    <row r="17" spans="1:17">
      <c r="A17" s="120">
        <v>1993</v>
      </c>
      <c r="B17" s="39">
        <f>'7c'!B17/'7c'!$B17*100</f>
        <v>100</v>
      </c>
      <c r="C17" s="36">
        <f>'7c'!C17/'7c'!$B17*100</f>
        <v>66.456154717483344</v>
      </c>
      <c r="D17" s="36">
        <f>'7c'!D17/'7c'!$B17*100</f>
        <v>73.743512763165697</v>
      </c>
      <c r="E17" s="36">
        <f>'7c'!E17/'7c'!$B17*100</f>
        <v>78.314217680770227</v>
      </c>
      <c r="F17" s="36">
        <f>'7c'!F17/'7c'!$B17*100</f>
        <v>77.400657430253759</v>
      </c>
      <c r="G17" s="36">
        <f>'7c'!G17/'7c'!$B17*100</f>
        <v>89.41956166836637</v>
      </c>
      <c r="H17" s="36">
        <f>'7c'!H17/'7c'!$B17*100</f>
        <v>108.26678186913395</v>
      </c>
      <c r="I17" s="36">
        <f>'7c'!I17/'7c'!$B17*100</f>
        <v>86.790483429484993</v>
      </c>
      <c r="J17" s="36">
        <f>'7c'!J17/'7c'!$B17*100</f>
        <v>89.822843366928495</v>
      </c>
      <c r="K17" s="36">
        <f>'7c'!K17/'7c'!$B17*100</f>
        <v>120.05495830332443</v>
      </c>
      <c r="L17" s="36">
        <f>'7c'!L17/'7c'!$B17*100</f>
        <v>104.01436772972086</v>
      </c>
      <c r="N17" s="19">
        <f t="shared" si="0"/>
        <v>367.22638214768523</v>
      </c>
      <c r="O17" s="19">
        <f t="shared" si="1"/>
        <v>19.163151675747006</v>
      </c>
      <c r="P17" s="19">
        <f t="shared" si="2"/>
        <v>255.46668079657246</v>
      </c>
      <c r="Q17" s="19">
        <f t="shared" si="3"/>
        <v>15.983325085743969</v>
      </c>
    </row>
    <row r="18" spans="1:17">
      <c r="A18" s="120">
        <v>1994</v>
      </c>
      <c r="B18" s="39">
        <f>'7c'!B18/'7c'!$B18*100</f>
        <v>100</v>
      </c>
      <c r="C18" s="36">
        <f>'7c'!C18/'7c'!$B18*100</f>
        <v>67.216733811597919</v>
      </c>
      <c r="D18" s="36">
        <f>'7c'!D18/'7c'!$B18*100</f>
        <v>71.075785541999949</v>
      </c>
      <c r="E18" s="36">
        <f>'7c'!E18/'7c'!$B18*100</f>
        <v>75.767040762788298</v>
      </c>
      <c r="F18" s="36">
        <f>'7c'!F18/'7c'!$B18*100</f>
        <v>76.656779734272945</v>
      </c>
      <c r="G18" s="36">
        <f>'7c'!G18/'7c'!$B18*100</f>
        <v>89.170134186629937</v>
      </c>
      <c r="H18" s="36">
        <f>'7c'!H18/'7c'!$B18*100</f>
        <v>108.17490877001373</v>
      </c>
      <c r="I18" s="36">
        <f>'7c'!I18/'7c'!$B18*100</f>
        <v>86.941599475866497</v>
      </c>
      <c r="J18" s="36">
        <f>'7c'!J18/'7c'!$B18*100</f>
        <v>91.221648823033107</v>
      </c>
      <c r="K18" s="36">
        <f>'7c'!K18/'7c'!$B18*100</f>
        <v>122.64471279757846</v>
      </c>
      <c r="L18" s="36">
        <f>'7c'!L18/'7c'!$B18*100</f>
        <v>102.86287138118226</v>
      </c>
      <c r="N18" s="19">
        <f t="shared" si="0"/>
        <v>399.6170420557122</v>
      </c>
      <c r="O18" s="19">
        <f t="shared" si="1"/>
        <v>19.99042375878291</v>
      </c>
      <c r="P18" s="19">
        <f t="shared" si="2"/>
        <v>282.39790998469925</v>
      </c>
      <c r="Q18" s="19">
        <f t="shared" si="3"/>
        <v>16.804699044752311</v>
      </c>
    </row>
    <row r="19" spans="1:17">
      <c r="A19" s="120">
        <v>1995</v>
      </c>
      <c r="B19" s="39">
        <f>'7c'!B19/'7c'!$B19*100</f>
        <v>100</v>
      </c>
      <c r="C19" s="36">
        <f>'7c'!C19/'7c'!$B19*100</f>
        <v>67.87856155396203</v>
      </c>
      <c r="D19" s="36">
        <f>'7c'!D19/'7c'!$B19*100</f>
        <v>71.605902464921797</v>
      </c>
      <c r="E19" s="36">
        <f>'7c'!E19/'7c'!$B19*100</f>
        <v>75.171231809262025</v>
      </c>
      <c r="F19" s="36">
        <f>'7c'!F19/'7c'!$B19*100</f>
        <v>78.867020126394877</v>
      </c>
      <c r="G19" s="36">
        <f>'7c'!G19/'7c'!$B19*100</f>
        <v>88.814311687378662</v>
      </c>
      <c r="H19" s="36">
        <f>'7c'!H19/'7c'!$B19*100</f>
        <v>108.73862058596526</v>
      </c>
      <c r="I19" s="36">
        <f>'7c'!I19/'7c'!$B19*100</f>
        <v>86.348221952389324</v>
      </c>
      <c r="J19" s="36">
        <f>'7c'!J19/'7c'!$B19*100</f>
        <v>94.207496841782927</v>
      </c>
      <c r="K19" s="36">
        <f>'7c'!K19/'7c'!$B19*100</f>
        <v>121.69291606238397</v>
      </c>
      <c r="L19" s="36">
        <f>'7c'!L19/'7c'!$B19*100</f>
        <v>101.14592466420802</v>
      </c>
      <c r="N19" s="19">
        <f t="shared" si="0"/>
        <v>379.43851509791671</v>
      </c>
      <c r="O19" s="19">
        <f t="shared" si="1"/>
        <v>19.479181581830296</v>
      </c>
      <c r="P19" s="19">
        <f t="shared" si="2"/>
        <v>268.07314457178461</v>
      </c>
      <c r="Q19" s="19">
        <f t="shared" si="3"/>
        <v>16.372939399258296</v>
      </c>
    </row>
    <row r="20" spans="1:17">
      <c r="A20" s="120">
        <v>1996</v>
      </c>
      <c r="B20" s="39">
        <f>'7c'!B20/'7c'!$B20*100</f>
        <v>100</v>
      </c>
      <c r="C20" s="36">
        <f>'7c'!C20/'7c'!$B20*100</f>
        <v>65.85300964276972</v>
      </c>
      <c r="D20" s="36">
        <f>'7c'!D20/'7c'!$B20*100</f>
        <v>73.586703947516156</v>
      </c>
      <c r="E20" s="36">
        <f>'7c'!E20/'7c'!$B20*100</f>
        <v>74.128687808181638</v>
      </c>
      <c r="F20" s="36">
        <f>'7c'!F20/'7c'!$B20*100</f>
        <v>78.199127396949862</v>
      </c>
      <c r="G20" s="36">
        <f>'7c'!G20/'7c'!$B20*100</f>
        <v>88.140272642916329</v>
      </c>
      <c r="H20" s="36">
        <f>'7c'!H20/'7c'!$B20*100</f>
        <v>107.96229723277126</v>
      </c>
      <c r="I20" s="36">
        <f>'7c'!I20/'7c'!$B20*100</f>
        <v>88.702644297439988</v>
      </c>
      <c r="J20" s="36">
        <f>'7c'!J20/'7c'!$B20*100</f>
        <v>100.5065870949142</v>
      </c>
      <c r="K20" s="36">
        <f>'7c'!K20/'7c'!$B20*100</f>
        <v>125.75624553238573</v>
      </c>
      <c r="L20" s="36">
        <f>'7c'!L20/'7c'!$B20*100</f>
        <v>99.421392969724792</v>
      </c>
      <c r="N20" s="19">
        <f t="shared" si="0"/>
        <v>400.39391561761664</v>
      </c>
      <c r="O20" s="19">
        <f t="shared" si="1"/>
        <v>20.009845467109852</v>
      </c>
      <c r="P20" s="19">
        <f t="shared" si="2"/>
        <v>304.85691367769846</v>
      </c>
      <c r="Q20" s="19">
        <f t="shared" si="3"/>
        <v>17.460152166510419</v>
      </c>
    </row>
    <row r="21" spans="1:17">
      <c r="A21" s="120">
        <v>1997</v>
      </c>
      <c r="B21" s="39">
        <f>'7c'!B21/'7c'!$B21*100</f>
        <v>100</v>
      </c>
      <c r="C21" s="36">
        <f>'7c'!C21/'7c'!$B21*100</f>
        <v>64.773721776903074</v>
      </c>
      <c r="D21" s="36">
        <f>'7c'!D21/'7c'!$B21*100</f>
        <v>69.701812701109603</v>
      </c>
      <c r="E21" s="36">
        <f>'7c'!E21/'7c'!$B21*100</f>
        <v>74.007102503835469</v>
      </c>
      <c r="F21" s="36">
        <f>'7c'!F21/'7c'!$B21*100</f>
        <v>75.837913153213648</v>
      </c>
      <c r="G21" s="36">
        <f>'7c'!G21/'7c'!$B21*100</f>
        <v>87.751521521387602</v>
      </c>
      <c r="H21" s="36">
        <f>'7c'!H21/'7c'!$B21*100</f>
        <v>108.43277731136378</v>
      </c>
      <c r="I21" s="36">
        <f>'7c'!I21/'7c'!$B21*100</f>
        <v>88.716115175225326</v>
      </c>
      <c r="J21" s="36">
        <f>'7c'!J21/'7c'!$B21*100</f>
        <v>97.043193638378014</v>
      </c>
      <c r="K21" s="36">
        <f>'7c'!K21/'7c'!$B21*100</f>
        <v>128.1573917733684</v>
      </c>
      <c r="L21" s="36">
        <f>'7c'!L21/'7c'!$B21*100</f>
        <v>98.140535375962429</v>
      </c>
      <c r="N21" s="19">
        <f t="shared" si="0"/>
        <v>457.18100310774315</v>
      </c>
      <c r="O21" s="19">
        <f t="shared" si="1"/>
        <v>21.38179139145603</v>
      </c>
      <c r="P21" s="19">
        <f t="shared" si="2"/>
        <v>341.75194716345976</v>
      </c>
      <c r="Q21" s="19">
        <f t="shared" si="3"/>
        <v>18.486534211783987</v>
      </c>
    </row>
    <row r="22" spans="1:17">
      <c r="A22" s="120">
        <v>1998</v>
      </c>
      <c r="B22" s="39">
        <f>'7c'!B22/'7c'!$B22*100</f>
        <v>100</v>
      </c>
      <c r="C22" s="36">
        <f>'7c'!C22/'7c'!$B22*100</f>
        <v>68.229543325972784</v>
      </c>
      <c r="D22" s="36">
        <f>'7c'!D22/'7c'!$B22*100</f>
        <v>72.344073626307122</v>
      </c>
      <c r="E22" s="36">
        <f>'7c'!E22/'7c'!$B22*100</f>
        <v>75.691677103785366</v>
      </c>
      <c r="F22" s="36">
        <f>'7c'!F22/'7c'!$B22*100</f>
        <v>77.430434587943893</v>
      </c>
      <c r="G22" s="36">
        <f>'7c'!G22/'7c'!$B22*100</f>
        <v>88.654331292870296</v>
      </c>
      <c r="H22" s="36">
        <f>'7c'!H22/'7c'!$B22*100</f>
        <v>109.57793730887602</v>
      </c>
      <c r="I22" s="36">
        <f>'7c'!I22/'7c'!$B22*100</f>
        <v>89.737835655837443</v>
      </c>
      <c r="J22" s="36">
        <f>'7c'!J22/'7c'!$B22*100</f>
        <v>95.730058779494215</v>
      </c>
      <c r="K22" s="36">
        <f>'7c'!K22/'7c'!$B22*100</f>
        <v>122.13985513730292</v>
      </c>
      <c r="L22" s="36">
        <f>'7c'!L22/'7c'!$B22*100</f>
        <v>95.684756688668756</v>
      </c>
      <c r="N22" s="19">
        <f t="shared" si="0"/>
        <v>372.72920326736983</v>
      </c>
      <c r="O22" s="19">
        <f t="shared" si="1"/>
        <v>19.306195981274247</v>
      </c>
      <c r="P22" s="19">
        <f t="shared" si="2"/>
        <v>262.94177441422829</v>
      </c>
      <c r="Q22" s="19">
        <f t="shared" si="3"/>
        <v>16.215479469143929</v>
      </c>
    </row>
    <row r="23" spans="1:17">
      <c r="A23" s="120">
        <v>1999</v>
      </c>
      <c r="B23" s="39">
        <f>'7c'!B23/'7c'!$B23*100</f>
        <v>100</v>
      </c>
      <c r="C23" s="36">
        <f>'7c'!C23/'7c'!$B23*100</f>
        <v>70.693611287553253</v>
      </c>
      <c r="D23" s="36">
        <f>'7c'!D23/'7c'!$B23*100</f>
        <v>71.729828217718321</v>
      </c>
      <c r="E23" s="36">
        <f>'7c'!E23/'7c'!$B23*100</f>
        <v>76.415158389805455</v>
      </c>
      <c r="F23" s="36">
        <f>'7c'!F23/'7c'!$B23*100</f>
        <v>78.499355463173018</v>
      </c>
      <c r="G23" s="36">
        <f>'7c'!G23/'7c'!$B23*100</f>
        <v>89.07806292666092</v>
      </c>
      <c r="H23" s="36">
        <f>'7c'!H23/'7c'!$B23*100</f>
        <v>110.01515002803023</v>
      </c>
      <c r="I23" s="36">
        <f>'7c'!I23/'7c'!$B23*100</f>
        <v>86.58393709794197</v>
      </c>
      <c r="J23" s="36">
        <f>'7c'!J23/'7c'!$B23*100</f>
        <v>93.877938996918459</v>
      </c>
      <c r="K23" s="36">
        <f>'7c'!K23/'7c'!$B23*100</f>
        <v>122.70154830993761</v>
      </c>
      <c r="L23" s="36">
        <f>'7c'!L23/'7c'!$B23*100</f>
        <v>93.28116106157205</v>
      </c>
      <c r="N23" s="19">
        <f t="shared" si="0"/>
        <v>367.41549078260221</v>
      </c>
      <c r="O23" s="19">
        <f t="shared" si="1"/>
        <v>19.16808521429833</v>
      </c>
      <c r="P23" s="19">
        <f t="shared" si="2"/>
        <v>252.65944521412487</v>
      </c>
      <c r="Q23" s="19">
        <f t="shared" si="3"/>
        <v>15.895264867693299</v>
      </c>
    </row>
    <row r="24" spans="1:17">
      <c r="A24" s="120">
        <v>2000</v>
      </c>
      <c r="B24" s="39">
        <f>'7c'!B24/'7c'!$B24*100</f>
        <v>100</v>
      </c>
      <c r="C24" s="36">
        <f>'7c'!C24/'7c'!$B24*100</f>
        <v>75.160045758531879</v>
      </c>
      <c r="D24" s="36">
        <f>'7c'!D24/'7c'!$B24*100</f>
        <v>70.302097432422343</v>
      </c>
      <c r="E24" s="36">
        <f>'7c'!E24/'7c'!$B24*100</f>
        <v>75.263701644891299</v>
      </c>
      <c r="F24" s="36">
        <f>'7c'!F24/'7c'!$B24*100</f>
        <v>76.278591350512016</v>
      </c>
      <c r="G24" s="36">
        <f>'7c'!G24/'7c'!$B24*100</f>
        <v>87.143905617331384</v>
      </c>
      <c r="H24" s="36">
        <f>'7c'!H24/'7c'!$B24*100</f>
        <v>107.52944255652734</v>
      </c>
      <c r="I24" s="36">
        <f>'7c'!I24/'7c'!$B24*100</f>
        <v>84.608858718215515</v>
      </c>
      <c r="J24" s="36">
        <f>'7c'!J24/'7c'!$B24*100</f>
        <v>95.696182019326613</v>
      </c>
      <c r="K24" s="36">
        <f>'7c'!K24/'7c'!$B24*100</f>
        <v>137.37204962459398</v>
      </c>
      <c r="L24" s="36">
        <f>'7c'!L24/'7c'!$B24*100</f>
        <v>92.675864021889581</v>
      </c>
      <c r="N24" s="19">
        <f t="shared" si="0"/>
        <v>460.1273236384236</v>
      </c>
      <c r="O24" s="19">
        <f t="shared" si="1"/>
        <v>21.450578631785753</v>
      </c>
      <c r="P24" s="19">
        <f t="shared" si="2"/>
        <v>364.14756212843469</v>
      </c>
      <c r="Q24" s="19">
        <f t="shared" si="3"/>
        <v>19.082650815031823</v>
      </c>
    </row>
    <row r="25" spans="1:17">
      <c r="A25" s="120">
        <v>2001</v>
      </c>
      <c r="B25" s="39">
        <f>'7c'!B25/'7c'!$B25*100</f>
        <v>100</v>
      </c>
      <c r="C25" s="36">
        <f>'7c'!C25/'7c'!$B25*100</f>
        <v>76.035629109945461</v>
      </c>
      <c r="D25" s="36">
        <f>'7c'!D25/'7c'!$B25*100</f>
        <v>70.281215937832783</v>
      </c>
      <c r="E25" s="36">
        <f>'7c'!E25/'7c'!$B25*100</f>
        <v>77.784440699911855</v>
      </c>
      <c r="F25" s="36">
        <f>'7c'!F25/'7c'!$B25*100</f>
        <v>77.225016971702175</v>
      </c>
      <c r="G25" s="36">
        <f>'7c'!G25/'7c'!$B25*100</f>
        <v>87.667115553300803</v>
      </c>
      <c r="H25" s="36">
        <f>'7c'!H25/'7c'!$B25*100</f>
        <v>106.76135464933911</v>
      </c>
      <c r="I25" s="36">
        <f>'7c'!I25/'7c'!$B25*100</f>
        <v>85.47524855935265</v>
      </c>
      <c r="J25" s="36">
        <f>'7c'!J25/'7c'!$B25*100</f>
        <v>92.716203033859586</v>
      </c>
      <c r="K25" s="36">
        <f>'7c'!K25/'7c'!$B25*100</f>
        <v>138.48218073214656</v>
      </c>
      <c r="L25" s="36">
        <f>'7c'!L25/'7c'!$B25*100</f>
        <v>91.692539811239413</v>
      </c>
      <c r="N25" s="19">
        <f t="shared" si="0"/>
        <v>448.14583120605568</v>
      </c>
      <c r="O25" s="19">
        <f t="shared" si="1"/>
        <v>21.169455146650698</v>
      </c>
      <c r="P25" s="19">
        <f t="shared" si="2"/>
        <v>356.21789944155262</v>
      </c>
      <c r="Q25" s="19">
        <f t="shared" si="3"/>
        <v>18.873735704453228</v>
      </c>
    </row>
    <row r="26" spans="1:17">
      <c r="A26" s="120">
        <v>2002</v>
      </c>
      <c r="B26" s="39">
        <f>'7c'!B26/'7c'!$B26*100</f>
        <v>100</v>
      </c>
      <c r="C26" s="36">
        <f>'7c'!C26/'7c'!$B26*100</f>
        <v>86.145752484864246</v>
      </c>
      <c r="D26" s="36">
        <f>'7c'!D26/'7c'!$B26*100</f>
        <v>73.533704657233912</v>
      </c>
      <c r="E26" s="36">
        <f>'7c'!E26/'7c'!$B26*100</f>
        <v>78.769270266682483</v>
      </c>
      <c r="F26" s="36">
        <f>'7c'!F26/'7c'!$B26*100</f>
        <v>76.828315212226016</v>
      </c>
      <c r="G26" s="36">
        <f>'7c'!G26/'7c'!$B26*100</f>
        <v>88.243462073946262</v>
      </c>
      <c r="H26" s="36">
        <f>'7c'!H26/'7c'!$B26*100</f>
        <v>107.45927761705039</v>
      </c>
      <c r="I26" s="36">
        <f>'7c'!I26/'7c'!$B26*100</f>
        <v>85.96089034291866</v>
      </c>
      <c r="J26" s="36">
        <f>'7c'!J26/'7c'!$B26*100</f>
        <v>93.696729345574823</v>
      </c>
      <c r="K26" s="36">
        <f>'7c'!K26/'7c'!$B26*100</f>
        <v>130.91368746088912</v>
      </c>
      <c r="L26" s="36">
        <f>'7c'!L26/'7c'!$B26*100</f>
        <v>91.704340890120505</v>
      </c>
      <c r="N26" s="19">
        <f t="shared" si="0"/>
        <v>333.52346842726166</v>
      </c>
      <c r="O26" s="19">
        <f t="shared" si="1"/>
        <v>18.262624905178928</v>
      </c>
      <c r="P26" s="19">
        <f t="shared" si="2"/>
        <v>258.27726479223935</v>
      </c>
      <c r="Q26" s="19">
        <f t="shared" si="3"/>
        <v>16.071006962609385</v>
      </c>
    </row>
    <row r="27" spans="1:17">
      <c r="A27" s="120">
        <v>2003</v>
      </c>
      <c r="B27" s="39">
        <f>'7c'!B27/'7c'!$B27*100</f>
        <v>100</v>
      </c>
      <c r="C27" s="36">
        <f>'7c'!C27/'7c'!$B27*100</f>
        <v>91.133322865576531</v>
      </c>
      <c r="D27" s="36">
        <f>'7c'!D27/'7c'!$B27*100</f>
        <v>72.184320637124387</v>
      </c>
      <c r="E27" s="36">
        <f>'7c'!E27/'7c'!$B27*100</f>
        <v>80.260573122558299</v>
      </c>
      <c r="F27" s="36">
        <f>'7c'!F27/'7c'!$B27*100</f>
        <v>77.837611276769465</v>
      </c>
      <c r="G27" s="36">
        <f>'7c'!G27/'7c'!$B27*100</f>
        <v>87.359969606432131</v>
      </c>
      <c r="H27" s="36">
        <f>'7c'!H27/'7c'!$B27*100</f>
        <v>105.0424157747464</v>
      </c>
      <c r="I27" s="36">
        <f>'7c'!I27/'7c'!$B27*100</f>
        <v>83.924056699164936</v>
      </c>
      <c r="J27" s="36">
        <f>'7c'!J27/'7c'!$B27*100</f>
        <v>95.928604303565322</v>
      </c>
      <c r="K27" s="36">
        <f>'7c'!K27/'7c'!$B27*100</f>
        <v>139.36551703297752</v>
      </c>
      <c r="L27" s="36">
        <f>'7c'!L27/'7c'!$B27*100</f>
        <v>92.139408327549447</v>
      </c>
      <c r="N27" s="19">
        <f t="shared" si="0"/>
        <v>380.478780303284</v>
      </c>
      <c r="O27" s="19">
        <f t="shared" si="1"/>
        <v>19.50586527953282</v>
      </c>
      <c r="P27" s="19">
        <f t="shared" si="2"/>
        <v>324.49217071782573</v>
      </c>
      <c r="Q27" s="19">
        <f t="shared" si="3"/>
        <v>18.013666220895338</v>
      </c>
    </row>
    <row r="28" spans="1:17">
      <c r="A28" s="119">
        <v>2004</v>
      </c>
      <c r="B28" s="39">
        <f>'7c'!B28/'7c'!$B28*100</f>
        <v>100</v>
      </c>
      <c r="C28" s="36">
        <f>'7c'!C28/'7c'!$B28*100</f>
        <v>92.798726541901843</v>
      </c>
      <c r="D28" s="36">
        <f>'7c'!D28/'7c'!$B28*100</f>
        <v>71.582664473167284</v>
      </c>
      <c r="E28" s="36">
        <f>'7c'!E28/'7c'!$B28*100</f>
        <v>78.631761492799015</v>
      </c>
      <c r="F28" s="36">
        <f>'7c'!F28/'7c'!$B28*100</f>
        <v>78.160749095350738</v>
      </c>
      <c r="G28" s="36">
        <f>'7c'!G28/'7c'!$B28*100</f>
        <v>86.272740126215737</v>
      </c>
      <c r="H28" s="36">
        <f>'7c'!H28/'7c'!$B28*100</f>
        <v>103.06141242033773</v>
      </c>
      <c r="I28" s="36">
        <f>'7c'!I28/'7c'!$B28*100</f>
        <v>83.802552415536027</v>
      </c>
      <c r="J28" s="36">
        <f>'7c'!J28/'7c'!$B28*100</f>
        <v>101.1992371380025</v>
      </c>
      <c r="K28" s="36">
        <f>'7c'!K28/'7c'!$B28*100</f>
        <v>144.92427967638051</v>
      </c>
      <c r="L28" s="36">
        <f>'7c'!L28/'7c'!$B28*100</f>
        <v>93.890905391354025</v>
      </c>
      <c r="N28" s="19">
        <f t="shared" si="0"/>
        <v>431.00751238332185</v>
      </c>
      <c r="O28" s="19">
        <f t="shared" si="1"/>
        <v>20.760720420624182</v>
      </c>
      <c r="P28" s="19">
        <f t="shared" si="2"/>
        <v>387.87549392408107</v>
      </c>
      <c r="Q28" s="19">
        <f t="shared" si="3"/>
        <v>19.694554930845253</v>
      </c>
    </row>
    <row r="29" spans="1:17">
      <c r="A29" s="119">
        <v>2005</v>
      </c>
      <c r="B29" s="39">
        <f>'7c'!B29/'7c'!$B29*100</f>
        <v>100</v>
      </c>
      <c r="C29" s="36">
        <f>'7c'!C29/'7c'!$B29*100</f>
        <v>100.19823759950086</v>
      </c>
      <c r="D29" s="36">
        <f>'7c'!D29/'7c'!$B29*100</f>
        <v>70.633962154402312</v>
      </c>
      <c r="E29" s="36">
        <f>'7c'!E29/'7c'!$B29*100</f>
        <v>78.331198796603488</v>
      </c>
      <c r="F29" s="36">
        <f>'7c'!F29/'7c'!$B29*100</f>
        <v>77.727501829485419</v>
      </c>
      <c r="G29" s="36">
        <f>'7c'!G29/'7c'!$B29*100</f>
        <v>83.984303498498107</v>
      </c>
      <c r="H29" s="36">
        <f>'7c'!H29/'7c'!$B29*100</f>
        <v>100.66133708354141</v>
      </c>
      <c r="I29" s="36">
        <f>'7c'!I29/'7c'!$B29*100</f>
        <v>82.771855906571517</v>
      </c>
      <c r="J29" s="36">
        <f>'7c'!J29/'7c'!$B29*100</f>
        <v>104.18716039397218</v>
      </c>
      <c r="K29" s="36">
        <f>'7c'!K29/'7c'!$B29*100</f>
        <v>155.86055884875714</v>
      </c>
      <c r="L29" s="36">
        <f>'7c'!L29/'7c'!$B29*100</f>
        <v>94.770554855115549</v>
      </c>
      <c r="N29" s="19">
        <f t="shared" si="0"/>
        <v>554.70348908967105</v>
      </c>
      <c r="O29" s="19">
        <f t="shared" si="1"/>
        <v>23.552144044431945</v>
      </c>
      <c r="P29" s="19">
        <f t="shared" si="2"/>
        <v>528.82253302011281</v>
      </c>
      <c r="Q29" s="19">
        <f t="shared" si="3"/>
        <v>22.996141698557018</v>
      </c>
    </row>
    <row r="30" spans="1:17">
      <c r="A30" s="119">
        <v>2006</v>
      </c>
      <c r="B30" s="39">
        <f>'7c'!B30/'7c'!$B30*100</f>
        <v>100</v>
      </c>
      <c r="C30" s="36">
        <f>'7c'!C30/'7c'!$B30*100</f>
        <v>114.39854122637956</v>
      </c>
      <c r="D30" s="36">
        <f>'7c'!D30/'7c'!$B30*100</f>
        <v>70.362461116828129</v>
      </c>
      <c r="E30" s="36">
        <f>'7c'!E30/'7c'!$B30*100</f>
        <v>75.987543906436386</v>
      </c>
      <c r="F30" s="36">
        <f>'7c'!F30/'7c'!$B30*100</f>
        <v>77.781324375065921</v>
      </c>
      <c r="G30" s="36">
        <f>'7c'!G30/'7c'!$B30*100</f>
        <v>82.847981651760875</v>
      </c>
      <c r="H30" s="36">
        <f>'7c'!H30/'7c'!$B30*100</f>
        <v>99.261942844581355</v>
      </c>
      <c r="I30" s="36">
        <f>'7c'!I30/'7c'!$B30*100</f>
        <v>85.187065098523263</v>
      </c>
      <c r="J30" s="36">
        <f>'7c'!J30/'7c'!$B30*100</f>
        <v>105.24848062163746</v>
      </c>
      <c r="K30" s="36">
        <f>'7c'!K30/'7c'!$B30*100</f>
        <v>157.27388830694809</v>
      </c>
      <c r="L30" s="36">
        <f>'7c'!L30/'7c'!$B30*100</f>
        <v>96.714671304729677</v>
      </c>
      <c r="N30" s="19">
        <f t="shared" si="0"/>
        <v>598.87670121174563</v>
      </c>
      <c r="O30" s="19">
        <f t="shared" si="1"/>
        <v>24.471957445446524</v>
      </c>
      <c r="P30" s="19"/>
      <c r="Q30" s="19"/>
    </row>
    <row r="31" spans="1:17">
      <c r="A31" s="119">
        <v>2007</v>
      </c>
      <c r="B31" s="39">
        <f>'7c'!B31/'7c'!$B31*100</f>
        <v>100</v>
      </c>
      <c r="C31" s="36">
        <f>'7c'!C31/'7c'!$B31*100</f>
        <v>124.99621455772785</v>
      </c>
      <c r="D31" s="36">
        <f>'7c'!D31/'7c'!$B31*100</f>
        <v>70.620634167817073</v>
      </c>
      <c r="E31" s="36">
        <f>'7c'!E31/'7c'!$B31*100</f>
        <v>75.616668199939298</v>
      </c>
      <c r="F31" s="36">
        <f>'7c'!F31/'7c'!$B31*100</f>
        <v>77.518341172237399</v>
      </c>
      <c r="G31" s="36">
        <f>'7c'!G31/'7c'!$B31*100</f>
        <v>82.769296932805418</v>
      </c>
      <c r="H31" s="36">
        <f>'7c'!H31/'7c'!$B31*100</f>
        <v>98.03882151309017</v>
      </c>
      <c r="I31" s="36">
        <f>'7c'!I31/'7c'!$B31*100</f>
        <v>87.220531433321057</v>
      </c>
      <c r="J31" s="36">
        <f>'7c'!J31/'7c'!$B31*100</f>
        <v>110.73447981942583</v>
      </c>
      <c r="K31" s="36">
        <f>'7c'!K31/'7c'!$B31*100</f>
        <v>158.13970414817794</v>
      </c>
      <c r="L31" s="36">
        <f>'7c'!L31/'7c'!$B31*100</f>
        <v>95.774932477089706</v>
      </c>
      <c r="N31" s="19">
        <f t="shared" si="0"/>
        <v>656.52933493355238</v>
      </c>
      <c r="O31" s="19">
        <f>SQRT(N31)</f>
        <v>25.622828394491354</v>
      </c>
      <c r="P31" s="19"/>
      <c r="Q31" s="19"/>
    </row>
    <row r="32" spans="1:17">
      <c r="A32" s="119">
        <v>2008</v>
      </c>
      <c r="B32" s="39">
        <f>'7c'!B32/'7c'!$B32*100</f>
        <v>100</v>
      </c>
      <c r="C32" s="36">
        <f>'7c'!C32/'7c'!$B32*100</f>
        <v>128.75346360892908</v>
      </c>
      <c r="D32" s="36">
        <f>'7c'!D32/'7c'!$B32*100</f>
        <v>70.115245830765545</v>
      </c>
      <c r="E32" s="36">
        <f>'7c'!E32/'7c'!$B32*100</f>
        <v>75.787186438636695</v>
      </c>
      <c r="F32" s="36">
        <f>'7c'!F32/'7c'!$B32*100</f>
        <v>75.906210768739882</v>
      </c>
      <c r="G32" s="36">
        <f>'7c'!G32/'7c'!$B32*100</f>
        <v>80.859094112561252</v>
      </c>
      <c r="H32" s="36">
        <f>'7c'!H32/'7c'!$B32*100</f>
        <v>94.524437771883413</v>
      </c>
      <c r="I32" s="36">
        <f>'7c'!I32/'7c'!$B32*100</f>
        <v>87.568491797829722</v>
      </c>
      <c r="J32" s="36">
        <f>'7c'!J32/'7c'!$B32*100</f>
        <v>131.60753219870458</v>
      </c>
      <c r="K32" s="36">
        <f>'7c'!K32/'7c'!$B32*100</f>
        <v>169.11231623914651</v>
      </c>
      <c r="L32" s="36">
        <f>'7c'!L32/'7c'!$B32*100</f>
        <v>94.512354096627618</v>
      </c>
      <c r="N32" s="19">
        <f t="shared" si="0"/>
        <v>924.319228262244</v>
      </c>
      <c r="O32" s="19">
        <f>SQRT(N32)</f>
        <v>30.40261877309657</v>
      </c>
      <c r="P32" s="19"/>
      <c r="Q32" s="19"/>
    </row>
    <row r="33" spans="1:17">
      <c r="A33" s="120"/>
      <c r="B33" s="23"/>
      <c r="C33" s="644"/>
      <c r="D33" s="666" t="s">
        <v>802</v>
      </c>
      <c r="E33" s="644"/>
      <c r="F33" s="644"/>
      <c r="G33" s="644"/>
      <c r="H33" s="644"/>
      <c r="I33" s="644"/>
      <c r="J33" s="644"/>
      <c r="K33" s="644"/>
      <c r="L33" s="644"/>
    </row>
    <row r="34" spans="1:17">
      <c r="A34" s="448" t="s">
        <v>603</v>
      </c>
      <c r="B34" s="23" t="s">
        <v>744</v>
      </c>
      <c r="C34" s="23">
        <f t="shared" ref="C34:J34" si="4">((((C13/C5))^(1/8))-1)*100</f>
        <v>0.59849115487591309</v>
      </c>
      <c r="D34" s="23">
        <f t="shared" si="4"/>
        <v>1.2366124780645249</v>
      </c>
      <c r="E34" s="23">
        <f t="shared" si="4"/>
        <v>1.9328838739059329</v>
      </c>
      <c r="F34" s="23">
        <f t="shared" si="4"/>
        <v>2.2770582506638659</v>
      </c>
      <c r="G34" s="23">
        <f t="shared" si="4"/>
        <v>0.61222997802732326</v>
      </c>
      <c r="H34" s="23">
        <f t="shared" si="4"/>
        <v>1.3980632585695041</v>
      </c>
      <c r="I34" s="23">
        <f t="shared" si="4"/>
        <v>-0.39007905864039127</v>
      </c>
      <c r="J34" s="23">
        <f t="shared" si="4"/>
        <v>-3.0670473035085188</v>
      </c>
      <c r="K34" s="23">
        <f>((((K13/K5))^(1/8))-1)*100</f>
        <v>-4.4111935242824307</v>
      </c>
      <c r="L34" s="23">
        <f>((((L13/L5))^(1/8))-1)*100</f>
        <v>-1.3481622146515493</v>
      </c>
      <c r="N34" s="23">
        <f>((((N13/N5))^(1/8))-1)*100</f>
        <v>-8.9074014601932205</v>
      </c>
      <c r="O34" s="23">
        <f>((((O13/O5))^(1/8))-1)*100</f>
        <v>-4.5575573762873685</v>
      </c>
      <c r="P34" s="23">
        <f>((((P13/P5))^(1/8))-1)*100</f>
        <v>-13.505940831596552</v>
      </c>
      <c r="Q34" s="23" t="e">
        <f>((((Q12/Q4))^(1/8))-1)*100</f>
        <v>#VALUE!</v>
      </c>
    </row>
    <row r="35" spans="1:17">
      <c r="A35" s="448" t="s">
        <v>604</v>
      </c>
      <c r="B35" s="23" t="s">
        <v>744</v>
      </c>
      <c r="C35" s="23">
        <f t="shared" ref="C35:I35" si="5">((((C24/C13))^(1/11))-1)*100</f>
        <v>1.3715469061418961</v>
      </c>
      <c r="D35" s="23">
        <f t="shared" si="5"/>
        <v>0.63036089007113549</v>
      </c>
      <c r="E35" s="23">
        <f t="shared" si="5"/>
        <v>5.4091624183483233E-2</v>
      </c>
      <c r="F35" s="23">
        <f t="shared" si="5"/>
        <v>0.26873438630818924</v>
      </c>
      <c r="G35" s="23">
        <f t="shared" si="5"/>
        <v>-0.17999572114458795</v>
      </c>
      <c r="H35" s="23">
        <f t="shared" si="5"/>
        <v>-0.56430764410669854</v>
      </c>
      <c r="I35" s="23">
        <f t="shared" si="5"/>
        <v>-0.33649795051990949</v>
      </c>
      <c r="J35" s="23">
        <f>((((J24/J13))^(1/11))-1)*100</f>
        <v>1.496862661863374</v>
      </c>
      <c r="K35" s="23">
        <f>((((K24/K13))^(1/11))-1)*100</f>
        <v>1.8866231822268764</v>
      </c>
      <c r="L35" s="23">
        <f>((((L24/L13))^(1/11))-1)*100</f>
        <v>-0.51139499775445518</v>
      </c>
      <c r="N35" s="23">
        <f>((((N24/N13))^(1/11))-1)*100</f>
        <v>-0.21506492384211207</v>
      </c>
      <c r="O35" s="23">
        <f>((((O24/O13))^(1/11))-1)*100</f>
        <v>-0.10759034032771231</v>
      </c>
      <c r="P35" s="23">
        <f>((((P24/P13))^(1/11))-1)*100</f>
        <v>2.4419727242293243</v>
      </c>
      <c r="Q35" s="23">
        <f>((((Q23/Q12))^(1/11))-1)*100</f>
        <v>-0.66038817256004467</v>
      </c>
    </row>
    <row r="36" spans="1:17">
      <c r="A36" s="448" t="s">
        <v>1408</v>
      </c>
      <c r="B36" s="23" t="s">
        <v>744</v>
      </c>
      <c r="C36" s="23">
        <f>((((C32/C5))^(1/27))-1)*100</f>
        <v>2.7628906787339647</v>
      </c>
      <c r="D36" s="23">
        <f t="shared" ref="D36:L36" si="6">((((D32/D5))^(1/27))-1)*100</f>
        <v>0.6121735806838613</v>
      </c>
      <c r="E36" s="23">
        <f t="shared" si="6"/>
        <v>0.61683915106580667</v>
      </c>
      <c r="F36" s="23">
        <f t="shared" si="6"/>
        <v>0.76121203480417066</v>
      </c>
      <c r="G36" s="23">
        <f t="shared" si="6"/>
        <v>-0.16963769840295795</v>
      </c>
      <c r="H36" s="23">
        <f t="shared" si="6"/>
        <v>-0.29617349753031652</v>
      </c>
      <c r="I36" s="23">
        <f t="shared" si="6"/>
        <v>-0.12570708253640817</v>
      </c>
      <c r="J36" s="23">
        <f t="shared" si="6"/>
        <v>0.8662314777429625</v>
      </c>
      <c r="K36" s="23">
        <f t="shared" si="6"/>
        <v>0.19481789765525281</v>
      </c>
      <c r="L36" s="23">
        <f t="shared" si="6"/>
        <v>-0.53693071833135209</v>
      </c>
      <c r="N36" s="23">
        <f>((((N32/N5))^(1/27))-1)*100</f>
        <v>-0.2680748714570913</v>
      </c>
      <c r="O36" s="23">
        <f>((((O32/O5))^(1/27))-1)*100</f>
        <v>-0.1341273865075987</v>
      </c>
      <c r="P36" s="23">
        <f>((((P28/P5))^(1/23))-1)*100</f>
        <v>-3.5537551269442469</v>
      </c>
      <c r="Q36" s="23" t="e">
        <f>((((Q27/Q4))^(1/23))-1)*100</f>
        <v>#VALUE!</v>
      </c>
    </row>
    <row r="37" spans="1:17">
      <c r="A37" s="448" t="s">
        <v>809</v>
      </c>
      <c r="B37" s="644" t="s">
        <v>744</v>
      </c>
      <c r="C37" s="644">
        <f t="shared" ref="C37:L37" si="7">((((C29/C24))^(1/5)-1)*100)</f>
        <v>5.919179871090563</v>
      </c>
      <c r="D37" s="644">
        <f t="shared" si="7"/>
        <v>9.4233278712518853E-2</v>
      </c>
      <c r="E37" s="644">
        <f t="shared" si="7"/>
        <v>0.80216034334856801</v>
      </c>
      <c r="F37" s="644">
        <f t="shared" si="7"/>
        <v>0.37704563359399756</v>
      </c>
      <c r="G37" s="644">
        <f t="shared" si="7"/>
        <v>-0.73589734657288908</v>
      </c>
      <c r="H37" s="644">
        <f t="shared" si="7"/>
        <v>-1.3113836412262825</v>
      </c>
      <c r="I37" s="644">
        <f t="shared" si="7"/>
        <v>-0.43805522708703082</v>
      </c>
      <c r="J37" s="644">
        <f t="shared" si="7"/>
        <v>1.7147458044099562</v>
      </c>
      <c r="K37" s="644">
        <f t="shared" si="7"/>
        <v>2.5575341257446649</v>
      </c>
      <c r="L37" s="644">
        <f t="shared" si="7"/>
        <v>0.44801431846945849</v>
      </c>
      <c r="N37" s="644">
        <f>((((N29/N24))^(1/5))-1)*100</f>
        <v>3.8093746359548986</v>
      </c>
      <c r="O37" s="644">
        <f>((((O29/O24))^(1/5))-1)*100</f>
        <v>1.8868856310540583</v>
      </c>
      <c r="P37" s="23">
        <f>((((P28/P24))^(1/4))-1)*100</f>
        <v>1.5906487498628774</v>
      </c>
      <c r="Q37" s="23">
        <f>((((Q27/Q23))^(1/4))-1)*100</f>
        <v>3.177163806361949</v>
      </c>
    </row>
    <row r="38" spans="1:17">
      <c r="A38" s="448" t="s">
        <v>818</v>
      </c>
      <c r="B38" s="644" t="s">
        <v>744</v>
      </c>
      <c r="C38" s="644">
        <f t="shared" ref="C38:L38" si="8">((((C30/C24))^(1/6)-1)*100)</f>
        <v>7.2520433655287819</v>
      </c>
      <c r="D38" s="644">
        <f t="shared" si="8"/>
        <v>1.4305428999117353E-2</v>
      </c>
      <c r="E38" s="644">
        <f t="shared" si="8"/>
        <v>0.15965167734504071</v>
      </c>
      <c r="F38" s="644">
        <f t="shared" si="8"/>
        <v>0.32567988895295663</v>
      </c>
      <c r="G38" s="644">
        <f t="shared" si="8"/>
        <v>-0.83901805806445573</v>
      </c>
      <c r="H38" s="644">
        <f t="shared" si="8"/>
        <v>-1.324524129193394</v>
      </c>
      <c r="I38" s="644">
        <f t="shared" si="8"/>
        <v>0.11357494931698575</v>
      </c>
      <c r="J38" s="644">
        <f t="shared" si="8"/>
        <v>1.5984004774511451</v>
      </c>
      <c r="K38" s="644">
        <f t="shared" si="8"/>
        <v>2.2805467675371061</v>
      </c>
      <c r="L38" s="644">
        <f t="shared" si="8"/>
        <v>0.71348389758407738</v>
      </c>
      <c r="M38" s="644"/>
      <c r="N38" s="644">
        <f>((((N30/N24))^(1/6)-1)*100)</f>
        <v>4.490441851333471</v>
      </c>
      <c r="O38" s="644">
        <f>((((O30/O24))^(1/6)-1)*100)</f>
        <v>2.2205663510692419</v>
      </c>
      <c r="P38" s="644">
        <f>((((P29/P24))^(1/5))-1)*100</f>
        <v>7.7473280122379418</v>
      </c>
      <c r="Q38" s="644">
        <f>((((Q28/Q23))^(1/5))-1)*100</f>
        <v>4.379612524282539</v>
      </c>
    </row>
    <row r="39" spans="1:17">
      <c r="A39" s="448" t="s">
        <v>449</v>
      </c>
      <c r="B39" s="644" t="s">
        <v>744</v>
      </c>
      <c r="C39" s="644">
        <f>((((C31/C24))^(1/7)-1)*100)</f>
        <v>7.53715594553237</v>
      </c>
      <c r="D39" s="644">
        <f t="shared" ref="D39:O39" si="9">((((D31/D24))^(1/7)-1)*100)</f>
        <v>6.4602810594882598E-2</v>
      </c>
      <c r="E39" s="644">
        <f t="shared" si="9"/>
        <v>6.6861899823389415E-2</v>
      </c>
      <c r="F39" s="644">
        <f t="shared" si="9"/>
        <v>0.23058336277963498</v>
      </c>
      <c r="G39" s="644">
        <f t="shared" si="9"/>
        <v>-0.73306639407342278</v>
      </c>
      <c r="H39" s="644">
        <f t="shared" si="9"/>
        <v>-1.3113425071503149</v>
      </c>
      <c r="I39" s="644">
        <f t="shared" si="9"/>
        <v>0.43524131140435518</v>
      </c>
      <c r="J39" s="644">
        <f t="shared" si="9"/>
        <v>2.1069880418725262</v>
      </c>
      <c r="K39" s="644">
        <f t="shared" si="9"/>
        <v>2.0315887394545706</v>
      </c>
      <c r="L39" s="644">
        <f t="shared" si="9"/>
        <v>0.47100451894208639</v>
      </c>
      <c r="N39" s="644">
        <f t="shared" si="9"/>
        <v>5.2092029177285282</v>
      </c>
      <c r="O39" s="644">
        <f t="shared" si="9"/>
        <v>2.571537434967075</v>
      </c>
      <c r="P39" s="644">
        <f>((((P30/P24))^(1/6)-1)*100)</f>
        <v>-100</v>
      </c>
      <c r="Q39" s="644">
        <f>((((Q29/Q23))^(1/6)-1)*100)</f>
        <v>6.3484589617699205</v>
      </c>
    </row>
    <row r="40" spans="1:17">
      <c r="A40" s="448" t="s">
        <v>1410</v>
      </c>
      <c r="B40" s="644" t="s">
        <v>744</v>
      </c>
      <c r="C40" s="644">
        <f>((((C32/C24))^(1/8)-1)*100)</f>
        <v>6.9600225043077391</v>
      </c>
      <c r="D40" s="644">
        <f t="shared" ref="D40:L40" si="10">((((D32/D24))^(1/8)-1)*100)</f>
        <v>-3.3261673892392984E-2</v>
      </c>
      <c r="E40" s="644">
        <f t="shared" si="10"/>
        <v>8.6678360243985786E-2</v>
      </c>
      <c r="F40" s="644">
        <f t="shared" si="10"/>
        <v>-6.115384805392976E-2</v>
      </c>
      <c r="G40" s="644">
        <f t="shared" si="10"/>
        <v>-0.93129605867229293</v>
      </c>
      <c r="H40" s="644">
        <f t="shared" si="10"/>
        <v>-1.5984162029324289</v>
      </c>
      <c r="I40" s="644">
        <f t="shared" si="10"/>
        <v>0.4307033278024619</v>
      </c>
      <c r="J40" s="644">
        <f t="shared" si="10"/>
        <v>4.0634612421639904</v>
      </c>
      <c r="K40" s="644">
        <f t="shared" si="10"/>
        <v>2.6324290019536845</v>
      </c>
      <c r="L40" s="644">
        <f t="shared" si="10"/>
        <v>0.24558212264840229</v>
      </c>
      <c r="N40" s="644">
        <f>((((N32/N24))^(1/8)-1)*100)</f>
        <v>9.1108641815504043</v>
      </c>
      <c r="O40" s="644">
        <f>((((O32/O24))^(1/8)-1)*100)</f>
        <v>4.4561459089652589</v>
      </c>
      <c r="P40" s="644"/>
      <c r="Q40" s="644"/>
    </row>
    <row r="41" spans="1:17">
      <c r="A41" s="2"/>
      <c r="D41" s="27" t="s">
        <v>276</v>
      </c>
      <c r="N41" s="644"/>
      <c r="O41" s="644"/>
      <c r="P41" s="644"/>
      <c r="Q41" s="644"/>
    </row>
    <row r="42" spans="1:17">
      <c r="A42" s="448" t="s">
        <v>819</v>
      </c>
      <c r="B42" s="10" t="s">
        <v>744</v>
      </c>
      <c r="C42" s="10">
        <f t="shared" ref="C42:L42" si="11">(C30/C5-1)*100</f>
        <v>85.456473626753436</v>
      </c>
      <c r="D42" s="10">
        <f t="shared" si="11"/>
        <v>18.329467080598061</v>
      </c>
      <c r="E42" s="10">
        <f t="shared" si="11"/>
        <v>18.373560865193351</v>
      </c>
      <c r="F42" s="10">
        <f t="shared" si="11"/>
        <v>25.753291037275684</v>
      </c>
      <c r="G42" s="10">
        <f t="shared" si="11"/>
        <v>-2.131138395738863</v>
      </c>
      <c r="H42" s="10">
        <f t="shared" si="11"/>
        <v>-3.070052348278518</v>
      </c>
      <c r="I42" s="10">
        <f t="shared" si="11"/>
        <v>-5.967894070812962</v>
      </c>
      <c r="J42" s="10">
        <f t="shared" si="11"/>
        <v>0.94191969604220382</v>
      </c>
      <c r="K42" s="10">
        <f t="shared" si="11"/>
        <v>-1.9825468146381087</v>
      </c>
      <c r="L42" s="10">
        <f t="shared" si="11"/>
        <v>-11.514132573453095</v>
      </c>
      <c r="M42" s="10"/>
      <c r="N42" s="10">
        <f>(N30/N5-1)*100</f>
        <v>-39.738645011875093</v>
      </c>
      <c r="O42" s="10">
        <f>(O30/O5-1)*100</f>
        <v>-22.371812472449871</v>
      </c>
      <c r="P42" s="10">
        <f>(P29/P5-1)*100</f>
        <v>-40.68288208767845</v>
      </c>
      <c r="Q42" s="10" t="e">
        <f>(Q28/Q4-1)*100</f>
        <v>#VALUE!</v>
      </c>
    </row>
    <row r="43" spans="1:17">
      <c r="A43" s="448" t="s">
        <v>447</v>
      </c>
      <c r="B43" s="10" t="s">
        <v>744</v>
      </c>
      <c r="C43" s="10">
        <f>(C31/C5-1)*100</f>
        <v>102.63682491104875</v>
      </c>
      <c r="D43" s="10">
        <f t="shared" ref="D43:L43" si="12">(D31/D5-1)*100</f>
        <v>18.763640062230547</v>
      </c>
      <c r="E43" s="10">
        <f t="shared" si="12"/>
        <v>17.795809884446957</v>
      </c>
      <c r="F43" s="10">
        <f t="shared" si="12"/>
        <v>25.328111811942101</v>
      </c>
      <c r="G43" s="10">
        <f t="shared" si="12"/>
        <v>-2.2240891679398245</v>
      </c>
      <c r="H43" s="10">
        <f t="shared" si="12"/>
        <v>-4.264438466821197</v>
      </c>
      <c r="I43" s="10">
        <f t="shared" si="12"/>
        <v>-3.7232913065787798</v>
      </c>
      <c r="J43" s="10">
        <f t="shared" si="12"/>
        <v>6.2034425912417035</v>
      </c>
      <c r="K43" s="10">
        <f t="shared" si="12"/>
        <v>-1.4429463469542325</v>
      </c>
      <c r="L43" s="10">
        <f t="shared" si="12"/>
        <v>-12.373915315785212</v>
      </c>
      <c r="N43" s="10">
        <f>(N31/N5-1)*100</f>
        <v>-33.937407762737635</v>
      </c>
      <c r="O43" s="10">
        <f>(O31/O5-1)*100</f>
        <v>-18.721102223724539</v>
      </c>
      <c r="P43" s="10">
        <f>(P30/P5-1)*100</f>
        <v>-100</v>
      </c>
      <c r="Q43" s="10" t="e">
        <f>(Q29/Q4-1)*100</f>
        <v>#VALUE!</v>
      </c>
    </row>
    <row r="44" spans="1:17">
      <c r="A44" s="448" t="s">
        <v>1408</v>
      </c>
      <c r="B44" s="10" t="s">
        <v>744</v>
      </c>
      <c r="C44" s="10">
        <f>(C32/C5-1)*100</f>
        <v>108.72786551439316</v>
      </c>
      <c r="D44" s="10">
        <f t="shared" ref="D44:L44" si="13">(D32/D5-1)*100</f>
        <v>17.913721914928082</v>
      </c>
      <c r="E44" s="10">
        <f t="shared" si="13"/>
        <v>18.061443566882129</v>
      </c>
      <c r="F44" s="10">
        <f t="shared" si="13"/>
        <v>22.721693041756552</v>
      </c>
      <c r="G44" s="10">
        <f t="shared" si="13"/>
        <v>-4.4806242303914274</v>
      </c>
      <c r="H44" s="10">
        <f t="shared" si="13"/>
        <v>-7.6962575739345844</v>
      </c>
      <c r="I44" s="10">
        <f t="shared" si="13"/>
        <v>-3.3392019402319617</v>
      </c>
      <c r="J44" s="10">
        <f t="shared" si="13"/>
        <v>26.222410700195841</v>
      </c>
      <c r="K44" s="10">
        <f t="shared" si="13"/>
        <v>5.3954901126861854</v>
      </c>
      <c r="L44" s="10">
        <f t="shared" si="13"/>
        <v>-13.529069354795309</v>
      </c>
      <c r="N44" s="10">
        <f>(N32/N5-1)*100</f>
        <v>-6.9913238836009306</v>
      </c>
      <c r="O44" s="10">
        <f>(O32/O5-1)*100</f>
        <v>-3.5589941381784063</v>
      </c>
      <c r="P44" s="10"/>
      <c r="Q44" s="10"/>
    </row>
    <row r="45" spans="1:17">
      <c r="A45" s="140"/>
      <c r="B45" s="10"/>
      <c r="C45" s="10"/>
      <c r="D45" s="10"/>
      <c r="E45" s="10"/>
      <c r="F45" s="10"/>
      <c r="G45" s="10"/>
      <c r="H45" s="10"/>
      <c r="I45" s="10"/>
      <c r="J45" s="10"/>
      <c r="K45" s="10"/>
      <c r="L45" s="10"/>
      <c r="M45" s="10"/>
      <c r="N45" s="10"/>
      <c r="O45" s="10"/>
      <c r="P45" s="10"/>
      <c r="Q45" s="10"/>
    </row>
    <row r="46" spans="1:17">
      <c r="A46" s="9" t="s">
        <v>1587</v>
      </c>
    </row>
    <row r="51" spans="2:12">
      <c r="B51" s="1" t="s">
        <v>278</v>
      </c>
    </row>
    <row r="52" spans="2:12">
      <c r="B52" s="1" t="s">
        <v>279</v>
      </c>
    </row>
    <row r="53" spans="2:12">
      <c r="B53" s="1">
        <v>1981</v>
      </c>
      <c r="C53" s="229">
        <f>100-C5</f>
        <v>38.315153421596847</v>
      </c>
      <c r="D53" s="229">
        <f t="shared" ref="D53:L53" si="14">100-D5</f>
        <v>40.536822439247558</v>
      </c>
      <c r="E53" s="229">
        <f t="shared" si="14"/>
        <v>35.806996637557589</v>
      </c>
      <c r="F53" s="229">
        <f t="shared" si="14"/>
        <v>38.147682868983487</v>
      </c>
      <c r="G53" s="229">
        <f t="shared" si="14"/>
        <v>15.34796635648847</v>
      </c>
      <c r="H53" s="229">
        <f t="shared" si="14"/>
        <v>-2.4058562388158435</v>
      </c>
      <c r="I53" s="229">
        <f t="shared" si="14"/>
        <v>9.4064051243569224</v>
      </c>
      <c r="J53" s="229">
        <f t="shared" si="14"/>
        <v>-4.2663750982379014</v>
      </c>
      <c r="K53" s="229">
        <f t="shared" si="14"/>
        <v>-60.454983470674051</v>
      </c>
      <c r="L53" s="229">
        <f t="shared" si="14"/>
        <v>-9.2995685271589821</v>
      </c>
    </row>
    <row r="54" spans="2:12">
      <c r="B54" s="1">
        <v>1982</v>
      </c>
      <c r="C54" s="229">
        <f t="shared" ref="C54:L69" si="15">100-C6</f>
        <v>35.364215754366739</v>
      </c>
      <c r="D54" s="229">
        <f t="shared" si="15"/>
        <v>38.312475113973512</v>
      </c>
      <c r="E54" s="229">
        <f t="shared" si="15"/>
        <v>29.293651790437906</v>
      </c>
      <c r="F54" s="229">
        <f t="shared" si="15"/>
        <v>34.089197775175364</v>
      </c>
      <c r="G54" s="229">
        <f t="shared" si="15"/>
        <v>14.373510246830662</v>
      </c>
      <c r="H54" s="229">
        <f t="shared" si="15"/>
        <v>-2.8419461081787887</v>
      </c>
      <c r="I54" s="229">
        <f t="shared" si="15"/>
        <v>11.09953857556205</v>
      </c>
      <c r="J54" s="229">
        <f t="shared" si="15"/>
        <v>-0.58517493611194027</v>
      </c>
      <c r="K54" s="229">
        <f t="shared" si="15"/>
        <v>-58.488944137496333</v>
      </c>
      <c r="L54" s="229">
        <f t="shared" si="15"/>
        <v>-3.4956453096014428</v>
      </c>
    </row>
    <row r="55" spans="2:12">
      <c r="B55" s="1">
        <v>1983</v>
      </c>
      <c r="C55" s="229">
        <f t="shared" si="15"/>
        <v>36.2484960726593</v>
      </c>
      <c r="D55" s="229">
        <f t="shared" si="15"/>
        <v>33.164740532448548</v>
      </c>
      <c r="E55" s="229">
        <f t="shared" si="15"/>
        <v>26.400763884920394</v>
      </c>
      <c r="F55" s="229">
        <f t="shared" si="15"/>
        <v>30.596692357088202</v>
      </c>
      <c r="G55" s="229">
        <f t="shared" si="15"/>
        <v>14.243997984156863</v>
      </c>
      <c r="H55" s="229">
        <f t="shared" si="15"/>
        <v>-5.5121557971113333</v>
      </c>
      <c r="I55" s="229">
        <f t="shared" si="15"/>
        <v>12.106767477324155</v>
      </c>
      <c r="J55" s="229">
        <f t="shared" si="15"/>
        <v>1.6564622622430392</v>
      </c>
      <c r="K55" s="229">
        <f t="shared" si="15"/>
        <v>-50.435911261482204</v>
      </c>
      <c r="L55" s="229">
        <f t="shared" si="15"/>
        <v>-0.68701093222074405</v>
      </c>
    </row>
    <row r="56" spans="2:12">
      <c r="B56" s="1">
        <v>1984</v>
      </c>
      <c r="C56" s="229">
        <f t="shared" si="15"/>
        <v>37.422538443836075</v>
      </c>
      <c r="D56" s="229">
        <f t="shared" si="15"/>
        <v>37.490479071663898</v>
      </c>
      <c r="E56" s="229">
        <f t="shared" si="15"/>
        <v>25.761355380450368</v>
      </c>
      <c r="F56" s="229">
        <f t="shared" si="15"/>
        <v>30.290169299642344</v>
      </c>
      <c r="G56" s="229">
        <f t="shared" si="15"/>
        <v>13.856296136655999</v>
      </c>
      <c r="H56" s="229">
        <f t="shared" si="15"/>
        <v>-7.3865296414983703</v>
      </c>
      <c r="I56" s="229">
        <f t="shared" si="15"/>
        <v>9.6702713571769436</v>
      </c>
      <c r="J56" s="229">
        <f t="shared" si="15"/>
        <v>4.3930297643668013</v>
      </c>
      <c r="K56" s="229">
        <f t="shared" si="15"/>
        <v>-48.185585659405973</v>
      </c>
      <c r="L56" s="229">
        <f t="shared" si="15"/>
        <v>3.6787942772322708</v>
      </c>
    </row>
    <row r="57" spans="2:12">
      <c r="B57" s="1">
        <v>1985</v>
      </c>
      <c r="C57" s="229">
        <f t="shared" si="15"/>
        <v>38.949624014646545</v>
      </c>
      <c r="D57" s="229">
        <f t="shared" si="15"/>
        <v>39.75791980525657</v>
      </c>
      <c r="E57" s="229">
        <f t="shared" si="15"/>
        <v>25.567142715230275</v>
      </c>
      <c r="F57" s="229">
        <f t="shared" si="15"/>
        <v>31.052994655955331</v>
      </c>
      <c r="G57" s="229">
        <f t="shared" si="15"/>
        <v>14.28379650765639</v>
      </c>
      <c r="H57" s="229">
        <f t="shared" si="15"/>
        <v>-8.2587537817494479</v>
      </c>
      <c r="I57" s="229">
        <f t="shared" si="15"/>
        <v>8.8959735006230289</v>
      </c>
      <c r="J57" s="229">
        <f t="shared" si="15"/>
        <v>6.9454776221953693</v>
      </c>
      <c r="K57" s="229">
        <f t="shared" si="15"/>
        <v>-47.77582926268181</v>
      </c>
      <c r="L57" s="229">
        <f t="shared" si="15"/>
        <v>4.2542018801678694</v>
      </c>
    </row>
    <row r="58" spans="2:12">
      <c r="B58" s="1">
        <v>1986</v>
      </c>
      <c r="C58" s="229">
        <f t="shared" si="15"/>
        <v>35.990885123833763</v>
      </c>
      <c r="D58" s="229">
        <f t="shared" si="15"/>
        <v>35.372500323205315</v>
      </c>
      <c r="E58" s="229">
        <f t="shared" si="15"/>
        <v>23.233051321603966</v>
      </c>
      <c r="F58" s="229">
        <f t="shared" si="15"/>
        <v>26.517850975134721</v>
      </c>
      <c r="G58" s="229">
        <f t="shared" si="15"/>
        <v>11.06412207573949</v>
      </c>
      <c r="H58" s="229">
        <f t="shared" si="15"/>
        <v>-12.483488955478322</v>
      </c>
      <c r="I58" s="229">
        <f t="shared" si="15"/>
        <v>10.147870512297203</v>
      </c>
      <c r="J58" s="229">
        <f t="shared" si="15"/>
        <v>12.025479381161503</v>
      </c>
      <c r="K58" s="229">
        <f t="shared" si="15"/>
        <v>-21.317311484773512</v>
      </c>
      <c r="L58" s="229">
        <f t="shared" si="15"/>
        <v>4.1303905134567458</v>
      </c>
    </row>
    <row r="59" spans="2:12">
      <c r="B59" s="1">
        <v>1987</v>
      </c>
      <c r="C59" s="229">
        <f t="shared" si="15"/>
        <v>36.147680486720255</v>
      </c>
      <c r="D59" s="229">
        <f t="shared" si="15"/>
        <v>36.112176863430932</v>
      </c>
      <c r="E59" s="229">
        <f t="shared" si="15"/>
        <v>23.585086887697926</v>
      </c>
      <c r="F59" s="229">
        <f t="shared" si="15"/>
        <v>24.766173914944332</v>
      </c>
      <c r="G59" s="229">
        <f t="shared" si="15"/>
        <v>10.394544277703929</v>
      </c>
      <c r="H59" s="229">
        <f t="shared" si="15"/>
        <v>-13.294190644029797</v>
      </c>
      <c r="I59" s="229">
        <f t="shared" si="15"/>
        <v>12.187054126052288</v>
      </c>
      <c r="J59" s="229">
        <f t="shared" si="15"/>
        <v>16.644563374656144</v>
      </c>
      <c r="K59" s="229">
        <f t="shared" si="15"/>
        <v>-16.441935691440165</v>
      </c>
      <c r="L59" s="229">
        <f t="shared" si="15"/>
        <v>2.9771104873096306</v>
      </c>
    </row>
    <row r="60" spans="2:12">
      <c r="B60" s="1">
        <v>1988</v>
      </c>
      <c r="C60" s="229">
        <f t="shared" si="15"/>
        <v>35.64989230570167</v>
      </c>
      <c r="D60" s="229">
        <f t="shared" si="15"/>
        <v>35.40884089371805</v>
      </c>
      <c r="E60" s="229">
        <f t="shared" si="15"/>
        <v>25.509988111471358</v>
      </c>
      <c r="F60" s="229">
        <f t="shared" si="15"/>
        <v>25.579243398892217</v>
      </c>
      <c r="G60" s="229">
        <f t="shared" si="15"/>
        <v>9.9787724896004875</v>
      </c>
      <c r="H60" s="229">
        <f t="shared" si="15"/>
        <v>-13.900922685814308</v>
      </c>
      <c r="I60" s="229">
        <f t="shared" si="15"/>
        <v>12.708714149547134</v>
      </c>
      <c r="J60" s="229">
        <f t="shared" si="15"/>
        <v>19.88807582147939</v>
      </c>
      <c r="K60" s="229">
        <f t="shared" si="15"/>
        <v>-13.731955685901582</v>
      </c>
      <c r="L60" s="229">
        <f t="shared" si="15"/>
        <v>2.6224665998001484</v>
      </c>
    </row>
    <row r="61" spans="2:12">
      <c r="B61" s="1">
        <v>1989</v>
      </c>
      <c r="C61" s="229">
        <f t="shared" si="15"/>
        <v>35.299114530971835</v>
      </c>
      <c r="D61" s="229">
        <f t="shared" si="15"/>
        <v>34.393185705817459</v>
      </c>
      <c r="E61" s="229">
        <f t="shared" si="15"/>
        <v>25.18267328575655</v>
      </c>
      <c r="F61" s="229">
        <f t="shared" si="15"/>
        <v>25.940325512810375</v>
      </c>
      <c r="G61" s="229">
        <f t="shared" si="15"/>
        <v>11.111905838906424</v>
      </c>
      <c r="H61" s="229">
        <f t="shared" si="15"/>
        <v>-14.435842744993082</v>
      </c>
      <c r="I61" s="229">
        <f t="shared" si="15"/>
        <v>12.1952002759176</v>
      </c>
      <c r="J61" s="229">
        <f t="shared" si="15"/>
        <v>18.732703604312491</v>
      </c>
      <c r="K61" s="229">
        <f t="shared" si="15"/>
        <v>-11.843184023314592</v>
      </c>
      <c r="L61" s="229">
        <f t="shared" si="15"/>
        <v>1.9472251276366705</v>
      </c>
    </row>
    <row r="62" spans="2:12">
      <c r="B62" s="1">
        <v>1990</v>
      </c>
      <c r="C62" s="229">
        <f t="shared" si="15"/>
        <v>34.970044914790051</v>
      </c>
      <c r="D62" s="229">
        <f t="shared" si="15"/>
        <v>32.259096016287344</v>
      </c>
      <c r="E62" s="229">
        <f t="shared" si="15"/>
        <v>23.985607478189095</v>
      </c>
      <c r="F62" s="229">
        <f t="shared" si="15"/>
        <v>25.947519765671672</v>
      </c>
      <c r="G62" s="229">
        <f t="shared" si="15"/>
        <v>10.752002646725174</v>
      </c>
      <c r="H62" s="229">
        <f t="shared" si="15"/>
        <v>-11.880015313150352</v>
      </c>
      <c r="I62" s="229">
        <f t="shared" si="15"/>
        <v>10.86580149131747</v>
      </c>
      <c r="J62" s="229">
        <f t="shared" si="15"/>
        <v>14.21169757095349</v>
      </c>
      <c r="K62" s="229">
        <f t="shared" si="15"/>
        <v>-17.103045737553273</v>
      </c>
      <c r="L62" s="229">
        <f t="shared" si="15"/>
        <v>1.8354205854700467</v>
      </c>
    </row>
    <row r="63" spans="2:12">
      <c r="B63" s="1">
        <v>1991</v>
      </c>
      <c r="C63" s="229">
        <f t="shared" si="15"/>
        <v>32.339338347566098</v>
      </c>
      <c r="D63" s="229">
        <f t="shared" si="15"/>
        <v>29.240122926205302</v>
      </c>
      <c r="E63" s="229">
        <f t="shared" si="15"/>
        <v>21.086158078178883</v>
      </c>
      <c r="F63" s="229">
        <f t="shared" si="15"/>
        <v>25.120079924739528</v>
      </c>
      <c r="G63" s="229">
        <f t="shared" si="15"/>
        <v>10.190142727748224</v>
      </c>
      <c r="H63" s="229">
        <f t="shared" si="15"/>
        <v>-11.021328745464814</v>
      </c>
      <c r="I63" s="229">
        <f t="shared" si="15"/>
        <v>11.410440628694928</v>
      </c>
      <c r="J63" s="229">
        <f t="shared" si="15"/>
        <v>12.720971505990207</v>
      </c>
      <c r="K63" s="229">
        <f t="shared" si="15"/>
        <v>-15.029295320697017</v>
      </c>
      <c r="L63" s="229">
        <f t="shared" si="15"/>
        <v>0.75455689121218938</v>
      </c>
    </row>
    <row r="64" spans="2:12">
      <c r="B64" s="1">
        <v>1992</v>
      </c>
      <c r="C64" s="229">
        <f t="shared" si="15"/>
        <v>33.329880261211869</v>
      </c>
      <c r="D64" s="229">
        <f t="shared" si="15"/>
        <v>27.401372642587091</v>
      </c>
      <c r="E64" s="229">
        <f t="shared" si="15"/>
        <v>20.294380506788983</v>
      </c>
      <c r="F64" s="229">
        <f t="shared" si="15"/>
        <v>23.999519602901657</v>
      </c>
      <c r="G64" s="229">
        <f t="shared" si="15"/>
        <v>9.7881245826339693</v>
      </c>
      <c r="H64" s="229">
        <f t="shared" si="15"/>
        <v>-9.7567868515126008</v>
      </c>
      <c r="I64" s="229">
        <f t="shared" si="15"/>
        <v>11.05864941644063</v>
      </c>
      <c r="J64" s="229">
        <f t="shared" si="15"/>
        <v>14.395464582219248</v>
      </c>
      <c r="K64" s="229">
        <f t="shared" si="15"/>
        <v>-15.286033657199027</v>
      </c>
      <c r="L64" s="229">
        <f t="shared" si="15"/>
        <v>-1.8659517594449682</v>
      </c>
    </row>
    <row r="65" spans="2:12">
      <c r="B65" s="1">
        <v>1993</v>
      </c>
      <c r="C65" s="229">
        <f t="shared" si="15"/>
        <v>33.543845282516656</v>
      </c>
      <c r="D65" s="229">
        <f t="shared" si="15"/>
        <v>26.256487236834303</v>
      </c>
      <c r="E65" s="229">
        <f t="shared" si="15"/>
        <v>21.685782319229773</v>
      </c>
      <c r="F65" s="229">
        <f t="shared" si="15"/>
        <v>22.599342569746241</v>
      </c>
      <c r="G65" s="229">
        <f t="shared" si="15"/>
        <v>10.58043833163363</v>
      </c>
      <c r="H65" s="229">
        <f t="shared" si="15"/>
        <v>-8.2667818691339505</v>
      </c>
      <c r="I65" s="229">
        <f t="shared" si="15"/>
        <v>13.209516570515007</v>
      </c>
      <c r="J65" s="229">
        <f t="shared" si="15"/>
        <v>10.177156633071505</v>
      </c>
      <c r="K65" s="229">
        <f t="shared" si="15"/>
        <v>-20.054958303324426</v>
      </c>
      <c r="L65" s="229">
        <f t="shared" si="15"/>
        <v>-4.0143677297208598</v>
      </c>
    </row>
    <row r="66" spans="2:12">
      <c r="B66" s="1">
        <v>1994</v>
      </c>
      <c r="C66" s="229">
        <f t="shared" si="15"/>
        <v>32.783266188402081</v>
      </c>
      <c r="D66" s="229">
        <f t="shared" si="15"/>
        <v>28.924214458000051</v>
      </c>
      <c r="E66" s="229">
        <f t="shared" si="15"/>
        <v>24.232959237211702</v>
      </c>
      <c r="F66" s="229">
        <f t="shared" si="15"/>
        <v>23.343220265727055</v>
      </c>
      <c r="G66" s="229">
        <f t="shared" si="15"/>
        <v>10.829865813370063</v>
      </c>
      <c r="H66" s="229">
        <f t="shared" si="15"/>
        <v>-8.1749087700137295</v>
      </c>
      <c r="I66" s="229">
        <f t="shared" si="15"/>
        <v>13.058400524133503</v>
      </c>
      <c r="J66" s="229">
        <f t="shared" si="15"/>
        <v>8.7783511769668934</v>
      </c>
      <c r="K66" s="229">
        <f t="shared" si="15"/>
        <v>-22.644712797578464</v>
      </c>
      <c r="L66" s="229">
        <f t="shared" si="15"/>
        <v>-2.8628713811822593</v>
      </c>
    </row>
    <row r="67" spans="2:12">
      <c r="B67" s="1">
        <v>1995</v>
      </c>
      <c r="C67" s="229">
        <f t="shared" si="15"/>
        <v>32.12143844603797</v>
      </c>
      <c r="D67" s="229">
        <f t="shared" si="15"/>
        <v>28.394097535078203</v>
      </c>
      <c r="E67" s="229">
        <f t="shared" si="15"/>
        <v>24.828768190737975</v>
      </c>
      <c r="F67" s="229">
        <f t="shared" si="15"/>
        <v>21.132979873605123</v>
      </c>
      <c r="G67" s="229">
        <f t="shared" si="15"/>
        <v>11.185688312621338</v>
      </c>
      <c r="H67" s="229">
        <f t="shared" si="15"/>
        <v>-8.7386205859652648</v>
      </c>
      <c r="I67" s="229">
        <f t="shared" si="15"/>
        <v>13.651778047610676</v>
      </c>
      <c r="J67" s="229">
        <f t="shared" si="15"/>
        <v>5.7925031582170732</v>
      </c>
      <c r="K67" s="229">
        <f t="shared" si="15"/>
        <v>-21.692916062383972</v>
      </c>
      <c r="L67" s="229">
        <f t="shared" si="15"/>
        <v>-1.1459246642080245</v>
      </c>
    </row>
    <row r="68" spans="2:12">
      <c r="B68" s="1">
        <v>1996</v>
      </c>
      <c r="C68" s="229">
        <f t="shared" si="15"/>
        <v>34.14699035723028</v>
      </c>
      <c r="D68" s="229">
        <f t="shared" si="15"/>
        <v>26.413296052483844</v>
      </c>
      <c r="E68" s="229">
        <f t="shared" si="15"/>
        <v>25.871312191818362</v>
      </c>
      <c r="F68" s="229">
        <f t="shared" si="15"/>
        <v>21.800872603050138</v>
      </c>
      <c r="G68" s="229">
        <f t="shared" si="15"/>
        <v>11.859727357083671</v>
      </c>
      <c r="H68" s="229">
        <f t="shared" si="15"/>
        <v>-7.9622972327712631</v>
      </c>
      <c r="I68" s="229">
        <f t="shared" si="15"/>
        <v>11.297355702560012</v>
      </c>
      <c r="J68" s="229">
        <f t="shared" si="15"/>
        <v>-0.50658709491419529</v>
      </c>
      <c r="K68" s="229">
        <f t="shared" si="15"/>
        <v>-25.756245532385734</v>
      </c>
      <c r="L68" s="229">
        <f t="shared" si="15"/>
        <v>0.57860703027520799</v>
      </c>
    </row>
    <row r="69" spans="2:12">
      <c r="B69" s="1">
        <v>1997</v>
      </c>
      <c r="C69" s="229">
        <f t="shared" si="15"/>
        <v>35.226278223096926</v>
      </c>
      <c r="D69" s="229">
        <f t="shared" si="15"/>
        <v>30.298187298890397</v>
      </c>
      <c r="E69" s="229">
        <f t="shared" si="15"/>
        <v>25.992897496164531</v>
      </c>
      <c r="F69" s="229">
        <f t="shared" si="15"/>
        <v>24.162086846786352</v>
      </c>
      <c r="G69" s="229">
        <f t="shared" si="15"/>
        <v>12.248478478612398</v>
      </c>
      <c r="H69" s="229">
        <f t="shared" si="15"/>
        <v>-8.4327773113637789</v>
      </c>
      <c r="I69" s="229">
        <f t="shared" si="15"/>
        <v>11.283884824774674</v>
      </c>
      <c r="J69" s="229">
        <f t="shared" si="15"/>
        <v>2.956806361621986</v>
      </c>
      <c r="K69" s="229">
        <f t="shared" si="15"/>
        <v>-28.157391773368403</v>
      </c>
      <c r="L69" s="229">
        <f t="shared" si="15"/>
        <v>1.859464624037571</v>
      </c>
    </row>
    <row r="70" spans="2:12">
      <c r="B70" s="1">
        <v>1998</v>
      </c>
      <c r="C70" s="229">
        <f t="shared" ref="C70:L80" si="16">100-C22</f>
        <v>31.770456674027216</v>
      </c>
      <c r="D70" s="229">
        <f t="shared" si="16"/>
        <v>27.655926373692878</v>
      </c>
      <c r="E70" s="229">
        <f t="shared" si="16"/>
        <v>24.308322896214634</v>
      </c>
      <c r="F70" s="229">
        <f t="shared" si="16"/>
        <v>22.569565412056107</v>
      </c>
      <c r="G70" s="229">
        <f t="shared" si="16"/>
        <v>11.345668707129704</v>
      </c>
      <c r="H70" s="229">
        <f t="shared" si="16"/>
        <v>-9.5779373088760167</v>
      </c>
      <c r="I70" s="229">
        <f t="shared" si="16"/>
        <v>10.262164344162557</v>
      </c>
      <c r="J70" s="229">
        <f t="shared" si="16"/>
        <v>4.2699412205057854</v>
      </c>
      <c r="K70" s="229">
        <f t="shared" si="16"/>
        <v>-22.139855137302916</v>
      </c>
      <c r="L70" s="229">
        <f t="shared" si="16"/>
        <v>4.3152433113312441</v>
      </c>
    </row>
    <row r="71" spans="2:12">
      <c r="B71" s="1">
        <v>1999</v>
      </c>
      <c r="C71" s="229">
        <f t="shared" si="16"/>
        <v>29.306388712446747</v>
      </c>
      <c r="D71" s="229">
        <f t="shared" si="16"/>
        <v>28.270171782281679</v>
      </c>
      <c r="E71" s="229">
        <f t="shared" si="16"/>
        <v>23.584841610194545</v>
      </c>
      <c r="F71" s="229">
        <f t="shared" si="16"/>
        <v>21.500644536826982</v>
      </c>
      <c r="G71" s="229">
        <f t="shared" si="16"/>
        <v>10.92193707333908</v>
      </c>
      <c r="H71" s="229">
        <f t="shared" si="16"/>
        <v>-10.015150028030234</v>
      </c>
      <c r="I71" s="229">
        <f t="shared" si="16"/>
        <v>13.41606290205803</v>
      </c>
      <c r="J71" s="229">
        <f t="shared" si="16"/>
        <v>6.1220610030815408</v>
      </c>
      <c r="K71" s="229">
        <f t="shared" si="16"/>
        <v>-22.701548309937607</v>
      </c>
      <c r="L71" s="229">
        <f t="shared" si="16"/>
        <v>6.7188389384279503</v>
      </c>
    </row>
    <row r="72" spans="2:12">
      <c r="B72" s="1">
        <v>2000</v>
      </c>
      <c r="C72" s="229">
        <f t="shared" si="16"/>
        <v>24.839954241468121</v>
      </c>
      <c r="D72" s="229">
        <f t="shared" si="16"/>
        <v>29.697902567577657</v>
      </c>
      <c r="E72" s="229">
        <f t="shared" si="16"/>
        <v>24.736298355108701</v>
      </c>
      <c r="F72" s="229">
        <f t="shared" si="16"/>
        <v>23.721408649487984</v>
      </c>
      <c r="G72" s="229">
        <f t="shared" si="16"/>
        <v>12.856094382668616</v>
      </c>
      <c r="H72" s="229">
        <f t="shared" si="16"/>
        <v>-7.5294425565273428</v>
      </c>
      <c r="I72" s="229">
        <f t="shared" si="16"/>
        <v>15.391141281784485</v>
      </c>
      <c r="J72" s="229">
        <f t="shared" si="16"/>
        <v>4.3038179806733865</v>
      </c>
      <c r="K72" s="229">
        <f t="shared" si="16"/>
        <v>-37.372049624593984</v>
      </c>
      <c r="L72" s="229">
        <f t="shared" si="16"/>
        <v>7.3241359781104194</v>
      </c>
    </row>
    <row r="73" spans="2:12">
      <c r="B73" s="1">
        <v>2001</v>
      </c>
      <c r="C73" s="229">
        <f t="shared" si="16"/>
        <v>23.964370890054539</v>
      </c>
      <c r="D73" s="229">
        <f t="shared" si="16"/>
        <v>29.718784062167217</v>
      </c>
      <c r="E73" s="229">
        <f t="shared" si="16"/>
        <v>22.215559300088145</v>
      </c>
      <c r="F73" s="229">
        <f t="shared" si="16"/>
        <v>22.774983028297825</v>
      </c>
      <c r="G73" s="229">
        <f t="shared" si="16"/>
        <v>12.332884446699197</v>
      </c>
      <c r="H73" s="229">
        <f t="shared" si="16"/>
        <v>-6.7613546493391112</v>
      </c>
      <c r="I73" s="229">
        <f t="shared" si="16"/>
        <v>14.52475144064735</v>
      </c>
      <c r="J73" s="229">
        <f t="shared" si="16"/>
        <v>7.2837969661404145</v>
      </c>
      <c r="K73" s="229">
        <f t="shared" si="16"/>
        <v>-38.48218073214656</v>
      </c>
      <c r="L73" s="229">
        <f t="shared" si="16"/>
        <v>8.3074601887605866</v>
      </c>
    </row>
    <row r="74" spans="2:12">
      <c r="B74" s="1">
        <v>2002</v>
      </c>
      <c r="C74" s="229">
        <f t="shared" si="16"/>
        <v>13.854247515135754</v>
      </c>
      <c r="D74" s="229">
        <f t="shared" si="16"/>
        <v>26.466295342766088</v>
      </c>
      <c r="E74" s="229">
        <f t="shared" si="16"/>
        <v>21.230729733317517</v>
      </c>
      <c r="F74" s="229">
        <f t="shared" si="16"/>
        <v>23.171684787773984</v>
      </c>
      <c r="G74" s="229">
        <f t="shared" si="16"/>
        <v>11.756537926053738</v>
      </c>
      <c r="H74" s="229">
        <f t="shared" si="16"/>
        <v>-7.4592776170503896</v>
      </c>
      <c r="I74" s="229">
        <f t="shared" si="16"/>
        <v>14.03910965708134</v>
      </c>
      <c r="J74" s="229">
        <f t="shared" si="16"/>
        <v>6.3032706544251766</v>
      </c>
      <c r="K74" s="229">
        <f t="shared" si="16"/>
        <v>-30.913687460889122</v>
      </c>
      <c r="L74" s="229">
        <f t="shared" si="16"/>
        <v>8.2956591098794945</v>
      </c>
    </row>
    <row r="75" spans="2:12">
      <c r="B75" s="1">
        <v>2003</v>
      </c>
      <c r="C75" s="229">
        <f t="shared" si="16"/>
        <v>8.8666771344234689</v>
      </c>
      <c r="D75" s="229">
        <f t="shared" si="16"/>
        <v>27.815679362875613</v>
      </c>
      <c r="E75" s="229">
        <f t="shared" si="16"/>
        <v>19.739426877441701</v>
      </c>
      <c r="F75" s="229">
        <f t="shared" si="16"/>
        <v>22.162388723230535</v>
      </c>
      <c r="G75" s="229">
        <f t="shared" si="16"/>
        <v>12.640030393567869</v>
      </c>
      <c r="H75" s="229">
        <f t="shared" si="16"/>
        <v>-5.0424157747464022</v>
      </c>
      <c r="I75" s="229">
        <f t="shared" si="16"/>
        <v>16.075943300835064</v>
      </c>
      <c r="J75" s="229">
        <f t="shared" si="16"/>
        <v>4.0713956964346778</v>
      </c>
      <c r="K75" s="229">
        <f t="shared" si="16"/>
        <v>-39.365517032977522</v>
      </c>
      <c r="L75" s="229">
        <f t="shared" si="16"/>
        <v>7.8605916724505533</v>
      </c>
    </row>
    <row r="76" spans="2:12">
      <c r="B76" s="1">
        <v>2004</v>
      </c>
      <c r="C76" s="229">
        <f t="shared" si="16"/>
        <v>7.2012734580981572</v>
      </c>
      <c r="D76" s="229">
        <f t="shared" si="16"/>
        <v>28.417335526832716</v>
      </c>
      <c r="E76" s="229">
        <f t="shared" si="16"/>
        <v>21.368238507200985</v>
      </c>
      <c r="F76" s="229">
        <f t="shared" si="16"/>
        <v>21.839250904649262</v>
      </c>
      <c r="G76" s="229">
        <f t="shared" si="16"/>
        <v>13.727259873784263</v>
      </c>
      <c r="H76" s="229">
        <f t="shared" si="16"/>
        <v>-3.0614124203377315</v>
      </c>
      <c r="I76" s="229">
        <f t="shared" si="16"/>
        <v>16.197447584463973</v>
      </c>
      <c r="J76" s="229">
        <f t="shared" si="16"/>
        <v>-1.199237138002502</v>
      </c>
      <c r="K76" s="229">
        <f t="shared" si="16"/>
        <v>-44.924279676380507</v>
      </c>
      <c r="L76" s="229">
        <f t="shared" si="16"/>
        <v>6.1090946086459752</v>
      </c>
    </row>
    <row r="77" spans="2:12">
      <c r="B77" s="1">
        <v>2005</v>
      </c>
      <c r="C77" s="229">
        <f t="shared" si="16"/>
        <v>-0.19823759950085673</v>
      </c>
      <c r="D77" s="229">
        <f t="shared" si="16"/>
        <v>29.366037845597688</v>
      </c>
      <c r="E77" s="229">
        <f t="shared" si="16"/>
        <v>21.668801203396512</v>
      </c>
      <c r="F77" s="229">
        <f t="shared" si="16"/>
        <v>22.272498170514581</v>
      </c>
      <c r="G77" s="229">
        <f t="shared" si="16"/>
        <v>16.015696501501893</v>
      </c>
      <c r="H77" s="229">
        <f t="shared" si="16"/>
        <v>-0.66133708354141163</v>
      </c>
      <c r="I77" s="229">
        <f t="shared" si="16"/>
        <v>17.228144093428483</v>
      </c>
      <c r="J77" s="229">
        <f t="shared" si="16"/>
        <v>-4.187160393972178</v>
      </c>
      <c r="K77" s="229">
        <f t="shared" si="16"/>
        <v>-55.860558848757137</v>
      </c>
      <c r="L77" s="229">
        <f t="shared" si="16"/>
        <v>5.2294451448844512</v>
      </c>
    </row>
    <row r="78" spans="2:12">
      <c r="B78" s="1">
        <v>2006</v>
      </c>
      <c r="C78" s="229">
        <f t="shared" si="16"/>
        <v>-14.398541226379564</v>
      </c>
      <c r="D78" s="229">
        <f t="shared" si="16"/>
        <v>29.637538883171871</v>
      </c>
      <c r="E78" s="229">
        <f t="shared" si="16"/>
        <v>24.012456093563614</v>
      </c>
      <c r="F78" s="229">
        <f t="shared" si="16"/>
        <v>22.218675624934079</v>
      </c>
      <c r="G78" s="229">
        <f t="shared" si="16"/>
        <v>17.152018348239125</v>
      </c>
      <c r="H78" s="229">
        <f t="shared" si="16"/>
        <v>0.73805715541864458</v>
      </c>
      <c r="I78" s="229">
        <f t="shared" si="16"/>
        <v>14.812934901476737</v>
      </c>
      <c r="J78" s="229">
        <f t="shared" si="16"/>
        <v>-5.2484806216374551</v>
      </c>
      <c r="K78" s="229">
        <f t="shared" si="16"/>
        <v>-57.273888306948095</v>
      </c>
      <c r="L78" s="229">
        <f t="shared" si="16"/>
        <v>3.2853286952703229</v>
      </c>
    </row>
    <row r="79" spans="2:12">
      <c r="B79" s="1">
        <v>2007</v>
      </c>
      <c r="C79" s="229">
        <f t="shared" si="16"/>
        <v>-24.996214557727853</v>
      </c>
      <c r="D79" s="229">
        <f t="shared" si="16"/>
        <v>29.379365832182927</v>
      </c>
      <c r="E79" s="229">
        <f t="shared" si="16"/>
        <v>24.383331800060702</v>
      </c>
      <c r="F79" s="229">
        <f t="shared" si="16"/>
        <v>22.481658827762601</v>
      </c>
      <c r="G79" s="229">
        <f t="shared" si="16"/>
        <v>17.230703067194582</v>
      </c>
      <c r="H79" s="229">
        <f t="shared" si="16"/>
        <v>1.9611784869098301</v>
      </c>
      <c r="I79" s="229">
        <f t="shared" si="16"/>
        <v>12.779468566678943</v>
      </c>
      <c r="J79" s="229">
        <f t="shared" si="16"/>
        <v>-10.734479819425829</v>
      </c>
      <c r="K79" s="229">
        <f t="shared" si="16"/>
        <v>-58.139704148177941</v>
      </c>
      <c r="L79" s="229">
        <f t="shared" si="16"/>
        <v>4.2250675229102939</v>
      </c>
    </row>
    <row r="80" spans="2:12">
      <c r="B80" s="1">
        <v>2008</v>
      </c>
      <c r="C80" s="229">
        <f t="shared" si="16"/>
        <v>-28.753463608929081</v>
      </c>
      <c r="D80" s="229">
        <f t="shared" si="16"/>
        <v>29.884754169234455</v>
      </c>
      <c r="E80" s="229">
        <f t="shared" si="16"/>
        <v>24.212813561363305</v>
      </c>
      <c r="F80" s="229">
        <f t="shared" si="16"/>
        <v>24.093789231260118</v>
      </c>
      <c r="G80" s="229">
        <f t="shared" si="16"/>
        <v>19.140905887438748</v>
      </c>
      <c r="H80" s="229">
        <f t="shared" si="16"/>
        <v>5.475562228116587</v>
      </c>
      <c r="I80" s="229">
        <f t="shared" si="16"/>
        <v>12.431508202170278</v>
      </c>
      <c r="J80" s="229">
        <f t="shared" si="16"/>
        <v>-31.607532198704575</v>
      </c>
      <c r="K80" s="229">
        <f t="shared" si="16"/>
        <v>-69.112316239146509</v>
      </c>
      <c r="L80" s="229">
        <f t="shared" si="16"/>
        <v>5.4876459033723819</v>
      </c>
    </row>
    <row r="81" spans="2:12">
      <c r="B81" s="1" t="s">
        <v>280</v>
      </c>
    </row>
    <row r="82" spans="2:12">
      <c r="B82" s="1">
        <v>1981</v>
      </c>
      <c r="C82" s="121">
        <f>C53^2</f>
        <v>1468.0509817205045</v>
      </c>
      <c r="D82" s="121">
        <f t="shared" ref="C82:L97" si="17">D53^2</f>
        <v>1643.2339734710843</v>
      </c>
      <c r="E82" s="121">
        <f t="shared" si="17"/>
        <v>1282.1410082020604</v>
      </c>
      <c r="F82" s="121">
        <f t="shared" si="17"/>
        <v>1455.2457082725361</v>
      </c>
      <c r="G82" s="121">
        <f t="shared" si="17"/>
        <v>235.56007127990196</v>
      </c>
      <c r="H82" s="121">
        <f t="shared" si="17"/>
        <v>5.7881442418491176</v>
      </c>
      <c r="I82" s="121">
        <f t="shared" si="17"/>
        <v>88.480457363528174</v>
      </c>
      <c r="J82" s="121">
        <f t="shared" si="17"/>
        <v>18.201956478864464</v>
      </c>
      <c r="K82" s="121">
        <f t="shared" si="17"/>
        <v>3654.8050264394728</v>
      </c>
      <c r="L82" s="121">
        <f t="shared" si="17"/>
        <v>86.481974791325882</v>
      </c>
    </row>
    <row r="83" spans="2:12">
      <c r="B83" s="1">
        <v>1982</v>
      </c>
      <c r="C83" s="121">
        <f>C54^2</f>
        <v>1250.6277559214006</v>
      </c>
      <c r="D83" s="121">
        <f t="shared" si="17"/>
        <v>1467.8457493588396</v>
      </c>
      <c r="E83" s="121">
        <f t="shared" si="17"/>
        <v>858.11803521942591</v>
      </c>
      <c r="F83" s="121">
        <f t="shared" si="17"/>
        <v>1162.073404955021</v>
      </c>
      <c r="G83" s="121">
        <f t="shared" si="17"/>
        <v>206.59779681574605</v>
      </c>
      <c r="H83" s="121">
        <f t="shared" si="17"/>
        <v>8.0766576817925628</v>
      </c>
      <c r="I83" s="121">
        <f t="shared" si="17"/>
        <v>123.19975659039002</v>
      </c>
      <c r="J83" s="121">
        <f t="shared" si="17"/>
        <v>0.34242970585361338</v>
      </c>
      <c r="K83" s="121">
        <f t="shared" si="17"/>
        <v>3420.9565863191665</v>
      </c>
      <c r="L83" s="121">
        <f t="shared" si="17"/>
        <v>12.219536130538566</v>
      </c>
    </row>
    <row r="84" spans="2:12">
      <c r="B84" s="1">
        <v>1983</v>
      </c>
      <c r="C84" s="121">
        <f t="shared" si="17"/>
        <v>1313.9534675295968</v>
      </c>
      <c r="D84" s="121">
        <f t="shared" si="17"/>
        <v>1099.9000145846355</v>
      </c>
      <c r="E84" s="121">
        <f t="shared" si="17"/>
        <v>697.00033370731694</v>
      </c>
      <c r="F84" s="121">
        <f t="shared" si="17"/>
        <v>936.1575831942996</v>
      </c>
      <c r="G84" s="121">
        <f t="shared" si="17"/>
        <v>202.89147857266477</v>
      </c>
      <c r="H84" s="121">
        <f t="shared" si="17"/>
        <v>30.383861531628078</v>
      </c>
      <c r="I84" s="121">
        <f t="shared" si="17"/>
        <v>146.57381874999388</v>
      </c>
      <c r="J84" s="121">
        <f t="shared" si="17"/>
        <v>2.7438672262353272</v>
      </c>
      <c r="K84" s="121">
        <f t="shared" si="17"/>
        <v>2543.7811447761073</v>
      </c>
      <c r="L84" s="121">
        <f t="shared" si="17"/>
        <v>0.47198402099081577</v>
      </c>
    </row>
    <row r="85" spans="2:12">
      <c r="B85" s="1">
        <v>1984</v>
      </c>
      <c r="C85" s="121">
        <f t="shared" si="17"/>
        <v>1400.446383580389</v>
      </c>
      <c r="D85" s="121">
        <f t="shared" si="17"/>
        <v>1405.5360210228687</v>
      </c>
      <c r="E85" s="121">
        <f t="shared" si="17"/>
        <v>663.64743103785918</v>
      </c>
      <c r="F85" s="121">
        <f t="shared" si="17"/>
        <v>917.49435620099553</v>
      </c>
      <c r="G85" s="121">
        <f t="shared" si="17"/>
        <v>191.99694262670795</v>
      </c>
      <c r="H85" s="121">
        <f t="shared" si="17"/>
        <v>54.560820144734045</v>
      </c>
      <c r="I85" s="121">
        <f t="shared" si="17"/>
        <v>93.514148121436804</v>
      </c>
      <c r="J85" s="121">
        <f t="shared" si="17"/>
        <v>19.298710510612633</v>
      </c>
      <c r="K85" s="121">
        <f t="shared" si="17"/>
        <v>2321.8506653399504</v>
      </c>
      <c r="L85" s="121">
        <f t="shared" si="17"/>
        <v>13.533527334196906</v>
      </c>
    </row>
    <row r="86" spans="2:12">
      <c r="B86" s="1">
        <v>1985</v>
      </c>
      <c r="C86" s="121">
        <f t="shared" si="17"/>
        <v>1517.0732108823308</v>
      </c>
      <c r="D86" s="121">
        <f t="shared" si="17"/>
        <v>1580.6921872412127</v>
      </c>
      <c r="E86" s="121">
        <f t="shared" si="17"/>
        <v>653.67878662095256</v>
      </c>
      <c r="F86" s="121">
        <f t="shared" si="17"/>
        <v>964.28847710279035</v>
      </c>
      <c r="G86" s="121">
        <f t="shared" si="17"/>
        <v>204.02684267213689</v>
      </c>
      <c r="H86" s="121">
        <f t="shared" si="17"/>
        <v>68.207014027560803</v>
      </c>
      <c r="I86" s="121">
        <f t="shared" si="17"/>
        <v>79.138344523787154</v>
      </c>
      <c r="J86" s="121">
        <f t="shared" si="17"/>
        <v>48.239659400416642</v>
      </c>
      <c r="K86" s="121">
        <f t="shared" si="17"/>
        <v>2282.5298617369235</v>
      </c>
      <c r="L86" s="121">
        <f t="shared" si="17"/>
        <v>18.098233637223835</v>
      </c>
    </row>
    <row r="87" spans="2:12">
      <c r="B87" s="1">
        <v>1986</v>
      </c>
      <c r="C87" s="121">
        <f t="shared" si="17"/>
        <v>1295.3438119969985</v>
      </c>
      <c r="D87" s="121">
        <f t="shared" si="17"/>
        <v>1251.2137791151602</v>
      </c>
      <c r="E87" s="121">
        <f t="shared" si="17"/>
        <v>539.77467371228386</v>
      </c>
      <c r="F87" s="121">
        <f t="shared" si="17"/>
        <v>703.19642033945343</v>
      </c>
      <c r="G87" s="121">
        <f t="shared" si="17"/>
        <v>122.41479730686594</v>
      </c>
      <c r="H87" s="121">
        <f t="shared" si="17"/>
        <v>155.83749650154925</v>
      </c>
      <c r="I87" s="121">
        <f t="shared" si="17"/>
        <v>102.97927593435109</v>
      </c>
      <c r="J87" s="121">
        <f t="shared" si="17"/>
        <v>144.61215434674045</v>
      </c>
      <c r="K87" s="121">
        <f t="shared" si="17"/>
        <v>454.42776893885667</v>
      </c>
      <c r="L87" s="121">
        <f t="shared" si="17"/>
        <v>17.06012579365348</v>
      </c>
    </row>
    <row r="88" spans="2:12">
      <c r="B88" s="1">
        <v>1987</v>
      </c>
      <c r="C88" s="121">
        <f t="shared" si="17"/>
        <v>1306.6548045700163</v>
      </c>
      <c r="D88" s="121">
        <f t="shared" si="17"/>
        <v>1304.0893178157164</v>
      </c>
      <c r="E88" s="121">
        <f t="shared" si="17"/>
        <v>556.25632350026069</v>
      </c>
      <c r="F88" s="121">
        <f t="shared" si="17"/>
        <v>613.36337038526904</v>
      </c>
      <c r="G88" s="121">
        <f t="shared" si="17"/>
        <v>108.0465507411475</v>
      </c>
      <c r="H88" s="121">
        <f t="shared" si="17"/>
        <v>176.73550487980938</v>
      </c>
      <c r="I88" s="121">
        <f t="shared" si="17"/>
        <v>148.52428827132812</v>
      </c>
      <c r="J88" s="121">
        <f t="shared" si="17"/>
        <v>277.04148993294473</v>
      </c>
      <c r="K88" s="121">
        <f t="shared" si="17"/>
        <v>270.33724928145398</v>
      </c>
      <c r="L88" s="121">
        <f t="shared" si="17"/>
        <v>8.8631868536489868</v>
      </c>
    </row>
    <row r="89" spans="2:12">
      <c r="B89" s="1">
        <v>1988</v>
      </c>
      <c r="C89" s="121">
        <f t="shared" si="17"/>
        <v>1270.9148214081272</v>
      </c>
      <c r="D89" s="121">
        <f t="shared" si="17"/>
        <v>1253.7860134366397</v>
      </c>
      <c r="E89" s="121">
        <f t="shared" si="17"/>
        <v>650.75949344741002</v>
      </c>
      <c r="F89" s="121">
        <f t="shared" si="17"/>
        <v>654.29769285977102</v>
      </c>
      <c r="G89" s="121">
        <f t="shared" si="17"/>
        <v>99.575900399207512</v>
      </c>
      <c r="H89" s="121">
        <f t="shared" si="17"/>
        <v>193.23565151698688</v>
      </c>
      <c r="I89" s="121">
        <f t="shared" si="17"/>
        <v>161.51141533489954</v>
      </c>
      <c r="J89" s="121">
        <f t="shared" si="17"/>
        <v>395.53555988091313</v>
      </c>
      <c r="K89" s="121">
        <f t="shared" si="17"/>
        <v>188.56660695956478</v>
      </c>
      <c r="L89" s="121">
        <f t="shared" si="17"/>
        <v>6.8773310670673515</v>
      </c>
    </row>
    <row r="90" spans="2:12">
      <c r="B90" s="1">
        <v>1989</v>
      </c>
      <c r="C90" s="121">
        <f t="shared" si="17"/>
        <v>1246.027486670667</v>
      </c>
      <c r="D90" s="121">
        <f t="shared" si="17"/>
        <v>1182.8912229948464</v>
      </c>
      <c r="E90" s="121">
        <f t="shared" si="17"/>
        <v>634.16703381715661</v>
      </c>
      <c r="F90" s="121">
        <f t="shared" si="17"/>
        <v>672.90048771056081</v>
      </c>
      <c r="G90" s="121">
        <f t="shared" si="17"/>
        <v>123.47445137272267</v>
      </c>
      <c r="H90" s="121">
        <f t="shared" si="17"/>
        <v>208.39355575816938</v>
      </c>
      <c r="I90" s="121">
        <f t="shared" si="17"/>
        <v>148.72290976974071</v>
      </c>
      <c r="J90" s="121">
        <f t="shared" si="17"/>
        <v>350.91418432702216</v>
      </c>
      <c r="K90" s="121">
        <f t="shared" si="17"/>
        <v>140.26100781009401</v>
      </c>
      <c r="L90" s="121">
        <f t="shared" si="17"/>
        <v>3.791685697699648</v>
      </c>
    </row>
    <row r="91" spans="2:12">
      <c r="B91" s="1">
        <v>1990</v>
      </c>
      <c r="C91" s="121">
        <f t="shared" si="17"/>
        <v>1222.9040413424336</v>
      </c>
      <c r="D91" s="121">
        <f t="shared" si="17"/>
        <v>1040.649275788046</v>
      </c>
      <c r="E91" s="121">
        <f t="shared" si="17"/>
        <v>575.30936609776063</v>
      </c>
      <c r="F91" s="121">
        <f t="shared" si="17"/>
        <v>673.2737819899221</v>
      </c>
      <c r="G91" s="121">
        <f t="shared" si="17"/>
        <v>115.60556091518515</v>
      </c>
      <c r="H91" s="121">
        <f t="shared" si="17"/>
        <v>141.13476384068684</v>
      </c>
      <c r="I91" s="121">
        <f t="shared" si="17"/>
        <v>118.06564204871695</v>
      </c>
      <c r="J91" s="121">
        <f t="shared" si="17"/>
        <v>201.97234784824533</v>
      </c>
      <c r="K91" s="121">
        <f t="shared" si="17"/>
        <v>292.51417350083921</v>
      </c>
      <c r="L91" s="121">
        <f t="shared" si="17"/>
        <v>3.3687687255672092</v>
      </c>
    </row>
    <row r="92" spans="2:12">
      <c r="B92" s="1">
        <v>1991</v>
      </c>
      <c r="C92" s="121">
        <f t="shared" si="17"/>
        <v>1045.8328047583591</v>
      </c>
      <c r="D92" s="121">
        <f t="shared" si="17"/>
        <v>854.98478873959698</v>
      </c>
      <c r="E92" s="121">
        <f t="shared" si="17"/>
        <v>444.62606249794857</v>
      </c>
      <c r="F92" s="121">
        <f t="shared" si="17"/>
        <v>631.0184154253019</v>
      </c>
      <c r="G92" s="121">
        <f t="shared" si="17"/>
        <v>103.83900881188002</v>
      </c>
      <c r="H92" s="121">
        <f t="shared" si="17"/>
        <v>121.46968731560901</v>
      </c>
      <c r="I92" s="121">
        <f t="shared" si="17"/>
        <v>130.19815534097191</v>
      </c>
      <c r="J92" s="121">
        <f t="shared" si="17"/>
        <v>161.82311605621476</v>
      </c>
      <c r="K92" s="121">
        <f t="shared" si="17"/>
        <v>225.87971783672523</v>
      </c>
      <c r="L92" s="121">
        <f t="shared" si="17"/>
        <v>0.56935610207580378</v>
      </c>
    </row>
    <row r="93" spans="2:12">
      <c r="B93" s="1">
        <v>1992</v>
      </c>
      <c r="C93" s="121">
        <f t="shared" si="17"/>
        <v>1110.8809182267205</v>
      </c>
      <c r="D93" s="121">
        <f t="shared" si="17"/>
        <v>750.83522269792024</v>
      </c>
      <c r="E93" s="121">
        <f t="shared" si="17"/>
        <v>411.86188015433663</v>
      </c>
      <c r="F93" s="121">
        <f t="shared" si="17"/>
        <v>575.97694117006085</v>
      </c>
      <c r="G93" s="121">
        <f t="shared" si="17"/>
        <v>95.807382845163417</v>
      </c>
      <c r="H93" s="121">
        <f t="shared" si="17"/>
        <v>95.194889665849175</v>
      </c>
      <c r="I93" s="121">
        <f t="shared" si="17"/>
        <v>122.2937269157427</v>
      </c>
      <c r="J93" s="121">
        <f t="shared" si="17"/>
        <v>207.22940053792877</v>
      </c>
      <c r="K93" s="121">
        <f t="shared" si="17"/>
        <v>233.66282496902147</v>
      </c>
      <c r="L93" s="121">
        <f t="shared" si="17"/>
        <v>3.4817759685757723</v>
      </c>
    </row>
    <row r="94" spans="2:12">
      <c r="B94" s="1">
        <v>1993</v>
      </c>
      <c r="C94" s="121">
        <f t="shared" si="17"/>
        <v>1125.1895563374148</v>
      </c>
      <c r="D94" s="121">
        <f t="shared" si="17"/>
        <v>689.40312201804261</v>
      </c>
      <c r="E94" s="121">
        <f t="shared" si="17"/>
        <v>470.27315479701861</v>
      </c>
      <c r="F94" s="121">
        <f t="shared" si="17"/>
        <v>510.73028458474465</v>
      </c>
      <c r="G94" s="121">
        <f t="shared" si="17"/>
        <v>111.94567528950223</v>
      </c>
      <c r="H94" s="121">
        <f t="shared" si="17"/>
        <v>68.339682471841812</v>
      </c>
      <c r="I94" s="121">
        <f t="shared" si="17"/>
        <v>174.49132802671053</v>
      </c>
      <c r="J94" s="121">
        <f t="shared" si="17"/>
        <v>103.57451713407133</v>
      </c>
      <c r="K94" s="121">
        <f t="shared" si="17"/>
        <v>402.20135254808133</v>
      </c>
      <c r="L94" s="121">
        <f t="shared" si="17"/>
        <v>16.115148269424211</v>
      </c>
    </row>
    <row r="95" spans="2:12">
      <c r="B95" s="1">
        <v>1994</v>
      </c>
      <c r="C95" s="121">
        <f t="shared" si="17"/>
        <v>1074.742541979627</v>
      </c>
      <c r="D95" s="121">
        <f t="shared" si="17"/>
        <v>836.61018201237925</v>
      </c>
      <c r="E95" s="121">
        <f t="shared" si="17"/>
        <v>587.23631339236397</v>
      </c>
      <c r="F95" s="121">
        <f t="shared" si="17"/>
        <v>544.90593237425026</v>
      </c>
      <c r="G95" s="121">
        <f t="shared" si="17"/>
        <v>117.28599353560161</v>
      </c>
      <c r="H95" s="121">
        <f t="shared" si="17"/>
        <v>66.829133398047389</v>
      </c>
      <c r="I95" s="121">
        <f t="shared" si="17"/>
        <v>170.52182424869017</v>
      </c>
      <c r="J95" s="121">
        <f t="shared" si="17"/>
        <v>77.059449386156047</v>
      </c>
      <c r="K95" s="121">
        <f t="shared" si="17"/>
        <v>512.7830176848139</v>
      </c>
      <c r="L95" s="121">
        <f t="shared" si="17"/>
        <v>8.1960325451924163</v>
      </c>
    </row>
    <row r="96" spans="2:12">
      <c r="B96" s="1">
        <v>1995</v>
      </c>
      <c r="C96" s="121">
        <f t="shared" si="17"/>
        <v>1031.7868078426063</v>
      </c>
      <c r="D96" s="121">
        <f t="shared" si="17"/>
        <v>806.22477483153409</v>
      </c>
      <c r="E96" s="121">
        <f t="shared" si="17"/>
        <v>616.46772986940186</v>
      </c>
      <c r="F96" s="121">
        <f t="shared" si="17"/>
        <v>446.60283833819921</v>
      </c>
      <c r="G96" s="121">
        <f t="shared" si="17"/>
        <v>125.11962302711359</v>
      </c>
      <c r="H96" s="121">
        <f t="shared" si="17"/>
        <v>76.363489745455908</v>
      </c>
      <c r="I96" s="121">
        <f t="shared" si="17"/>
        <v>186.37104386122476</v>
      </c>
      <c r="J96" s="121">
        <f t="shared" si="17"/>
        <v>33.553092837954765</v>
      </c>
      <c r="K96" s="121">
        <f t="shared" si="17"/>
        <v>470.58260728963654</v>
      </c>
      <c r="L96" s="121">
        <f t="shared" si="17"/>
        <v>1.3131433360402738</v>
      </c>
    </row>
    <row r="97" spans="2:12">
      <c r="B97" s="1">
        <v>1996</v>
      </c>
      <c r="C97" s="121">
        <f t="shared" si="17"/>
        <v>1166.0169504567777</v>
      </c>
      <c r="D97" s="121">
        <f t="shared" si="17"/>
        <v>697.66220835615866</v>
      </c>
      <c r="E97" s="121">
        <f t="shared" si="17"/>
        <v>669.32479452652944</v>
      </c>
      <c r="F97" s="121">
        <f t="shared" si="17"/>
        <v>475.27804625442207</v>
      </c>
      <c r="G97" s="121">
        <f t="shared" si="17"/>
        <v>140.65313298435882</v>
      </c>
      <c r="H97" s="121">
        <f t="shared" si="17"/>
        <v>63.398177222996914</v>
      </c>
      <c r="I97" s="121">
        <f t="shared" si="17"/>
        <v>127.63024587016521</v>
      </c>
      <c r="J97" s="121">
        <f t="shared" si="17"/>
        <v>0.25663048473360389</v>
      </c>
      <c r="K97" s="121">
        <f t="shared" si="17"/>
        <v>663.38418392454003</v>
      </c>
      <c r="L97" s="121">
        <f t="shared" si="17"/>
        <v>0.33478609548389543</v>
      </c>
    </row>
    <row r="98" spans="2:12">
      <c r="B98" s="1">
        <v>1997</v>
      </c>
      <c r="C98" s="121">
        <f t="shared" ref="C98:L109" si="18">C69^2</f>
        <v>1240.8906774510328</v>
      </c>
      <c r="D98" s="121">
        <f t="shared" si="18"/>
        <v>917.98015359864337</v>
      </c>
      <c r="E98" s="121">
        <f t="shared" si="18"/>
        <v>675.63072024611631</v>
      </c>
      <c r="F98" s="121">
        <f t="shared" si="18"/>
        <v>583.80644079164597</v>
      </c>
      <c r="G98" s="121">
        <f t="shared" si="18"/>
        <v>150.02522504103109</v>
      </c>
      <c r="H98" s="121">
        <f t="shared" si="18"/>
        <v>71.111733183051726</v>
      </c>
      <c r="I98" s="121">
        <f t="shared" si="18"/>
        <v>127.32605673878017</v>
      </c>
      <c r="J98" s="121">
        <f t="shared" si="18"/>
        <v>8.7427038601282465</v>
      </c>
      <c r="K98" s="121">
        <f t="shared" si="18"/>
        <v>792.83871147895456</v>
      </c>
      <c r="L98" s="121">
        <f t="shared" si="18"/>
        <v>3.457608688047185</v>
      </c>
    </row>
    <row r="99" spans="2:12">
      <c r="B99" s="1">
        <v>1998</v>
      </c>
      <c r="C99" s="121">
        <f t="shared" si="18"/>
        <v>1009.3619172762404</v>
      </c>
      <c r="D99" s="121">
        <f t="shared" si="18"/>
        <v>764.85026358712128</v>
      </c>
      <c r="E99" s="121">
        <f t="shared" si="18"/>
        <v>590.89456202663257</v>
      </c>
      <c r="F99" s="121">
        <f t="shared" si="18"/>
        <v>509.38528288907935</v>
      </c>
      <c r="G99" s="121">
        <f t="shared" si="18"/>
        <v>128.72419841194221</v>
      </c>
      <c r="H99" s="121">
        <f t="shared" si="18"/>
        <v>91.736883092759157</v>
      </c>
      <c r="I99" s="121">
        <f t="shared" si="18"/>
        <v>105.31201702660131</v>
      </c>
      <c r="J99" s="121">
        <f t="shared" si="18"/>
        <v>18.232398026574437</v>
      </c>
      <c r="K99" s="121">
        <f t="shared" si="18"/>
        <v>490.17318550075834</v>
      </c>
      <c r="L99" s="121">
        <f t="shared" si="18"/>
        <v>18.621324835989039</v>
      </c>
    </row>
    <row r="100" spans="2:12">
      <c r="B100" s="1">
        <v>1999</v>
      </c>
      <c r="C100" s="121">
        <f t="shared" si="18"/>
        <v>858.86441936502615</v>
      </c>
      <c r="D100" s="121">
        <f t="shared" si="18"/>
        <v>799.20261259971528</v>
      </c>
      <c r="E100" s="121">
        <f t="shared" si="18"/>
        <v>556.24475377796398</v>
      </c>
      <c r="F100" s="121">
        <f t="shared" si="18"/>
        <v>462.27771549898796</v>
      </c>
      <c r="G100" s="121">
        <f t="shared" si="18"/>
        <v>119.28870943397864</v>
      </c>
      <c r="H100" s="121">
        <f t="shared" si="18"/>
        <v>100.30323008395401</v>
      </c>
      <c r="I100" s="121">
        <f t="shared" si="18"/>
        <v>179.99074379197774</v>
      </c>
      <c r="J100" s="121">
        <f t="shared" si="18"/>
        <v>37.479630925451758</v>
      </c>
      <c r="K100" s="121">
        <f t="shared" si="18"/>
        <v>515.36029566843104</v>
      </c>
      <c r="L100" s="121">
        <f t="shared" si="18"/>
        <v>45.142796680535625</v>
      </c>
    </row>
    <row r="101" spans="2:12">
      <c r="B101" s="1">
        <v>2000</v>
      </c>
      <c r="C101" s="121">
        <f t="shared" si="18"/>
        <v>617.02332671823012</v>
      </c>
      <c r="D101" s="121">
        <f t="shared" si="18"/>
        <v>881.96541691333562</v>
      </c>
      <c r="E101" s="121">
        <f t="shared" si="18"/>
        <v>611.88445631295349</v>
      </c>
      <c r="F101" s="121">
        <f t="shared" si="18"/>
        <v>562.70522831600329</v>
      </c>
      <c r="G101" s="121">
        <f t="shared" si="18"/>
        <v>165.27916277608352</v>
      </c>
      <c r="H101" s="121">
        <f t="shared" si="18"/>
        <v>56.692505212045006</v>
      </c>
      <c r="I101" s="121">
        <f t="shared" si="18"/>
        <v>236.88722995585056</v>
      </c>
      <c r="J101" s="121">
        <f t="shared" si="18"/>
        <v>18.522849210767546</v>
      </c>
      <c r="K101" s="121">
        <f t="shared" si="18"/>
        <v>1396.6700931431153</v>
      </c>
      <c r="L101" s="121">
        <f t="shared" si="18"/>
        <v>53.642967825851471</v>
      </c>
    </row>
    <row r="102" spans="2:12">
      <c r="B102" s="1">
        <v>2001</v>
      </c>
      <c r="C102" s="121">
        <f t="shared" si="18"/>
        <v>574.29107215609338</v>
      </c>
      <c r="D102" s="121">
        <f t="shared" si="18"/>
        <v>883.20612613372418</v>
      </c>
      <c r="E102" s="121">
        <f t="shared" si="18"/>
        <v>493.53107501573288</v>
      </c>
      <c r="F102" s="121">
        <f t="shared" si="18"/>
        <v>518.69985193925402</v>
      </c>
      <c r="G102" s="121">
        <f t="shared" si="18"/>
        <v>152.10003877563494</v>
      </c>
      <c r="H102" s="121">
        <f t="shared" si="18"/>
        <v>45.715916694139615</v>
      </c>
      <c r="I102" s="121">
        <f t="shared" si="18"/>
        <v>210.96840441258726</v>
      </c>
      <c r="J102" s="121">
        <f t="shared" si="18"/>
        <v>53.053698243956305</v>
      </c>
      <c r="K102" s="121">
        <f t="shared" si="18"/>
        <v>1480.878233901592</v>
      </c>
      <c r="L102" s="121">
        <f t="shared" si="18"/>
        <v>69.013894787842077</v>
      </c>
    </row>
    <row r="103" spans="2:12">
      <c r="B103" s="1">
        <v>2002</v>
      </c>
      <c r="C103" s="121">
        <f t="shared" si="18"/>
        <v>191.94017421064521</v>
      </c>
      <c r="D103" s="121">
        <f t="shared" si="18"/>
        <v>700.46478917052195</v>
      </c>
      <c r="E103" s="121">
        <f t="shared" si="18"/>
        <v>450.74388500917252</v>
      </c>
      <c r="F103" s="121">
        <f t="shared" si="18"/>
        <v>536.9269759039563</v>
      </c>
      <c r="G103" s="121">
        <f t="shared" si="18"/>
        <v>138.21618400673992</v>
      </c>
      <c r="H103" s="121">
        <f t="shared" si="18"/>
        <v>55.640822568228941</v>
      </c>
      <c r="I103" s="121">
        <f t="shared" si="18"/>
        <v>197.09659996355455</v>
      </c>
      <c r="J103" s="121">
        <f t="shared" si="18"/>
        <v>39.731220942937597</v>
      </c>
      <c r="K103" s="121">
        <f t="shared" si="18"/>
        <v>955.65607242953331</v>
      </c>
      <c r="L103" s="121">
        <f t="shared" si="18"/>
        <v>68.817960067326652</v>
      </c>
    </row>
    <row r="104" spans="2:12">
      <c r="B104" s="1">
        <v>2003</v>
      </c>
      <c r="C104" s="121">
        <f t="shared" si="18"/>
        <v>78.617963406107975</v>
      </c>
      <c r="D104" s="121">
        <f t="shared" si="18"/>
        <v>773.7120184183043</v>
      </c>
      <c r="E104" s="121">
        <f t="shared" si="18"/>
        <v>389.64497344986785</v>
      </c>
      <c r="F104" s="121">
        <f t="shared" si="18"/>
        <v>491.17147391957599</v>
      </c>
      <c r="G104" s="121">
        <f t="shared" si="18"/>
        <v>159.7703683503195</v>
      </c>
      <c r="H104" s="121">
        <f t="shared" si="18"/>
        <v>25.42595684541136</v>
      </c>
      <c r="I104" s="121">
        <f t="shared" si="18"/>
        <v>258.4359530116638</v>
      </c>
      <c r="J104" s="121">
        <f t="shared" si="18"/>
        <v>16.576262916946813</v>
      </c>
      <c r="K104" s="121">
        <f t="shared" si="18"/>
        <v>1549.6439312736434</v>
      </c>
      <c r="L104" s="121">
        <f t="shared" si="18"/>
        <v>61.788901440998984</v>
      </c>
    </row>
    <row r="105" spans="2:12">
      <c r="B105" s="1">
        <v>2004</v>
      </c>
      <c r="C105" s="121">
        <f t="shared" si="18"/>
        <v>51.858339418308994</v>
      </c>
      <c r="D105" s="121">
        <f t="shared" si="18"/>
        <v>807.54495844458881</v>
      </c>
      <c r="E105" s="121">
        <f t="shared" si="18"/>
        <v>456.60161690062699</v>
      </c>
      <c r="F105" s="121">
        <f t="shared" si="18"/>
        <v>476.95288007622361</v>
      </c>
      <c r="G105" s="121">
        <f t="shared" si="18"/>
        <v>188.43766364240753</v>
      </c>
      <c r="H105" s="121">
        <f t="shared" si="18"/>
        <v>9.3722460073981271</v>
      </c>
      <c r="I105" s="121">
        <f t="shared" si="18"/>
        <v>262.35730825145777</v>
      </c>
      <c r="J105" s="121">
        <f t="shared" si="18"/>
        <v>1.438169713164432</v>
      </c>
      <c r="K105" s="121">
        <f t="shared" si="18"/>
        <v>2018.1909044416548</v>
      </c>
      <c r="L105" s="121">
        <f t="shared" si="18"/>
        <v>37.321036937387319</v>
      </c>
    </row>
    <row r="106" spans="2:12">
      <c r="B106" s="1">
        <v>2005</v>
      </c>
      <c r="C106" s="121">
        <f t="shared" si="18"/>
        <v>3.9298145855862075E-2</v>
      </c>
      <c r="D106" s="121">
        <f t="shared" si="18"/>
        <v>862.36417874907568</v>
      </c>
      <c r="E106" s="121">
        <f t="shared" si="18"/>
        <v>469.53694559231815</v>
      </c>
      <c r="F106" s="121">
        <f t="shared" si="18"/>
        <v>496.06417475557532</v>
      </c>
      <c r="G106" s="121">
        <f t="shared" si="18"/>
        <v>256.50253442821997</v>
      </c>
      <c r="H106" s="121">
        <f t="shared" si="18"/>
        <v>0.43736673806706006</v>
      </c>
      <c r="I106" s="121">
        <f t="shared" si="18"/>
        <v>296.80894890393472</v>
      </c>
      <c r="J106" s="121">
        <f t="shared" si="18"/>
        <v>17.532312164849245</v>
      </c>
      <c r="K106" s="121">
        <f t="shared" si="18"/>
        <v>3120.4020348954591</v>
      </c>
      <c r="L106" s="121">
        <f t="shared" si="18"/>
        <v>27.34709652335556</v>
      </c>
    </row>
    <row r="107" spans="2:12">
      <c r="B107" s="1">
        <v>2006</v>
      </c>
      <c r="C107" s="121">
        <f t="shared" si="18"/>
        <v>207.31798944775193</v>
      </c>
      <c r="D107" s="121">
        <f t="shared" si="18"/>
        <v>878.38371105152453</v>
      </c>
      <c r="E107" s="121">
        <f t="shared" si="18"/>
        <v>576.59804764532032</v>
      </c>
      <c r="F107" s="121">
        <f t="shared" si="18"/>
        <v>493.66954652603977</v>
      </c>
      <c r="G107" s="121">
        <f t="shared" si="18"/>
        <v>294.19173341833158</v>
      </c>
      <c r="H107" s="121">
        <f t="shared" si="18"/>
        <v>0.54472836466466124</v>
      </c>
      <c r="I107" s="121">
        <f t="shared" si="18"/>
        <v>219.42304039538763</v>
      </c>
      <c r="J107" s="121">
        <f t="shared" si="18"/>
        <v>27.546548835703888</v>
      </c>
      <c r="K107" s="121">
        <f t="shared" si="18"/>
        <v>3280.2982817967659</v>
      </c>
      <c r="L107" s="121">
        <f t="shared" si="18"/>
        <v>10.793384635966602</v>
      </c>
    </row>
    <row r="108" spans="2:12">
      <c r="B108" s="1">
        <v>2007</v>
      </c>
      <c r="C108" s="121">
        <f t="shared" si="18"/>
        <v>624.81074221596589</v>
      </c>
      <c r="D108" s="121">
        <f t="shared" si="18"/>
        <v>863.14713670123763</v>
      </c>
      <c r="E108" s="121">
        <f t="shared" si="18"/>
        <v>594.54686967185148</v>
      </c>
      <c r="F108" s="121">
        <f t="shared" si="18"/>
        <v>505.42498364791606</v>
      </c>
      <c r="G108" s="121">
        <f t="shared" si="18"/>
        <v>296.89712818982878</v>
      </c>
      <c r="H108" s="121">
        <f t="shared" si="18"/>
        <v>3.8462210575179308</v>
      </c>
      <c r="I108" s="121">
        <f t="shared" si="18"/>
        <v>163.31481684673517</v>
      </c>
      <c r="J108" s="121">
        <f t="shared" si="18"/>
        <v>115.22905699366038</v>
      </c>
      <c r="K108" s="121">
        <f t="shared" si="18"/>
        <v>3380.2251984376594</v>
      </c>
      <c r="L108" s="121">
        <f t="shared" si="18"/>
        <v>17.851195573151326</v>
      </c>
    </row>
    <row r="109" spans="2:12">
      <c r="B109" s="1">
        <v>2008</v>
      </c>
      <c r="C109" s="121">
        <f t="shared" si="18"/>
        <v>826.76166951000903</v>
      </c>
      <c r="D109" s="121">
        <f t="shared" si="18"/>
        <v>893.09853175557612</v>
      </c>
      <c r="E109" s="121">
        <f t="shared" si="18"/>
        <v>586.26034055733874</v>
      </c>
      <c r="F109" s="121">
        <f t="shared" si="18"/>
        <v>580.51067952038602</v>
      </c>
      <c r="G109" s="121">
        <f t="shared" si="18"/>
        <v>366.37427819178731</v>
      </c>
      <c r="H109" s="121">
        <f t="shared" si="18"/>
        <v>29.981781713977082</v>
      </c>
      <c r="I109" s="121">
        <f t="shared" si="18"/>
        <v>154.54239618062689</v>
      </c>
      <c r="J109" s="121">
        <f t="shared" si="18"/>
        <v>999.03609169214644</v>
      </c>
      <c r="K109" s="121">
        <f t="shared" si="18"/>
        <v>4776.5122559397942</v>
      </c>
      <c r="L109" s="121">
        <f t="shared" si="18"/>
        <v>30.114257560799686</v>
      </c>
    </row>
  </sheetData>
  <mergeCells count="11">
    <mergeCell ref="G3:G4"/>
    <mergeCell ref="B3:B4"/>
    <mergeCell ref="C3:C4"/>
    <mergeCell ref="D3:D4"/>
    <mergeCell ref="E3:E4"/>
    <mergeCell ref="F3:F4"/>
    <mergeCell ref="H3:H4"/>
    <mergeCell ref="I3:I4"/>
    <mergeCell ref="J3:J4"/>
    <mergeCell ref="K3:K4"/>
    <mergeCell ref="L3:L4"/>
  </mergeCells>
  <pageMargins left="0.75" right="0.75" top="1" bottom="1" header="0.5" footer="0.5"/>
  <pageSetup scale="77" orientation="landscape" horizontalDpi="300" verticalDpi="300" r:id="rId1"/>
  <headerFooter alignWithMargins="0"/>
</worksheet>
</file>

<file path=xl/worksheets/sheet200.xml><?xml version="1.0" encoding="utf-8"?>
<worksheet xmlns="http://schemas.openxmlformats.org/spreadsheetml/2006/main" xmlns:r="http://schemas.openxmlformats.org/officeDocument/2006/relationships">
  <sheetPr codeName="Sheet181"/>
  <dimension ref="A1:AA50"/>
  <sheetViews>
    <sheetView view="pageBreakPreview" zoomScaleNormal="70"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652" customWidth="1"/>
    <col min="2" max="2" width="11.140625" style="652" bestFit="1" customWidth="1"/>
    <col min="3" max="3" width="12.28515625" style="652" bestFit="1" customWidth="1"/>
    <col min="4" max="4" width="11.7109375" style="652" bestFit="1" customWidth="1"/>
    <col min="5" max="5" width="11.28515625" style="652" bestFit="1" customWidth="1"/>
    <col min="6" max="6" width="11.42578125" style="652" bestFit="1" customWidth="1"/>
    <col min="7" max="7" width="9.7109375" style="652" bestFit="1" customWidth="1"/>
    <col min="8" max="8" width="10.5703125" style="652" bestFit="1" customWidth="1"/>
    <col min="9" max="9" width="10" style="652" bestFit="1" customWidth="1"/>
    <col min="10" max="10" width="12.140625" style="652" bestFit="1" customWidth="1"/>
    <col min="11" max="11" width="13.28515625" style="652" bestFit="1" customWidth="1"/>
    <col min="12" max="12" width="11.28515625" style="652" bestFit="1" customWidth="1"/>
    <col min="13" max="16384" width="9.140625" style="652"/>
  </cols>
  <sheetData>
    <row r="1" spans="1:14">
      <c r="A1" s="1307" t="s">
        <v>1845</v>
      </c>
      <c r="B1" s="1308"/>
      <c r="C1" s="1308"/>
      <c r="D1" s="1308"/>
      <c r="E1" s="1308"/>
      <c r="F1" s="1308"/>
      <c r="G1" s="1308"/>
      <c r="H1" s="1308"/>
      <c r="I1" s="1308"/>
      <c r="J1" s="1308"/>
      <c r="K1" s="1308"/>
      <c r="L1" s="1309"/>
    </row>
    <row r="2" spans="1:14">
      <c r="A2" s="387"/>
      <c r="B2" s="388"/>
      <c r="C2" s="388"/>
      <c r="D2" s="388"/>
      <c r="E2" s="388"/>
      <c r="F2" s="388"/>
      <c r="G2" s="388"/>
      <c r="H2" s="388"/>
      <c r="I2" s="388"/>
      <c r="J2" s="388"/>
      <c r="K2" s="388"/>
      <c r="L2" s="389"/>
    </row>
    <row r="3" spans="1:14" s="16" customFormat="1" ht="56.25">
      <c r="A3" s="390"/>
      <c r="B3" s="391" t="s">
        <v>398</v>
      </c>
      <c r="C3" s="1027" t="s">
        <v>1971</v>
      </c>
      <c r="D3" s="392" t="s">
        <v>400</v>
      </c>
      <c r="E3" s="392" t="s">
        <v>401</v>
      </c>
      <c r="F3" s="392" t="s">
        <v>402</v>
      </c>
      <c r="G3" s="392" t="s">
        <v>1203</v>
      </c>
      <c r="H3" s="392" t="s">
        <v>1486</v>
      </c>
      <c r="I3" s="392" t="s">
        <v>403</v>
      </c>
      <c r="J3" s="392" t="s">
        <v>404</v>
      </c>
      <c r="K3" s="392" t="s">
        <v>405</v>
      </c>
      <c r="L3" s="393" t="s">
        <v>406</v>
      </c>
    </row>
    <row r="4" spans="1:14">
      <c r="A4" s="387">
        <v>1981</v>
      </c>
      <c r="B4" s="394">
        <f>'15c'!B5</f>
        <v>4.40625</v>
      </c>
      <c r="C4" s="459">
        <v>54400</v>
      </c>
      <c r="D4" s="460">
        <v>8.9</v>
      </c>
      <c r="E4" s="468">
        <f>'55'!J16</f>
        <v>0.66026488697560304</v>
      </c>
      <c r="F4" s="395">
        <f>'25a'!I11</f>
        <v>5.6725397507520414</v>
      </c>
      <c r="G4" s="395">
        <f>'37'!F9</f>
        <v>60.086954673016415</v>
      </c>
      <c r="H4" s="388" t="s">
        <v>744</v>
      </c>
      <c r="I4" s="388" t="s">
        <v>744</v>
      </c>
      <c r="J4" s="397">
        <v>11.810684027607239</v>
      </c>
      <c r="K4" s="388" t="s">
        <v>744</v>
      </c>
      <c r="L4" s="389" t="s">
        <v>744</v>
      </c>
    </row>
    <row r="5" spans="1:14">
      <c r="A5" s="387">
        <v>1982</v>
      </c>
      <c r="B5" s="394">
        <f>'15c'!B6</f>
        <v>4.5284552845528454</v>
      </c>
      <c r="C5" s="459">
        <v>52500</v>
      </c>
      <c r="D5" s="460">
        <v>9.6</v>
      </c>
      <c r="E5" s="468">
        <f>'55'!J17</f>
        <v>0.63313824870219793</v>
      </c>
      <c r="F5" s="395">
        <f>'25a'!I12</f>
        <v>6.8914740097187437</v>
      </c>
      <c r="G5" s="395">
        <f>'37'!F10</f>
        <v>57.286661013222769</v>
      </c>
      <c r="H5" s="388" t="s">
        <v>744</v>
      </c>
      <c r="I5" s="388" t="s">
        <v>744</v>
      </c>
      <c r="J5" s="397">
        <v>11.736286017984517</v>
      </c>
      <c r="K5" s="388" t="s">
        <v>744</v>
      </c>
      <c r="L5" s="389" t="s">
        <v>744</v>
      </c>
    </row>
    <row r="6" spans="1:14">
      <c r="A6" s="387">
        <v>1983</v>
      </c>
      <c r="B6" s="394">
        <f>'15c'!B7</f>
        <v>4.6806722689075633</v>
      </c>
      <c r="C6" s="459">
        <v>51000</v>
      </c>
      <c r="D6" s="460">
        <v>10.9</v>
      </c>
      <c r="E6" s="468">
        <f>'55'!J18</f>
        <v>0.6178777602034432</v>
      </c>
      <c r="F6" s="395">
        <f>'25a'!I13</f>
        <v>11.822529224229545</v>
      </c>
      <c r="G6" s="395">
        <f>'37'!F11</f>
        <v>56.94652544562129</v>
      </c>
      <c r="H6" s="388" t="s">
        <v>744</v>
      </c>
      <c r="I6" s="388" t="s">
        <v>744</v>
      </c>
      <c r="J6" s="397">
        <v>11.661888008361794</v>
      </c>
      <c r="K6" s="388" t="s">
        <v>744</v>
      </c>
      <c r="L6" s="389" t="s">
        <v>744</v>
      </c>
    </row>
    <row r="7" spans="1:14">
      <c r="A7" s="387">
        <v>1984</v>
      </c>
      <c r="B7" s="394">
        <f>'15c'!B8</f>
        <v>4.6974789915966388</v>
      </c>
      <c r="C7" s="459">
        <v>51800</v>
      </c>
      <c r="D7" s="460">
        <v>10.9</v>
      </c>
      <c r="E7" s="468">
        <f>'55'!J19</f>
        <v>0.62938737687642299</v>
      </c>
      <c r="F7" s="395">
        <f>'25a'!I14</f>
        <v>11.754943991149219</v>
      </c>
      <c r="G7" s="395">
        <f>'37'!F12</f>
        <v>57.667913398884572</v>
      </c>
      <c r="H7" s="388" t="s">
        <v>744</v>
      </c>
      <c r="I7" s="388" t="s">
        <v>744</v>
      </c>
      <c r="J7" s="396">
        <v>11.58748999873907</v>
      </c>
      <c r="K7" s="388" t="s">
        <v>744</v>
      </c>
      <c r="L7" s="389" t="s">
        <v>744</v>
      </c>
      <c r="N7" s="46"/>
    </row>
    <row r="8" spans="1:14">
      <c r="A8" s="387">
        <v>1985</v>
      </c>
      <c r="B8" s="394">
        <f>'15c'!B9</f>
        <v>4.5439999999999996</v>
      </c>
      <c r="C8" s="459">
        <v>52400</v>
      </c>
      <c r="D8" s="460">
        <v>9.9</v>
      </c>
      <c r="E8" s="468">
        <f>'55'!J20</f>
        <v>0.63559479421176213</v>
      </c>
      <c r="F8" s="395">
        <f>'25a'!I15</f>
        <v>11.977474550573964</v>
      </c>
      <c r="G8" s="395">
        <f>'37'!F13</f>
        <v>58.597368301692811</v>
      </c>
      <c r="H8" s="388" t="s">
        <v>744</v>
      </c>
      <c r="I8" s="395">
        <f>'27'!B4</f>
        <v>36.336919941644233</v>
      </c>
      <c r="J8" s="397">
        <v>11.886941987470529</v>
      </c>
      <c r="K8" s="388" t="s">
        <v>744</v>
      </c>
      <c r="L8" s="389" t="s">
        <v>744</v>
      </c>
      <c r="N8" s="46"/>
    </row>
    <row r="9" spans="1:14">
      <c r="A9" s="387">
        <v>1986</v>
      </c>
      <c r="B9" s="394">
        <f>'15c'!B10</f>
        <v>4.430769230769231</v>
      </c>
      <c r="C9" s="459">
        <v>52600</v>
      </c>
      <c r="D9" s="460">
        <v>9.1999999999999993</v>
      </c>
      <c r="E9" s="468">
        <f>'55'!J21</f>
        <v>0.6304268690684327</v>
      </c>
      <c r="F9" s="395">
        <f>'25a'!I16</f>
        <v>10.478413068844807</v>
      </c>
      <c r="G9" s="395">
        <f>'37'!F14</f>
        <v>59.655007664284433</v>
      </c>
      <c r="H9" s="388" t="s">
        <v>744</v>
      </c>
      <c r="I9" s="395">
        <f>'27'!B5</f>
        <v>35.70452138008465</v>
      </c>
      <c r="J9" s="397">
        <v>12.186393976201987</v>
      </c>
      <c r="K9" s="388" t="s">
        <v>744</v>
      </c>
      <c r="L9" s="389" t="s">
        <v>744</v>
      </c>
      <c r="N9" s="46"/>
    </row>
    <row r="10" spans="1:14">
      <c r="A10" s="387">
        <v>1987</v>
      </c>
      <c r="B10" s="394">
        <f>'15c'!B11</f>
        <v>4.3409090909090908</v>
      </c>
      <c r="C10" s="459">
        <v>52500</v>
      </c>
      <c r="D10" s="460">
        <v>9</v>
      </c>
      <c r="E10" s="468">
        <f>'55'!J22</f>
        <v>0.6237686865060823</v>
      </c>
      <c r="F10" s="395">
        <f>'25a'!I17</f>
        <v>10.511316010058676</v>
      </c>
      <c r="G10" s="395">
        <f>'37'!F15</f>
        <v>60.61008153095375</v>
      </c>
      <c r="H10" s="388" t="s">
        <v>744</v>
      </c>
      <c r="I10" s="395">
        <f>'27'!B6</f>
        <v>38.809125101800412</v>
      </c>
      <c r="J10" s="397">
        <v>12.485845964933446</v>
      </c>
      <c r="K10" s="388" t="s">
        <v>744</v>
      </c>
      <c r="L10" s="389" t="s">
        <v>744</v>
      </c>
      <c r="N10" s="46"/>
    </row>
    <row r="11" spans="1:14">
      <c r="A11" s="387">
        <v>1988</v>
      </c>
      <c r="B11" s="394">
        <f>'15c'!B12</f>
        <v>4.1642857142857146</v>
      </c>
      <c r="C11" s="459">
        <v>54000</v>
      </c>
      <c r="D11" s="460">
        <v>8</v>
      </c>
      <c r="E11" s="468">
        <f>'55'!J23</f>
        <v>0.65432737124373741</v>
      </c>
      <c r="F11" s="395">
        <f>'25a'!I18</f>
        <v>8.6676016830294529</v>
      </c>
      <c r="G11" s="395">
        <f>'37'!F16</f>
        <v>61.660569953716724</v>
      </c>
      <c r="H11" s="395">
        <f>'40'!B5</f>
        <v>112.61370430866999</v>
      </c>
      <c r="I11" s="395">
        <f>'27'!B7</f>
        <v>41.306565420256156</v>
      </c>
      <c r="J11" s="397">
        <v>12.7852979536649</v>
      </c>
      <c r="K11" s="388" t="s">
        <v>744</v>
      </c>
      <c r="L11" s="389" t="s">
        <v>744</v>
      </c>
      <c r="N11" s="46"/>
    </row>
    <row r="12" spans="1:14">
      <c r="A12" s="387">
        <v>1989</v>
      </c>
      <c r="B12" s="394">
        <f>'15c'!B13</f>
        <v>4.2340425531914896</v>
      </c>
      <c r="C12" s="459">
        <v>54800</v>
      </c>
      <c r="D12" s="460">
        <v>7.5</v>
      </c>
      <c r="E12" s="468">
        <f>'55'!J24</f>
        <v>0.66735335806663154</v>
      </c>
      <c r="F12" s="395">
        <f>'25a'!I19</f>
        <v>8.1070889894419302</v>
      </c>
      <c r="G12" s="395">
        <f>'37'!F17</f>
        <v>62.187238318539606</v>
      </c>
      <c r="H12" s="395">
        <f>'40'!B6</f>
        <v>113.49221272165408</v>
      </c>
      <c r="I12" s="395">
        <f>'27'!B8</f>
        <v>44.276153576939869</v>
      </c>
      <c r="J12" s="397">
        <v>13.084749942396364</v>
      </c>
      <c r="K12" s="388" t="s">
        <v>744</v>
      </c>
      <c r="L12" s="389" t="s">
        <v>744</v>
      </c>
      <c r="N12" s="46"/>
    </row>
    <row r="13" spans="1:14">
      <c r="A13" s="387">
        <v>1990</v>
      </c>
      <c r="B13" s="394">
        <f>'15c'!B14</f>
        <v>4.3787878787878789</v>
      </c>
      <c r="C13" s="459">
        <v>52700</v>
      </c>
      <c r="D13" s="460">
        <v>9.1</v>
      </c>
      <c r="E13" s="468">
        <f>'55'!J25</f>
        <v>0.6538795357657694</v>
      </c>
      <c r="F13" s="395">
        <f>'25a'!I20</f>
        <v>7.062073728740395</v>
      </c>
      <c r="G13" s="395">
        <f>'37'!F18</f>
        <v>61.685529373500444</v>
      </c>
      <c r="H13" s="395">
        <f>'40'!B7</f>
        <v>111.71692037439587</v>
      </c>
      <c r="I13" s="395">
        <f>'27'!B9</f>
        <v>49.045189183568809</v>
      </c>
      <c r="J13" s="397">
        <v>13.384201931127823</v>
      </c>
      <c r="K13" s="388" t="s">
        <v>744</v>
      </c>
      <c r="L13" s="389" t="s">
        <v>744</v>
      </c>
      <c r="N13" s="46"/>
    </row>
    <row r="14" spans="1:14">
      <c r="A14" s="387">
        <v>1991</v>
      </c>
      <c r="B14" s="394">
        <f>'15c'!B15</f>
        <v>4.484375</v>
      </c>
      <c r="C14" s="459">
        <v>50700</v>
      </c>
      <c r="D14" s="460">
        <v>9.9</v>
      </c>
      <c r="E14" s="468">
        <f>'55'!J26</f>
        <v>0.62074855900127734</v>
      </c>
      <c r="F14" s="395">
        <f>'25a'!I21</f>
        <v>8.8573360378634209</v>
      </c>
      <c r="G14" s="395">
        <f>'37'!F19</f>
        <v>59.709380355077947</v>
      </c>
      <c r="H14" s="395">
        <f>'40'!B8</f>
        <v>108.58242052014124</v>
      </c>
      <c r="I14" s="395">
        <f>'27'!B10</f>
        <v>42.604717245704762</v>
      </c>
      <c r="J14" s="397">
        <v>13.683653919859282</v>
      </c>
      <c r="K14" s="388" t="s">
        <v>744</v>
      </c>
      <c r="L14" s="389" t="s">
        <v>744</v>
      </c>
      <c r="N14" s="46"/>
    </row>
    <row r="15" spans="1:14">
      <c r="A15" s="387">
        <v>1992</v>
      </c>
      <c r="B15" s="394">
        <f>'15c'!B16</f>
        <v>4.5919999999999996</v>
      </c>
      <c r="C15" s="459">
        <v>51100</v>
      </c>
      <c r="D15" s="460">
        <v>9.9</v>
      </c>
      <c r="E15" s="468">
        <f>'55'!J27</f>
        <v>0.6029358166068588</v>
      </c>
      <c r="F15" s="395">
        <f>'25a'!I22</f>
        <v>13.244455519561424</v>
      </c>
      <c r="G15" s="395">
        <f>'37'!F20</f>
        <v>58.34456146139815</v>
      </c>
      <c r="H15" s="395">
        <f>'40'!B9</f>
        <v>103.96671475048701</v>
      </c>
      <c r="I15" s="395">
        <f>'27'!B11</f>
        <v>40.046640439513659</v>
      </c>
      <c r="J15" s="397">
        <v>13.983105908590741</v>
      </c>
      <c r="K15" s="388" t="s">
        <v>744</v>
      </c>
      <c r="L15" s="389" t="s">
        <v>744</v>
      </c>
      <c r="N15" s="46"/>
    </row>
    <row r="16" spans="1:14">
      <c r="A16" s="387">
        <v>1993</v>
      </c>
      <c r="B16" s="394">
        <f>'15c'!B17</f>
        <v>4.4400000000000004</v>
      </c>
      <c r="C16" s="459">
        <v>49500</v>
      </c>
      <c r="D16" s="460">
        <v>11</v>
      </c>
      <c r="E16" s="468">
        <f>'55'!J28</f>
        <v>0.59224536714037401</v>
      </c>
      <c r="F16" s="395">
        <f>'25a'!I23</f>
        <v>16.20288619618827</v>
      </c>
      <c r="G16" s="395">
        <f>'37'!F21</f>
        <v>57.904123044054877</v>
      </c>
      <c r="H16" s="395">
        <f>'40'!B10</f>
        <v>101.79868063333066</v>
      </c>
      <c r="I16" s="395">
        <f>'27'!B12</f>
        <v>38.871139657505232</v>
      </c>
      <c r="J16" s="397">
        <v>14.282557897322199</v>
      </c>
      <c r="K16" s="388" t="s">
        <v>744</v>
      </c>
      <c r="L16" s="389" t="s">
        <v>744</v>
      </c>
      <c r="N16" s="46"/>
    </row>
    <row r="17" spans="1:27">
      <c r="A17" s="387">
        <v>1994</v>
      </c>
      <c r="B17" s="394">
        <f>'15c'!B18</f>
        <v>4.4603174603174605</v>
      </c>
      <c r="C17" s="459">
        <v>50400</v>
      </c>
      <c r="D17" s="460">
        <v>10.8</v>
      </c>
      <c r="E17" s="468">
        <f>'55'!J29</f>
        <v>0.59213451574636167</v>
      </c>
      <c r="F17" s="395">
        <f>'25a'!I24</f>
        <v>17.445544554455449</v>
      </c>
      <c r="G17" s="395">
        <f>'37'!F22</f>
        <v>58.381952547646833</v>
      </c>
      <c r="H17" s="395">
        <f>'40'!B11</f>
        <v>100.61727119063409</v>
      </c>
      <c r="I17" s="395">
        <f>'27'!B13</f>
        <v>42.499823425967932</v>
      </c>
      <c r="J17" s="397">
        <v>14.582009886053658</v>
      </c>
      <c r="K17" s="388" t="s">
        <v>744</v>
      </c>
      <c r="L17" s="389" t="s">
        <v>744</v>
      </c>
      <c r="N17" s="46"/>
    </row>
    <row r="18" spans="1:27">
      <c r="A18" s="387">
        <v>1995</v>
      </c>
      <c r="B18" s="394">
        <f>'15c'!B19</f>
        <v>4.5279999999999996</v>
      </c>
      <c r="C18" s="459">
        <v>49900</v>
      </c>
      <c r="D18" s="460">
        <v>10.9</v>
      </c>
      <c r="E18" s="468">
        <f>'55'!J30</f>
        <v>0.59863391719245485</v>
      </c>
      <c r="F18" s="395">
        <f>'25a'!I25</f>
        <v>16.322284402353279</v>
      </c>
      <c r="G18" s="395">
        <f>'37'!F23</f>
        <v>58.673433362753748</v>
      </c>
      <c r="H18" s="395">
        <f>'40'!B12</f>
        <v>101.57529062887818</v>
      </c>
      <c r="I18" s="395">
        <f>'27'!B14</f>
        <v>39.242321619577368</v>
      </c>
      <c r="J18" s="397">
        <v>14.881461874785117</v>
      </c>
      <c r="K18" s="388" t="s">
        <v>744</v>
      </c>
      <c r="L18" s="389" t="s">
        <v>744</v>
      </c>
      <c r="N18" s="46"/>
    </row>
    <row r="19" spans="1:27">
      <c r="A19" s="387">
        <v>1996</v>
      </c>
      <c r="B19" s="394">
        <f>'15c'!B20</f>
        <v>4.7377049180327866</v>
      </c>
      <c r="C19" s="459">
        <v>49800</v>
      </c>
      <c r="D19" s="460">
        <v>11.7</v>
      </c>
      <c r="E19" s="468">
        <f>'55'!J31</f>
        <v>0.5863491488185586</v>
      </c>
      <c r="F19" s="395">
        <f>'25a'!I26</f>
        <v>16.352464739561512</v>
      </c>
      <c r="G19" s="395">
        <f>'37'!F24</f>
        <v>58.437504081925887</v>
      </c>
      <c r="H19" s="395">
        <f>'40'!B13</f>
        <v>100.08545826124794</v>
      </c>
      <c r="I19" s="395">
        <f>'27'!B15</f>
        <v>36.695206865948158</v>
      </c>
      <c r="J19" s="397">
        <v>15.180913863516576</v>
      </c>
      <c r="K19" s="388" t="s">
        <v>744</v>
      </c>
      <c r="L19" s="389" t="s">
        <v>744</v>
      </c>
      <c r="N19" s="46"/>
    </row>
    <row r="20" spans="1:27">
      <c r="A20" s="387">
        <v>1997</v>
      </c>
      <c r="B20" s="394">
        <f>'15c'!B21</f>
        <v>4.8595041322314048</v>
      </c>
      <c r="C20" s="459">
        <v>50100</v>
      </c>
      <c r="D20" s="460">
        <v>11.6</v>
      </c>
      <c r="E20" s="468">
        <f>'55'!J32</f>
        <v>0.57515480882122361</v>
      </c>
      <c r="F20" s="395">
        <f>'25a'!I27</f>
        <v>15.628868982594129</v>
      </c>
      <c r="G20" s="395">
        <f>'37'!F25</f>
        <v>58.936595644041191</v>
      </c>
      <c r="H20" s="395">
        <f>'40'!B14</f>
        <v>100.09515650885612</v>
      </c>
      <c r="I20" s="395">
        <f>'27'!B16</f>
        <v>35.105052324728518</v>
      </c>
      <c r="J20" s="397">
        <v>15.480365852248035</v>
      </c>
      <c r="K20" s="388" t="s">
        <v>744</v>
      </c>
      <c r="L20" s="389" t="s">
        <v>744</v>
      </c>
      <c r="N20" s="46"/>
    </row>
    <row r="21" spans="1:27">
      <c r="A21" s="387">
        <v>1998</v>
      </c>
      <c r="B21" s="394">
        <f>'15c'!B22</f>
        <v>4.9920634920634921</v>
      </c>
      <c r="C21" s="459">
        <v>52000</v>
      </c>
      <c r="D21" s="460">
        <v>10.1</v>
      </c>
      <c r="E21" s="468">
        <f>'55'!J33</f>
        <v>0.58124416364872455</v>
      </c>
      <c r="F21" s="395">
        <f>'25a'!I28</f>
        <v>13.321785686166443</v>
      </c>
      <c r="G21" s="395">
        <f>'37'!F26</f>
        <v>59.713129389358407</v>
      </c>
      <c r="H21" s="395">
        <f>'40'!B15</f>
        <v>100.43665666060205</v>
      </c>
      <c r="I21" s="395">
        <f>'27'!B17</f>
        <v>34.533135214522396</v>
      </c>
      <c r="J21" s="397">
        <v>15.779817840979494</v>
      </c>
      <c r="K21" s="388" t="s">
        <v>744</v>
      </c>
      <c r="L21" s="389" t="s">
        <v>744</v>
      </c>
      <c r="M21" s="10"/>
      <c r="N21" s="46"/>
      <c r="O21" s="10"/>
      <c r="P21" s="10"/>
      <c r="Q21" s="10"/>
      <c r="R21" s="10"/>
    </row>
    <row r="22" spans="1:27">
      <c r="A22" s="387">
        <v>1999</v>
      </c>
      <c r="B22" s="394">
        <f>'15c'!B23</f>
        <v>4.8636363636363633</v>
      </c>
      <c r="C22" s="459">
        <v>53700</v>
      </c>
      <c r="D22" s="460">
        <v>9.5</v>
      </c>
      <c r="E22" s="468">
        <f>'55'!J34</f>
        <v>0.58447726578252324</v>
      </c>
      <c r="F22" s="395">
        <f>'25a'!I29</f>
        <v>11.238997968855791</v>
      </c>
      <c r="G22" s="395">
        <f>'37'!F27</f>
        <v>60.565689518180179</v>
      </c>
      <c r="H22" s="395">
        <f>'40'!B16</f>
        <v>104.36218118341554</v>
      </c>
      <c r="I22" s="395">
        <f>'27'!B18</f>
        <v>35.551221002231017</v>
      </c>
      <c r="J22" s="396">
        <v>16.079269829710956</v>
      </c>
      <c r="K22" s="388" t="s">
        <v>744</v>
      </c>
      <c r="L22" s="389" t="s">
        <v>744</v>
      </c>
      <c r="M22" s="10"/>
      <c r="N22" s="46"/>
      <c r="O22" s="10"/>
      <c r="P22" s="10"/>
      <c r="Q22" s="10"/>
      <c r="R22" s="10"/>
    </row>
    <row r="23" spans="1:27">
      <c r="A23" s="387">
        <v>2000</v>
      </c>
      <c r="B23" s="394">
        <f>'15c'!B24</f>
        <v>5.1127819548872182</v>
      </c>
      <c r="C23" s="459">
        <v>54600</v>
      </c>
      <c r="D23" s="460">
        <v>9</v>
      </c>
      <c r="E23" s="468">
        <f>'55'!J35</f>
        <v>0.59326532685533573</v>
      </c>
      <c r="F23" s="395">
        <f>'25a'!I30</f>
        <v>10.731437015145918</v>
      </c>
      <c r="G23" s="395">
        <f>'37'!F28</f>
        <v>61.276987822795526</v>
      </c>
      <c r="H23" s="395">
        <f>'40'!B17</f>
        <v>105.31827940141724</v>
      </c>
      <c r="I23" s="395">
        <f>'27'!B19</f>
        <v>36.631447479311007</v>
      </c>
      <c r="J23" s="397">
        <v>16.371854337741883</v>
      </c>
      <c r="K23" s="388">
        <v>62.1</v>
      </c>
      <c r="L23" s="389" t="s">
        <v>744</v>
      </c>
      <c r="M23" s="10"/>
      <c r="N23" s="46"/>
      <c r="O23" s="10"/>
      <c r="P23" s="10"/>
      <c r="Q23" s="10"/>
      <c r="R23" s="10"/>
    </row>
    <row r="24" spans="1:27">
      <c r="A24" s="387">
        <v>2001</v>
      </c>
      <c r="B24" s="394">
        <f>'15c'!B25</f>
        <v>4.9859154929577461</v>
      </c>
      <c r="C24" s="459">
        <v>56800</v>
      </c>
      <c r="D24" s="460">
        <v>7.9</v>
      </c>
      <c r="E24" s="468">
        <f>'55'!J36</f>
        <v>0.57085378117984042</v>
      </c>
      <c r="F24" s="395">
        <f>'25a'!I31</f>
        <v>9.0409075283602611</v>
      </c>
      <c r="G24" s="395">
        <f>'37'!F29</f>
        <v>61.143906759449038</v>
      </c>
      <c r="H24" s="395">
        <f>'40'!B18</f>
        <v>105.67977367104527</v>
      </c>
      <c r="I24" s="395">
        <f>'27'!B20</f>
        <v>34.270360205856107</v>
      </c>
      <c r="J24" s="397">
        <v>16.664438845772811</v>
      </c>
      <c r="K24" s="388" t="s">
        <v>744</v>
      </c>
      <c r="L24" s="389" t="s">
        <v>744</v>
      </c>
      <c r="M24" s="25"/>
      <c r="N24" s="46"/>
      <c r="O24" s="25"/>
      <c r="P24" s="25"/>
      <c r="Q24" s="25"/>
      <c r="R24" s="25"/>
      <c r="S24" s="39"/>
      <c r="T24" s="39"/>
      <c r="U24" s="39"/>
      <c r="V24" s="39"/>
      <c r="W24" s="39"/>
      <c r="X24" s="39"/>
      <c r="Y24" s="39"/>
      <c r="Z24" s="39"/>
      <c r="AA24" s="39"/>
    </row>
    <row r="25" spans="1:27">
      <c r="A25" s="387">
        <v>2002</v>
      </c>
      <c r="B25" s="394">
        <f>'15c'!B26</f>
        <v>5.0928571428571425</v>
      </c>
      <c r="C25" s="459">
        <v>56700</v>
      </c>
      <c r="D25" s="460">
        <v>8.6</v>
      </c>
      <c r="E25" s="468">
        <f>'55'!J37</f>
        <v>0.53705984016000041</v>
      </c>
      <c r="F25" s="395">
        <f>'25a'!I32</f>
        <v>9.1969422334305282</v>
      </c>
      <c r="G25" s="395">
        <f>'37'!F30</f>
        <v>61.742205804664216</v>
      </c>
      <c r="H25" s="395">
        <f>'40'!B19</f>
        <v>102.86319827932647</v>
      </c>
      <c r="I25" s="395">
        <f>'27'!B21</f>
        <v>35.081837647169337</v>
      </c>
      <c r="J25" s="397">
        <v>16.957023353803738</v>
      </c>
      <c r="K25" s="388" t="s">
        <v>744</v>
      </c>
      <c r="L25" s="389" t="s">
        <v>744</v>
      </c>
      <c r="M25" s="10"/>
      <c r="N25" s="46"/>
      <c r="O25" s="10"/>
      <c r="P25" s="10"/>
      <c r="Q25" s="10"/>
      <c r="R25" s="10"/>
    </row>
    <row r="26" spans="1:27">
      <c r="A26" s="387">
        <v>2003</v>
      </c>
      <c r="B26" s="394">
        <f>'15c'!B27</f>
        <v>4.9787234042553195</v>
      </c>
      <c r="C26" s="459">
        <v>56700</v>
      </c>
      <c r="D26" s="460">
        <v>8.5</v>
      </c>
      <c r="E26" s="468">
        <f>'55'!J38</f>
        <v>0.53368924485814107</v>
      </c>
      <c r="F26" s="395">
        <f>'25a'!I33</f>
        <v>9.5630539573938727</v>
      </c>
      <c r="G26" s="395">
        <f>'37'!F31</f>
        <v>62.423276840658794</v>
      </c>
      <c r="H26" s="395">
        <f>'40'!B20</f>
        <v>100.22605047505017</v>
      </c>
      <c r="I26" s="395">
        <f>'27'!B22</f>
        <v>35.479570509847299</v>
      </c>
      <c r="J26" s="397">
        <v>17.249607861834665</v>
      </c>
      <c r="K26" s="388" t="s">
        <v>744</v>
      </c>
      <c r="L26" s="389">
        <v>6.8</v>
      </c>
      <c r="M26" s="10"/>
      <c r="N26" s="46"/>
      <c r="O26" s="10"/>
      <c r="P26" s="10"/>
      <c r="Q26" s="10"/>
      <c r="R26" s="10"/>
    </row>
    <row r="27" spans="1:27">
      <c r="A27" s="387">
        <v>2004</v>
      </c>
      <c r="B27" s="394">
        <f>'15c'!B28</f>
        <v>5.147887323943662</v>
      </c>
      <c r="C27" s="459">
        <v>57400</v>
      </c>
      <c r="D27" s="460">
        <v>8</v>
      </c>
      <c r="E27" s="468">
        <f>'55'!J39</f>
        <v>0.54902745202475634</v>
      </c>
      <c r="F27" s="395">
        <f>'25a'!I34</f>
        <v>9.0828138913624219</v>
      </c>
      <c r="G27" s="395">
        <f>'37'!F32</f>
        <v>62.676371868539583</v>
      </c>
      <c r="H27" s="395">
        <f>'40'!B21</f>
        <v>99.169195779713519</v>
      </c>
      <c r="I27" s="395">
        <f>'27'!B23</f>
        <v>36.652078466656071</v>
      </c>
      <c r="J27" s="397">
        <v>17.542192369865592</v>
      </c>
      <c r="K27" s="388" t="s">
        <v>744</v>
      </c>
      <c r="L27" s="389" t="s">
        <v>744</v>
      </c>
      <c r="M27" s="10"/>
      <c r="N27" s="46"/>
      <c r="O27" s="10"/>
      <c r="P27" s="10"/>
      <c r="Q27" s="10"/>
      <c r="R27" s="10"/>
    </row>
    <row r="28" spans="1:27">
      <c r="A28" s="387">
        <v>2005</v>
      </c>
      <c r="B28" s="394">
        <f>'15c'!B29</f>
        <v>4.9727891156462585</v>
      </c>
      <c r="C28" s="459">
        <v>58400</v>
      </c>
      <c r="D28" s="460">
        <v>7.4</v>
      </c>
      <c r="E28" s="468">
        <f>'55'!J40</f>
        <v>0.54360736499169349</v>
      </c>
      <c r="F28" s="395">
        <f>'25a'!I35</f>
        <v>9.1916780354706678</v>
      </c>
      <c r="G28" s="395">
        <f>'37'!F33</f>
        <v>62.659898083741837</v>
      </c>
      <c r="H28" s="395">
        <f>'40'!B22</f>
        <v>99.278558546249911</v>
      </c>
      <c r="I28" s="395">
        <f>'27'!B24</f>
        <v>37.29265033417196</v>
      </c>
      <c r="J28" s="396">
        <v>17.834776877896527</v>
      </c>
      <c r="K28" s="388" t="s">
        <v>744</v>
      </c>
      <c r="L28" s="389" t="s">
        <v>744</v>
      </c>
      <c r="M28" s="25"/>
      <c r="N28" s="231"/>
      <c r="O28" s="25"/>
      <c r="P28" s="25"/>
      <c r="Q28" s="25"/>
      <c r="R28" s="25"/>
      <c r="S28" s="25"/>
      <c r="T28" s="25"/>
      <c r="U28" s="25"/>
      <c r="V28" s="25"/>
      <c r="W28" s="25"/>
      <c r="X28" s="25"/>
      <c r="Y28" s="25"/>
      <c r="Z28" s="25"/>
      <c r="AA28" s="25"/>
    </row>
    <row r="29" spans="1:27">
      <c r="A29" s="457">
        <v>2006</v>
      </c>
      <c r="B29" s="394">
        <f>'15c'!B30</f>
        <v>4.883116883116883</v>
      </c>
      <c r="C29" s="459">
        <v>59600</v>
      </c>
      <c r="D29" s="460">
        <v>7</v>
      </c>
      <c r="E29" s="468">
        <f>'55'!J41</f>
        <v>0.55800275392608722</v>
      </c>
      <c r="F29" s="395">
        <f>'25a'!I36</f>
        <v>8.2822085889570545</v>
      </c>
      <c r="G29" s="395">
        <f>'37'!F34</f>
        <v>62.952977074748617</v>
      </c>
      <c r="H29" s="395">
        <f>'40'!B23</f>
        <v>98.485518010796298</v>
      </c>
      <c r="I29" s="395">
        <f>'27'!B25</f>
        <v>40.982921825453957</v>
      </c>
      <c r="J29" s="398">
        <v>17.834776877896527</v>
      </c>
      <c r="K29" s="388" t="s">
        <v>744</v>
      </c>
      <c r="L29" s="389" t="s">
        <v>744</v>
      </c>
      <c r="M29" s="10"/>
      <c r="N29" s="46"/>
      <c r="O29" s="10"/>
      <c r="P29" s="10"/>
      <c r="Q29" s="10"/>
      <c r="R29" s="10"/>
    </row>
    <row r="30" spans="1:27" s="728" customFormat="1">
      <c r="A30" s="457">
        <v>2007</v>
      </c>
      <c r="B30" s="394">
        <f>'15c'!B31</f>
        <v>4.8571428571428568</v>
      </c>
      <c r="C30" s="459">
        <v>61800</v>
      </c>
      <c r="D30" s="460">
        <v>5.8</v>
      </c>
      <c r="E30" s="468">
        <f>'55'!J42</f>
        <v>0.56255560687955164</v>
      </c>
      <c r="F30" s="395">
        <f>'25a'!I37</f>
        <v>7.0687418936446171</v>
      </c>
      <c r="G30" s="395">
        <f>'37'!F35</f>
        <v>63.518796086376881</v>
      </c>
      <c r="H30" s="395">
        <f>'40'!B24</f>
        <v>97.723681250454362</v>
      </c>
      <c r="I30" s="395">
        <f>'27'!B26</f>
        <v>44.911344147757603</v>
      </c>
      <c r="J30" s="398">
        <v>17.834776877896527</v>
      </c>
      <c r="K30" s="388" t="s">
        <v>744</v>
      </c>
      <c r="L30" s="389" t="s">
        <v>744</v>
      </c>
      <c r="M30" s="10"/>
      <c r="N30" s="46"/>
      <c r="O30" s="10"/>
      <c r="P30" s="10"/>
      <c r="Q30" s="10"/>
      <c r="R30" s="10"/>
    </row>
    <row r="31" spans="1:27" s="132" customFormat="1">
      <c r="A31" s="1130">
        <v>2008</v>
      </c>
      <c r="B31" s="952">
        <v>4.8571428571428568</v>
      </c>
      <c r="C31" s="953">
        <v>61800</v>
      </c>
      <c r="D31" s="954">
        <v>5.8</v>
      </c>
      <c r="E31" s="469">
        <f>'55'!J43</f>
        <v>0.55817752170224022</v>
      </c>
      <c r="F31" s="399">
        <f>'25a'!I38</f>
        <v>6.7184847672652541</v>
      </c>
      <c r="G31" s="399">
        <f>'37'!F36</f>
        <v>63.606279735707361</v>
      </c>
      <c r="H31" s="399">
        <f>'40'!B25</f>
        <v>99.926149350426712</v>
      </c>
      <c r="I31" s="399">
        <f>'27'!B27</f>
        <v>45.240055533254235</v>
      </c>
      <c r="J31" s="400">
        <v>17.834776877896527</v>
      </c>
      <c r="K31" s="401" t="s">
        <v>744</v>
      </c>
      <c r="L31" s="402" t="s">
        <v>744</v>
      </c>
      <c r="M31" s="250"/>
      <c r="N31" s="458"/>
      <c r="O31" s="250"/>
      <c r="P31" s="250"/>
      <c r="Q31" s="250"/>
      <c r="R31" s="250"/>
    </row>
    <row r="32" spans="1:27">
      <c r="A32" s="387"/>
      <c r="B32" s="395"/>
      <c r="C32" s="395"/>
      <c r="D32" s="395"/>
      <c r="E32" s="1044"/>
      <c r="F32" s="395"/>
      <c r="G32" s="395"/>
      <c r="H32" s="395"/>
      <c r="I32" s="395"/>
      <c r="J32" s="395"/>
      <c r="K32" s="405"/>
      <c r="L32" s="405"/>
      <c r="M32" s="10"/>
      <c r="N32" s="46"/>
      <c r="O32" s="10"/>
      <c r="P32" s="10"/>
      <c r="Q32" s="10"/>
      <c r="R32" s="10"/>
    </row>
    <row r="33" spans="1:18">
      <c r="A33" s="674" t="s">
        <v>407</v>
      </c>
      <c r="B33" s="388"/>
      <c r="C33" s="388"/>
      <c r="D33" s="388"/>
      <c r="E33" s="388"/>
      <c r="F33" s="955">
        <f>F31-F11</f>
        <v>-1.9491169157641988</v>
      </c>
      <c r="G33" s="388"/>
      <c r="H33" s="388"/>
      <c r="I33" s="388"/>
      <c r="J33" s="388"/>
      <c r="K33" s="388"/>
      <c r="L33" s="389"/>
      <c r="M33" s="10"/>
      <c r="N33" s="10"/>
      <c r="O33" s="10"/>
      <c r="P33" s="10"/>
      <c r="Q33" s="10"/>
      <c r="R33" s="10"/>
    </row>
    <row r="34" spans="1:18">
      <c r="A34" s="484" t="s">
        <v>408</v>
      </c>
      <c r="B34" s="403">
        <f>100*(B4/B12)^(1/8)-100</f>
        <v>0.49957830886062027</v>
      </c>
      <c r="C34" s="403">
        <f>100*(C4/C13)^(1/8)-100</f>
        <v>0.39764725595361483</v>
      </c>
      <c r="D34" s="403">
        <f>100*(D4/D13)^(1/8)-100</f>
        <v>-0.27740373260408546</v>
      </c>
      <c r="E34" s="403">
        <f>100*(E4/E12)^(1/8)-100</f>
        <v>-0.13339319512601833</v>
      </c>
      <c r="F34" s="403">
        <f>100*(F4/F13)^(1/8)-100</f>
        <v>-2.7016080883463189</v>
      </c>
      <c r="G34" s="403">
        <f>100*(G4/G12)^(1/8)-100</f>
        <v>-0.42854224259849616</v>
      </c>
      <c r="H34" s="403" t="s">
        <v>744</v>
      </c>
      <c r="I34" s="403" t="s">
        <v>744</v>
      </c>
      <c r="J34" s="403">
        <f>100*(J4/J12)^(1/8)-100</f>
        <v>-1.2723719936189042</v>
      </c>
      <c r="K34" s="403" t="s">
        <v>744</v>
      </c>
      <c r="L34" s="404" t="s">
        <v>744</v>
      </c>
      <c r="N34" s="256"/>
    </row>
    <row r="35" spans="1:18">
      <c r="A35" s="485" t="s">
        <v>409</v>
      </c>
      <c r="B35" s="405">
        <f t="shared" ref="B35:I35" si="0">100*(B23/B12)^(1/11)-100</f>
        <v>1.7292028093028051</v>
      </c>
      <c r="C35" s="405">
        <f>100*(C24/C13)^(1/11)-100</f>
        <v>0.68342357278601185</v>
      </c>
      <c r="D35" s="405">
        <f>100*(D24/D13)^(1/11)-100</f>
        <v>-1.2773324589954314</v>
      </c>
      <c r="E35" s="405">
        <f t="shared" si="0"/>
        <v>-1.0640975187265553</v>
      </c>
      <c r="F35" s="405">
        <f>100*(F24/F13)^(1/11)-100</f>
        <v>2.2710482253073536</v>
      </c>
      <c r="G35" s="405">
        <f t="shared" si="0"/>
        <v>-0.1339596217998178</v>
      </c>
      <c r="H35" s="405">
        <f t="shared" si="0"/>
        <v>-0.67721672320061543</v>
      </c>
      <c r="I35" s="405">
        <f t="shared" si="0"/>
        <v>-1.708322965330666</v>
      </c>
      <c r="J35" s="405">
        <f>100*(J23/J12)^(1/11)-100</f>
        <v>2.0583174144799443</v>
      </c>
      <c r="K35" s="405" t="s">
        <v>744</v>
      </c>
      <c r="L35" s="406" t="s">
        <v>744</v>
      </c>
    </row>
    <row r="36" spans="1:18">
      <c r="A36" s="485" t="s">
        <v>1495</v>
      </c>
      <c r="B36" s="405">
        <f>100*(B30/B23)^(1/7)-100</f>
        <v>-0.7300831979014788</v>
      </c>
      <c r="C36" s="405">
        <f t="shared" ref="C36:J36" si="1">100*(C30/C23)^(1/7)-100</f>
        <v>1.7853135709336385</v>
      </c>
      <c r="D36" s="405">
        <f t="shared" si="1"/>
        <v>-6.0837413014782129</v>
      </c>
      <c r="E36" s="405">
        <f t="shared" si="1"/>
        <v>-0.75643515536548023</v>
      </c>
      <c r="F36" s="405">
        <f t="shared" si="1"/>
        <v>-5.7898383365670867</v>
      </c>
      <c r="G36" s="405">
        <f t="shared" si="1"/>
        <v>0.51462672857122982</v>
      </c>
      <c r="H36" s="405">
        <f t="shared" si="1"/>
        <v>-1.0634913785952165</v>
      </c>
      <c r="I36" s="405">
        <f t="shared" si="1"/>
        <v>2.9539797095736731</v>
      </c>
      <c r="J36" s="405">
        <f t="shared" si="1"/>
        <v>1.2301715050015503</v>
      </c>
      <c r="K36" s="405" t="s">
        <v>744</v>
      </c>
      <c r="L36" s="406" t="s">
        <v>744</v>
      </c>
    </row>
    <row r="37" spans="1:18">
      <c r="A37" s="485" t="s">
        <v>1847</v>
      </c>
      <c r="B37" s="405">
        <f>100*(B31/B23)^(1/8)-100</f>
        <v>-0.63911509545449974</v>
      </c>
      <c r="C37" s="405">
        <f t="shared" ref="C37:J37" si="2">100*(C31/C23)^(1/8)-100</f>
        <v>1.5604178558413082</v>
      </c>
      <c r="D37" s="405">
        <f t="shared" si="2"/>
        <v>-5.3439918191867264</v>
      </c>
      <c r="E37" s="405">
        <f t="shared" si="2"/>
        <v>-0.75916218802458957</v>
      </c>
      <c r="F37" s="405">
        <f t="shared" si="2"/>
        <v>-5.6858875836057479</v>
      </c>
      <c r="G37" s="405">
        <f t="shared" si="2"/>
        <v>0.46743701371818247</v>
      </c>
      <c r="H37" s="405">
        <f t="shared" si="2"/>
        <v>-0.65479172179226452</v>
      </c>
      <c r="I37" s="405">
        <f t="shared" si="2"/>
        <v>2.6735625048975038</v>
      </c>
      <c r="J37" s="405">
        <f t="shared" si="2"/>
        <v>1.0755762620123051</v>
      </c>
      <c r="K37" s="405" t="s">
        <v>744</v>
      </c>
      <c r="L37" s="406" t="s">
        <v>744</v>
      </c>
    </row>
    <row r="38" spans="1:18">
      <c r="A38" s="485" t="s">
        <v>1496</v>
      </c>
      <c r="B38" s="405">
        <f t="shared" ref="B38:G38" si="3">100*(B30/B4)^(1/26)-100</f>
        <v>0.37541981828354665</v>
      </c>
      <c r="C38" s="405">
        <f t="shared" si="3"/>
        <v>0.49174052007552405</v>
      </c>
      <c r="D38" s="405">
        <f t="shared" si="3"/>
        <v>-1.633410319580392</v>
      </c>
      <c r="E38" s="405">
        <f t="shared" si="3"/>
        <v>-0.61407263712396798</v>
      </c>
      <c r="F38" s="405">
        <f t="shared" si="3"/>
        <v>0.84992060046329243</v>
      </c>
      <c r="G38" s="405">
        <f t="shared" si="3"/>
        <v>0.21385567586311538</v>
      </c>
      <c r="H38" s="405">
        <f>100*(H30/H11)^(1/19)-100</f>
        <v>-0.74363963213508555</v>
      </c>
      <c r="I38" s="405">
        <f>100*(I30/I8)^(1/22)-100</f>
        <v>0.9676339296186427</v>
      </c>
      <c r="J38" s="405">
        <f>100*(J30/J4)^(1/26)-100</f>
        <v>1.5978065673241559</v>
      </c>
      <c r="K38" s="405" t="s">
        <v>744</v>
      </c>
      <c r="L38" s="406" t="s">
        <v>744</v>
      </c>
    </row>
    <row r="39" spans="1:18">
      <c r="A39" s="485" t="s">
        <v>1848</v>
      </c>
      <c r="B39" s="405">
        <f t="shared" ref="B39:G39" si="4">100*(B31/B4)^(1/27)-100</f>
        <v>0.36149027978341053</v>
      </c>
      <c r="C39" s="405">
        <f t="shared" si="4"/>
        <v>0.47348486043668458</v>
      </c>
      <c r="D39" s="405">
        <f t="shared" si="4"/>
        <v>-1.573392130327349</v>
      </c>
      <c r="E39" s="405">
        <f t="shared" si="4"/>
        <v>-0.62015809649761877</v>
      </c>
      <c r="F39" s="405">
        <f t="shared" si="4"/>
        <v>0.62873012425106367</v>
      </c>
      <c r="G39" s="405">
        <f t="shared" si="4"/>
        <v>0.21103512864486618</v>
      </c>
      <c r="H39" s="405">
        <f>100*(H31/H11)^(1/20)-100</f>
        <v>-0.59587761272199202</v>
      </c>
      <c r="I39" s="405">
        <f>100*(I31/I11)^(1/20)-100</f>
        <v>0.45584292940674231</v>
      </c>
      <c r="J39" s="405">
        <f>100*(J31/J4)^(1/27)-100</f>
        <v>1.5381757756422587</v>
      </c>
      <c r="K39" s="405" t="s">
        <v>744</v>
      </c>
      <c r="L39" s="406" t="s">
        <v>744</v>
      </c>
    </row>
    <row r="40" spans="1:18">
      <c r="A40" s="485" t="s">
        <v>1497</v>
      </c>
      <c r="B40" s="405">
        <f>100*(B30/B11)^(1/19)-100</f>
        <v>0.81331915142486366</v>
      </c>
      <c r="C40" s="405">
        <f t="shared" ref="C40:J40" si="5">100*(C30/C11)^(1/19)-100</f>
        <v>0.71262887344136061</v>
      </c>
      <c r="D40" s="405">
        <f t="shared" si="5"/>
        <v>-1.6783023107290234</v>
      </c>
      <c r="E40" s="405">
        <f t="shared" si="5"/>
        <v>-0.7922022903040471</v>
      </c>
      <c r="F40" s="405">
        <f t="shared" si="5"/>
        <v>-1.0674701689394226</v>
      </c>
      <c r="G40" s="405">
        <f t="shared" si="5"/>
        <v>0.15639162514811744</v>
      </c>
      <c r="H40" s="405">
        <f t="shared" si="5"/>
        <v>-0.74363963213508555</v>
      </c>
      <c r="I40" s="405">
        <f t="shared" si="5"/>
        <v>0.44133397042298839</v>
      </c>
      <c r="J40" s="405">
        <f t="shared" si="5"/>
        <v>1.7673003983919671</v>
      </c>
      <c r="K40" s="405" t="s">
        <v>744</v>
      </c>
      <c r="L40" s="406" t="s">
        <v>744</v>
      </c>
    </row>
    <row r="41" spans="1:18">
      <c r="A41" s="485" t="s">
        <v>1849</v>
      </c>
      <c r="B41" s="405">
        <f t="shared" ref="B41:J41" si="6">100*(B31/B11)^(1/20)-100</f>
        <v>0.77249653580196309</v>
      </c>
      <c r="C41" s="405">
        <f t="shared" si="6"/>
        <v>0.67687711752695634</v>
      </c>
      <c r="D41" s="405">
        <f t="shared" si="6"/>
        <v>-1.5950601248149496</v>
      </c>
      <c r="E41" s="405">
        <f t="shared" si="6"/>
        <v>-0.79150468832182241</v>
      </c>
      <c r="F41" s="405">
        <f t="shared" si="6"/>
        <v>-1.2655708466617455</v>
      </c>
      <c r="G41" s="405">
        <f t="shared" si="6"/>
        <v>0.15545839921824722</v>
      </c>
      <c r="H41" s="405">
        <f t="shared" si="6"/>
        <v>-0.59587761272199202</v>
      </c>
      <c r="I41" s="405">
        <f t="shared" si="6"/>
        <v>0.45584292940674231</v>
      </c>
      <c r="J41" s="405">
        <f t="shared" si="6"/>
        <v>1.6781981299811122</v>
      </c>
      <c r="K41" s="405" t="s">
        <v>744</v>
      </c>
      <c r="L41" s="406" t="s">
        <v>744</v>
      </c>
    </row>
    <row r="42" spans="1:18">
      <c r="A42" s="674" t="s">
        <v>1023</v>
      </c>
      <c r="B42" s="405"/>
      <c r="C42" s="405"/>
      <c r="D42" s="405"/>
      <c r="E42" s="405"/>
      <c r="F42" s="405"/>
      <c r="G42" s="405"/>
      <c r="H42" s="405"/>
      <c r="I42" s="405"/>
      <c r="J42" s="405"/>
      <c r="K42" s="405"/>
      <c r="L42" s="406"/>
    </row>
    <row r="43" spans="1:18">
      <c r="A43" s="1028" t="s">
        <v>1497</v>
      </c>
      <c r="B43" s="23">
        <f>100*(B30/B11-1)</f>
        <v>16.638078902229836</v>
      </c>
      <c r="C43" s="23">
        <f t="shared" ref="C43:J43" si="7">100*(C30/C11-1)</f>
        <v>14.444444444444438</v>
      </c>
      <c r="D43" s="23">
        <f t="shared" si="7"/>
        <v>-27.500000000000004</v>
      </c>
      <c r="E43" s="23">
        <f t="shared" si="7"/>
        <v>-14.025359231075285</v>
      </c>
      <c r="F43" s="23">
        <f t="shared" si="7"/>
        <v>-18.446392068469063</v>
      </c>
      <c r="G43" s="23">
        <f t="shared" si="7"/>
        <v>3.0136376197219095</v>
      </c>
      <c r="H43" s="23">
        <f t="shared" si="7"/>
        <v>-13.222212296118618</v>
      </c>
      <c r="I43" s="23">
        <f t="shared" si="7"/>
        <v>8.7268904853893048</v>
      </c>
      <c r="J43" s="23">
        <f t="shared" si="7"/>
        <v>39.494417279373572</v>
      </c>
      <c r="K43" s="405" t="s">
        <v>744</v>
      </c>
      <c r="L43" s="406" t="s">
        <v>744</v>
      </c>
    </row>
    <row r="44" spans="1:18" s="132" customFormat="1">
      <c r="A44" s="131" t="s">
        <v>1849</v>
      </c>
      <c r="B44" s="1045">
        <f>100*(B31/B11-1)</f>
        <v>16.638078902229836</v>
      </c>
      <c r="C44" s="241">
        <f t="shared" ref="C44:J44" si="8">100*(C31/C11-1)</f>
        <v>14.444444444444438</v>
      </c>
      <c r="D44" s="241">
        <f t="shared" si="8"/>
        <v>-27.500000000000004</v>
      </c>
      <c r="E44" s="241">
        <f t="shared" si="8"/>
        <v>-14.694456287032088</v>
      </c>
      <c r="F44" s="241">
        <f t="shared" si="8"/>
        <v>-22.487384481227735</v>
      </c>
      <c r="G44" s="241">
        <f t="shared" si="8"/>
        <v>3.1555170240092023</v>
      </c>
      <c r="H44" s="241">
        <f t="shared" si="8"/>
        <v>-11.266439583114296</v>
      </c>
      <c r="I44" s="241">
        <f t="shared" si="8"/>
        <v>9.5226753252865457</v>
      </c>
      <c r="J44" s="241">
        <f t="shared" si="8"/>
        <v>39.494417279373572</v>
      </c>
      <c r="K44" s="956" t="s">
        <v>744</v>
      </c>
      <c r="L44" s="957" t="s">
        <v>744</v>
      </c>
    </row>
    <row r="45" spans="1:18" s="666" customFormat="1">
      <c r="A45" s="387"/>
      <c r="B45" s="405"/>
      <c r="C45" s="405"/>
      <c r="D45" s="405"/>
      <c r="E45" s="405"/>
      <c r="F45" s="405"/>
      <c r="G45" s="405"/>
      <c r="H45" s="405"/>
      <c r="I45" s="405"/>
      <c r="J45" s="405"/>
      <c r="K45" s="405"/>
      <c r="L45" s="406"/>
    </row>
    <row r="46" spans="1:18">
      <c r="A46" s="1313" t="s">
        <v>1972</v>
      </c>
      <c r="B46" s="1314"/>
      <c r="C46" s="1314"/>
      <c r="D46" s="1314"/>
      <c r="E46" s="1314"/>
      <c r="F46" s="1314"/>
      <c r="G46" s="1314"/>
      <c r="H46" s="388"/>
      <c r="I46" s="388"/>
      <c r="J46" s="388"/>
      <c r="K46" s="388"/>
      <c r="L46" s="389"/>
    </row>
    <row r="47" spans="1:18" ht="39" customHeight="1">
      <c r="A47" s="1310" t="s">
        <v>1020</v>
      </c>
      <c r="B47" s="1311"/>
      <c r="C47" s="1311"/>
      <c r="D47" s="1311"/>
      <c r="E47" s="1311"/>
      <c r="F47" s="1311"/>
      <c r="G47" s="1311"/>
      <c r="H47" s="1311"/>
      <c r="I47" s="1311"/>
      <c r="J47" s="1311"/>
      <c r="K47" s="1311"/>
      <c r="L47" s="1312"/>
    </row>
    <row r="48" spans="1:18" ht="24.75" customHeight="1">
      <c r="A48" s="1310" t="s">
        <v>1018</v>
      </c>
      <c r="B48" s="1311"/>
      <c r="C48" s="1311"/>
      <c r="D48" s="1311"/>
      <c r="E48" s="1311"/>
      <c r="F48" s="1311"/>
      <c r="G48" s="1311"/>
      <c r="H48" s="1311"/>
      <c r="I48" s="1311"/>
      <c r="J48" s="1311"/>
      <c r="K48" s="1311"/>
      <c r="L48" s="1312"/>
    </row>
    <row r="49" spans="1:12">
      <c r="A49" s="674" t="s">
        <v>1552</v>
      </c>
      <c r="B49" s="388"/>
      <c r="C49" s="388"/>
      <c r="D49" s="388"/>
      <c r="E49" s="388"/>
      <c r="F49" s="388"/>
      <c r="G49" s="388"/>
      <c r="H49" s="388"/>
      <c r="I49" s="388"/>
      <c r="J49" s="388"/>
      <c r="K49" s="388"/>
      <c r="L49" s="389"/>
    </row>
    <row r="50" spans="1:12">
      <c r="A50" s="407" t="s">
        <v>1019</v>
      </c>
      <c r="B50" s="401"/>
      <c r="C50" s="401"/>
      <c r="D50" s="401"/>
      <c r="E50" s="401"/>
      <c r="F50" s="401"/>
      <c r="G50" s="401"/>
      <c r="H50" s="401"/>
      <c r="I50" s="401"/>
      <c r="J50" s="401"/>
      <c r="K50" s="401"/>
      <c r="L50" s="402"/>
    </row>
  </sheetData>
  <mergeCells count="4">
    <mergeCell ref="A1:L1"/>
    <mergeCell ref="A47:L47"/>
    <mergeCell ref="A48:L48"/>
    <mergeCell ref="A46:G46"/>
  </mergeCells>
  <phoneticPr fontId="0" type="noConversion"/>
  <pageMargins left="0.75" right="0.75" top="1" bottom="1" header="0.5" footer="0.5"/>
  <pageSetup scale="64" orientation="landscape" verticalDpi="0" r:id="rId1"/>
  <headerFooter alignWithMargins="0"/>
</worksheet>
</file>

<file path=xl/worksheets/sheet201.xml><?xml version="1.0" encoding="utf-8"?>
<worksheet xmlns="http://schemas.openxmlformats.org/spreadsheetml/2006/main" xmlns:r="http://schemas.openxmlformats.org/officeDocument/2006/relationships">
  <sheetPr codeName="Sheet182"/>
  <dimension ref="A1:T38"/>
  <sheetViews>
    <sheetView zoomScaleSheetLayoutView="100" workbookViewId="0">
      <pane xSplit="1" ySplit="3" topLeftCell="E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28515625" style="1" bestFit="1" customWidth="1"/>
    <col min="2" max="5" width="12.42578125" style="1" customWidth="1"/>
    <col min="6" max="6" width="13.42578125" style="1" customWidth="1"/>
    <col min="7" max="10" width="12.42578125" style="1" customWidth="1"/>
    <col min="11" max="11" width="9.42578125" style="1" bestFit="1" customWidth="1"/>
    <col min="12" max="12" width="9.140625" style="1"/>
    <col min="13" max="13" width="14.140625" style="1" bestFit="1" customWidth="1"/>
    <col min="14" max="14" width="9.140625" style="1"/>
    <col min="15" max="15" width="10.28515625" style="1" bestFit="1" customWidth="1"/>
    <col min="16" max="17" width="9.140625" style="1"/>
    <col min="18" max="18" width="10.28515625" style="1" bestFit="1" customWidth="1"/>
    <col min="19" max="19" width="9.28515625" style="1" bestFit="1" customWidth="1"/>
    <col min="20" max="16384" width="9.140625" style="1"/>
  </cols>
  <sheetData>
    <row r="1" spans="1:20" ht="15.75">
      <c r="A1" s="1315" t="s">
        <v>1846</v>
      </c>
      <c r="B1" s="1316"/>
      <c r="C1" s="1316"/>
      <c r="D1" s="1316"/>
      <c r="E1" s="1316"/>
      <c r="F1" s="1316"/>
      <c r="G1" s="1316"/>
      <c r="H1" s="1316"/>
      <c r="I1" s="1316"/>
      <c r="J1" s="1316"/>
    </row>
    <row r="2" spans="1:20">
      <c r="A2" s="242"/>
      <c r="B2" s="4"/>
      <c r="C2" s="4"/>
      <c r="D2" s="4"/>
      <c r="E2" s="4"/>
      <c r="F2" s="4"/>
      <c r="G2" s="4"/>
      <c r="H2" s="4"/>
      <c r="I2" s="4"/>
      <c r="J2" s="4"/>
    </row>
    <row r="3" spans="1:20" ht="76.5">
      <c r="A3" s="378"/>
      <c r="B3" s="375" t="s">
        <v>410</v>
      </c>
      <c r="C3" s="375" t="s">
        <v>399</v>
      </c>
      <c r="D3" s="375" t="s">
        <v>411</v>
      </c>
      <c r="E3" s="375" t="s">
        <v>401</v>
      </c>
      <c r="F3" s="375" t="s">
        <v>412</v>
      </c>
      <c r="G3" s="375" t="s">
        <v>1203</v>
      </c>
      <c r="H3" s="375" t="s">
        <v>413</v>
      </c>
      <c r="I3" s="375" t="s">
        <v>414</v>
      </c>
      <c r="J3" s="375" t="s">
        <v>415</v>
      </c>
      <c r="S3" s="1042"/>
      <c r="T3" s="1042"/>
    </row>
    <row r="4" spans="1:20">
      <c r="A4" s="486">
        <v>1988</v>
      </c>
      <c r="B4" s="23">
        <f>10000/K4</f>
        <v>100</v>
      </c>
      <c r="C4" s="23">
        <f>100*'62'!C11/'62'!$C$11</f>
        <v>100</v>
      </c>
      <c r="D4" s="23">
        <f>10000/M4</f>
        <v>100</v>
      </c>
      <c r="E4" s="329">
        <f>100*'62'!E11/'62'!$E$11</f>
        <v>100</v>
      </c>
      <c r="F4" s="23">
        <f>10000/O4</f>
        <v>100</v>
      </c>
      <c r="G4" s="23">
        <f>100*'62'!G11/'62'!$G$11</f>
        <v>100</v>
      </c>
      <c r="H4" s="23">
        <f>100*'62'!H11/'62'!$H$11</f>
        <v>100.00000000000001</v>
      </c>
      <c r="I4" s="23">
        <v>100</v>
      </c>
      <c r="J4" s="23">
        <f t="shared" ref="J4:J24" si="0">AVERAGE(B4:I4)</f>
        <v>100</v>
      </c>
      <c r="K4" s="379">
        <f>100*'62'!B11/'62'!$B$11</f>
        <v>100</v>
      </c>
      <c r="L4" s="380"/>
      <c r="M4" s="381">
        <f>100*'62'!D11/'62'!$D$11</f>
        <v>100</v>
      </c>
      <c r="N4" s="380"/>
      <c r="O4" s="381">
        <f>100*'62'!F11/'62'!$F$11</f>
        <v>100</v>
      </c>
      <c r="P4" s="380"/>
      <c r="Q4" s="380"/>
      <c r="R4" s="381">
        <f>100*'62'!I11/'62'!$I$11</f>
        <v>100</v>
      </c>
      <c r="S4" s="1043">
        <f>100*'62'!J11/'62'!$J$11</f>
        <v>100</v>
      </c>
      <c r="T4" s="1042"/>
    </row>
    <row r="5" spans="1:20">
      <c r="A5" s="486">
        <f t="shared" ref="A5:A21" si="1">A4+1</f>
        <v>1989</v>
      </c>
      <c r="B5" s="23">
        <f t="shared" ref="B5:B23" si="2">10000/K5</f>
        <v>98.352476669059584</v>
      </c>
      <c r="C5" s="23">
        <f>100*'62'!C12/'62'!$C$11</f>
        <v>101.48148148148148</v>
      </c>
      <c r="D5" s="23">
        <f t="shared" ref="D5:D23" si="3">10000/M5</f>
        <v>106.66666666666667</v>
      </c>
      <c r="E5" s="329">
        <f>100*'62'!E12/'62'!$E$11</f>
        <v>101.99074460206892</v>
      </c>
      <c r="F5" s="23">
        <f t="shared" ref="F5:F23" si="4">10000/O5</f>
        <v>106.91385889950749</v>
      </c>
      <c r="G5" s="23">
        <f>100*'62'!G12/'62'!$G$11</f>
        <v>100.85414125302151</v>
      </c>
      <c r="H5" s="23">
        <f>100*'62'!H12/'62'!$H$11</f>
        <v>100.78010790816022</v>
      </c>
      <c r="I5" s="23">
        <f t="shared" ref="I5:I23" si="5">10000/R5</f>
        <v>93.293030408516898</v>
      </c>
      <c r="J5" s="23">
        <f t="shared" si="0"/>
        <v>101.29156348606033</v>
      </c>
      <c r="K5" s="379">
        <f>100*'62'!B12/'62'!$B$11</f>
        <v>101.67512134593628</v>
      </c>
      <c r="L5" s="380"/>
      <c r="M5" s="381">
        <f>100*'62'!D12/'62'!$D$11</f>
        <v>93.75</v>
      </c>
      <c r="N5" s="380"/>
      <c r="O5" s="381">
        <f>100*'62'!F12/'62'!$F$11</f>
        <v>93.533243518965961</v>
      </c>
      <c r="P5" s="380"/>
      <c r="Q5" s="380"/>
      <c r="R5" s="381">
        <f>100*'62'!I12/'62'!$I$11</f>
        <v>107.18914324265621</v>
      </c>
      <c r="S5" s="1043">
        <f>100*'62'!J12/'62'!$J$11</f>
        <v>102.3421588594705</v>
      </c>
      <c r="T5" s="1042"/>
    </row>
    <row r="6" spans="1:20">
      <c r="A6" s="486">
        <f t="shared" si="1"/>
        <v>1990</v>
      </c>
      <c r="B6" s="23">
        <f t="shared" si="2"/>
        <v>95.101334651507671</v>
      </c>
      <c r="C6" s="23">
        <f>100*'62'!C13/'62'!$C$11</f>
        <v>97.592592592592595</v>
      </c>
      <c r="D6" s="23">
        <f t="shared" si="3"/>
        <v>87.912087912087912</v>
      </c>
      <c r="E6" s="329">
        <f>100*'62'!E13/'62'!$E$11</f>
        <v>99.931557887129671</v>
      </c>
      <c r="F6" s="23">
        <f t="shared" si="4"/>
        <v>122.73451136250631</v>
      </c>
      <c r="G6" s="23">
        <f>100*'62'!G13/'62'!$G$11</f>
        <v>100.04047873673963</v>
      </c>
      <c r="H6" s="23">
        <f>100*'62'!H13/'62'!$H$11</f>
        <v>99.203663586257605</v>
      </c>
      <c r="I6" s="23">
        <f t="shared" si="5"/>
        <v>84.221441710932865</v>
      </c>
      <c r="J6" s="23">
        <f t="shared" si="0"/>
        <v>98.342208554969261</v>
      </c>
      <c r="K6" s="379">
        <f>100*'62'!B13/'62'!$B$11</f>
        <v>105.15099537397992</v>
      </c>
      <c r="L6" s="380"/>
      <c r="M6" s="381">
        <f>100*'62'!D13/'62'!$D$11</f>
        <v>113.75</v>
      </c>
      <c r="N6" s="380"/>
      <c r="O6" s="381">
        <f>100*'62'!F13/'62'!$F$11</f>
        <v>81.476675867182877</v>
      </c>
      <c r="P6" s="380"/>
      <c r="Q6" s="380"/>
      <c r="R6" s="381">
        <f>100*'62'!I13/'62'!$I$11</f>
        <v>118.73460958222816</v>
      </c>
      <c r="S6" s="1043">
        <f>100*'62'!J13/'62'!$J$11</f>
        <v>104.68431771894097</v>
      </c>
      <c r="T6" s="1042"/>
    </row>
    <row r="7" spans="1:20">
      <c r="A7" s="486">
        <f t="shared" si="1"/>
        <v>1991</v>
      </c>
      <c r="B7" s="23">
        <f t="shared" si="2"/>
        <v>92.862120457939284</v>
      </c>
      <c r="C7" s="23">
        <f>100*'62'!C14/'62'!$C$11</f>
        <v>93.888888888888886</v>
      </c>
      <c r="D7" s="23">
        <f t="shared" si="3"/>
        <v>80.808080808080803</v>
      </c>
      <c r="E7" s="329">
        <f>100*'62'!E14/'62'!$E$11</f>
        <v>94.868193855526201</v>
      </c>
      <c r="F7" s="23">
        <f t="shared" si="4"/>
        <v>97.857884650385969</v>
      </c>
      <c r="G7" s="23">
        <f>100*'62'!G14/'62'!$G$11</f>
        <v>96.835595908206216</v>
      </c>
      <c r="H7" s="23">
        <f>100*'62'!H14/'62'!$H$11</f>
        <v>96.420254698771686</v>
      </c>
      <c r="I7" s="23">
        <f t="shared" si="5"/>
        <v>96.953032646685429</v>
      </c>
      <c r="J7" s="23">
        <f t="shared" si="0"/>
        <v>93.811756489310568</v>
      </c>
      <c r="K7" s="379">
        <f>100*'62'!B14/'62'!$B$11</f>
        <v>107.68653516295025</v>
      </c>
      <c r="L7" s="380"/>
      <c r="M7" s="381">
        <f>100*'62'!D14/'62'!$D$11</f>
        <v>123.75</v>
      </c>
      <c r="N7" s="380"/>
      <c r="O7" s="381">
        <f>100*'62'!F14/'62'!$F$11</f>
        <v>102.18900639153105</v>
      </c>
      <c r="P7" s="380"/>
      <c r="Q7" s="380"/>
      <c r="R7" s="381">
        <f>100*'62'!I14/'62'!$I$11</f>
        <v>103.1427251630367</v>
      </c>
      <c r="S7" s="1043">
        <f>100*'62'!J14/'62'!$J$11</f>
        <v>107.02647657841145</v>
      </c>
      <c r="T7" s="1042"/>
    </row>
    <row r="8" spans="1:20">
      <c r="A8" s="486">
        <f t="shared" si="1"/>
        <v>1992</v>
      </c>
      <c r="B8" s="23">
        <f t="shared" si="2"/>
        <v>90.685664509706328</v>
      </c>
      <c r="C8" s="23">
        <f>100*'62'!C15/'62'!$C$11</f>
        <v>94.629629629629633</v>
      </c>
      <c r="D8" s="23">
        <f t="shared" si="3"/>
        <v>80.808080808080803</v>
      </c>
      <c r="E8" s="329">
        <f>100*'62'!E15/'62'!$E$11</f>
        <v>92.145895633374749</v>
      </c>
      <c r="F8" s="23">
        <f t="shared" si="4"/>
        <v>65.44324657384233</v>
      </c>
      <c r="G8" s="23">
        <f>100*'62'!G15/'62'!$G$11</f>
        <v>94.622157247642022</v>
      </c>
      <c r="H8" s="23">
        <f>100*'62'!H15/'62'!$H$11</f>
        <v>92.321547709254006</v>
      </c>
      <c r="I8" s="23">
        <f t="shared" si="5"/>
        <v>103.14614401336733</v>
      </c>
      <c r="J8" s="23">
        <f t="shared" si="0"/>
        <v>89.225295765612145</v>
      </c>
      <c r="K8" s="379">
        <f>100*'62'!B15/'62'!$B$11</f>
        <v>110.27101200686106</v>
      </c>
      <c r="L8" s="380"/>
      <c r="M8" s="381">
        <f>100*'62'!D15/'62'!$D$11</f>
        <v>123.75</v>
      </c>
      <c r="N8" s="380"/>
      <c r="O8" s="381">
        <f>100*'62'!F15/'62'!$F$11</f>
        <v>152.80415510432516</v>
      </c>
      <c r="P8" s="380"/>
      <c r="Q8" s="380"/>
      <c r="R8" s="381">
        <f>100*'62'!I15/'62'!$I$11</f>
        <v>96.949819071317293</v>
      </c>
      <c r="S8" s="1043">
        <f>100*'62'!J15/'62'!$J$11</f>
        <v>109.36863543788191</v>
      </c>
      <c r="T8" s="1042"/>
    </row>
    <row r="9" spans="1:20">
      <c r="A9" s="486">
        <f t="shared" si="1"/>
        <v>1993</v>
      </c>
      <c r="B9" s="23">
        <f t="shared" si="2"/>
        <v>93.790218790218773</v>
      </c>
      <c r="C9" s="23">
        <f>100*'62'!C16/'62'!$C$11</f>
        <v>91.666666666666671</v>
      </c>
      <c r="D9" s="23">
        <f t="shared" si="3"/>
        <v>72.727272727272734</v>
      </c>
      <c r="E9" s="329">
        <f>100*'62'!E16/'62'!$E$11</f>
        <v>90.512088163856163</v>
      </c>
      <c r="F9" s="23">
        <f t="shared" si="4"/>
        <v>53.494183555202078</v>
      </c>
      <c r="G9" s="23">
        <f>100*'62'!G16/'62'!$G$11</f>
        <v>93.907862167862717</v>
      </c>
      <c r="H9" s="23">
        <f>100*'62'!H16/'62'!$H$11</f>
        <v>90.396352076568093</v>
      </c>
      <c r="I9" s="23">
        <f t="shared" si="5"/>
        <v>106.26538296589587</v>
      </c>
      <c r="J9" s="23">
        <f t="shared" si="0"/>
        <v>86.595003389192897</v>
      </c>
      <c r="K9" s="379">
        <f>100*'62'!B16/'62'!$B$11</f>
        <v>106.62092624356777</v>
      </c>
      <c r="L9" s="380"/>
      <c r="M9" s="381">
        <f>100*'62'!D16/'62'!$D$11</f>
        <v>137.5</v>
      </c>
      <c r="N9" s="380"/>
      <c r="O9" s="381">
        <f>100*'62'!F16/'62'!$F$11</f>
        <v>186.93621129259282</v>
      </c>
      <c r="P9" s="380"/>
      <c r="Q9" s="380"/>
      <c r="R9" s="381">
        <f>100*'62'!I16/'62'!$I$11</f>
        <v>94.104022597926701</v>
      </c>
      <c r="S9" s="1043">
        <f>100*'62'!J16/'62'!$J$11</f>
        <v>111.71079429735238</v>
      </c>
      <c r="T9" s="1042"/>
    </row>
    <row r="10" spans="1:20">
      <c r="A10" s="486">
        <f t="shared" si="1"/>
        <v>1994</v>
      </c>
      <c r="B10" s="23">
        <f t="shared" si="2"/>
        <v>93.362989323843422</v>
      </c>
      <c r="C10" s="23">
        <f>100*'62'!C17/'62'!$C$11</f>
        <v>93.333333333333329</v>
      </c>
      <c r="D10" s="23">
        <f t="shared" si="3"/>
        <v>74.074074074074076</v>
      </c>
      <c r="E10" s="329">
        <f>100*'62'!E17/'62'!$E$11</f>
        <v>90.495146889673848</v>
      </c>
      <c r="F10" s="23">
        <f t="shared" si="4"/>
        <v>49.683755390804457</v>
      </c>
      <c r="G10" s="23">
        <f>100*'62'!G17/'62'!$G$11</f>
        <v>94.682797436788434</v>
      </c>
      <c r="H10" s="23">
        <f>100*'62'!H17/'62'!$H$11</f>
        <v>89.347270661522572</v>
      </c>
      <c r="I10" s="23">
        <f t="shared" si="5"/>
        <v>97.192322439197042</v>
      </c>
      <c r="J10" s="23">
        <f t="shared" si="0"/>
        <v>85.271461193654631</v>
      </c>
      <c r="K10" s="379">
        <f>100*'62'!B17/'62'!$B$11</f>
        <v>107.10882408995616</v>
      </c>
      <c r="L10" s="380"/>
      <c r="M10" s="381">
        <f>100*'62'!D17/'62'!$D$11</f>
        <v>135</v>
      </c>
      <c r="N10" s="380"/>
      <c r="O10" s="381">
        <f>100*'62'!F17/'62'!$F$11</f>
        <v>201.27303021564296</v>
      </c>
      <c r="P10" s="380"/>
      <c r="Q10" s="380"/>
      <c r="R10" s="381">
        <f>100*'62'!I17/'62'!$I$11</f>
        <v>102.8887853385327</v>
      </c>
      <c r="S10" s="1043">
        <f>100*'62'!J17/'62'!$J$11</f>
        <v>114.05295315682285</v>
      </c>
      <c r="T10" s="1042"/>
    </row>
    <row r="11" spans="1:20">
      <c r="A11" s="486">
        <f t="shared" si="1"/>
        <v>1995</v>
      </c>
      <c r="B11" s="23">
        <f t="shared" si="2"/>
        <v>91.967440686521982</v>
      </c>
      <c r="C11" s="23">
        <f>100*'62'!C18/'62'!$C$11</f>
        <v>92.407407407407405</v>
      </c>
      <c r="D11" s="23">
        <f t="shared" si="3"/>
        <v>73.394495412844037</v>
      </c>
      <c r="E11" s="329">
        <f>100*'62'!E18/'62'!$E$11</f>
        <v>91.48844194834443</v>
      </c>
      <c r="F11" s="23">
        <f t="shared" si="4"/>
        <v>53.102871322226164</v>
      </c>
      <c r="G11" s="23">
        <f>100*'62'!G18/'62'!$G$11</f>
        <v>95.155515764442072</v>
      </c>
      <c r="H11" s="23">
        <f>100*'62'!H18/'62'!$H$11</f>
        <v>90.19798367564934</v>
      </c>
      <c r="I11" s="23">
        <f t="shared" si="5"/>
        <v>105.2602489238276</v>
      </c>
      <c r="J11" s="23">
        <f t="shared" si="0"/>
        <v>86.621800642657874</v>
      </c>
      <c r="K11" s="379">
        <f>100*'62'!B18/'62'!$B$11</f>
        <v>108.73413379073754</v>
      </c>
      <c r="L11" s="380"/>
      <c r="M11" s="381">
        <f>100*'62'!D18/'62'!$D$11</f>
        <v>136.25</v>
      </c>
      <c r="N11" s="380"/>
      <c r="O11" s="381">
        <f>100*'62'!F18/'62'!$F$11</f>
        <v>188.31373428604996</v>
      </c>
      <c r="P11" s="380"/>
      <c r="Q11" s="380"/>
      <c r="R11" s="381">
        <f>100*'62'!I18/'62'!$I$11</f>
        <v>95.002625418799624</v>
      </c>
      <c r="S11" s="1043">
        <f>100*'62'!J18/'62'!$J$11</f>
        <v>116.39511201629333</v>
      </c>
      <c r="T11" s="1042"/>
    </row>
    <row r="12" spans="1:20">
      <c r="A12" s="486">
        <f t="shared" si="1"/>
        <v>1996</v>
      </c>
      <c r="B12" s="23">
        <f t="shared" si="2"/>
        <v>87.896688086999518</v>
      </c>
      <c r="C12" s="23">
        <f>100*'62'!C19/'62'!$C$11</f>
        <v>92.222222222222229</v>
      </c>
      <c r="D12" s="23">
        <f t="shared" si="3"/>
        <v>68.376068376068375</v>
      </c>
      <c r="E12" s="329">
        <f>100*'62'!E19/'62'!$E$11</f>
        <v>89.61097679652822</v>
      </c>
      <c r="F12" s="23">
        <f t="shared" si="4"/>
        <v>53.004863921583187</v>
      </c>
      <c r="G12" s="23">
        <f>100*'62'!G19/'62'!$G$11</f>
        <v>94.7728899129377</v>
      </c>
      <c r="H12" s="23">
        <f>100*'62'!H19/'62'!$H$11</f>
        <v>88.875025358296881</v>
      </c>
      <c r="I12" s="23">
        <f t="shared" si="5"/>
        <v>112.56665092842731</v>
      </c>
      <c r="J12" s="23">
        <f t="shared" si="0"/>
        <v>85.915673200382926</v>
      </c>
      <c r="K12" s="379">
        <f>100*'62'!B19/'62'!$B$11</f>
        <v>113.76992942102746</v>
      </c>
      <c r="L12" s="380"/>
      <c r="M12" s="381">
        <f>100*'62'!D19/'62'!$D$11</f>
        <v>146.25</v>
      </c>
      <c r="N12" s="380"/>
      <c r="O12" s="381">
        <f>100*'62'!F19/'62'!$F$11</f>
        <v>188.66193138037798</v>
      </c>
      <c r="P12" s="380"/>
      <c r="Q12" s="380"/>
      <c r="R12" s="381">
        <f>100*'62'!I19/'62'!$I$11</f>
        <v>88.836257608465672</v>
      </c>
      <c r="S12" s="1043">
        <f>100*'62'!J19/'62'!$J$11</f>
        <v>118.73727087576378</v>
      </c>
      <c r="T12" s="1042"/>
    </row>
    <row r="13" spans="1:20">
      <c r="A13" s="486">
        <f t="shared" si="1"/>
        <v>1997</v>
      </c>
      <c r="B13" s="23">
        <f t="shared" si="2"/>
        <v>85.69363459669583</v>
      </c>
      <c r="C13" s="23">
        <f>100*'62'!C20/'62'!$C$11</f>
        <v>92.777777777777771</v>
      </c>
      <c r="D13" s="23">
        <f t="shared" si="3"/>
        <v>68.965517241379317</v>
      </c>
      <c r="E13" s="329">
        <f>100*'62'!E20/'62'!$E$11</f>
        <v>87.900160393409251</v>
      </c>
      <c r="F13" s="23">
        <f t="shared" si="4"/>
        <v>55.458918317650244</v>
      </c>
      <c r="G13" s="23">
        <f>100*'62'!G20/'62'!$G$11</f>
        <v>95.582307604811007</v>
      </c>
      <c r="H13" s="23">
        <f>100*'62'!H20/'62'!$H$11</f>
        <v>88.883637318686368</v>
      </c>
      <c r="I13" s="23">
        <f t="shared" si="5"/>
        <v>117.66558567741887</v>
      </c>
      <c r="J13" s="23">
        <f t="shared" si="0"/>
        <v>86.615942365978597</v>
      </c>
      <c r="K13" s="379">
        <f>100*'62'!B20/'62'!$B$11</f>
        <v>116.69478190607146</v>
      </c>
      <c r="L13" s="380"/>
      <c r="M13" s="381">
        <f>100*'62'!D20/'62'!$D$11</f>
        <v>145</v>
      </c>
      <c r="N13" s="380"/>
      <c r="O13" s="381">
        <f>100*'62'!F20/'62'!$F$11</f>
        <v>180.3136502360779</v>
      </c>
      <c r="P13" s="380"/>
      <c r="Q13" s="380"/>
      <c r="R13" s="381">
        <f>100*'62'!I20/'62'!$I$11</f>
        <v>84.98661645568211</v>
      </c>
      <c r="S13" s="1043">
        <f>100*'62'!J20/'62'!$J$11</f>
        <v>121.07942973523426</v>
      </c>
      <c r="T13" s="1042"/>
    </row>
    <row r="14" spans="1:20">
      <c r="A14" s="486">
        <f t="shared" si="1"/>
        <v>1998</v>
      </c>
      <c r="B14" s="23">
        <f t="shared" si="2"/>
        <v>83.418124006359307</v>
      </c>
      <c r="C14" s="23">
        <f>100*'62'!C21/'62'!$C$11</f>
        <v>96.296296296296291</v>
      </c>
      <c r="D14" s="23">
        <f t="shared" si="3"/>
        <v>79.207920792079207</v>
      </c>
      <c r="E14" s="329">
        <f>100*'62'!E21/'62'!$E$11</f>
        <v>88.830788561374533</v>
      </c>
      <c r="F14" s="23">
        <f t="shared" si="4"/>
        <v>65.063362279052654</v>
      </c>
      <c r="G14" s="23">
        <f>100*'62'!G21/'62'!$G$11</f>
        <v>96.841676024370045</v>
      </c>
      <c r="H14" s="23">
        <f>100*'62'!H21/'62'!$H$11</f>
        <v>89.186886513659914</v>
      </c>
      <c r="I14" s="23">
        <f t="shared" si="5"/>
        <v>119.61429266024273</v>
      </c>
      <c r="J14" s="23">
        <f t="shared" si="0"/>
        <v>89.807418391679334</v>
      </c>
      <c r="K14" s="379">
        <f>100*'62'!B21/'62'!$B$11</f>
        <v>119.87802553840289</v>
      </c>
      <c r="L14" s="380"/>
      <c r="M14" s="381">
        <f>100*'62'!D21/'62'!$D$11</f>
        <v>126.25</v>
      </c>
      <c r="N14" s="380"/>
      <c r="O14" s="381">
        <f>100*'62'!F21/'62'!$F$11</f>
        <v>153.69633000382967</v>
      </c>
      <c r="P14" s="380"/>
      <c r="Q14" s="380"/>
      <c r="R14" s="381">
        <f>100*'62'!I21/'62'!$I$11</f>
        <v>83.602049367163872</v>
      </c>
      <c r="S14" s="1043">
        <f>100*'62'!J21/'62'!$J$11</f>
        <v>123.42158859470473</v>
      </c>
      <c r="T14" s="1042"/>
    </row>
    <row r="15" spans="1:20">
      <c r="A15" s="486">
        <f t="shared" si="1"/>
        <v>1999</v>
      </c>
      <c r="B15" s="23">
        <f t="shared" si="2"/>
        <v>85.620827770360492</v>
      </c>
      <c r="C15" s="23">
        <f>100*'62'!C22/'62'!$C$11</f>
        <v>99.444444444444443</v>
      </c>
      <c r="D15" s="23">
        <f t="shared" si="3"/>
        <v>84.21052631578948</v>
      </c>
      <c r="E15" s="329">
        <f>100*'62'!E22/'62'!$E$11</f>
        <v>89.324899349931826</v>
      </c>
      <c r="F15" s="23">
        <f t="shared" si="4"/>
        <v>77.120769191774073</v>
      </c>
      <c r="G15" s="23">
        <f>100*'62'!G22/'62'!$G$11</f>
        <v>98.22434266118789</v>
      </c>
      <c r="H15" s="23">
        <f>100*'62'!H22/'62'!$H$11</f>
        <v>92.672718497353273</v>
      </c>
      <c r="I15" s="23">
        <f t="shared" si="5"/>
        <v>116.18887975089227</v>
      </c>
      <c r="J15" s="23">
        <f t="shared" si="0"/>
        <v>92.850925997716715</v>
      </c>
      <c r="K15" s="379">
        <f>100*'62'!B22/'62'!$B$11</f>
        <v>116.7940121627943</v>
      </c>
      <c r="L15" s="380"/>
      <c r="M15" s="381">
        <f>100*'62'!D22/'62'!$D$11</f>
        <v>118.75</v>
      </c>
      <c r="N15" s="380"/>
      <c r="O15" s="381">
        <f>100*'62'!F22/'62'!$F$11</f>
        <v>129.66675650152396</v>
      </c>
      <c r="P15" s="380"/>
      <c r="Q15" s="380"/>
      <c r="R15" s="381">
        <f>100*'62'!I22/'62'!$I$11</f>
        <v>86.066756314716983</v>
      </c>
      <c r="S15" s="1043">
        <f>100*'62'!J22/'62'!$J$11</f>
        <v>125.76374745417522</v>
      </c>
      <c r="T15" s="1042"/>
    </row>
    <row r="16" spans="1:20">
      <c r="A16" s="486">
        <f t="shared" si="1"/>
        <v>2000</v>
      </c>
      <c r="B16" s="23">
        <f t="shared" si="2"/>
        <v>81.44852941176471</v>
      </c>
      <c r="C16" s="23">
        <f>100*'62'!C23/'62'!$C$11</f>
        <v>101.11111111111111</v>
      </c>
      <c r="D16" s="23">
        <f t="shared" si="3"/>
        <v>88.888888888888886</v>
      </c>
      <c r="E16" s="329">
        <f>100*'62'!E23/'62'!$E$11</f>
        <v>90.66796727877427</v>
      </c>
      <c r="F16" s="23">
        <f t="shared" si="4"/>
        <v>80.768322739968085</v>
      </c>
      <c r="G16" s="23">
        <f>100*'62'!G23/'62'!$G$11</f>
        <v>99.377913419857904</v>
      </c>
      <c r="H16" s="23">
        <f>100*'62'!H23/'62'!$H$11</f>
        <v>93.521725484443465</v>
      </c>
      <c r="I16" s="23">
        <f t="shared" si="5"/>
        <v>112.76258041286957</v>
      </c>
      <c r="J16" s="23">
        <f t="shared" si="0"/>
        <v>93.568379843459752</v>
      </c>
      <c r="K16" s="379">
        <f>100*'62'!B23/'62'!$B$11</f>
        <v>122.77692516024194</v>
      </c>
      <c r="L16" s="380"/>
      <c r="M16" s="381">
        <f>100*'62'!D23/'62'!$D$11</f>
        <v>112.5</v>
      </c>
      <c r="N16" s="380"/>
      <c r="O16" s="381">
        <f>100*'62'!F23/'62'!$F$11</f>
        <v>123.81091572490355</v>
      </c>
      <c r="P16" s="380"/>
      <c r="Q16" s="380"/>
      <c r="R16" s="381">
        <f>100*'62'!I23/'62'!$I$11</f>
        <v>88.681901064927231</v>
      </c>
      <c r="S16" s="1043">
        <f>100*'62'!J23/'62'!$J$11</f>
        <v>128.0521924250416</v>
      </c>
      <c r="T16" s="1042"/>
    </row>
    <row r="17" spans="1:20">
      <c r="A17" s="486">
        <f t="shared" si="1"/>
        <v>2001</v>
      </c>
      <c r="B17" s="23">
        <f t="shared" si="2"/>
        <v>83.520984665052481</v>
      </c>
      <c r="C17" s="23">
        <f>100*'62'!C24/'62'!$C$11</f>
        <v>105.18518518518519</v>
      </c>
      <c r="D17" s="23">
        <f t="shared" si="3"/>
        <v>101.26582278481013</v>
      </c>
      <c r="E17" s="329">
        <f>100*'62'!E24/'62'!$E$11</f>
        <v>87.242839940314369</v>
      </c>
      <c r="F17" s="23">
        <f t="shared" si="4"/>
        <v>95.870925079591942</v>
      </c>
      <c r="G17" s="23">
        <f>100*'62'!G24/'62'!$G$11</f>
        <v>99.162084952092556</v>
      </c>
      <c r="H17" s="23">
        <f>100*'62'!H24/'62'!$H$11</f>
        <v>93.842729283978542</v>
      </c>
      <c r="I17" s="23">
        <f t="shared" si="5"/>
        <v>120.5314597574545</v>
      </c>
      <c r="J17" s="23">
        <f t="shared" si="0"/>
        <v>98.327753956059965</v>
      </c>
      <c r="K17" s="379">
        <f>100*'62'!B24/'62'!$B$11</f>
        <v>119.73038919624089</v>
      </c>
      <c r="L17" s="380"/>
      <c r="M17" s="381">
        <f>100*'62'!D24/'62'!$D$11</f>
        <v>98.75</v>
      </c>
      <c r="N17" s="380"/>
      <c r="O17" s="381">
        <f>100*'62'!F24/'62'!$F$11</f>
        <v>104.30691048092017</v>
      </c>
      <c r="P17" s="380"/>
      <c r="Q17" s="380"/>
      <c r="R17" s="381">
        <f>100*'62'!I24/'62'!$I$11</f>
        <v>82.965891395682121</v>
      </c>
      <c r="S17" s="1043">
        <f>100*'62'!J24/'62'!$J$11</f>
        <v>130.34063739590798</v>
      </c>
      <c r="T17" s="1042"/>
    </row>
    <row r="18" spans="1:20">
      <c r="A18" s="486">
        <f t="shared" si="1"/>
        <v>2002</v>
      </c>
      <c r="B18" s="23">
        <f t="shared" si="2"/>
        <v>81.76718092566621</v>
      </c>
      <c r="C18" s="23">
        <f>100*'62'!C25/'62'!$C$11</f>
        <v>105</v>
      </c>
      <c r="D18" s="23">
        <f t="shared" si="3"/>
        <v>93.023255813953483</v>
      </c>
      <c r="E18" s="329">
        <f>100*'62'!E25/'62'!$E$11</f>
        <v>82.078155944961267</v>
      </c>
      <c r="F18" s="23">
        <f t="shared" si="4"/>
        <v>94.244385394996357</v>
      </c>
      <c r="G18" s="23">
        <f>100*'62'!G25/'62'!$G$11</f>
        <v>100.1323955503635</v>
      </c>
      <c r="H18" s="23">
        <f>100*'62'!H25/'62'!$H$11</f>
        <v>91.341634582397049</v>
      </c>
      <c r="I18" s="23">
        <f t="shared" si="5"/>
        <v>117.74344843531615</v>
      </c>
      <c r="J18" s="23">
        <f t="shared" si="0"/>
        <v>95.666307080956756</v>
      </c>
      <c r="K18" s="379">
        <f>100*'62'!B25/'62'!$B$11</f>
        <v>122.2984562607204</v>
      </c>
      <c r="L18" s="380"/>
      <c r="M18" s="381">
        <f>100*'62'!D25/'62'!$D$11</f>
        <v>107.5</v>
      </c>
      <c r="N18" s="380"/>
      <c r="O18" s="381">
        <f>100*'62'!F25/'62'!$F$11</f>
        <v>106.1071167060836</v>
      </c>
      <c r="P18" s="380"/>
      <c r="Q18" s="380"/>
      <c r="R18" s="381">
        <f>100*'62'!I25/'62'!$I$11</f>
        <v>84.930415516865267</v>
      </c>
      <c r="S18" s="1043">
        <f>100*'62'!J25/'62'!$J$11</f>
        <v>132.62908236677438</v>
      </c>
      <c r="T18" s="1042"/>
    </row>
    <row r="19" spans="1:20">
      <c r="A19" s="486">
        <f t="shared" si="1"/>
        <v>2003</v>
      </c>
      <c r="B19" s="23">
        <f t="shared" si="2"/>
        <v>83.641636141636141</v>
      </c>
      <c r="C19" s="23">
        <f>100*'62'!C26/'62'!$C$11</f>
        <v>105</v>
      </c>
      <c r="D19" s="23">
        <f t="shared" si="3"/>
        <v>94.117647058823536</v>
      </c>
      <c r="E19" s="329">
        <f>100*'62'!E26/'62'!$E$11</f>
        <v>81.563032254590098</v>
      </c>
      <c r="F19" s="23">
        <f t="shared" si="4"/>
        <v>90.636335648068979</v>
      </c>
      <c r="G19" s="23">
        <f>100*'62'!G26/'62'!$G$11</f>
        <v>101.23694427008145</v>
      </c>
      <c r="H19" s="23">
        <f>100*'62'!H26/'62'!$H$11</f>
        <v>88.999870033876419</v>
      </c>
      <c r="I19" s="23">
        <f t="shared" si="5"/>
        <v>116.42352155528935</v>
      </c>
      <c r="J19" s="23">
        <f t="shared" si="0"/>
        <v>95.202373370295746</v>
      </c>
      <c r="K19" s="379">
        <f>100*'62'!B26/'62'!$B$11</f>
        <v>119.55768037662858</v>
      </c>
      <c r="L19" s="380"/>
      <c r="M19" s="381">
        <f>100*'62'!D26/'62'!$D$11</f>
        <v>106.25</v>
      </c>
      <c r="N19" s="380"/>
      <c r="O19" s="381">
        <f>100*'62'!F26/'62'!$F$11</f>
        <v>110.33102704889694</v>
      </c>
      <c r="P19" s="380"/>
      <c r="Q19" s="380"/>
      <c r="R19" s="381">
        <f>100*'62'!I26/'62'!$I$11</f>
        <v>85.893296014508678</v>
      </c>
      <c r="S19" s="1043">
        <f>100*'62'!J26/'62'!$J$11</f>
        <v>134.91752733764076</v>
      </c>
      <c r="T19" s="1042"/>
    </row>
    <row r="20" spans="1:20">
      <c r="A20" s="486">
        <f t="shared" si="1"/>
        <v>2004</v>
      </c>
      <c r="B20" s="23">
        <f t="shared" si="2"/>
        <v>80.893101426617164</v>
      </c>
      <c r="C20" s="23">
        <f>100*'62'!C27/'62'!$C$11</f>
        <v>106.29629629629629</v>
      </c>
      <c r="D20" s="23">
        <f t="shared" si="3"/>
        <v>100</v>
      </c>
      <c r="E20" s="329">
        <f>100*'62'!E27/'62'!$E$11</f>
        <v>83.907150480526553</v>
      </c>
      <c r="F20" s="23">
        <f t="shared" si="4"/>
        <v>95.4285950004125</v>
      </c>
      <c r="G20" s="23">
        <f>100*'62'!G27/'62'!$G$11</f>
        <v>101.6474092204878</v>
      </c>
      <c r="H20" s="23">
        <f>100*'62'!H27/'62'!$H$11</f>
        <v>88.061392162266884</v>
      </c>
      <c r="I20" s="23">
        <f t="shared" si="5"/>
        <v>112.69910779503124</v>
      </c>
      <c r="J20" s="23">
        <f t="shared" si="0"/>
        <v>96.116631547704799</v>
      </c>
      <c r="K20" s="379">
        <f>100*'62'!B27/'62'!$B$11</f>
        <v>123.6199357379267</v>
      </c>
      <c r="L20" s="380"/>
      <c r="M20" s="381">
        <f>100*'62'!D27/'62'!$D$11</f>
        <v>100</v>
      </c>
      <c r="N20" s="380"/>
      <c r="O20" s="381">
        <f>100*'62'!F27/'62'!$F$11</f>
        <v>104.79039327736905</v>
      </c>
      <c r="P20" s="380"/>
      <c r="Q20" s="380"/>
      <c r="R20" s="381">
        <f>100*'62'!I27/'62'!$I$11</f>
        <v>88.731847089572852</v>
      </c>
      <c r="S20" s="1043">
        <f>100*'62'!J27/'62'!$J$11</f>
        <v>137.20597230850714</v>
      </c>
      <c r="T20" s="1042"/>
    </row>
    <row r="21" spans="1:20">
      <c r="A21" s="486">
        <f t="shared" si="1"/>
        <v>2005</v>
      </c>
      <c r="B21" s="23">
        <f t="shared" si="2"/>
        <v>83.741450068399459</v>
      </c>
      <c r="C21" s="23">
        <f>100*'62'!C28/'62'!$C$11</f>
        <v>108.14814814814815</v>
      </c>
      <c r="D21" s="23">
        <f t="shared" si="3"/>
        <v>108.10810810810811</v>
      </c>
      <c r="E21" s="329">
        <f>100*'62'!E28/'62'!$E$11</f>
        <v>83.078805637980764</v>
      </c>
      <c r="F21" s="23">
        <f t="shared" si="4"/>
        <v>94.298360425389077</v>
      </c>
      <c r="G21" s="23">
        <f>100*'62'!G28/'62'!$G$11</f>
        <v>101.62069233348836</v>
      </c>
      <c r="H21" s="23">
        <f>100*'62'!H28/'62'!$H$11</f>
        <v>88.158505357510535</v>
      </c>
      <c r="I21" s="23">
        <f t="shared" si="5"/>
        <v>110.76328727005539</v>
      </c>
      <c r="J21" s="23">
        <f t="shared" si="0"/>
        <v>97.239669668634974</v>
      </c>
      <c r="K21" s="379">
        <f>100*'62'!B28/'62'!$B$11</f>
        <v>119.41517601894959</v>
      </c>
      <c r="L21" s="380"/>
      <c r="M21" s="381">
        <f>100*'62'!D28/'62'!$D$11</f>
        <v>92.5</v>
      </c>
      <c r="N21" s="380"/>
      <c r="O21" s="381">
        <f>100*'62'!F28/'62'!$F$11</f>
        <v>106.04638251279266</v>
      </c>
      <c r="P21" s="380"/>
      <c r="Q21" s="380"/>
      <c r="R21" s="381">
        <f>100*'62'!I28/'62'!$I$11</f>
        <v>90.282622035392393</v>
      </c>
      <c r="S21" s="1043">
        <f>100*'62'!J28/'62'!$J$11</f>
        <v>139.49441727937358</v>
      </c>
      <c r="T21" s="1042"/>
    </row>
    <row r="22" spans="1:20">
      <c r="A22" s="486">
        <v>2006</v>
      </c>
      <c r="B22" s="23">
        <f t="shared" si="2"/>
        <v>85.279255319148945</v>
      </c>
      <c r="C22" s="23">
        <f>100*'62'!C29/'62'!$C$11</f>
        <v>110.37037037037037</v>
      </c>
      <c r="D22" s="23">
        <f t="shared" si="3"/>
        <v>114.28571428571429</v>
      </c>
      <c r="E22" s="329">
        <f>100*'62'!E29/'62'!$E$11</f>
        <v>85.278834181342972</v>
      </c>
      <c r="F22" s="23">
        <f t="shared" si="4"/>
        <v>104.65326476546674</v>
      </c>
      <c r="G22" s="23">
        <f>100*'62'!G29/'62'!$G$11</f>
        <v>102.09600255398546</v>
      </c>
      <c r="H22" s="23">
        <f>100*'62'!H29/'62'!$H$11</f>
        <v>87.454292188853969</v>
      </c>
      <c r="I22" s="23">
        <f t="shared" si="5"/>
        <v>100.78970356525724</v>
      </c>
      <c r="J22" s="23">
        <f t="shared" si="0"/>
        <v>98.775929653767506</v>
      </c>
      <c r="K22" s="379">
        <f>100*'62'!B29/'62'!$B$11</f>
        <v>117.26181194448775</v>
      </c>
      <c r="L22" s="380"/>
      <c r="M22" s="381">
        <f>100*'62'!D29/'62'!$D$11</f>
        <v>87.5</v>
      </c>
      <c r="N22" s="380"/>
      <c r="O22" s="381">
        <f>100*'62'!F29/'62'!$F$11</f>
        <v>95.55363630948834</v>
      </c>
      <c r="P22" s="380"/>
      <c r="Q22" s="380"/>
      <c r="R22" s="381">
        <f>100*'62'!I29/'62'!$I$11</f>
        <v>99.216483889402511</v>
      </c>
      <c r="S22" s="1043">
        <f>100*'62'!J29/'62'!$J$11</f>
        <v>139.49441727937358</v>
      </c>
      <c r="T22" s="1042"/>
    </row>
    <row r="23" spans="1:20">
      <c r="A23" s="486">
        <v>2007</v>
      </c>
      <c r="B23" s="23">
        <f t="shared" si="2"/>
        <v>85.735294117647072</v>
      </c>
      <c r="C23" s="23">
        <f>100*'62'!C30/'62'!$C$11</f>
        <v>114.44444444444444</v>
      </c>
      <c r="D23" s="23">
        <f t="shared" si="3"/>
        <v>137.93103448275863</v>
      </c>
      <c r="E23" s="329">
        <f>100*'62'!E30/'62'!$E$11</f>
        <v>85.974640768924715</v>
      </c>
      <c r="F23" s="23">
        <f t="shared" si="4"/>
        <v>122.61873206634328</v>
      </c>
      <c r="G23" s="23">
        <f>100*'62'!G30/'62'!$G$11</f>
        <v>103.01363761972192</v>
      </c>
      <c r="H23" s="23">
        <f>100*'62'!H30/'62'!$H$11</f>
        <v>86.777787703881373</v>
      </c>
      <c r="I23" s="23">
        <f t="shared" si="5"/>
        <v>91.973567489670813</v>
      </c>
      <c r="J23" s="23">
        <f t="shared" si="0"/>
        <v>103.55864233667404</v>
      </c>
      <c r="K23" s="379">
        <f>100*'62'!B30/'62'!$B$11</f>
        <v>116.63807890222982</v>
      </c>
      <c r="L23" s="380"/>
      <c r="M23" s="381">
        <f>100*'62'!D30/'62'!$D$11</f>
        <v>72.5</v>
      </c>
      <c r="N23" s="380"/>
      <c r="O23" s="381">
        <f>100*'62'!F30/'62'!$F$11</f>
        <v>81.553607931530934</v>
      </c>
      <c r="P23" s="380"/>
      <c r="Q23" s="380"/>
      <c r="R23" s="381">
        <f>100*'62'!I30/'62'!$I$11</f>
        <v>108.7268904853893</v>
      </c>
      <c r="S23" s="1043">
        <f>100*'62'!J30/'62'!$J$11</f>
        <v>139.49441727937358</v>
      </c>
      <c r="T23" s="1042"/>
    </row>
    <row r="24" spans="1:20" s="739" customFormat="1">
      <c r="A24" s="486">
        <v>2008</v>
      </c>
      <c r="B24" s="1163">
        <f>10000/K24</f>
        <v>85.735294117647072</v>
      </c>
      <c r="C24" s="1163">
        <f>100*'62'!C31/'62'!$C$11</f>
        <v>114.44444444444444</v>
      </c>
      <c r="D24" s="1163">
        <f>10000/M24</f>
        <v>137.93103448275863</v>
      </c>
      <c r="E24" s="329">
        <f>100*'62'!E31/'62'!$E$11</f>
        <v>85.305543712967918</v>
      </c>
      <c r="F24" s="23">
        <f>10000/O24</f>
        <v>129.01125749753814</v>
      </c>
      <c r="G24" s="23">
        <f>100*'62'!G31/'62'!$G$11</f>
        <v>103.1555170240092</v>
      </c>
      <c r="H24" s="23">
        <f>100*'62'!H31/'62'!$H$11</f>
        <v>88.733560416885709</v>
      </c>
      <c r="I24" s="23">
        <f>10000/R24</f>
        <v>91.305293358654865</v>
      </c>
      <c r="J24" s="23">
        <f t="shared" si="0"/>
        <v>104.45274313186323</v>
      </c>
      <c r="K24" s="379">
        <f>100*'62'!B31/'62'!$B$11</f>
        <v>116.63807890222982</v>
      </c>
      <c r="L24" s="380"/>
      <c r="M24" s="381">
        <f>100*'62'!D31/'62'!$D$11</f>
        <v>72.5</v>
      </c>
      <c r="N24" s="380"/>
      <c r="O24" s="381">
        <f>100*'62'!F31/'62'!$F$11</f>
        <v>77.512615518772265</v>
      </c>
      <c r="P24" s="380"/>
      <c r="Q24" s="380"/>
      <c r="R24" s="381">
        <f>100*'62'!I31/'62'!$I$11</f>
        <v>109.52267532528656</v>
      </c>
      <c r="S24" s="1043">
        <f>100*'62'!J31/'62'!$J$11</f>
        <v>139.49441727937358</v>
      </c>
      <c r="T24" s="1042"/>
    </row>
    <row r="25" spans="1:20">
      <c r="A25" s="382"/>
      <c r="B25" s="376"/>
      <c r="C25" s="376"/>
      <c r="D25" s="376"/>
      <c r="E25" s="376"/>
      <c r="F25" s="376"/>
      <c r="G25" s="376"/>
      <c r="H25" s="376"/>
      <c r="I25" s="376"/>
      <c r="J25" s="376"/>
      <c r="O25" s="644"/>
      <c r="R25" s="644"/>
      <c r="S25" s="1043"/>
      <c r="T25" s="1042"/>
    </row>
    <row r="26" spans="1:20">
      <c r="A26" s="383" t="s">
        <v>407</v>
      </c>
      <c r="B26" s="241"/>
      <c r="C26" s="132"/>
      <c r="D26" s="241"/>
      <c r="E26" s="132"/>
      <c r="F26" s="241"/>
      <c r="G26" s="132"/>
      <c r="H26" s="132"/>
      <c r="I26" s="241"/>
      <c r="J26" s="132"/>
      <c r="S26" s="1042"/>
      <c r="T26" s="1042"/>
    </row>
    <row r="27" spans="1:20">
      <c r="A27" s="486" t="s">
        <v>416</v>
      </c>
      <c r="B27" s="23">
        <f t="shared" ref="B27:J27" si="6">100*(B16/B4)^(1/12)-100</f>
        <v>-1.6954535213999975</v>
      </c>
      <c r="C27" s="23">
        <f t="shared" si="6"/>
        <v>9.2124376681752551E-2</v>
      </c>
      <c r="D27" s="23">
        <f t="shared" si="6"/>
        <v>-0.97672405888805258</v>
      </c>
      <c r="E27" s="23">
        <f t="shared" si="6"/>
        <v>-0.81306049920128487</v>
      </c>
      <c r="F27" s="23">
        <f t="shared" si="6"/>
        <v>-1.7641315891733456</v>
      </c>
      <c r="G27" s="23">
        <f t="shared" si="6"/>
        <v>-5.1988947817505959E-2</v>
      </c>
      <c r="H27" s="23">
        <f t="shared" si="6"/>
        <v>-0.55658213157035163</v>
      </c>
      <c r="I27" s="23">
        <f t="shared" si="6"/>
        <v>1.005979325420185</v>
      </c>
      <c r="J27" s="23">
        <f t="shared" si="6"/>
        <v>-0.55244903803605894</v>
      </c>
      <c r="S27" s="1042"/>
      <c r="T27" s="1042"/>
    </row>
    <row r="28" spans="1:20">
      <c r="A28" s="486" t="s">
        <v>1495</v>
      </c>
      <c r="B28" s="23">
        <f t="shared" ref="B28:J28" si="7">100*(B23/B16)^(1/7)-100</f>
        <v>0.73545261386382776</v>
      </c>
      <c r="C28" s="23">
        <f t="shared" si="7"/>
        <v>1.7853135709336385</v>
      </c>
      <c r="D28" s="23">
        <f t="shared" si="7"/>
        <v>6.4778360912006576</v>
      </c>
      <c r="E28" s="23">
        <f t="shared" si="7"/>
        <v>-0.75643515536548023</v>
      </c>
      <c r="F28" s="23">
        <f t="shared" si="7"/>
        <v>6.1456622452802634</v>
      </c>
      <c r="G28" s="23">
        <f t="shared" si="7"/>
        <v>0.51462672857122982</v>
      </c>
      <c r="H28" s="23">
        <f t="shared" si="7"/>
        <v>-1.0634913785952165</v>
      </c>
      <c r="I28" s="23">
        <f t="shared" si="7"/>
        <v>-2.8692234315823839</v>
      </c>
      <c r="J28" s="23">
        <f t="shared" si="7"/>
        <v>1.4597741445025321</v>
      </c>
      <c r="S28" s="1042"/>
      <c r="T28" s="1042"/>
    </row>
    <row r="29" spans="1:20">
      <c r="A29" s="486" t="s">
        <v>1847</v>
      </c>
      <c r="B29" s="23">
        <f>100*(B24/B16)^(1/8)-100</f>
        <v>0.64322605023947688</v>
      </c>
      <c r="C29" s="23">
        <f t="shared" ref="C29:J29" si="8">100*(C24/C16)^(1/8)-100</f>
        <v>1.5604178558413082</v>
      </c>
      <c r="D29" s="23">
        <f t="shared" si="8"/>
        <v>5.6456974278680434</v>
      </c>
      <c r="E29" s="23">
        <f t="shared" si="8"/>
        <v>-0.75916218802458957</v>
      </c>
      <c r="F29" s="23">
        <f t="shared" si="8"/>
        <v>6.0286710418295826</v>
      </c>
      <c r="G29" s="23">
        <f t="shared" si="8"/>
        <v>0.46743701371818247</v>
      </c>
      <c r="H29" s="23">
        <f t="shared" si="8"/>
        <v>-0.65479172179226452</v>
      </c>
      <c r="I29" s="23">
        <f t="shared" si="8"/>
        <v>-2.603944423151745</v>
      </c>
      <c r="J29" s="23">
        <f t="shared" si="8"/>
        <v>1.3850319895964276</v>
      </c>
    </row>
    <row r="30" spans="1:20">
      <c r="A30" s="486" t="s">
        <v>1497</v>
      </c>
      <c r="B30" s="23">
        <f t="shared" ref="B30:J30" si="9">100*(B23/B4)^(1/19)-100</f>
        <v>-0.80675763705708903</v>
      </c>
      <c r="C30" s="23">
        <f t="shared" si="9"/>
        <v>0.71262887344136061</v>
      </c>
      <c r="D30" s="23">
        <f t="shared" si="9"/>
        <v>1.7069500935927806</v>
      </c>
      <c r="E30" s="23">
        <f t="shared" si="9"/>
        <v>-0.7922022903040471</v>
      </c>
      <c r="F30" s="23">
        <f t="shared" si="9"/>
        <v>1.0789880444402371</v>
      </c>
      <c r="G30" s="23">
        <f t="shared" si="9"/>
        <v>0.15639162514811744</v>
      </c>
      <c r="H30" s="23">
        <f t="shared" si="9"/>
        <v>-0.74363963213508555</v>
      </c>
      <c r="I30" s="23">
        <f t="shared" si="9"/>
        <v>-0.43939477202974331</v>
      </c>
      <c r="J30" s="23">
        <f t="shared" si="9"/>
        <v>0.18421082263337496</v>
      </c>
    </row>
    <row r="31" spans="1:20">
      <c r="A31" s="486" t="s">
        <v>1849</v>
      </c>
      <c r="B31" s="23">
        <f>100*(B24/B4)^(1/20)-100</f>
        <v>-0.76657477224205195</v>
      </c>
      <c r="C31" s="23">
        <f t="shared" ref="C31:J31" si="10">100*(C24/C4)^(1/20)-100</f>
        <v>0.67687711752695634</v>
      </c>
      <c r="D31" s="23">
        <f t="shared" si="10"/>
        <v>1.6209146886712062</v>
      </c>
      <c r="E31" s="23">
        <f t="shared" si="10"/>
        <v>-0.79150468832182241</v>
      </c>
      <c r="F31" s="23">
        <f t="shared" si="10"/>
        <v>1.2817928431998666</v>
      </c>
      <c r="G31" s="23">
        <f t="shared" si="10"/>
        <v>0.15545839921824722</v>
      </c>
      <c r="H31" s="23">
        <f t="shared" si="10"/>
        <v>-0.59587761272199202</v>
      </c>
      <c r="I31" s="23">
        <f t="shared" si="10"/>
        <v>-0.45377443074872303</v>
      </c>
      <c r="J31" s="23">
        <f t="shared" si="10"/>
        <v>0.21806022775732004</v>
      </c>
    </row>
    <row r="32" spans="1:20">
      <c r="A32" s="242"/>
      <c r="B32" s="23"/>
      <c r="C32" s="23"/>
      <c r="D32" s="23"/>
      <c r="E32" s="23"/>
      <c r="F32" s="23"/>
      <c r="G32" s="23"/>
      <c r="H32" s="23"/>
      <c r="I32" s="23"/>
      <c r="J32" s="23"/>
    </row>
    <row r="33" spans="1:10">
      <c r="A33" s="242" t="s">
        <v>1022</v>
      </c>
      <c r="B33" s="23"/>
      <c r="C33" s="23"/>
      <c r="D33" s="23"/>
      <c r="E33" s="23"/>
      <c r="F33" s="23"/>
      <c r="G33" s="23"/>
      <c r="H33" s="23"/>
      <c r="I33" s="23"/>
      <c r="J33" s="23"/>
    </row>
    <row r="34" spans="1:10">
      <c r="A34" s="2" t="s">
        <v>1497</v>
      </c>
      <c r="B34" s="23">
        <f t="shared" ref="B34:J34" si="11">100*(B23-B4)/B4</f>
        <v>-14.264705882352928</v>
      </c>
      <c r="C34" s="23">
        <f t="shared" si="11"/>
        <v>14.444444444444443</v>
      </c>
      <c r="D34" s="23">
        <f t="shared" si="11"/>
        <v>37.931034482758633</v>
      </c>
      <c r="E34" s="23">
        <f t="shared" si="11"/>
        <v>-14.025359231075285</v>
      </c>
      <c r="F34" s="23">
        <f t="shared" si="11"/>
        <v>22.618732066343281</v>
      </c>
      <c r="G34" s="23">
        <f t="shared" si="11"/>
        <v>3.0136376197219192</v>
      </c>
      <c r="H34" s="23">
        <f t="shared" si="11"/>
        <v>-13.22221229611864</v>
      </c>
      <c r="I34" s="23">
        <f t="shared" si="11"/>
        <v>-8.0264325103291867</v>
      </c>
      <c r="J34" s="23">
        <f t="shared" si="11"/>
        <v>3.5586423366740405</v>
      </c>
    </row>
    <row r="35" spans="1:10">
      <c r="A35" s="2" t="s">
        <v>1849</v>
      </c>
      <c r="B35" s="23">
        <f>100*(B24-B4)/B4</f>
        <v>-14.264705882352928</v>
      </c>
      <c r="C35" s="23">
        <f t="shared" ref="C35:J35" si="12">100*(C24-C4)/C4</f>
        <v>14.444444444444443</v>
      </c>
      <c r="D35" s="23">
        <f t="shared" si="12"/>
        <v>37.931034482758633</v>
      </c>
      <c r="E35" s="23">
        <f t="shared" si="12"/>
        <v>-14.694456287032082</v>
      </c>
      <c r="F35" s="23">
        <f t="shared" si="12"/>
        <v>29.011257497538139</v>
      </c>
      <c r="G35" s="23">
        <f t="shared" si="12"/>
        <v>3.1555170240091996</v>
      </c>
      <c r="H35" s="23">
        <f t="shared" si="12"/>
        <v>-11.266439583114305</v>
      </c>
      <c r="I35" s="23">
        <f t="shared" si="12"/>
        <v>-8.6947066413451353</v>
      </c>
      <c r="J35" s="23">
        <f t="shared" si="12"/>
        <v>4.4527431318632296</v>
      </c>
    </row>
    <row r="36" spans="1:10">
      <c r="A36" s="242" t="s">
        <v>2293</v>
      </c>
      <c r="B36" s="23"/>
      <c r="C36" s="23"/>
      <c r="D36" s="23"/>
      <c r="E36" s="23"/>
      <c r="F36" s="23"/>
      <c r="G36" s="23"/>
      <c r="H36" s="23"/>
      <c r="I36" s="23"/>
      <c r="J36" s="23"/>
    </row>
    <row r="37" spans="1:10">
      <c r="A37" s="242" t="s">
        <v>417</v>
      </c>
      <c r="B37" s="4"/>
      <c r="C37" s="4"/>
      <c r="D37" s="4"/>
      <c r="E37" s="4"/>
      <c r="F37" s="4"/>
      <c r="G37" s="4"/>
      <c r="H37" s="4"/>
      <c r="I37" s="4"/>
      <c r="J37" s="4"/>
    </row>
    <row r="38" spans="1:10">
      <c r="A38" s="383" t="s">
        <v>418</v>
      </c>
      <c r="B38" s="667"/>
      <c r="C38" s="667"/>
      <c r="D38" s="667"/>
      <c r="E38" s="667"/>
      <c r="F38" s="667"/>
      <c r="G38" s="667"/>
      <c r="H38" s="667"/>
      <c r="I38" s="667"/>
      <c r="J38" s="667"/>
    </row>
  </sheetData>
  <mergeCells count="1">
    <mergeCell ref="A1:J1"/>
  </mergeCells>
  <phoneticPr fontId="0" type="noConversion"/>
  <pageMargins left="0.75" right="0.75" top="1" bottom="1" header="0.5" footer="0.5"/>
  <pageSetup scale="83" orientation="landscape" verticalDpi="0" r:id="rId1"/>
  <headerFooter alignWithMargins="0"/>
  <colBreaks count="1" manualBreakCount="1">
    <brk id="10" max="1048575" man="1"/>
  </colBreaks>
</worksheet>
</file>

<file path=xl/worksheets/sheet202.xml><?xml version="1.0" encoding="utf-8"?>
<worksheet xmlns="http://schemas.openxmlformats.org/spreadsheetml/2006/main" xmlns:r="http://schemas.openxmlformats.org/officeDocument/2006/relationships">
  <sheetPr codeName="Sheet183"/>
  <dimension ref="A1:G44"/>
  <sheetViews>
    <sheetView view="pageBreakPreview" zoomScaleNormal="100"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739"/>
    <col min="2" max="6" width="13" style="739" customWidth="1"/>
    <col min="7" max="16384" width="9.140625" style="739"/>
  </cols>
  <sheetData>
    <row r="1" spans="1:7" ht="15.75">
      <c r="A1" s="40" t="s">
        <v>2246</v>
      </c>
    </row>
    <row r="3" spans="1:7" ht="40.5" customHeight="1">
      <c r="B3" s="732" t="s">
        <v>419</v>
      </c>
      <c r="C3" s="731" t="s">
        <v>423</v>
      </c>
      <c r="D3" s="731" t="s">
        <v>420</v>
      </c>
      <c r="E3" s="731" t="s">
        <v>421</v>
      </c>
      <c r="F3" s="731" t="s">
        <v>422</v>
      </c>
    </row>
    <row r="4" spans="1:7">
      <c r="A4" s="130">
        <v>1981</v>
      </c>
      <c r="B4" s="737" t="s">
        <v>303</v>
      </c>
      <c r="C4" s="737">
        <v>4757</v>
      </c>
      <c r="D4" s="737">
        <v>8213</v>
      </c>
      <c r="E4" s="737">
        <v>2321</v>
      </c>
      <c r="F4" s="737">
        <v>818</v>
      </c>
    </row>
    <row r="5" spans="1:7">
      <c r="A5" s="130">
        <v>1982</v>
      </c>
      <c r="B5" s="737" t="s">
        <v>303</v>
      </c>
      <c r="C5" s="737">
        <v>8454</v>
      </c>
      <c r="D5" s="737">
        <v>9304</v>
      </c>
      <c r="E5" s="737">
        <v>2873</v>
      </c>
      <c r="F5" s="737">
        <v>995</v>
      </c>
    </row>
    <row r="6" spans="1:7">
      <c r="A6" s="130">
        <v>1983</v>
      </c>
      <c r="B6" s="737" t="s">
        <v>303</v>
      </c>
      <c r="C6" s="737">
        <v>10062</v>
      </c>
      <c r="D6" s="737">
        <v>10137</v>
      </c>
      <c r="E6" s="737">
        <v>3485</v>
      </c>
      <c r="F6" s="737">
        <v>1211</v>
      </c>
    </row>
    <row r="7" spans="1:7">
      <c r="A7" s="130">
        <v>1984</v>
      </c>
      <c r="B7" s="737" t="s">
        <v>303</v>
      </c>
      <c r="C7" s="737">
        <v>9859</v>
      </c>
      <c r="D7" s="737">
        <v>10999</v>
      </c>
      <c r="E7" s="737">
        <v>4045</v>
      </c>
      <c r="F7" s="737">
        <v>1544</v>
      </c>
    </row>
    <row r="8" spans="1:7">
      <c r="A8" s="130">
        <v>1985</v>
      </c>
      <c r="B8" s="737" t="s">
        <v>303</v>
      </c>
      <c r="C8" s="737">
        <v>10118</v>
      </c>
      <c r="D8" s="737">
        <v>12150</v>
      </c>
      <c r="E8" s="737">
        <v>4676</v>
      </c>
      <c r="F8" s="737">
        <v>1841</v>
      </c>
    </row>
    <row r="9" spans="1:7">
      <c r="A9" s="130">
        <v>1986</v>
      </c>
      <c r="B9" s="737">
        <v>395</v>
      </c>
      <c r="C9" s="737">
        <v>10394</v>
      </c>
      <c r="D9" s="737">
        <v>13148</v>
      </c>
      <c r="E9" s="737">
        <v>5349</v>
      </c>
      <c r="F9" s="737">
        <v>2066</v>
      </c>
    </row>
    <row r="10" spans="1:7">
      <c r="A10" s="130">
        <v>1987</v>
      </c>
      <c r="B10" s="737">
        <v>402</v>
      </c>
      <c r="C10" s="737">
        <v>10369</v>
      </c>
      <c r="D10" s="737">
        <v>14006</v>
      </c>
      <c r="E10" s="737">
        <v>6948</v>
      </c>
      <c r="F10" s="737">
        <v>2329</v>
      </c>
    </row>
    <row r="11" spans="1:7">
      <c r="A11" s="130">
        <v>1988</v>
      </c>
      <c r="B11" s="737">
        <v>351</v>
      </c>
      <c r="C11" s="737">
        <v>10781</v>
      </c>
      <c r="D11" s="737">
        <v>14801</v>
      </c>
      <c r="E11" s="737">
        <v>8095</v>
      </c>
      <c r="F11" s="737">
        <v>2606</v>
      </c>
    </row>
    <row r="12" spans="1:7">
      <c r="A12" s="130">
        <v>1989</v>
      </c>
      <c r="B12" s="737">
        <v>488</v>
      </c>
      <c r="C12" s="737">
        <v>11445</v>
      </c>
      <c r="D12" s="737">
        <v>15718</v>
      </c>
      <c r="E12" s="737">
        <v>9137</v>
      </c>
      <c r="F12" s="737">
        <v>2884</v>
      </c>
      <c r="G12" s="728"/>
    </row>
    <row r="13" spans="1:7">
      <c r="A13" s="130">
        <v>1990</v>
      </c>
      <c r="B13" s="737">
        <v>579</v>
      </c>
      <c r="C13" s="737">
        <v>13119</v>
      </c>
      <c r="D13" s="737">
        <v>16705</v>
      </c>
      <c r="E13" s="737">
        <v>10199</v>
      </c>
      <c r="F13" s="737">
        <v>3170</v>
      </c>
    </row>
    <row r="14" spans="1:7">
      <c r="A14" s="130">
        <v>1991</v>
      </c>
      <c r="B14" s="737">
        <v>598</v>
      </c>
      <c r="C14" s="737">
        <v>17323</v>
      </c>
      <c r="D14" s="737">
        <v>17955</v>
      </c>
      <c r="E14" s="737">
        <v>11298</v>
      </c>
      <c r="F14" s="737">
        <v>3510</v>
      </c>
    </row>
    <row r="15" spans="1:7">
      <c r="A15" s="130">
        <v>1992</v>
      </c>
      <c r="B15" s="737">
        <v>658</v>
      </c>
      <c r="C15" s="737">
        <v>18648</v>
      </c>
      <c r="D15" s="737">
        <v>18776</v>
      </c>
      <c r="E15" s="737">
        <v>12808</v>
      </c>
      <c r="F15" s="737">
        <v>3891</v>
      </c>
    </row>
    <row r="16" spans="1:7">
      <c r="A16" s="130">
        <v>1993</v>
      </c>
      <c r="B16" s="737">
        <v>5252</v>
      </c>
      <c r="C16" s="737">
        <v>17591</v>
      </c>
      <c r="D16" s="737">
        <v>19479</v>
      </c>
      <c r="E16" s="737">
        <v>14058</v>
      </c>
      <c r="F16" s="737">
        <v>4163</v>
      </c>
    </row>
    <row r="17" spans="1:7">
      <c r="A17" s="130">
        <v>1994</v>
      </c>
      <c r="B17" s="737">
        <v>5259</v>
      </c>
      <c r="C17" s="737">
        <v>15012</v>
      </c>
      <c r="D17" s="737">
        <v>20170</v>
      </c>
      <c r="E17" s="737">
        <v>15132</v>
      </c>
      <c r="F17" s="737">
        <v>4433</v>
      </c>
    </row>
    <row r="18" spans="1:7">
      <c r="A18" s="130">
        <v>1995</v>
      </c>
      <c r="B18" s="737">
        <v>5214</v>
      </c>
      <c r="C18" s="737">
        <v>12889</v>
      </c>
      <c r="D18" s="737">
        <v>20622</v>
      </c>
      <c r="E18" s="737">
        <v>15777</v>
      </c>
      <c r="F18" s="737">
        <v>4712</v>
      </c>
    </row>
    <row r="19" spans="1:7">
      <c r="A19" s="130">
        <v>1996</v>
      </c>
      <c r="B19" s="737">
        <v>5228</v>
      </c>
      <c r="C19" s="737">
        <v>11859</v>
      </c>
      <c r="D19" s="737">
        <v>21221</v>
      </c>
      <c r="E19" s="737">
        <v>16559</v>
      </c>
      <c r="F19" s="737">
        <v>5028</v>
      </c>
    </row>
    <row r="20" spans="1:7">
      <c r="A20" s="130">
        <v>1997</v>
      </c>
      <c r="B20" s="737">
        <v>5310</v>
      </c>
      <c r="C20" s="737">
        <v>10874</v>
      </c>
      <c r="D20" s="737">
        <v>21798</v>
      </c>
      <c r="E20" s="737">
        <v>17327</v>
      </c>
      <c r="F20" s="737">
        <v>5285</v>
      </c>
    </row>
    <row r="21" spans="1:7">
      <c r="A21" s="130">
        <v>1998</v>
      </c>
      <c r="B21" s="737">
        <v>5600</v>
      </c>
      <c r="C21" s="737">
        <v>10713</v>
      </c>
      <c r="D21" s="737">
        <v>22398</v>
      </c>
      <c r="E21" s="737">
        <v>18054</v>
      </c>
      <c r="F21" s="737">
        <v>5525</v>
      </c>
    </row>
    <row r="22" spans="1:7">
      <c r="A22" s="130">
        <v>1999</v>
      </c>
      <c r="B22" s="737">
        <v>5939</v>
      </c>
      <c r="C22" s="737">
        <v>10150</v>
      </c>
      <c r="D22" s="737">
        <v>22907</v>
      </c>
      <c r="E22" s="737">
        <v>18540</v>
      </c>
      <c r="F22" s="737">
        <v>5731</v>
      </c>
    </row>
    <row r="23" spans="1:7">
      <c r="A23" s="130">
        <v>2000</v>
      </c>
      <c r="B23" s="737">
        <v>6577</v>
      </c>
      <c r="C23" s="737">
        <v>9615</v>
      </c>
      <c r="D23" s="737">
        <v>23790</v>
      </c>
      <c r="E23" s="737">
        <v>19183</v>
      </c>
      <c r="F23" s="737">
        <v>6003</v>
      </c>
      <c r="G23" s="728"/>
    </row>
    <row r="24" spans="1:7">
      <c r="A24" s="130">
        <v>2001</v>
      </c>
      <c r="B24" s="737">
        <v>7379</v>
      </c>
      <c r="C24" s="737">
        <v>11361</v>
      </c>
      <c r="D24" s="737">
        <v>24789</v>
      </c>
      <c r="E24" s="737">
        <v>20023</v>
      </c>
      <c r="F24" s="737">
        <v>6342</v>
      </c>
    </row>
    <row r="25" spans="1:7">
      <c r="A25" s="130">
        <v>2002</v>
      </c>
      <c r="B25" s="737">
        <v>7824</v>
      </c>
      <c r="C25" s="737">
        <v>12837</v>
      </c>
      <c r="D25" s="737">
        <v>25747</v>
      </c>
      <c r="E25" s="737">
        <v>21076</v>
      </c>
      <c r="F25" s="737">
        <v>6696</v>
      </c>
    </row>
    <row r="26" spans="1:7">
      <c r="A26" s="130">
        <v>2003</v>
      </c>
      <c r="B26" s="737">
        <v>8051</v>
      </c>
      <c r="C26" s="737">
        <v>13361</v>
      </c>
      <c r="D26" s="737">
        <v>26931</v>
      </c>
      <c r="E26" s="737">
        <v>21986</v>
      </c>
      <c r="F26" s="737">
        <v>7027</v>
      </c>
    </row>
    <row r="27" spans="1:7">
      <c r="A27" s="130">
        <v>2004</v>
      </c>
      <c r="B27" s="737">
        <v>8547</v>
      </c>
      <c r="C27" s="737">
        <v>13269</v>
      </c>
      <c r="D27" s="737">
        <v>27992</v>
      </c>
      <c r="E27" s="737">
        <v>23129</v>
      </c>
      <c r="F27" s="737">
        <v>7500</v>
      </c>
    </row>
    <row r="28" spans="1:7">
      <c r="A28" s="130">
        <v>2005</v>
      </c>
      <c r="B28" s="737">
        <v>9174</v>
      </c>
      <c r="C28" s="737">
        <v>12937</v>
      </c>
      <c r="D28" s="737">
        <v>29085</v>
      </c>
      <c r="E28" s="737">
        <v>24225</v>
      </c>
      <c r="F28" s="737">
        <v>7796</v>
      </c>
    </row>
    <row r="29" spans="1:7">
      <c r="A29" s="130">
        <v>2006</v>
      </c>
      <c r="B29" s="737">
        <v>9470</v>
      </c>
      <c r="C29" s="737">
        <v>12498</v>
      </c>
      <c r="D29" s="737">
        <v>30468</v>
      </c>
      <c r="E29" s="737">
        <v>25417</v>
      </c>
      <c r="F29" s="737">
        <v>8244</v>
      </c>
    </row>
    <row r="30" spans="1:7">
      <c r="B30" s="737"/>
      <c r="C30" s="737"/>
      <c r="D30" s="737"/>
      <c r="E30" s="737"/>
      <c r="F30" s="737"/>
    </row>
    <row r="31" spans="1:7">
      <c r="A31" s="739" t="s">
        <v>424</v>
      </c>
    </row>
    <row r="32" spans="1:7">
      <c r="A32" s="2" t="s">
        <v>819</v>
      </c>
      <c r="B32" s="23" t="s">
        <v>303</v>
      </c>
      <c r="C32" s="725">
        <f>100*(C29/C4)^(1/25)-100</f>
        <v>3.9394213645192337</v>
      </c>
      <c r="D32" s="725">
        <f>100*(D29/D4)^(1/25)-100</f>
        <v>5.3837588364388864</v>
      </c>
      <c r="E32" s="725">
        <f>100*(E29/E4)^(1/25)-100</f>
        <v>10.046938735884808</v>
      </c>
      <c r="F32" s="725">
        <f>100*(F29/F4)^(1/25)-100</f>
        <v>9.6820066085082601</v>
      </c>
    </row>
    <row r="33" spans="1:6">
      <c r="A33" s="2" t="s">
        <v>603</v>
      </c>
      <c r="B33" s="23" t="s">
        <v>303</v>
      </c>
      <c r="C33" s="725">
        <f>100*(C12/C4)^(1/8)-100</f>
        <v>11.599007103142881</v>
      </c>
      <c r="D33" s="725">
        <f>100*(D12/D4)^(1/8)-100</f>
        <v>8.4518420037495332</v>
      </c>
      <c r="E33" s="725">
        <f>100*(E12/E4)^(1/8)-100</f>
        <v>18.683695474547179</v>
      </c>
      <c r="F33" s="725">
        <f>100*(F12/F4)^(1/8)-100</f>
        <v>17.059117060753408</v>
      </c>
    </row>
    <row r="34" spans="1:6">
      <c r="A34" s="2" t="s">
        <v>604</v>
      </c>
      <c r="B34" s="23">
        <f>100*(B23/B12)^(1/11)-100</f>
        <v>26.675211528258387</v>
      </c>
      <c r="C34" s="725">
        <f>100*(C23/C12)^(1/11)-100</f>
        <v>-1.5714184604566697</v>
      </c>
      <c r="D34" s="725">
        <f>100*(D23/D12)^(1/11)-100</f>
        <v>3.8396888130026525</v>
      </c>
      <c r="E34" s="725">
        <f>100*(E23/E12)^(1/11)-100</f>
        <v>6.9751714195520549</v>
      </c>
      <c r="F34" s="725">
        <f>100*(F23/F12)^(1/11)-100</f>
        <v>6.8914597345135888</v>
      </c>
    </row>
    <row r="35" spans="1:6">
      <c r="A35" s="2" t="s">
        <v>818</v>
      </c>
      <c r="B35" s="23">
        <f>100*(B29/B23)^(1/6)-100</f>
        <v>6.2642112145408362</v>
      </c>
      <c r="C35" s="23">
        <f>100*(C29/C23)^(1/6)-100</f>
        <v>4.4676612092469554</v>
      </c>
      <c r="D35" s="23">
        <f>100*(D29/D23)^(1/6)-100</f>
        <v>4.2097252350345826</v>
      </c>
      <c r="E35" s="23">
        <f>100*(E29/E23)^(1/6)-100</f>
        <v>4.8016114161441692</v>
      </c>
      <c r="F35" s="23">
        <f>100*(F29/F23)^(1/6)-100</f>
        <v>5.4293688478985587</v>
      </c>
    </row>
    <row r="37" spans="1:6">
      <c r="A37" s="739" t="s">
        <v>425</v>
      </c>
    </row>
    <row r="38" spans="1:6">
      <c r="A38" s="2" t="s">
        <v>819</v>
      </c>
      <c r="B38" s="23" t="s">
        <v>303</v>
      </c>
      <c r="C38" s="23">
        <f>100*(C29/C4-1)</f>
        <v>162.72861046878285</v>
      </c>
      <c r="D38" s="23">
        <f>100*(D29/D4-1)</f>
        <v>270.97284792402291</v>
      </c>
      <c r="E38" s="23">
        <f>100*(E29/E4-1)</f>
        <v>995.08832399827656</v>
      </c>
      <c r="F38" s="23">
        <f>100*(F29/F4-1)</f>
        <v>907.82396088019561</v>
      </c>
    </row>
    <row r="39" spans="1:6">
      <c r="A39" s="2" t="s">
        <v>603</v>
      </c>
      <c r="B39" s="23" t="s">
        <v>303</v>
      </c>
      <c r="C39" s="23">
        <f>100*(C12/C4-1)</f>
        <v>140.59281059491275</v>
      </c>
      <c r="D39" s="23">
        <f>100*(D12/D4-1)</f>
        <v>91.379520272738347</v>
      </c>
      <c r="E39" s="23">
        <f>100*(E12/E4-1)</f>
        <v>293.6665230504093</v>
      </c>
      <c r="F39" s="23">
        <f>100*(F12/F4-1)</f>
        <v>252.56723716381418</v>
      </c>
    </row>
    <row r="40" spans="1:6">
      <c r="A40" s="2" t="s">
        <v>604</v>
      </c>
      <c r="B40" s="23">
        <f>100*(B23/B12-1)</f>
        <v>1247.7459016393443</v>
      </c>
      <c r="C40" s="23">
        <f>100*(C23/C12-1)</f>
        <v>-15.989515072083883</v>
      </c>
      <c r="D40" s="23">
        <f>100*(D23/D12-1)</f>
        <v>51.355134240997579</v>
      </c>
      <c r="E40" s="23">
        <f>100*(E23/E12-1)</f>
        <v>109.94856079676043</v>
      </c>
      <c r="F40" s="23">
        <f>100*(F23/F12-1)</f>
        <v>108.14840499306517</v>
      </c>
    </row>
    <row r="41" spans="1:6">
      <c r="A41" s="2" t="s">
        <v>818</v>
      </c>
      <c r="B41" s="23">
        <f>100*(B29/B23-1)</f>
        <v>43.986620039531708</v>
      </c>
      <c r="C41" s="23">
        <f>100*(C29/C23-1)</f>
        <v>29.984399375975034</v>
      </c>
      <c r="D41" s="23">
        <f>100*(D29/D23-1)</f>
        <v>28.070617906683481</v>
      </c>
      <c r="E41" s="23">
        <f>100*(E29/E23-1)</f>
        <v>32.497523849241517</v>
      </c>
      <c r="F41" s="23">
        <f>100*(F29/F23-1)</f>
        <v>37.331334332833578</v>
      </c>
    </row>
    <row r="43" spans="1:6">
      <c r="A43" s="739" t="s">
        <v>426</v>
      </c>
    </row>
    <row r="44" spans="1:6">
      <c r="A44" s="931" t="s">
        <v>1774</v>
      </c>
    </row>
  </sheetData>
  <phoneticPr fontId="35" type="noConversion"/>
  <pageMargins left="0.75" right="0.75" top="1" bottom="1" header="0.5" footer="0.5"/>
  <pageSetup orientation="portrait" verticalDpi="0" r:id="rId1"/>
  <headerFooter alignWithMargins="0"/>
</worksheet>
</file>

<file path=xl/worksheets/sheet203.xml><?xml version="1.0" encoding="utf-8"?>
<worksheet xmlns="http://schemas.openxmlformats.org/spreadsheetml/2006/main" xmlns:r="http://schemas.openxmlformats.org/officeDocument/2006/relationships">
  <sheetPr codeName="Sheet184"/>
  <dimension ref="A1:H43"/>
  <sheetViews>
    <sheetView view="pageBreakPreview" zoomScaleNormal="100"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739"/>
    <col min="2" max="6" width="13.42578125" style="739" customWidth="1"/>
    <col min="7" max="16384" width="9.140625" style="739"/>
  </cols>
  <sheetData>
    <row r="1" spans="1:6" ht="15.75">
      <c r="A1" s="40" t="s">
        <v>2247</v>
      </c>
    </row>
    <row r="3" spans="1:6" ht="38.25">
      <c r="B3" s="732" t="s">
        <v>419</v>
      </c>
      <c r="C3" s="731" t="s">
        <v>423</v>
      </c>
      <c r="D3" s="731" t="s">
        <v>420</v>
      </c>
      <c r="E3" s="731" t="s">
        <v>421</v>
      </c>
      <c r="F3" s="731" t="s">
        <v>422</v>
      </c>
    </row>
    <row r="4" spans="1:6">
      <c r="A4" s="728">
        <v>1981</v>
      </c>
      <c r="B4" s="41" t="s">
        <v>303</v>
      </c>
      <c r="C4" s="135">
        <f>'[9]64'!C4*(100/'[9]4'!$B5)</f>
        <v>9610.1010101010106</v>
      </c>
      <c r="D4" s="135">
        <f>'[9]64'!D4*(100/'[9]4'!$B5)</f>
        <v>16591.919191919194</v>
      </c>
      <c r="E4" s="135">
        <f>'[9]64'!E4*(100/'[9]4'!$B5)</f>
        <v>4688.8888888888896</v>
      </c>
      <c r="F4" s="135">
        <f>'[9]64'!F4*(100/'[9]4'!$B5)</f>
        <v>1652.5252525252527</v>
      </c>
    </row>
    <row r="5" spans="1:6">
      <c r="A5" s="728">
        <v>1982</v>
      </c>
      <c r="B5" s="41" t="s">
        <v>303</v>
      </c>
      <c r="C5" s="135">
        <f>'[9]64'!C5*(100/'[9]4'!$B6)</f>
        <v>15398.907103825137</v>
      </c>
      <c r="D5" s="135">
        <f>'[9]64'!D5*(100/'[9]4'!$B6)</f>
        <v>16947.176684881604</v>
      </c>
      <c r="E5" s="135">
        <f>'[9]64'!E5*(100/'[9]4'!$B6)</f>
        <v>5233.1511839708555</v>
      </c>
      <c r="F5" s="135">
        <f>'[9]64'!F5*(100/'[9]4'!$B6)</f>
        <v>1812.3861566484518</v>
      </c>
    </row>
    <row r="6" spans="1:6">
      <c r="A6" s="728">
        <v>1983</v>
      </c>
      <c r="B6" s="41" t="s">
        <v>303</v>
      </c>
      <c r="C6" s="135">
        <f>'[9]64'!C6*(100/'[9]4'!$B7)</f>
        <v>17318.416523235799</v>
      </c>
      <c r="D6" s="135">
        <f>'[9]64'!D6*(100/'[9]4'!$B7)</f>
        <v>17447.50430292599</v>
      </c>
      <c r="E6" s="135">
        <f>'[9]64'!E6*(100/'[9]4'!$B7)</f>
        <v>5998.2788296041308</v>
      </c>
      <c r="F6" s="135">
        <f>'[9]64'!F6*(100/'[9]4'!$B7)</f>
        <v>2084.3373493975905</v>
      </c>
    </row>
    <row r="7" spans="1:6">
      <c r="A7" s="728">
        <v>1984</v>
      </c>
      <c r="B7" s="41" t="s">
        <v>303</v>
      </c>
      <c r="C7" s="135">
        <f>'[9]64'!C7*(100/'[9]4'!$B8)</f>
        <v>16268.976897689769</v>
      </c>
      <c r="D7" s="135">
        <f>'[9]64'!D7*(100/'[9]4'!$B8)</f>
        <v>18150.165016501651</v>
      </c>
      <c r="E7" s="135">
        <f>'[9]64'!E7*(100/'[9]4'!$B8)</f>
        <v>6674.9174917491746</v>
      </c>
      <c r="F7" s="135">
        <f>'[9]64'!F7*(100/'[9]4'!$B8)</f>
        <v>2547.8547854785479</v>
      </c>
    </row>
    <row r="8" spans="1:6">
      <c r="A8" s="728">
        <v>1985</v>
      </c>
      <c r="B8" s="41" t="s">
        <v>303</v>
      </c>
      <c r="C8" s="135">
        <f>'[9]64'!C8*(100/'[9]4'!$B9)</f>
        <v>16060.317460317459</v>
      </c>
      <c r="D8" s="135">
        <f>'[9]64'!D8*(100/'[9]4'!$B9)</f>
        <v>19285.714285714286</v>
      </c>
      <c r="E8" s="135">
        <f>'[9]64'!E8*(100/'[9]4'!$B9)</f>
        <v>7422.2222222222217</v>
      </c>
      <c r="F8" s="135">
        <f>'[9]64'!F8*(100/'[9]4'!$B9)</f>
        <v>2922.2222222222222</v>
      </c>
    </row>
    <row r="9" spans="1:6">
      <c r="A9" s="130">
        <v>1986</v>
      </c>
      <c r="B9" s="135">
        <f>'[9]64'!B9*(100/'[9]4'!$B10)</f>
        <v>602.13414634146341</v>
      </c>
      <c r="C9" s="135">
        <f>'[9]64'!C9*(100/'[9]4'!$B10)</f>
        <v>15844.512195121952</v>
      </c>
      <c r="D9" s="135">
        <f>'[9]64'!D9*(100/'[9]4'!$B10)</f>
        <v>20042.682926829268</v>
      </c>
      <c r="E9" s="135">
        <f>'[9]64'!E9*(100/'[9]4'!$B10)</f>
        <v>8153.9634146341468</v>
      </c>
      <c r="F9" s="135">
        <f>'[9]64'!F9*(100/'[9]4'!$B10)</f>
        <v>3149.3902439024391</v>
      </c>
    </row>
    <row r="10" spans="1:6">
      <c r="A10" s="130">
        <v>1987</v>
      </c>
      <c r="B10" s="135">
        <f>'[9]64'!B10*(100/'[9]4'!$B11)</f>
        <v>586.86131386861314</v>
      </c>
      <c r="C10" s="135">
        <f>'[9]64'!C10*(100/'[9]4'!$B11)</f>
        <v>15137.226277372263</v>
      </c>
      <c r="D10" s="135">
        <f>'[9]64'!D10*(100/'[9]4'!$B11)</f>
        <v>20446.715328467155</v>
      </c>
      <c r="E10" s="135">
        <f>'[9]64'!E10*(100/'[9]4'!$B11)</f>
        <v>10143.065693430657</v>
      </c>
      <c r="F10" s="135">
        <f>'[9]64'!F10*(100/'[9]4'!$B11)</f>
        <v>3400</v>
      </c>
    </row>
    <row r="11" spans="1:6">
      <c r="A11" s="130">
        <v>1988</v>
      </c>
      <c r="B11" s="135">
        <f>'[9]64'!B11*(100/'[9]4'!$B12)</f>
        <v>492.97752808988758</v>
      </c>
      <c r="C11" s="135">
        <f>'[9]64'!C11*(100/'[9]4'!$B12)</f>
        <v>15141.853932584268</v>
      </c>
      <c r="D11" s="135">
        <f>'[9]64'!D11*(100/'[9]4'!$B12)</f>
        <v>20787.921348314605</v>
      </c>
      <c r="E11" s="135">
        <f>'[9]64'!E11*(100/'[9]4'!$B12)</f>
        <v>11369.382022471909</v>
      </c>
      <c r="F11" s="135">
        <f>'[9]64'!F11*(100/'[9]4'!$B12)</f>
        <v>3660.1123595505615</v>
      </c>
    </row>
    <row r="12" spans="1:6">
      <c r="A12" s="130">
        <v>1989</v>
      </c>
      <c r="B12" s="135">
        <f>'[9]64'!B12*(100/'[9]4'!$B13)</f>
        <v>652.40641711229944</v>
      </c>
      <c r="C12" s="135">
        <f>'[9]64'!C12*(100/'[9]4'!$B13)</f>
        <v>15300.802139037432</v>
      </c>
      <c r="D12" s="135">
        <f>'[9]64'!D12*(100/'[9]4'!$B13)</f>
        <v>21013.368983957218</v>
      </c>
      <c r="E12" s="135">
        <f>'[9]64'!E12*(100/'[9]4'!$B13)</f>
        <v>12215.240641711231</v>
      </c>
      <c r="F12" s="135">
        <f>'[9]64'!F12*(100/'[9]4'!$B13)</f>
        <v>3855.614973262032</v>
      </c>
    </row>
    <row r="13" spans="1:6">
      <c r="A13" s="130">
        <v>1990</v>
      </c>
      <c r="B13" s="135">
        <f>'[9]64'!B13*(100/'[9]4'!$B14)</f>
        <v>738.5204081632653</v>
      </c>
      <c r="C13" s="135">
        <f>'[9]64'!C13*(100/'[9]4'!$B14)</f>
        <v>16733.418367346938</v>
      </c>
      <c r="D13" s="135">
        <f>'[9]64'!D13*(100/'[9]4'!$B14)</f>
        <v>21307.397959183672</v>
      </c>
      <c r="E13" s="135">
        <f>'[9]64'!E13*(100/'[9]4'!$B14)</f>
        <v>13008.928571428571</v>
      </c>
      <c r="F13" s="135">
        <f>'[9]64'!F13*(100/'[9]4'!$B14)</f>
        <v>4043.3673469387754</v>
      </c>
    </row>
    <row r="14" spans="1:6">
      <c r="A14" s="130">
        <v>1991</v>
      </c>
      <c r="B14" s="135">
        <f>'[9]64'!B14*(100/'[9]4'!$B15)</f>
        <v>722.22222222222229</v>
      </c>
      <c r="C14" s="135">
        <f>'[9]64'!C14*(100/'[9]4'!$B15)</f>
        <v>20921.497584541063</v>
      </c>
      <c r="D14" s="135">
        <f>'[9]64'!D14*(100/'[9]4'!$B15)</f>
        <v>21684.782608695652</v>
      </c>
      <c r="E14" s="135">
        <f>'[9]64'!E14*(100/'[9]4'!$B15)</f>
        <v>13644.927536231884</v>
      </c>
      <c r="F14" s="135">
        <f>'[9]64'!F14*(100/'[9]4'!$B15)</f>
        <v>4239.130434782609</v>
      </c>
    </row>
    <row r="15" spans="1:6">
      <c r="A15" s="130">
        <v>1992</v>
      </c>
      <c r="B15" s="135">
        <f>'[9]64'!B15*(100/'[9]4'!$B16)</f>
        <v>783.33333333333337</v>
      </c>
      <c r="C15" s="135">
        <f>'[9]64'!C15*(100/'[9]4'!$B16)</f>
        <v>22200</v>
      </c>
      <c r="D15" s="135">
        <f>'[9]64'!D15*(100/'[9]4'!$B16)</f>
        <v>22352.38095238095</v>
      </c>
      <c r="E15" s="135">
        <f>'[9]64'!E15*(100/'[9]4'!$B16)</f>
        <v>15247.619047619048</v>
      </c>
      <c r="F15" s="135">
        <f>'[9]64'!F15*(100/'[9]4'!$B16)</f>
        <v>4632.1428571428569</v>
      </c>
    </row>
    <row r="16" spans="1:6">
      <c r="A16" s="130">
        <v>1993</v>
      </c>
      <c r="B16" s="135">
        <f>'[9]64'!B16*(100/'[9]4'!$B17)</f>
        <v>6135.5140186915887</v>
      </c>
      <c r="C16" s="135">
        <f>'[9]64'!C16*(100/'[9]4'!$B17)</f>
        <v>20550.233644859814</v>
      </c>
      <c r="D16" s="135">
        <f>'[9]64'!D16*(100/'[9]4'!$B17)</f>
        <v>22755.841121495327</v>
      </c>
      <c r="E16" s="135">
        <f>'[9]64'!E16*(100/'[9]4'!$B17)</f>
        <v>16422.897196261682</v>
      </c>
      <c r="F16" s="135">
        <f>'[9]64'!F16*(100/'[9]4'!$B17)</f>
        <v>4863.3177570093458</v>
      </c>
    </row>
    <row r="17" spans="1:6">
      <c r="A17" s="130">
        <v>1994</v>
      </c>
      <c r="B17" s="135">
        <f>'[9]64'!B17*(100/'[9]4'!$B18)</f>
        <v>6136.5227537922992</v>
      </c>
      <c r="C17" s="135">
        <f>'[9]64'!C17*(100/'[9]4'!$B18)</f>
        <v>17516.919486581097</v>
      </c>
      <c r="D17" s="135">
        <f>'[9]64'!D17*(100/'[9]4'!$B18)</f>
        <v>23535.589264877479</v>
      </c>
      <c r="E17" s="135">
        <f>'[9]64'!E17*(100/'[9]4'!$B18)</f>
        <v>17656.942823803969</v>
      </c>
      <c r="F17" s="135">
        <f>'[9]64'!F17*(100/'[9]4'!$B18)</f>
        <v>5172.6954492415407</v>
      </c>
    </row>
    <row r="18" spans="1:6">
      <c r="A18" s="130">
        <v>1995</v>
      </c>
      <c r="B18" s="135">
        <f>'[9]64'!B18*(100/'[9]4'!$B19)</f>
        <v>5952.0547945205481</v>
      </c>
      <c r="C18" s="135">
        <f>'[9]64'!C18*(100/'[9]4'!$B19)</f>
        <v>14713.470319634704</v>
      </c>
      <c r="D18" s="135">
        <f>'[9]64'!D18*(100/'[9]4'!$B19)</f>
        <v>23541.095890410961</v>
      </c>
      <c r="E18" s="135">
        <f>'[9]64'!E18*(100/'[9]4'!$B19)</f>
        <v>18010.273972602739</v>
      </c>
      <c r="F18" s="135">
        <f>'[9]64'!F18*(100/'[9]4'!$B19)</f>
        <v>5378.9954337899544</v>
      </c>
    </row>
    <row r="19" spans="1:6">
      <c r="A19" s="130">
        <v>1996</v>
      </c>
      <c r="B19" s="135">
        <f>'[9]64'!B19*(100/'[9]4'!$B20)</f>
        <v>5880.7649043869515</v>
      </c>
      <c r="C19" s="135">
        <f>'[9]64'!C19*(100/'[9]4'!$B20)</f>
        <v>13339.707536557931</v>
      </c>
      <c r="D19" s="135">
        <f>'[9]64'!D19*(100/'[9]4'!$B20)</f>
        <v>23870.64116985377</v>
      </c>
      <c r="E19" s="135">
        <f>'[9]64'!E19*(100/'[9]4'!$B20)</f>
        <v>18626.546681664793</v>
      </c>
      <c r="F19" s="135">
        <f>'[9]64'!F19*(100/'[9]4'!$B20)</f>
        <v>5655.7930258717661</v>
      </c>
    </row>
    <row r="20" spans="1:6">
      <c r="A20" s="130">
        <v>1997</v>
      </c>
      <c r="B20" s="135">
        <f>'[9]64'!B20*(100/'[9]4'!$B21)</f>
        <v>5873.8938053097345</v>
      </c>
      <c r="C20" s="135">
        <f>'[9]64'!C20*(100/'[9]4'!$B21)</f>
        <v>12028.761061946901</v>
      </c>
      <c r="D20" s="135">
        <f>'[9]64'!D20*(100/'[9]4'!$B21)</f>
        <v>24112.831858407077</v>
      </c>
      <c r="E20" s="135">
        <f>'[9]64'!E20*(100/'[9]4'!$B21)</f>
        <v>19167.035398230088</v>
      </c>
      <c r="F20" s="135">
        <f>'[9]64'!F20*(100/'[9]4'!$B21)</f>
        <v>5846.2389380530967</v>
      </c>
    </row>
    <row r="21" spans="1:6">
      <c r="A21" s="130">
        <v>1998</v>
      </c>
      <c r="B21" s="135">
        <f>'[9]64'!B21*(100/'[9]4'!$B22)</f>
        <v>6133.6254107338445</v>
      </c>
      <c r="C21" s="135">
        <f>'[9]64'!C21*(100/'[9]4'!$B22)</f>
        <v>11733.844468784228</v>
      </c>
      <c r="D21" s="135">
        <f>'[9]64'!D21*(100/'[9]4'!$B22)</f>
        <v>24532.311062431545</v>
      </c>
      <c r="E21" s="135">
        <f>'[9]64'!E21*(100/'[9]4'!$B22)</f>
        <v>19774.370208105149</v>
      </c>
      <c r="F21" s="135">
        <f>'[9]64'!F21*(100/'[9]4'!$B22)</f>
        <v>6051.4786418400881</v>
      </c>
    </row>
    <row r="22" spans="1:6">
      <c r="A22" s="130">
        <v>1999</v>
      </c>
      <c r="B22" s="135">
        <f>'[9]64'!B22*(100/'[9]4'!$B23)</f>
        <v>6392.8955866523138</v>
      </c>
      <c r="C22" s="135">
        <f>'[9]64'!C22*(100/'[9]4'!$B23)</f>
        <v>10925.726587728741</v>
      </c>
      <c r="D22" s="135">
        <f>'[9]64'!D22*(100/'[9]4'!$B23)</f>
        <v>24657.696447793325</v>
      </c>
      <c r="E22" s="135">
        <f>'[9]64'!E22*(100/'[9]4'!$B23)</f>
        <v>19956.942949407967</v>
      </c>
      <c r="F22" s="135">
        <f>'[9]64'!F22*(100/'[9]4'!$B23)</f>
        <v>6168.9989235737348</v>
      </c>
    </row>
    <row r="23" spans="1:6">
      <c r="A23" s="130">
        <v>2000</v>
      </c>
      <c r="B23" s="135">
        <f>'[9]64'!B23*(100/'[9]4'!$B24)</f>
        <v>6894.1299790356379</v>
      </c>
      <c r="C23" s="135">
        <f>'[9]64'!C23*(100/'[9]4'!$B24)</f>
        <v>10078.616352201256</v>
      </c>
      <c r="D23" s="135">
        <f>'[9]64'!D23*(100/'[9]4'!$B24)</f>
        <v>24937.106918238991</v>
      </c>
      <c r="E23" s="135">
        <f>'[9]64'!E23*(100/'[9]4'!$B24)</f>
        <v>20107.966457023056</v>
      </c>
      <c r="F23" s="135">
        <f>'[9]64'!F23*(100/'[9]4'!$B24)</f>
        <v>6292.4528301886785</v>
      </c>
    </row>
    <row r="24" spans="1:6">
      <c r="A24" s="130">
        <v>2001</v>
      </c>
      <c r="B24" s="135">
        <f>'[9]64'!B24*(100/'[9]4'!$B25)</f>
        <v>7544.9897750511245</v>
      </c>
      <c r="C24" s="135">
        <f>'[9]64'!C24*(100/'[9]4'!$B25)</f>
        <v>11616.564417177915</v>
      </c>
      <c r="D24" s="135">
        <f>'[9]64'!D24*(100/'[9]4'!$B25)</f>
        <v>25346.625766871166</v>
      </c>
      <c r="E24" s="135">
        <f>'[9]64'!E24*(100/'[9]4'!$B25)</f>
        <v>20473.415132924336</v>
      </c>
      <c r="F24" s="135">
        <f>'[9]64'!F24*(100/'[9]4'!$B25)</f>
        <v>6484.6625766871166</v>
      </c>
    </row>
    <row r="25" spans="1:6">
      <c r="A25" s="130">
        <v>2002</v>
      </c>
      <c r="B25" s="135">
        <f>'[9]64'!B25*(100/'[9]4'!$B26)</f>
        <v>7824</v>
      </c>
      <c r="C25" s="135">
        <f>'[9]64'!C25*(100/'[9]4'!$B26)</f>
        <v>12837</v>
      </c>
      <c r="D25" s="135">
        <f>'[9]64'!D25*(100/'[9]4'!$B26)</f>
        <v>25747</v>
      </c>
      <c r="E25" s="135">
        <f>'[9]64'!E25*(100/'[9]4'!$B26)</f>
        <v>21076</v>
      </c>
      <c r="F25" s="135">
        <f>'[9]64'!F25*(100/'[9]4'!$B26)</f>
        <v>6696</v>
      </c>
    </row>
    <row r="26" spans="1:6">
      <c r="A26" s="130">
        <v>2003</v>
      </c>
      <c r="B26" s="135">
        <f>'[9]64'!B26*(100/'[9]4'!$B27)</f>
        <v>7831.7120622568091</v>
      </c>
      <c r="C26" s="135">
        <f>'[9]64'!C26*(100/'[9]4'!$B27)</f>
        <v>12997.081712062256</v>
      </c>
      <c r="D26" s="135">
        <f>'[9]64'!D26*(100/'[9]4'!$B27)</f>
        <v>26197.470817120622</v>
      </c>
      <c r="E26" s="135">
        <f>'[9]64'!E26*(100/'[9]4'!$B27)</f>
        <v>21387.159533073929</v>
      </c>
      <c r="F26" s="135">
        <f>'[9]64'!F26*(100/'[9]4'!$B27)</f>
        <v>6835.6031128404666</v>
      </c>
    </row>
    <row r="27" spans="1:6">
      <c r="A27" s="130">
        <v>2004</v>
      </c>
      <c r="B27" s="135">
        <f>'[9]64'!B27*(100/'[9]4'!$B28)</f>
        <v>8163.3237822349574</v>
      </c>
      <c r="C27" s="135">
        <f>'[9]64'!C27*(100/'[9]4'!$B28)</f>
        <v>12673.352435530087</v>
      </c>
      <c r="D27" s="135">
        <f>'[9]64'!D27*(100/'[9]4'!$B28)</f>
        <v>26735.434574976123</v>
      </c>
      <c r="E27" s="135">
        <f>'[9]64'!E27*(100/'[9]4'!$B28)</f>
        <v>22090.735434574977</v>
      </c>
      <c r="F27" s="135">
        <f>'[9]64'!F27*(100/'[9]4'!$B28)</f>
        <v>7163.3237822349574</v>
      </c>
    </row>
    <row r="28" spans="1:6">
      <c r="A28" s="130">
        <v>2005</v>
      </c>
      <c r="B28" s="135">
        <f>'[9]64'!B28*(100/'[9]4'!$B29)</f>
        <v>8573.8317757009354</v>
      </c>
      <c r="C28" s="135">
        <f>'[9]64'!C28*(100/'[9]4'!$B29)</f>
        <v>12090.654205607476</v>
      </c>
      <c r="D28" s="135">
        <f>'[9]64'!D28*(100/'[9]4'!$B29)</f>
        <v>27182.242990654206</v>
      </c>
      <c r="E28" s="135">
        <f>'[9]64'!E28*(100/'[9]4'!$B29)</f>
        <v>22640.186915887851</v>
      </c>
      <c r="F28" s="135">
        <f>'[9]64'!F28*(100/'[9]4'!$B29)</f>
        <v>7285.9813084112147</v>
      </c>
    </row>
    <row r="29" spans="1:6">
      <c r="A29" s="130">
        <v>2006</v>
      </c>
      <c r="B29" s="135">
        <f>'[9]64'!B29*(100/'[9]4'!$B30)</f>
        <v>8680.1099908340984</v>
      </c>
      <c r="C29" s="135">
        <f>'[9]64'!C29*(100/'[9]4'!$B30)</f>
        <v>11455.545371219067</v>
      </c>
      <c r="D29" s="135">
        <f>'[9]64'!D29*(100/'[9]4'!$B30)</f>
        <v>27926.672777268563</v>
      </c>
      <c r="E29" s="135">
        <f>'[9]64'!E29*(100/'[9]4'!$B30)</f>
        <v>23296.97525206233</v>
      </c>
      <c r="F29" s="135">
        <f>'[9]64'!F29*(100/'[9]4'!$B30)</f>
        <v>7556.3703024747947</v>
      </c>
    </row>
    <row r="30" spans="1:6">
      <c r="B30" s="23"/>
      <c r="C30" s="23"/>
      <c r="D30" s="23"/>
      <c r="E30" s="23"/>
      <c r="F30" s="23"/>
    </row>
    <row r="31" spans="1:6">
      <c r="A31" s="739" t="s">
        <v>424</v>
      </c>
    </row>
    <row r="32" spans="1:6">
      <c r="A32" s="2" t="s">
        <v>819</v>
      </c>
      <c r="B32" s="23" t="s">
        <v>303</v>
      </c>
      <c r="C32" s="725">
        <f>100*(C29/C4)^(1/25)-100</f>
        <v>0.70511104695529525</v>
      </c>
      <c r="D32" s="725">
        <f>100*(D29/D4)^(1/25)-100</f>
        <v>2.104504689804628</v>
      </c>
      <c r="E32" s="725">
        <f>100*(E29/E4)^(1/25)-100</f>
        <v>6.6225791935937934</v>
      </c>
      <c r="F32" s="725">
        <f>100*(F29/F4)^(1/25)-100</f>
        <v>6.2690027552261682</v>
      </c>
    </row>
    <row r="33" spans="1:8">
      <c r="A33" s="2" t="s">
        <v>603</v>
      </c>
      <c r="B33" s="23" t="s">
        <v>303</v>
      </c>
      <c r="C33" s="725">
        <f>100*(C12/C4)^(1/8)-100</f>
        <v>5.9859460678749912</v>
      </c>
      <c r="D33" s="725">
        <f>100*(D12/D4)^(1/8)-100</f>
        <v>2.9970729663184557</v>
      </c>
      <c r="E33" s="725">
        <f>100*(E12/E4)^(1/8)-100</f>
        <v>12.714298040983294</v>
      </c>
      <c r="F33" s="725">
        <f>100*(F12/F4)^(1/8)-100</f>
        <v>11.171430549445091</v>
      </c>
    </row>
    <row r="34" spans="1:8">
      <c r="A34" s="2" t="s">
        <v>604</v>
      </c>
      <c r="B34" s="23">
        <f>100*(B23/B12)^(1/11)-100</f>
        <v>23.904587368177729</v>
      </c>
      <c r="C34" s="725">
        <f>100*(C23/C12)^(1/11)-100</f>
        <v>-3.7242359119996138</v>
      </c>
      <c r="D34" s="725">
        <f>100*(D23/D12)^(1/11)-100</f>
        <v>1.568520309475943</v>
      </c>
      <c r="E34" s="725">
        <f>100*(E23/E12)^(1/11)-100</f>
        <v>4.6354240381343317</v>
      </c>
      <c r="F34" s="725">
        <f>100*(F23/F12)^(1/11)-100</f>
        <v>4.5535432844536956</v>
      </c>
    </row>
    <row r="35" spans="1:8">
      <c r="A35" s="2" t="s">
        <v>818</v>
      </c>
      <c r="B35" s="23">
        <f>100*(B29/B23)^(1/6)-100</f>
        <v>3.91405525754449</v>
      </c>
      <c r="C35" s="23">
        <f>100*(C29/C23)^(1/6)-100</f>
        <v>2.1572380338590733</v>
      </c>
      <c r="D35" s="23">
        <f>100*(D29/D23)^(1/6)-100</f>
        <v>1.9050066120956473</v>
      </c>
      <c r="E35" s="23">
        <f>100*(E29/E23)^(1/6)-100</f>
        <v>2.4838025456186017</v>
      </c>
      <c r="F35" s="23">
        <f>100*(F29/F23)^(1/6)-100</f>
        <v>3.0976763955826101</v>
      </c>
    </row>
    <row r="37" spans="1:8">
      <c r="A37" s="739" t="s">
        <v>425</v>
      </c>
    </row>
    <row r="38" spans="1:8">
      <c r="A38" s="2" t="s">
        <v>819</v>
      </c>
      <c r="B38" s="23" t="s">
        <v>303</v>
      </c>
      <c r="C38" s="23">
        <f>100*(C29/C4-1)</f>
        <v>19.2031734024267</v>
      </c>
      <c r="D38" s="23">
        <f>100*(D29/D4-1)</f>
        <v>68.314903503566754</v>
      </c>
      <c r="E38" s="23">
        <f>100*(E29/E4-1)</f>
        <v>396.85492243734819</v>
      </c>
      <c r="F38" s="23">
        <f>100*(F29/F4-1)</f>
        <v>357.26201708129867</v>
      </c>
      <c r="H38" s="725"/>
    </row>
    <row r="39" spans="1:8">
      <c r="A39" s="2" t="s">
        <v>603</v>
      </c>
      <c r="B39" s="23" t="s">
        <v>303</v>
      </c>
      <c r="C39" s="23">
        <f>100*(C12/C4-1)</f>
        <v>59.215830540751078</v>
      </c>
      <c r="D39" s="23">
        <f>100*(D12/D4-1)</f>
        <v>26.648211945194468</v>
      </c>
      <c r="E39" s="23">
        <f>100*(E12/E4-1)</f>
        <v>160.51461084218261</v>
      </c>
      <c r="F39" s="23">
        <f>100*(F12/F4-1)</f>
        <v>133.31655400546524</v>
      </c>
    </row>
    <row r="40" spans="1:8">
      <c r="A40" s="2" t="s">
        <v>604</v>
      </c>
      <c r="B40" s="23">
        <f>100*(B23/B12-1)</f>
        <v>956.72320170464286</v>
      </c>
      <c r="C40" s="23">
        <f>100*(C23/C12-1)</f>
        <v>-34.1301438929966</v>
      </c>
      <c r="D40" s="23">
        <f>100*(D23/D12-1)</f>
        <v>18.672579048497042</v>
      </c>
      <c r="E40" s="23">
        <f>100*(E23/E12-1)</f>
        <v>64.613756264126579</v>
      </c>
      <c r="F40" s="23">
        <f>100*(F23/F12-1)</f>
        <v>63.202313348860329</v>
      </c>
    </row>
    <row r="41" spans="1:8">
      <c r="A41" s="2" t="s">
        <v>818</v>
      </c>
      <c r="B41" s="23">
        <f>100*(B29/B23-1)</f>
        <v>25.905807073981023</v>
      </c>
      <c r="C41" s="23">
        <f>100*(C29/C23-1)</f>
        <v>13.661885430504327</v>
      </c>
      <c r="D41" s="23">
        <f>100*(D29/D23-1)</f>
        <v>11.988422990812154</v>
      </c>
      <c r="E41" s="23">
        <f>100*(E29/E23-1)</f>
        <v>15.859429653690604</v>
      </c>
      <c r="F41" s="23">
        <f>100*(F29/F23-1)</f>
        <v>20.086244687005749</v>
      </c>
    </row>
    <row r="43" spans="1:8">
      <c r="A43" s="739" t="s">
        <v>1488</v>
      </c>
    </row>
  </sheetData>
  <phoneticPr fontId="35" type="noConversion"/>
  <pageMargins left="0.75" right="0.75" top="1" bottom="1" header="0.5" footer="0.5"/>
  <pageSetup orientation="portrait" horizontalDpi="0" verticalDpi="0" r:id="rId1"/>
  <headerFooter alignWithMargins="0"/>
</worksheet>
</file>

<file path=xl/worksheets/sheet204.xml><?xml version="1.0" encoding="utf-8"?>
<worksheet xmlns="http://schemas.openxmlformats.org/spreadsheetml/2006/main" xmlns:r="http://schemas.openxmlformats.org/officeDocument/2006/relationships">
  <sheetPr codeName="Sheet185"/>
  <dimension ref="A1:S31"/>
  <sheetViews>
    <sheetView view="pageBreakPreview" zoomScale="70" zoomScaleNormal="85" zoomScaleSheetLayoutView="7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5" width="13.5703125" style="1" customWidth="1"/>
    <col min="6" max="15" width="12.7109375" style="1" customWidth="1"/>
    <col min="16" max="16384" width="9.140625" style="1"/>
  </cols>
  <sheetData>
    <row r="1" spans="1:19" ht="15.75">
      <c r="A1" s="40" t="s">
        <v>2248</v>
      </c>
      <c r="L1" s="40" t="s">
        <v>2249</v>
      </c>
    </row>
    <row r="3" spans="1:19">
      <c r="A3" s="351"/>
      <c r="B3" s="1318" t="s">
        <v>548</v>
      </c>
      <c r="C3" s="1318"/>
      <c r="D3" s="1318"/>
      <c r="E3" s="1318"/>
      <c r="F3" s="1318"/>
      <c r="G3" s="1318"/>
      <c r="H3" s="1318"/>
      <c r="I3" s="1318"/>
      <c r="L3" s="1318" t="s">
        <v>549</v>
      </c>
      <c r="M3" s="1318"/>
      <c r="N3" s="1318"/>
      <c r="O3" s="1318"/>
    </row>
    <row r="4" spans="1:19">
      <c r="A4" s="351"/>
      <c r="B4" s="1318" t="s">
        <v>550</v>
      </c>
      <c r="C4" s="1318"/>
      <c r="D4" s="1318" t="s">
        <v>551</v>
      </c>
      <c r="E4" s="1318"/>
      <c r="F4" s="1318" t="s">
        <v>552</v>
      </c>
      <c r="G4" s="1318"/>
      <c r="H4" s="1318" t="s">
        <v>553</v>
      </c>
      <c r="I4" s="1318"/>
      <c r="J4" s="1318" t="s">
        <v>554</v>
      </c>
      <c r="K4" s="1318"/>
      <c r="L4" s="1318" t="s">
        <v>555</v>
      </c>
      <c r="M4" s="1318"/>
      <c r="N4" s="1318" t="s">
        <v>1489</v>
      </c>
      <c r="O4" s="1318"/>
    </row>
    <row r="5" spans="1:19" ht="39.75" customHeight="1">
      <c r="A5" s="461"/>
      <c r="B5" s="465" t="s">
        <v>556</v>
      </c>
      <c r="C5" s="466" t="s">
        <v>557</v>
      </c>
      <c r="D5" s="466" t="s">
        <v>556</v>
      </c>
      <c r="E5" s="466" t="s">
        <v>557</v>
      </c>
      <c r="F5" s="466" t="s">
        <v>556</v>
      </c>
      <c r="G5" s="466" t="s">
        <v>557</v>
      </c>
      <c r="H5" s="466" t="s">
        <v>556</v>
      </c>
      <c r="I5" s="466" t="s">
        <v>557</v>
      </c>
      <c r="J5" s="466" t="s">
        <v>556</v>
      </c>
      <c r="K5" s="466" t="s">
        <v>557</v>
      </c>
      <c r="L5" s="466" t="s">
        <v>556</v>
      </c>
      <c r="M5" s="466" t="s">
        <v>557</v>
      </c>
      <c r="N5" s="466" t="s">
        <v>556</v>
      </c>
      <c r="O5" s="466" t="s">
        <v>557</v>
      </c>
      <c r="P5" s="384"/>
      <c r="Q5" s="384"/>
      <c r="R5" s="384"/>
      <c r="S5" s="384"/>
    </row>
    <row r="6" spans="1:19" ht="25.5">
      <c r="A6" s="462" t="s">
        <v>790</v>
      </c>
      <c r="B6" s="493">
        <v>6.8</v>
      </c>
      <c r="C6" s="493">
        <v>16.7</v>
      </c>
      <c r="D6" s="493">
        <v>8.8000000000000007</v>
      </c>
      <c r="E6" s="493">
        <v>16.8</v>
      </c>
      <c r="F6" s="494">
        <v>8.8000000000000007</v>
      </c>
      <c r="G6" s="494">
        <v>17</v>
      </c>
      <c r="H6" s="494">
        <v>9.1999999999999993</v>
      </c>
      <c r="I6" s="494">
        <v>18.899999999999999</v>
      </c>
      <c r="J6" s="494">
        <v>9.6999999999999993</v>
      </c>
      <c r="K6" s="494">
        <v>18.8</v>
      </c>
      <c r="L6" s="494">
        <v>10.1</v>
      </c>
      <c r="M6" s="494">
        <v>19.7</v>
      </c>
      <c r="N6" s="494">
        <v>10.7</v>
      </c>
      <c r="O6" s="494">
        <v>20.3</v>
      </c>
      <c r="P6" s="384"/>
      <c r="Q6" s="384"/>
      <c r="R6" s="384"/>
      <c r="S6" s="384"/>
    </row>
    <row r="7" spans="1:19" ht="25.5">
      <c r="A7" s="462" t="s">
        <v>1040</v>
      </c>
      <c r="B7" s="493">
        <v>1.8</v>
      </c>
      <c r="C7" s="493">
        <v>1.8</v>
      </c>
      <c r="D7" s="493">
        <v>2.1</v>
      </c>
      <c r="E7" s="493">
        <v>2.6</v>
      </c>
      <c r="F7" s="494">
        <v>2.2999999999999998</v>
      </c>
      <c r="G7" s="494">
        <v>3.1</v>
      </c>
      <c r="H7" s="494">
        <v>2.5</v>
      </c>
      <c r="I7" s="494">
        <v>3.6</v>
      </c>
      <c r="J7" s="494">
        <v>2.9</v>
      </c>
      <c r="K7" s="494">
        <v>3.6</v>
      </c>
      <c r="L7" s="494">
        <v>3.1</v>
      </c>
      <c r="M7" s="494">
        <v>3.6</v>
      </c>
      <c r="N7" s="494">
        <v>3</v>
      </c>
      <c r="O7" s="494">
        <v>3.7</v>
      </c>
      <c r="P7" s="384"/>
      <c r="Q7" s="384"/>
      <c r="R7" s="384"/>
      <c r="S7" s="384"/>
    </row>
    <row r="8" spans="1:19">
      <c r="A8" s="462" t="s">
        <v>791</v>
      </c>
      <c r="B8" s="493">
        <v>21.7</v>
      </c>
      <c r="C8" s="493">
        <v>21.7</v>
      </c>
      <c r="D8" s="493">
        <v>20.399999999999999</v>
      </c>
      <c r="E8" s="493">
        <v>29.5</v>
      </c>
      <c r="F8" s="494">
        <v>20.100000000000001</v>
      </c>
      <c r="G8" s="494">
        <v>30.9</v>
      </c>
      <c r="H8" s="494">
        <v>20.2</v>
      </c>
      <c r="I8" s="494">
        <v>29.8</v>
      </c>
      <c r="J8" s="494">
        <v>20.3</v>
      </c>
      <c r="K8" s="494">
        <v>28.6</v>
      </c>
      <c r="L8" s="494">
        <v>20.399999999999999</v>
      </c>
      <c r="M8" s="494">
        <v>27.8</v>
      </c>
      <c r="N8" s="494">
        <v>20.6</v>
      </c>
      <c r="O8" s="494">
        <v>26.5</v>
      </c>
      <c r="P8" s="384"/>
      <c r="Q8" s="384"/>
      <c r="R8" s="384"/>
      <c r="S8" s="384"/>
    </row>
    <row r="9" spans="1:19">
      <c r="A9" s="462" t="s">
        <v>792</v>
      </c>
      <c r="B9" s="493" t="s">
        <v>558</v>
      </c>
      <c r="C9" s="493">
        <v>6.9</v>
      </c>
      <c r="D9" s="493" t="s">
        <v>558</v>
      </c>
      <c r="E9" s="493">
        <v>7.2</v>
      </c>
      <c r="F9" s="494" t="s">
        <v>374</v>
      </c>
      <c r="G9" s="494">
        <v>8.3000000000000007</v>
      </c>
      <c r="H9" s="494" t="s">
        <v>1571</v>
      </c>
      <c r="I9" s="494">
        <v>8.1999999999999993</v>
      </c>
      <c r="J9" s="494" t="s">
        <v>558</v>
      </c>
      <c r="K9" s="494">
        <v>9.3000000000000007</v>
      </c>
      <c r="L9" s="494" t="s">
        <v>558</v>
      </c>
      <c r="M9" s="494">
        <v>12.1</v>
      </c>
      <c r="N9" s="494" t="s">
        <v>558</v>
      </c>
      <c r="O9" s="494">
        <v>12.1</v>
      </c>
      <c r="P9" s="384"/>
      <c r="Q9" s="384"/>
      <c r="R9" s="384"/>
      <c r="S9" s="384"/>
    </row>
    <row r="10" spans="1:19" ht="15.75">
      <c r="A10" s="462" t="s">
        <v>563</v>
      </c>
      <c r="B10" s="493">
        <v>166.7</v>
      </c>
      <c r="C10" s="493">
        <v>207.6</v>
      </c>
      <c r="D10" s="493">
        <v>191.6</v>
      </c>
      <c r="E10" s="493">
        <v>227.5</v>
      </c>
      <c r="F10" s="494">
        <v>202.5</v>
      </c>
      <c r="G10" s="494">
        <v>231.2</v>
      </c>
      <c r="H10" s="494">
        <v>214.5</v>
      </c>
      <c r="I10" s="494">
        <v>236.8</v>
      </c>
      <c r="J10" s="494">
        <v>218.5</v>
      </c>
      <c r="K10" s="494">
        <v>245.6</v>
      </c>
      <c r="L10" s="494">
        <v>221.5</v>
      </c>
      <c r="M10" s="494">
        <v>246.2</v>
      </c>
      <c r="N10" s="494">
        <v>218.1</v>
      </c>
      <c r="O10" s="494">
        <v>245.5</v>
      </c>
      <c r="P10" s="384"/>
      <c r="Q10" s="384"/>
      <c r="R10" s="384"/>
      <c r="S10" s="384"/>
    </row>
    <row r="11" spans="1:19" ht="15.75">
      <c r="A11" s="462" t="s">
        <v>564</v>
      </c>
      <c r="B11" s="493">
        <v>17</v>
      </c>
      <c r="C11" s="493">
        <v>30.7</v>
      </c>
      <c r="D11" s="493">
        <v>12.1</v>
      </c>
      <c r="E11" s="493">
        <v>32.200000000000003</v>
      </c>
      <c r="F11" s="494">
        <v>8</v>
      </c>
      <c r="G11" s="494">
        <v>38.200000000000003</v>
      </c>
      <c r="H11" s="494">
        <v>6.3</v>
      </c>
      <c r="I11" s="494">
        <v>45.6</v>
      </c>
      <c r="J11" s="494">
        <v>4</v>
      </c>
      <c r="K11" s="494">
        <v>51.5</v>
      </c>
      <c r="L11" s="494">
        <v>4.3</v>
      </c>
      <c r="M11" s="494">
        <v>56.3</v>
      </c>
      <c r="N11" s="494">
        <v>4.5</v>
      </c>
      <c r="O11" s="494">
        <v>54.7</v>
      </c>
      <c r="P11" s="384"/>
      <c r="Q11" s="384"/>
      <c r="R11" s="384"/>
      <c r="S11" s="384"/>
    </row>
    <row r="12" spans="1:19" ht="15.75">
      <c r="A12" s="462" t="s">
        <v>565</v>
      </c>
      <c r="B12" s="493">
        <v>29</v>
      </c>
      <c r="C12" s="493">
        <v>35.799999999999997</v>
      </c>
      <c r="D12" s="493">
        <v>38</v>
      </c>
      <c r="E12" s="493">
        <v>39.6</v>
      </c>
      <c r="F12" s="494">
        <v>55.1</v>
      </c>
      <c r="G12" s="494">
        <v>60.9</v>
      </c>
      <c r="H12" s="494">
        <v>55.1</v>
      </c>
      <c r="I12" s="494">
        <v>56.4</v>
      </c>
      <c r="J12" s="494">
        <v>57.3</v>
      </c>
      <c r="K12" s="494">
        <v>59.2</v>
      </c>
      <c r="L12" s="494">
        <v>57.4</v>
      </c>
      <c r="M12" s="494">
        <v>61.9</v>
      </c>
      <c r="N12" s="494">
        <v>57.5</v>
      </c>
      <c r="O12" s="494">
        <v>59.6</v>
      </c>
      <c r="P12" s="384"/>
      <c r="Q12" s="384"/>
      <c r="R12" s="384"/>
      <c r="S12" s="384"/>
    </row>
    <row r="13" spans="1:19">
      <c r="A13" s="462" t="s">
        <v>741</v>
      </c>
      <c r="B13" s="493">
        <v>31.3</v>
      </c>
      <c r="C13" s="493">
        <v>32.1</v>
      </c>
      <c r="D13" s="493">
        <v>28.7</v>
      </c>
      <c r="E13" s="493">
        <v>32</v>
      </c>
      <c r="F13" s="494">
        <v>32.700000000000003</v>
      </c>
      <c r="G13" s="494">
        <v>38.1</v>
      </c>
      <c r="H13" s="494">
        <v>35.299999999999997</v>
      </c>
      <c r="I13" s="494">
        <v>45.6</v>
      </c>
      <c r="J13" s="494">
        <v>37.700000000000003</v>
      </c>
      <c r="K13" s="494">
        <v>47.2</v>
      </c>
      <c r="L13" s="494">
        <v>36.6</v>
      </c>
      <c r="M13" s="494">
        <v>48.8</v>
      </c>
      <c r="N13" s="494">
        <v>36</v>
      </c>
      <c r="O13" s="494">
        <v>47.3</v>
      </c>
      <c r="P13" s="384"/>
      <c r="Q13" s="384"/>
      <c r="R13" s="384"/>
      <c r="S13" s="384"/>
    </row>
    <row r="14" spans="1:19" ht="25.5">
      <c r="A14" s="462" t="s">
        <v>742</v>
      </c>
      <c r="B14" s="493">
        <v>176.3</v>
      </c>
      <c r="C14" s="493">
        <v>176.3</v>
      </c>
      <c r="D14" s="493">
        <v>270.3</v>
      </c>
      <c r="E14" s="493">
        <v>270.3</v>
      </c>
      <c r="F14" s="494">
        <v>284.8</v>
      </c>
      <c r="G14" s="494">
        <v>297.8</v>
      </c>
      <c r="H14" s="494">
        <v>314</v>
      </c>
      <c r="I14" s="494">
        <v>379.8</v>
      </c>
      <c r="J14" s="494">
        <v>318.8</v>
      </c>
      <c r="K14" s="494">
        <v>371.9</v>
      </c>
      <c r="L14" s="494">
        <v>278.8</v>
      </c>
      <c r="M14" s="494">
        <v>330.4</v>
      </c>
      <c r="N14" s="494">
        <v>242.8</v>
      </c>
      <c r="O14" s="494">
        <v>320.5</v>
      </c>
      <c r="P14" s="384"/>
      <c r="Q14" s="384"/>
      <c r="R14" s="384"/>
      <c r="S14" s="384"/>
    </row>
    <row r="15" spans="1:19">
      <c r="A15" s="462" t="s">
        <v>1042</v>
      </c>
      <c r="B15" s="493">
        <v>0.2</v>
      </c>
      <c r="C15" s="493">
        <v>0.6</v>
      </c>
      <c r="D15" s="493">
        <v>0.3</v>
      </c>
      <c r="E15" s="493">
        <v>1</v>
      </c>
      <c r="F15" s="494">
        <v>0.3</v>
      </c>
      <c r="G15" s="494">
        <v>1.2</v>
      </c>
      <c r="H15" s="494">
        <v>0.3</v>
      </c>
      <c r="I15" s="494">
        <v>1.5</v>
      </c>
      <c r="J15" s="494">
        <v>0.3</v>
      </c>
      <c r="K15" s="494">
        <v>2</v>
      </c>
      <c r="L15" s="494">
        <v>0.3</v>
      </c>
      <c r="M15" s="494">
        <v>1.9</v>
      </c>
      <c r="N15" s="494">
        <v>0.3</v>
      </c>
      <c r="O15" s="494">
        <v>1.9</v>
      </c>
      <c r="P15" s="384"/>
      <c r="Q15" s="384"/>
      <c r="R15" s="384"/>
      <c r="S15" s="384"/>
    </row>
    <row r="16" spans="1:19" ht="25.5">
      <c r="A16" s="462" t="s">
        <v>743</v>
      </c>
      <c r="B16" s="493">
        <v>0.7</v>
      </c>
      <c r="C16" s="493">
        <v>2.1</v>
      </c>
      <c r="D16" s="493">
        <v>0.8</v>
      </c>
      <c r="E16" s="493">
        <v>2.2000000000000002</v>
      </c>
      <c r="F16" s="494">
        <v>0.8</v>
      </c>
      <c r="G16" s="494">
        <v>2</v>
      </c>
      <c r="H16" s="494">
        <v>0.8</v>
      </c>
      <c r="I16" s="494">
        <v>1.9</v>
      </c>
      <c r="J16" s="494">
        <v>0.8</v>
      </c>
      <c r="K16" s="494">
        <v>1.9</v>
      </c>
      <c r="L16" s="494">
        <v>0.8</v>
      </c>
      <c r="M16" s="494">
        <v>2.1</v>
      </c>
      <c r="N16" s="494">
        <v>0.8</v>
      </c>
      <c r="O16" s="494">
        <v>3.3</v>
      </c>
      <c r="P16" s="384"/>
      <c r="Q16" s="384"/>
      <c r="R16" s="384"/>
      <c r="S16" s="384"/>
    </row>
    <row r="17" spans="1:19">
      <c r="A17" s="462" t="s">
        <v>745</v>
      </c>
      <c r="B17" s="493">
        <v>2.2999999999999998</v>
      </c>
      <c r="C17" s="493">
        <v>2.8</v>
      </c>
      <c r="D17" s="493">
        <v>2.2999999999999998</v>
      </c>
      <c r="E17" s="493">
        <v>2.6</v>
      </c>
      <c r="F17" s="494">
        <v>2.7</v>
      </c>
      <c r="G17" s="494">
        <v>2.7</v>
      </c>
      <c r="H17" s="494">
        <v>2.8</v>
      </c>
      <c r="I17" s="494">
        <v>2.8</v>
      </c>
      <c r="J17" s="494">
        <v>2.8</v>
      </c>
      <c r="K17" s="494">
        <v>2.8</v>
      </c>
      <c r="L17" s="494">
        <v>2.7</v>
      </c>
      <c r="M17" s="494">
        <v>2.7</v>
      </c>
      <c r="N17" s="494">
        <v>2.1</v>
      </c>
      <c r="O17" s="494">
        <v>2.1</v>
      </c>
      <c r="P17" s="385"/>
      <c r="Q17" s="385"/>
      <c r="R17" s="385"/>
      <c r="S17" s="385"/>
    </row>
    <row r="18" spans="1:19" ht="25.5">
      <c r="A18" s="463" t="s">
        <v>559</v>
      </c>
      <c r="B18" s="495">
        <v>453.7</v>
      </c>
      <c r="C18" s="495">
        <v>535</v>
      </c>
      <c r="D18" s="495">
        <v>575.20000000000005</v>
      </c>
      <c r="E18" s="495">
        <v>663.5</v>
      </c>
      <c r="F18" s="495">
        <v>618.20000000000005</v>
      </c>
      <c r="G18" s="495">
        <v>731.4</v>
      </c>
      <c r="H18" s="495">
        <v>660.9</v>
      </c>
      <c r="I18" s="495">
        <v>830.9</v>
      </c>
      <c r="J18" s="495">
        <v>673.1</v>
      </c>
      <c r="K18" s="495">
        <v>842.4</v>
      </c>
      <c r="L18" s="495">
        <v>636</v>
      </c>
      <c r="M18" s="495">
        <v>813.4</v>
      </c>
      <c r="N18" s="495">
        <v>596.5</v>
      </c>
      <c r="O18" s="495">
        <v>797.4</v>
      </c>
      <c r="P18" s="384"/>
      <c r="Q18" s="384"/>
      <c r="R18" s="384"/>
      <c r="S18" s="384"/>
    </row>
    <row r="19" spans="1:19">
      <c r="A19" s="462" t="s">
        <v>560</v>
      </c>
      <c r="B19" s="493">
        <v>50.2</v>
      </c>
      <c r="C19" s="493">
        <v>54.3</v>
      </c>
      <c r="D19" s="493">
        <v>51.2</v>
      </c>
      <c r="E19" s="493">
        <v>57</v>
      </c>
      <c r="F19" s="494">
        <v>53.5</v>
      </c>
      <c r="G19" s="494">
        <v>56</v>
      </c>
      <c r="H19" s="494">
        <v>51.8</v>
      </c>
      <c r="I19" s="494">
        <v>53.2</v>
      </c>
      <c r="J19" s="494">
        <v>52.7</v>
      </c>
      <c r="K19" s="494">
        <v>55.1</v>
      </c>
      <c r="L19" s="494">
        <v>54.6</v>
      </c>
      <c r="M19" s="494">
        <v>58</v>
      </c>
      <c r="N19" s="494">
        <v>47.3</v>
      </c>
      <c r="O19" s="494">
        <v>48.3</v>
      </c>
      <c r="P19" s="384"/>
      <c r="Q19" s="384"/>
      <c r="R19" s="384"/>
      <c r="S19" s="384"/>
    </row>
    <row r="20" spans="1:19" ht="41.25">
      <c r="A20" s="462" t="s">
        <v>566</v>
      </c>
      <c r="B20" s="493">
        <v>2.2999999999999998</v>
      </c>
      <c r="C20" s="493">
        <v>3.8</v>
      </c>
      <c r="D20" s="493">
        <v>2.1</v>
      </c>
      <c r="E20" s="493">
        <v>2.9</v>
      </c>
      <c r="F20" s="494">
        <v>1.7</v>
      </c>
      <c r="G20" s="494">
        <v>1.9</v>
      </c>
      <c r="H20" s="494">
        <v>1.9</v>
      </c>
      <c r="I20" s="494">
        <v>1.9</v>
      </c>
      <c r="J20" s="494">
        <v>2.6</v>
      </c>
      <c r="K20" s="494">
        <v>2.6</v>
      </c>
      <c r="L20" s="494">
        <v>2.5</v>
      </c>
      <c r="M20" s="494">
        <v>2.5</v>
      </c>
      <c r="N20" s="494">
        <v>2.1</v>
      </c>
      <c r="O20" s="494">
        <v>2.1</v>
      </c>
      <c r="P20" s="384"/>
      <c r="Q20" s="384"/>
      <c r="R20" s="384"/>
      <c r="S20" s="384"/>
    </row>
    <row r="21" spans="1:19" ht="25.5">
      <c r="A21" s="463" t="s">
        <v>561</v>
      </c>
      <c r="B21" s="495">
        <v>52.6</v>
      </c>
      <c r="C21" s="495">
        <v>58.1</v>
      </c>
      <c r="D21" s="495">
        <v>53.3</v>
      </c>
      <c r="E21" s="495">
        <v>59.9</v>
      </c>
      <c r="F21" s="495">
        <v>55.3</v>
      </c>
      <c r="G21" s="495">
        <v>57.9</v>
      </c>
      <c r="H21" s="495">
        <v>53.6</v>
      </c>
      <c r="I21" s="495">
        <v>55</v>
      </c>
      <c r="J21" s="495">
        <v>55.3</v>
      </c>
      <c r="K21" s="495">
        <v>57.7</v>
      </c>
      <c r="L21" s="495">
        <v>57.1</v>
      </c>
      <c r="M21" s="495">
        <v>60.5</v>
      </c>
      <c r="N21" s="495">
        <v>49.4</v>
      </c>
      <c r="O21" s="495">
        <v>50.4</v>
      </c>
      <c r="P21" s="385"/>
      <c r="Q21" s="385"/>
      <c r="R21" s="385"/>
      <c r="S21" s="385"/>
    </row>
    <row r="22" spans="1:19">
      <c r="A22" s="464" t="s">
        <v>182</v>
      </c>
      <c r="B22" s="496">
        <v>506.2</v>
      </c>
      <c r="C22" s="496">
        <v>593.1</v>
      </c>
      <c r="D22" s="496">
        <v>628.5</v>
      </c>
      <c r="E22" s="496">
        <v>723.4</v>
      </c>
      <c r="F22" s="495">
        <v>673.5</v>
      </c>
      <c r="G22" s="495">
        <v>789.3</v>
      </c>
      <c r="H22" s="495">
        <v>714.6</v>
      </c>
      <c r="I22" s="495">
        <v>886</v>
      </c>
      <c r="J22" s="495">
        <v>728.4</v>
      </c>
      <c r="K22" s="495">
        <v>900.1</v>
      </c>
      <c r="L22" s="495">
        <v>693</v>
      </c>
      <c r="M22" s="495">
        <v>873.9</v>
      </c>
      <c r="N22" s="495">
        <v>645.9</v>
      </c>
      <c r="O22" s="495">
        <v>847.8</v>
      </c>
    </row>
    <row r="24" spans="1:19">
      <c r="A24" s="1" t="s">
        <v>562</v>
      </c>
    </row>
    <row r="25" spans="1:19">
      <c r="A25" s="1" t="s">
        <v>1566</v>
      </c>
    </row>
    <row r="26" spans="1:19" ht="54" customHeight="1">
      <c r="A26" s="1317" t="s">
        <v>1567</v>
      </c>
      <c r="B26" s="1317"/>
      <c r="C26" s="1317"/>
      <c r="D26" s="1317"/>
      <c r="E26" s="1317"/>
      <c r="F26" s="1317"/>
      <c r="G26" s="1317"/>
      <c r="H26" s="1317"/>
      <c r="I26" s="1317"/>
      <c r="J26" s="1317"/>
      <c r="K26" s="1317"/>
    </row>
    <row r="27" spans="1:19" ht="42" customHeight="1">
      <c r="A27" s="1317" t="s">
        <v>1568</v>
      </c>
      <c r="B27" s="1317"/>
      <c r="C27" s="1317"/>
      <c r="D27" s="1317"/>
      <c r="E27" s="1317"/>
      <c r="F27" s="1317"/>
      <c r="G27" s="1317"/>
      <c r="H27" s="1317"/>
      <c r="I27" s="1317"/>
      <c r="J27" s="1317"/>
      <c r="K27" s="1317"/>
    </row>
    <row r="28" spans="1:19" ht="27" customHeight="1">
      <c r="A28" s="1317" t="s">
        <v>1569</v>
      </c>
      <c r="B28" s="1317"/>
      <c r="C28" s="1317"/>
      <c r="D28" s="1317"/>
      <c r="E28" s="1317"/>
      <c r="F28" s="1317"/>
      <c r="G28" s="1317"/>
      <c r="H28" s="1317"/>
      <c r="I28" s="1317"/>
      <c r="J28" s="1317"/>
      <c r="K28" s="1317"/>
    </row>
    <row r="29" spans="1:19">
      <c r="A29" s="1" t="s">
        <v>1570</v>
      </c>
    </row>
    <row r="30" spans="1:19">
      <c r="L30" s="675"/>
    </row>
    <row r="31" spans="1:19" ht="15.75">
      <c r="A31" s="8"/>
    </row>
  </sheetData>
  <mergeCells count="12">
    <mergeCell ref="A26:K26"/>
    <mergeCell ref="A27:K27"/>
    <mergeCell ref="A28:K28"/>
    <mergeCell ref="N4:O4"/>
    <mergeCell ref="B3:I3"/>
    <mergeCell ref="F4:G4"/>
    <mergeCell ref="H4:I4"/>
    <mergeCell ref="J4:K4"/>
    <mergeCell ref="L3:O3"/>
    <mergeCell ref="D4:E4"/>
    <mergeCell ref="B4:C4"/>
    <mergeCell ref="L4:M4"/>
  </mergeCells>
  <phoneticPr fontId="35" type="noConversion"/>
  <pageMargins left="0.75" right="0.75" top="1" bottom="1" header="0.5" footer="0.5"/>
  <pageSetup scale="73" orientation="landscape" verticalDpi="0" r:id="rId1"/>
  <headerFooter alignWithMargins="0"/>
  <colBreaks count="1" manualBreakCount="1">
    <brk id="11" max="1048575" man="1"/>
  </colBreaks>
</worksheet>
</file>

<file path=xl/worksheets/sheet205.xml><?xml version="1.0" encoding="utf-8"?>
<worksheet xmlns="http://schemas.openxmlformats.org/spreadsheetml/2006/main" xmlns:r="http://schemas.openxmlformats.org/officeDocument/2006/relationships">
  <sheetPr codeName="Sheet200"/>
  <dimension ref="A1:O39"/>
  <sheetViews>
    <sheetView view="pageBreakPreview" zoomScaleNormal="100" zoomScaleSheetLayoutView="100" workbookViewId="0">
      <pane xSplit="1" ySplit="3" topLeftCell="B13"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6384" width="9.140625" style="739"/>
  </cols>
  <sheetData>
    <row r="1" spans="1:12" ht="15.75">
      <c r="A1" s="474" t="s">
        <v>2250</v>
      </c>
      <c r="C1" s="476"/>
      <c r="D1" s="476"/>
      <c r="E1" s="476"/>
      <c r="F1" s="476"/>
      <c r="G1" s="476"/>
      <c r="H1" s="476"/>
      <c r="I1" s="476"/>
      <c r="J1" s="476"/>
      <c r="K1" s="476"/>
      <c r="L1" s="476"/>
    </row>
    <row r="3" spans="1:12">
      <c r="A3" s="473"/>
      <c r="B3" s="471" t="s">
        <v>375</v>
      </c>
      <c r="C3" s="470" t="s">
        <v>377</v>
      </c>
      <c r="D3" s="470" t="s">
        <v>476</v>
      </c>
      <c r="E3" s="470" t="s">
        <v>1499</v>
      </c>
      <c r="F3" s="470" t="s">
        <v>1500</v>
      </c>
      <c r="G3" s="470" t="s">
        <v>1501</v>
      </c>
      <c r="H3" s="470" t="s">
        <v>1502</v>
      </c>
      <c r="I3" s="470" t="s">
        <v>382</v>
      </c>
      <c r="J3" s="470" t="s">
        <v>383</v>
      </c>
      <c r="K3" s="470" t="s">
        <v>1503</v>
      </c>
      <c r="L3" s="470" t="s">
        <v>1504</v>
      </c>
    </row>
    <row r="4" spans="1:12">
      <c r="A4" s="472">
        <v>1981</v>
      </c>
      <c r="B4" s="19">
        <v>6334.1</v>
      </c>
      <c r="C4" s="19">
        <v>210.81648997835001</v>
      </c>
      <c r="D4" s="19">
        <v>49.3</v>
      </c>
      <c r="E4" s="19">
        <v>166.8</v>
      </c>
      <c r="F4" s="19">
        <v>177.7</v>
      </c>
      <c r="G4" s="19">
        <v>1397.1</v>
      </c>
      <c r="H4" s="19">
        <v>2377.6</v>
      </c>
      <c r="I4" s="19">
        <v>287.60000000000002</v>
      </c>
      <c r="J4" s="19">
        <v>185.9</v>
      </c>
      <c r="K4" s="19">
        <v>581.5</v>
      </c>
      <c r="L4" s="19">
        <v>879.1</v>
      </c>
    </row>
    <row r="5" spans="1:12">
      <c r="A5" s="472">
        <v>1982</v>
      </c>
      <c r="B5" s="19">
        <v>7312.3</v>
      </c>
      <c r="C5" s="19">
        <v>218.43317335618602</v>
      </c>
      <c r="D5" s="19">
        <v>50.4</v>
      </c>
      <c r="E5" s="19">
        <v>199.2</v>
      </c>
      <c r="F5" s="19">
        <v>210.1</v>
      </c>
      <c r="G5" s="19">
        <v>1528.6</v>
      </c>
      <c r="H5" s="19">
        <v>2834.2</v>
      </c>
      <c r="I5" s="19">
        <v>315.10000000000002</v>
      </c>
      <c r="J5" s="19">
        <v>204.1</v>
      </c>
      <c r="K5" s="19">
        <v>786.9</v>
      </c>
      <c r="L5" s="19">
        <v>943.1</v>
      </c>
    </row>
    <row r="6" spans="1:12">
      <c r="A6" s="472">
        <v>1983</v>
      </c>
      <c r="B6" s="19">
        <v>7958.6</v>
      </c>
      <c r="C6" s="19">
        <v>234.73746579904702</v>
      </c>
      <c r="D6" s="19">
        <v>51.1</v>
      </c>
      <c r="E6" s="19">
        <v>215.9</v>
      </c>
      <c r="F6" s="19">
        <v>232.6</v>
      </c>
      <c r="G6" s="19">
        <v>1643.1</v>
      </c>
      <c r="H6" s="19">
        <v>3253.5</v>
      </c>
      <c r="I6" s="19">
        <v>337.6</v>
      </c>
      <c r="J6" s="19">
        <v>219.1</v>
      </c>
      <c r="K6" s="19">
        <v>720.5</v>
      </c>
      <c r="L6" s="19">
        <v>1026.9000000000001</v>
      </c>
    </row>
    <row r="7" spans="1:12">
      <c r="A7" s="472">
        <v>1984</v>
      </c>
      <c r="B7" s="19">
        <v>8786.2999999999993</v>
      </c>
      <c r="C7" s="19">
        <v>191.81100252136301</v>
      </c>
      <c r="D7" s="19">
        <v>49.9</v>
      </c>
      <c r="E7" s="19">
        <v>248.5</v>
      </c>
      <c r="F7" s="19">
        <v>265.60000000000002</v>
      </c>
      <c r="G7" s="19">
        <v>1827.6</v>
      </c>
      <c r="H7" s="19">
        <v>3624.8</v>
      </c>
      <c r="I7" s="19">
        <v>367.8</v>
      </c>
      <c r="J7" s="19">
        <v>258.60000000000002</v>
      </c>
      <c r="K7" s="19">
        <v>767.5</v>
      </c>
      <c r="L7" s="19">
        <v>1159.2</v>
      </c>
    </row>
    <row r="8" spans="1:12">
      <c r="A8" s="472">
        <v>1985</v>
      </c>
      <c r="B8" s="19">
        <v>9746.9</v>
      </c>
      <c r="C8" s="19">
        <v>197.05406535629399</v>
      </c>
      <c r="D8" s="19">
        <v>52.9</v>
      </c>
      <c r="E8" s="19">
        <v>285.3</v>
      </c>
      <c r="F8" s="19">
        <v>274.10000000000002</v>
      </c>
      <c r="G8" s="19">
        <v>2104.4</v>
      </c>
      <c r="H8" s="19">
        <v>3999.5</v>
      </c>
      <c r="I8" s="19">
        <v>415.6</v>
      </c>
      <c r="J8" s="19">
        <v>333.2</v>
      </c>
      <c r="K8" s="19">
        <v>831.3</v>
      </c>
      <c r="L8" s="19">
        <v>1227.0999999999999</v>
      </c>
    </row>
    <row r="9" spans="1:12">
      <c r="A9" s="472">
        <v>1986</v>
      </c>
      <c r="B9" s="19">
        <v>10808.7</v>
      </c>
      <c r="C9" s="19">
        <v>169.57687913036102</v>
      </c>
      <c r="D9" s="19">
        <v>49.6</v>
      </c>
      <c r="E9" s="19">
        <v>353.7</v>
      </c>
      <c r="F9" s="19">
        <v>285.89999999999998</v>
      </c>
      <c r="G9" s="19">
        <v>2486.1</v>
      </c>
      <c r="H9" s="19">
        <v>4367.1000000000004</v>
      </c>
      <c r="I9" s="19">
        <v>463.9</v>
      </c>
      <c r="J9" s="19">
        <v>377.7</v>
      </c>
      <c r="K9" s="19">
        <v>910.6</v>
      </c>
      <c r="L9" s="19">
        <v>1317.2</v>
      </c>
    </row>
    <row r="10" spans="1:12">
      <c r="A10" s="472">
        <v>1987</v>
      </c>
      <c r="B10" s="19">
        <v>11733.5</v>
      </c>
      <c r="C10" s="19">
        <v>188.01119656761199</v>
      </c>
      <c r="D10" s="19">
        <v>53.3</v>
      </c>
      <c r="E10" s="19">
        <v>395</v>
      </c>
      <c r="F10" s="19">
        <v>305.10000000000002</v>
      </c>
      <c r="G10" s="19">
        <v>2632.2</v>
      </c>
      <c r="H10" s="19">
        <v>4854.5</v>
      </c>
      <c r="I10" s="19">
        <v>449.9</v>
      </c>
      <c r="J10" s="19">
        <v>395.5</v>
      </c>
      <c r="K10" s="19">
        <v>985.5</v>
      </c>
      <c r="L10" s="19">
        <v>1444.9</v>
      </c>
    </row>
    <row r="11" spans="1:12">
      <c r="A11" s="472">
        <v>1988</v>
      </c>
      <c r="B11" s="19">
        <v>12796.4</v>
      </c>
      <c r="C11" s="19">
        <v>197.11370362093703</v>
      </c>
      <c r="D11" s="19">
        <v>56.5</v>
      </c>
      <c r="E11" s="19">
        <v>420.3</v>
      </c>
      <c r="F11" s="19">
        <v>330.5</v>
      </c>
      <c r="G11" s="19">
        <v>2850.8</v>
      </c>
      <c r="H11" s="19">
        <v>5321.9</v>
      </c>
      <c r="I11" s="19">
        <v>435.4</v>
      </c>
      <c r="J11" s="19">
        <v>369.3</v>
      </c>
      <c r="K11" s="19">
        <v>1184.9000000000001</v>
      </c>
      <c r="L11" s="19">
        <v>1597.1</v>
      </c>
    </row>
    <row r="12" spans="1:12">
      <c r="A12" s="472">
        <v>1989</v>
      </c>
      <c r="B12" s="19">
        <v>14184.3</v>
      </c>
      <c r="C12" s="19">
        <v>203.89898389336</v>
      </c>
      <c r="D12" s="19">
        <v>64.900000000000006</v>
      </c>
      <c r="E12" s="19">
        <v>470.3</v>
      </c>
      <c r="F12" s="19">
        <v>352.4</v>
      </c>
      <c r="G12" s="19">
        <v>3181.7</v>
      </c>
      <c r="H12" s="19">
        <v>5876.9</v>
      </c>
      <c r="I12" s="19">
        <v>484.2</v>
      </c>
      <c r="J12" s="19">
        <v>423.7</v>
      </c>
      <c r="K12" s="19">
        <v>1318.8</v>
      </c>
      <c r="L12" s="19">
        <v>1773</v>
      </c>
    </row>
    <row r="13" spans="1:12">
      <c r="A13" s="472">
        <v>1990</v>
      </c>
      <c r="B13" s="19">
        <v>15577.1</v>
      </c>
      <c r="C13" s="19">
        <v>220.55034426221101</v>
      </c>
      <c r="D13" s="19">
        <v>70</v>
      </c>
      <c r="E13" s="19">
        <v>490.4</v>
      </c>
      <c r="F13" s="19">
        <v>397.4</v>
      </c>
      <c r="G13" s="19">
        <v>3497.4</v>
      </c>
      <c r="H13" s="19">
        <v>6466.2</v>
      </c>
      <c r="I13" s="19">
        <v>533.20000000000005</v>
      </c>
      <c r="J13" s="19">
        <v>460.1</v>
      </c>
      <c r="K13" s="19">
        <v>1422.5</v>
      </c>
      <c r="L13" s="19">
        <v>1986</v>
      </c>
    </row>
    <row r="14" spans="1:12">
      <c r="A14" s="472">
        <v>1991</v>
      </c>
      <c r="B14" s="19">
        <v>16906.900000000001</v>
      </c>
      <c r="C14" s="19">
        <v>247.52985945936601</v>
      </c>
      <c r="D14" s="19">
        <v>76.8</v>
      </c>
      <c r="E14" s="19">
        <v>518.79999999999995</v>
      </c>
      <c r="F14" s="19">
        <v>442.4</v>
      </c>
      <c r="G14" s="19">
        <v>3819.3</v>
      </c>
      <c r="H14" s="19">
        <v>7038.2</v>
      </c>
      <c r="I14" s="19">
        <v>570</v>
      </c>
      <c r="J14" s="19">
        <v>490.9</v>
      </c>
      <c r="K14" s="19">
        <v>1505.1</v>
      </c>
      <c r="L14" s="19">
        <v>2159.5</v>
      </c>
    </row>
    <row r="15" spans="1:12">
      <c r="A15" s="472">
        <v>1992</v>
      </c>
      <c r="B15" s="19">
        <v>18112</v>
      </c>
      <c r="C15" s="19">
        <v>269.12522836057502</v>
      </c>
      <c r="D15" s="19">
        <v>85.8</v>
      </c>
      <c r="E15" s="19">
        <v>554.5</v>
      </c>
      <c r="F15" s="19">
        <v>466.7</v>
      </c>
      <c r="G15" s="19">
        <v>4141.5</v>
      </c>
      <c r="H15" s="19">
        <v>7573.7</v>
      </c>
      <c r="I15" s="19">
        <v>602.6</v>
      </c>
      <c r="J15" s="19">
        <v>505.8</v>
      </c>
      <c r="K15" s="19">
        <v>1584.2</v>
      </c>
      <c r="L15" s="19">
        <v>2291.1999999999998</v>
      </c>
    </row>
    <row r="16" spans="1:12">
      <c r="A16" s="472">
        <v>1993</v>
      </c>
      <c r="B16" s="19">
        <v>19578.099999999999</v>
      </c>
      <c r="C16" s="19">
        <v>284.16538459094897</v>
      </c>
      <c r="D16" s="19">
        <v>93.5</v>
      </c>
      <c r="E16" s="19">
        <v>579.5</v>
      </c>
      <c r="F16" s="19">
        <v>503</v>
      </c>
      <c r="G16" s="19">
        <v>4444.6000000000004</v>
      </c>
      <c r="H16" s="19">
        <v>8253.2000000000007</v>
      </c>
      <c r="I16" s="19">
        <v>660.2</v>
      </c>
      <c r="J16" s="19">
        <v>574.1</v>
      </c>
      <c r="K16" s="19">
        <v>1719.9</v>
      </c>
      <c r="L16" s="19">
        <v>2427</v>
      </c>
    </row>
    <row r="17" spans="1:12">
      <c r="A17" s="472">
        <v>1994</v>
      </c>
      <c r="B17" s="19">
        <v>20486.8</v>
      </c>
      <c r="C17" s="19">
        <v>299.77095051072905</v>
      </c>
      <c r="D17" s="19">
        <v>96.3</v>
      </c>
      <c r="E17" s="19">
        <v>608.29999999999995</v>
      </c>
      <c r="F17" s="19">
        <v>519.4</v>
      </c>
      <c r="G17" s="19">
        <v>4637.2</v>
      </c>
      <c r="H17" s="19">
        <v>8702.2999999999993</v>
      </c>
      <c r="I17" s="19">
        <v>686.4</v>
      </c>
      <c r="J17" s="19">
        <v>603.6</v>
      </c>
      <c r="K17" s="19">
        <v>1778</v>
      </c>
      <c r="L17" s="19">
        <v>2519.1</v>
      </c>
    </row>
    <row r="18" spans="1:12">
      <c r="A18" s="472">
        <v>1995</v>
      </c>
      <c r="B18" s="19">
        <v>21285.3</v>
      </c>
      <c r="C18" s="19">
        <v>295.062946260616</v>
      </c>
      <c r="D18" s="19">
        <v>104.3</v>
      </c>
      <c r="E18" s="19">
        <v>619.4</v>
      </c>
      <c r="F18" s="19">
        <v>495</v>
      </c>
      <c r="G18" s="19">
        <v>4647.8</v>
      </c>
      <c r="H18" s="19">
        <v>9374.4</v>
      </c>
      <c r="I18" s="19">
        <v>733.3</v>
      </c>
      <c r="J18" s="19">
        <v>618.79999999999995</v>
      </c>
      <c r="K18" s="19">
        <v>1801.6</v>
      </c>
      <c r="L18" s="19">
        <v>2560.6</v>
      </c>
    </row>
    <row r="19" spans="1:12">
      <c r="A19" s="472">
        <v>1996</v>
      </c>
      <c r="B19" s="19">
        <v>21819.7</v>
      </c>
      <c r="C19" s="19">
        <v>277.46069039436804</v>
      </c>
      <c r="D19" s="19">
        <v>105.8</v>
      </c>
      <c r="E19" s="19">
        <v>648.6</v>
      </c>
      <c r="F19" s="19">
        <v>487.1</v>
      </c>
      <c r="G19" s="19">
        <v>4711.8999999999996</v>
      </c>
      <c r="H19" s="19">
        <v>9613.7000000000007</v>
      </c>
      <c r="I19" s="19">
        <v>783.6</v>
      </c>
      <c r="J19" s="19">
        <v>625</v>
      </c>
      <c r="K19" s="19">
        <v>1846.4</v>
      </c>
      <c r="L19" s="19">
        <v>2675.5</v>
      </c>
    </row>
    <row r="20" spans="1:12">
      <c r="A20" s="472">
        <v>1997</v>
      </c>
      <c r="B20" s="19">
        <v>23433.8</v>
      </c>
      <c r="C20" s="19">
        <v>282.92145849676001</v>
      </c>
      <c r="D20" s="19">
        <v>110.1</v>
      </c>
      <c r="E20" s="19">
        <v>692.3</v>
      </c>
      <c r="F20" s="19">
        <v>549.1</v>
      </c>
      <c r="G20" s="19">
        <v>4960.8</v>
      </c>
      <c r="H20" s="19">
        <v>10266.5</v>
      </c>
      <c r="I20" s="19">
        <v>845.5</v>
      </c>
      <c r="J20" s="19">
        <v>677</v>
      </c>
      <c r="K20" s="19">
        <v>2131</v>
      </c>
      <c r="L20" s="19">
        <v>2875.2</v>
      </c>
    </row>
    <row r="21" spans="1:12">
      <c r="A21" s="472">
        <v>1998</v>
      </c>
      <c r="B21" s="19">
        <v>24715.5</v>
      </c>
      <c r="C21" s="19">
        <v>324.502549917897</v>
      </c>
      <c r="D21" s="19">
        <v>113.1</v>
      </c>
      <c r="E21" s="19">
        <v>755.1</v>
      </c>
      <c r="F21" s="19">
        <v>547.29999999999995</v>
      </c>
      <c r="G21" s="19">
        <v>4984.3999999999996</v>
      </c>
      <c r="H21" s="19">
        <v>11035.4</v>
      </c>
      <c r="I21" s="19">
        <v>900</v>
      </c>
      <c r="J21" s="19">
        <v>669.8</v>
      </c>
      <c r="K21" s="19">
        <v>2253.8000000000002</v>
      </c>
      <c r="L21" s="19">
        <v>3089.7</v>
      </c>
    </row>
    <row r="22" spans="1:12">
      <c r="A22" s="472">
        <v>1999</v>
      </c>
      <c r="B22" s="19">
        <v>26918.400000000001</v>
      </c>
      <c r="C22" s="19">
        <v>324.04383652236106</v>
      </c>
      <c r="D22" s="19">
        <v>119</v>
      </c>
      <c r="E22" s="19">
        <v>764</v>
      </c>
      <c r="F22" s="19">
        <v>604.6</v>
      </c>
      <c r="G22" s="19">
        <v>5534.9</v>
      </c>
      <c r="H22" s="19">
        <v>12006.2</v>
      </c>
      <c r="I22" s="19">
        <v>974.2</v>
      </c>
      <c r="J22" s="19">
        <v>718.1</v>
      </c>
      <c r="K22" s="19">
        <v>2538.1</v>
      </c>
      <c r="L22" s="19">
        <v>3289.7</v>
      </c>
    </row>
    <row r="23" spans="1:12">
      <c r="A23" s="472">
        <v>2000</v>
      </c>
      <c r="B23" s="19">
        <v>28986.9</v>
      </c>
      <c r="C23" s="19">
        <v>365.86275422603802</v>
      </c>
      <c r="D23" s="19">
        <v>123.5</v>
      </c>
      <c r="E23" s="19">
        <v>843.4</v>
      </c>
      <c r="F23" s="19">
        <v>638.70000000000005</v>
      </c>
      <c r="G23" s="19">
        <v>5890.3</v>
      </c>
      <c r="H23" s="19">
        <v>12927.7</v>
      </c>
      <c r="I23" s="19">
        <v>1047.4000000000001</v>
      </c>
      <c r="J23" s="19">
        <v>766.5</v>
      </c>
      <c r="K23" s="19">
        <v>2809.6</v>
      </c>
      <c r="L23" s="19">
        <v>3519.7</v>
      </c>
    </row>
    <row r="24" spans="1:12">
      <c r="A24" s="472">
        <v>2001</v>
      </c>
      <c r="B24" s="19">
        <v>32044.400000000001</v>
      </c>
      <c r="C24" s="19">
        <v>387.642216173164</v>
      </c>
      <c r="D24" s="19">
        <v>145.69999999999999</v>
      </c>
      <c r="E24" s="19">
        <v>913.9</v>
      </c>
      <c r="F24" s="19">
        <v>729.5</v>
      </c>
      <c r="G24" s="19">
        <v>6548.7</v>
      </c>
      <c r="H24" s="19">
        <v>14152.3</v>
      </c>
      <c r="I24" s="19">
        <v>1141.4000000000001</v>
      </c>
      <c r="J24" s="19">
        <v>871.3</v>
      </c>
      <c r="K24" s="19">
        <v>3265.2</v>
      </c>
      <c r="L24" s="19">
        <v>3824.5</v>
      </c>
    </row>
    <row r="25" spans="1:12">
      <c r="A25" s="472">
        <v>2002</v>
      </c>
      <c r="B25" s="19">
        <v>34944</v>
      </c>
      <c r="C25" s="19">
        <v>418.95936112189003</v>
      </c>
      <c r="D25" s="19">
        <v>145.1</v>
      </c>
      <c r="E25" s="19">
        <v>1032.4000000000001</v>
      </c>
      <c r="F25" s="19">
        <v>783.6</v>
      </c>
      <c r="G25" s="19">
        <v>7067.6</v>
      </c>
      <c r="H25" s="19">
        <v>15767.6</v>
      </c>
      <c r="I25" s="19">
        <v>1219.7</v>
      </c>
      <c r="J25" s="19">
        <v>901.3</v>
      </c>
      <c r="K25" s="19">
        <v>3373.7</v>
      </c>
      <c r="L25" s="19">
        <v>4160.6000000000004</v>
      </c>
    </row>
    <row r="26" spans="1:12">
      <c r="A26" s="472">
        <v>2003</v>
      </c>
      <c r="B26" s="19">
        <v>36898.699999999997</v>
      </c>
      <c r="C26" s="19">
        <v>466.93185640163404</v>
      </c>
      <c r="D26" s="19">
        <v>159.80000000000001</v>
      </c>
      <c r="E26" s="19">
        <v>1111.9000000000001</v>
      </c>
      <c r="F26" s="19">
        <v>831.9</v>
      </c>
      <c r="G26" s="19">
        <v>7593.8</v>
      </c>
      <c r="H26" s="19">
        <v>16446.7</v>
      </c>
      <c r="I26" s="19">
        <v>1270.3</v>
      </c>
      <c r="J26" s="19">
        <v>972.7</v>
      </c>
      <c r="K26" s="19">
        <v>3523.5</v>
      </c>
      <c r="L26" s="19">
        <v>4446.1000000000004</v>
      </c>
    </row>
    <row r="27" spans="1:12">
      <c r="A27" s="472">
        <v>2004</v>
      </c>
      <c r="B27" s="19">
        <v>39211.699999999997</v>
      </c>
      <c r="C27" s="19">
        <v>493.83880931225207</v>
      </c>
      <c r="D27" s="19">
        <v>158.6</v>
      </c>
      <c r="E27" s="19">
        <v>1128</v>
      </c>
      <c r="F27" s="19">
        <v>861.8</v>
      </c>
      <c r="G27" s="19">
        <v>7819.4</v>
      </c>
      <c r="H27" s="19">
        <v>17542.7</v>
      </c>
      <c r="I27" s="19">
        <v>1331.8</v>
      </c>
      <c r="J27" s="19">
        <v>1012.8</v>
      </c>
      <c r="K27" s="19">
        <v>3875.9</v>
      </c>
      <c r="L27" s="19">
        <v>4907.5</v>
      </c>
    </row>
    <row r="28" spans="1:12">
      <c r="A28" s="472">
        <v>2005</v>
      </c>
      <c r="B28" s="19">
        <v>42167.9</v>
      </c>
      <c r="C28" s="19">
        <v>547.55029761830906</v>
      </c>
      <c r="D28" s="19">
        <v>161.5</v>
      </c>
      <c r="E28" s="19">
        <v>1202.9000000000001</v>
      </c>
      <c r="F28" s="19">
        <v>994.4</v>
      </c>
      <c r="G28" s="19">
        <v>8491.7000000000007</v>
      </c>
      <c r="H28" s="19">
        <v>18807.3</v>
      </c>
      <c r="I28" s="19">
        <v>1402.4</v>
      </c>
      <c r="J28" s="19">
        <v>1055.7</v>
      </c>
      <c r="K28" s="19">
        <v>4173.5</v>
      </c>
      <c r="L28" s="19">
        <v>5242.9</v>
      </c>
    </row>
    <row r="29" spans="1:12">
      <c r="A29" s="472">
        <v>2006</v>
      </c>
      <c r="B29" s="19">
        <v>44555.6</v>
      </c>
      <c r="C29" s="19">
        <v>568.69421874786701</v>
      </c>
      <c r="D29" s="19">
        <v>174.5</v>
      </c>
      <c r="E29" s="19">
        <v>1272.5999999999999</v>
      </c>
      <c r="F29" s="19">
        <v>1060.7</v>
      </c>
      <c r="G29" s="19">
        <v>8982.2999999999993</v>
      </c>
      <c r="H29" s="19">
        <v>19743</v>
      </c>
      <c r="I29" s="19">
        <v>1448.8</v>
      </c>
      <c r="J29" s="19">
        <v>1097.2</v>
      </c>
      <c r="K29" s="19">
        <v>4530.6000000000004</v>
      </c>
      <c r="L29" s="19">
        <v>5583.4</v>
      </c>
    </row>
    <row r="30" spans="1:12">
      <c r="A30" s="472">
        <v>2007</v>
      </c>
      <c r="B30" s="19">
        <v>47098.3</v>
      </c>
      <c r="C30" s="19">
        <v>597.16601840875603</v>
      </c>
      <c r="D30" s="19">
        <v>185.7</v>
      </c>
      <c r="E30" s="19">
        <v>1323.8</v>
      </c>
      <c r="F30" s="19">
        <v>1144.5</v>
      </c>
      <c r="G30" s="19">
        <v>9513</v>
      </c>
      <c r="H30" s="19">
        <v>20925.7</v>
      </c>
      <c r="I30" s="19">
        <v>1529.7</v>
      </c>
      <c r="J30" s="19">
        <v>1128.5</v>
      </c>
      <c r="K30" s="19">
        <v>4790</v>
      </c>
      <c r="L30" s="19">
        <v>5860.2</v>
      </c>
    </row>
    <row r="31" spans="1:12">
      <c r="A31" s="472">
        <v>2008</v>
      </c>
      <c r="B31" s="932">
        <f>B30*POWER(B30/B25,1/5)</f>
        <v>49995.596538448226</v>
      </c>
      <c r="C31" s="932">
        <f t="shared" ref="C31:K31" si="0">C30*POWER(C30/C25,1/5)</f>
        <v>641.03202073202033</v>
      </c>
      <c r="D31" s="932">
        <f t="shared" si="0"/>
        <v>195.09260242103548</v>
      </c>
      <c r="E31" s="932">
        <f t="shared" si="0"/>
        <v>1391.2886843319018</v>
      </c>
      <c r="F31" s="932">
        <f t="shared" si="0"/>
        <v>1234.5823701579698</v>
      </c>
      <c r="G31" s="932">
        <f t="shared" si="0"/>
        <v>10095.471420778549</v>
      </c>
      <c r="H31" s="932">
        <f t="shared" si="0"/>
        <v>22144.346834757282</v>
      </c>
      <c r="I31" s="932">
        <f t="shared" si="0"/>
        <v>1600.5782655557971</v>
      </c>
      <c r="J31" s="932">
        <f t="shared" si="0"/>
        <v>1180.3967413070936</v>
      </c>
      <c r="K31" s="932">
        <f t="shared" si="0"/>
        <v>5137.8488527057507</v>
      </c>
      <c r="L31" s="932">
        <f>L30*POWER(L30/L25,1/5)</f>
        <v>6275.7225155559363</v>
      </c>
    </row>
    <row r="32" spans="1:12">
      <c r="A32" s="472" t="s">
        <v>1418</v>
      </c>
      <c r="B32" s="475">
        <f>(POWER(B30/B4, 1/26)-1)*100</f>
        <v>8.0220263601872954</v>
      </c>
      <c r="C32" s="475">
        <f t="shared" ref="C32:L32" si="1">(POWER(C30/C4, 1/26)-1)*100</f>
        <v>4.0859097884985651</v>
      </c>
      <c r="D32" s="475">
        <f t="shared" si="1"/>
        <v>5.2331327576119246</v>
      </c>
      <c r="E32" s="475">
        <f t="shared" si="1"/>
        <v>8.2931565279184216</v>
      </c>
      <c r="F32" s="475">
        <f t="shared" si="1"/>
        <v>7.4267976019185333</v>
      </c>
      <c r="G32" s="475">
        <f t="shared" si="1"/>
        <v>7.6569131785857669</v>
      </c>
      <c r="H32" s="475">
        <f t="shared" si="1"/>
        <v>8.7247725483595051</v>
      </c>
      <c r="I32" s="475">
        <f t="shared" si="1"/>
        <v>6.6389973998000285</v>
      </c>
      <c r="J32" s="475">
        <f t="shared" si="1"/>
        <v>7.1825116339625961</v>
      </c>
      <c r="K32" s="475">
        <f t="shared" si="1"/>
        <v>8.4482455644899535</v>
      </c>
      <c r="L32" s="475">
        <f t="shared" si="1"/>
        <v>7.5690833046660577</v>
      </c>
    </row>
    <row r="33" spans="1:15">
      <c r="A33" s="472" t="s">
        <v>1707</v>
      </c>
      <c r="B33" s="475">
        <f>(POWER(B31/B4, 1/27)-1)*100</f>
        <v>7.952166939087979</v>
      </c>
      <c r="C33" s="475">
        <f t="shared" ref="C33:L33" si="2">(POWER(C31/C4, 1/27)-1)*100</f>
        <v>4.204858537680245</v>
      </c>
      <c r="D33" s="475">
        <f t="shared" si="2"/>
        <v>5.2266390868190404</v>
      </c>
      <c r="E33" s="475">
        <f t="shared" si="2"/>
        <v>8.1731070118010294</v>
      </c>
      <c r="F33" s="475">
        <f t="shared" si="2"/>
        <v>7.4432129289065507</v>
      </c>
      <c r="G33" s="475">
        <f t="shared" si="2"/>
        <v>7.5997043892276128</v>
      </c>
      <c r="H33" s="475">
        <f t="shared" si="2"/>
        <v>8.6159198579194083</v>
      </c>
      <c r="I33" s="475">
        <f t="shared" si="2"/>
        <v>6.5640377980960007</v>
      </c>
      <c r="J33" s="475">
        <f t="shared" si="2"/>
        <v>7.0856877081832748</v>
      </c>
      <c r="K33" s="475">
        <f t="shared" si="2"/>
        <v>8.4040767448027687</v>
      </c>
      <c r="L33" s="475">
        <f t="shared" si="2"/>
        <v>7.5513231115144297</v>
      </c>
    </row>
    <row r="34" spans="1:15">
      <c r="A34" s="309" t="s">
        <v>391</v>
      </c>
      <c r="B34" s="475"/>
      <c r="C34" s="475"/>
      <c r="D34" s="475"/>
      <c r="E34" s="475"/>
      <c r="F34" s="475"/>
      <c r="G34" s="475"/>
      <c r="H34" s="475"/>
      <c r="I34" s="475"/>
      <c r="J34" s="475"/>
      <c r="K34" s="475"/>
    </row>
    <row r="35" spans="1:15" ht="26.25" customHeight="1">
      <c r="A35" s="1319" t="s">
        <v>1505</v>
      </c>
      <c r="B35" s="1243"/>
      <c r="C35" s="1243"/>
      <c r="D35" s="1243"/>
      <c r="E35" s="1243"/>
      <c r="F35" s="1243"/>
      <c r="G35" s="1243"/>
      <c r="H35" s="1243"/>
      <c r="I35" s="1243"/>
      <c r="J35" s="1243"/>
      <c r="K35" s="1243"/>
      <c r="L35" s="1243"/>
    </row>
    <row r="36" spans="1:15">
      <c r="A36" s="739" t="s">
        <v>1775</v>
      </c>
      <c r="B36" s="933"/>
      <c r="C36" s="933"/>
      <c r="D36" s="933"/>
      <c r="E36" s="933"/>
      <c r="F36" s="933"/>
      <c r="G36" s="933"/>
      <c r="H36" s="933"/>
      <c r="I36" s="933"/>
      <c r="J36" s="933"/>
      <c r="K36" s="933"/>
      <c r="L36" s="933"/>
    </row>
    <row r="37" spans="1:15">
      <c r="A37" s="739" t="s">
        <v>1776</v>
      </c>
      <c r="B37" s="933"/>
      <c r="C37" s="933"/>
      <c r="D37" s="933"/>
      <c r="E37" s="933"/>
      <c r="F37" s="933"/>
      <c r="G37" s="933"/>
      <c r="H37" s="933"/>
      <c r="I37" s="933"/>
      <c r="J37" s="933"/>
      <c r="K37" s="933"/>
      <c r="L37" s="933"/>
    </row>
    <row r="38" spans="1:15" ht="12.75" customHeight="1">
      <c r="A38" s="1319" t="s">
        <v>1777</v>
      </c>
      <c r="B38" s="1243"/>
      <c r="C38" s="1243"/>
      <c r="D38" s="1243"/>
      <c r="E38" s="1243"/>
      <c r="F38" s="1243"/>
      <c r="G38" s="1243"/>
      <c r="H38" s="1243"/>
      <c r="I38" s="1243"/>
      <c r="J38" s="1243"/>
      <c r="K38" s="1243"/>
      <c r="L38" s="1243"/>
      <c r="M38" s="727"/>
      <c r="N38" s="727"/>
      <c r="O38" s="727"/>
    </row>
    <row r="39" spans="1:15">
      <c r="A39" s="476"/>
    </row>
  </sheetData>
  <mergeCells count="2">
    <mergeCell ref="A35:L35"/>
    <mergeCell ref="A38:L38"/>
  </mergeCells>
  <pageMargins left="0.7" right="0.7" top="0.75" bottom="0.75" header="0.3" footer="0.3"/>
  <pageSetup scale="84" orientation="landscape" verticalDpi="0" r:id="rId1"/>
</worksheet>
</file>

<file path=xl/worksheets/sheet206.xml><?xml version="1.0" encoding="utf-8"?>
<worksheet xmlns="http://schemas.openxmlformats.org/spreadsheetml/2006/main" xmlns:r="http://schemas.openxmlformats.org/officeDocument/2006/relationships">
  <sheetPr codeName="Sheet201"/>
  <dimension ref="A1:EH50"/>
  <sheetViews>
    <sheetView view="pageBreakPreview" zoomScale="70" zoomScaleNormal="100" zoomScaleSheetLayoutView="70" workbookViewId="0">
      <pane xSplit="1" ySplit="17" topLeftCell="S18" activePane="bottomRight" state="frozen"/>
      <selection activeCell="H62" sqref="H62"/>
      <selection pane="topRight" activeCell="H62" sqref="H62"/>
      <selection pane="bottomLeft" activeCell="H62" sqref="H62"/>
      <selection pane="bottomRight" activeCell="H62" sqref="H62"/>
    </sheetView>
  </sheetViews>
  <sheetFormatPr defaultColWidth="10.140625" defaultRowHeight="12.75"/>
  <cols>
    <col min="1" max="1" width="10.140625" style="739"/>
    <col min="2" max="2" width="11.42578125" style="739" customWidth="1"/>
    <col min="3" max="3" width="10.140625" style="739"/>
    <col min="4" max="4" width="11.5703125" style="739" bestFit="1" customWidth="1"/>
    <col min="5" max="6" width="10.140625" style="739"/>
    <col min="7" max="7" width="11.28515625" style="739" customWidth="1"/>
    <col min="8" max="15" width="10.140625" style="739"/>
    <col min="16" max="21" width="10.28515625" style="739" bestFit="1" customWidth="1"/>
    <col min="22" max="22" width="10.85546875" style="739" bestFit="1" customWidth="1"/>
    <col min="23" max="23" width="10.28515625" style="739" bestFit="1" customWidth="1"/>
    <col min="24" max="24" width="11.7109375" style="739" bestFit="1" customWidth="1"/>
    <col min="25" max="25" width="10.28515625" style="739" bestFit="1" customWidth="1"/>
    <col min="26" max="26" width="10.85546875" style="739" bestFit="1" customWidth="1"/>
    <col min="27" max="27" width="10.28515625" style="739" bestFit="1" customWidth="1"/>
    <col min="28" max="28" width="11.7109375" style="739" bestFit="1" customWidth="1"/>
    <col min="29" max="33" width="10.28515625" style="739" bestFit="1" customWidth="1"/>
    <col min="34" max="43" width="10.140625" style="739"/>
    <col min="44" max="44" width="11.5703125" style="739" bestFit="1" customWidth="1"/>
    <col min="45" max="16384" width="10.140625" style="739"/>
  </cols>
  <sheetData>
    <row r="1" spans="1:45" ht="15.75">
      <c r="A1" s="40" t="s">
        <v>2251</v>
      </c>
      <c r="R1" s="40" t="s">
        <v>2252</v>
      </c>
      <c r="AH1" s="40" t="s">
        <v>2253</v>
      </c>
    </row>
    <row r="2" spans="1:45">
      <c r="A2" s="739" t="s">
        <v>617</v>
      </c>
    </row>
    <row r="3" spans="1:45" s="477" customFormat="1" ht="15">
      <c r="B3" s="477" t="s">
        <v>375</v>
      </c>
      <c r="F3" s="477" t="s">
        <v>1039</v>
      </c>
      <c r="J3" s="477" t="s">
        <v>1040</v>
      </c>
      <c r="N3" s="477" t="s">
        <v>791</v>
      </c>
      <c r="R3" s="477" t="s">
        <v>792</v>
      </c>
      <c r="V3" s="477" t="s">
        <v>1041</v>
      </c>
      <c r="Z3" s="477" t="s">
        <v>738</v>
      </c>
      <c r="AD3" s="477" t="s">
        <v>739</v>
      </c>
      <c r="AH3" s="477" t="s">
        <v>740</v>
      </c>
      <c r="AL3" s="477" t="s">
        <v>741</v>
      </c>
      <c r="AP3" s="477" t="s">
        <v>742</v>
      </c>
    </row>
    <row r="4" spans="1:45" s="729" customFormat="1" ht="12.75" customHeight="1">
      <c r="A4" s="478"/>
      <c r="B4" s="732" t="s">
        <v>1506</v>
      </c>
      <c r="C4" s="731" t="s">
        <v>1507</v>
      </c>
      <c r="D4" s="731" t="s">
        <v>1508</v>
      </c>
      <c r="E4" s="731" t="s">
        <v>1507</v>
      </c>
      <c r="F4" s="731" t="s">
        <v>1506</v>
      </c>
      <c r="G4" s="731" t="s">
        <v>1507</v>
      </c>
      <c r="H4" s="731" t="s">
        <v>1508</v>
      </c>
      <c r="I4" s="731" t="s">
        <v>1507</v>
      </c>
      <c r="J4" s="731" t="s">
        <v>1506</v>
      </c>
      <c r="K4" s="731" t="s">
        <v>1507</v>
      </c>
      <c r="L4" s="731" t="s">
        <v>1508</v>
      </c>
      <c r="M4" s="731" t="s">
        <v>1507</v>
      </c>
      <c r="N4" s="731" t="s">
        <v>1506</v>
      </c>
      <c r="O4" s="731" t="s">
        <v>1507</v>
      </c>
      <c r="P4" s="731" t="s">
        <v>1508</v>
      </c>
      <c r="Q4" s="731" t="s">
        <v>1507</v>
      </c>
      <c r="R4" s="731" t="s">
        <v>1506</v>
      </c>
      <c r="S4" s="731" t="s">
        <v>1507</v>
      </c>
      <c r="T4" s="731" t="s">
        <v>1508</v>
      </c>
      <c r="U4" s="731" t="s">
        <v>1507</v>
      </c>
      <c r="V4" s="731" t="s">
        <v>1506</v>
      </c>
      <c r="W4" s="731" t="s">
        <v>1507</v>
      </c>
      <c r="X4" s="731" t="s">
        <v>1508</v>
      </c>
      <c r="Y4" s="731" t="s">
        <v>1507</v>
      </c>
      <c r="Z4" s="731" t="s">
        <v>1506</v>
      </c>
      <c r="AA4" s="731" t="s">
        <v>1507</v>
      </c>
      <c r="AB4" s="731" t="s">
        <v>1508</v>
      </c>
      <c r="AC4" s="731" t="s">
        <v>1507</v>
      </c>
      <c r="AD4" s="731" t="s">
        <v>1506</v>
      </c>
      <c r="AE4" s="731" t="s">
        <v>1507</v>
      </c>
      <c r="AF4" s="731" t="s">
        <v>1508</v>
      </c>
      <c r="AG4" s="731" t="s">
        <v>1507</v>
      </c>
      <c r="AH4" s="731" t="s">
        <v>1506</v>
      </c>
      <c r="AI4" s="731" t="s">
        <v>1507</v>
      </c>
      <c r="AJ4" s="731" t="s">
        <v>1508</v>
      </c>
      <c r="AK4" s="731" t="s">
        <v>1507</v>
      </c>
      <c r="AL4" s="731" t="s">
        <v>1506</v>
      </c>
      <c r="AM4" s="731" t="s">
        <v>1507</v>
      </c>
      <c r="AN4" s="731" t="s">
        <v>1508</v>
      </c>
      <c r="AO4" s="731" t="s">
        <v>1507</v>
      </c>
      <c r="AP4" s="731" t="s">
        <v>1506</v>
      </c>
      <c r="AQ4" s="731" t="s">
        <v>1507</v>
      </c>
      <c r="AR4" s="731" t="s">
        <v>1508</v>
      </c>
      <c r="AS4" s="731" t="s">
        <v>1507</v>
      </c>
    </row>
    <row r="5" spans="1:45" s="729" customFormat="1" ht="12.75" customHeight="1">
      <c r="A5" s="478"/>
    </row>
    <row r="6" spans="1:45" s="729" customFormat="1" ht="12.75" customHeight="1">
      <c r="A6" s="478"/>
      <c r="B6" s="732" t="s">
        <v>584</v>
      </c>
      <c r="C6" s="731" t="s">
        <v>1509</v>
      </c>
      <c r="D6" s="731" t="s">
        <v>587</v>
      </c>
      <c r="E6" s="731" t="s">
        <v>1510</v>
      </c>
      <c r="F6" s="731" t="s">
        <v>592</v>
      </c>
      <c r="G6" s="731" t="s">
        <v>1511</v>
      </c>
      <c r="H6" s="731" t="s">
        <v>595</v>
      </c>
      <c r="I6" s="731" t="s">
        <v>1512</v>
      </c>
      <c r="J6" s="731" t="s">
        <v>721</v>
      </c>
      <c r="K6" s="731" t="s">
        <v>1513</v>
      </c>
      <c r="L6" s="731" t="s">
        <v>1253</v>
      </c>
      <c r="M6" s="731" t="s">
        <v>1514</v>
      </c>
      <c r="N6" s="731" t="s">
        <v>1290</v>
      </c>
      <c r="O6" s="731" t="s">
        <v>1515</v>
      </c>
      <c r="P6" s="731" t="s">
        <v>1292</v>
      </c>
      <c r="Q6" s="731" t="s">
        <v>1516</v>
      </c>
      <c r="R6" s="731" t="s">
        <v>584</v>
      </c>
      <c r="S6" s="731" t="s">
        <v>1509</v>
      </c>
      <c r="T6" s="731" t="s">
        <v>587</v>
      </c>
      <c r="U6" s="731" t="s">
        <v>1510</v>
      </c>
      <c r="V6" s="731" t="s">
        <v>592</v>
      </c>
      <c r="W6" s="731" t="s">
        <v>1511</v>
      </c>
      <c r="X6" s="731" t="s">
        <v>595</v>
      </c>
      <c r="Y6" s="731" t="s">
        <v>1512</v>
      </c>
      <c r="Z6" s="731" t="s">
        <v>721</v>
      </c>
      <c r="AA6" s="731" t="s">
        <v>1513</v>
      </c>
      <c r="AB6" s="731" t="s">
        <v>1253</v>
      </c>
      <c r="AC6" s="731" t="s">
        <v>1514</v>
      </c>
      <c r="AD6" s="731" t="s">
        <v>1290</v>
      </c>
      <c r="AE6" s="731" t="s">
        <v>1515</v>
      </c>
      <c r="AF6" s="731" t="s">
        <v>1292</v>
      </c>
      <c r="AG6" s="731" t="s">
        <v>1516</v>
      </c>
      <c r="AH6" s="731" t="s">
        <v>584</v>
      </c>
      <c r="AI6" s="731" t="s">
        <v>1509</v>
      </c>
      <c r="AJ6" s="731" t="s">
        <v>587</v>
      </c>
      <c r="AK6" s="731" t="s">
        <v>1510</v>
      </c>
      <c r="AL6" s="731" t="s">
        <v>592</v>
      </c>
      <c r="AM6" s="731" t="s">
        <v>1511</v>
      </c>
      <c r="AN6" s="731" t="s">
        <v>595</v>
      </c>
      <c r="AO6" s="731" t="s">
        <v>1512</v>
      </c>
      <c r="AP6" s="731" t="s">
        <v>721</v>
      </c>
      <c r="AQ6" s="731" t="s">
        <v>1513</v>
      </c>
      <c r="AR6" s="731" t="s">
        <v>1253</v>
      </c>
      <c r="AS6" s="731" t="s">
        <v>1514</v>
      </c>
    </row>
    <row r="7" spans="1:45" s="729" customFormat="1" ht="12.75" hidden="1" customHeight="1">
      <c r="A7" s="478"/>
    </row>
    <row r="8" spans="1:45" ht="12.75" hidden="1" customHeight="1">
      <c r="A8" s="2">
        <v>1971</v>
      </c>
      <c r="B8" s="19">
        <v>13766356</v>
      </c>
      <c r="C8" s="725">
        <v>62.682524094309663</v>
      </c>
      <c r="D8" s="19">
        <v>4068886</v>
      </c>
      <c r="E8" s="725">
        <v>18.526910442531001</v>
      </c>
      <c r="F8" s="19">
        <v>302409</v>
      </c>
      <c r="G8" s="725">
        <v>56.966510565993666</v>
      </c>
      <c r="H8" s="19">
        <v>80655</v>
      </c>
      <c r="I8" s="725">
        <v>15.193443018231001</v>
      </c>
      <c r="J8" s="19">
        <v>64651</v>
      </c>
      <c r="K8" s="725">
        <v>57.421108259097089</v>
      </c>
      <c r="L8" s="19">
        <v>20349</v>
      </c>
      <c r="M8" s="725">
        <v>18.073380643213046</v>
      </c>
      <c r="N8" s="19">
        <v>482633</v>
      </c>
      <c r="O8" s="725">
        <v>60.533880851981827</v>
      </c>
      <c r="P8" s="19">
        <v>151091</v>
      </c>
      <c r="Q8" s="725">
        <v>18.950474981625348</v>
      </c>
      <c r="R8" s="19">
        <v>383191</v>
      </c>
      <c r="S8" s="725">
        <v>59.643314639882583</v>
      </c>
      <c r="T8" s="19">
        <v>114458</v>
      </c>
      <c r="U8" s="725">
        <v>17.815278821923481</v>
      </c>
      <c r="V8" s="19">
        <v>3919243</v>
      </c>
      <c r="W8" s="725">
        <v>63.859348688064223</v>
      </c>
      <c r="X8" s="19">
        <v>1095014</v>
      </c>
      <c r="Y8" s="725">
        <v>17.841935507523253</v>
      </c>
      <c r="Z8" s="19">
        <v>4971830</v>
      </c>
      <c r="AA8" s="725">
        <v>63.343265349959943</v>
      </c>
      <c r="AB8" s="19">
        <v>1490962</v>
      </c>
      <c r="AC8" s="725">
        <v>18.995500971012074</v>
      </c>
      <c r="AD8" s="19">
        <v>614724</v>
      </c>
      <c r="AE8" s="725">
        <v>61.541572727745987</v>
      </c>
      <c r="AF8" s="19">
        <v>197335</v>
      </c>
      <c r="AG8" s="725">
        <v>19.75570541288408</v>
      </c>
      <c r="AH8" s="19">
        <v>556038</v>
      </c>
      <c r="AI8" s="725">
        <v>59.658297193891244</v>
      </c>
      <c r="AJ8" s="19">
        <v>187632</v>
      </c>
      <c r="AK8" s="725">
        <v>20.13136803435053</v>
      </c>
      <c r="AL8" s="19">
        <v>1025070</v>
      </c>
      <c r="AM8" s="725">
        <v>61.539265073238738</v>
      </c>
      <c r="AN8" s="19">
        <v>284038</v>
      </c>
      <c r="AO8" s="725">
        <v>17.051996227450399</v>
      </c>
      <c r="AP8" s="19">
        <v>1414255</v>
      </c>
      <c r="AQ8" s="725">
        <v>63.123139341298931</v>
      </c>
      <c r="AR8" s="19">
        <v>441059</v>
      </c>
      <c r="AS8" s="725">
        <v>19.686003383218701</v>
      </c>
    </row>
    <row r="9" spans="1:45" hidden="1">
      <c r="A9" s="2">
        <v>1972</v>
      </c>
      <c r="B9" s="19">
        <v>14072053</v>
      </c>
      <c r="C9" s="725">
        <v>63.334952557249345</v>
      </c>
      <c r="D9" s="19">
        <v>4148703</v>
      </c>
      <c r="E9" s="725">
        <v>18.672322203385537</v>
      </c>
      <c r="F9" s="19">
        <v>310346</v>
      </c>
      <c r="G9" s="725">
        <v>57.564864483866415</v>
      </c>
      <c r="H9" s="19">
        <v>82075</v>
      </c>
      <c r="I9" s="725">
        <v>15.223770412743637</v>
      </c>
      <c r="J9" s="19">
        <v>65735</v>
      </c>
      <c r="K9" s="725">
        <v>57.936717786003875</v>
      </c>
      <c r="L9" s="19">
        <v>20486</v>
      </c>
      <c r="M9" s="725">
        <v>18.055702450202716</v>
      </c>
      <c r="N9" s="19">
        <v>489877</v>
      </c>
      <c r="O9" s="725">
        <v>61.062505063851269</v>
      </c>
      <c r="P9" s="19">
        <v>151892</v>
      </c>
      <c r="Q9" s="725">
        <v>18.933132233516776</v>
      </c>
      <c r="R9" s="19">
        <v>391119</v>
      </c>
      <c r="S9" s="725">
        <v>60.286326874434501</v>
      </c>
      <c r="T9" s="19">
        <v>115684</v>
      </c>
      <c r="U9" s="725">
        <v>17.831308216021419</v>
      </c>
      <c r="V9" s="19">
        <v>3994878</v>
      </c>
      <c r="W9" s="725">
        <v>64.702595438837903</v>
      </c>
      <c r="X9" s="19">
        <v>1115712</v>
      </c>
      <c r="Y9" s="725">
        <v>18.070504821988735</v>
      </c>
      <c r="Z9" s="19">
        <v>5089215</v>
      </c>
      <c r="AA9" s="725">
        <v>63.909835809269154</v>
      </c>
      <c r="AB9" s="19">
        <v>1526174</v>
      </c>
      <c r="AC9" s="725">
        <v>19.16553530483101</v>
      </c>
      <c r="AD9" s="19">
        <v>620343</v>
      </c>
      <c r="AE9" s="725">
        <v>61.931988355237145</v>
      </c>
      <c r="AF9" s="19">
        <v>198591</v>
      </c>
      <c r="AG9" s="725">
        <v>19.82634687496256</v>
      </c>
      <c r="AH9" s="19">
        <v>553449</v>
      </c>
      <c r="AI9" s="725">
        <v>60.106540107300333</v>
      </c>
      <c r="AJ9" s="19">
        <v>187014</v>
      </c>
      <c r="AK9" s="725">
        <v>20.310389018006472</v>
      </c>
      <c r="AL9" s="19">
        <v>1054214</v>
      </c>
      <c r="AM9" s="725">
        <v>62.228925263710899</v>
      </c>
      <c r="AN9" s="19">
        <v>290306</v>
      </c>
      <c r="AO9" s="725">
        <v>17.136397712045994</v>
      </c>
      <c r="AP9" s="19">
        <v>1468208</v>
      </c>
      <c r="AQ9" s="725">
        <v>63.777287208210296</v>
      </c>
      <c r="AR9" s="19">
        <v>454093</v>
      </c>
      <c r="AS9" s="725">
        <v>19.72528393813263</v>
      </c>
    </row>
    <row r="10" spans="1:45" ht="12.75" hidden="1" customHeight="1">
      <c r="A10" s="2">
        <v>1973</v>
      </c>
      <c r="B10" s="19">
        <v>14397461</v>
      </c>
      <c r="C10" s="725">
        <v>64.012109847967992</v>
      </c>
      <c r="D10" s="19">
        <v>4226803</v>
      </c>
      <c r="E10" s="725">
        <v>18.79265920162733</v>
      </c>
      <c r="F10" s="19">
        <v>316915</v>
      </c>
      <c r="G10" s="725">
        <v>58.089746151209489</v>
      </c>
      <c r="H10" s="19">
        <v>83008</v>
      </c>
      <c r="I10" s="725">
        <v>15.21516384052379</v>
      </c>
      <c r="J10" s="19">
        <v>67162</v>
      </c>
      <c r="K10" s="725">
        <v>58.595358576164713</v>
      </c>
      <c r="L10" s="19">
        <v>20577</v>
      </c>
      <c r="M10" s="725">
        <v>17.952364334322109</v>
      </c>
      <c r="N10" s="19">
        <v>500907</v>
      </c>
      <c r="O10" s="725">
        <v>61.658743503703903</v>
      </c>
      <c r="P10" s="19">
        <v>153159</v>
      </c>
      <c r="Q10" s="725">
        <v>18.852983680171743</v>
      </c>
      <c r="R10" s="19">
        <v>400204</v>
      </c>
      <c r="S10" s="725">
        <v>60.93982214642466</v>
      </c>
      <c r="T10" s="19">
        <v>116926</v>
      </c>
      <c r="U10" s="725">
        <v>17.804543793397489</v>
      </c>
      <c r="V10" s="19">
        <v>4073769</v>
      </c>
      <c r="W10" s="725">
        <v>65.566896914913841</v>
      </c>
      <c r="X10" s="19">
        <v>1137245</v>
      </c>
      <c r="Y10" s="725">
        <v>18.303842383306758</v>
      </c>
      <c r="Z10" s="19">
        <v>5209052</v>
      </c>
      <c r="AA10" s="725">
        <v>64.504014402987181</v>
      </c>
      <c r="AB10" s="19">
        <v>1559417</v>
      </c>
      <c r="AC10" s="725">
        <v>19.310357552250021</v>
      </c>
      <c r="AD10" s="19">
        <v>628358</v>
      </c>
      <c r="AE10" s="725">
        <v>62.376831275475055</v>
      </c>
      <c r="AF10" s="19">
        <v>199642</v>
      </c>
      <c r="AG10" s="725">
        <v>19.818376386547783</v>
      </c>
      <c r="AH10" s="19">
        <v>551496</v>
      </c>
      <c r="AI10" s="725">
        <v>60.475230196822807</v>
      </c>
      <c r="AJ10" s="19">
        <v>186256</v>
      </c>
      <c r="AK10" s="725">
        <v>20.424217901017286</v>
      </c>
      <c r="AL10" s="19">
        <v>1086618</v>
      </c>
      <c r="AM10" s="725">
        <v>62.980408931176527</v>
      </c>
      <c r="AN10" s="19">
        <v>296613</v>
      </c>
      <c r="AO10" s="725">
        <v>17.191697573851215</v>
      </c>
      <c r="AP10" s="19">
        <v>1526058</v>
      </c>
      <c r="AQ10" s="725">
        <v>64.464862704776934</v>
      </c>
      <c r="AR10" s="19">
        <v>466980</v>
      </c>
      <c r="AS10" s="725">
        <v>19.72651208923693</v>
      </c>
    </row>
    <row r="11" spans="1:45" ht="12.75" hidden="1" customHeight="1">
      <c r="A11" s="2">
        <v>1974</v>
      </c>
      <c r="B11" s="19">
        <v>14760170</v>
      </c>
      <c r="C11" s="725">
        <v>64.714968702386429</v>
      </c>
      <c r="D11" s="19">
        <v>4300461</v>
      </c>
      <c r="E11" s="725">
        <v>18.855080871076247</v>
      </c>
      <c r="F11" s="19">
        <v>322105</v>
      </c>
      <c r="G11" s="725">
        <v>58.606742309007942</v>
      </c>
      <c r="H11" s="19">
        <v>83599</v>
      </c>
      <c r="I11" s="725">
        <v>15.210769936172225</v>
      </c>
      <c r="J11" s="19">
        <v>68702</v>
      </c>
      <c r="K11" s="725">
        <v>59.245270002242108</v>
      </c>
      <c r="L11" s="19">
        <v>20723</v>
      </c>
      <c r="M11" s="725">
        <v>17.870509304772252</v>
      </c>
      <c r="N11" s="19">
        <v>509762</v>
      </c>
      <c r="O11" s="725">
        <v>62.260931589701876</v>
      </c>
      <c r="P11" s="19">
        <v>153979</v>
      </c>
      <c r="Q11" s="725">
        <v>18.806572449987847</v>
      </c>
      <c r="R11" s="19">
        <v>409053</v>
      </c>
      <c r="S11" s="725">
        <v>61.535418145932873</v>
      </c>
      <c r="T11" s="19">
        <v>118001</v>
      </c>
      <c r="U11" s="725">
        <v>17.751344878629968</v>
      </c>
      <c r="V11" s="19">
        <v>4162467</v>
      </c>
      <c r="W11" s="725">
        <v>66.402167256301311</v>
      </c>
      <c r="X11" s="19">
        <v>1156962</v>
      </c>
      <c r="Y11" s="725">
        <v>18.456550942790631</v>
      </c>
      <c r="Z11" s="19">
        <v>5344603</v>
      </c>
      <c r="AA11" s="725">
        <v>65.144123033418552</v>
      </c>
      <c r="AB11" s="19">
        <v>1589537</v>
      </c>
      <c r="AC11" s="725">
        <v>19.374496832444059</v>
      </c>
      <c r="AD11" s="19">
        <v>640292</v>
      </c>
      <c r="AE11" s="725">
        <v>62.88432792578319</v>
      </c>
      <c r="AF11" s="19">
        <v>200658</v>
      </c>
      <c r="AG11" s="725">
        <v>19.70701410127224</v>
      </c>
      <c r="AH11" s="19">
        <v>554124</v>
      </c>
      <c r="AI11" s="725">
        <v>60.996172631175718</v>
      </c>
      <c r="AJ11" s="19">
        <v>185622</v>
      </c>
      <c r="AK11" s="725">
        <v>20.432667699186645</v>
      </c>
      <c r="AL11" s="19">
        <v>1119236</v>
      </c>
      <c r="AM11" s="725">
        <v>63.787906334188406</v>
      </c>
      <c r="AN11" s="19">
        <v>302631</v>
      </c>
      <c r="AO11" s="725">
        <v>17.24765633148127</v>
      </c>
      <c r="AP11" s="19">
        <v>1592310</v>
      </c>
      <c r="AQ11" s="725">
        <v>65.189729867377835</v>
      </c>
      <c r="AR11" s="19">
        <v>481664</v>
      </c>
      <c r="AS11" s="725">
        <v>19.719493092953428</v>
      </c>
    </row>
    <row r="12" spans="1:45" ht="12.75" hidden="1" customHeight="1">
      <c r="A12" s="2">
        <v>1975</v>
      </c>
      <c r="B12" s="19">
        <v>15126340</v>
      </c>
      <c r="C12" s="725">
        <v>65.359548292106453</v>
      </c>
      <c r="D12" s="19">
        <v>4375105</v>
      </c>
      <c r="E12" s="725">
        <v>18.904433361311224</v>
      </c>
      <c r="F12" s="19">
        <v>329828</v>
      </c>
      <c r="G12" s="725">
        <v>59.268709927834159</v>
      </c>
      <c r="H12" s="19">
        <v>84347</v>
      </c>
      <c r="I12" s="725">
        <v>15.156802564618612</v>
      </c>
      <c r="J12" s="19">
        <v>70665</v>
      </c>
      <c r="K12" s="725">
        <v>60.025993000577628</v>
      </c>
      <c r="L12" s="19">
        <v>20957</v>
      </c>
      <c r="M12" s="725">
        <v>17.801807617817946</v>
      </c>
      <c r="N12" s="19">
        <v>519165</v>
      </c>
      <c r="O12" s="725">
        <v>62.81115820114718</v>
      </c>
      <c r="P12" s="19">
        <v>154597</v>
      </c>
      <c r="Q12" s="725">
        <v>18.703912290741386</v>
      </c>
      <c r="R12" s="19">
        <v>420616</v>
      </c>
      <c r="S12" s="725">
        <v>62.128660222626621</v>
      </c>
      <c r="T12" s="19">
        <v>119233</v>
      </c>
      <c r="U12" s="725">
        <v>17.611756434192802</v>
      </c>
      <c r="V12" s="19">
        <v>4250291</v>
      </c>
      <c r="W12" s="725">
        <v>67.141983566979334</v>
      </c>
      <c r="X12" s="19">
        <v>1177215</v>
      </c>
      <c r="Y12" s="725">
        <v>18.596503200557699</v>
      </c>
      <c r="Z12" s="19">
        <v>5466480</v>
      </c>
      <c r="AA12" s="725">
        <v>65.704503536445316</v>
      </c>
      <c r="AB12" s="19">
        <v>1619488</v>
      </c>
      <c r="AC12" s="725">
        <v>19.465479618187707</v>
      </c>
      <c r="AD12" s="19">
        <v>649367</v>
      </c>
      <c r="AE12" s="725">
        <v>63.354423278616558</v>
      </c>
      <c r="AF12" s="19">
        <v>201371</v>
      </c>
      <c r="AG12" s="725">
        <v>19.646430400741483</v>
      </c>
      <c r="AH12" s="19">
        <v>565508</v>
      </c>
      <c r="AI12" s="725">
        <v>61.641459971768498</v>
      </c>
      <c r="AJ12" s="19">
        <v>186373</v>
      </c>
      <c r="AK12" s="725">
        <v>20.315015560024634</v>
      </c>
      <c r="AL12" s="19">
        <v>1168901</v>
      </c>
      <c r="AM12" s="725">
        <v>64.626975671328793</v>
      </c>
      <c r="AN12" s="19">
        <v>311631</v>
      </c>
      <c r="AO12" s="725">
        <v>17.229661926400837</v>
      </c>
      <c r="AP12" s="19">
        <v>1645789</v>
      </c>
      <c r="AQ12" s="725">
        <v>65.843043026703867</v>
      </c>
      <c r="AR12" s="19">
        <v>492576</v>
      </c>
      <c r="AS12" s="725">
        <v>19.706476809555586</v>
      </c>
    </row>
    <row r="13" spans="1:45" ht="12.75" hidden="1" customHeight="1">
      <c r="A13" s="2">
        <v>1976</v>
      </c>
      <c r="B13" s="19">
        <v>15466570</v>
      </c>
      <c r="C13" s="725">
        <v>65.956062412110157</v>
      </c>
      <c r="D13" s="19">
        <v>4439994</v>
      </c>
      <c r="E13" s="725">
        <v>18.934031357527534</v>
      </c>
      <c r="F13" s="19">
        <v>337457</v>
      </c>
      <c r="G13" s="725">
        <v>59.977534440378285</v>
      </c>
      <c r="H13" s="19">
        <v>84844</v>
      </c>
      <c r="I13" s="725">
        <v>15.079651428358149</v>
      </c>
      <c r="J13" s="19">
        <v>72106</v>
      </c>
      <c r="K13" s="725">
        <v>60.773042950576496</v>
      </c>
      <c r="L13" s="19">
        <v>20957</v>
      </c>
      <c r="M13" s="725">
        <v>17.663171734879644</v>
      </c>
      <c r="N13" s="19">
        <v>529760</v>
      </c>
      <c r="O13" s="725">
        <v>63.431701003153862</v>
      </c>
      <c r="P13" s="19">
        <v>154898</v>
      </c>
      <c r="Q13" s="725">
        <v>18.546971500276591</v>
      </c>
      <c r="R13" s="19">
        <v>432722</v>
      </c>
      <c r="S13" s="725">
        <v>62.759356861698578</v>
      </c>
      <c r="T13" s="19">
        <v>120243</v>
      </c>
      <c r="U13" s="725">
        <v>17.439310566879477</v>
      </c>
      <c r="V13" s="19">
        <v>4331942</v>
      </c>
      <c r="W13" s="725">
        <v>67.720866857461147</v>
      </c>
      <c r="X13" s="19">
        <v>1195514</v>
      </c>
      <c r="Y13" s="725">
        <v>18.689364820727238</v>
      </c>
      <c r="Z13" s="19">
        <v>5577467</v>
      </c>
      <c r="AA13" s="725">
        <v>66.289677919992911</v>
      </c>
      <c r="AB13" s="19">
        <v>1645956</v>
      </c>
      <c r="AC13" s="725">
        <v>19.562624594727293</v>
      </c>
      <c r="AD13" s="19">
        <v>658492</v>
      </c>
      <c r="AE13" s="725">
        <v>63.822330430197781</v>
      </c>
      <c r="AF13" s="19">
        <v>201632</v>
      </c>
      <c r="AG13" s="725">
        <v>19.542567152374879</v>
      </c>
      <c r="AH13" s="19">
        <v>579454</v>
      </c>
      <c r="AI13" s="725">
        <v>62.199069999098334</v>
      </c>
      <c r="AJ13" s="19">
        <v>186746</v>
      </c>
      <c r="AK13" s="725">
        <v>20.045469573169946</v>
      </c>
      <c r="AL13" s="19">
        <v>1222475</v>
      </c>
      <c r="AM13" s="725">
        <v>65.397929798901927</v>
      </c>
      <c r="AN13" s="19">
        <v>320774</v>
      </c>
      <c r="AO13" s="725">
        <v>17.160232751846024</v>
      </c>
      <c r="AP13" s="19">
        <v>1683024</v>
      </c>
      <c r="AQ13" s="725">
        <v>66.420326934893609</v>
      </c>
      <c r="AR13" s="19">
        <v>500842</v>
      </c>
      <c r="AS13" s="725">
        <v>19.765665482325854</v>
      </c>
    </row>
    <row r="14" spans="1:45" ht="12.75" hidden="1" customHeight="1">
      <c r="A14" s="2">
        <v>1977</v>
      </c>
      <c r="B14" s="19">
        <v>15770364</v>
      </c>
      <c r="C14" s="725">
        <v>66.469140843594062</v>
      </c>
      <c r="D14" s="19">
        <v>4500327</v>
      </c>
      <c r="E14" s="725">
        <v>18.96803835379</v>
      </c>
      <c r="F14" s="19">
        <v>341896</v>
      </c>
      <c r="G14" s="725">
        <v>60.475317857319745</v>
      </c>
      <c r="H14" s="19">
        <v>85385</v>
      </c>
      <c r="I14" s="725">
        <v>15.103086948215966</v>
      </c>
      <c r="J14" s="19">
        <v>73341</v>
      </c>
      <c r="K14" s="725">
        <v>61.167453420293242</v>
      </c>
      <c r="L14" s="19">
        <v>21073</v>
      </c>
      <c r="M14" s="725">
        <v>17.575186402228489</v>
      </c>
      <c r="N14" s="19">
        <v>537468</v>
      </c>
      <c r="O14" s="725">
        <v>63.98215297585319</v>
      </c>
      <c r="P14" s="19">
        <v>155635</v>
      </c>
      <c r="Q14" s="725">
        <v>18.527358611855796</v>
      </c>
      <c r="R14" s="19">
        <v>440103</v>
      </c>
      <c r="S14" s="725">
        <v>63.247456682038901</v>
      </c>
      <c r="T14" s="19">
        <v>121274</v>
      </c>
      <c r="U14" s="725">
        <v>17.428356683907147</v>
      </c>
      <c r="V14" s="19">
        <v>4390017</v>
      </c>
      <c r="W14" s="725">
        <v>68.240731226915415</v>
      </c>
      <c r="X14" s="19">
        <v>1212363</v>
      </c>
      <c r="Y14" s="725">
        <v>18.845607575655592</v>
      </c>
      <c r="Z14" s="19">
        <v>5676747</v>
      </c>
      <c r="AA14" s="725">
        <v>66.753217279235372</v>
      </c>
      <c r="AB14" s="19">
        <v>1670825</v>
      </c>
      <c r="AC14" s="725">
        <v>19.647333985569279</v>
      </c>
      <c r="AD14" s="19">
        <v>665324</v>
      </c>
      <c r="AE14" s="725">
        <v>64.135712557440982</v>
      </c>
      <c r="AF14" s="19">
        <v>201629</v>
      </c>
      <c r="AG14" s="725">
        <v>19.436574642195787</v>
      </c>
      <c r="AH14" s="19">
        <v>591013</v>
      </c>
      <c r="AI14" s="725">
        <v>62.566150868972848</v>
      </c>
      <c r="AJ14" s="19">
        <v>186955</v>
      </c>
      <c r="AK14" s="725">
        <v>19.791535441198111</v>
      </c>
      <c r="AL14" s="19">
        <v>1293542</v>
      </c>
      <c r="AM14" s="725">
        <v>66.394629472509621</v>
      </c>
      <c r="AN14" s="19">
        <v>329664</v>
      </c>
      <c r="AO14" s="725">
        <v>16.920918787658547</v>
      </c>
      <c r="AP14" s="19">
        <v>1718743</v>
      </c>
      <c r="AQ14" s="725">
        <v>66.868963531707209</v>
      </c>
      <c r="AR14" s="19">
        <v>507757</v>
      </c>
      <c r="AS14" s="725">
        <v>19.754660420998981</v>
      </c>
    </row>
    <row r="15" spans="1:45" ht="12.75" hidden="1" customHeight="1">
      <c r="A15" s="2">
        <v>1978</v>
      </c>
      <c r="B15" s="19">
        <v>16053582</v>
      </c>
      <c r="C15" s="725">
        <v>66.992638671883725</v>
      </c>
      <c r="D15" s="19">
        <v>4555682</v>
      </c>
      <c r="E15" s="725">
        <v>19.011156396747129</v>
      </c>
      <c r="F15" s="19">
        <v>346280</v>
      </c>
      <c r="G15" s="725">
        <v>61.003560361426892</v>
      </c>
      <c r="H15" s="19">
        <v>86171</v>
      </c>
      <c r="I15" s="725">
        <v>15.180598937000452</v>
      </c>
      <c r="J15" s="19">
        <v>75198</v>
      </c>
      <c r="K15" s="725">
        <v>61.797771276420896</v>
      </c>
      <c r="L15" s="19">
        <v>21192</v>
      </c>
      <c r="M15" s="725">
        <v>17.415601065053746</v>
      </c>
      <c r="N15" s="19">
        <v>545011</v>
      </c>
      <c r="O15" s="725">
        <v>64.526750237974582</v>
      </c>
      <c r="P15" s="19">
        <v>156251</v>
      </c>
      <c r="Q15" s="725">
        <v>18.499386712256758</v>
      </c>
      <c r="R15" s="19">
        <v>446264</v>
      </c>
      <c r="S15" s="725">
        <v>63.796292854753446</v>
      </c>
      <c r="T15" s="19">
        <v>121831</v>
      </c>
      <c r="U15" s="725">
        <v>17.416520612882657</v>
      </c>
      <c r="V15" s="19">
        <v>4428241</v>
      </c>
      <c r="W15" s="725">
        <v>68.756605701550157</v>
      </c>
      <c r="X15" s="19">
        <v>1224076</v>
      </c>
      <c r="Y15" s="725">
        <v>19.006036681547076</v>
      </c>
      <c r="Z15" s="19">
        <v>5777902</v>
      </c>
      <c r="AA15" s="725">
        <v>67.261992348440259</v>
      </c>
      <c r="AB15" s="19">
        <v>1696188</v>
      </c>
      <c r="AC15" s="725">
        <v>19.74574582218878</v>
      </c>
      <c r="AD15" s="19">
        <v>671162</v>
      </c>
      <c r="AE15" s="725">
        <v>64.48018553513802</v>
      </c>
      <c r="AF15" s="19">
        <v>201590</v>
      </c>
      <c r="AG15" s="725">
        <v>19.367247552794218</v>
      </c>
      <c r="AH15" s="19">
        <v>599605</v>
      </c>
      <c r="AI15" s="725">
        <v>62.955282802935656</v>
      </c>
      <c r="AJ15" s="19">
        <v>186993</v>
      </c>
      <c r="AK15" s="725">
        <v>19.633253887424797</v>
      </c>
      <c r="AL15" s="19">
        <v>1359057</v>
      </c>
      <c r="AM15" s="725">
        <v>67.205491333624437</v>
      </c>
      <c r="AN15" s="19">
        <v>338445</v>
      </c>
      <c r="AO15" s="725">
        <v>16.736135801815909</v>
      </c>
      <c r="AP15" s="19">
        <v>1761275</v>
      </c>
      <c r="AQ15" s="725">
        <v>67.348600201440675</v>
      </c>
      <c r="AR15" s="19">
        <v>514966</v>
      </c>
      <c r="AS15" s="725">
        <v>19.691552569209861</v>
      </c>
    </row>
    <row r="16" spans="1:45" ht="12.75" hidden="1" customHeight="1">
      <c r="A16" s="2">
        <v>1979</v>
      </c>
      <c r="B16" s="19">
        <v>16325970</v>
      </c>
      <c r="C16" s="725">
        <v>67.458381994140538</v>
      </c>
      <c r="D16" s="19">
        <v>4593636</v>
      </c>
      <c r="E16" s="725">
        <v>18.980755938546732</v>
      </c>
      <c r="F16" s="19">
        <v>351436</v>
      </c>
      <c r="G16" s="725">
        <v>61.647327106082528</v>
      </c>
      <c r="H16" s="19">
        <v>86377</v>
      </c>
      <c r="I16" s="725">
        <v>15.151865982546155</v>
      </c>
      <c r="J16" s="19">
        <v>76731</v>
      </c>
      <c r="K16" s="725">
        <v>62.441306912967406</v>
      </c>
      <c r="L16" s="19">
        <v>21240</v>
      </c>
      <c r="M16" s="725">
        <v>17.284452943809253</v>
      </c>
      <c r="N16" s="19">
        <v>552648</v>
      </c>
      <c r="O16" s="725">
        <v>65.063645225548498</v>
      </c>
      <c r="P16" s="19">
        <v>156249</v>
      </c>
      <c r="Q16" s="725">
        <v>18.395306782702061</v>
      </c>
      <c r="R16" s="19">
        <v>452694</v>
      </c>
      <c r="S16" s="725">
        <v>64.380125092795652</v>
      </c>
      <c r="T16" s="19">
        <v>121861</v>
      </c>
      <c r="U16" s="725">
        <v>17.330528842735205</v>
      </c>
      <c r="V16" s="19">
        <v>4474230</v>
      </c>
      <c r="W16" s="725">
        <v>69.196300152366319</v>
      </c>
      <c r="X16" s="19">
        <v>1231685</v>
      </c>
      <c r="Y16" s="725">
        <v>19.048650818837501</v>
      </c>
      <c r="Z16" s="19">
        <v>5868257</v>
      </c>
      <c r="AA16" s="725">
        <v>67.746448662262495</v>
      </c>
      <c r="AB16" s="19">
        <v>1714622</v>
      </c>
      <c r="AC16" s="725">
        <v>19.794557617054917</v>
      </c>
      <c r="AD16" s="19">
        <v>671773</v>
      </c>
      <c r="AE16" s="725">
        <v>64.763437169806963</v>
      </c>
      <c r="AF16" s="19">
        <v>200241</v>
      </c>
      <c r="AG16" s="725">
        <v>19.304579705226786</v>
      </c>
      <c r="AH16" s="19">
        <v>606858</v>
      </c>
      <c r="AI16" s="725">
        <v>63.231829619634581</v>
      </c>
      <c r="AJ16" s="19">
        <v>186264</v>
      </c>
      <c r="AK16" s="725">
        <v>19.407857377296857</v>
      </c>
      <c r="AL16" s="19">
        <v>1422479</v>
      </c>
      <c r="AM16" s="725">
        <v>67.835100807547661</v>
      </c>
      <c r="AN16" s="19">
        <v>345668</v>
      </c>
      <c r="AO16" s="725">
        <v>16.484196691791855</v>
      </c>
      <c r="AP16" s="19">
        <v>1804747</v>
      </c>
      <c r="AQ16" s="725">
        <v>67.714290431098462</v>
      </c>
      <c r="AR16" s="19">
        <v>521381</v>
      </c>
      <c r="AS16" s="725">
        <v>19.562267985073003</v>
      </c>
    </row>
    <row r="17" spans="1:69" ht="12.75" hidden="1" customHeight="1">
      <c r="A17" s="2">
        <v>1980</v>
      </c>
      <c r="B17" s="19">
        <v>16636938</v>
      </c>
      <c r="C17" s="725">
        <v>67.862473413429868</v>
      </c>
      <c r="D17" s="19">
        <v>4636865</v>
      </c>
      <c r="E17" s="725">
        <v>18.91388474154099</v>
      </c>
      <c r="F17" s="19">
        <v>357339</v>
      </c>
      <c r="G17" s="725">
        <v>62.389067653236353</v>
      </c>
      <c r="H17" s="19">
        <v>86752</v>
      </c>
      <c r="I17" s="725">
        <v>15.146335544269055</v>
      </c>
      <c r="J17" s="19">
        <v>77944</v>
      </c>
      <c r="K17" s="725">
        <v>62.99268598213925</v>
      </c>
      <c r="L17" s="19">
        <v>21335</v>
      </c>
      <c r="M17" s="725">
        <v>17.242494039681578</v>
      </c>
      <c r="N17" s="19">
        <v>558893</v>
      </c>
      <c r="O17" s="725">
        <v>65.547070986173836</v>
      </c>
      <c r="P17" s="19">
        <v>156305</v>
      </c>
      <c r="Q17" s="725">
        <v>18.331478351838189</v>
      </c>
      <c r="R17" s="19">
        <v>458276</v>
      </c>
      <c r="S17" s="725">
        <v>64.89148550237249</v>
      </c>
      <c r="T17" s="19">
        <v>122127</v>
      </c>
      <c r="U17" s="725">
        <v>17.293077643054065</v>
      </c>
      <c r="V17" s="19">
        <v>4526464</v>
      </c>
      <c r="W17" s="725">
        <v>69.573717909799214</v>
      </c>
      <c r="X17" s="19">
        <v>1240559</v>
      </c>
      <c r="Y17" s="725">
        <v>19.067930710696608</v>
      </c>
      <c r="Z17" s="19">
        <v>5962808</v>
      </c>
      <c r="AA17" s="725">
        <v>68.177442681596744</v>
      </c>
      <c r="AB17" s="19">
        <v>1733509</v>
      </c>
      <c r="AC17" s="725">
        <v>19.820562809591067</v>
      </c>
      <c r="AD17" s="19">
        <v>672186</v>
      </c>
      <c r="AE17" s="725">
        <v>64.980979955241267</v>
      </c>
      <c r="AF17" s="19">
        <v>198550</v>
      </c>
      <c r="AG17" s="725">
        <v>19.194052792103903</v>
      </c>
      <c r="AH17" s="19">
        <v>614140</v>
      </c>
      <c r="AI17" s="725">
        <v>63.473853493573444</v>
      </c>
      <c r="AJ17" s="19">
        <v>185185</v>
      </c>
      <c r="AK17" s="725">
        <v>19.139618912963492</v>
      </c>
      <c r="AL17" s="19">
        <v>1498099</v>
      </c>
      <c r="AM17" s="725">
        <v>68.37422051465316</v>
      </c>
      <c r="AN17" s="19">
        <v>353725</v>
      </c>
      <c r="AO17" s="725">
        <v>16.144240902334019</v>
      </c>
      <c r="AP17" s="19">
        <v>1865815</v>
      </c>
      <c r="AQ17" s="725">
        <v>67.950089243410346</v>
      </c>
      <c r="AR17" s="19">
        <v>530644</v>
      </c>
      <c r="AS17" s="725">
        <v>19.32523168507073</v>
      </c>
    </row>
    <row r="18" spans="1:69" ht="12.75" customHeight="1">
      <c r="A18" s="2"/>
      <c r="B18" s="19"/>
      <c r="C18" s="725"/>
      <c r="D18" s="19"/>
      <c r="E18" s="725"/>
      <c r="F18" s="19"/>
      <c r="G18" s="725"/>
      <c r="H18" s="19"/>
      <c r="I18" s="725"/>
      <c r="J18" s="19"/>
      <c r="K18" s="725"/>
      <c r="L18" s="19"/>
      <c r="M18" s="725"/>
      <c r="N18" s="19"/>
      <c r="O18" s="725"/>
      <c r="P18" s="19"/>
      <c r="Q18" s="725"/>
      <c r="R18" s="19"/>
      <c r="S18" s="725"/>
      <c r="T18" s="19"/>
      <c r="U18" s="725"/>
      <c r="V18" s="19"/>
      <c r="W18" s="725"/>
      <c r="X18" s="19"/>
      <c r="Y18" s="725"/>
      <c r="Z18" s="19"/>
      <c r="AA18" s="725"/>
      <c r="AB18" s="19"/>
      <c r="AC18" s="725"/>
      <c r="AD18" s="19"/>
      <c r="AE18" s="725"/>
      <c r="AF18" s="19"/>
      <c r="AG18" s="725"/>
      <c r="AH18" s="19"/>
      <c r="AI18" s="725"/>
      <c r="AJ18" s="19"/>
      <c r="AK18" s="725"/>
      <c r="AL18" s="19"/>
      <c r="AM18" s="725"/>
      <c r="AN18" s="19"/>
      <c r="AO18" s="725"/>
      <c r="AP18" s="19"/>
      <c r="AQ18" s="725"/>
      <c r="AR18" s="19"/>
      <c r="AS18" s="725"/>
    </row>
    <row r="19" spans="1:69" ht="12.75" customHeight="1">
      <c r="A19" s="2">
        <v>1981</v>
      </c>
      <c r="B19" s="19">
        <v>16910264</v>
      </c>
      <c r="C19" s="725">
        <v>68.131836873736276</v>
      </c>
      <c r="D19" s="19">
        <v>4690888</v>
      </c>
      <c r="E19" s="725">
        <v>18.899694056164172</v>
      </c>
      <c r="F19" s="19">
        <v>363159</v>
      </c>
      <c r="G19" s="725">
        <v>63.124932644072153</v>
      </c>
      <c r="H19" s="19">
        <v>87388</v>
      </c>
      <c r="I19" s="725">
        <v>15.18993502543012</v>
      </c>
      <c r="J19" s="19">
        <v>78063</v>
      </c>
      <c r="K19" s="725">
        <v>63.182815193725673</v>
      </c>
      <c r="L19" s="19">
        <v>21521</v>
      </c>
      <c r="M19" s="725">
        <v>17.418717776464778</v>
      </c>
      <c r="N19" s="19">
        <v>562919</v>
      </c>
      <c r="O19" s="725">
        <v>65.848414556114307</v>
      </c>
      <c r="P19" s="19">
        <v>156435</v>
      </c>
      <c r="Q19" s="725">
        <v>18.299252167870943</v>
      </c>
      <c r="R19" s="19">
        <v>460819</v>
      </c>
      <c r="S19" s="725">
        <v>65.231343727262697</v>
      </c>
      <c r="T19" s="19">
        <v>122505</v>
      </c>
      <c r="U19" s="725">
        <v>17.341224566062415</v>
      </c>
      <c r="V19" s="19">
        <v>4566524</v>
      </c>
      <c r="W19" s="725">
        <v>69.747664920324041</v>
      </c>
      <c r="X19" s="19">
        <v>1251764</v>
      </c>
      <c r="Y19" s="725">
        <v>19.119053361227163</v>
      </c>
      <c r="Z19" s="19">
        <v>6033577</v>
      </c>
      <c r="AA19" s="725">
        <v>68.467784636131881</v>
      </c>
      <c r="AB19" s="19">
        <v>1755417</v>
      </c>
      <c r="AC19" s="725">
        <v>19.920109265632096</v>
      </c>
      <c r="AD19" s="19">
        <v>674380</v>
      </c>
      <c r="AE19" s="725">
        <v>65.123195998242466</v>
      </c>
      <c r="AF19" s="19">
        <v>198210</v>
      </c>
      <c r="AG19" s="725">
        <v>19.140645746925532</v>
      </c>
      <c r="AH19" s="19">
        <v>619820</v>
      </c>
      <c r="AI19" s="725">
        <v>63.521832747635429</v>
      </c>
      <c r="AJ19" s="19">
        <v>184232</v>
      </c>
      <c r="AK19" s="725">
        <v>18.880891695592865</v>
      </c>
      <c r="AL19" s="19">
        <v>1577729</v>
      </c>
      <c r="AM19" s="725">
        <v>68.86326417307987</v>
      </c>
      <c r="AN19" s="19">
        <v>362683</v>
      </c>
      <c r="AO19" s="725">
        <v>15.830053982708773</v>
      </c>
      <c r="AP19" s="19">
        <v>1926546</v>
      </c>
      <c r="AQ19" s="725">
        <v>68.15872874358142</v>
      </c>
      <c r="AR19" s="19">
        <v>542433</v>
      </c>
      <c r="AS19" s="725">
        <v>19.190584449355011</v>
      </c>
    </row>
    <row r="20" spans="1:69" ht="12.75" customHeight="1">
      <c r="A20" s="2">
        <v>1982</v>
      </c>
      <c r="B20" s="19">
        <v>17149959</v>
      </c>
      <c r="C20" s="725">
        <v>68.280441942335173</v>
      </c>
      <c r="D20" s="19">
        <v>4746299</v>
      </c>
      <c r="E20" s="725">
        <v>18.8968028034623</v>
      </c>
      <c r="F20" s="19">
        <v>364724</v>
      </c>
      <c r="G20" s="725">
        <v>63.563467789018723</v>
      </c>
      <c r="H20" s="19">
        <v>87937</v>
      </c>
      <c r="I20" s="725">
        <v>15.32550823900522</v>
      </c>
      <c r="J20" s="19">
        <v>78112</v>
      </c>
      <c r="K20" s="725">
        <v>63.203547269961483</v>
      </c>
      <c r="L20" s="19">
        <v>21659</v>
      </c>
      <c r="M20" s="725">
        <v>17.525164255429328</v>
      </c>
      <c r="N20" s="19">
        <v>567338</v>
      </c>
      <c r="O20" s="725">
        <v>66.043411350836635</v>
      </c>
      <c r="P20" s="19">
        <v>156790</v>
      </c>
      <c r="Q20" s="725">
        <v>18.251811910532478</v>
      </c>
      <c r="R20" s="19">
        <v>463307</v>
      </c>
      <c r="S20" s="725">
        <v>65.489068593568234</v>
      </c>
      <c r="T20" s="19">
        <v>122903</v>
      </c>
      <c r="U20" s="725">
        <v>17.372504618655267</v>
      </c>
      <c r="V20" s="19">
        <v>4596037</v>
      </c>
      <c r="W20" s="725">
        <v>69.841889022496474</v>
      </c>
      <c r="X20" s="19">
        <v>1261962</v>
      </c>
      <c r="Y20" s="725">
        <v>19.176914797380373</v>
      </c>
      <c r="Z20" s="19">
        <v>6124611</v>
      </c>
      <c r="AA20" s="725">
        <v>68.659341492113256</v>
      </c>
      <c r="AB20" s="19">
        <v>1780407</v>
      </c>
      <c r="AC20" s="725">
        <v>19.959075312366597</v>
      </c>
      <c r="AD20" s="19">
        <v>681802</v>
      </c>
      <c r="AE20" s="725">
        <v>65.230228161618939</v>
      </c>
      <c r="AF20" s="19">
        <v>198026</v>
      </c>
      <c r="AG20" s="725">
        <v>18.945795351044371</v>
      </c>
      <c r="AH20" s="19">
        <v>625960</v>
      </c>
      <c r="AI20" s="725">
        <v>63.447336359268668</v>
      </c>
      <c r="AJ20" s="19">
        <v>183464</v>
      </c>
      <c r="AK20" s="725">
        <v>18.595920055302042</v>
      </c>
      <c r="AL20" s="19">
        <v>1637765</v>
      </c>
      <c r="AM20" s="725">
        <v>69.109053108096077</v>
      </c>
      <c r="AN20" s="19">
        <v>372511</v>
      </c>
      <c r="AO20" s="725">
        <v>15.71891112726794</v>
      </c>
      <c r="AP20" s="19">
        <v>1961340</v>
      </c>
      <c r="AQ20" s="725">
        <v>68.184638831807817</v>
      </c>
      <c r="AR20" s="19">
        <v>552123</v>
      </c>
      <c r="AS20" s="725">
        <v>19.19417711652963</v>
      </c>
      <c r="AT20" s="725"/>
      <c r="AU20" s="725"/>
      <c r="AV20" s="725"/>
      <c r="AW20" s="725"/>
      <c r="AX20" s="725"/>
      <c r="AY20" s="725"/>
      <c r="AZ20" s="725"/>
      <c r="BA20" s="725"/>
      <c r="BB20" s="725"/>
      <c r="BC20" s="725"/>
      <c r="BD20" s="725"/>
      <c r="BE20" s="725"/>
      <c r="BF20" s="725"/>
      <c r="BG20" s="725"/>
      <c r="BH20" s="725"/>
      <c r="BI20" s="725"/>
      <c r="BJ20" s="725"/>
      <c r="BK20" s="725"/>
    </row>
    <row r="21" spans="1:69" ht="12.75" customHeight="1">
      <c r="A21" s="2">
        <v>1983</v>
      </c>
      <c r="B21" s="19">
        <v>17344480</v>
      </c>
      <c r="C21" s="725">
        <v>68.375666741870987</v>
      </c>
      <c r="D21" s="19">
        <v>4803778</v>
      </c>
      <c r="E21" s="725">
        <v>18.937525001033844</v>
      </c>
      <c r="F21" s="19">
        <v>371946</v>
      </c>
      <c r="G21" s="725">
        <v>64.221187781008496</v>
      </c>
      <c r="H21" s="19">
        <v>88659</v>
      </c>
      <c r="I21" s="725">
        <v>15.30809926031314</v>
      </c>
      <c r="J21" s="19">
        <v>79584</v>
      </c>
      <c r="K21" s="725">
        <v>63.615289923422495</v>
      </c>
      <c r="L21" s="19">
        <v>21771</v>
      </c>
      <c r="M21" s="725">
        <v>17.40259947882528</v>
      </c>
      <c r="N21" s="19">
        <v>575937</v>
      </c>
      <c r="O21" s="725">
        <v>66.330104377689906</v>
      </c>
      <c r="P21" s="19">
        <v>157582</v>
      </c>
      <c r="Q21" s="725">
        <v>18.148565742511998</v>
      </c>
      <c r="R21" s="19">
        <v>470581</v>
      </c>
      <c r="S21" s="725">
        <v>65.830071540284436</v>
      </c>
      <c r="T21" s="19">
        <v>123715</v>
      </c>
      <c r="U21" s="725">
        <v>17.306621603095511</v>
      </c>
      <c r="V21" s="19">
        <v>4615272</v>
      </c>
      <c r="W21" s="725">
        <v>69.896846512845116</v>
      </c>
      <c r="X21" s="19">
        <v>1271538</v>
      </c>
      <c r="Y21" s="725">
        <v>19.257044096480133</v>
      </c>
      <c r="Z21" s="19">
        <v>6221508</v>
      </c>
      <c r="AA21" s="725">
        <v>68.82531060126351</v>
      </c>
      <c r="AB21" s="19">
        <v>1808807</v>
      </c>
      <c r="AC21" s="725">
        <v>20.009892070015766</v>
      </c>
      <c r="AD21" s="19">
        <v>692824</v>
      </c>
      <c r="AE21" s="725">
        <v>65.376050245717863</v>
      </c>
      <c r="AF21" s="19">
        <v>198762</v>
      </c>
      <c r="AG21" s="725">
        <v>18.755520159433527</v>
      </c>
      <c r="AH21" s="19">
        <v>635272</v>
      </c>
      <c r="AI21" s="725">
        <v>63.447953506070917</v>
      </c>
      <c r="AJ21" s="19">
        <v>183109</v>
      </c>
      <c r="AK21" s="725">
        <v>18.288058215289105</v>
      </c>
      <c r="AL21" s="19">
        <v>1650901</v>
      </c>
      <c r="AM21" s="725">
        <v>68.971840171257611</v>
      </c>
      <c r="AN21" s="19">
        <v>379122</v>
      </c>
      <c r="AO21" s="725">
        <v>15.839073323844088</v>
      </c>
      <c r="AP21" s="19">
        <v>1981435</v>
      </c>
      <c r="AQ21" s="725">
        <v>68.149050284402207</v>
      </c>
      <c r="AR21" s="19">
        <v>561999</v>
      </c>
      <c r="AS21" s="725">
        <v>19.329273032314337</v>
      </c>
    </row>
    <row r="22" spans="1:69" ht="12.75" customHeight="1">
      <c r="A22" s="2">
        <v>1984</v>
      </c>
      <c r="B22" s="19">
        <v>17525217</v>
      </c>
      <c r="C22" s="725">
        <v>68.439023420617744</v>
      </c>
      <c r="D22" s="19">
        <v>4862628</v>
      </c>
      <c r="E22" s="725">
        <v>18.989408894494812</v>
      </c>
      <c r="F22" s="19">
        <v>375634</v>
      </c>
      <c r="G22" s="725">
        <v>64.757225483350993</v>
      </c>
      <c r="H22" s="19">
        <v>89278</v>
      </c>
      <c r="I22" s="725">
        <v>15.391033763457543</v>
      </c>
      <c r="J22" s="19">
        <v>81045</v>
      </c>
      <c r="K22" s="725">
        <v>64.03530257658241</v>
      </c>
      <c r="L22" s="19">
        <v>21909</v>
      </c>
      <c r="M22" s="725">
        <v>17.310746426680783</v>
      </c>
      <c r="N22" s="19">
        <v>584225</v>
      </c>
      <c r="O22" s="725">
        <v>66.580547961129199</v>
      </c>
      <c r="P22" s="19">
        <v>158599</v>
      </c>
      <c r="Q22" s="725">
        <v>18.074557449761873</v>
      </c>
      <c r="R22" s="19">
        <v>476226</v>
      </c>
      <c r="S22" s="725">
        <v>66.097700447474494</v>
      </c>
      <c r="T22" s="19">
        <v>124621</v>
      </c>
      <c r="U22" s="725">
        <v>17.296748870210191</v>
      </c>
      <c r="V22" s="19">
        <v>4636788</v>
      </c>
      <c r="W22" s="725">
        <v>69.923603801412099</v>
      </c>
      <c r="X22" s="19">
        <v>1284484</v>
      </c>
      <c r="Y22" s="725">
        <v>19.370251627905574</v>
      </c>
      <c r="Z22" s="19">
        <v>6321231</v>
      </c>
      <c r="AA22" s="725">
        <v>68.952735559723905</v>
      </c>
      <c r="AB22" s="19">
        <v>1836805</v>
      </c>
      <c r="AC22" s="725">
        <v>20.036086236965346</v>
      </c>
      <c r="AD22" s="19">
        <v>701789</v>
      </c>
      <c r="AE22" s="725">
        <v>65.476996855786012</v>
      </c>
      <c r="AF22" s="19">
        <v>199093</v>
      </c>
      <c r="AG22" s="725">
        <v>18.575400490758621</v>
      </c>
      <c r="AH22" s="19">
        <v>643834</v>
      </c>
      <c r="AI22" s="725">
        <v>63.455990695978279</v>
      </c>
      <c r="AJ22" s="19">
        <v>182497</v>
      </c>
      <c r="AK22" s="725">
        <v>17.986822587878159</v>
      </c>
      <c r="AL22" s="19">
        <v>1645324</v>
      </c>
      <c r="AM22" s="725">
        <v>68.729654075951984</v>
      </c>
      <c r="AN22" s="19">
        <v>384599</v>
      </c>
      <c r="AO22" s="725">
        <v>16.065745244071721</v>
      </c>
      <c r="AP22" s="19">
        <v>2008461</v>
      </c>
      <c r="AQ22" s="725">
        <v>68.148546017363714</v>
      </c>
      <c r="AR22" s="19">
        <v>571712</v>
      </c>
      <c r="AS22" s="725">
        <v>19.398604972005451</v>
      </c>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row>
    <row r="23" spans="1:69" ht="12.75" customHeight="1">
      <c r="A23" s="2">
        <v>1985</v>
      </c>
      <c r="B23" s="19">
        <v>17689106</v>
      </c>
      <c r="C23" s="725">
        <v>68.450687242484321</v>
      </c>
      <c r="D23" s="19">
        <v>4899033</v>
      </c>
      <c r="E23" s="725">
        <v>18.957553630670184</v>
      </c>
      <c r="F23" s="19">
        <v>377696</v>
      </c>
      <c r="G23" s="725">
        <v>65.201501877346686</v>
      </c>
      <c r="H23" s="19">
        <v>89379</v>
      </c>
      <c r="I23" s="725">
        <v>15.429459237840405</v>
      </c>
      <c r="J23" s="19">
        <v>81932</v>
      </c>
      <c r="K23" s="725">
        <v>64.200471716593924</v>
      </c>
      <c r="L23" s="19">
        <v>22035</v>
      </c>
      <c r="M23" s="725">
        <v>17.26623778590962</v>
      </c>
      <c r="N23" s="19">
        <v>591259</v>
      </c>
      <c r="O23" s="725">
        <v>66.744972049380934</v>
      </c>
      <c r="P23" s="19">
        <v>158709</v>
      </c>
      <c r="Q23" s="725">
        <v>17.916053318402252</v>
      </c>
      <c r="R23" s="19">
        <v>479677</v>
      </c>
      <c r="S23" s="725">
        <v>66.319040712746116</v>
      </c>
      <c r="T23" s="19">
        <v>124950</v>
      </c>
      <c r="U23" s="725">
        <v>17.275300122911101</v>
      </c>
      <c r="V23" s="19">
        <v>4662173</v>
      </c>
      <c r="W23" s="725">
        <v>69.941666434136508</v>
      </c>
      <c r="X23" s="19">
        <v>1296454</v>
      </c>
      <c r="Y23" s="725">
        <v>19.449332578435424</v>
      </c>
      <c r="Z23" s="19">
        <v>6412636</v>
      </c>
      <c r="AA23" s="725">
        <v>68.992712695046194</v>
      </c>
      <c r="AB23" s="19">
        <v>1852514</v>
      </c>
      <c r="AC23" s="725">
        <v>19.930956032051533</v>
      </c>
      <c r="AD23" s="19">
        <v>709303</v>
      </c>
      <c r="AE23" s="725">
        <v>65.524829213991751</v>
      </c>
      <c r="AF23" s="19">
        <v>198548</v>
      </c>
      <c r="AG23" s="725">
        <v>18.341701347350334</v>
      </c>
      <c r="AH23" s="19">
        <v>649354</v>
      </c>
      <c r="AI23" s="725">
        <v>63.356060133004469</v>
      </c>
      <c r="AJ23" s="19">
        <v>181134</v>
      </c>
      <c r="AK23" s="725">
        <v>17.672851166130695</v>
      </c>
      <c r="AL23" s="19">
        <v>1648942</v>
      </c>
      <c r="AM23" s="725">
        <v>68.577619370427826</v>
      </c>
      <c r="AN23" s="19">
        <v>388898</v>
      </c>
      <c r="AO23" s="725">
        <v>16.173824802764827</v>
      </c>
      <c r="AP23" s="19">
        <v>2023760</v>
      </c>
      <c r="AQ23" s="725">
        <v>68.022550939773737</v>
      </c>
      <c r="AR23" s="19">
        <v>577014</v>
      </c>
      <c r="AS23" s="725">
        <v>19.394574558229539</v>
      </c>
      <c r="AT23" s="725"/>
      <c r="AU23" s="725"/>
      <c r="AV23" s="725"/>
      <c r="AW23" s="725"/>
      <c r="AX23" s="725"/>
      <c r="AY23" s="725"/>
      <c r="AZ23" s="725"/>
      <c r="BA23" s="725"/>
      <c r="BB23" s="725"/>
      <c r="BC23" s="725"/>
      <c r="BD23" s="725"/>
      <c r="BE23" s="725"/>
      <c r="BF23" s="725"/>
      <c r="BG23" s="725"/>
      <c r="BH23" s="725"/>
    </row>
    <row r="24" spans="1:69" ht="12.75" customHeight="1">
      <c r="A24" s="2">
        <v>1986</v>
      </c>
      <c r="B24" s="19">
        <v>17878120</v>
      </c>
      <c r="C24" s="725">
        <v>68.497814467723288</v>
      </c>
      <c r="D24" s="19">
        <v>4947844</v>
      </c>
      <c r="E24" s="725">
        <v>18.957054786926026</v>
      </c>
      <c r="F24" s="19">
        <v>378555</v>
      </c>
      <c r="G24" s="725">
        <v>65.686458235728935</v>
      </c>
      <c r="H24" s="19">
        <v>90042</v>
      </c>
      <c r="I24" s="725">
        <v>15.623991421224142</v>
      </c>
      <c r="J24" s="19">
        <v>82688</v>
      </c>
      <c r="K24" s="725">
        <v>64.380703229624089</v>
      </c>
      <c r="L24" s="19">
        <v>22241</v>
      </c>
      <c r="M24" s="725">
        <v>17.316795913918213</v>
      </c>
      <c r="N24" s="19">
        <v>595328</v>
      </c>
      <c r="O24" s="725">
        <v>66.959476406695856</v>
      </c>
      <c r="P24" s="19">
        <v>159445</v>
      </c>
      <c r="Q24" s="725">
        <v>17.933565556576578</v>
      </c>
      <c r="R24" s="19">
        <v>482733</v>
      </c>
      <c r="S24" s="725">
        <v>66.582117158308947</v>
      </c>
      <c r="T24" s="19">
        <v>125768</v>
      </c>
      <c r="U24" s="725">
        <v>17.346855737573776</v>
      </c>
      <c r="V24" s="19">
        <v>4692226</v>
      </c>
      <c r="W24" s="725">
        <v>69.947929166971022</v>
      </c>
      <c r="X24" s="19">
        <v>1312941</v>
      </c>
      <c r="Y24" s="725">
        <v>19.572267846521481</v>
      </c>
      <c r="Z24" s="19">
        <v>6516868</v>
      </c>
      <c r="AA24" s="725">
        <v>69.053937653532088</v>
      </c>
      <c r="AB24" s="19">
        <v>1869027</v>
      </c>
      <c r="AC24" s="725">
        <v>19.804555490577396</v>
      </c>
      <c r="AD24" s="19">
        <v>716542</v>
      </c>
      <c r="AE24" s="725">
        <v>65.644330274691455</v>
      </c>
      <c r="AF24" s="19">
        <v>198686</v>
      </c>
      <c r="AG24" s="725">
        <v>18.202156195948522</v>
      </c>
      <c r="AH24" s="19">
        <v>650710</v>
      </c>
      <c r="AI24" s="725">
        <v>63.488300165182174</v>
      </c>
      <c r="AJ24" s="19">
        <v>180364</v>
      </c>
      <c r="AK24" s="725">
        <v>17.597706767981002</v>
      </c>
      <c r="AL24" s="19">
        <v>1668701</v>
      </c>
      <c r="AM24" s="725">
        <v>68.588122140793189</v>
      </c>
      <c r="AN24" s="19">
        <v>395245</v>
      </c>
      <c r="AO24" s="725">
        <v>16.245637975609657</v>
      </c>
      <c r="AP24" s="19">
        <v>2040732</v>
      </c>
      <c r="AQ24" s="725">
        <v>67.942393531008065</v>
      </c>
      <c r="AR24" s="19">
        <v>584451</v>
      </c>
      <c r="AS24" s="725">
        <v>19.458213935779515</v>
      </c>
    </row>
    <row r="25" spans="1:69" ht="12.75" customHeight="1">
      <c r="A25" s="2">
        <v>1987</v>
      </c>
      <c r="B25" s="19">
        <v>18082037</v>
      </c>
      <c r="C25" s="725">
        <v>68.371875085195256</v>
      </c>
      <c r="D25" s="19">
        <v>5015923</v>
      </c>
      <c r="E25" s="725">
        <v>18.96622934644796</v>
      </c>
      <c r="F25" s="19">
        <v>380552</v>
      </c>
      <c r="G25" s="725">
        <v>66.155113847737127</v>
      </c>
      <c r="H25" s="19">
        <v>90851</v>
      </c>
      <c r="I25" s="725">
        <v>15.793526898244565</v>
      </c>
      <c r="J25" s="19">
        <v>82868</v>
      </c>
      <c r="K25" s="725">
        <v>64.418031576247074</v>
      </c>
      <c r="L25" s="19">
        <v>22380</v>
      </c>
      <c r="M25" s="725">
        <v>17.397252819863031</v>
      </c>
      <c r="N25" s="19">
        <v>598865</v>
      </c>
      <c r="O25" s="725">
        <v>67.016671777047151</v>
      </c>
      <c r="P25" s="19">
        <v>160615</v>
      </c>
      <c r="Q25" s="725">
        <v>17.973805010261792</v>
      </c>
      <c r="R25" s="19">
        <v>485574</v>
      </c>
      <c r="S25" s="725">
        <v>66.720988007167108</v>
      </c>
      <c r="T25" s="19">
        <v>126995</v>
      </c>
      <c r="U25" s="725">
        <v>17.44992909828407</v>
      </c>
      <c r="V25" s="19">
        <v>4735313</v>
      </c>
      <c r="W25" s="725">
        <v>69.821942959464366</v>
      </c>
      <c r="X25" s="19">
        <v>1336382</v>
      </c>
      <c r="Y25" s="725">
        <v>19.704882818950914</v>
      </c>
      <c r="Z25" s="19">
        <v>6643937</v>
      </c>
      <c r="AA25" s="725">
        <v>68.935203510706899</v>
      </c>
      <c r="AB25" s="19">
        <v>1896568</v>
      </c>
      <c r="AC25" s="725">
        <v>19.678136781232929</v>
      </c>
      <c r="AD25" s="19">
        <v>719008</v>
      </c>
      <c r="AE25" s="725">
        <v>65.461186682483998</v>
      </c>
      <c r="AF25" s="19">
        <v>198228</v>
      </c>
      <c r="AG25" s="725">
        <v>18.047421049133582</v>
      </c>
      <c r="AH25" s="19">
        <v>650903</v>
      </c>
      <c r="AI25" s="725">
        <v>63.507068775428564</v>
      </c>
      <c r="AJ25" s="19">
        <v>179727</v>
      </c>
      <c r="AK25" s="725">
        <v>17.535539012420358</v>
      </c>
      <c r="AL25" s="19">
        <v>1667061</v>
      </c>
      <c r="AM25" s="725">
        <v>68.297624173606451</v>
      </c>
      <c r="AN25" s="19">
        <v>400631</v>
      </c>
      <c r="AO25" s="725">
        <v>16.413403870821842</v>
      </c>
      <c r="AP25" s="19">
        <v>2063596</v>
      </c>
      <c r="AQ25" s="725">
        <v>67.68882367971932</v>
      </c>
      <c r="AR25" s="19">
        <v>593510</v>
      </c>
      <c r="AS25" s="725">
        <v>19.467954842978092</v>
      </c>
    </row>
    <row r="26" spans="1:69" ht="12.75" customHeight="1">
      <c r="A26" s="2">
        <v>1988</v>
      </c>
      <c r="B26" s="19">
        <v>18288208</v>
      </c>
      <c r="C26" s="725">
        <v>68.260602789358984</v>
      </c>
      <c r="D26" s="19">
        <v>5110551</v>
      </c>
      <c r="E26" s="725">
        <v>19.075094281832385</v>
      </c>
      <c r="F26" s="19">
        <v>383293</v>
      </c>
      <c r="G26" s="725">
        <v>66.66173897617665</v>
      </c>
      <c r="H26" s="19">
        <v>92699</v>
      </c>
      <c r="I26" s="725">
        <v>16.122069908275389</v>
      </c>
      <c r="J26" s="19">
        <v>83230</v>
      </c>
      <c r="K26" s="725">
        <v>64.375159526332482</v>
      </c>
      <c r="L26" s="19">
        <v>22559</v>
      </c>
      <c r="M26" s="725">
        <v>17.448506833527986</v>
      </c>
      <c r="N26" s="19">
        <v>601958</v>
      </c>
      <c r="O26" s="725">
        <v>67.091759397959919</v>
      </c>
      <c r="P26" s="19">
        <v>163049</v>
      </c>
      <c r="Q26" s="725">
        <v>18.17276999072687</v>
      </c>
      <c r="R26" s="19">
        <v>488668</v>
      </c>
      <c r="S26" s="725">
        <v>66.908833995802013</v>
      </c>
      <c r="T26" s="19">
        <v>128988</v>
      </c>
      <c r="U26" s="725">
        <v>17.661145561916289</v>
      </c>
      <c r="V26" s="19">
        <v>4763227</v>
      </c>
      <c r="W26" s="725">
        <v>69.667593329722635</v>
      </c>
      <c r="X26" s="19">
        <v>1364903</v>
      </c>
      <c r="Y26" s="725">
        <v>19.963253302544349</v>
      </c>
      <c r="Z26" s="19">
        <v>6770121</v>
      </c>
      <c r="AA26" s="725">
        <v>68.811693103301081</v>
      </c>
      <c r="AB26" s="19">
        <v>1931551</v>
      </c>
      <c r="AC26" s="725">
        <v>19.632336648838962</v>
      </c>
      <c r="AD26" s="19">
        <v>719919</v>
      </c>
      <c r="AE26" s="725">
        <v>65.319393332317148</v>
      </c>
      <c r="AF26" s="19">
        <v>198597</v>
      </c>
      <c r="AG26" s="725">
        <v>18.019020969884373</v>
      </c>
      <c r="AH26" s="19">
        <v>646361</v>
      </c>
      <c r="AI26" s="725">
        <v>63.063855030241058</v>
      </c>
      <c r="AJ26" s="19">
        <v>179559</v>
      </c>
      <c r="AK26" s="725">
        <v>17.519130556105729</v>
      </c>
      <c r="AL26" s="19">
        <v>1672186</v>
      </c>
      <c r="AM26" s="725">
        <v>68.06873200266709</v>
      </c>
      <c r="AN26" s="19">
        <v>408911</v>
      </c>
      <c r="AO26" s="725">
        <v>16.645309356699915</v>
      </c>
      <c r="AP26" s="19">
        <v>2103541</v>
      </c>
      <c r="AQ26" s="725">
        <v>67.534587725992452</v>
      </c>
      <c r="AR26" s="19">
        <v>609312</v>
      </c>
      <c r="AS26" s="725">
        <v>19.562078759814959</v>
      </c>
    </row>
    <row r="27" spans="1:69" ht="12.75" customHeight="1">
      <c r="A27" s="2">
        <v>1989</v>
      </c>
      <c r="B27" s="19">
        <v>18594227</v>
      </c>
      <c r="C27" s="725">
        <v>68.168699964999533</v>
      </c>
      <c r="D27" s="19">
        <v>5216055</v>
      </c>
      <c r="E27" s="725">
        <v>19.122692666704332</v>
      </c>
      <c r="F27" s="19">
        <v>387458</v>
      </c>
      <c r="G27" s="725">
        <v>67.202727946009972</v>
      </c>
      <c r="H27" s="19">
        <v>94997</v>
      </c>
      <c r="I27" s="725">
        <v>16.476773086856149</v>
      </c>
      <c r="J27" s="19">
        <v>83719</v>
      </c>
      <c r="K27" s="725">
        <v>64.323526926002472</v>
      </c>
      <c r="L27" s="19">
        <v>22978</v>
      </c>
      <c r="M27" s="725">
        <v>17.654606501578911</v>
      </c>
      <c r="N27" s="19">
        <v>607053</v>
      </c>
      <c r="O27" s="725">
        <v>67.163693614252949</v>
      </c>
      <c r="P27" s="19">
        <v>165744</v>
      </c>
      <c r="Q27" s="725">
        <v>18.337738606679714</v>
      </c>
      <c r="R27" s="19">
        <v>493049</v>
      </c>
      <c r="S27" s="725">
        <v>67.069725177485864</v>
      </c>
      <c r="T27" s="19">
        <v>131634</v>
      </c>
      <c r="U27" s="725">
        <v>17.906245026383125</v>
      </c>
      <c r="V27" s="19">
        <v>4815443</v>
      </c>
      <c r="W27" s="725">
        <v>69.535797749875528</v>
      </c>
      <c r="X27" s="19">
        <v>1396176</v>
      </c>
      <c r="Y27" s="725">
        <v>20.161013630361779</v>
      </c>
      <c r="Z27" s="19">
        <v>6945287</v>
      </c>
      <c r="AA27" s="725">
        <v>68.742723296980543</v>
      </c>
      <c r="AB27" s="19">
        <v>1969879</v>
      </c>
      <c r="AC27" s="725">
        <v>19.497372394478838</v>
      </c>
      <c r="AD27" s="19">
        <v>718903</v>
      </c>
      <c r="AE27" s="725">
        <v>65.130296287706386</v>
      </c>
      <c r="AF27" s="19">
        <v>199262</v>
      </c>
      <c r="AG27" s="725">
        <v>18.052495397683622</v>
      </c>
      <c r="AH27" s="19">
        <v>637747</v>
      </c>
      <c r="AI27" s="725">
        <v>62.223347500126835</v>
      </c>
      <c r="AJ27" s="19">
        <v>178694</v>
      </c>
      <c r="AK27" s="725">
        <v>17.434717620290908</v>
      </c>
      <c r="AL27" s="19">
        <v>1694479</v>
      </c>
      <c r="AM27" s="725">
        <v>67.824602483664052</v>
      </c>
      <c r="AN27" s="19">
        <v>419473</v>
      </c>
      <c r="AO27" s="725">
        <v>16.790169413507051</v>
      </c>
      <c r="AP27" s="19">
        <v>2154291</v>
      </c>
      <c r="AQ27" s="725">
        <v>67.390563780118711</v>
      </c>
      <c r="AR27" s="19">
        <v>626367</v>
      </c>
      <c r="AS27" s="725">
        <v>19.594022006897685</v>
      </c>
    </row>
    <row r="28" spans="1:69" ht="12.75" customHeight="1">
      <c r="A28" s="2">
        <v>1990</v>
      </c>
      <c r="B28" s="19">
        <v>18837266</v>
      </c>
      <c r="C28" s="725">
        <v>68.026333912315195</v>
      </c>
      <c r="D28" s="19">
        <v>5319307</v>
      </c>
      <c r="E28" s="725">
        <v>19.209419995667929</v>
      </c>
      <c r="F28" s="19">
        <v>390862</v>
      </c>
      <c r="G28" s="725">
        <v>67.697205248645574</v>
      </c>
      <c r="H28" s="19">
        <v>97365</v>
      </c>
      <c r="I28" s="725">
        <v>16.863594795693562</v>
      </c>
      <c r="J28" s="19">
        <v>83824</v>
      </c>
      <c r="K28" s="725">
        <v>64.280236802552068</v>
      </c>
      <c r="L28" s="19">
        <v>23339</v>
      </c>
      <c r="M28" s="725">
        <v>17.897457133216772</v>
      </c>
      <c r="N28" s="19">
        <v>611785</v>
      </c>
      <c r="O28" s="725">
        <v>67.19581833618723</v>
      </c>
      <c r="P28" s="19">
        <v>168917</v>
      </c>
      <c r="Q28" s="725">
        <v>18.553112688107323</v>
      </c>
      <c r="R28" s="19">
        <v>497325</v>
      </c>
      <c r="S28" s="725">
        <v>67.191916298726213</v>
      </c>
      <c r="T28" s="19">
        <v>134107</v>
      </c>
      <c r="U28" s="725">
        <v>18.118747939623539</v>
      </c>
      <c r="V28" s="19">
        <v>4852690</v>
      </c>
      <c r="W28" s="725">
        <v>69.354004710028008</v>
      </c>
      <c r="X28" s="19">
        <v>1428982</v>
      </c>
      <c r="Y28" s="725">
        <v>20.422822055096294</v>
      </c>
      <c r="Z28" s="19">
        <v>7056848</v>
      </c>
      <c r="AA28" s="725">
        <v>68.540823121433988</v>
      </c>
      <c r="AB28" s="19">
        <v>2002098</v>
      </c>
      <c r="AC28" s="725">
        <v>19.44571356642183</v>
      </c>
      <c r="AD28" s="19">
        <v>718025</v>
      </c>
      <c r="AE28" s="725">
        <v>64.954890489686733</v>
      </c>
      <c r="AF28" s="19">
        <v>199915</v>
      </c>
      <c r="AG28" s="725">
        <v>18.084964913820166</v>
      </c>
      <c r="AH28" s="19">
        <v>627341</v>
      </c>
      <c r="AI28" s="725">
        <v>61.208000913230421</v>
      </c>
      <c r="AJ28" s="19">
        <v>177799</v>
      </c>
      <c r="AK28" s="725">
        <v>17.347377828599527</v>
      </c>
      <c r="AL28" s="19">
        <v>1723204</v>
      </c>
      <c r="AM28" s="725">
        <v>67.635297756328242</v>
      </c>
      <c r="AN28" s="19">
        <v>430396</v>
      </c>
      <c r="AO28" s="725">
        <v>16.892928297016862</v>
      </c>
      <c r="AP28" s="19">
        <v>2216909</v>
      </c>
      <c r="AQ28" s="725">
        <v>67.340044123664129</v>
      </c>
      <c r="AR28" s="19">
        <v>645074</v>
      </c>
      <c r="AS28" s="725">
        <v>19.594539795286366</v>
      </c>
    </row>
    <row r="29" spans="1:69" ht="12.75" customHeight="1">
      <c r="A29" s="2">
        <v>1991</v>
      </c>
      <c r="B29" s="19">
        <v>19029372</v>
      </c>
      <c r="C29" s="725">
        <v>67.87133766230987</v>
      </c>
      <c r="D29" s="19">
        <v>5443495</v>
      </c>
      <c r="E29" s="725">
        <v>19.415106668159908</v>
      </c>
      <c r="F29" s="19">
        <v>395349</v>
      </c>
      <c r="G29" s="725">
        <v>68.2054847458095</v>
      </c>
      <c r="H29" s="19">
        <v>100732</v>
      </c>
      <c r="I29" s="725">
        <v>17.378252858651173</v>
      </c>
      <c r="J29" s="19">
        <v>83880</v>
      </c>
      <c r="K29" s="725">
        <v>64.340449033129048</v>
      </c>
      <c r="L29" s="19">
        <v>23879</v>
      </c>
      <c r="M29" s="725">
        <v>18.316470940177496</v>
      </c>
      <c r="N29" s="19">
        <v>615003</v>
      </c>
      <c r="O29" s="725">
        <v>67.215719876848283</v>
      </c>
      <c r="P29" s="19">
        <v>172809</v>
      </c>
      <c r="Q29" s="725">
        <v>18.886869391203419</v>
      </c>
      <c r="R29" s="19">
        <v>501994</v>
      </c>
      <c r="S29" s="725">
        <v>67.330501484105383</v>
      </c>
      <c r="T29" s="19">
        <v>137252</v>
      </c>
      <c r="U29" s="725">
        <v>18.409076581983914</v>
      </c>
      <c r="V29" s="19">
        <v>4886095</v>
      </c>
      <c r="W29" s="725">
        <v>69.135718445662306</v>
      </c>
      <c r="X29" s="19">
        <v>1464877</v>
      </c>
      <c r="Y29" s="725">
        <v>20.727252300564452</v>
      </c>
      <c r="Z29" s="19">
        <v>7123434</v>
      </c>
      <c r="AA29" s="725">
        <v>68.288929220435847</v>
      </c>
      <c r="AB29" s="19">
        <v>2042129</v>
      </c>
      <c r="AC29" s="725">
        <v>19.576906691351311</v>
      </c>
      <c r="AD29" s="19">
        <v>719691</v>
      </c>
      <c r="AE29" s="725">
        <v>64.860166329609484</v>
      </c>
      <c r="AF29" s="19">
        <v>202288</v>
      </c>
      <c r="AG29" s="725">
        <v>18.230648051016399</v>
      </c>
      <c r="AH29" s="19">
        <v>622690</v>
      </c>
      <c r="AI29" s="725">
        <v>60.754155877354052</v>
      </c>
      <c r="AJ29" s="19">
        <v>178092</v>
      </c>
      <c r="AK29" s="725">
        <v>17.375948109829512</v>
      </c>
      <c r="AL29" s="19">
        <v>1749971</v>
      </c>
      <c r="AM29" s="725">
        <v>67.50634377268733</v>
      </c>
      <c r="AN29" s="19">
        <v>442876</v>
      </c>
      <c r="AO29" s="725">
        <v>17.084248541645934</v>
      </c>
      <c r="AP29" s="19">
        <v>2270909</v>
      </c>
      <c r="AQ29" s="725">
        <v>67.31038444335698</v>
      </c>
      <c r="AR29" s="19">
        <v>666670</v>
      </c>
      <c r="AS29" s="725">
        <v>19.760287178769733</v>
      </c>
    </row>
    <row r="30" spans="1:69" ht="12.75" customHeight="1">
      <c r="A30" s="2">
        <v>1992</v>
      </c>
      <c r="B30" s="19">
        <v>19207617</v>
      </c>
      <c r="C30" s="725">
        <v>67.700956150561353</v>
      </c>
      <c r="D30" s="19">
        <v>5617668</v>
      </c>
      <c r="E30" s="725">
        <v>19.800555942801843</v>
      </c>
      <c r="F30" s="19">
        <v>397552</v>
      </c>
      <c r="G30" s="725">
        <v>68.530569255088267</v>
      </c>
      <c r="H30" s="19">
        <v>104269</v>
      </c>
      <c r="I30" s="725">
        <v>17.974035913940313</v>
      </c>
      <c r="J30" s="19">
        <v>84380</v>
      </c>
      <c r="K30" s="725">
        <v>64.497389682557881</v>
      </c>
      <c r="L30" s="19">
        <v>24798</v>
      </c>
      <c r="M30" s="725">
        <v>18.954802907656678</v>
      </c>
      <c r="N30" s="19">
        <v>618100</v>
      </c>
      <c r="O30" s="725">
        <v>67.224898336072286</v>
      </c>
      <c r="P30" s="19">
        <v>178906</v>
      </c>
      <c r="Q30" s="725">
        <v>19.457915647489642</v>
      </c>
      <c r="R30" s="19">
        <v>505162</v>
      </c>
      <c r="S30" s="725">
        <v>67.524103721189491</v>
      </c>
      <c r="T30" s="19">
        <v>142291</v>
      </c>
      <c r="U30" s="725">
        <v>19.019784232764486</v>
      </c>
      <c r="V30" s="19">
        <v>4903151</v>
      </c>
      <c r="W30" s="725">
        <v>68.961239154375306</v>
      </c>
      <c r="X30" s="19">
        <v>1499862</v>
      </c>
      <c r="Y30" s="725">
        <v>21.095075815645828</v>
      </c>
      <c r="Z30" s="19">
        <v>7187004</v>
      </c>
      <c r="AA30" s="725">
        <v>67.980180104339638</v>
      </c>
      <c r="AB30" s="19">
        <v>2108640</v>
      </c>
      <c r="AC30" s="725">
        <v>19.945129705676344</v>
      </c>
      <c r="AD30" s="19">
        <v>719871</v>
      </c>
      <c r="AE30" s="725">
        <v>64.696514479787254</v>
      </c>
      <c r="AF30" s="19">
        <v>206615</v>
      </c>
      <c r="AG30" s="725">
        <v>18.568980191230434</v>
      </c>
      <c r="AH30" s="19">
        <v>623161</v>
      </c>
      <c r="AI30" s="725">
        <v>60.800050734924646</v>
      </c>
      <c r="AJ30" s="19">
        <v>180690</v>
      </c>
      <c r="AK30" s="725">
        <v>17.629410645553133</v>
      </c>
      <c r="AL30" s="19">
        <v>1773621</v>
      </c>
      <c r="AM30" s="725">
        <v>67.36961535656549</v>
      </c>
      <c r="AN30" s="19">
        <v>460801</v>
      </c>
      <c r="AO30" s="725">
        <v>17.503167884187622</v>
      </c>
      <c r="AP30" s="19">
        <v>2333633</v>
      </c>
      <c r="AQ30" s="725">
        <v>67.274897788919631</v>
      </c>
      <c r="AR30" s="19">
        <v>698230</v>
      </c>
      <c r="AS30" s="725">
        <v>20.128851401723129</v>
      </c>
    </row>
    <row r="31" spans="1:69" ht="12.75" customHeight="1">
      <c r="A31" s="2">
        <v>1993</v>
      </c>
      <c r="B31" s="19">
        <v>19392564</v>
      </c>
      <c r="C31" s="725">
        <v>67.605799371401488</v>
      </c>
      <c r="D31" s="19">
        <v>5791678</v>
      </c>
      <c r="E31" s="725">
        <v>20.190781419711175</v>
      </c>
      <c r="F31" s="19">
        <v>399552</v>
      </c>
      <c r="G31" s="725">
        <v>68.891007746858918</v>
      </c>
      <c r="H31" s="19">
        <v>108082</v>
      </c>
      <c r="I31" s="725">
        <v>18.635566582812764</v>
      </c>
      <c r="J31" s="19">
        <v>85502</v>
      </c>
      <c r="K31" s="725">
        <v>64.687502364253987</v>
      </c>
      <c r="L31" s="19">
        <v>25731</v>
      </c>
      <c r="M31" s="725">
        <v>19.467078236001726</v>
      </c>
      <c r="N31" s="19">
        <v>621497</v>
      </c>
      <c r="O31" s="725">
        <v>67.267040073599048</v>
      </c>
      <c r="P31" s="19">
        <v>185127</v>
      </c>
      <c r="Q31" s="725">
        <v>20.037015991557755</v>
      </c>
      <c r="R31" s="19">
        <v>506262</v>
      </c>
      <c r="S31" s="725">
        <v>67.608692168394739</v>
      </c>
      <c r="T31" s="19">
        <v>147077</v>
      </c>
      <c r="U31" s="725">
        <v>19.641378610385519</v>
      </c>
      <c r="V31" s="19">
        <v>4928283</v>
      </c>
      <c r="W31" s="725">
        <v>68.864074901031046</v>
      </c>
      <c r="X31" s="19">
        <v>1535765</v>
      </c>
      <c r="Y31" s="725">
        <v>21.459610982239035</v>
      </c>
      <c r="Z31" s="19">
        <v>7241331</v>
      </c>
      <c r="AA31" s="725">
        <v>67.739057616072088</v>
      </c>
      <c r="AB31" s="19">
        <v>2171793</v>
      </c>
      <c r="AC31" s="725">
        <v>20.316045649229686</v>
      </c>
      <c r="AD31" s="19">
        <v>722401</v>
      </c>
      <c r="AE31" s="725">
        <v>64.637559523916039</v>
      </c>
      <c r="AF31" s="19">
        <v>211316</v>
      </c>
      <c r="AG31" s="725">
        <v>18.907712653160562</v>
      </c>
      <c r="AH31" s="19">
        <v>625120</v>
      </c>
      <c r="AI31" s="725">
        <v>60.9911252995309</v>
      </c>
      <c r="AJ31" s="19">
        <v>183088</v>
      </c>
      <c r="AK31" s="725">
        <v>17.863359273164374</v>
      </c>
      <c r="AL31" s="19">
        <v>1795714</v>
      </c>
      <c r="AM31" s="725">
        <v>67.32348764214791</v>
      </c>
      <c r="AN31" s="19">
        <v>478961</v>
      </c>
      <c r="AO31" s="725">
        <v>17.956826624156637</v>
      </c>
      <c r="AP31" s="19">
        <v>2403921</v>
      </c>
      <c r="AQ31" s="725">
        <v>67.378773083033323</v>
      </c>
      <c r="AR31" s="19">
        <v>731416</v>
      </c>
      <c r="AS31" s="725">
        <v>20.500637372567528</v>
      </c>
    </row>
    <row r="32" spans="1:69" ht="12.75" customHeight="1">
      <c r="A32" s="2">
        <v>1994</v>
      </c>
      <c r="B32" s="19">
        <v>19605196</v>
      </c>
      <c r="C32" s="725">
        <v>67.602578603116754</v>
      </c>
      <c r="D32" s="19">
        <v>5970930</v>
      </c>
      <c r="E32" s="725">
        <v>20.58894308726666</v>
      </c>
      <c r="F32" s="19">
        <v>397308</v>
      </c>
      <c r="G32" s="725">
        <v>69.161273252028849</v>
      </c>
      <c r="H32" s="19">
        <v>111731</v>
      </c>
      <c r="I32" s="725">
        <v>19.449540965000541</v>
      </c>
      <c r="J32" s="19">
        <v>86680</v>
      </c>
      <c r="K32" s="725">
        <v>64.959493993420111</v>
      </c>
      <c r="L32" s="19">
        <v>26710</v>
      </c>
      <c r="M32" s="725">
        <v>20.016936831613421</v>
      </c>
      <c r="N32" s="19">
        <v>624168</v>
      </c>
      <c r="O32" s="725">
        <v>67.341409969672156</v>
      </c>
      <c r="P32" s="19">
        <v>191160</v>
      </c>
      <c r="Q32" s="725">
        <v>20.62422926167719</v>
      </c>
      <c r="R32" s="19">
        <v>508275</v>
      </c>
      <c r="S32" s="725">
        <v>67.753287522411142</v>
      </c>
      <c r="T32" s="19">
        <v>152158</v>
      </c>
      <c r="U32" s="725">
        <v>20.282730259869233</v>
      </c>
      <c r="V32" s="19">
        <v>4952675</v>
      </c>
      <c r="W32" s="725">
        <v>68.859809440600031</v>
      </c>
      <c r="X32" s="19">
        <v>1573615</v>
      </c>
      <c r="Y32" s="725">
        <v>21.878849113432604</v>
      </c>
      <c r="Z32" s="19">
        <v>7315589</v>
      </c>
      <c r="AA32" s="725">
        <v>67.617065154680418</v>
      </c>
      <c r="AB32" s="19">
        <v>2235610</v>
      </c>
      <c r="AC32" s="725">
        <v>20.663460868353194</v>
      </c>
      <c r="AD32" s="19">
        <v>725579</v>
      </c>
      <c r="AE32" s="725">
        <v>64.597544581252293</v>
      </c>
      <c r="AF32" s="19">
        <v>216188</v>
      </c>
      <c r="AG32" s="725">
        <v>19.246993046838138</v>
      </c>
      <c r="AH32" s="19">
        <v>628014</v>
      </c>
      <c r="AI32" s="725">
        <v>61.273424610488256</v>
      </c>
      <c r="AJ32" s="19">
        <v>185778</v>
      </c>
      <c r="AK32" s="725">
        <v>18.125797000205864</v>
      </c>
      <c r="AL32" s="19">
        <v>1819824</v>
      </c>
      <c r="AM32" s="725">
        <v>67.385764528405844</v>
      </c>
      <c r="AN32" s="19">
        <v>496671</v>
      </c>
      <c r="AO32" s="725">
        <v>18.391094443247184</v>
      </c>
      <c r="AP32" s="19">
        <v>2483590</v>
      </c>
      <c r="AQ32" s="725">
        <v>67.560917554728888</v>
      </c>
      <c r="AR32" s="19">
        <v>767264</v>
      </c>
      <c r="AS32" s="725">
        <v>20.871826608543078</v>
      </c>
    </row>
    <row r="33" spans="1:138" ht="12.75" customHeight="1">
      <c r="A33" s="2">
        <v>1995</v>
      </c>
      <c r="B33" s="19">
        <v>19821323</v>
      </c>
      <c r="C33" s="725">
        <v>67.64423120074045</v>
      </c>
      <c r="D33" s="19">
        <v>6144173</v>
      </c>
      <c r="E33" s="725">
        <v>20.968219878630052</v>
      </c>
      <c r="F33" s="19">
        <v>393848</v>
      </c>
      <c r="G33" s="725">
        <v>69.413126964012847</v>
      </c>
      <c r="H33" s="19">
        <v>115221</v>
      </c>
      <c r="I33" s="725">
        <v>20.306945577787687</v>
      </c>
      <c r="J33" s="19">
        <v>87622</v>
      </c>
      <c r="K33" s="725">
        <v>65.187665067142802</v>
      </c>
      <c r="L33" s="19">
        <v>27739</v>
      </c>
      <c r="M33" s="725">
        <v>20.636833686716514</v>
      </c>
      <c r="N33" s="19">
        <v>625905</v>
      </c>
      <c r="O33" s="725">
        <v>67.437939059604361</v>
      </c>
      <c r="P33" s="19">
        <v>196784</v>
      </c>
      <c r="Q33" s="725">
        <v>21.202430720165495</v>
      </c>
      <c r="R33" s="19">
        <v>510188</v>
      </c>
      <c r="S33" s="725">
        <v>67.939643887751799</v>
      </c>
      <c r="T33" s="19">
        <v>156961</v>
      </c>
      <c r="U33" s="725">
        <v>20.901852737158482</v>
      </c>
      <c r="V33" s="19">
        <v>4975497</v>
      </c>
      <c r="W33" s="725">
        <v>68.920156044580452</v>
      </c>
      <c r="X33" s="19">
        <v>1608580</v>
      </c>
      <c r="Y33" s="725">
        <v>22.28191165831096</v>
      </c>
      <c r="Z33" s="19">
        <v>7394941</v>
      </c>
      <c r="AA33" s="725">
        <v>67.532973842567372</v>
      </c>
      <c r="AB33" s="19">
        <v>2295624</v>
      </c>
      <c r="AC33" s="725">
        <v>20.964374907706482</v>
      </c>
      <c r="AD33" s="19">
        <v>729431</v>
      </c>
      <c r="AE33" s="725">
        <v>64.600008856219276</v>
      </c>
      <c r="AF33" s="19">
        <v>221123</v>
      </c>
      <c r="AG33" s="725">
        <v>19.583137758490903</v>
      </c>
      <c r="AH33" s="19">
        <v>633207</v>
      </c>
      <c r="AI33" s="725">
        <v>61.780029621303925</v>
      </c>
      <c r="AJ33" s="19">
        <v>189139</v>
      </c>
      <c r="AK33" s="725">
        <v>18.453701589754697</v>
      </c>
      <c r="AL33" s="19">
        <v>1845577</v>
      </c>
      <c r="AM33" s="725">
        <v>67.491833115805747</v>
      </c>
      <c r="AN33" s="19">
        <v>514807</v>
      </c>
      <c r="AO33" s="725">
        <v>18.826235985195204</v>
      </c>
      <c r="AP33" s="19">
        <v>2560128</v>
      </c>
      <c r="AQ33" s="725">
        <v>67.775051027296627</v>
      </c>
      <c r="AR33" s="19">
        <v>803338</v>
      </c>
      <c r="AS33" s="725">
        <v>21.267012408038354</v>
      </c>
    </row>
    <row r="34" spans="1:138" ht="12.75" customHeight="1">
      <c r="A34" s="2">
        <v>1996</v>
      </c>
      <c r="B34" s="19">
        <v>20045149</v>
      </c>
      <c r="C34" s="725">
        <v>67.696728879199739</v>
      </c>
      <c r="D34" s="19">
        <v>6320329</v>
      </c>
      <c r="E34" s="725">
        <v>21.34509445354303</v>
      </c>
      <c r="F34" s="19">
        <v>389800</v>
      </c>
      <c r="G34" s="725">
        <v>69.644701249602463</v>
      </c>
      <c r="H34" s="19">
        <v>119007</v>
      </c>
      <c r="I34" s="725">
        <v>21.262716679352078</v>
      </c>
      <c r="J34" s="19">
        <v>88973</v>
      </c>
      <c r="K34" s="725">
        <v>65.548081952599517</v>
      </c>
      <c r="L34" s="19">
        <v>28748</v>
      </c>
      <c r="M34" s="725">
        <v>21.179192114161946</v>
      </c>
      <c r="N34" s="19">
        <v>628782</v>
      </c>
      <c r="O34" s="725">
        <v>67.514632347177738</v>
      </c>
      <c r="P34" s="19">
        <v>202542</v>
      </c>
      <c r="Q34" s="725">
        <v>21.747678312773065</v>
      </c>
      <c r="R34" s="19">
        <v>512616</v>
      </c>
      <c r="S34" s="725">
        <v>68.142736365231542</v>
      </c>
      <c r="T34" s="19">
        <v>161863</v>
      </c>
      <c r="U34" s="725">
        <v>21.516666932529365</v>
      </c>
      <c r="V34" s="19">
        <v>4997121</v>
      </c>
      <c r="W34" s="725">
        <v>68.955319773414743</v>
      </c>
      <c r="X34" s="19">
        <v>1645755</v>
      </c>
      <c r="Y34" s="725">
        <v>22.709788755104427</v>
      </c>
      <c r="Z34" s="19">
        <v>7472778</v>
      </c>
      <c r="AA34" s="725">
        <v>67.426178863065033</v>
      </c>
      <c r="AB34" s="19">
        <v>2357502</v>
      </c>
      <c r="AC34" s="725">
        <v>21.271520647613716</v>
      </c>
      <c r="AD34" s="19">
        <v>734063</v>
      </c>
      <c r="AE34" s="725">
        <v>64.721000603070365</v>
      </c>
      <c r="AF34" s="19">
        <v>226616</v>
      </c>
      <c r="AG34" s="725">
        <v>19.980320861650014</v>
      </c>
      <c r="AH34" s="19">
        <v>638842</v>
      </c>
      <c r="AI34" s="725">
        <v>62.329758161217399</v>
      </c>
      <c r="AJ34" s="19">
        <v>192438</v>
      </c>
      <c r="AK34" s="725">
        <v>18.775556398966181</v>
      </c>
      <c r="AL34" s="19">
        <v>1878637</v>
      </c>
      <c r="AM34" s="725">
        <v>67.695386131043094</v>
      </c>
      <c r="AN34" s="19">
        <v>533622</v>
      </c>
      <c r="AO34" s="725">
        <v>19.228700029872442</v>
      </c>
      <c r="AP34" s="19">
        <v>2637071</v>
      </c>
      <c r="AQ34" s="725">
        <v>68.065442244400757</v>
      </c>
      <c r="AR34" s="19">
        <v>836476</v>
      </c>
      <c r="AS34" s="725">
        <v>21.590282880827768</v>
      </c>
    </row>
    <row r="35" spans="1:138" ht="12.75" customHeight="1">
      <c r="A35" s="2">
        <v>1997</v>
      </c>
      <c r="B35" s="19">
        <v>20273661</v>
      </c>
      <c r="C35" s="725">
        <v>67.791400560182879</v>
      </c>
      <c r="D35" s="19">
        <v>6508583</v>
      </c>
      <c r="E35" s="725">
        <v>21.763506711106434</v>
      </c>
      <c r="F35" s="19">
        <v>385096</v>
      </c>
      <c r="G35" s="725">
        <v>69.901671957902451</v>
      </c>
      <c r="H35" s="19">
        <v>122710</v>
      </c>
      <c r="I35" s="725">
        <v>22.274015222059461</v>
      </c>
      <c r="J35" s="19">
        <v>89567</v>
      </c>
      <c r="K35" s="725">
        <v>65.812116536243067</v>
      </c>
      <c r="L35" s="19">
        <v>29597</v>
      </c>
      <c r="M35" s="725">
        <v>21.747308865130975</v>
      </c>
      <c r="N35" s="19">
        <v>630759</v>
      </c>
      <c r="O35" s="725">
        <v>67.64882529209504</v>
      </c>
      <c r="P35" s="19">
        <v>208439</v>
      </c>
      <c r="Q35" s="725">
        <v>22.355057153459558</v>
      </c>
      <c r="R35" s="19">
        <v>513824</v>
      </c>
      <c r="S35" s="725">
        <v>68.281261004822525</v>
      </c>
      <c r="T35" s="19">
        <v>166596</v>
      </c>
      <c r="U35" s="725">
        <v>22.138679700363184</v>
      </c>
      <c r="V35" s="19">
        <v>5019148</v>
      </c>
      <c r="W35" s="725">
        <v>68.995414325247083</v>
      </c>
      <c r="X35" s="19">
        <v>1686162</v>
      </c>
      <c r="Y35" s="725">
        <v>23.178723920770473</v>
      </c>
      <c r="Z35" s="19">
        <v>7574366</v>
      </c>
      <c r="AA35" s="725">
        <v>67.461715723084012</v>
      </c>
      <c r="AB35" s="19">
        <v>2425275</v>
      </c>
      <c r="AC35" s="725">
        <v>21.600911891543475</v>
      </c>
      <c r="AD35" s="19">
        <v>736514</v>
      </c>
      <c r="AE35" s="725">
        <v>64.826674459215866</v>
      </c>
      <c r="AF35" s="19">
        <v>231789</v>
      </c>
      <c r="AG35" s="725">
        <v>20.401662488733663</v>
      </c>
      <c r="AH35" s="19">
        <v>640523</v>
      </c>
      <c r="AI35" s="725">
        <v>62.493706948699433</v>
      </c>
      <c r="AJ35" s="19">
        <v>195946</v>
      </c>
      <c r="AK35" s="725">
        <v>19.117802017679082</v>
      </c>
      <c r="AL35" s="19">
        <v>1923225</v>
      </c>
      <c r="AM35" s="725">
        <v>67.962130828228226</v>
      </c>
      <c r="AN35" s="19">
        <v>555169</v>
      </c>
      <c r="AO35" s="725">
        <v>19.618332857453826</v>
      </c>
      <c r="AP35" s="19">
        <v>2693748</v>
      </c>
      <c r="AQ35" s="725">
        <v>68.220624968501355</v>
      </c>
      <c r="AR35" s="19">
        <v>870545</v>
      </c>
      <c r="AS35" s="725">
        <v>22.047022944686738</v>
      </c>
    </row>
    <row r="36" spans="1:138" ht="12.75" customHeight="1">
      <c r="A36" s="2">
        <v>1998</v>
      </c>
      <c r="B36" s="19">
        <v>20472300</v>
      </c>
      <c r="C36" s="725">
        <v>67.889844306315211</v>
      </c>
      <c r="D36" s="19">
        <v>6709905</v>
      </c>
      <c r="E36" s="725">
        <v>22.251256857322623</v>
      </c>
      <c r="F36" s="19">
        <v>378308</v>
      </c>
      <c r="G36" s="725">
        <v>70.077411395535378</v>
      </c>
      <c r="H36" s="19">
        <v>126125</v>
      </c>
      <c r="I36" s="725">
        <v>23.363274137110235</v>
      </c>
      <c r="J36" s="19">
        <v>89643</v>
      </c>
      <c r="K36" s="725">
        <v>66.009101351948402</v>
      </c>
      <c r="L36" s="19">
        <v>30442</v>
      </c>
      <c r="M36" s="725">
        <v>22.416129127271656</v>
      </c>
      <c r="N36" s="19">
        <v>632001</v>
      </c>
      <c r="O36" s="725">
        <v>67.823200649041254</v>
      </c>
      <c r="P36" s="19">
        <v>214486</v>
      </c>
      <c r="Q36" s="725">
        <v>23.017569615254185</v>
      </c>
      <c r="R36" s="19">
        <v>513743</v>
      </c>
      <c r="S36" s="725">
        <v>68.450694842311435</v>
      </c>
      <c r="T36" s="19">
        <v>171723</v>
      </c>
      <c r="U36" s="725">
        <v>22.880231303212398</v>
      </c>
      <c r="V36" s="19">
        <v>5034935</v>
      </c>
      <c r="W36" s="725">
        <v>69.010140578280925</v>
      </c>
      <c r="X36" s="19">
        <v>1729849</v>
      </c>
      <c r="Y36" s="725">
        <v>23.709764409907706</v>
      </c>
      <c r="Z36" s="19">
        <v>7672693</v>
      </c>
      <c r="AA36" s="725">
        <v>67.50624521540351</v>
      </c>
      <c r="AB36" s="19">
        <v>2498285</v>
      </c>
      <c r="AC36" s="725">
        <v>21.980527544626685</v>
      </c>
      <c r="AD36" s="19">
        <v>738930</v>
      </c>
      <c r="AE36" s="725">
        <v>64.961507320070794</v>
      </c>
      <c r="AF36" s="19">
        <v>237727</v>
      </c>
      <c r="AG36" s="725">
        <v>20.899279025994979</v>
      </c>
      <c r="AH36" s="19">
        <v>643058</v>
      </c>
      <c r="AI36" s="725">
        <v>62.740977285521801</v>
      </c>
      <c r="AJ36" s="19">
        <v>200474</v>
      </c>
      <c r="AK36" s="725">
        <v>19.559564892027932</v>
      </c>
      <c r="AL36" s="19">
        <v>1980558</v>
      </c>
      <c r="AM36" s="725">
        <v>68.317106268018733</v>
      </c>
      <c r="AN36" s="19">
        <v>581249</v>
      </c>
      <c r="AO36" s="725">
        <v>20.049526295710411</v>
      </c>
      <c r="AP36" s="19">
        <v>2722023</v>
      </c>
      <c r="AQ36" s="725">
        <v>68.339085534354666</v>
      </c>
      <c r="AR36" s="19">
        <v>902702</v>
      </c>
      <c r="AS36" s="725">
        <v>22.663228484855942</v>
      </c>
    </row>
    <row r="37" spans="1:138" ht="12.75" customHeight="1">
      <c r="A37" s="2">
        <v>1999</v>
      </c>
      <c r="B37" s="19">
        <v>20696249</v>
      </c>
      <c r="C37" s="725">
        <v>68.076886615914873</v>
      </c>
      <c r="D37" s="19">
        <v>6932859</v>
      </c>
      <c r="E37" s="725">
        <v>22.804492546795554</v>
      </c>
      <c r="F37" s="19">
        <v>375126</v>
      </c>
      <c r="G37" s="725">
        <v>70.336696485658948</v>
      </c>
      <c r="H37" s="19">
        <v>130093</v>
      </c>
      <c r="I37" s="725">
        <v>24.392635690164983</v>
      </c>
      <c r="J37" s="19">
        <v>90250</v>
      </c>
      <c r="K37" s="725">
        <v>66.223464752973641</v>
      </c>
      <c r="L37" s="19">
        <v>31495</v>
      </c>
      <c r="M37" s="725">
        <v>23.110338198281489</v>
      </c>
      <c r="N37" s="19">
        <v>635595</v>
      </c>
      <c r="O37" s="725">
        <v>68.066597842755925</v>
      </c>
      <c r="P37" s="19">
        <v>221651</v>
      </c>
      <c r="Q37" s="725">
        <v>23.736859916211888</v>
      </c>
      <c r="R37" s="19">
        <v>515751</v>
      </c>
      <c r="S37" s="725">
        <v>68.711738993153489</v>
      </c>
      <c r="T37" s="19">
        <v>177582</v>
      </c>
      <c r="U37" s="725">
        <v>23.658641541911081</v>
      </c>
      <c r="V37" s="19">
        <v>5062210</v>
      </c>
      <c r="W37" s="725">
        <v>69.125183490936408</v>
      </c>
      <c r="X37" s="19">
        <v>1781716</v>
      </c>
      <c r="Y37" s="725">
        <v>24.329580445840303</v>
      </c>
      <c r="Z37" s="19">
        <v>7783700</v>
      </c>
      <c r="AA37" s="725">
        <v>67.656349863565154</v>
      </c>
      <c r="AB37" s="19">
        <v>2577746</v>
      </c>
      <c r="AC37" s="725">
        <v>22.405910458445934</v>
      </c>
      <c r="AD37" s="19">
        <v>745018</v>
      </c>
      <c r="AE37" s="725">
        <v>65.212421046734732</v>
      </c>
      <c r="AF37" s="19">
        <v>244739</v>
      </c>
      <c r="AG37" s="725">
        <v>21.422331694746717</v>
      </c>
      <c r="AH37" s="19">
        <v>644925</v>
      </c>
      <c r="AI37" s="725">
        <v>62.92307272021246</v>
      </c>
      <c r="AJ37" s="19">
        <v>206135</v>
      </c>
      <c r="AK37" s="725">
        <v>20.111869744824585</v>
      </c>
      <c r="AL37" s="19">
        <v>2027264</v>
      </c>
      <c r="AM37" s="725">
        <v>68.658160079005867</v>
      </c>
      <c r="AN37" s="19">
        <v>609322</v>
      </c>
      <c r="AO37" s="725">
        <v>20.636151688018934</v>
      </c>
      <c r="AP37" s="19">
        <v>2749802</v>
      </c>
      <c r="AQ37" s="725">
        <v>68.55011062291608</v>
      </c>
      <c r="AR37" s="19">
        <v>934827</v>
      </c>
      <c r="AS37" s="725">
        <v>23.304403103673927</v>
      </c>
    </row>
    <row r="38" spans="1:138" ht="12.75" customHeight="1">
      <c r="A38" s="2">
        <v>2000</v>
      </c>
      <c r="B38" s="19">
        <v>20950263</v>
      </c>
      <c r="C38" s="725">
        <v>68.273634031192998</v>
      </c>
      <c r="D38" s="19">
        <v>7169453</v>
      </c>
      <c r="E38" s="725">
        <v>23.364127234385496</v>
      </c>
      <c r="F38" s="19">
        <v>372481</v>
      </c>
      <c r="G38" s="725">
        <v>70.550186943856232</v>
      </c>
      <c r="H38" s="19">
        <v>133830</v>
      </c>
      <c r="I38" s="725">
        <v>25.348223181038172</v>
      </c>
      <c r="J38" s="19">
        <v>90792</v>
      </c>
      <c r="K38" s="725">
        <v>66.528907452187298</v>
      </c>
      <c r="L38" s="19">
        <v>32528</v>
      </c>
      <c r="M38" s="725">
        <v>23.835275152048069</v>
      </c>
      <c r="N38" s="19">
        <v>637190</v>
      </c>
      <c r="O38" s="725">
        <v>68.234704509750799</v>
      </c>
      <c r="P38" s="19">
        <v>228087</v>
      </c>
      <c r="Q38" s="725">
        <v>24.425130726338345</v>
      </c>
      <c r="R38" s="19">
        <v>517574</v>
      </c>
      <c r="S38" s="725">
        <v>68.962328634794417</v>
      </c>
      <c r="T38" s="19">
        <v>183599</v>
      </c>
      <c r="U38" s="725">
        <v>24.463003502918653</v>
      </c>
      <c r="V38" s="19">
        <v>5091730</v>
      </c>
      <c r="W38" s="725">
        <v>69.20978541246231</v>
      </c>
      <c r="X38" s="19">
        <v>1836381</v>
      </c>
      <c r="Y38" s="725">
        <v>24.961169375737313</v>
      </c>
      <c r="Z38" s="19">
        <v>7928351</v>
      </c>
      <c r="AA38" s="725">
        <v>67.860602621350665</v>
      </c>
      <c r="AB38" s="19">
        <v>2665183</v>
      </c>
      <c r="AC38" s="725">
        <v>22.811921984304078</v>
      </c>
      <c r="AD38" s="19">
        <v>750674</v>
      </c>
      <c r="AE38" s="725">
        <v>65.428875991120123</v>
      </c>
      <c r="AF38" s="19">
        <v>252133</v>
      </c>
      <c r="AG38" s="725">
        <v>21.975955994571663</v>
      </c>
      <c r="AH38" s="19">
        <v>643886</v>
      </c>
      <c r="AI38" s="725">
        <v>62.82163983753243</v>
      </c>
      <c r="AJ38" s="19">
        <v>211986</v>
      </c>
      <c r="AK38" s="725">
        <v>20.682711136131473</v>
      </c>
      <c r="AL38" s="19">
        <v>2072209</v>
      </c>
      <c r="AM38" s="725">
        <v>68.977111362167207</v>
      </c>
      <c r="AN38" s="19">
        <v>639477</v>
      </c>
      <c r="AO38" s="725">
        <v>21.2861136316581</v>
      </c>
      <c r="AP38" s="19">
        <v>2778461</v>
      </c>
      <c r="AQ38" s="725">
        <v>68.786897502741866</v>
      </c>
      <c r="AR38" s="19">
        <v>967955</v>
      </c>
      <c r="AS38" s="725">
        <v>23.963849545581709</v>
      </c>
    </row>
    <row r="39" spans="1:138" ht="12.75" customHeight="1">
      <c r="A39" s="2">
        <v>2001</v>
      </c>
      <c r="B39" s="19">
        <v>21242401</v>
      </c>
      <c r="C39" s="725">
        <v>68.481857260480822</v>
      </c>
      <c r="D39" s="19">
        <v>7413247</v>
      </c>
      <c r="E39" s="725">
        <v>23.899036784527684</v>
      </c>
      <c r="F39" s="19">
        <v>369340</v>
      </c>
      <c r="G39" s="725">
        <v>70.750316550869385</v>
      </c>
      <c r="H39" s="19">
        <v>137236</v>
      </c>
      <c r="I39" s="725">
        <v>26.288759522865412</v>
      </c>
      <c r="J39" s="19">
        <v>91323</v>
      </c>
      <c r="K39" s="725">
        <v>66.823500142686754</v>
      </c>
      <c r="L39" s="19">
        <v>33576</v>
      </c>
      <c r="M39" s="725">
        <v>24.568464031961835</v>
      </c>
      <c r="N39" s="19">
        <v>638243</v>
      </c>
      <c r="O39" s="725">
        <v>68.447666051086699</v>
      </c>
      <c r="P39" s="19">
        <v>234717</v>
      </c>
      <c r="Q39" s="725">
        <v>25.171965587578583</v>
      </c>
      <c r="R39" s="19">
        <v>518638</v>
      </c>
      <c r="S39" s="725">
        <v>69.170086462941498</v>
      </c>
      <c r="T39" s="19">
        <v>188899</v>
      </c>
      <c r="U39" s="725">
        <v>25.193217933825107</v>
      </c>
      <c r="V39" s="19">
        <v>5126688</v>
      </c>
      <c r="W39" s="725">
        <v>69.313934165466634</v>
      </c>
      <c r="X39" s="19">
        <v>1890083</v>
      </c>
      <c r="Y39" s="725">
        <v>25.554332276367838</v>
      </c>
      <c r="Z39" s="19">
        <v>8098424</v>
      </c>
      <c r="AA39" s="725">
        <v>68.073072255640085</v>
      </c>
      <c r="AB39" s="19">
        <v>2758854</v>
      </c>
      <c r="AC39" s="725">
        <v>23.190150044596539</v>
      </c>
      <c r="AD39" s="19">
        <v>756136</v>
      </c>
      <c r="AE39" s="725">
        <v>65.668784885695203</v>
      </c>
      <c r="AF39" s="19">
        <v>259373</v>
      </c>
      <c r="AG39" s="725">
        <v>22.525987047511855</v>
      </c>
      <c r="AH39" s="19">
        <v>642821</v>
      </c>
      <c r="AI39" s="725">
        <v>62.717670428823425</v>
      </c>
      <c r="AJ39" s="19">
        <v>217765</v>
      </c>
      <c r="AK39" s="725">
        <v>21.246526639504207</v>
      </c>
      <c r="AL39" s="19">
        <v>2120002</v>
      </c>
      <c r="AM39" s="725">
        <v>69.326037101821214</v>
      </c>
      <c r="AN39" s="19">
        <v>671236</v>
      </c>
      <c r="AO39" s="725">
        <v>21.950041481129766</v>
      </c>
      <c r="AP39" s="19">
        <v>2813006</v>
      </c>
      <c r="AQ39" s="725">
        <v>69.009416465665623</v>
      </c>
      <c r="AR39" s="19">
        <v>1002376</v>
      </c>
      <c r="AS39" s="725">
        <v>24.59055645071075</v>
      </c>
    </row>
    <row r="40" spans="1:138" ht="12.75" customHeight="1">
      <c r="A40" s="2">
        <v>2002</v>
      </c>
      <c r="B40" s="19">
        <v>21532363</v>
      </c>
      <c r="C40" s="725">
        <v>68.675764638101526</v>
      </c>
      <c r="D40" s="19">
        <v>7684929</v>
      </c>
      <c r="E40" s="725">
        <v>24.510471761251701</v>
      </c>
      <c r="F40" s="19">
        <v>368071</v>
      </c>
      <c r="G40" s="725">
        <v>70.846782963865479</v>
      </c>
      <c r="H40" s="19">
        <v>140967</v>
      </c>
      <c r="I40" s="725">
        <v>27.133510801087908</v>
      </c>
      <c r="J40" s="19">
        <v>91965</v>
      </c>
      <c r="K40" s="725">
        <v>67.188550220637651</v>
      </c>
      <c r="L40" s="19">
        <v>34561</v>
      </c>
      <c r="M40" s="725">
        <v>25.249861188228763</v>
      </c>
      <c r="N40" s="19">
        <v>642734</v>
      </c>
      <c r="O40" s="725">
        <v>68.740501489280931</v>
      </c>
      <c r="P40" s="19">
        <v>242748</v>
      </c>
      <c r="Q40" s="725">
        <v>25.961936439522361</v>
      </c>
      <c r="R40" s="19">
        <v>519452</v>
      </c>
      <c r="S40" s="725">
        <v>69.32210198163429</v>
      </c>
      <c r="T40" s="19">
        <v>195227</v>
      </c>
      <c r="U40" s="725">
        <v>26.053506394370444</v>
      </c>
      <c r="V40" s="19">
        <v>5162590</v>
      </c>
      <c r="W40" s="725">
        <v>69.379616603835245</v>
      </c>
      <c r="X40" s="19">
        <v>1950286</v>
      </c>
      <c r="Y40" s="725">
        <v>26.209730958264636</v>
      </c>
      <c r="Z40" s="19">
        <v>8258494</v>
      </c>
      <c r="AA40" s="725">
        <v>68.302656457113784</v>
      </c>
      <c r="AB40" s="19">
        <v>2863934</v>
      </c>
      <c r="AC40" s="725">
        <v>23.686437275107021</v>
      </c>
      <c r="AD40" s="19">
        <v>762630</v>
      </c>
      <c r="AE40" s="725">
        <v>65.936488695873209</v>
      </c>
      <c r="AF40" s="19">
        <v>267887</v>
      </c>
      <c r="AG40" s="725">
        <v>23.161333998493877</v>
      </c>
      <c r="AH40" s="19">
        <v>643249</v>
      </c>
      <c r="AI40" s="725">
        <v>62.759367575821145</v>
      </c>
      <c r="AJ40" s="19">
        <v>223929</v>
      </c>
      <c r="AK40" s="725">
        <v>21.847904033874986</v>
      </c>
      <c r="AL40" s="19">
        <v>2179468</v>
      </c>
      <c r="AM40" s="725">
        <v>69.66797981309081</v>
      </c>
      <c r="AN40" s="19">
        <v>707155</v>
      </c>
      <c r="AO40" s="725">
        <v>22.604626571588216</v>
      </c>
      <c r="AP40" s="19">
        <v>2834272</v>
      </c>
      <c r="AQ40" s="725">
        <v>69.159319092533309</v>
      </c>
      <c r="AR40" s="19">
        <v>1038146</v>
      </c>
      <c r="AS40" s="725">
        <v>25.331891391735546</v>
      </c>
    </row>
    <row r="41" spans="1:138" ht="12.75" customHeight="1">
      <c r="A41" s="2">
        <v>2003</v>
      </c>
      <c r="B41" s="19">
        <v>21779619</v>
      </c>
      <c r="C41" s="725">
        <v>68.836429077800119</v>
      </c>
      <c r="D41" s="19">
        <v>7951131</v>
      </c>
      <c r="E41" s="725">
        <v>25.130258943914395</v>
      </c>
      <c r="F41" s="19">
        <v>368082</v>
      </c>
      <c r="G41" s="725">
        <v>70.987040037028464</v>
      </c>
      <c r="H41" s="19">
        <v>144915</v>
      </c>
      <c r="I41" s="725">
        <v>27.947813006248552</v>
      </c>
      <c r="J41" s="19">
        <v>92561</v>
      </c>
      <c r="K41" s="725">
        <v>67.453961128398703</v>
      </c>
      <c r="L41" s="19">
        <v>35534</v>
      </c>
      <c r="M41" s="725">
        <v>25.895453319827137</v>
      </c>
      <c r="N41" s="19">
        <v>646438</v>
      </c>
      <c r="O41" s="725">
        <v>68.954048625533474</v>
      </c>
      <c r="P41" s="19">
        <v>250212</v>
      </c>
      <c r="Q41" s="725">
        <v>26.689536219547712</v>
      </c>
      <c r="R41" s="19">
        <v>520290</v>
      </c>
      <c r="S41" s="725">
        <v>69.428561134470883</v>
      </c>
      <c r="T41" s="19">
        <v>201290</v>
      </c>
      <c r="U41" s="725">
        <v>26.860549060634732</v>
      </c>
      <c r="V41" s="19">
        <v>5196270</v>
      </c>
      <c r="W41" s="725">
        <v>69.414673413985184</v>
      </c>
      <c r="X41" s="19">
        <v>2009651</v>
      </c>
      <c r="Y41" s="725">
        <v>26.846039147520962</v>
      </c>
      <c r="Z41" s="19">
        <v>8387967</v>
      </c>
      <c r="AA41" s="725">
        <v>68.51641847882334</v>
      </c>
      <c r="AB41" s="19">
        <v>2966851</v>
      </c>
      <c r="AC41" s="725">
        <v>24.234478352181821</v>
      </c>
      <c r="AD41" s="19">
        <v>770240</v>
      </c>
      <c r="AE41" s="725">
        <v>66.18211251062236</v>
      </c>
      <c r="AF41" s="19">
        <v>276413</v>
      </c>
      <c r="AG41" s="725">
        <v>23.750514470033572</v>
      </c>
      <c r="AH41" s="19">
        <v>646281</v>
      </c>
      <c r="AI41" s="725">
        <v>63.055126806680548</v>
      </c>
      <c r="AJ41" s="19">
        <v>230559</v>
      </c>
      <c r="AK41" s="725">
        <v>22.494746064670721</v>
      </c>
      <c r="AL41" s="19">
        <v>2225301</v>
      </c>
      <c r="AM41" s="725">
        <v>69.903367347323424</v>
      </c>
      <c r="AN41" s="19">
        <v>740717</v>
      </c>
      <c r="AO41" s="725">
        <v>23.268138805225615</v>
      </c>
      <c r="AP41" s="19">
        <v>2854839</v>
      </c>
      <c r="AQ41" s="725">
        <v>69.251935039719612</v>
      </c>
      <c r="AR41" s="19">
        <v>1073934</v>
      </c>
      <c r="AS41" s="725">
        <v>26.051209054152004</v>
      </c>
    </row>
    <row r="42" spans="1:138" ht="12.75" customHeight="1">
      <c r="A42" s="2">
        <v>2004</v>
      </c>
      <c r="B42" s="19">
        <v>22044570</v>
      </c>
      <c r="C42" s="725">
        <v>69.017230568319846</v>
      </c>
      <c r="D42" s="19">
        <v>8213400</v>
      </c>
      <c r="E42" s="725">
        <v>25.714546554994637</v>
      </c>
      <c r="F42" s="19">
        <v>367692</v>
      </c>
      <c r="G42" s="725">
        <v>71.058871729858325</v>
      </c>
      <c r="H42" s="19">
        <v>148375</v>
      </c>
      <c r="I42" s="725">
        <v>28.67443428988863</v>
      </c>
      <c r="J42" s="19">
        <v>93302</v>
      </c>
      <c r="K42" s="725">
        <v>67.770239841945468</v>
      </c>
      <c r="L42" s="19">
        <v>36494</v>
      </c>
      <c r="M42" s="725">
        <v>26.507546813486933</v>
      </c>
      <c r="N42" s="19">
        <v>649746</v>
      </c>
      <c r="O42" s="725">
        <v>69.167830559861017</v>
      </c>
      <c r="P42" s="19">
        <v>257292</v>
      </c>
      <c r="Q42" s="725">
        <v>27.389671441467527</v>
      </c>
      <c r="R42" s="19">
        <v>520983</v>
      </c>
      <c r="S42" s="725">
        <v>69.522891926407411</v>
      </c>
      <c r="T42" s="19">
        <v>206474</v>
      </c>
      <c r="U42" s="725">
        <v>27.553047964354011</v>
      </c>
      <c r="V42" s="19">
        <v>5236244</v>
      </c>
      <c r="W42" s="725">
        <v>69.483722577534905</v>
      </c>
      <c r="X42" s="19">
        <v>2066382</v>
      </c>
      <c r="Y42" s="725">
        <v>27.420401651873309</v>
      </c>
      <c r="Z42" s="19">
        <v>8515777</v>
      </c>
      <c r="AA42" s="725">
        <v>68.727726561080701</v>
      </c>
      <c r="AB42" s="19">
        <v>3069690</v>
      </c>
      <c r="AC42" s="725">
        <v>24.77434706748237</v>
      </c>
      <c r="AD42" s="19">
        <v>780380</v>
      </c>
      <c r="AE42" s="725">
        <v>66.496473142541618</v>
      </c>
      <c r="AF42" s="19">
        <v>285450</v>
      </c>
      <c r="AG42" s="725">
        <v>24.32330179981356</v>
      </c>
      <c r="AH42" s="19">
        <v>650739</v>
      </c>
      <c r="AI42" s="725">
        <v>63.49001460563327</v>
      </c>
      <c r="AJ42" s="19">
        <v>237319</v>
      </c>
      <c r="AK42" s="725">
        <v>23.154270415933702</v>
      </c>
      <c r="AL42" s="19">
        <v>2272934</v>
      </c>
      <c r="AM42" s="725">
        <v>70.163739697006093</v>
      </c>
      <c r="AN42" s="19">
        <v>774644</v>
      </c>
      <c r="AO42" s="725">
        <v>23.912669692057747</v>
      </c>
      <c r="AP42" s="19">
        <v>2883667</v>
      </c>
      <c r="AQ42" s="725">
        <v>69.399495086843615</v>
      </c>
      <c r="AR42" s="19">
        <v>1109075</v>
      </c>
      <c r="AS42" s="725">
        <v>26.691447040674632</v>
      </c>
    </row>
    <row r="43" spans="1:138" ht="12.75" customHeight="1">
      <c r="A43" s="2">
        <v>2005</v>
      </c>
      <c r="B43" s="19">
        <v>22326765</v>
      </c>
      <c r="C43" s="725">
        <v>69.240565319331623</v>
      </c>
      <c r="D43" s="19">
        <v>8479707</v>
      </c>
      <c r="E43" s="725">
        <v>26.297571834625106</v>
      </c>
      <c r="F43" s="19">
        <v>366070</v>
      </c>
      <c r="G43" s="725">
        <v>71.169582571063629</v>
      </c>
      <c r="H43" s="19">
        <v>151527</v>
      </c>
      <c r="I43" s="725">
        <v>29.459156276792847</v>
      </c>
      <c r="J43" s="19">
        <v>93889</v>
      </c>
      <c r="K43" s="725">
        <v>68.008402448299591</v>
      </c>
      <c r="L43" s="19">
        <v>37513</v>
      </c>
      <c r="M43" s="725">
        <v>27.172503712288581</v>
      </c>
      <c r="N43" s="19">
        <v>650981</v>
      </c>
      <c r="O43" s="725">
        <v>69.405325068421149</v>
      </c>
      <c r="P43" s="19">
        <v>264028</v>
      </c>
      <c r="Q43" s="725">
        <v>28.149745026606148</v>
      </c>
      <c r="R43" s="19">
        <v>520624</v>
      </c>
      <c r="S43" s="725">
        <v>69.605861276004063</v>
      </c>
      <c r="T43" s="19">
        <v>211671</v>
      </c>
      <c r="U43" s="725">
        <v>28.29977538905824</v>
      </c>
      <c r="V43" s="19">
        <v>5278082</v>
      </c>
      <c r="W43" s="725">
        <v>69.614138177037418</v>
      </c>
      <c r="X43" s="19">
        <v>2121724</v>
      </c>
      <c r="Y43" s="725">
        <v>27.984026718329986</v>
      </c>
      <c r="Z43" s="19">
        <v>8642372</v>
      </c>
      <c r="AA43" s="725">
        <v>68.981807848996851</v>
      </c>
      <c r="AB43" s="19">
        <v>3175350</v>
      </c>
      <c r="AC43" s="725">
        <v>25.345053829355198</v>
      </c>
      <c r="AD43" s="19">
        <v>787343</v>
      </c>
      <c r="AE43" s="725">
        <v>66.82019280302741</v>
      </c>
      <c r="AF43" s="19">
        <v>294382</v>
      </c>
      <c r="AG43" s="725">
        <v>24.983599267080315</v>
      </c>
      <c r="AH43" s="19">
        <v>651636</v>
      </c>
      <c r="AI43" s="725">
        <v>63.577469296003308</v>
      </c>
      <c r="AJ43" s="19">
        <v>243505</v>
      </c>
      <c r="AK43" s="725">
        <v>23.757790639134864</v>
      </c>
      <c r="AL43" s="19">
        <v>2341642</v>
      </c>
      <c r="AM43" s="725">
        <v>70.484678827283119</v>
      </c>
      <c r="AN43" s="19">
        <v>811899</v>
      </c>
      <c r="AO43" s="725">
        <v>24.438594906989344</v>
      </c>
      <c r="AP43" s="19">
        <v>2919949</v>
      </c>
      <c r="AQ43" s="725">
        <v>69.575804162611973</v>
      </c>
      <c r="AR43" s="19">
        <v>1145012</v>
      </c>
      <c r="AS43" s="725">
        <v>27.283055517695914</v>
      </c>
    </row>
    <row r="44" spans="1:138" ht="12.75" customHeight="1">
      <c r="A44" s="2">
        <v>2006</v>
      </c>
      <c r="B44" s="19">
        <v>22599461</v>
      </c>
      <c r="C44" s="725">
        <v>69.374415713814997</v>
      </c>
      <c r="D44" s="19">
        <v>8742177</v>
      </c>
      <c r="E44" s="725">
        <v>26.836189652565256</v>
      </c>
      <c r="F44" s="19">
        <v>362909</v>
      </c>
      <c r="G44" s="725">
        <v>71.114982373562896</v>
      </c>
      <c r="H44" s="19">
        <v>154360</v>
      </c>
      <c r="I44" s="725">
        <v>30.248102635049467</v>
      </c>
      <c r="J44" s="19">
        <v>93965</v>
      </c>
      <c r="K44" s="725">
        <v>68.130075406032489</v>
      </c>
      <c r="L44" s="19">
        <v>38478</v>
      </c>
      <c r="M44" s="725">
        <v>27.898781902552205</v>
      </c>
      <c r="N44" s="19">
        <v>652104</v>
      </c>
      <c r="O44" s="725">
        <v>69.519941152013303</v>
      </c>
      <c r="P44" s="19">
        <v>270829</v>
      </c>
      <c r="Q44" s="725">
        <v>28.872719907037236</v>
      </c>
      <c r="R44" s="19">
        <v>518769</v>
      </c>
      <c r="S44" s="725">
        <v>69.570482543309808</v>
      </c>
      <c r="T44" s="19">
        <v>216065</v>
      </c>
      <c r="U44" s="725">
        <v>28.975799075735509</v>
      </c>
      <c r="V44" s="19">
        <v>5316418</v>
      </c>
      <c r="W44" s="725">
        <v>69.663654260627467</v>
      </c>
      <c r="X44" s="19">
        <v>2171712</v>
      </c>
      <c r="Y44" s="725">
        <v>28.457016344774956</v>
      </c>
      <c r="Z44" s="19">
        <v>8757500</v>
      </c>
      <c r="AA44" s="725">
        <v>69.145367209075843</v>
      </c>
      <c r="AB44" s="19">
        <v>3284136</v>
      </c>
      <c r="AC44" s="725">
        <v>25.93009302706772</v>
      </c>
      <c r="AD44" s="19">
        <v>793516</v>
      </c>
      <c r="AE44" s="725">
        <v>67.01817773352218</v>
      </c>
      <c r="AF44" s="19">
        <v>302696</v>
      </c>
      <c r="AG44" s="725">
        <v>25.564871190027965</v>
      </c>
      <c r="AH44" s="19">
        <v>652790</v>
      </c>
      <c r="AI44" s="725">
        <v>63.689998234058478</v>
      </c>
      <c r="AJ44" s="19">
        <v>249119</v>
      </c>
      <c r="AK44" s="725">
        <v>24.305502029857095</v>
      </c>
      <c r="AL44" s="19">
        <v>2420531</v>
      </c>
      <c r="AM44" s="725">
        <v>70.749839313257453</v>
      </c>
      <c r="AN44" s="19">
        <v>850373</v>
      </c>
      <c r="AO44" s="725">
        <v>24.855601149637284</v>
      </c>
      <c r="AP44" s="19">
        <v>2955786</v>
      </c>
      <c r="AQ44" s="725">
        <v>69.65312307061491</v>
      </c>
      <c r="AR44" s="19">
        <v>1180190</v>
      </c>
      <c r="AS44" s="725">
        <v>27.81118772357302</v>
      </c>
    </row>
    <row r="45" spans="1:138" ht="12.75" customHeight="1">
      <c r="A45" s="2">
        <v>2007</v>
      </c>
      <c r="B45" s="19">
        <v>22875117</v>
      </c>
      <c r="C45" s="725">
        <v>69.471432460507316</v>
      </c>
      <c r="D45" s="19">
        <v>8988356</v>
      </c>
      <c r="E45" s="725">
        <v>27.297520130060786</v>
      </c>
      <c r="F45" s="19">
        <v>358827</v>
      </c>
      <c r="G45" s="725">
        <v>70.850157663305424</v>
      </c>
      <c r="H45" s="19">
        <v>156658</v>
      </c>
      <c r="I45" s="725">
        <v>30.93202016352755</v>
      </c>
      <c r="J45" s="19">
        <v>94130</v>
      </c>
      <c r="K45" s="725">
        <v>68.151870140025196</v>
      </c>
      <c r="L45" s="19">
        <v>39452</v>
      </c>
      <c r="M45" s="725">
        <v>28.563981523045513</v>
      </c>
      <c r="N45" s="19">
        <v>650199</v>
      </c>
      <c r="O45" s="725">
        <v>69.462810844419948</v>
      </c>
      <c r="P45" s="19">
        <v>276358</v>
      </c>
      <c r="Q45" s="725">
        <v>29.524197175545037</v>
      </c>
      <c r="R45" s="19">
        <v>517742</v>
      </c>
      <c r="S45" s="725">
        <v>69.461073024135672</v>
      </c>
      <c r="T45" s="19">
        <v>220291</v>
      </c>
      <c r="U45" s="725">
        <v>29.554583629606775</v>
      </c>
      <c r="V45" s="19">
        <v>5351853</v>
      </c>
      <c r="W45" s="725">
        <v>69.630842314336732</v>
      </c>
      <c r="X45" s="19">
        <v>2216214</v>
      </c>
      <c r="Y45" s="725">
        <v>28.834283671249089</v>
      </c>
      <c r="Z45" s="19">
        <v>8863065</v>
      </c>
      <c r="AA45" s="725">
        <v>69.277485599799647</v>
      </c>
      <c r="AB45" s="19">
        <v>3386286</v>
      </c>
      <c r="AC45" s="725">
        <v>26.468651600975868</v>
      </c>
      <c r="AD45" s="19">
        <v>801691</v>
      </c>
      <c r="AE45" s="725">
        <v>67.170640646025106</v>
      </c>
      <c r="AF45" s="19">
        <v>310358</v>
      </c>
      <c r="AG45" s="725">
        <v>26.003716755731393</v>
      </c>
      <c r="AH45" s="19">
        <v>659527</v>
      </c>
      <c r="AI45" s="725">
        <v>64.347236450558569</v>
      </c>
      <c r="AJ45" s="19">
        <v>255861</v>
      </c>
      <c r="AK45" s="725">
        <v>24.963266500804917</v>
      </c>
      <c r="AL45" s="19">
        <v>2495213</v>
      </c>
      <c r="AM45" s="725">
        <v>71.070628205025955</v>
      </c>
      <c r="AN45" s="19">
        <v>885730</v>
      </c>
      <c r="AO45" s="725">
        <v>25.228061700559291</v>
      </c>
      <c r="AP45" s="19">
        <v>3006656</v>
      </c>
      <c r="AQ45" s="725">
        <v>69.755063736788927</v>
      </c>
      <c r="AR45" s="19">
        <v>1216019</v>
      </c>
      <c r="AS45" s="725">
        <v>28.211901477969658</v>
      </c>
    </row>
    <row r="46" spans="1:138" ht="12.75" customHeight="1">
      <c r="A46" s="2">
        <v>2008</v>
      </c>
      <c r="B46" s="19">
        <v>23150606</v>
      </c>
      <c r="C46" s="725">
        <v>69.497570335478954</v>
      </c>
      <c r="D46" s="19">
        <v>9234275</v>
      </c>
      <c r="E46" s="725">
        <v>27.297520130060786</v>
      </c>
      <c r="F46" s="19">
        <v>358348</v>
      </c>
      <c r="G46" s="725">
        <v>70.555528209570866</v>
      </c>
      <c r="H46" s="19">
        <v>159560</v>
      </c>
      <c r="I46" s="725">
        <v>31.415942271532504</v>
      </c>
      <c r="J46" s="19">
        <v>95288</v>
      </c>
      <c r="K46" s="725">
        <v>68.15145403310018</v>
      </c>
      <c r="L46" s="19">
        <v>40863</v>
      </c>
      <c r="M46" s="725">
        <v>29.225850748830624</v>
      </c>
      <c r="N46" s="19">
        <v>651116</v>
      </c>
      <c r="O46" s="725">
        <v>69.39241828393601</v>
      </c>
      <c r="P46" s="19">
        <v>282015</v>
      </c>
      <c r="Q46" s="725">
        <v>30.055631934009014</v>
      </c>
      <c r="R46" s="19">
        <v>517930</v>
      </c>
      <c r="S46" s="725">
        <v>69.3066524644655</v>
      </c>
      <c r="T46" s="19">
        <v>224628</v>
      </c>
      <c r="U46" s="725">
        <v>30.058530553912611</v>
      </c>
      <c r="V46" s="19">
        <v>5385663</v>
      </c>
      <c r="W46" s="725">
        <v>69.487906850960925</v>
      </c>
      <c r="X46" s="19">
        <v>2259222</v>
      </c>
      <c r="Y46" s="725">
        <v>29.14935596446373</v>
      </c>
      <c r="Z46" s="19">
        <v>8966312</v>
      </c>
      <c r="AA46" s="725">
        <v>69.350412050556756</v>
      </c>
      <c r="AB46" s="19">
        <v>3490998</v>
      </c>
      <c r="AC46" s="725">
        <v>27.001307758158482</v>
      </c>
      <c r="AD46" s="19">
        <v>812325</v>
      </c>
      <c r="AE46" s="725">
        <v>67.24772943452551</v>
      </c>
      <c r="AF46" s="19">
        <v>317825</v>
      </c>
      <c r="AG46" s="725">
        <v>26.310909559016487</v>
      </c>
      <c r="AH46" s="19">
        <v>671469</v>
      </c>
      <c r="AI46" s="725">
        <v>65.512302539340908</v>
      </c>
      <c r="AJ46" s="19">
        <v>263558</v>
      </c>
      <c r="AK46" s="725">
        <v>25.714204874184226</v>
      </c>
      <c r="AL46" s="19">
        <v>2556438</v>
      </c>
      <c r="AM46" s="725">
        <v>71.306464290675237</v>
      </c>
      <c r="AN46" s="19">
        <v>916765</v>
      </c>
      <c r="AO46" s="725">
        <v>25.57123260389686</v>
      </c>
      <c r="AP46" s="19">
        <v>3059077</v>
      </c>
      <c r="AQ46" s="725">
        <v>69.816389116038124</v>
      </c>
      <c r="AR46" s="19">
        <v>1253128</v>
      </c>
      <c r="AS46" s="725">
        <v>28.599761320229149</v>
      </c>
    </row>
    <row r="47" spans="1:138" ht="12.75" customHeight="1">
      <c r="A47" s="2" t="s">
        <v>1707</v>
      </c>
      <c r="B47" s="725">
        <f>(POWER(B46/B19, 1/27)-1)*100</f>
        <v>1.1701270555141585</v>
      </c>
      <c r="C47" s="725">
        <f t="shared" ref="C47:AS47" si="0">(POWER(C46/C19, 1/27)-1)*100</f>
        <v>7.3535123937662483E-2</v>
      </c>
      <c r="D47" s="725">
        <f t="shared" si="0"/>
        <v>2.5402473549125171</v>
      </c>
      <c r="E47" s="725">
        <f t="shared" si="0"/>
        <v>1.3709800421644935</v>
      </c>
      <c r="F47" s="725">
        <f t="shared" si="0"/>
        <v>-4.9381039119733572E-2</v>
      </c>
      <c r="G47" s="725">
        <f t="shared" si="0"/>
        <v>0.41301431631959318</v>
      </c>
      <c r="H47" s="725">
        <f t="shared" si="0"/>
        <v>2.254906649614985</v>
      </c>
      <c r="I47" s="725">
        <f t="shared" si="0"/>
        <v>2.7279621884122918</v>
      </c>
      <c r="J47" s="725">
        <f t="shared" si="0"/>
        <v>0.7412063675853453</v>
      </c>
      <c r="K47" s="725">
        <f t="shared" si="0"/>
        <v>0.28076429937438085</v>
      </c>
      <c r="L47" s="725">
        <f t="shared" si="0"/>
        <v>2.4032221874900284</v>
      </c>
      <c r="M47" s="725">
        <f t="shared" si="0"/>
        <v>1.9351838036391289</v>
      </c>
      <c r="N47" s="725">
        <f t="shared" si="0"/>
        <v>0.54053739370352183</v>
      </c>
      <c r="O47" s="725">
        <f t="shared" si="0"/>
        <v>0.19434513773777251</v>
      </c>
      <c r="P47" s="725">
        <f t="shared" si="0"/>
        <v>2.2066598516273572</v>
      </c>
      <c r="Q47" s="725">
        <f t="shared" si="0"/>
        <v>1.8547306192401969</v>
      </c>
      <c r="R47" s="725">
        <f t="shared" si="0"/>
        <v>0.43365891217155283</v>
      </c>
      <c r="S47" s="725">
        <f t="shared" si="0"/>
        <v>0.22469952115897751</v>
      </c>
      <c r="T47" s="725">
        <f t="shared" si="0"/>
        <v>2.2709346639045336</v>
      </c>
      <c r="U47" s="725">
        <f t="shared" si="0"/>
        <v>2.058152689642867</v>
      </c>
      <c r="V47" s="725">
        <f t="shared" si="0"/>
        <v>0.61293793492227522</v>
      </c>
      <c r="W47" s="725">
        <f t="shared" si="0"/>
        <v>-1.3818330403325696E-2</v>
      </c>
      <c r="X47" s="725">
        <f t="shared" si="0"/>
        <v>2.2110021254859502</v>
      </c>
      <c r="Y47" s="725">
        <f t="shared" si="0"/>
        <v>1.5742909103856562</v>
      </c>
      <c r="Z47" s="725">
        <f t="shared" si="0"/>
        <v>1.4779801609218879</v>
      </c>
      <c r="AA47" s="725">
        <f t="shared" si="0"/>
        <v>4.745107294601425E-2</v>
      </c>
      <c r="AB47" s="725">
        <f t="shared" si="0"/>
        <v>2.5789199842445099</v>
      </c>
      <c r="AC47" s="725">
        <f t="shared" si="0"/>
        <v>1.1328710126556896</v>
      </c>
      <c r="AD47" s="725">
        <f t="shared" si="0"/>
        <v>0.69166531362765404</v>
      </c>
      <c r="AE47" s="725">
        <f t="shared" si="0"/>
        <v>0.11896869600709348</v>
      </c>
      <c r="AF47" s="725">
        <f t="shared" si="0"/>
        <v>1.7641729044565846</v>
      </c>
      <c r="AG47" s="725">
        <f t="shared" si="0"/>
        <v>1.1853762638824872</v>
      </c>
      <c r="AH47" s="725">
        <f t="shared" si="0"/>
        <v>0.29687958119337665</v>
      </c>
      <c r="AI47" s="725">
        <f t="shared" si="0"/>
        <v>0.1143404315887997</v>
      </c>
      <c r="AJ47" s="725">
        <f t="shared" si="0"/>
        <v>1.3350466408338812</v>
      </c>
      <c r="AK47" s="725">
        <f t="shared" si="0"/>
        <v>1.1506180393041188</v>
      </c>
      <c r="AL47" s="725">
        <f t="shared" si="0"/>
        <v>1.8035842622757148</v>
      </c>
      <c r="AM47" s="725">
        <f t="shared" si="0"/>
        <v>0.12920979939794464</v>
      </c>
      <c r="AN47" s="725">
        <f t="shared" si="0"/>
        <v>3.4941868101420415</v>
      </c>
      <c r="AO47" s="725">
        <f t="shared" si="0"/>
        <v>1.792006825940673</v>
      </c>
      <c r="AP47" s="725">
        <f t="shared" si="0"/>
        <v>1.7272830393748162</v>
      </c>
      <c r="AQ47" s="725">
        <f t="shared" si="0"/>
        <v>8.9037956058413137E-2</v>
      </c>
      <c r="AR47" s="725">
        <f t="shared" si="0"/>
        <v>3.1498245830147598</v>
      </c>
      <c r="AS47" s="725">
        <f t="shared" si="0"/>
        <v>1.4886704863043665</v>
      </c>
      <c r="AT47" s="725"/>
      <c r="AU47" s="725"/>
      <c r="AV47" s="725"/>
      <c r="AW47" s="725"/>
      <c r="AX47" s="725"/>
      <c r="AY47" s="725"/>
      <c r="AZ47" s="725"/>
      <c r="BA47" s="725"/>
      <c r="BB47" s="725"/>
      <c r="BC47" s="725"/>
      <c r="BD47" s="725"/>
      <c r="BE47" s="725"/>
      <c r="BF47" s="725"/>
      <c r="BG47" s="725"/>
      <c r="BH47" s="725"/>
      <c r="BI47" s="725"/>
      <c r="BJ47" s="725"/>
      <c r="BK47" s="725"/>
      <c r="BL47" s="725"/>
      <c r="BM47" s="725"/>
      <c r="BN47" s="725"/>
      <c r="BO47" s="725"/>
      <c r="BP47" s="728"/>
      <c r="BQ47" s="728"/>
      <c r="BR47" s="728"/>
      <c r="BS47" s="728"/>
      <c r="BT47" s="728"/>
      <c r="BU47" s="728"/>
      <c r="BV47" s="728"/>
      <c r="BW47" s="728"/>
      <c r="BX47" s="728"/>
      <c r="BY47" s="728"/>
      <c r="BZ47" s="728"/>
      <c r="CA47" s="728"/>
      <c r="CB47" s="728"/>
      <c r="CC47" s="728"/>
      <c r="CD47" s="728"/>
      <c r="CE47" s="728"/>
      <c r="CF47" s="728"/>
      <c r="CG47" s="728"/>
      <c r="CH47" s="728"/>
      <c r="CI47" s="728"/>
      <c r="CJ47" s="728"/>
      <c r="CK47" s="728"/>
      <c r="CL47" s="728"/>
      <c r="CM47" s="728"/>
      <c r="CN47" s="728"/>
      <c r="CO47" s="728"/>
      <c r="CP47" s="728"/>
      <c r="CQ47" s="728"/>
      <c r="CR47" s="728"/>
      <c r="CS47" s="728"/>
      <c r="CT47" s="728"/>
      <c r="CU47" s="728"/>
      <c r="CV47" s="728"/>
      <c r="CW47" s="728"/>
      <c r="CX47" s="728"/>
      <c r="CY47" s="728"/>
      <c r="CZ47" s="728"/>
      <c r="DA47" s="728"/>
      <c r="DB47" s="728"/>
      <c r="DC47" s="728"/>
      <c r="DD47" s="728"/>
      <c r="DE47" s="728"/>
      <c r="DF47" s="728"/>
      <c r="DG47" s="728"/>
      <c r="DH47" s="728"/>
      <c r="DI47" s="728"/>
      <c r="DJ47" s="728"/>
      <c r="DK47" s="728"/>
      <c r="DL47" s="728"/>
      <c r="DM47" s="728"/>
      <c r="DN47" s="728"/>
      <c r="DO47" s="728"/>
      <c r="DP47" s="728"/>
      <c r="DQ47" s="728"/>
      <c r="DR47" s="728"/>
      <c r="DS47" s="728"/>
      <c r="DT47" s="728"/>
      <c r="DU47" s="728"/>
      <c r="DV47" s="728"/>
      <c r="DW47" s="728"/>
      <c r="DX47" s="728"/>
      <c r="DY47" s="728"/>
      <c r="DZ47" s="728"/>
      <c r="EA47" s="728"/>
      <c r="EB47" s="728"/>
      <c r="EC47" s="728"/>
      <c r="ED47" s="728"/>
      <c r="EE47" s="728"/>
      <c r="EF47" s="728"/>
      <c r="EG47" s="728"/>
      <c r="EH47" s="728"/>
    </row>
    <row r="49" spans="2:17">
      <c r="B49" s="309" t="s">
        <v>391</v>
      </c>
    </row>
    <row r="50" spans="2:17" ht="25.5" customHeight="1">
      <c r="B50" s="1168" t="s">
        <v>1517</v>
      </c>
      <c r="C50" s="1168"/>
      <c r="D50" s="1168"/>
      <c r="E50" s="1168"/>
      <c r="F50" s="1168"/>
      <c r="G50" s="1168"/>
      <c r="H50" s="1168"/>
      <c r="I50" s="1168"/>
      <c r="J50" s="1168"/>
      <c r="K50" s="1168"/>
      <c r="L50" s="1168"/>
      <c r="M50" s="1168"/>
      <c r="N50" s="1168"/>
      <c r="O50" s="1168"/>
      <c r="P50" s="1168"/>
      <c r="Q50" s="1168"/>
    </row>
  </sheetData>
  <mergeCells count="1">
    <mergeCell ref="B50:Q50"/>
  </mergeCells>
  <pageMargins left="0.7" right="0.7" top="0.75" bottom="0.75" header="0.3" footer="0.3"/>
  <pageSetup scale="70" orientation="landscape" verticalDpi="0" r:id="rId1"/>
  <colBreaks count="1" manualBreakCount="1">
    <brk id="33" max="1048575" man="1"/>
  </colBreaks>
</worksheet>
</file>

<file path=xl/worksheets/sheet207.xml><?xml version="1.0" encoding="utf-8"?>
<worksheet xmlns="http://schemas.openxmlformats.org/spreadsheetml/2006/main" xmlns:r="http://schemas.openxmlformats.org/officeDocument/2006/relationships">
  <sheetPr codeName="Sheet202">
    <pageSetUpPr fitToPage="1"/>
  </sheetPr>
  <dimension ref="A1:AC49"/>
  <sheetViews>
    <sheetView view="pageBreakPreview" zoomScaleNormal="100" zoomScaleSheetLayoutView="100" workbookViewId="0">
      <pane xSplit="1" ySplit="8" topLeftCell="B9" activePane="bottomRight" state="frozen"/>
      <selection activeCell="H62" sqref="H62"/>
      <selection pane="topRight" activeCell="H62" sqref="H62"/>
      <selection pane="bottomLeft" activeCell="H62" sqref="H62"/>
      <selection pane="bottomRight" activeCell="H62" sqref="H62"/>
    </sheetView>
  </sheetViews>
  <sheetFormatPr defaultColWidth="10.140625" defaultRowHeight="12.75" outlineLevelRow="1"/>
  <cols>
    <col min="1" max="1" width="10.140625" style="739"/>
    <col min="2" max="8" width="17" style="739" customWidth="1"/>
    <col min="9" max="16384" width="10.140625" style="739"/>
  </cols>
  <sheetData>
    <row r="1" spans="1:29" ht="15.75">
      <c r="A1" s="40" t="s">
        <v>2254</v>
      </c>
    </row>
    <row r="2" spans="1:29" s="729" customFormat="1">
      <c r="A2" s="730"/>
      <c r="B2" s="731"/>
      <c r="C2" s="731"/>
      <c r="D2" s="731"/>
      <c r="E2" s="731"/>
      <c r="F2" s="731"/>
      <c r="G2" s="731"/>
      <c r="H2" s="731"/>
    </row>
    <row r="3" spans="1:29" s="729" customFormat="1">
      <c r="A3" s="478"/>
      <c r="B3" s="606" t="s">
        <v>1639</v>
      </c>
      <c r="C3" s="607" t="s">
        <v>1640</v>
      </c>
      <c r="D3" s="607" t="s">
        <v>1641</v>
      </c>
      <c r="E3" s="607" t="s">
        <v>1642</v>
      </c>
      <c r="F3" s="607" t="s">
        <v>1643</v>
      </c>
      <c r="G3" s="607" t="s">
        <v>1644</v>
      </c>
      <c r="H3" s="608" t="s">
        <v>1645</v>
      </c>
    </row>
    <row r="4" spans="1:29" s="729" customFormat="1" ht="12.75" hidden="1" customHeight="1" outlineLevel="1">
      <c r="A4" s="604">
        <v>1976</v>
      </c>
      <c r="B4" s="609">
        <v>10491.3</v>
      </c>
      <c r="C4" s="610">
        <v>2891.9</v>
      </c>
      <c r="D4" s="610">
        <v>2753.8</v>
      </c>
      <c r="E4" s="610">
        <v>1934.4</v>
      </c>
      <c r="F4" s="610">
        <v>1722.5</v>
      </c>
      <c r="G4" s="610">
        <v>1016.6</v>
      </c>
      <c r="H4" s="611">
        <v>172.1</v>
      </c>
    </row>
    <row r="5" spans="1:29" s="729" customFormat="1" ht="12.75" hidden="1" customHeight="1" outlineLevel="1">
      <c r="A5" s="605">
        <v>1977</v>
      </c>
      <c r="B5" s="11">
        <v>10785.2</v>
      </c>
      <c r="C5" s="25">
        <v>2983.6</v>
      </c>
      <c r="D5" s="25">
        <v>2878.5</v>
      </c>
      <c r="E5" s="25">
        <v>1999</v>
      </c>
      <c r="F5" s="25">
        <v>1728.2</v>
      </c>
      <c r="G5" s="25">
        <v>1030.9000000000001</v>
      </c>
      <c r="H5" s="371">
        <v>164.9</v>
      </c>
    </row>
    <row r="6" spans="1:29" s="729" customFormat="1" ht="12.75" hidden="1" customHeight="1" outlineLevel="1">
      <c r="A6" s="605">
        <v>1978</v>
      </c>
      <c r="B6" s="11">
        <v>11154.6</v>
      </c>
      <c r="C6" s="25">
        <v>3065.8</v>
      </c>
      <c r="D6" s="25">
        <v>3032.6</v>
      </c>
      <c r="E6" s="25">
        <v>2081.4</v>
      </c>
      <c r="F6" s="25">
        <v>1757.2</v>
      </c>
      <c r="G6" s="25">
        <v>1051.5999999999999</v>
      </c>
      <c r="H6" s="371">
        <v>166</v>
      </c>
    </row>
    <row r="7" spans="1:29" s="729" customFormat="1" ht="12.75" hidden="1" customHeight="1" outlineLevel="1">
      <c r="A7" s="605">
        <v>1979</v>
      </c>
      <c r="B7" s="11">
        <v>11536.7</v>
      </c>
      <c r="C7" s="25">
        <v>3177.7</v>
      </c>
      <c r="D7" s="25">
        <v>3155.2</v>
      </c>
      <c r="E7" s="25">
        <v>2170.4</v>
      </c>
      <c r="F7" s="25">
        <v>1772.8</v>
      </c>
      <c r="G7" s="25">
        <v>1089.9000000000001</v>
      </c>
      <c r="H7" s="371">
        <v>170.8</v>
      </c>
    </row>
    <row r="8" spans="1:29" s="729" customFormat="1" ht="12.75" hidden="1" customHeight="1" outlineLevel="1">
      <c r="A8" s="605">
        <v>1980</v>
      </c>
      <c r="B8" s="11">
        <v>11879.4</v>
      </c>
      <c r="C8" s="25">
        <v>3253.5</v>
      </c>
      <c r="D8" s="25">
        <v>3291.4</v>
      </c>
      <c r="E8" s="25">
        <v>2265.6999999999998</v>
      </c>
      <c r="F8" s="25">
        <v>1796.2</v>
      </c>
      <c r="G8" s="25">
        <v>1103.2</v>
      </c>
      <c r="H8" s="371">
        <v>169.5</v>
      </c>
    </row>
    <row r="9" spans="1:29" s="729" customFormat="1" collapsed="1">
      <c r="A9" s="604">
        <v>1981</v>
      </c>
      <c r="B9" s="47">
        <v>12235.8</v>
      </c>
      <c r="C9" s="365">
        <v>3284.7</v>
      </c>
      <c r="D9" s="365">
        <v>3434</v>
      </c>
      <c r="E9" s="365">
        <v>2398.6999999999998</v>
      </c>
      <c r="F9" s="365">
        <v>1827</v>
      </c>
      <c r="G9" s="365">
        <v>1120.3</v>
      </c>
      <c r="H9" s="612">
        <v>171</v>
      </c>
    </row>
    <row r="10" spans="1:29" ht="12.75" customHeight="1">
      <c r="A10" s="605">
        <v>1982</v>
      </c>
      <c r="B10" s="47">
        <v>12301.8</v>
      </c>
      <c r="C10" s="365">
        <v>3153.7</v>
      </c>
      <c r="D10" s="365">
        <v>3478.5</v>
      </c>
      <c r="E10" s="365">
        <v>2533.1</v>
      </c>
      <c r="F10" s="365">
        <v>1828.7</v>
      </c>
      <c r="G10" s="365">
        <v>1133</v>
      </c>
      <c r="H10" s="612">
        <v>174.7</v>
      </c>
    </row>
    <row r="11" spans="1:29" ht="12.75" customHeight="1">
      <c r="A11" s="605">
        <v>1983</v>
      </c>
      <c r="B11" s="47">
        <v>12527.6</v>
      </c>
      <c r="C11" s="365">
        <v>3112.4</v>
      </c>
      <c r="D11" s="365">
        <v>3574.5</v>
      </c>
      <c r="E11" s="365">
        <v>2662.7</v>
      </c>
      <c r="F11" s="365">
        <v>1861.9</v>
      </c>
      <c r="G11" s="365">
        <v>1147</v>
      </c>
      <c r="H11" s="612">
        <v>169.1</v>
      </c>
      <c r="I11" s="725"/>
      <c r="J11" s="725"/>
      <c r="K11" s="725"/>
      <c r="L11" s="725"/>
      <c r="M11" s="725"/>
      <c r="N11" s="725"/>
      <c r="O11" s="725"/>
      <c r="P11" s="725"/>
      <c r="Q11" s="725"/>
      <c r="R11" s="725"/>
      <c r="S11" s="725"/>
      <c r="T11" s="725"/>
      <c r="U11" s="725"/>
      <c r="V11" s="725"/>
      <c r="W11" s="725"/>
    </row>
    <row r="12" spans="1:29" ht="12.75" customHeight="1">
      <c r="A12" s="605">
        <v>1984</v>
      </c>
      <c r="B12" s="47">
        <v>12747.9</v>
      </c>
      <c r="C12" s="365">
        <v>3070.2</v>
      </c>
      <c r="D12" s="365">
        <v>3675.5</v>
      </c>
      <c r="E12" s="365">
        <v>2804.9</v>
      </c>
      <c r="F12" s="365">
        <v>1869.2</v>
      </c>
      <c r="G12" s="365">
        <v>1155.3</v>
      </c>
      <c r="H12" s="612">
        <v>172.7</v>
      </c>
    </row>
    <row r="13" spans="1:29" ht="12.75" customHeight="1">
      <c r="A13" s="605">
        <v>1985</v>
      </c>
      <c r="B13" s="47">
        <v>13012.4</v>
      </c>
      <c r="C13" s="365">
        <v>3029.1</v>
      </c>
      <c r="D13" s="365">
        <v>3790.2</v>
      </c>
      <c r="E13" s="365">
        <v>2935.7</v>
      </c>
      <c r="F13" s="365">
        <v>1911.7</v>
      </c>
      <c r="G13" s="365">
        <v>1165.9000000000001</v>
      </c>
      <c r="H13" s="612">
        <v>179.8</v>
      </c>
      <c r="I13" s="10"/>
      <c r="J13" s="10"/>
      <c r="K13" s="10"/>
      <c r="L13" s="10"/>
      <c r="M13" s="10"/>
      <c r="N13" s="10"/>
      <c r="O13" s="10"/>
      <c r="P13" s="10"/>
      <c r="Q13" s="10"/>
      <c r="R13" s="10"/>
      <c r="S13" s="10"/>
      <c r="T13" s="10"/>
      <c r="U13" s="10"/>
      <c r="V13" s="10"/>
      <c r="W13" s="10"/>
      <c r="X13" s="10"/>
      <c r="Y13" s="10"/>
      <c r="Z13" s="10"/>
      <c r="AA13" s="10"/>
      <c r="AB13" s="10"/>
      <c r="AC13" s="10"/>
    </row>
    <row r="14" spans="1:29" ht="12.75" customHeight="1">
      <c r="A14" s="605">
        <v>1986</v>
      </c>
      <c r="B14" s="47">
        <v>13272.1</v>
      </c>
      <c r="C14" s="365">
        <v>3024</v>
      </c>
      <c r="D14" s="365">
        <v>3926.3</v>
      </c>
      <c r="E14" s="365">
        <v>3071.4</v>
      </c>
      <c r="F14" s="365">
        <v>1928.8</v>
      </c>
      <c r="G14" s="365">
        <v>1153.4000000000001</v>
      </c>
      <c r="H14" s="612">
        <v>168.2</v>
      </c>
      <c r="I14" s="725"/>
      <c r="J14" s="725"/>
      <c r="K14" s="725"/>
      <c r="L14" s="725"/>
      <c r="M14" s="725"/>
      <c r="N14" s="725"/>
      <c r="O14" s="725"/>
      <c r="P14" s="725"/>
      <c r="Q14" s="725"/>
      <c r="R14" s="725"/>
      <c r="S14" s="725"/>
      <c r="T14" s="725"/>
    </row>
    <row r="15" spans="1:29" ht="12.75" customHeight="1">
      <c r="A15" s="605">
        <v>1987</v>
      </c>
      <c r="B15" s="47">
        <v>13526</v>
      </c>
      <c r="C15" s="365">
        <v>2967.2</v>
      </c>
      <c r="D15" s="365">
        <v>4002.8</v>
      </c>
      <c r="E15" s="365">
        <v>3208.4</v>
      </c>
      <c r="F15" s="365">
        <v>2012.7</v>
      </c>
      <c r="G15" s="365">
        <v>1159.4000000000001</v>
      </c>
      <c r="H15" s="612">
        <v>175.5</v>
      </c>
    </row>
    <row r="16" spans="1:29" ht="12.75" customHeight="1">
      <c r="A16" s="605">
        <v>1988</v>
      </c>
      <c r="B16" s="47">
        <v>13779.1</v>
      </c>
      <c r="C16" s="365">
        <v>2891.6</v>
      </c>
      <c r="D16" s="365">
        <v>4088.6</v>
      </c>
      <c r="E16" s="365">
        <v>3358.2</v>
      </c>
      <c r="F16" s="365">
        <v>2092.3000000000002</v>
      </c>
      <c r="G16" s="365">
        <v>1170</v>
      </c>
      <c r="H16" s="612">
        <v>178.4</v>
      </c>
    </row>
    <row r="17" spans="1:8" ht="12.75" customHeight="1">
      <c r="A17" s="605">
        <v>1989</v>
      </c>
      <c r="B17" s="47">
        <v>14057</v>
      </c>
      <c r="C17" s="365">
        <v>2838.9</v>
      </c>
      <c r="D17" s="365">
        <v>4172.7</v>
      </c>
      <c r="E17" s="365">
        <v>3505.5</v>
      </c>
      <c r="F17" s="365">
        <v>2186.9</v>
      </c>
      <c r="G17" s="365">
        <v>1165.9000000000001</v>
      </c>
      <c r="H17" s="612">
        <v>186.9</v>
      </c>
    </row>
    <row r="18" spans="1:8" ht="12.75" customHeight="1">
      <c r="A18" s="605">
        <v>1990</v>
      </c>
      <c r="B18" s="47">
        <v>14244.6</v>
      </c>
      <c r="C18" s="365">
        <v>2744.2</v>
      </c>
      <c r="D18" s="365">
        <v>4211.6000000000004</v>
      </c>
      <c r="E18" s="365">
        <v>3658.6</v>
      </c>
      <c r="F18" s="365">
        <v>2268</v>
      </c>
      <c r="G18" s="365">
        <v>1169.9000000000001</v>
      </c>
      <c r="H18" s="612">
        <v>192.5</v>
      </c>
    </row>
    <row r="19" spans="1:8" ht="12.75" customHeight="1">
      <c r="A19" s="605">
        <v>1991</v>
      </c>
      <c r="B19" s="47">
        <v>14336.3</v>
      </c>
      <c r="C19" s="365">
        <v>2656.3</v>
      </c>
      <c r="D19" s="365">
        <v>4181.8</v>
      </c>
      <c r="E19" s="365">
        <v>3760.7</v>
      </c>
      <c r="F19" s="365">
        <v>2379.4</v>
      </c>
      <c r="G19" s="365">
        <v>1159.0999999999999</v>
      </c>
      <c r="H19" s="612">
        <v>199.1</v>
      </c>
    </row>
    <row r="20" spans="1:8" ht="12.75" customHeight="1">
      <c r="A20" s="605">
        <v>1992</v>
      </c>
      <c r="B20" s="47">
        <v>14336.1</v>
      </c>
      <c r="C20" s="365">
        <v>2569.6999999999998</v>
      </c>
      <c r="D20" s="365">
        <v>4096.7</v>
      </c>
      <c r="E20" s="365">
        <v>3802.2</v>
      </c>
      <c r="F20" s="365">
        <v>2513.5</v>
      </c>
      <c r="G20" s="365">
        <v>1155.9000000000001</v>
      </c>
      <c r="H20" s="612">
        <v>198.2</v>
      </c>
    </row>
    <row r="21" spans="1:8" ht="12.75" customHeight="1">
      <c r="A21" s="605">
        <v>1993</v>
      </c>
      <c r="B21" s="47">
        <v>14435</v>
      </c>
      <c r="C21" s="365">
        <v>2502.5</v>
      </c>
      <c r="D21" s="365">
        <v>4034.8</v>
      </c>
      <c r="E21" s="365">
        <v>3904.4</v>
      </c>
      <c r="F21" s="365">
        <v>2647</v>
      </c>
      <c r="G21" s="365">
        <v>1152.9000000000001</v>
      </c>
      <c r="H21" s="612">
        <v>193.5</v>
      </c>
    </row>
    <row r="22" spans="1:8" ht="12.75" customHeight="1">
      <c r="A22" s="605">
        <v>1994</v>
      </c>
      <c r="B22" s="47">
        <v>14573.7</v>
      </c>
      <c r="C22" s="365">
        <v>2485</v>
      </c>
      <c r="D22" s="365">
        <v>3961.4</v>
      </c>
      <c r="E22" s="365">
        <v>3983.9</v>
      </c>
      <c r="F22" s="365">
        <v>2761.9</v>
      </c>
      <c r="G22" s="365">
        <v>1172.0999999999999</v>
      </c>
      <c r="H22" s="612">
        <v>209.4</v>
      </c>
    </row>
    <row r="23" spans="1:8" ht="12.75" customHeight="1">
      <c r="A23" s="605">
        <v>1995</v>
      </c>
      <c r="B23" s="47">
        <v>14689.2</v>
      </c>
      <c r="C23" s="365">
        <v>2462.1999999999998</v>
      </c>
      <c r="D23" s="365">
        <v>3910.8</v>
      </c>
      <c r="E23" s="365">
        <v>4066.2</v>
      </c>
      <c r="F23" s="365">
        <v>2887.7</v>
      </c>
      <c r="G23" s="365">
        <v>1160.7</v>
      </c>
      <c r="H23" s="612">
        <v>201.6</v>
      </c>
    </row>
    <row r="24" spans="1:8" ht="12.75" customHeight="1">
      <c r="A24" s="605">
        <v>1996</v>
      </c>
      <c r="B24" s="47">
        <v>14853.5</v>
      </c>
      <c r="C24" s="365">
        <v>2440.4</v>
      </c>
      <c r="D24" s="365">
        <v>3878.4</v>
      </c>
      <c r="E24" s="365">
        <v>4165.7</v>
      </c>
      <c r="F24" s="365">
        <v>2987.3</v>
      </c>
      <c r="G24" s="365">
        <v>1177.7</v>
      </c>
      <c r="H24" s="612">
        <v>203.9</v>
      </c>
    </row>
    <row r="25" spans="1:8" ht="12.75" customHeight="1">
      <c r="A25" s="605">
        <v>1997</v>
      </c>
      <c r="B25" s="47">
        <v>15079.1</v>
      </c>
      <c r="C25" s="365">
        <v>2425.6</v>
      </c>
      <c r="D25" s="365">
        <v>3815.4</v>
      </c>
      <c r="E25" s="365">
        <v>4282.5</v>
      </c>
      <c r="F25" s="365">
        <v>3119.6</v>
      </c>
      <c r="G25" s="365">
        <v>1222.2</v>
      </c>
      <c r="H25" s="612">
        <v>213.8</v>
      </c>
    </row>
    <row r="26" spans="1:8" ht="12.75" customHeight="1">
      <c r="A26" s="605">
        <v>1998</v>
      </c>
      <c r="B26" s="47">
        <v>15316.3</v>
      </c>
      <c r="C26" s="365">
        <v>2461.1</v>
      </c>
      <c r="D26" s="365">
        <v>3754.4</v>
      </c>
      <c r="E26" s="365">
        <v>4361.1000000000004</v>
      </c>
      <c r="F26" s="365">
        <v>3250.4</v>
      </c>
      <c r="G26" s="365">
        <v>1266.4000000000001</v>
      </c>
      <c r="H26" s="612">
        <v>223</v>
      </c>
    </row>
    <row r="27" spans="1:8" ht="12.75" customHeight="1">
      <c r="A27" s="605">
        <v>1999</v>
      </c>
      <c r="B27" s="47">
        <v>15588.3</v>
      </c>
      <c r="C27" s="365">
        <v>2551.3000000000002</v>
      </c>
      <c r="D27" s="365">
        <v>3664.9</v>
      </c>
      <c r="E27" s="365">
        <v>4434.7</v>
      </c>
      <c r="F27" s="365">
        <v>3384.7</v>
      </c>
      <c r="G27" s="365">
        <v>1334.5</v>
      </c>
      <c r="H27" s="612">
        <v>218.1</v>
      </c>
    </row>
    <row r="28" spans="1:8" ht="12.75" customHeight="1">
      <c r="A28" s="605">
        <v>2000</v>
      </c>
      <c r="B28" s="47">
        <v>15847</v>
      </c>
      <c r="C28" s="365">
        <v>2621.4</v>
      </c>
      <c r="D28" s="365">
        <v>3622.2</v>
      </c>
      <c r="E28" s="365">
        <v>4461.7</v>
      </c>
      <c r="F28" s="365">
        <v>3517.7</v>
      </c>
      <c r="G28" s="365">
        <v>1408.8</v>
      </c>
      <c r="H28" s="612">
        <v>215.1</v>
      </c>
    </row>
    <row r="29" spans="1:8" ht="12.75" customHeight="1">
      <c r="A29" s="605">
        <v>2001</v>
      </c>
      <c r="B29" s="47">
        <v>16109.8</v>
      </c>
      <c r="C29" s="365">
        <v>2668.3</v>
      </c>
      <c r="D29" s="365">
        <v>3620.8</v>
      </c>
      <c r="E29" s="365">
        <v>4479.3</v>
      </c>
      <c r="F29" s="365">
        <v>3649.3</v>
      </c>
      <c r="G29" s="365">
        <v>1472</v>
      </c>
      <c r="H29" s="612">
        <v>220.2</v>
      </c>
    </row>
    <row r="30" spans="1:8" ht="12.75" customHeight="1">
      <c r="A30" s="605">
        <v>2002</v>
      </c>
      <c r="B30" s="47">
        <v>16579.3</v>
      </c>
      <c r="C30" s="365">
        <v>2777.2</v>
      </c>
      <c r="D30" s="365">
        <v>3647.9</v>
      </c>
      <c r="E30" s="365">
        <v>4495.2</v>
      </c>
      <c r="F30" s="365">
        <v>3792.5</v>
      </c>
      <c r="G30" s="365">
        <v>1620</v>
      </c>
      <c r="H30" s="612">
        <v>246.4</v>
      </c>
    </row>
    <row r="31" spans="1:8" ht="12.75" customHeight="1">
      <c r="A31" s="605">
        <v>2003</v>
      </c>
      <c r="B31" s="47">
        <v>16958.5</v>
      </c>
      <c r="C31" s="365">
        <v>2835.1</v>
      </c>
      <c r="D31" s="365">
        <v>3677.9</v>
      </c>
      <c r="E31" s="365">
        <v>4449</v>
      </c>
      <c r="F31" s="365">
        <v>3912.1</v>
      </c>
      <c r="G31" s="365">
        <v>1803.1</v>
      </c>
      <c r="H31" s="612">
        <v>281.39999999999998</v>
      </c>
    </row>
    <row r="32" spans="1:8" ht="12.75" customHeight="1">
      <c r="A32" s="605">
        <v>2004</v>
      </c>
      <c r="B32" s="47">
        <v>17182.3</v>
      </c>
      <c r="C32" s="365">
        <v>2841</v>
      </c>
      <c r="D32" s="365">
        <v>3712.2</v>
      </c>
      <c r="E32" s="365">
        <v>4409.5</v>
      </c>
      <c r="F32" s="365">
        <v>4011.3</v>
      </c>
      <c r="G32" s="365">
        <v>1912.7</v>
      </c>
      <c r="H32" s="612">
        <v>295.60000000000002</v>
      </c>
    </row>
    <row r="33" spans="1:8" ht="12.75" customHeight="1">
      <c r="A33" s="605">
        <v>2005</v>
      </c>
      <c r="B33" s="47">
        <v>17342.599999999999</v>
      </c>
      <c r="C33" s="365">
        <v>2822.7</v>
      </c>
      <c r="D33" s="365">
        <v>3724.9</v>
      </c>
      <c r="E33" s="365">
        <v>4360.2</v>
      </c>
      <c r="F33" s="365">
        <v>4100.2</v>
      </c>
      <c r="G33" s="365">
        <v>2016</v>
      </c>
      <c r="H33" s="612">
        <v>318.5</v>
      </c>
    </row>
    <row r="34" spans="1:8" ht="12.75" customHeight="1">
      <c r="A34" s="605">
        <v>2006</v>
      </c>
      <c r="B34" s="47">
        <v>17592.8</v>
      </c>
      <c r="C34" s="365">
        <v>2869.5</v>
      </c>
      <c r="D34" s="365">
        <v>3748.8</v>
      </c>
      <c r="E34" s="365">
        <v>4315</v>
      </c>
      <c r="F34" s="365">
        <v>4205.2</v>
      </c>
      <c r="G34" s="365">
        <v>2122.5</v>
      </c>
      <c r="H34" s="612">
        <v>331.8</v>
      </c>
    </row>
    <row r="35" spans="1:8" ht="12.75" customHeight="1">
      <c r="A35" s="605">
        <v>2007</v>
      </c>
      <c r="B35" s="47">
        <v>17945.8</v>
      </c>
      <c r="C35" s="365">
        <v>2915.1</v>
      </c>
      <c r="D35" s="365">
        <v>3819.4</v>
      </c>
      <c r="E35" s="365">
        <v>4273.3999999999996</v>
      </c>
      <c r="F35" s="365">
        <v>4317</v>
      </c>
      <c r="G35" s="365">
        <v>2254.5</v>
      </c>
      <c r="H35" s="612">
        <v>366.4</v>
      </c>
    </row>
    <row r="36" spans="1:8">
      <c r="A36" s="1029">
        <v>2008</v>
      </c>
      <c r="B36" s="613">
        <v>18245.099999999999</v>
      </c>
      <c r="C36" s="613">
        <v>2949.6</v>
      </c>
      <c r="D36" s="613">
        <v>3861.8</v>
      </c>
      <c r="E36" s="613">
        <v>4214.7</v>
      </c>
      <c r="F36" s="613">
        <v>4428.8999999999996</v>
      </c>
      <c r="G36" s="613">
        <v>2361.4</v>
      </c>
      <c r="H36" s="613">
        <v>428.6</v>
      </c>
    </row>
    <row r="37" spans="1:8">
      <c r="A37" s="739" t="s">
        <v>424</v>
      </c>
    </row>
    <row r="38" spans="1:8">
      <c r="A38" s="119" t="s">
        <v>1408</v>
      </c>
      <c r="B38" s="725">
        <f>100*(B36/B9)^(1/27)-100</f>
        <v>1.4907448721309038</v>
      </c>
      <c r="C38" s="725">
        <f t="shared" ref="C38:H38" si="0">100*(C36/C9)^(1/27)-100</f>
        <v>-0.39774671963218111</v>
      </c>
      <c r="D38" s="725">
        <f t="shared" si="0"/>
        <v>0.43578990166679432</v>
      </c>
      <c r="E38" s="725">
        <f t="shared" si="0"/>
        <v>2.1095408689695034</v>
      </c>
      <c r="F38" s="725">
        <f t="shared" si="0"/>
        <v>3.3339102893750407</v>
      </c>
      <c r="G38" s="725">
        <f t="shared" si="0"/>
        <v>2.8001852191837315</v>
      </c>
      <c r="H38" s="725">
        <f t="shared" si="0"/>
        <v>3.4617580865012627</v>
      </c>
    </row>
    <row r="39" spans="1:8">
      <c r="A39" s="119" t="s">
        <v>603</v>
      </c>
      <c r="B39" s="725">
        <f>100*(B17/B9)^(1/8)-100</f>
        <v>1.749558720472578</v>
      </c>
      <c r="C39" s="725">
        <f t="shared" ref="C39:H39" si="1">100*(C17/C9)^(1/8)-100</f>
        <v>-1.806713033630686</v>
      </c>
      <c r="D39" s="725">
        <f t="shared" si="1"/>
        <v>2.4653691169065155</v>
      </c>
      <c r="E39" s="725">
        <f t="shared" si="1"/>
        <v>4.8568373453335028</v>
      </c>
      <c r="F39" s="725">
        <f t="shared" si="1"/>
        <v>2.2730710592400669</v>
      </c>
      <c r="G39" s="725">
        <f t="shared" si="1"/>
        <v>0.49995580873081735</v>
      </c>
      <c r="H39" s="725">
        <f t="shared" si="1"/>
        <v>1.117575710875542</v>
      </c>
    </row>
    <row r="40" spans="1:8">
      <c r="A40" s="119" t="s">
        <v>604</v>
      </c>
      <c r="B40" s="725">
        <f t="shared" ref="B40:H40" si="2">100*(B28/B17)^(1/11)-100</f>
        <v>1.0955919080697782</v>
      </c>
      <c r="C40" s="725">
        <f t="shared" si="2"/>
        <v>-0.72200030025413753</v>
      </c>
      <c r="D40" s="725">
        <f t="shared" si="2"/>
        <v>-1.2779613939858763</v>
      </c>
      <c r="E40" s="725">
        <f t="shared" si="2"/>
        <v>2.2169135117343473</v>
      </c>
      <c r="F40" s="725">
        <f t="shared" si="2"/>
        <v>4.4158317232264181</v>
      </c>
      <c r="G40" s="725">
        <f t="shared" si="2"/>
        <v>1.7352929669346366</v>
      </c>
      <c r="H40" s="725">
        <f t="shared" si="2"/>
        <v>1.2857346849926614</v>
      </c>
    </row>
    <row r="41" spans="1:8">
      <c r="A41" s="119" t="s">
        <v>1410</v>
      </c>
      <c r="B41" s="23">
        <f>100*(B36/B28)^(1/8)-100</f>
        <v>1.7770593827319203</v>
      </c>
      <c r="C41" s="23">
        <f t="shared" ref="C41:H41" si="3">100*(C36/C28)^(1/8)-100</f>
        <v>1.485437593639233</v>
      </c>
      <c r="D41" s="23">
        <f t="shared" si="3"/>
        <v>0.80386150504831733</v>
      </c>
      <c r="E41" s="23">
        <f t="shared" si="3"/>
        <v>-0.70936510347608817</v>
      </c>
      <c r="F41" s="23">
        <f t="shared" si="3"/>
        <v>2.9211510105587024</v>
      </c>
      <c r="G41" s="23">
        <f t="shared" si="3"/>
        <v>6.6694429186678832</v>
      </c>
      <c r="H41" s="23">
        <f t="shared" si="3"/>
        <v>8.9999928719094413</v>
      </c>
    </row>
    <row r="42" spans="1:8">
      <c r="A42" s="2"/>
    </row>
    <row r="43" spans="1:8">
      <c r="A43" s="4" t="s">
        <v>425</v>
      </c>
    </row>
    <row r="44" spans="1:8">
      <c r="A44" s="119" t="s">
        <v>1408</v>
      </c>
      <c r="B44" s="23">
        <f>100*(B36/B9-1)</f>
        <v>49.112440543323686</v>
      </c>
      <c r="C44" s="23">
        <f t="shared" ref="C44:H44" si="4">100*(C36/C9-1)</f>
        <v>-10.201844917344049</v>
      </c>
      <c r="D44" s="23">
        <f t="shared" si="4"/>
        <v>12.457775189283637</v>
      </c>
      <c r="E44" s="23">
        <f t="shared" si="4"/>
        <v>75.707674990619921</v>
      </c>
      <c r="F44" s="23">
        <f t="shared" si="4"/>
        <v>142.41379310344823</v>
      </c>
      <c r="G44" s="23">
        <f t="shared" si="4"/>
        <v>110.78282602874232</v>
      </c>
      <c r="H44" s="23">
        <f t="shared" si="4"/>
        <v>150.64327485380119</v>
      </c>
    </row>
    <row r="45" spans="1:8">
      <c r="A45" s="119" t="s">
        <v>603</v>
      </c>
      <c r="B45" s="23">
        <f t="shared" ref="B45:H45" si="5">100*(B17/B9-1)</f>
        <v>14.884192288203479</v>
      </c>
      <c r="C45" s="23">
        <f t="shared" si="5"/>
        <v>-13.572015709197183</v>
      </c>
      <c r="D45" s="23">
        <f t="shared" si="5"/>
        <v>21.511357018054731</v>
      </c>
      <c r="E45" s="23">
        <f t="shared" si="5"/>
        <v>46.141660065869019</v>
      </c>
      <c r="F45" s="23">
        <f t="shared" si="5"/>
        <v>19.69896004378764</v>
      </c>
      <c r="G45" s="23">
        <f t="shared" si="5"/>
        <v>4.0703383022404838</v>
      </c>
      <c r="H45" s="23">
        <f t="shared" si="5"/>
        <v>9.2982456140350944</v>
      </c>
    </row>
    <row r="46" spans="1:8">
      <c r="A46" s="119" t="s">
        <v>604</v>
      </c>
      <c r="B46" s="23">
        <f t="shared" ref="B46:H46" si="6">100*(B28/B17-1)</f>
        <v>12.733869246638685</v>
      </c>
      <c r="C46" s="23">
        <f t="shared" si="6"/>
        <v>-7.661418154919164</v>
      </c>
      <c r="D46" s="23">
        <f t="shared" si="6"/>
        <v>-13.192896685599253</v>
      </c>
      <c r="E46" s="23">
        <f t="shared" si="6"/>
        <v>27.277135929254026</v>
      </c>
      <c r="F46" s="23">
        <f t="shared" si="6"/>
        <v>60.853262609172788</v>
      </c>
      <c r="G46" s="23">
        <f t="shared" si="6"/>
        <v>20.833690711038667</v>
      </c>
      <c r="H46" s="23">
        <f t="shared" si="6"/>
        <v>15.08828250401284</v>
      </c>
    </row>
    <row r="47" spans="1:8">
      <c r="A47" s="119" t="s">
        <v>1410</v>
      </c>
      <c r="B47" s="23">
        <f>100*(B36/B28-1)</f>
        <v>15.132832712816292</v>
      </c>
      <c r="C47" s="23">
        <f t="shared" ref="C47:H47" si="7">100*(C36/C28-1)</f>
        <v>12.520027466239414</v>
      </c>
      <c r="D47" s="23">
        <f t="shared" si="7"/>
        <v>6.6147645077577311</v>
      </c>
      <c r="E47" s="23">
        <f t="shared" si="7"/>
        <v>-5.5360064549387022</v>
      </c>
      <c r="F47" s="23">
        <f t="shared" si="7"/>
        <v>25.903289080933554</v>
      </c>
      <c r="G47" s="23">
        <f t="shared" si="7"/>
        <v>67.617830777967086</v>
      </c>
      <c r="H47" s="23">
        <f t="shared" si="7"/>
        <v>99.256159925616004</v>
      </c>
    </row>
    <row r="48" spans="1:8" ht="24.75" customHeight="1"/>
    <row r="49" spans="1:8" ht="24.75" customHeight="1">
      <c r="A49" s="1168" t="s">
        <v>1646</v>
      </c>
      <c r="B49" s="1168"/>
      <c r="C49" s="1168"/>
      <c r="D49" s="1168"/>
      <c r="E49" s="1168"/>
      <c r="F49" s="1168"/>
      <c r="G49" s="1168"/>
      <c r="H49" s="1168"/>
    </row>
  </sheetData>
  <mergeCells count="1">
    <mergeCell ref="A49:H49"/>
  </mergeCells>
  <pageMargins left="0.7" right="0.7" top="0.75" bottom="0.75" header="0.3" footer="0.3"/>
  <pageSetup scale="86" orientation="landscape" verticalDpi="0" r:id="rId1"/>
</worksheet>
</file>

<file path=xl/worksheets/sheet208.xml><?xml version="1.0" encoding="utf-8"?>
<worksheet xmlns="http://schemas.openxmlformats.org/spreadsheetml/2006/main" xmlns:r="http://schemas.openxmlformats.org/officeDocument/2006/relationships">
  <sheetPr codeName="Sheet203">
    <pageSetUpPr fitToPage="1"/>
  </sheetPr>
  <dimension ref="A1:AC49"/>
  <sheetViews>
    <sheetView view="pageBreakPreview" zoomScaleNormal="100" zoomScaleSheetLayoutView="100" workbookViewId="0">
      <pane xSplit="1" ySplit="8" topLeftCell="B9" activePane="bottomRight" state="frozen"/>
      <selection activeCell="H62" sqref="H62"/>
      <selection pane="topRight" activeCell="H62" sqref="H62"/>
      <selection pane="bottomLeft" activeCell="H62" sqref="H62"/>
      <selection pane="bottomRight" activeCell="H62" sqref="H62"/>
    </sheetView>
  </sheetViews>
  <sheetFormatPr defaultColWidth="10.140625" defaultRowHeight="12.75" outlineLevelRow="1"/>
  <cols>
    <col min="1" max="1" width="10.140625" style="739"/>
    <col min="2" max="8" width="17" style="739" customWidth="1"/>
    <col min="9" max="16384" width="10.140625" style="739"/>
  </cols>
  <sheetData>
    <row r="1" spans="1:29" ht="15.75">
      <c r="A1" s="40" t="s">
        <v>2255</v>
      </c>
    </row>
    <row r="2" spans="1:29" s="729" customFormat="1">
      <c r="A2" s="730"/>
      <c r="B2" s="731"/>
      <c r="C2" s="731"/>
      <c r="D2" s="731"/>
      <c r="E2" s="731"/>
      <c r="F2" s="731"/>
      <c r="G2" s="731"/>
      <c r="H2" s="731"/>
    </row>
    <row r="3" spans="1:29" s="729" customFormat="1">
      <c r="A3" s="478"/>
      <c r="B3" s="606" t="s">
        <v>1639</v>
      </c>
      <c r="C3" s="607" t="s">
        <v>1640</v>
      </c>
      <c r="D3" s="607" t="s">
        <v>1641</v>
      </c>
      <c r="E3" s="607" t="s">
        <v>1642</v>
      </c>
      <c r="F3" s="607" t="s">
        <v>1643</v>
      </c>
      <c r="G3" s="607" t="s">
        <v>1644</v>
      </c>
      <c r="H3" s="608" t="s">
        <v>1645</v>
      </c>
    </row>
    <row r="4" spans="1:29" s="729" customFormat="1" hidden="1" outlineLevel="1">
      <c r="A4" s="604">
        <v>1976</v>
      </c>
      <c r="B4" s="609">
        <f>'[9]68B'!B4/'[9]68B'!$B4*100</f>
        <v>100</v>
      </c>
      <c r="C4" s="610">
        <f>'[9]68B'!C4/'[9]68B'!$B4*100</f>
        <v>27.564744121319574</v>
      </c>
      <c r="D4" s="610">
        <f>'[9]68B'!D4/'[9]68B'!$B4*100</f>
        <v>26.248415353673998</v>
      </c>
      <c r="E4" s="610">
        <f>'[9]68B'!E4/'[9]68B'!$B4*100</f>
        <v>18.438134454262105</v>
      </c>
      <c r="F4" s="610">
        <f>'[9]68B'!F4/'[9]68B'!$B4*100</f>
        <v>16.418365693479362</v>
      </c>
      <c r="G4" s="610">
        <f>'[9]68B'!G4/'[9]68B'!$B4*100</f>
        <v>9.6899335640006488</v>
      </c>
      <c r="H4" s="611">
        <f>'[9]68B'!H4/'[9]68B'!$B4*100</f>
        <v>1.6404068132643237</v>
      </c>
    </row>
    <row r="5" spans="1:29" s="729" customFormat="1" hidden="1" outlineLevel="1">
      <c r="A5" s="605">
        <v>1977</v>
      </c>
      <c r="B5" s="11">
        <f>'[9]68B'!B5/'[9]68B'!$B5*100</f>
        <v>100</v>
      </c>
      <c r="C5" s="25">
        <f>'[9]68B'!C5/'[9]68B'!$B5*100</f>
        <v>27.663835626599408</v>
      </c>
      <c r="D5" s="25">
        <f>'[9]68B'!D5/'[9]68B'!$B5*100</f>
        <v>26.68935207506583</v>
      </c>
      <c r="E5" s="25">
        <f>'[9]68B'!E5/'[9]68B'!$B5*100</f>
        <v>18.534658606238178</v>
      </c>
      <c r="F5" s="25">
        <f>'[9]68B'!F5/'[9]68B'!$B5*100</f>
        <v>16.023810406853837</v>
      </c>
      <c r="G5" s="25">
        <f>'[9]68B'!G5/'[9]68B'!$B5*100</f>
        <v>9.5584690130920151</v>
      </c>
      <c r="H5" s="371">
        <f>'[9]68B'!H5/'[9]68B'!$B5*100</f>
        <v>1.5289470756221488</v>
      </c>
    </row>
    <row r="6" spans="1:29" s="729" customFormat="1" hidden="1" outlineLevel="1">
      <c r="A6" s="605">
        <v>1978</v>
      </c>
      <c r="B6" s="11">
        <f>'[9]68B'!B6/'[9]68B'!$B6*100</f>
        <v>100</v>
      </c>
      <c r="C6" s="25">
        <f>'[9]68B'!C6/'[9]68B'!$B6*100</f>
        <v>27.484625177056998</v>
      </c>
      <c r="D6" s="25">
        <f>'[9]68B'!D6/'[9]68B'!$B6*100</f>
        <v>27.186990120667705</v>
      </c>
      <c r="E6" s="25">
        <f>'[9]68B'!E6/'[9]68B'!$B6*100</f>
        <v>18.659566456887742</v>
      </c>
      <c r="F6" s="25">
        <f>'[9]68B'!F6/'[9]68B'!$B6*100</f>
        <v>15.753142201423628</v>
      </c>
      <c r="G6" s="25">
        <f>'[9]68B'!G6/'[9]68B'!$B6*100</f>
        <v>9.4275007620174627</v>
      </c>
      <c r="H6" s="371">
        <f>'[9]68B'!H6/'[9]68B'!$B6*100</f>
        <v>1.4881752819464615</v>
      </c>
    </row>
    <row r="7" spans="1:29" s="729" customFormat="1" hidden="1" outlineLevel="1">
      <c r="A7" s="605">
        <v>1979</v>
      </c>
      <c r="B7" s="11">
        <f>'[9]68B'!B7/'[9]68B'!$B7*100</f>
        <v>100</v>
      </c>
      <c r="C7" s="25">
        <f>'[9]68B'!C7/'[9]68B'!$B7*100</f>
        <v>27.544271758821843</v>
      </c>
      <c r="D7" s="25">
        <f>'[9]68B'!D7/'[9]68B'!$B7*100</f>
        <v>27.349241984276262</v>
      </c>
      <c r="E7" s="25">
        <f>'[9]68B'!E7/'[9]68B'!$B7*100</f>
        <v>18.813005452165697</v>
      </c>
      <c r="F7" s="25">
        <f>'[9]68B'!F7/'[9]68B'!$B7*100</f>
        <v>15.366612636195793</v>
      </c>
      <c r="G7" s="25">
        <f>'[9]68B'!G7/'[9]68B'!$B7*100</f>
        <v>9.4472422789879253</v>
      </c>
      <c r="H7" s="371">
        <f>'[9]68B'!H7/'[9]68B'!$B7*100</f>
        <v>1.4804926885504519</v>
      </c>
    </row>
    <row r="8" spans="1:29" s="729" customFormat="1" hidden="1" outlineLevel="1">
      <c r="A8" s="605">
        <v>1980</v>
      </c>
      <c r="B8" s="11">
        <f>'[9]68B'!B8/'[9]68B'!$B8*100</f>
        <v>100</v>
      </c>
      <c r="C8" s="25">
        <f>'[9]68B'!C8/'[9]68B'!$B8*100</f>
        <v>27.387746855901813</v>
      </c>
      <c r="D8" s="25">
        <f>'[9]68B'!D8/'[9]68B'!$B8*100</f>
        <v>27.706786538040646</v>
      </c>
      <c r="E8" s="25">
        <f>'[9]68B'!E8/'[9]68B'!$B8*100</f>
        <v>19.072512079734665</v>
      </c>
      <c r="F8" s="25">
        <f>'[9]68B'!F8/'[9]68B'!$B8*100</f>
        <v>15.120292270653401</v>
      </c>
      <c r="G8" s="25">
        <f>'[9]68B'!G8/'[9]68B'!$B8*100</f>
        <v>9.2866643096452695</v>
      </c>
      <c r="H8" s="371">
        <f>'[9]68B'!H8/'[9]68B'!$B8*100</f>
        <v>1.4268397393807768</v>
      </c>
    </row>
    <row r="9" spans="1:29" s="729" customFormat="1" collapsed="1">
      <c r="A9" s="604">
        <v>1981</v>
      </c>
      <c r="B9" s="47">
        <f>'[9]68B'!B9/'[9]68B'!$B9*100</f>
        <v>100</v>
      </c>
      <c r="C9" s="365">
        <f>'[9]68B'!C9/'[9]68B'!$B9*100</f>
        <v>26.844995831903105</v>
      </c>
      <c r="D9" s="365">
        <f>'[9]68B'!D9/'[9]68B'!$B9*100</f>
        <v>28.065185766357736</v>
      </c>
      <c r="E9" s="365">
        <f>'[9]68B'!E9/'[9]68B'!$B9*100</f>
        <v>19.603949067490479</v>
      </c>
      <c r="F9" s="365">
        <f>'[9]68B'!F9/'[9]68B'!$B9*100</f>
        <v>14.931594174471632</v>
      </c>
      <c r="G9" s="365">
        <f>'[9]68B'!G9/'[9]68B'!$B9*100</f>
        <v>9.1559195148662127</v>
      </c>
      <c r="H9" s="612">
        <f>'[9]68B'!H9/'[9]68B'!$B9*100</f>
        <v>1.3975383710096603</v>
      </c>
    </row>
    <row r="10" spans="1:29" ht="12.75" customHeight="1">
      <c r="A10" s="605">
        <v>1982</v>
      </c>
      <c r="B10" s="47">
        <f>'[9]68B'!B10/'[9]68B'!$B10*100</f>
        <v>100</v>
      </c>
      <c r="C10" s="365">
        <f>'[9]68B'!C10/'[9]68B'!$B10*100</f>
        <v>25.636085776065293</v>
      </c>
      <c r="D10" s="365">
        <f>'[9]68B'!D10/'[9]68B'!$B10*100</f>
        <v>28.27634980246793</v>
      </c>
      <c r="E10" s="365">
        <f>'[9]68B'!E10/'[9]68B'!$B10*100</f>
        <v>20.591295582760246</v>
      </c>
      <c r="F10" s="365">
        <f>'[9]68B'!F10/'[9]68B'!$B10*100</f>
        <v>14.86530426441659</v>
      </c>
      <c r="G10" s="365">
        <f>'[9]68B'!G10/'[9]68B'!$B10*100</f>
        <v>9.2100343039230044</v>
      </c>
      <c r="H10" s="612">
        <f>'[9]68B'!H10/'[9]68B'!$B10*100</f>
        <v>1.4201173811962478</v>
      </c>
    </row>
    <row r="11" spans="1:29" ht="12.75" customHeight="1">
      <c r="A11" s="605">
        <v>1983</v>
      </c>
      <c r="B11" s="47">
        <f>'[9]68B'!B11/'[9]68B'!$B11*100</f>
        <v>100</v>
      </c>
      <c r="C11" s="365">
        <f>'[9]68B'!C11/'[9]68B'!$B11*100</f>
        <v>24.844343689134391</v>
      </c>
      <c r="D11" s="365">
        <f>'[9]68B'!D11/'[9]68B'!$B11*100</f>
        <v>28.532999137903509</v>
      </c>
      <c r="E11" s="365">
        <f>'[9]68B'!E11/'[9]68B'!$B11*100</f>
        <v>21.254669689325965</v>
      </c>
      <c r="F11" s="365">
        <f>'[9]68B'!F11/'[9]68B'!$B11*100</f>
        <v>14.86238385644497</v>
      </c>
      <c r="G11" s="365">
        <f>'[9]68B'!G11/'[9]68B'!$B11*100</f>
        <v>9.155784028864268</v>
      </c>
      <c r="H11" s="612">
        <f>'[9]68B'!H11/'[9]68B'!$B11*100</f>
        <v>1.3498195983268941</v>
      </c>
      <c r="I11" s="725"/>
      <c r="J11" s="725"/>
      <c r="K11" s="725"/>
      <c r="L11" s="725"/>
      <c r="M11" s="725"/>
      <c r="N11" s="725"/>
      <c r="O11" s="725"/>
      <c r="P11" s="725"/>
      <c r="Q11" s="725"/>
      <c r="R11" s="725"/>
      <c r="S11" s="725"/>
      <c r="T11" s="725"/>
      <c r="U11" s="725"/>
      <c r="V11" s="725"/>
      <c r="W11" s="725"/>
    </row>
    <row r="12" spans="1:29" ht="12.75" customHeight="1">
      <c r="A12" s="605">
        <v>1984</v>
      </c>
      <c r="B12" s="47">
        <f>'[9]68B'!B12/'[9]68B'!$B12*100</f>
        <v>100</v>
      </c>
      <c r="C12" s="365">
        <f>'[9]68B'!C12/'[9]68B'!$B12*100</f>
        <v>24.083966770997574</v>
      </c>
      <c r="D12" s="365">
        <f>'[9]68B'!D12/'[9]68B'!$B12*100</f>
        <v>28.832199813302584</v>
      </c>
      <c r="E12" s="365">
        <f>'[9]68B'!E12/'[9]68B'!$B12*100</f>
        <v>22.002839683398836</v>
      </c>
      <c r="F12" s="365">
        <f>'[9]68B'!F12/'[9]68B'!$B12*100</f>
        <v>14.662807207461622</v>
      </c>
      <c r="G12" s="365">
        <f>'[9]68B'!G12/'[9]68B'!$B12*100</f>
        <v>9.0626691455063195</v>
      </c>
      <c r="H12" s="612">
        <f>'[9]68B'!H12/'[9]68B'!$B12*100</f>
        <v>1.3547329364052119</v>
      </c>
    </row>
    <row r="13" spans="1:29" ht="12.75" customHeight="1">
      <c r="A13" s="605">
        <v>1985</v>
      </c>
      <c r="B13" s="47">
        <f>'[9]68B'!B13/'[9]68B'!$B13*100</f>
        <v>100</v>
      </c>
      <c r="C13" s="365">
        <f>'[9]68B'!C13/'[9]68B'!$B13*100</f>
        <v>23.278565061018721</v>
      </c>
      <c r="D13" s="365">
        <f>'[9]68B'!D13/'[9]68B'!$B13*100</f>
        <v>29.127601364851984</v>
      </c>
      <c r="E13" s="365">
        <f>'[9]68B'!E13/'[9]68B'!$B13*100</f>
        <v>22.560788171282773</v>
      </c>
      <c r="F13" s="365">
        <f>'[9]68B'!F13/'[9]68B'!$B13*100</f>
        <v>14.691371307368357</v>
      </c>
      <c r="G13" s="365">
        <f>'[9]68B'!G13/'[9]68B'!$B13*100</f>
        <v>8.9599151578494372</v>
      </c>
      <c r="H13" s="612">
        <f>'[9]68B'!H13/'[9]68B'!$B13*100</f>
        <v>1.3817589376287236</v>
      </c>
      <c r="I13" s="10"/>
      <c r="J13" s="10"/>
      <c r="K13" s="10"/>
      <c r="L13" s="10"/>
      <c r="M13" s="10"/>
      <c r="N13" s="10"/>
      <c r="O13" s="10"/>
      <c r="P13" s="10"/>
      <c r="Q13" s="10"/>
      <c r="R13" s="10"/>
      <c r="S13" s="10"/>
      <c r="T13" s="10"/>
      <c r="U13" s="10"/>
      <c r="V13" s="10"/>
      <c r="W13" s="10"/>
      <c r="X13" s="10"/>
      <c r="Y13" s="10"/>
      <c r="Z13" s="10"/>
      <c r="AA13" s="10"/>
      <c r="AB13" s="10"/>
      <c r="AC13" s="10"/>
    </row>
    <row r="14" spans="1:29" ht="12.75" customHeight="1">
      <c r="A14" s="605">
        <v>1986</v>
      </c>
      <c r="B14" s="47">
        <f>'[9]68B'!B14/'[9]68B'!$B14*100</f>
        <v>100</v>
      </c>
      <c r="C14" s="365">
        <f>'[9]68B'!C14/'[9]68B'!$B14*100</f>
        <v>22.784638452091226</v>
      </c>
      <c r="D14" s="365">
        <f>'[9]68B'!D14/'[9]68B'!$B14*100</f>
        <v>29.583110434671227</v>
      </c>
      <c r="E14" s="365">
        <f>'[9]68B'!E14/'[9]68B'!$B14*100</f>
        <v>23.141778618304564</v>
      </c>
      <c r="F14" s="365">
        <f>'[9]68B'!F14/'[9]68B'!$B14*100</f>
        <v>14.532741615870886</v>
      </c>
      <c r="G14" s="365">
        <f>'[9]68B'!G14/'[9]68B'!$B14*100</f>
        <v>8.6904107111911468</v>
      </c>
      <c r="H14" s="612">
        <f>'[9]68B'!H14/'[9]68B'!$B14*100</f>
        <v>1.2673201678709471</v>
      </c>
      <c r="I14" s="725"/>
      <c r="J14" s="725"/>
      <c r="K14" s="725"/>
      <c r="L14" s="725"/>
      <c r="M14" s="725"/>
      <c r="N14" s="725"/>
      <c r="O14" s="725"/>
      <c r="P14" s="725"/>
      <c r="Q14" s="725"/>
      <c r="R14" s="725"/>
      <c r="S14" s="725"/>
      <c r="T14" s="725"/>
    </row>
    <row r="15" spans="1:29" ht="12.75" customHeight="1">
      <c r="A15" s="605">
        <v>1987</v>
      </c>
      <c r="B15" s="47">
        <f>'[9]68B'!B15/'[9]68B'!$B15*100</f>
        <v>100</v>
      </c>
      <c r="C15" s="365">
        <f>'[9]68B'!C15/'[9]68B'!$B15*100</f>
        <v>21.937010202572822</v>
      </c>
      <c r="D15" s="365">
        <f>'[9]68B'!D15/'[9]68B'!$B15*100</f>
        <v>29.593375720833954</v>
      </c>
      <c r="E15" s="365">
        <f>'[9]68B'!E15/'[9]68B'!$B15*100</f>
        <v>23.720242495933757</v>
      </c>
      <c r="F15" s="365">
        <f>'[9]68B'!F15/'[9]68B'!$B15*100</f>
        <v>14.880230666863817</v>
      </c>
      <c r="G15" s="365">
        <f>'[9]68B'!G15/'[9]68B'!$B15*100</f>
        <v>8.5716398048203466</v>
      </c>
      <c r="H15" s="612">
        <f>'[9]68B'!H15/'[9]68B'!$B15*100</f>
        <v>1.2975011089753068</v>
      </c>
    </row>
    <row r="16" spans="1:29" ht="12.75" customHeight="1">
      <c r="A16" s="605">
        <v>1988</v>
      </c>
      <c r="B16" s="47">
        <f>'[9]68B'!B16/'[9]68B'!$B16*100</f>
        <v>100</v>
      </c>
      <c r="C16" s="365">
        <f>'[9]68B'!C16/'[9]68B'!$B16*100</f>
        <v>20.985405432865718</v>
      </c>
      <c r="D16" s="365">
        <f>'[9]68B'!D16/'[9]68B'!$B16*100</f>
        <v>29.672474980223672</v>
      </c>
      <c r="E16" s="365">
        <f>'[9]68B'!E16/'[9]68B'!$B16*100</f>
        <v>24.371693361685448</v>
      </c>
      <c r="F16" s="365">
        <f>'[9]68B'!F16/'[9]68B'!$B16*100</f>
        <v>15.184591156171305</v>
      </c>
      <c r="G16" s="365">
        <f>'[9]68B'!G16/'[9]68B'!$B16*100</f>
        <v>8.4911206101995056</v>
      </c>
      <c r="H16" s="612">
        <f>'[9]68B'!H16/'[9]68B'!$B16*100</f>
        <v>1.2947144588543518</v>
      </c>
    </row>
    <row r="17" spans="1:8" ht="12.75" customHeight="1">
      <c r="A17" s="605">
        <v>1989</v>
      </c>
      <c r="B17" s="47">
        <f>'[9]68B'!B17/'[9]68B'!$B17*100</f>
        <v>100</v>
      </c>
      <c r="C17" s="365">
        <f>'[9]68B'!C17/'[9]68B'!$B17*100</f>
        <v>20.195632069431603</v>
      </c>
      <c r="D17" s="365">
        <f>'[9]68B'!D17/'[9]68B'!$B17*100</f>
        <v>29.68414313153589</v>
      </c>
      <c r="E17" s="365">
        <f>'[9]68B'!E17/'[9]68B'!$B17*100</f>
        <v>24.937753432453583</v>
      </c>
      <c r="F17" s="365">
        <f>'[9]68B'!F17/'[9]68B'!$B17*100</f>
        <v>15.557373550544213</v>
      </c>
      <c r="G17" s="365">
        <f>'[9]68B'!G17/'[9]68B'!$B17*100</f>
        <v>8.2940883545564486</v>
      </c>
      <c r="H17" s="612">
        <f>'[9]68B'!H17/'[9]68B'!$B17*100</f>
        <v>1.3295866827914919</v>
      </c>
    </row>
    <row r="18" spans="1:8" ht="12.75" customHeight="1">
      <c r="A18" s="605">
        <v>1990</v>
      </c>
      <c r="B18" s="47">
        <f>'[9]68B'!B18/'[9]68B'!$B18*100</f>
        <v>100</v>
      </c>
      <c r="C18" s="365">
        <f>'[9]68B'!C18/'[9]68B'!$B18*100</f>
        <v>19.264844221669964</v>
      </c>
      <c r="D18" s="365">
        <f>'[9]68B'!D18/'[9]68B'!$B18*100</f>
        <v>29.566291787765191</v>
      </c>
      <c r="E18" s="365">
        <f>'[9]68B'!E18/'[9]68B'!$B18*100</f>
        <v>25.684118894177445</v>
      </c>
      <c r="F18" s="365">
        <f>'[9]68B'!F18/'[9]68B'!$B18*100</f>
        <v>15.921823006613032</v>
      </c>
      <c r="G18" s="365">
        <f>'[9]68B'!G18/'[9]68B'!$B18*100</f>
        <v>8.2129368322030807</v>
      </c>
      <c r="H18" s="612">
        <f>'[9]68B'!H18/'[9]68B'!$B18*100</f>
        <v>1.3513892984007976</v>
      </c>
    </row>
    <row r="19" spans="1:8" ht="12.75" customHeight="1">
      <c r="A19" s="605">
        <v>1991</v>
      </c>
      <c r="B19" s="47">
        <f>'[9]68B'!B19/'[9]68B'!$B19*100</f>
        <v>100</v>
      </c>
      <c r="C19" s="365">
        <f>'[9]68B'!C19/'[9]68B'!$B19*100</f>
        <v>18.528490614733233</v>
      </c>
      <c r="D19" s="365">
        <f>'[9]68B'!D19/'[9]68B'!$B19*100</f>
        <v>29.16931146809149</v>
      </c>
      <c r="E19" s="365">
        <f>'[9]68B'!E19/'[9]68B'!$B19*100</f>
        <v>26.232012443936021</v>
      </c>
      <c r="F19" s="365">
        <f>'[9]68B'!F19/'[9]68B'!$B19*100</f>
        <v>16.597029917063679</v>
      </c>
      <c r="G19" s="365">
        <f>'[9]68B'!G19/'[9]68B'!$B19*100</f>
        <v>8.0850707644231772</v>
      </c>
      <c r="H19" s="612">
        <f>'[9]68B'!H19/'[9]68B'!$B19*100</f>
        <v>1.3887823217985116</v>
      </c>
    </row>
    <row r="20" spans="1:8" ht="12.75" customHeight="1">
      <c r="A20" s="605">
        <v>1992</v>
      </c>
      <c r="B20" s="47">
        <f>'[9]68B'!B20/'[9]68B'!$B20*100</f>
        <v>100</v>
      </c>
      <c r="C20" s="365">
        <f>'[9]68B'!C20/'[9]68B'!$B20*100</f>
        <v>17.924679654857318</v>
      </c>
      <c r="D20" s="365">
        <f>'[9]68B'!D20/'[9]68B'!$B20*100</f>
        <v>28.57611205278981</v>
      </c>
      <c r="E20" s="365">
        <f>'[9]68B'!E20/'[9]68B'!$B20*100</f>
        <v>26.521857408918741</v>
      </c>
      <c r="F20" s="365">
        <f>'[9]68B'!F20/'[9]68B'!$B20*100</f>
        <v>17.53266230006766</v>
      </c>
      <c r="G20" s="365">
        <f>'[9]68B'!G20/'[9]68B'!$B20*100</f>
        <v>8.0628622847217866</v>
      </c>
      <c r="H20" s="612">
        <f>'[9]68B'!H20/'[9]68B'!$B20*100</f>
        <v>1.3825238384218859</v>
      </c>
    </row>
    <row r="21" spans="1:8" ht="12.75" customHeight="1">
      <c r="A21" s="605">
        <v>1993</v>
      </c>
      <c r="B21" s="47">
        <f>'[9]68B'!B21/'[9]68B'!$B21*100</f>
        <v>100</v>
      </c>
      <c r="C21" s="365">
        <f>'[9]68B'!C21/'[9]68B'!$B21*100</f>
        <v>17.336335296155177</v>
      </c>
      <c r="D21" s="365">
        <f>'[9]68B'!D21/'[9]68B'!$B21*100</f>
        <v>27.95150675441635</v>
      </c>
      <c r="E21" s="365">
        <f>'[9]68B'!E21/'[9]68B'!$B21*100</f>
        <v>27.048146865258055</v>
      </c>
      <c r="F21" s="365">
        <f>'[9]68B'!F21/'[9]68B'!$B21*100</f>
        <v>18.33737443713197</v>
      </c>
      <c r="G21" s="365">
        <f>'[9]68B'!G21/'[9]68B'!$B21*100</f>
        <v>7.9868375476272959</v>
      </c>
      <c r="H21" s="612">
        <f>'[9]68B'!H21/'[9]68B'!$B21*100</f>
        <v>1.3404918600623486</v>
      </c>
    </row>
    <row r="22" spans="1:8" ht="12.75" customHeight="1">
      <c r="A22" s="605">
        <v>1994</v>
      </c>
      <c r="B22" s="47">
        <f>'[9]68B'!B22/'[9]68B'!$B22*100</f>
        <v>100</v>
      </c>
      <c r="C22" s="365">
        <f>'[9]68B'!C22/'[9]68B'!$B22*100</f>
        <v>17.051263577540361</v>
      </c>
      <c r="D22" s="365">
        <f>'[9]68B'!D22/'[9]68B'!$B22*100</f>
        <v>27.181841261999356</v>
      </c>
      <c r="E22" s="365">
        <f>'[9]68B'!E22/'[9]68B'!$B22*100</f>
        <v>27.336228960387547</v>
      </c>
      <c r="F22" s="365">
        <f>'[9]68B'!F22/'[9]68B'!$B22*100</f>
        <v>18.951261519037718</v>
      </c>
      <c r="G22" s="365">
        <f>'[9]68B'!G22/'[9]68B'!$B22*100</f>
        <v>8.0425698347022365</v>
      </c>
      <c r="H22" s="612">
        <f>'[9]68B'!H22/'[9]68B'!$B22*100</f>
        <v>1.4368348463327776</v>
      </c>
    </row>
    <row r="23" spans="1:8" ht="12.75" customHeight="1">
      <c r="A23" s="605">
        <v>1995</v>
      </c>
      <c r="B23" s="47">
        <f>'[9]68B'!B23/'[9]68B'!$B23*100</f>
        <v>100</v>
      </c>
      <c r="C23" s="365">
        <f>'[9]68B'!C23/'[9]68B'!$B23*100</f>
        <v>16.761974784195189</v>
      </c>
      <c r="D23" s="365">
        <f>'[9]68B'!D23/'[9]68B'!$B23*100</f>
        <v>26.623641859325218</v>
      </c>
      <c r="E23" s="365">
        <f>'[9]68B'!E23/'[9]68B'!$B23*100</f>
        <v>27.681561963891838</v>
      </c>
      <c r="F23" s="365">
        <f>'[9]68B'!F23/'[9]68B'!$B23*100</f>
        <v>19.658660784794268</v>
      </c>
      <c r="G23" s="365">
        <f>'[9]68B'!G23/'[9]68B'!$B23*100</f>
        <v>7.9017237153827304</v>
      </c>
      <c r="H23" s="612">
        <f>'[9]68B'!H23/'[9]68B'!$B23*100</f>
        <v>1.3724368924107506</v>
      </c>
    </row>
    <row r="24" spans="1:8" ht="12.75" customHeight="1">
      <c r="A24" s="605">
        <v>1996</v>
      </c>
      <c r="B24" s="47">
        <f>'[9]68B'!B24/'[9]68B'!$B24*100</f>
        <v>100</v>
      </c>
      <c r="C24" s="365">
        <f>'[9]68B'!C24/'[9]68B'!$B24*100</f>
        <v>16.429797690779953</v>
      </c>
      <c r="D24" s="365">
        <f>'[9]68B'!D24/'[9]68B'!$B24*100</f>
        <v>26.111017605278221</v>
      </c>
      <c r="E24" s="365">
        <f>'[9]68B'!E24/'[9]68B'!$B24*100</f>
        <v>28.045241862187364</v>
      </c>
      <c r="F24" s="365">
        <f>'[9]68B'!F24/'[9]68B'!$B24*100</f>
        <v>20.11175817147474</v>
      </c>
      <c r="G24" s="365">
        <f>'[9]68B'!G24/'[9]68B'!$B24*100</f>
        <v>7.9287709967347766</v>
      </c>
      <c r="H24" s="612">
        <f>'[9]68B'!H24/'[9]68B'!$B24*100</f>
        <v>1.37274043154812</v>
      </c>
    </row>
    <row r="25" spans="1:8" ht="12.75" customHeight="1">
      <c r="A25" s="605">
        <v>1997</v>
      </c>
      <c r="B25" s="47">
        <f>'[9]68B'!B25/'[9]68B'!$B25*100</f>
        <v>100</v>
      </c>
      <c r="C25" s="365">
        <f>'[9]68B'!C25/'[9]68B'!$B25*100</f>
        <v>16.0858406668833</v>
      </c>
      <c r="D25" s="365">
        <f>'[9]68B'!D25/'[9]68B'!$B25*100</f>
        <v>25.30257110835527</v>
      </c>
      <c r="E25" s="365">
        <f>'[9]68B'!E25/'[9]68B'!$B25*100</f>
        <v>28.400236088360707</v>
      </c>
      <c r="F25" s="365">
        <f>'[9]68B'!F25/'[9]68B'!$B25*100</f>
        <v>20.688237361646252</v>
      </c>
      <c r="G25" s="365">
        <f>'[9]68B'!G25/'[9]68B'!$B25*100</f>
        <v>8.1052582713822439</v>
      </c>
      <c r="H25" s="612">
        <f>'[9]68B'!H25/'[9]68B'!$B25*100</f>
        <v>1.4178565033722172</v>
      </c>
    </row>
    <row r="26" spans="1:8" ht="12.75" customHeight="1">
      <c r="A26" s="605">
        <v>1998</v>
      </c>
      <c r="B26" s="47">
        <f>'[9]68B'!B26/'[9]68B'!$B26*100</f>
        <v>100</v>
      </c>
      <c r="C26" s="365">
        <f>'[9]68B'!C26/'[9]68B'!$B26*100</f>
        <v>16.068502183947821</v>
      </c>
      <c r="D26" s="365">
        <f>'[9]68B'!D26/'[9]68B'!$B26*100</f>
        <v>24.512447523226889</v>
      </c>
      <c r="E26" s="365">
        <f>'[9]68B'!E26/'[9]68B'!$B26*100</f>
        <v>28.473586962908797</v>
      </c>
      <c r="F26" s="365">
        <f>'[9]68B'!F26/'[9]68B'!$B26*100</f>
        <v>21.221835560807769</v>
      </c>
      <c r="G26" s="365">
        <f>'[9]68B'!G26/'[9]68B'!$B26*100</f>
        <v>8.2683154547769373</v>
      </c>
      <c r="H26" s="612">
        <f>'[9]68B'!H26/'[9]68B'!$B26*100</f>
        <v>1.4559652135306831</v>
      </c>
    </row>
    <row r="27" spans="1:8" ht="12.75" customHeight="1">
      <c r="A27" s="605">
        <v>1999</v>
      </c>
      <c r="B27" s="47">
        <f>'[9]68B'!B27/'[9]68B'!$B27*100</f>
        <v>100</v>
      </c>
      <c r="C27" s="365">
        <f>'[9]68B'!C27/'[9]68B'!$B27*100</f>
        <v>16.366762251175562</v>
      </c>
      <c r="D27" s="365">
        <f>'[9]68B'!D27/'[9]68B'!$B27*100</f>
        <v>23.510581654189362</v>
      </c>
      <c r="E27" s="365">
        <f>'[9]68B'!E27/'[9]68B'!$B27*100</f>
        <v>28.448900778147713</v>
      </c>
      <c r="F27" s="365">
        <f>'[9]68B'!F27/'[9]68B'!$B27*100</f>
        <v>21.713079681556039</v>
      </c>
      <c r="G27" s="365">
        <f>'[9]68B'!G27/'[9]68B'!$B27*100</f>
        <v>8.560907860382466</v>
      </c>
      <c r="H27" s="612">
        <f>'[9]68B'!H27/'[9]68B'!$B27*100</f>
        <v>1.3991262677777565</v>
      </c>
    </row>
    <row r="28" spans="1:8" ht="12.75" customHeight="1">
      <c r="A28" s="605">
        <v>2000</v>
      </c>
      <c r="B28" s="47">
        <f>'[9]68B'!B28/'[9]68B'!$B28*100</f>
        <v>100</v>
      </c>
      <c r="C28" s="365">
        <f>'[9]68B'!C28/'[9]68B'!$B28*100</f>
        <v>16.541932226919922</v>
      </c>
      <c r="D28" s="365">
        <f>'[9]68B'!D28/'[9]68B'!$B28*100</f>
        <v>22.857323152647187</v>
      </c>
      <c r="E28" s="365">
        <f>'[9]68B'!E28/'[9]68B'!$B28*100</f>
        <v>28.154855808670408</v>
      </c>
      <c r="F28" s="365">
        <f>'[9]68B'!F28/'[9]68B'!$B28*100</f>
        <v>22.197892345554362</v>
      </c>
      <c r="G28" s="365">
        <f>'[9]68B'!G28/'[9]68B'!$B28*100</f>
        <v>8.8900107275825082</v>
      </c>
      <c r="H28" s="612">
        <f>'[9]68B'!H28/'[9]68B'!$B28*100</f>
        <v>1.3573547043604468</v>
      </c>
    </row>
    <row r="29" spans="1:8" ht="12.75" customHeight="1">
      <c r="A29" s="605">
        <v>2001</v>
      </c>
      <c r="B29" s="47">
        <f>'[9]68B'!B29/'[9]68B'!$B29*100</f>
        <v>100</v>
      </c>
      <c r="C29" s="365">
        <f>'[9]68B'!C29/'[9]68B'!$B29*100</f>
        <v>16.563209971570103</v>
      </c>
      <c r="D29" s="365">
        <f>'[9]68B'!D29/'[9]68B'!$B29*100</f>
        <v>22.475760096338878</v>
      </c>
      <c r="E29" s="365">
        <f>'[9]68B'!E29/'[9]68B'!$B29*100</f>
        <v>27.804814460763016</v>
      </c>
      <c r="F29" s="365">
        <f>'[9]68B'!F29/'[9]68B'!$B29*100</f>
        <v>22.652671044954005</v>
      </c>
      <c r="G29" s="365">
        <f>'[9]68B'!G29/'[9]68B'!$B29*100</f>
        <v>9.1372953109287511</v>
      </c>
      <c r="H29" s="612">
        <f>'[9]68B'!H29/'[9]68B'!$B29*100</f>
        <v>1.3668698556158363</v>
      </c>
    </row>
    <row r="30" spans="1:8" ht="12.75" customHeight="1">
      <c r="A30" s="605">
        <v>2002</v>
      </c>
      <c r="B30" s="47">
        <f>'[9]68B'!B30/'[9]68B'!$B30*100</f>
        <v>100</v>
      </c>
      <c r="C30" s="365">
        <f>'[9]68B'!C30/'[9]68B'!$B30*100</f>
        <v>16.751008788067047</v>
      </c>
      <c r="D30" s="365">
        <f>'[9]68B'!D30/'[9]68B'!$B30*100</f>
        <v>22.002738354454049</v>
      </c>
      <c r="E30" s="365">
        <f>'[9]68B'!E30/'[9]68B'!$B30*100</f>
        <v>27.113328065720506</v>
      </c>
      <c r="F30" s="365">
        <f>'[9]68B'!F30/'[9]68B'!$B30*100</f>
        <v>22.874910279686116</v>
      </c>
      <c r="G30" s="365">
        <f>'[9]68B'!G30/'[9]68B'!$B30*100</f>
        <v>9.7712207391144386</v>
      </c>
      <c r="H30" s="612">
        <f>'[9]68B'!H30/'[9]68B'!$B30*100</f>
        <v>1.4861906111838257</v>
      </c>
    </row>
    <row r="31" spans="1:8" ht="12.75" customHeight="1">
      <c r="A31" s="605">
        <v>2003</v>
      </c>
      <c r="B31" s="47">
        <f>'[9]68B'!B31/'[9]68B'!$B31*100</f>
        <v>100</v>
      </c>
      <c r="C31" s="365">
        <f>'[9]68B'!C31/'[9]68B'!$B31*100</f>
        <v>16.717870094642802</v>
      </c>
      <c r="D31" s="365">
        <f>'[9]68B'!D31/'[9]68B'!$B31*100</f>
        <v>21.68764926143232</v>
      </c>
      <c r="E31" s="365">
        <f>'[9]68B'!E31/'[9]68B'!$B31*100</f>
        <v>26.23463160067223</v>
      </c>
      <c r="F31" s="365">
        <f>'[9]68B'!F31/'[9]68B'!$B31*100</f>
        <v>23.068667629802164</v>
      </c>
      <c r="G31" s="365">
        <f>'[9]68B'!G31/'[9]68B'!$B31*100</f>
        <v>10.632426216941356</v>
      </c>
      <c r="H31" s="612">
        <f>'[9]68B'!H31/'[9]68B'!$B31*100</f>
        <v>1.659344871303476</v>
      </c>
    </row>
    <row r="32" spans="1:8" ht="12.75" customHeight="1">
      <c r="A32" s="605">
        <v>2004</v>
      </c>
      <c r="B32" s="47">
        <f>'[9]68B'!B32/'[9]68B'!$B32*100</f>
        <v>100</v>
      </c>
      <c r="C32" s="365">
        <f>'[9]68B'!C32/'[9]68B'!$B32*100</f>
        <v>16.534456970254276</v>
      </c>
      <c r="D32" s="365">
        <f>'[9]68B'!D32/'[9]68B'!$B32*100</f>
        <v>21.604790976760967</v>
      </c>
      <c r="E32" s="365">
        <f>'[9]68B'!E32/'[9]68B'!$B32*100</f>
        <v>25.66303696245555</v>
      </c>
      <c r="F32" s="365">
        <f>'[9]68B'!F32/'[9]68B'!$B32*100</f>
        <v>23.345535813016884</v>
      </c>
      <c r="G32" s="365">
        <f>'[9]68B'!G32/'[9]68B'!$B32*100</f>
        <v>11.13180424041019</v>
      </c>
      <c r="H32" s="612">
        <f>'[9]68B'!H32/'[9]68B'!$B32*100</f>
        <v>1.7203750371021342</v>
      </c>
    </row>
    <row r="33" spans="1:8" ht="12.75" customHeight="1">
      <c r="A33" s="605">
        <v>2005</v>
      </c>
      <c r="B33" s="47">
        <f>'[9]68B'!B33/'[9]68B'!$B33*100</f>
        <v>100</v>
      </c>
      <c r="C33" s="365">
        <f>'[9]68B'!C33/'[9]68B'!$B33*100</f>
        <v>16.276106235512554</v>
      </c>
      <c r="D33" s="365">
        <f>'[9]68B'!D33/'[9]68B'!$B33*100</f>
        <v>21.478325049300569</v>
      </c>
      <c r="E33" s="365">
        <f>'[9]68B'!E33/'[9]68B'!$B33*100</f>
        <v>25.141558935799708</v>
      </c>
      <c r="F33" s="365">
        <f>'[9]68B'!F33/'[9]68B'!$B33*100</f>
        <v>23.642360430385295</v>
      </c>
      <c r="G33" s="365">
        <f>'[9]68B'!G33/'[9]68B'!$B33*100</f>
        <v>11.62455456505945</v>
      </c>
      <c r="H33" s="612">
        <f>'[9]68B'!H33/'[9]68B'!$B33*100</f>
        <v>1.8365181691326564</v>
      </c>
    </row>
    <row r="34" spans="1:8" ht="12.75" customHeight="1">
      <c r="A34" s="605">
        <v>2006</v>
      </c>
      <c r="B34" s="47">
        <f>'[9]68B'!B34/'[9]68B'!$B34*100</f>
        <v>100</v>
      </c>
      <c r="C34" s="365">
        <f>'[9]68B'!C34/'[9]68B'!$B34*100</f>
        <v>16.310649811286439</v>
      </c>
      <c r="D34" s="365">
        <f>'[9]68B'!D34/'[9]68B'!$B34*100</f>
        <v>21.30871720249193</v>
      </c>
      <c r="E34" s="365">
        <f>'[9]68B'!E34/'[9]68B'!$B34*100</f>
        <v>24.52707925969715</v>
      </c>
      <c r="F34" s="365">
        <f>'[9]68B'!F34/'[9]68B'!$B34*100</f>
        <v>23.902960301941704</v>
      </c>
      <c r="G34" s="365">
        <f>'[9]68B'!G34/'[9]68B'!$B34*100</f>
        <v>12.064594606884635</v>
      </c>
      <c r="H34" s="612">
        <f>'[9]68B'!H34/'[9]68B'!$B34*100</f>
        <v>1.8859988176981493</v>
      </c>
    </row>
    <row r="35" spans="1:8" ht="12.75" customHeight="1">
      <c r="A35" s="605">
        <v>2007</v>
      </c>
      <c r="B35" s="47">
        <f>'[9]68B'!B35/'[9]68B'!$B35*100</f>
        <v>100</v>
      </c>
      <c r="C35" s="365">
        <f>'[9]68B'!C35/'[9]68B'!$B35*100</f>
        <v>16.243912224587369</v>
      </c>
      <c r="D35" s="365">
        <f>'[9]68B'!D35/'[9]68B'!$B35*100</f>
        <v>21.282974289248742</v>
      </c>
      <c r="E35" s="365">
        <f>'[9]68B'!E35/'[9]68B'!$B35*100</f>
        <v>23.812814140355957</v>
      </c>
      <c r="F35" s="365">
        <f>'[9]68B'!F35/'[9]68B'!$B35*100</f>
        <v>24.055767923413836</v>
      </c>
      <c r="G35" s="365">
        <f>'[9]68B'!G35/'[9]68B'!$B35*100</f>
        <v>12.562828071192145</v>
      </c>
      <c r="H35" s="612">
        <f>'[9]68B'!H35/'[9]68B'!$B35*100</f>
        <v>2.0417033512019525</v>
      </c>
    </row>
    <row r="36" spans="1:8" ht="12.75" customHeight="1">
      <c r="A36" s="605">
        <v>2008</v>
      </c>
      <c r="B36" s="365">
        <f>'[9]68B'!B36/'[9]68B'!$B36*100</f>
        <v>100</v>
      </c>
      <c r="C36" s="365">
        <f>'[9]68B'!C36/'[9]68B'!$B36*100</f>
        <v>16.166532384037357</v>
      </c>
      <c r="D36" s="365">
        <f>'[9]68B'!D36/'[9]68B'!$B36*100</f>
        <v>21.166230933236871</v>
      </c>
      <c r="E36" s="365">
        <f>'[9]68B'!E36/'[9]68B'!$B36*100</f>
        <v>23.100448887646547</v>
      </c>
      <c r="F36" s="365">
        <f>'[9]68B'!F36/'[9]68B'!$B36*100</f>
        <v>24.274462732459671</v>
      </c>
      <c r="G36" s="365">
        <f>'[9]68B'!G36/'[9]68B'!$B36*100</f>
        <v>12.942653095899722</v>
      </c>
      <c r="H36" s="612">
        <f>'[9]68B'!H36/'[9]68B'!$B36*100</f>
        <v>2.3491238743553069</v>
      </c>
    </row>
    <row r="37" spans="1:8">
      <c r="A37" s="2"/>
      <c r="D37" s="2" t="s">
        <v>424</v>
      </c>
    </row>
    <row r="38" spans="1:8">
      <c r="A38" s="130" t="s">
        <v>1408</v>
      </c>
      <c r="B38" s="725" t="s">
        <v>374</v>
      </c>
      <c r="C38" s="725">
        <f t="shared" ref="C38:H38" si="0">100*(C36/C9)^(1/27)-100</f>
        <v>-1.8607525190029861</v>
      </c>
      <c r="D38" s="725">
        <f t="shared" si="0"/>
        <v>-1.0394592844827741</v>
      </c>
      <c r="E38" s="725">
        <f t="shared" si="0"/>
        <v>0.60970682363033291</v>
      </c>
      <c r="F38" s="725">
        <f t="shared" si="0"/>
        <v>1.8160921171347866</v>
      </c>
      <c r="G38" s="725">
        <f t="shared" si="0"/>
        <v>1.2902066574667685</v>
      </c>
      <c r="H38" s="725">
        <f t="shared" si="0"/>
        <v>1.9420620243290756</v>
      </c>
    </row>
    <row r="39" spans="1:8">
      <c r="A39" s="130" t="s">
        <v>603</v>
      </c>
      <c r="B39" s="725" t="s">
        <v>374</v>
      </c>
      <c r="C39" s="725">
        <f t="shared" ref="C39:H39" si="1">100*(C17/C9)^(1/8)-100</f>
        <v>-3.4951225330353424</v>
      </c>
      <c r="D39" s="725">
        <f t="shared" si="1"/>
        <v>0.7035022121328609</v>
      </c>
      <c r="E39" s="725">
        <f t="shared" si="1"/>
        <v>3.0538497305892918</v>
      </c>
      <c r="F39" s="725">
        <f t="shared" si="1"/>
        <v>0.51451067243021953</v>
      </c>
      <c r="G39" s="725">
        <f t="shared" si="1"/>
        <v>-1.2281162959877747</v>
      </c>
      <c r="H39" s="725">
        <f t="shared" si="1"/>
        <v>-0.62111621666413441</v>
      </c>
    </row>
    <row r="40" spans="1:8">
      <c r="A40" s="130" t="s">
        <v>604</v>
      </c>
      <c r="B40" s="725" t="s">
        <v>374</v>
      </c>
      <c r="C40" s="725">
        <f t="shared" ref="C40:H40" si="2">100*(C28/C17)^(1/11)-100</f>
        <v>-1.7978946203477619</v>
      </c>
      <c r="D40" s="725">
        <f t="shared" si="2"/>
        <v>-2.347830659336779</v>
      </c>
      <c r="E40" s="725">
        <f t="shared" si="2"/>
        <v>1.1091696309411816</v>
      </c>
      <c r="F40" s="725">
        <f t="shared" si="2"/>
        <v>3.2842577529748951</v>
      </c>
      <c r="G40" s="725">
        <f t="shared" si="2"/>
        <v>0.63276849839959937</v>
      </c>
      <c r="H40" s="725">
        <f t="shared" si="2"/>
        <v>0.18808216395409261</v>
      </c>
    </row>
    <row r="41" spans="1:8">
      <c r="A41" s="130" t="s">
        <v>1410</v>
      </c>
      <c r="B41" s="23" t="s">
        <v>374</v>
      </c>
      <c r="C41" s="23">
        <f t="shared" ref="C41:H41" si="3">100*(C36/C28)^(1/8)-100</f>
        <v>-0.28652998117782147</v>
      </c>
      <c r="D41" s="23">
        <f t="shared" si="3"/>
        <v>-0.95620553746194048</v>
      </c>
      <c r="E41" s="23">
        <f t="shared" si="3"/>
        <v>-2.4430107347254193</v>
      </c>
      <c r="F41" s="23">
        <f t="shared" si="3"/>
        <v>1.1241154291208488</v>
      </c>
      <c r="G41" s="23">
        <f t="shared" si="3"/>
        <v>4.8069609847324983</v>
      </c>
      <c r="H41" s="23">
        <f t="shared" si="3"/>
        <v>7.0968188047325356</v>
      </c>
    </row>
    <row r="42" spans="1:8">
      <c r="A42" s="130"/>
    </row>
    <row r="43" spans="1:8">
      <c r="A43" s="130"/>
      <c r="D43" s="4" t="s">
        <v>425</v>
      </c>
      <c r="E43" s="4"/>
    </row>
    <row r="44" spans="1:8">
      <c r="A44" s="130" t="s">
        <v>1408</v>
      </c>
      <c r="B44" s="23" t="s">
        <v>374</v>
      </c>
      <c r="C44" s="23">
        <f t="shared" ref="C44:H44" si="4">100*(C36/C9-1)</f>
        <v>-39.778227252228739</v>
      </c>
      <c r="D44" s="23">
        <f t="shared" si="4"/>
        <v>-24.581896198922614</v>
      </c>
      <c r="E44" s="23">
        <f t="shared" si="4"/>
        <v>17.835691207514735</v>
      </c>
      <c r="F44" s="23">
        <f t="shared" si="4"/>
        <v>62.571139081461439</v>
      </c>
      <c r="G44" s="23">
        <f t="shared" si="4"/>
        <v>41.358310051602089</v>
      </c>
      <c r="H44" s="23">
        <f t="shared" si="4"/>
        <v>68.090116385009722</v>
      </c>
    </row>
    <row r="45" spans="1:8">
      <c r="A45" s="130" t="s">
        <v>603</v>
      </c>
      <c r="B45" s="23" t="s">
        <v>374</v>
      </c>
      <c r="C45" s="23">
        <f t="shared" ref="C45:H45" si="5">100*(C17/C9-1)</f>
        <v>-24.769472135917681</v>
      </c>
      <c r="D45" s="23">
        <f t="shared" si="5"/>
        <v>5.7685610159717182</v>
      </c>
      <c r="E45" s="23">
        <f t="shared" si="5"/>
        <v>27.207805665075057</v>
      </c>
      <c r="F45" s="23">
        <f t="shared" si="5"/>
        <v>4.1909749807054641</v>
      </c>
      <c r="G45" s="23">
        <f t="shared" si="5"/>
        <v>-9.4128302341499719</v>
      </c>
      <c r="H45" s="23">
        <f t="shared" si="5"/>
        <v>-4.8622413257301993</v>
      </c>
    </row>
    <row r="46" spans="1:8">
      <c r="A46" s="130" t="s">
        <v>604</v>
      </c>
      <c r="B46" s="23" t="s">
        <v>374</v>
      </c>
      <c r="C46" s="23">
        <f t="shared" ref="C46:H46" si="6">100*(C28/C17-1)</f>
        <v>-18.091534991083414</v>
      </c>
      <c r="D46" s="23">
        <f t="shared" si="6"/>
        <v>-22.998204626078678</v>
      </c>
      <c r="E46" s="23">
        <f t="shared" si="6"/>
        <v>12.90053005348164</v>
      </c>
      <c r="F46" s="23">
        <f t="shared" si="6"/>
        <v>42.684060863074521</v>
      </c>
      <c r="G46" s="23">
        <f t="shared" si="6"/>
        <v>7.1849050498561828</v>
      </c>
      <c r="H46" s="23">
        <f t="shared" si="6"/>
        <v>2.0884701936586314</v>
      </c>
    </row>
    <row r="47" spans="1:8">
      <c r="A47" s="130" t="s">
        <v>1410</v>
      </c>
      <c r="B47" s="23" t="s">
        <v>374</v>
      </c>
      <c r="C47" s="23">
        <f t="shared" ref="C47:H47" si="7">100*(C36/C28-1)</f>
        <v>-2.269383272358283</v>
      </c>
      <c r="D47" s="23">
        <f t="shared" si="7"/>
        <v>-7.3984701013183329</v>
      </c>
      <c r="E47" s="23">
        <f t="shared" si="7"/>
        <v>-17.952167666464614</v>
      </c>
      <c r="F47" s="23">
        <f t="shared" si="7"/>
        <v>9.3548088015716004</v>
      </c>
      <c r="G47" s="23">
        <f t="shared" si="7"/>
        <v>45.586473318230333</v>
      </c>
      <c r="H47" s="23">
        <f t="shared" si="7"/>
        <v>73.066322812220122</v>
      </c>
    </row>
    <row r="49" spans="1:8">
      <c r="A49" s="1168" t="s">
        <v>1647</v>
      </c>
      <c r="B49" s="1168"/>
      <c r="C49" s="1168"/>
      <c r="D49" s="1168"/>
      <c r="E49" s="1168"/>
      <c r="F49" s="1168"/>
      <c r="G49" s="1168"/>
      <c r="H49" s="1168"/>
    </row>
  </sheetData>
  <mergeCells count="1">
    <mergeCell ref="A49:H49"/>
  </mergeCells>
  <pageMargins left="0.7" right="0.7" top="0.75" bottom="0.75" header="0.3" footer="0.3"/>
  <pageSetup scale="90" orientation="landscape" verticalDpi="0" r:id="rId1"/>
</worksheet>
</file>

<file path=xl/worksheets/sheet209.xml><?xml version="1.0" encoding="utf-8"?>
<worksheet xmlns="http://schemas.openxmlformats.org/spreadsheetml/2006/main" xmlns:r="http://schemas.openxmlformats.org/officeDocument/2006/relationships">
  <sheetPr codeName="Sheet204"/>
  <dimension ref="A1:EH221"/>
  <sheetViews>
    <sheetView view="pageBreakPreview" zoomScale="85" zoomScaleNormal="100" zoomScaleSheetLayoutView="85" workbookViewId="0">
      <pane xSplit="1" ySplit="18" topLeftCell="B19" activePane="bottomRight" state="frozen"/>
      <selection activeCell="H62" sqref="H62"/>
      <selection pane="topRight" activeCell="H62" sqref="H62"/>
      <selection pane="bottomLeft" activeCell="H62" sqref="H62"/>
      <selection pane="bottomRight" activeCell="H62" sqref="H62"/>
    </sheetView>
  </sheetViews>
  <sheetFormatPr defaultColWidth="10.140625" defaultRowHeight="12.75"/>
  <cols>
    <col min="1" max="1" width="10.140625" style="739" customWidth="1"/>
    <col min="2" max="6" width="14" style="739" customWidth="1"/>
    <col min="7" max="7" width="11.28515625" style="739" customWidth="1"/>
    <col min="8" max="102" width="14" style="739" customWidth="1"/>
    <col min="103" max="16384" width="10.140625" style="739"/>
  </cols>
  <sheetData>
    <row r="1" spans="1:100" ht="15.75">
      <c r="A1" s="40" t="s">
        <v>2037</v>
      </c>
      <c r="K1" s="40" t="s">
        <v>2038</v>
      </c>
      <c r="T1" s="40" t="s">
        <v>2039</v>
      </c>
      <c r="AC1" s="40" t="s">
        <v>2040</v>
      </c>
      <c r="AL1" s="40" t="s">
        <v>2041</v>
      </c>
      <c r="AU1" s="40" t="s">
        <v>2042</v>
      </c>
      <c r="BD1" s="40" t="s">
        <v>2043</v>
      </c>
      <c r="BM1" s="40" t="s">
        <v>2044</v>
      </c>
      <c r="BV1" s="40" t="s">
        <v>2045</v>
      </c>
      <c r="CE1" s="40" t="s">
        <v>2046</v>
      </c>
      <c r="CN1" s="40" t="s">
        <v>2047</v>
      </c>
    </row>
    <row r="2" spans="1:100">
      <c r="A2" s="739" t="s">
        <v>617</v>
      </c>
    </row>
    <row r="3" spans="1:100" s="477" customFormat="1" ht="15">
      <c r="B3" s="477" t="s">
        <v>375</v>
      </c>
      <c r="D3" s="482"/>
      <c r="K3" s="477" t="s">
        <v>1039</v>
      </c>
      <c r="T3" s="477" t="s">
        <v>1040</v>
      </c>
      <c r="AC3" s="477" t="s">
        <v>791</v>
      </c>
      <c r="AL3" s="477" t="s">
        <v>792</v>
      </c>
      <c r="AU3" s="477" t="s">
        <v>1041</v>
      </c>
      <c r="BD3" s="477" t="s">
        <v>738</v>
      </c>
      <c r="BM3" s="477" t="s">
        <v>739</v>
      </c>
      <c r="BV3" s="477" t="s">
        <v>740</v>
      </c>
      <c r="CE3" s="477" t="s">
        <v>741</v>
      </c>
      <c r="CN3" s="477" t="s">
        <v>742</v>
      </c>
    </row>
    <row r="4" spans="1:100" s="729" customFormat="1" ht="63.75">
      <c r="A4" s="478"/>
      <c r="B4" s="729" t="s">
        <v>1518</v>
      </c>
      <c r="C4" s="729" t="s">
        <v>1519</v>
      </c>
      <c r="D4" s="729" t="s">
        <v>1520</v>
      </c>
      <c r="E4" s="729" t="s">
        <v>1521</v>
      </c>
      <c r="F4" s="729" t="s">
        <v>1522</v>
      </c>
      <c r="G4" s="729" t="s">
        <v>1523</v>
      </c>
      <c r="H4" s="729" t="s">
        <v>1524</v>
      </c>
      <c r="I4" s="729" t="s">
        <v>1525</v>
      </c>
      <c r="J4" s="729" t="s">
        <v>1526</v>
      </c>
      <c r="K4" s="729" t="s">
        <v>1518</v>
      </c>
      <c r="L4" s="729" t="s">
        <v>1519</v>
      </c>
      <c r="M4" s="729" t="s">
        <v>1520</v>
      </c>
      <c r="N4" s="729" t="s">
        <v>1521</v>
      </c>
      <c r="O4" s="729" t="s">
        <v>1522</v>
      </c>
      <c r="P4" s="729" t="s">
        <v>1523</v>
      </c>
      <c r="Q4" s="729" t="s">
        <v>1524</v>
      </c>
      <c r="R4" s="729" t="s">
        <v>1525</v>
      </c>
      <c r="S4" s="729" t="s">
        <v>1526</v>
      </c>
      <c r="T4" s="729" t="s">
        <v>1518</v>
      </c>
      <c r="U4" s="729" t="s">
        <v>1519</v>
      </c>
      <c r="V4" s="729" t="s">
        <v>1520</v>
      </c>
      <c r="W4" s="729" t="s">
        <v>1521</v>
      </c>
      <c r="X4" s="729" t="s">
        <v>1522</v>
      </c>
      <c r="Y4" s="729" t="s">
        <v>1523</v>
      </c>
      <c r="Z4" s="729" t="s">
        <v>1524</v>
      </c>
      <c r="AA4" s="729" t="s">
        <v>1525</v>
      </c>
      <c r="AB4" s="729" t="s">
        <v>1526</v>
      </c>
      <c r="AC4" s="729" t="s">
        <v>1518</v>
      </c>
      <c r="AD4" s="729" t="s">
        <v>1519</v>
      </c>
      <c r="AE4" s="729" t="s">
        <v>1520</v>
      </c>
      <c r="AF4" s="729" t="s">
        <v>1521</v>
      </c>
      <c r="AG4" s="729" t="s">
        <v>1522</v>
      </c>
      <c r="AH4" s="729" t="s">
        <v>1523</v>
      </c>
      <c r="AI4" s="729" t="s">
        <v>1524</v>
      </c>
      <c r="AJ4" s="729" t="s">
        <v>1525</v>
      </c>
      <c r="AK4" s="729" t="s">
        <v>1526</v>
      </c>
      <c r="AL4" s="729" t="s">
        <v>1518</v>
      </c>
      <c r="AM4" s="729" t="s">
        <v>1519</v>
      </c>
      <c r="AN4" s="729" t="s">
        <v>1520</v>
      </c>
      <c r="AO4" s="729" t="s">
        <v>1521</v>
      </c>
      <c r="AP4" s="729" t="s">
        <v>1522</v>
      </c>
      <c r="AQ4" s="729" t="s">
        <v>1523</v>
      </c>
      <c r="AR4" s="729" t="s">
        <v>1524</v>
      </c>
      <c r="AS4" s="729" t="s">
        <v>1525</v>
      </c>
      <c r="AT4" s="729" t="s">
        <v>1526</v>
      </c>
      <c r="AU4" s="729" t="s">
        <v>1518</v>
      </c>
      <c r="AV4" s="729" t="s">
        <v>1519</v>
      </c>
      <c r="AW4" s="729" t="s">
        <v>1520</v>
      </c>
      <c r="AX4" s="729" t="s">
        <v>1521</v>
      </c>
      <c r="AY4" s="729" t="s">
        <v>1522</v>
      </c>
      <c r="AZ4" s="729" t="s">
        <v>1523</v>
      </c>
      <c r="BA4" s="729" t="s">
        <v>1524</v>
      </c>
      <c r="BB4" s="729" t="s">
        <v>1525</v>
      </c>
      <c r="BC4" s="729" t="s">
        <v>1526</v>
      </c>
      <c r="BD4" s="729" t="s">
        <v>1518</v>
      </c>
      <c r="BE4" s="729" t="s">
        <v>1519</v>
      </c>
      <c r="BF4" s="729" t="s">
        <v>1520</v>
      </c>
      <c r="BG4" s="729" t="s">
        <v>1521</v>
      </c>
      <c r="BH4" s="729" t="s">
        <v>1522</v>
      </c>
      <c r="BI4" s="729" t="s">
        <v>1523</v>
      </c>
      <c r="BJ4" s="729" t="s">
        <v>1524</v>
      </c>
      <c r="BK4" s="729" t="s">
        <v>1525</v>
      </c>
      <c r="BL4" s="729" t="s">
        <v>1526</v>
      </c>
      <c r="BM4" s="729" t="s">
        <v>1518</v>
      </c>
      <c r="BN4" s="729" t="s">
        <v>1519</v>
      </c>
      <c r="BO4" s="729" t="s">
        <v>1520</v>
      </c>
      <c r="BP4" s="729" t="s">
        <v>1521</v>
      </c>
      <c r="BQ4" s="729" t="s">
        <v>1522</v>
      </c>
      <c r="BR4" s="729" t="s">
        <v>1523</v>
      </c>
      <c r="BS4" s="729" t="s">
        <v>1524</v>
      </c>
      <c r="BT4" s="729" t="s">
        <v>1525</v>
      </c>
      <c r="BU4" s="729" t="s">
        <v>1526</v>
      </c>
      <c r="BV4" s="729" t="s">
        <v>1518</v>
      </c>
      <c r="BW4" s="729" t="s">
        <v>1519</v>
      </c>
      <c r="BX4" s="729" t="s">
        <v>1520</v>
      </c>
      <c r="BY4" s="729" t="s">
        <v>1521</v>
      </c>
      <c r="BZ4" s="729" t="s">
        <v>1522</v>
      </c>
      <c r="CA4" s="729" t="s">
        <v>1523</v>
      </c>
      <c r="CB4" s="729" t="s">
        <v>1524</v>
      </c>
      <c r="CC4" s="729" t="s">
        <v>1525</v>
      </c>
      <c r="CD4" s="729" t="s">
        <v>1526</v>
      </c>
      <c r="CE4" s="729" t="s">
        <v>1518</v>
      </c>
      <c r="CF4" s="729" t="s">
        <v>1519</v>
      </c>
      <c r="CG4" s="729" t="s">
        <v>1520</v>
      </c>
      <c r="CH4" s="729" t="s">
        <v>1521</v>
      </c>
      <c r="CI4" s="729" t="s">
        <v>1522</v>
      </c>
      <c r="CJ4" s="729" t="s">
        <v>1523</v>
      </c>
      <c r="CK4" s="729" t="s">
        <v>1524</v>
      </c>
      <c r="CL4" s="729" t="s">
        <v>1525</v>
      </c>
      <c r="CM4" s="729" t="s">
        <v>1526</v>
      </c>
      <c r="CN4" s="729" t="s">
        <v>1518</v>
      </c>
      <c r="CO4" s="729" t="s">
        <v>1519</v>
      </c>
      <c r="CP4" s="729" t="s">
        <v>1520</v>
      </c>
      <c r="CQ4" s="729" t="s">
        <v>1521</v>
      </c>
      <c r="CR4" s="729" t="s">
        <v>1522</v>
      </c>
      <c r="CS4" s="729" t="s">
        <v>1523</v>
      </c>
      <c r="CT4" s="729" t="s">
        <v>1524</v>
      </c>
      <c r="CU4" s="729" t="s">
        <v>1525</v>
      </c>
      <c r="CV4" s="729" t="s">
        <v>1526</v>
      </c>
    </row>
    <row r="5" spans="1:100" s="729" customFormat="1" hidden="1">
      <c r="A5" s="478"/>
    </row>
    <row r="6" spans="1:100" s="729" customFormat="1">
      <c r="A6" s="478"/>
      <c r="B6" s="732" t="s">
        <v>584</v>
      </c>
      <c r="C6" s="731" t="s">
        <v>1527</v>
      </c>
      <c r="D6" s="731" t="s">
        <v>587</v>
      </c>
      <c r="E6" s="731" t="s">
        <v>1528</v>
      </c>
      <c r="F6" s="731" t="s">
        <v>592</v>
      </c>
      <c r="G6" s="731" t="s">
        <v>1529</v>
      </c>
      <c r="H6" s="731" t="s">
        <v>595</v>
      </c>
      <c r="I6" s="731" t="s">
        <v>1530</v>
      </c>
      <c r="J6" s="731" t="s">
        <v>1531</v>
      </c>
      <c r="K6" s="731" t="s">
        <v>584</v>
      </c>
      <c r="L6" s="731" t="s">
        <v>1527</v>
      </c>
      <c r="M6" s="731" t="s">
        <v>587</v>
      </c>
      <c r="N6" s="731" t="s">
        <v>1528</v>
      </c>
      <c r="O6" s="731" t="s">
        <v>592</v>
      </c>
      <c r="P6" s="731" t="s">
        <v>1529</v>
      </c>
      <c r="Q6" s="731" t="s">
        <v>595</v>
      </c>
      <c r="R6" s="731" t="s">
        <v>1530</v>
      </c>
      <c r="S6" s="731" t="s">
        <v>1531</v>
      </c>
      <c r="T6" s="731" t="s">
        <v>584</v>
      </c>
      <c r="U6" s="731" t="s">
        <v>1527</v>
      </c>
      <c r="V6" s="731" t="s">
        <v>587</v>
      </c>
      <c r="W6" s="731" t="s">
        <v>1528</v>
      </c>
      <c r="X6" s="731" t="s">
        <v>592</v>
      </c>
      <c r="Y6" s="731" t="s">
        <v>1529</v>
      </c>
      <c r="Z6" s="731" t="s">
        <v>595</v>
      </c>
      <c r="AA6" s="731" t="s">
        <v>1530</v>
      </c>
      <c r="AB6" s="731" t="s">
        <v>1531</v>
      </c>
      <c r="AC6" s="731" t="s">
        <v>584</v>
      </c>
      <c r="AD6" s="731" t="s">
        <v>1527</v>
      </c>
      <c r="AE6" s="731" t="s">
        <v>587</v>
      </c>
      <c r="AF6" s="731" t="s">
        <v>1528</v>
      </c>
      <c r="AG6" s="731" t="s">
        <v>592</v>
      </c>
      <c r="AH6" s="731" t="s">
        <v>1529</v>
      </c>
      <c r="AI6" s="731" t="s">
        <v>595</v>
      </c>
      <c r="AJ6" s="731" t="s">
        <v>1530</v>
      </c>
      <c r="AK6" s="731" t="s">
        <v>1531</v>
      </c>
      <c r="AL6" s="731" t="s">
        <v>584</v>
      </c>
      <c r="AM6" s="731" t="s">
        <v>1527</v>
      </c>
      <c r="AN6" s="731" t="s">
        <v>587</v>
      </c>
      <c r="AO6" s="731" t="s">
        <v>1528</v>
      </c>
      <c r="AP6" s="731" t="s">
        <v>592</v>
      </c>
      <c r="AQ6" s="731" t="s">
        <v>1529</v>
      </c>
      <c r="AR6" s="731" t="s">
        <v>595</v>
      </c>
      <c r="AS6" s="731" t="s">
        <v>1530</v>
      </c>
      <c r="AT6" s="731" t="s">
        <v>1531</v>
      </c>
      <c r="AU6" s="731" t="s">
        <v>584</v>
      </c>
      <c r="AV6" s="731" t="s">
        <v>1527</v>
      </c>
      <c r="AW6" s="731" t="s">
        <v>587</v>
      </c>
      <c r="AX6" s="731" t="s">
        <v>1528</v>
      </c>
      <c r="AY6" s="731" t="s">
        <v>592</v>
      </c>
      <c r="AZ6" s="731" t="s">
        <v>1529</v>
      </c>
      <c r="BA6" s="731" t="s">
        <v>595</v>
      </c>
      <c r="BB6" s="731" t="s">
        <v>1530</v>
      </c>
      <c r="BC6" s="731" t="s">
        <v>1531</v>
      </c>
      <c r="BD6" s="731" t="s">
        <v>584</v>
      </c>
      <c r="BE6" s="731" t="s">
        <v>1527</v>
      </c>
      <c r="BF6" s="731" t="s">
        <v>587</v>
      </c>
      <c r="BG6" s="731" t="s">
        <v>1528</v>
      </c>
      <c r="BH6" s="731" t="s">
        <v>592</v>
      </c>
      <c r="BI6" s="731" t="s">
        <v>1529</v>
      </c>
      <c r="BJ6" s="731" t="s">
        <v>595</v>
      </c>
      <c r="BK6" s="731" t="s">
        <v>1530</v>
      </c>
      <c r="BL6" s="731" t="s">
        <v>1531</v>
      </c>
      <c r="BM6" s="731" t="s">
        <v>584</v>
      </c>
      <c r="BN6" s="731" t="s">
        <v>1527</v>
      </c>
      <c r="BO6" s="731" t="s">
        <v>587</v>
      </c>
      <c r="BP6" s="731" t="s">
        <v>1528</v>
      </c>
      <c r="BQ6" s="731" t="s">
        <v>592</v>
      </c>
      <c r="BR6" s="731" t="s">
        <v>1529</v>
      </c>
      <c r="BS6" s="731" t="s">
        <v>595</v>
      </c>
      <c r="BT6" s="731" t="s">
        <v>1530</v>
      </c>
      <c r="BU6" s="731" t="s">
        <v>1531</v>
      </c>
      <c r="BV6" s="731" t="s">
        <v>584</v>
      </c>
      <c r="BW6" s="731" t="s">
        <v>1527</v>
      </c>
      <c r="BX6" s="731" t="s">
        <v>587</v>
      </c>
      <c r="BY6" s="731" t="s">
        <v>1528</v>
      </c>
      <c r="BZ6" s="731" t="s">
        <v>592</v>
      </c>
      <c r="CA6" s="731" t="s">
        <v>1529</v>
      </c>
      <c r="CB6" s="731" t="s">
        <v>595</v>
      </c>
      <c r="CC6" s="731" t="s">
        <v>1530</v>
      </c>
      <c r="CD6" s="731" t="s">
        <v>1531</v>
      </c>
      <c r="CE6" s="731" t="s">
        <v>584</v>
      </c>
      <c r="CF6" s="731" t="s">
        <v>1527</v>
      </c>
      <c r="CG6" s="731" t="s">
        <v>587</v>
      </c>
      <c r="CH6" s="731" t="s">
        <v>1528</v>
      </c>
      <c r="CI6" s="731" t="s">
        <v>592</v>
      </c>
      <c r="CJ6" s="731" t="s">
        <v>1529</v>
      </c>
      <c r="CK6" s="731" t="s">
        <v>595</v>
      </c>
      <c r="CL6" s="731" t="s">
        <v>1530</v>
      </c>
      <c r="CM6" s="731" t="s">
        <v>1531</v>
      </c>
      <c r="CN6" s="731" t="s">
        <v>584</v>
      </c>
      <c r="CO6" s="731" t="s">
        <v>1527</v>
      </c>
      <c r="CP6" s="731" t="s">
        <v>587</v>
      </c>
      <c r="CQ6" s="731" t="s">
        <v>1528</v>
      </c>
      <c r="CR6" s="731" t="s">
        <v>592</v>
      </c>
      <c r="CS6" s="731" t="s">
        <v>1529</v>
      </c>
      <c r="CT6" s="731" t="s">
        <v>595</v>
      </c>
      <c r="CU6" s="731" t="s">
        <v>1530</v>
      </c>
      <c r="CV6" s="731" t="s">
        <v>1531</v>
      </c>
    </row>
    <row r="7" spans="1:100" s="729" customFormat="1" hidden="1">
      <c r="A7" s="478"/>
    </row>
    <row r="8" spans="1:100" hidden="1">
      <c r="A8" s="2">
        <v>1971</v>
      </c>
      <c r="B8" s="725">
        <v>62.682524094309663</v>
      </c>
      <c r="C8" s="725">
        <f t="shared" ref="C8:C17" si="0">B8/J8</f>
        <v>0.26389383367403252</v>
      </c>
      <c r="D8" s="725">
        <v>100</v>
      </c>
      <c r="E8" s="725">
        <f t="shared" ref="E8:E17" si="1">D8/J8</f>
        <v>0.42100064968186063</v>
      </c>
      <c r="F8" s="725">
        <v>56.319890122319443</v>
      </c>
      <c r="G8" s="725">
        <f t="shared" ref="G8:G17" si="2">F8/J8</f>
        <v>0.2371071033150749</v>
      </c>
      <c r="H8" s="725">
        <v>18.526910442531001</v>
      </c>
      <c r="I8" s="725">
        <f>H8/J8</f>
        <v>7.7998413329031999E-2</v>
      </c>
      <c r="J8" s="725">
        <f t="shared" ref="J8:J17" si="3">B8+D8+F8+H8</f>
        <v>237.5293246591601</v>
      </c>
      <c r="K8" s="725">
        <v>56.966510565993666</v>
      </c>
      <c r="L8" s="725">
        <f>K8/S8</f>
        <v>0.25090683633091176</v>
      </c>
      <c r="M8" s="725">
        <v>100</v>
      </c>
      <c r="N8" s="725">
        <f>M8/S8</f>
        <v>0.44044620925174133</v>
      </c>
      <c r="O8" s="725">
        <v>54.88252719881239</v>
      </c>
      <c r="P8" s="725">
        <f>O8/S8</f>
        <v>0.24172801058872506</v>
      </c>
      <c r="Q8" s="725">
        <v>15.193443018231001</v>
      </c>
      <c r="R8" s="725">
        <f>Q8/S8</f>
        <v>6.6918943828621791E-2</v>
      </c>
      <c r="S8" s="725">
        <f>K8+M8+O8+Q8</f>
        <v>227.04248078303706</v>
      </c>
      <c r="T8" s="725">
        <v>57.421108259097089</v>
      </c>
      <c r="U8" s="725">
        <f>T8/AB8</f>
        <v>0.25210696615202627</v>
      </c>
      <c r="V8" s="725">
        <v>100</v>
      </c>
      <c r="W8" s="725">
        <f>V8/AB8</f>
        <v>0.4390492865697791</v>
      </c>
      <c r="X8" s="725">
        <v>52.270372717859637</v>
      </c>
      <c r="Y8" s="725">
        <f>X8/AB8</f>
        <v>0.22949269850512719</v>
      </c>
      <c r="Z8" s="725">
        <v>18.073380643213046</v>
      </c>
      <c r="AA8" s="725">
        <f>Z8/AB8</f>
        <v>7.9351048773067437E-2</v>
      </c>
      <c r="AB8" s="725">
        <f>T8+V8+X8+Z8</f>
        <v>227.76486162016977</v>
      </c>
      <c r="AC8" s="725">
        <v>60.533880851981827</v>
      </c>
      <c r="AD8" s="725">
        <f>AC8/AK8</f>
        <v>0.26042056553684623</v>
      </c>
      <c r="AE8" s="725">
        <v>100</v>
      </c>
      <c r="AF8" s="725">
        <f>AE8/AK8</f>
        <v>0.43020629418032802</v>
      </c>
      <c r="AG8" s="725">
        <v>52.962266525858723</v>
      </c>
      <c r="AH8" s="725">
        <f>AG8/AK8</f>
        <v>0.22784700413480519</v>
      </c>
      <c r="AI8" s="725">
        <v>18.950474981625348</v>
      </c>
      <c r="AJ8" s="725">
        <f>AI8/AK8</f>
        <v>8.1526136148020609E-2</v>
      </c>
      <c r="AK8" s="725">
        <f>AC8+AE8+AG8+AI8</f>
        <v>232.44662235946589</v>
      </c>
      <c r="AL8" s="725">
        <v>59.643314639882583</v>
      </c>
      <c r="AM8" s="725">
        <f>AL8/AT8</f>
        <v>0.25757486798481377</v>
      </c>
      <c r="AN8" s="725">
        <v>100</v>
      </c>
      <c r="AO8" s="725">
        <f>AN8/AT8</f>
        <v>0.43185874148680753</v>
      </c>
      <c r="AP8" s="725">
        <v>54.098604282342905</v>
      </c>
      <c r="AQ8" s="725">
        <f>AP8/AT8</f>
        <v>0.23362955161565424</v>
      </c>
      <c r="AR8" s="725">
        <v>17.815278821923481</v>
      </c>
      <c r="AS8" s="725">
        <f>AR8/AT8</f>
        <v>7.6936838912724501E-2</v>
      </c>
      <c r="AT8" s="725">
        <f>AL8+AN8+AP8+AR8</f>
        <v>231.55719774414897</v>
      </c>
      <c r="AU8" s="725">
        <v>63.859348688064223</v>
      </c>
      <c r="AV8" s="725">
        <f>AU8/BC8</f>
        <v>0.26416821129371293</v>
      </c>
      <c r="AW8" s="725">
        <v>100</v>
      </c>
      <c r="AX8" s="725">
        <f>AW8/BC8</f>
        <v>0.41367194736686674</v>
      </c>
      <c r="AY8" s="725">
        <v>60.036161711796161</v>
      </c>
      <c r="AZ8" s="725">
        <f>AY8/BC8</f>
        <v>0.24835275927750844</v>
      </c>
      <c r="BA8" s="725">
        <v>17.841935507523253</v>
      </c>
      <c r="BB8" s="725">
        <f>BA8/BC8</f>
        <v>7.3807082061911902E-2</v>
      </c>
      <c r="BC8" s="725">
        <f>AU8+AW8+AY8+BA8</f>
        <v>241.73744590738363</v>
      </c>
      <c r="BD8" s="725">
        <v>63.343265349959943</v>
      </c>
      <c r="BE8" s="725">
        <f>BD8/BL8</f>
        <v>0.26693756393064455</v>
      </c>
      <c r="BF8" s="725">
        <v>100</v>
      </c>
      <c r="BG8" s="725">
        <f>BF8/BL8</f>
        <v>0.42141427735981624</v>
      </c>
      <c r="BH8" s="725">
        <v>54.957417914895672</v>
      </c>
      <c r="BI8" s="725">
        <f>BH8/BL8</f>
        <v>0.2315984055616718</v>
      </c>
      <c r="BJ8" s="725">
        <v>18.995500971012074</v>
      </c>
      <c r="BK8" s="725">
        <f>BJ8/BL8</f>
        <v>8.0049753147867414E-2</v>
      </c>
      <c r="BL8" s="725">
        <f>BD8+BF8+BH8+BJ8</f>
        <v>237.29618423586768</v>
      </c>
      <c r="BM8" s="725">
        <v>61.541572727745987</v>
      </c>
      <c r="BN8" s="725">
        <f>BM8/BU8</f>
        <v>0.26396052737558651</v>
      </c>
      <c r="BO8" s="725">
        <v>100</v>
      </c>
      <c r="BP8" s="725">
        <f>BO8/BU8</f>
        <v>0.42891417244619756</v>
      </c>
      <c r="BQ8" s="725">
        <v>51.849599309645548</v>
      </c>
      <c r="BR8" s="725">
        <f>BQ8/BU8</f>
        <v>0.22239027979563555</v>
      </c>
      <c r="BS8" s="725">
        <v>19.75570541288408</v>
      </c>
      <c r="BT8" s="725">
        <f>BS8/BU8</f>
        <v>8.4735020382580406E-2</v>
      </c>
      <c r="BU8" s="725">
        <f>BM8+BO8+BQ8+BS8</f>
        <v>233.14687745027561</v>
      </c>
      <c r="BV8" s="725">
        <v>59.658297193891244</v>
      </c>
      <c r="BW8" s="725">
        <f>BV8/CD8</f>
        <v>0.25570502740519407</v>
      </c>
      <c r="BX8" s="725">
        <v>100</v>
      </c>
      <c r="BY8" s="725">
        <f>BX8/CD8</f>
        <v>0.4286160340348722</v>
      </c>
      <c r="BZ8" s="725">
        <v>53.51938543565381</v>
      </c>
      <c r="CA8" s="725">
        <f>BZ8/CD8</f>
        <v>0.22939266729413635</v>
      </c>
      <c r="CB8" s="725">
        <v>20.13136803435053</v>
      </c>
      <c r="CC8" s="725">
        <f>CB8/CD8</f>
        <v>8.6286271265797243E-2</v>
      </c>
      <c r="CD8" s="725">
        <f>BV8+BX8+BZ8+CB8</f>
        <v>233.30905066389562</v>
      </c>
      <c r="CE8" s="725">
        <v>61.539265073238738</v>
      </c>
      <c r="CF8" s="725">
        <f>CE8/CM8</f>
        <v>0.25676295467655186</v>
      </c>
      <c r="CG8" s="725">
        <v>100</v>
      </c>
      <c r="CH8" s="725">
        <f>CG8/CM8</f>
        <v>0.41723435333680808</v>
      </c>
      <c r="CI8" s="725">
        <v>61.082196074658022</v>
      </c>
      <c r="CJ8" s="725">
        <f>CI8/CM8</f>
        <v>0.25485590579602058</v>
      </c>
      <c r="CK8" s="725">
        <v>17.051996227450399</v>
      </c>
      <c r="CL8" s="725">
        <f>CK8/CM8</f>
        <v>7.1146786190619579E-2</v>
      </c>
      <c r="CM8" s="725">
        <f>CE8+CG8+CI8+CK8</f>
        <v>239.67345737534714</v>
      </c>
      <c r="CN8" s="725">
        <v>63.123139341298931</v>
      </c>
      <c r="CO8" s="725">
        <f>CN8/CV8</f>
        <v>0.26792930278277377</v>
      </c>
      <c r="CP8" s="725">
        <v>100</v>
      </c>
      <c r="CQ8" s="725">
        <f>CP8/CV8</f>
        <v>0.42445497099583956</v>
      </c>
      <c r="CR8" s="725">
        <v>52.78710854657465</v>
      </c>
      <c r="CS8" s="725">
        <f>CR8/CV8</f>
        <v>0.22405750627090579</v>
      </c>
      <c r="CT8" s="725">
        <v>19.686003383218701</v>
      </c>
      <c r="CU8" s="725">
        <f>CT8/CV8</f>
        <v>8.3558219950480933E-2</v>
      </c>
      <c r="CV8" s="725">
        <f>CN8+CP8+CR8+CT8</f>
        <v>235.59625127109226</v>
      </c>
    </row>
    <row r="9" spans="1:100" hidden="1">
      <c r="A9" s="2">
        <v>1972</v>
      </c>
      <c r="B9" s="725">
        <v>63.334952557249345</v>
      </c>
      <c r="C9" s="725">
        <f t="shared" si="0"/>
        <v>0.26666342974262142</v>
      </c>
      <c r="D9" s="725">
        <v>100</v>
      </c>
      <c r="E9" s="725">
        <f t="shared" si="1"/>
        <v>0.42103675612858571</v>
      </c>
      <c r="F9" s="725">
        <v>55.50168032322896</v>
      </c>
      <c r="G9" s="725">
        <f t="shared" si="2"/>
        <v>0.23368247442978077</v>
      </c>
      <c r="H9" s="725">
        <v>18.672322203385537</v>
      </c>
      <c r="I9" s="725">
        <f t="shared" ref="I9:I46" si="4">H9/J9</f>
        <v>7.8617339699012134E-2</v>
      </c>
      <c r="J9" s="725">
        <f t="shared" si="3"/>
        <v>237.50895508386384</v>
      </c>
      <c r="K9" s="725">
        <v>57.564864483866415</v>
      </c>
      <c r="L9" s="725">
        <f t="shared" ref="L9:L46" si="5">K9/S9</f>
        <v>0.25380956020704465</v>
      </c>
      <c r="M9" s="725">
        <v>100</v>
      </c>
      <c r="N9" s="725">
        <f t="shared" ref="N9:N46" si="6">M9/S9</f>
        <v>0.4409105493129048</v>
      </c>
      <c r="O9" s="725">
        <v>54.014738612677732</v>
      </c>
      <c r="P9" s="725">
        <f t="shared" ref="P9:P46" si="7">O9/S9</f>
        <v>0.23815668072708709</v>
      </c>
      <c r="Q9" s="725">
        <v>15.223770412743637</v>
      </c>
      <c r="R9" s="725">
        <f t="shared" ref="R9:R46" si="8">Q9/S9</f>
        <v>6.7123209752963445E-2</v>
      </c>
      <c r="S9" s="725">
        <f t="shared" ref="S9:S46" si="9">K9+M9+O9+Q9</f>
        <v>226.80337350928778</v>
      </c>
      <c r="T9" s="725">
        <v>57.936717786003875</v>
      </c>
      <c r="U9" s="725">
        <f t="shared" ref="U9:U46" si="10">T9/AB9</f>
        <v>0.25438756873173418</v>
      </c>
      <c r="V9" s="725">
        <v>100</v>
      </c>
      <c r="W9" s="725">
        <f t="shared" ref="W9:W46" si="11">V9/AB9</f>
        <v>0.43907832278546532</v>
      </c>
      <c r="X9" s="725">
        <v>51.757379311197255</v>
      </c>
      <c r="Y9" s="725">
        <f t="shared" ref="Y9:Y46" si="12">X9/AB9</f>
        <v>0.22725543299731632</v>
      </c>
      <c r="Z9" s="725">
        <v>18.055702450202716</v>
      </c>
      <c r="AA9" s="725">
        <f t="shared" ref="AA9:AA46" si="13">Z9/AB9</f>
        <v>7.9278675485484257E-2</v>
      </c>
      <c r="AB9" s="725">
        <f t="shared" ref="AB9:AB46" si="14">T9+V9+X9+Z9</f>
        <v>227.74979954740382</v>
      </c>
      <c r="AC9" s="725">
        <v>61.062505063851269</v>
      </c>
      <c r="AD9" s="725">
        <f t="shared" ref="AD9:AD46" si="15">AC9/AK9</f>
        <v>0.26268492777354618</v>
      </c>
      <c r="AE9" s="725">
        <v>100</v>
      </c>
      <c r="AF9" s="725">
        <f t="shared" ref="AF9:AF46" si="16">AE9/AK9</f>
        <v>0.43019022475226698</v>
      </c>
      <c r="AG9" s="725">
        <v>52.459667928562801</v>
      </c>
      <c r="AH9" s="725">
        <f t="shared" ref="AH9:AH46" si="17">AG9/AK9</f>
        <v>0.22567636336617722</v>
      </c>
      <c r="AI9" s="725">
        <v>18.933132233516776</v>
      </c>
      <c r="AJ9" s="725">
        <f t="shared" ref="AJ9:AJ46" si="18">AI9/AK9</f>
        <v>8.1448484108009728E-2</v>
      </c>
      <c r="AK9" s="725">
        <f t="shared" ref="AK9:AK46" si="19">AC9+AE9+AG9+AI9</f>
        <v>232.45530522593083</v>
      </c>
      <c r="AL9" s="725">
        <v>60.286326874434501</v>
      </c>
      <c r="AM9" s="725">
        <f t="shared" ref="AM9:AM46" si="20">AL9/AT9</f>
        <v>0.26035069991088994</v>
      </c>
      <c r="AN9" s="725">
        <v>100</v>
      </c>
      <c r="AO9" s="725">
        <f t="shared" ref="AO9:AO46" si="21">AN9/AT9</f>
        <v>0.4318569622812703</v>
      </c>
      <c r="AP9" s="725">
        <v>53.440516645140185</v>
      </c>
      <c r="AQ9" s="725">
        <f t="shared" ref="AQ9:AQ46" si="22">AP9/AT9</f>
        <v>0.23078659181111905</v>
      </c>
      <c r="AR9" s="725">
        <v>17.831308216021419</v>
      </c>
      <c r="AS9" s="725">
        <f t="shared" ref="AS9:AS46" si="23">AR9/AT9</f>
        <v>7.7005745996720679E-2</v>
      </c>
      <c r="AT9" s="725">
        <f t="shared" ref="AT9:AT46" si="24">AL9+AN9+AP9+AR9</f>
        <v>231.55815173559611</v>
      </c>
      <c r="AU9" s="725">
        <v>64.702595438837903</v>
      </c>
      <c r="AV9" s="725">
        <f t="shared" ref="AV9:AV46" si="25">AU9/BC9</f>
        <v>0.26767515417213361</v>
      </c>
      <c r="AW9" s="725">
        <v>100</v>
      </c>
      <c r="AX9" s="725">
        <f t="shared" ref="AX9:AX46" si="26">AW9/BC9</f>
        <v>0.41370079879587163</v>
      </c>
      <c r="AY9" s="725">
        <v>58.947486914887392</v>
      </c>
      <c r="AZ9" s="725">
        <f t="shared" ref="AZ9:AZ46" si="27">AY9/BC9</f>
        <v>0.24386622423698104</v>
      </c>
      <c r="BA9" s="725">
        <v>18.070504821988735</v>
      </c>
      <c r="BB9" s="725">
        <f t="shared" ref="BB9:BB46" si="28">BA9/BC9</f>
        <v>7.475782279501389E-2</v>
      </c>
      <c r="BC9" s="725">
        <f t="shared" ref="BC9:BC46" si="29">AU9+AW9+AY9+BA9</f>
        <v>241.720587175714</v>
      </c>
      <c r="BD9" s="725">
        <v>63.909835809269154</v>
      </c>
      <c r="BE9" s="725">
        <f t="shared" ref="BE9:BE46" si="30">BD9/BL9</f>
        <v>0.26922687562659531</v>
      </c>
      <c r="BF9" s="725">
        <v>100</v>
      </c>
      <c r="BG9" s="725">
        <f t="shared" ref="BG9:BG46" si="31">BF9/BL9</f>
        <v>0.42126047143990319</v>
      </c>
      <c r="BH9" s="725">
        <v>54.307452055117949</v>
      </c>
      <c r="BI9" s="725">
        <f t="shared" ref="BI9:BI46" si="32">BH9/BL9</f>
        <v>0.22877582855438927</v>
      </c>
      <c r="BJ9" s="725">
        <v>19.16553530483101</v>
      </c>
      <c r="BK9" s="725">
        <f t="shared" ref="BK9:BK46" si="33">BJ9/BL9</f>
        <v>8.0736824379112199E-2</v>
      </c>
      <c r="BL9" s="725">
        <f t="shared" ref="BL9:BL46" si="34">BD9+BF9+BH9+BJ9</f>
        <v>237.38282316921811</v>
      </c>
      <c r="BM9" s="725">
        <v>61.931988355237145</v>
      </c>
      <c r="BN9" s="725">
        <f t="shared" ref="BN9:BN46" si="35">BM9/BU9</f>
        <v>0.26600667499747466</v>
      </c>
      <c r="BO9" s="725">
        <v>100</v>
      </c>
      <c r="BP9" s="725">
        <f t="shared" ref="BP9:BP46" si="36">BO9/BU9</f>
        <v>0.42951418493409377</v>
      </c>
      <c r="BQ9" s="725">
        <v>51.062846252652562</v>
      </c>
      <c r="BR9" s="725">
        <f t="shared" ref="BR9:BR46" si="37">BQ9/BU9</f>
        <v>0.21932216788623007</v>
      </c>
      <c r="BS9" s="725">
        <v>19.82634687496256</v>
      </c>
      <c r="BT9" s="725">
        <f t="shared" ref="BT9:BT46" si="38">BS9/BU9</f>
        <v>8.5156972182201612E-2</v>
      </c>
      <c r="BU9" s="725">
        <f t="shared" ref="BU9:BU46" si="39">BM9+BO9+BQ9+BS9</f>
        <v>232.82118148285224</v>
      </c>
      <c r="BV9" s="725">
        <v>60.106540107300333</v>
      </c>
      <c r="BW9" s="725">
        <f t="shared" ref="BW9:BW46" si="40">BV9/CD9</f>
        <v>0.25693726765883385</v>
      </c>
      <c r="BX9" s="725">
        <v>100</v>
      </c>
      <c r="BY9" s="725">
        <f t="shared" ref="BY9:BY46" si="41">BX9/CD9</f>
        <v>0.42746973490764462</v>
      </c>
      <c r="BZ9" s="725">
        <v>53.517761061836204</v>
      </c>
      <c r="CA9" s="725">
        <f t="shared" ref="CA9:CA46" si="42">BZ9/CD9</f>
        <v>0.22877223133953786</v>
      </c>
      <c r="CB9" s="725">
        <v>20.310389018006472</v>
      </c>
      <c r="CC9" s="725">
        <f t="shared" ref="CC9:CC46" si="43">CB9/CD9</f>
        <v>8.6820766093983634E-2</v>
      </c>
      <c r="CD9" s="725">
        <f t="shared" ref="CD9:CD46" si="44">BV9+BX9+BZ9+CB9</f>
        <v>233.93469018714302</v>
      </c>
      <c r="CE9" s="725">
        <v>62.228925263710899</v>
      </c>
      <c r="CF9" s="725">
        <f t="shared" ref="CF9:CF46" si="45">CE9/CM9</f>
        <v>0.26065315964430791</v>
      </c>
      <c r="CG9" s="725">
        <v>100</v>
      </c>
      <c r="CH9" s="725">
        <f t="shared" ref="CH9:CH46" si="46">CG9/CM9</f>
        <v>0.41886174080578104</v>
      </c>
      <c r="CI9" s="725">
        <v>59.376940300965416</v>
      </c>
      <c r="CJ9" s="725">
        <f t="shared" ref="CJ9:CJ46" si="47">CI9/CM9</f>
        <v>0.2487072857818331</v>
      </c>
      <c r="CK9" s="725">
        <v>17.136397712045994</v>
      </c>
      <c r="CL9" s="725">
        <f t="shared" ref="CL9:CL46" si="48">CK9/CM9</f>
        <v>7.1777813768077875E-2</v>
      </c>
      <c r="CM9" s="725">
        <f t="shared" ref="CM9:CM46" si="49">CE9+CG9+CI9+CK9</f>
        <v>238.74226327672233</v>
      </c>
      <c r="CN9" s="725">
        <v>63.777287208210296</v>
      </c>
      <c r="CO9" s="725">
        <f t="shared" ref="CO9:CO46" si="50">CN9/CV9</f>
        <v>0.27045989110262131</v>
      </c>
      <c r="CP9" s="725">
        <v>100</v>
      </c>
      <c r="CQ9" s="725">
        <f t="shared" ref="CQ9:CQ46" si="51">CP9/CV9</f>
        <v>0.42406929322607495</v>
      </c>
      <c r="CR9" s="725">
        <v>52.307947552753632</v>
      </c>
      <c r="CS9" s="725">
        <f t="shared" ref="CS9:CS46" si="52">CR9/CV9</f>
        <v>0.22182194348802828</v>
      </c>
      <c r="CT9" s="725">
        <v>19.72528393813263</v>
      </c>
      <c r="CU9" s="725">
        <f t="shared" ref="CU9:CU46" si="53">CT9/CV9</f>
        <v>8.3648872183275519E-2</v>
      </c>
      <c r="CV9" s="725">
        <f t="shared" ref="CV9:CV46" si="54">CN9+CP9+CR9+CT9</f>
        <v>235.81051869909655</v>
      </c>
    </row>
    <row r="10" spans="1:100" hidden="1">
      <c r="A10" s="2">
        <v>1973</v>
      </c>
      <c r="B10" s="725">
        <v>64.012109847967992</v>
      </c>
      <c r="C10" s="725">
        <f t="shared" si="0"/>
        <v>0.26861257853673398</v>
      </c>
      <c r="D10" s="725">
        <v>100</v>
      </c>
      <c r="E10" s="725">
        <f t="shared" si="1"/>
        <v>0.41962775352148596</v>
      </c>
      <c r="F10" s="725">
        <v>55.501680323228989</v>
      </c>
      <c r="G10" s="725">
        <f t="shared" si="2"/>
        <v>0.23290045430704243</v>
      </c>
      <c r="H10" s="725">
        <v>18.79265920162733</v>
      </c>
      <c r="I10" s="725">
        <f t="shared" si="4"/>
        <v>7.8859213634737593E-2</v>
      </c>
      <c r="J10" s="725">
        <f t="shared" si="3"/>
        <v>238.30644937282432</v>
      </c>
      <c r="K10" s="725">
        <v>58.089746151209489</v>
      </c>
      <c r="L10" s="725">
        <f t="shared" si="5"/>
        <v>0.25630115824295868</v>
      </c>
      <c r="M10" s="725">
        <v>100</v>
      </c>
      <c r="N10" s="725">
        <f t="shared" si="6"/>
        <v>0.44121583450510948</v>
      </c>
      <c r="O10" s="725">
        <v>53.341534173547359</v>
      </c>
      <c r="P10" s="725">
        <f t="shared" si="7"/>
        <v>0.23535129514164516</v>
      </c>
      <c r="Q10" s="725">
        <v>15.21516384052379</v>
      </c>
      <c r="R10" s="725">
        <f t="shared" si="8"/>
        <v>6.7131712110286706E-2</v>
      </c>
      <c r="S10" s="725">
        <f t="shared" si="9"/>
        <v>226.64644416528063</v>
      </c>
      <c r="T10" s="725">
        <v>58.595358576164713</v>
      </c>
      <c r="U10" s="725">
        <f t="shared" si="10"/>
        <v>0.25738554294647448</v>
      </c>
      <c r="V10" s="725">
        <v>100</v>
      </c>
      <c r="W10" s="725">
        <f t="shared" si="11"/>
        <v>0.43925926762938722</v>
      </c>
      <c r="X10" s="725">
        <v>51.108259260781153</v>
      </c>
      <c r="Y10" s="725">
        <f t="shared" si="12"/>
        <v>0.22449776532703578</v>
      </c>
      <c r="Z10" s="725">
        <v>17.952364334322109</v>
      </c>
      <c r="AA10" s="725">
        <f t="shared" si="13"/>
        <v>7.8857424097102613E-2</v>
      </c>
      <c r="AB10" s="725">
        <f t="shared" si="14"/>
        <v>227.65598217126796</v>
      </c>
      <c r="AC10" s="725">
        <v>61.658743503703903</v>
      </c>
      <c r="AD10" s="725">
        <f t="shared" si="15"/>
        <v>0.26562347145731691</v>
      </c>
      <c r="AE10" s="725">
        <v>100</v>
      </c>
      <c r="AF10" s="725">
        <f t="shared" si="16"/>
        <v>0.43079611481437446</v>
      </c>
      <c r="AG10" s="725">
        <v>51.616642968879681</v>
      </c>
      <c r="AH10" s="725">
        <f t="shared" si="17"/>
        <v>0.22236249250754064</v>
      </c>
      <c r="AI10" s="725">
        <v>18.852983680171743</v>
      </c>
      <c r="AJ10" s="725">
        <f t="shared" si="18"/>
        <v>8.1217921220767944E-2</v>
      </c>
      <c r="AK10" s="725">
        <f t="shared" si="19"/>
        <v>232.12837015275534</v>
      </c>
      <c r="AL10" s="725">
        <v>60.93982214642466</v>
      </c>
      <c r="AM10" s="725">
        <f t="shared" si="20"/>
        <v>0.26336162105230426</v>
      </c>
      <c r="AN10" s="725">
        <v>100</v>
      </c>
      <c r="AO10" s="725">
        <f t="shared" si="21"/>
        <v>0.43216670442441668</v>
      </c>
      <c r="AP10" s="725">
        <v>52.64782363939468</v>
      </c>
      <c r="AQ10" s="725">
        <f t="shared" si="22"/>
        <v>0.22752636437355098</v>
      </c>
      <c r="AR10" s="725">
        <v>17.804543793397489</v>
      </c>
      <c r="AS10" s="725">
        <f t="shared" si="23"/>
        <v>7.6945310149727955E-2</v>
      </c>
      <c r="AT10" s="725">
        <f t="shared" si="24"/>
        <v>231.39218957921685</v>
      </c>
      <c r="AU10" s="725">
        <v>65.566896914913841</v>
      </c>
      <c r="AV10" s="725">
        <f t="shared" si="25"/>
        <v>0.27124655089826133</v>
      </c>
      <c r="AW10" s="725">
        <v>100</v>
      </c>
      <c r="AX10" s="725">
        <f t="shared" si="26"/>
        <v>0.41369435440914337</v>
      </c>
      <c r="AY10" s="725">
        <v>57.853613316705534</v>
      </c>
      <c r="AZ10" s="725">
        <f t="shared" si="27"/>
        <v>0.23933713211290716</v>
      </c>
      <c r="BA10" s="725">
        <v>18.303842383306758</v>
      </c>
      <c r="BB10" s="725">
        <f t="shared" si="28"/>
        <v>7.5721962579688051E-2</v>
      </c>
      <c r="BC10" s="725">
        <f t="shared" si="29"/>
        <v>241.72435261492615</v>
      </c>
      <c r="BD10" s="725">
        <v>64.504014402987181</v>
      </c>
      <c r="BE10" s="725">
        <f t="shared" si="30"/>
        <v>0.27159400347031498</v>
      </c>
      <c r="BF10" s="725">
        <v>100</v>
      </c>
      <c r="BG10" s="725">
        <f t="shared" si="31"/>
        <v>0.42104976873770744</v>
      </c>
      <c r="BH10" s="725">
        <v>53.687242877129329</v>
      </c>
      <c r="BI10" s="725">
        <f t="shared" si="32"/>
        <v>0.22605001197580435</v>
      </c>
      <c r="BJ10" s="725">
        <v>19.310357552250021</v>
      </c>
      <c r="BK10" s="725">
        <f t="shared" si="33"/>
        <v>8.130621581617313E-2</v>
      </c>
      <c r="BL10" s="725">
        <f t="shared" si="34"/>
        <v>237.50161483236656</v>
      </c>
      <c r="BM10" s="725">
        <v>62.376831275475055</v>
      </c>
      <c r="BN10" s="725">
        <f t="shared" si="35"/>
        <v>0.2685175245284509</v>
      </c>
      <c r="BO10" s="725">
        <v>100</v>
      </c>
      <c r="BP10" s="725">
        <f t="shared" si="36"/>
        <v>0.43047637886989781</v>
      </c>
      <c r="BQ10" s="725">
        <v>50.105575629556633</v>
      </c>
      <c r="BR10" s="725">
        <f t="shared" si="37"/>
        <v>0.2156926675820334</v>
      </c>
      <c r="BS10" s="725">
        <v>19.818376386547783</v>
      </c>
      <c r="BT10" s="725">
        <f t="shared" si="38"/>
        <v>8.5313429019617804E-2</v>
      </c>
      <c r="BU10" s="725">
        <f t="shared" si="39"/>
        <v>232.30078329157948</v>
      </c>
      <c r="BV10" s="725">
        <v>60.475230196822807</v>
      </c>
      <c r="BW10" s="725">
        <f t="shared" si="40"/>
        <v>0.25817161738428829</v>
      </c>
      <c r="BX10" s="725">
        <v>100</v>
      </c>
      <c r="BY10" s="725">
        <f t="shared" si="41"/>
        <v>0.42690472866997353</v>
      </c>
      <c r="BZ10" s="725">
        <v>53.344853462255365</v>
      </c>
      <c r="CA10" s="725">
        <f t="shared" si="42"/>
        <v>0.22773170193243625</v>
      </c>
      <c r="CB10" s="725">
        <v>20.424217901017286</v>
      </c>
      <c r="CC10" s="725">
        <f t="shared" si="43"/>
        <v>8.7191952013302015E-2</v>
      </c>
      <c r="CD10" s="725">
        <f t="shared" si="44"/>
        <v>234.24430156009544</v>
      </c>
      <c r="CE10" s="725">
        <v>62.980408931176527</v>
      </c>
      <c r="CF10" s="725">
        <f t="shared" si="45"/>
        <v>0.26487569247353376</v>
      </c>
      <c r="CG10" s="725">
        <v>100</v>
      </c>
      <c r="CH10" s="725">
        <f t="shared" si="46"/>
        <v>0.42056839097850812</v>
      </c>
      <c r="CI10" s="725">
        <v>57.601349953116291</v>
      </c>
      <c r="CJ10" s="725">
        <f t="shared" si="47"/>
        <v>0.24225307067972082</v>
      </c>
      <c r="CK10" s="725">
        <v>17.191697573851215</v>
      </c>
      <c r="CL10" s="725">
        <f t="shared" si="48"/>
        <v>7.2302845868237278E-2</v>
      </c>
      <c r="CM10" s="725">
        <f t="shared" si="49"/>
        <v>237.77345645814404</v>
      </c>
      <c r="CN10" s="725">
        <v>64.464862704776934</v>
      </c>
      <c r="CO10" s="725">
        <f t="shared" si="50"/>
        <v>0.27319405456056861</v>
      </c>
      <c r="CP10" s="725">
        <v>100</v>
      </c>
      <c r="CQ10" s="725">
        <f t="shared" si="51"/>
        <v>0.4237875380448527</v>
      </c>
      <c r="CR10" s="725">
        <v>51.775922548779256</v>
      </c>
      <c r="CS10" s="725">
        <f t="shared" si="52"/>
        <v>0.21941990746948137</v>
      </c>
      <c r="CT10" s="725">
        <v>19.72651208923693</v>
      </c>
      <c r="CU10" s="725">
        <f t="shared" si="53"/>
        <v>8.3598499925097422E-2</v>
      </c>
      <c r="CV10" s="725">
        <f t="shared" si="54"/>
        <v>235.9672973427931</v>
      </c>
    </row>
    <row r="11" spans="1:100" hidden="1">
      <c r="A11" s="2">
        <v>1974</v>
      </c>
      <c r="B11" s="725">
        <v>64.714968702386429</v>
      </c>
      <c r="C11" s="725">
        <f t="shared" si="0"/>
        <v>0.27069268595810653</v>
      </c>
      <c r="D11" s="725">
        <v>100</v>
      </c>
      <c r="E11" s="725">
        <f t="shared" si="1"/>
        <v>0.41828450416622776</v>
      </c>
      <c r="F11" s="725">
        <v>55.501680323228989</v>
      </c>
      <c r="G11" s="725">
        <f t="shared" si="2"/>
        <v>0.23215492834394316</v>
      </c>
      <c r="H11" s="725">
        <v>18.855080871076247</v>
      </c>
      <c r="I11" s="725">
        <f t="shared" si="4"/>
        <v>7.8867881531722542E-2</v>
      </c>
      <c r="J11" s="725">
        <f t="shared" si="3"/>
        <v>239.07172989669166</v>
      </c>
      <c r="K11" s="725">
        <v>58.606742309007942</v>
      </c>
      <c r="L11" s="725">
        <f t="shared" si="5"/>
        <v>0.25842599709914066</v>
      </c>
      <c r="M11" s="725">
        <v>100</v>
      </c>
      <c r="N11" s="725">
        <f t="shared" si="6"/>
        <v>0.44094926098531878</v>
      </c>
      <c r="O11" s="725">
        <v>52.965949816976384</v>
      </c>
      <c r="P11" s="725">
        <f t="shared" si="7"/>
        <v>0.23355296429181216</v>
      </c>
      <c r="Q11" s="725">
        <v>15.210769936172225</v>
      </c>
      <c r="R11" s="725">
        <f t="shared" si="8"/>
        <v>6.7071777623728471E-2</v>
      </c>
      <c r="S11" s="725">
        <f t="shared" si="9"/>
        <v>226.78346206215653</v>
      </c>
      <c r="T11" s="725">
        <v>59.245270002242108</v>
      </c>
      <c r="U11" s="725">
        <f t="shared" si="10"/>
        <v>0.26042627666818285</v>
      </c>
      <c r="V11" s="725">
        <v>100</v>
      </c>
      <c r="W11" s="725">
        <f t="shared" si="11"/>
        <v>0.43957311133585375</v>
      </c>
      <c r="X11" s="725">
        <v>50.377662446285875</v>
      </c>
      <c r="Y11" s="725">
        <f t="shared" si="12"/>
        <v>0.22144665823341278</v>
      </c>
      <c r="Z11" s="725">
        <v>17.870509304772252</v>
      </c>
      <c r="AA11" s="725">
        <f t="shared" si="13"/>
        <v>7.855395376255063E-2</v>
      </c>
      <c r="AB11" s="725">
        <f t="shared" si="14"/>
        <v>227.49344175330023</v>
      </c>
      <c r="AC11" s="725">
        <v>62.260931589701876</v>
      </c>
      <c r="AD11" s="725">
        <f t="shared" si="15"/>
        <v>0.26827678782167996</v>
      </c>
      <c r="AE11" s="725">
        <v>100</v>
      </c>
      <c r="AF11" s="725">
        <f t="shared" si="16"/>
        <v>0.43089105956463664</v>
      </c>
      <c r="AG11" s="725">
        <v>51.009717755160075</v>
      </c>
      <c r="AH11" s="725">
        <f t="shared" si="17"/>
        <v>0.21979631331613983</v>
      </c>
      <c r="AI11" s="725">
        <v>18.806572449987847</v>
      </c>
      <c r="AJ11" s="725">
        <f t="shared" si="18"/>
        <v>8.1035839297543669E-2</v>
      </c>
      <c r="AK11" s="725">
        <f t="shared" si="19"/>
        <v>232.07722179484978</v>
      </c>
      <c r="AL11" s="725">
        <v>61.535418145932873</v>
      </c>
      <c r="AM11" s="725">
        <f t="shared" si="20"/>
        <v>0.26622618817142352</v>
      </c>
      <c r="AN11" s="725">
        <v>100</v>
      </c>
      <c r="AO11" s="725">
        <f t="shared" si="21"/>
        <v>0.43263895199356744</v>
      </c>
      <c r="AP11" s="725">
        <v>51.852850131413042</v>
      </c>
      <c r="AQ11" s="725">
        <f t="shared" si="22"/>
        <v>0.22433562738734053</v>
      </c>
      <c r="AR11" s="725">
        <v>17.751344878629968</v>
      </c>
      <c r="AS11" s="725">
        <f t="shared" si="23"/>
        <v>7.6799232447668495E-2</v>
      </c>
      <c r="AT11" s="725">
        <f t="shared" si="24"/>
        <v>231.13961315597589</v>
      </c>
      <c r="AU11" s="725">
        <v>66.402167256301311</v>
      </c>
      <c r="AV11" s="725">
        <f t="shared" si="25"/>
        <v>0.27495627454580662</v>
      </c>
      <c r="AW11" s="725">
        <v>100</v>
      </c>
      <c r="AX11" s="725">
        <f t="shared" si="26"/>
        <v>0.41407725968419251</v>
      </c>
      <c r="AY11" s="725">
        <v>56.642107217565247</v>
      </c>
      <c r="AZ11" s="725">
        <f t="shared" si="27"/>
        <v>0.23454208539387639</v>
      </c>
      <c r="BA11" s="725">
        <v>18.456550942790631</v>
      </c>
      <c r="BB11" s="725">
        <f t="shared" si="28"/>
        <v>7.6424380376124437E-2</v>
      </c>
      <c r="BC11" s="725">
        <f t="shared" si="29"/>
        <v>241.50082541665719</v>
      </c>
      <c r="BD11" s="725">
        <v>65.144123033418552</v>
      </c>
      <c r="BE11" s="725">
        <f t="shared" si="30"/>
        <v>0.27429414689389658</v>
      </c>
      <c r="BF11" s="725">
        <v>100</v>
      </c>
      <c r="BG11" s="725">
        <f t="shared" si="31"/>
        <v>0.4210573941615352</v>
      </c>
      <c r="BH11" s="725">
        <v>52.978693770282248</v>
      </c>
      <c r="BI11" s="725">
        <f t="shared" si="32"/>
        <v>0.22307070744997001</v>
      </c>
      <c r="BJ11" s="725">
        <v>19.374496832444059</v>
      </c>
      <c r="BK11" s="725">
        <f t="shared" si="33"/>
        <v>8.157775149459813E-2</v>
      </c>
      <c r="BL11" s="725">
        <f t="shared" si="34"/>
        <v>237.49731363614487</v>
      </c>
      <c r="BM11" s="725">
        <v>62.88432792578319</v>
      </c>
      <c r="BN11" s="725">
        <f t="shared" si="35"/>
        <v>0.27167111183382364</v>
      </c>
      <c r="BO11" s="725">
        <v>100</v>
      </c>
      <c r="BP11" s="725">
        <f t="shared" si="36"/>
        <v>0.4320171985529575</v>
      </c>
      <c r="BQ11" s="725">
        <v>48.880924204358955</v>
      </c>
      <c r="BR11" s="725">
        <f t="shared" si="37"/>
        <v>0.2111739993744661</v>
      </c>
      <c r="BS11" s="725">
        <v>19.70701410127224</v>
      </c>
      <c r="BT11" s="725">
        <f t="shared" si="38"/>
        <v>8.5137690238752631E-2</v>
      </c>
      <c r="BU11" s="725">
        <f t="shared" si="39"/>
        <v>231.47226623141441</v>
      </c>
      <c r="BV11" s="725">
        <v>60.996172631175718</v>
      </c>
      <c r="BW11" s="725">
        <f t="shared" si="40"/>
        <v>0.2603861899614282</v>
      </c>
      <c r="BX11" s="725">
        <v>100</v>
      </c>
      <c r="BY11" s="725">
        <f t="shared" si="41"/>
        <v>0.42688939113589958</v>
      </c>
      <c r="BZ11" s="725">
        <v>52.823877297293926</v>
      </c>
      <c r="CA11" s="725">
        <f t="shared" si="42"/>
        <v>0.22549952816879271</v>
      </c>
      <c r="CB11" s="725">
        <v>20.432667699186645</v>
      </c>
      <c r="CC11" s="725">
        <f t="shared" si="43"/>
        <v>8.7224890733879484E-2</v>
      </c>
      <c r="CD11" s="725">
        <f t="shared" si="44"/>
        <v>234.2527176276563</v>
      </c>
      <c r="CE11" s="725">
        <v>63.787906334188406</v>
      </c>
      <c r="CF11" s="725">
        <f t="shared" si="45"/>
        <v>0.2691995623759279</v>
      </c>
      <c r="CG11" s="725">
        <v>100</v>
      </c>
      <c r="CH11" s="725">
        <f t="shared" si="46"/>
        <v>0.422022884660262</v>
      </c>
      <c r="CI11" s="725">
        <v>55.918412189277525</v>
      </c>
      <c r="CJ11" s="725">
        <f t="shared" si="47"/>
        <v>0.23598849617740458</v>
      </c>
      <c r="CK11" s="725">
        <v>17.24765633148127</v>
      </c>
      <c r="CL11" s="725">
        <f t="shared" si="48"/>
        <v>7.2789056786405584E-2</v>
      </c>
      <c r="CM11" s="725">
        <f t="shared" si="49"/>
        <v>236.95397485494718</v>
      </c>
      <c r="CN11" s="725">
        <v>65.189729867377835</v>
      </c>
      <c r="CO11" s="725">
        <f t="shared" si="50"/>
        <v>0.27626262985777789</v>
      </c>
      <c r="CP11" s="725">
        <v>100</v>
      </c>
      <c r="CQ11" s="725">
        <f t="shared" si="51"/>
        <v>0.42378244306243845</v>
      </c>
      <c r="CR11" s="725">
        <v>51.060911331585125</v>
      </c>
      <c r="CS11" s="725">
        <f t="shared" si="52"/>
        <v>0.21638717749093692</v>
      </c>
      <c r="CT11" s="725">
        <v>19.719493092953428</v>
      </c>
      <c r="CU11" s="725">
        <f t="shared" si="53"/>
        <v>8.3567749588846843E-2</v>
      </c>
      <c r="CV11" s="725">
        <f t="shared" si="54"/>
        <v>235.97013429191637</v>
      </c>
    </row>
    <row r="12" spans="1:100" hidden="1">
      <c r="A12" s="2">
        <v>1975</v>
      </c>
      <c r="B12" s="725">
        <v>65.359548292106453</v>
      </c>
      <c r="C12" s="725">
        <f t="shared" si="0"/>
        <v>0.27574869048264133</v>
      </c>
      <c r="D12" s="725">
        <v>100</v>
      </c>
      <c r="E12" s="725">
        <f t="shared" si="1"/>
        <v>0.42189503704991765</v>
      </c>
      <c r="F12" s="725">
        <v>52.761797789842824</v>
      </c>
      <c r="G12" s="725">
        <f t="shared" si="2"/>
        <v>0.22259940633365999</v>
      </c>
      <c r="H12" s="725">
        <v>18.904433361311224</v>
      </c>
      <c r="I12" s="725">
        <f t="shared" si="4"/>
        <v>7.9756866133780982E-2</v>
      </c>
      <c r="J12" s="725">
        <f t="shared" si="3"/>
        <v>237.02577944326052</v>
      </c>
      <c r="K12" s="725">
        <v>59.268709927834159</v>
      </c>
      <c r="L12" s="725">
        <f t="shared" si="5"/>
        <v>0.26140185236731783</v>
      </c>
      <c r="M12" s="725">
        <v>100</v>
      </c>
      <c r="N12" s="725">
        <f t="shared" si="6"/>
        <v>0.44104528795312375</v>
      </c>
      <c r="O12" s="725">
        <v>52.308572943754051</v>
      </c>
      <c r="P12" s="725">
        <f t="shared" si="7"/>
        <v>0.23070449616394983</v>
      </c>
      <c r="Q12" s="725">
        <v>15.156802564618612</v>
      </c>
      <c r="R12" s="725">
        <f t="shared" si="8"/>
        <v>6.6848363515608605E-2</v>
      </c>
      <c r="S12" s="725">
        <f t="shared" si="9"/>
        <v>226.73408543620681</v>
      </c>
      <c r="T12" s="725">
        <v>60.025993000577628</v>
      </c>
      <c r="U12" s="725">
        <f t="shared" si="10"/>
        <v>0.2640844954726938</v>
      </c>
      <c r="V12" s="725">
        <v>100</v>
      </c>
      <c r="W12" s="725">
        <f t="shared" si="11"/>
        <v>0.4399502320105767</v>
      </c>
      <c r="X12" s="725">
        <v>49.470636168417919</v>
      </c>
      <c r="Y12" s="725">
        <f t="shared" si="12"/>
        <v>0.21764617860006291</v>
      </c>
      <c r="Z12" s="725">
        <v>17.801807617817946</v>
      </c>
      <c r="AA12" s="725">
        <f t="shared" si="13"/>
        <v>7.8319093916666582E-2</v>
      </c>
      <c r="AB12" s="725">
        <f t="shared" si="14"/>
        <v>227.29843678681348</v>
      </c>
      <c r="AC12" s="725">
        <v>62.81115820114718</v>
      </c>
      <c r="AD12" s="725">
        <f t="shared" si="15"/>
        <v>0.27094599288699894</v>
      </c>
      <c r="AE12" s="725">
        <v>100</v>
      </c>
      <c r="AF12" s="725">
        <f t="shared" si="16"/>
        <v>0.43136601942495367</v>
      </c>
      <c r="AG12" s="725">
        <v>50.306620361990504</v>
      </c>
      <c r="AH12" s="725">
        <f t="shared" si="17"/>
        <v>0.21700566576274166</v>
      </c>
      <c r="AI12" s="725">
        <v>18.703912290741386</v>
      </c>
      <c r="AJ12" s="725">
        <f t="shared" si="18"/>
        <v>8.0682321925305778E-2</v>
      </c>
      <c r="AK12" s="725">
        <f t="shared" si="19"/>
        <v>231.82169085387906</v>
      </c>
      <c r="AL12" s="725">
        <v>62.128660222626621</v>
      </c>
      <c r="AM12" s="725">
        <f t="shared" si="20"/>
        <v>0.26955917166467064</v>
      </c>
      <c r="AN12" s="725">
        <v>100</v>
      </c>
      <c r="AO12" s="725">
        <f t="shared" si="21"/>
        <v>0.4338725005476618</v>
      </c>
      <c r="AP12" s="725">
        <v>50.742040456211605</v>
      </c>
      <c r="AQ12" s="725">
        <f t="shared" si="22"/>
        <v>0.22015575975627147</v>
      </c>
      <c r="AR12" s="725">
        <v>17.611756434192802</v>
      </c>
      <c r="AS12" s="725">
        <f t="shared" si="23"/>
        <v>7.6412568031396025E-2</v>
      </c>
      <c r="AT12" s="725">
        <f t="shared" si="24"/>
        <v>230.48245711303105</v>
      </c>
      <c r="AU12" s="725">
        <v>67.141983566979334</v>
      </c>
      <c r="AV12" s="725">
        <f t="shared" si="25"/>
        <v>0.27844168005785747</v>
      </c>
      <c r="AW12" s="725">
        <v>100</v>
      </c>
      <c r="AX12" s="725">
        <f t="shared" si="26"/>
        <v>0.41470577016851212</v>
      </c>
      <c r="AY12" s="725">
        <v>55.396330236253078</v>
      </c>
      <c r="AZ12" s="725">
        <f t="shared" si="27"/>
        <v>0.22973177795134567</v>
      </c>
      <c r="BA12" s="725">
        <v>18.596503200557699</v>
      </c>
      <c r="BB12" s="725">
        <f t="shared" si="28"/>
        <v>7.7120771822284814E-2</v>
      </c>
      <c r="BC12" s="725">
        <f t="shared" si="29"/>
        <v>241.13481700379009</v>
      </c>
      <c r="BD12" s="725">
        <v>65.704503536445316</v>
      </c>
      <c r="BE12" s="725">
        <f t="shared" si="30"/>
        <v>0.27659839999677621</v>
      </c>
      <c r="BF12" s="725">
        <v>100</v>
      </c>
      <c r="BG12" s="725">
        <f t="shared" si="31"/>
        <v>0.4209732744473918</v>
      </c>
      <c r="BH12" s="725">
        <v>52.374787665484206</v>
      </c>
      <c r="BI12" s="725">
        <f t="shared" si="32"/>
        <v>0.22048385862025754</v>
      </c>
      <c r="BJ12" s="725">
        <v>19.465479618187707</v>
      </c>
      <c r="BK12" s="725">
        <f t="shared" si="33"/>
        <v>8.1944466935574445E-2</v>
      </c>
      <c r="BL12" s="725">
        <f t="shared" si="34"/>
        <v>237.54477082011724</v>
      </c>
      <c r="BM12" s="725">
        <v>63.354423278616558</v>
      </c>
      <c r="BN12" s="725">
        <f t="shared" si="35"/>
        <v>0.27444978533577497</v>
      </c>
      <c r="BO12" s="725">
        <v>100</v>
      </c>
      <c r="BP12" s="725">
        <f t="shared" si="36"/>
        <v>0.43319751192243511</v>
      </c>
      <c r="BQ12" s="725">
        <v>47.840730696835685</v>
      </c>
      <c r="BR12" s="725">
        <f t="shared" si="37"/>
        <v>0.20724485506420484</v>
      </c>
      <c r="BS12" s="725">
        <v>19.646430400741483</v>
      </c>
      <c r="BT12" s="725">
        <f t="shared" si="38"/>
        <v>8.5107847677585002E-2</v>
      </c>
      <c r="BU12" s="725">
        <f t="shared" si="39"/>
        <v>230.84158437619374</v>
      </c>
      <c r="BV12" s="725">
        <v>61.641459971768498</v>
      </c>
      <c r="BW12" s="725">
        <f t="shared" si="40"/>
        <v>0.26397195325321887</v>
      </c>
      <c r="BX12" s="725">
        <v>100</v>
      </c>
      <c r="BY12" s="725">
        <f t="shared" si="41"/>
        <v>0.42823767213514541</v>
      </c>
      <c r="BZ12" s="725">
        <v>51.558711260184182</v>
      </c>
      <c r="CA12" s="725">
        <f t="shared" si="42"/>
        <v>0.22079382488349383</v>
      </c>
      <c r="CB12" s="725">
        <v>20.315015560024634</v>
      </c>
      <c r="CC12" s="725">
        <f t="shared" si="43"/>
        <v>8.6996549728142067E-2</v>
      </c>
      <c r="CD12" s="725">
        <f t="shared" si="44"/>
        <v>233.51518679197727</v>
      </c>
      <c r="CE12" s="725">
        <v>64.626975671328793</v>
      </c>
      <c r="CF12" s="725">
        <f t="shared" si="45"/>
        <v>0.2745720948098137</v>
      </c>
      <c r="CG12" s="725">
        <v>100</v>
      </c>
      <c r="CH12" s="725">
        <f t="shared" si="46"/>
        <v>0.42485679077138877</v>
      </c>
      <c r="CI12" s="725">
        <v>53.516792160649828</v>
      </c>
      <c r="CJ12" s="725">
        <f t="shared" si="47"/>
        <v>0.22736972569753103</v>
      </c>
      <c r="CK12" s="725">
        <v>17.229661926400837</v>
      </c>
      <c r="CL12" s="725">
        <f t="shared" si="48"/>
        <v>7.3201388721266442E-2</v>
      </c>
      <c r="CM12" s="725">
        <f t="shared" si="49"/>
        <v>235.37342975837947</v>
      </c>
      <c r="CN12" s="725">
        <v>65.843043026703867</v>
      </c>
      <c r="CO12" s="725">
        <f t="shared" si="50"/>
        <v>0.27863480554614789</v>
      </c>
      <c r="CP12" s="725">
        <v>100</v>
      </c>
      <c r="CQ12" s="725">
        <f t="shared" si="51"/>
        <v>0.42318032815272882</v>
      </c>
      <c r="CR12" s="725">
        <v>50.756360535167616</v>
      </c>
      <c r="CS12" s="725">
        <f t="shared" si="52"/>
        <v>0.21479093307110447</v>
      </c>
      <c r="CT12" s="725">
        <v>19.706476809555586</v>
      </c>
      <c r="CU12" s="725">
        <f t="shared" si="53"/>
        <v>8.339393323001873E-2</v>
      </c>
      <c r="CV12" s="725">
        <f t="shared" si="54"/>
        <v>236.30588037142709</v>
      </c>
    </row>
    <row r="13" spans="1:100" hidden="1">
      <c r="A13" s="2">
        <v>1976</v>
      </c>
      <c r="B13" s="725">
        <v>65.956062412110157</v>
      </c>
      <c r="C13" s="725">
        <f t="shared" si="0"/>
        <v>0.27984724918476844</v>
      </c>
      <c r="D13" s="725">
        <v>100</v>
      </c>
      <c r="E13" s="725">
        <f t="shared" si="1"/>
        <v>0.4242934446817217</v>
      </c>
      <c r="F13" s="725">
        <v>50.795847772574227</v>
      </c>
      <c r="G13" s="725">
        <f t="shared" si="2"/>
        <v>0.21552345226953881</v>
      </c>
      <c r="H13" s="725">
        <v>18.934031357527534</v>
      </c>
      <c r="I13" s="725">
        <f t="shared" si="4"/>
        <v>8.0335853863970935E-2</v>
      </c>
      <c r="J13" s="725">
        <f t="shared" si="3"/>
        <v>235.68594154221194</v>
      </c>
      <c r="K13" s="725">
        <v>59.977534440378285</v>
      </c>
      <c r="L13" s="725">
        <f t="shared" si="5"/>
        <v>0.26454243195584515</v>
      </c>
      <c r="M13" s="725">
        <v>100</v>
      </c>
      <c r="N13" s="725">
        <f t="shared" si="6"/>
        <v>0.44106920103362729</v>
      </c>
      <c r="O13" s="725">
        <v>51.664606914922395</v>
      </c>
      <c r="P13" s="725">
        <f t="shared" si="7"/>
        <v>0.22787666893681235</v>
      </c>
      <c r="Q13" s="725">
        <v>15.079651428358149</v>
      </c>
      <c r="R13" s="725">
        <f t="shared" si="8"/>
        <v>6.651169807371525E-2</v>
      </c>
      <c r="S13" s="725">
        <f t="shared" si="9"/>
        <v>226.72179278365883</v>
      </c>
      <c r="T13" s="725">
        <v>60.773042950576496</v>
      </c>
      <c r="U13" s="725">
        <f t="shared" si="10"/>
        <v>0.26730873844689634</v>
      </c>
      <c r="V13" s="725">
        <v>100</v>
      </c>
      <c r="W13" s="725">
        <f t="shared" si="11"/>
        <v>0.43984754665696835</v>
      </c>
      <c r="X13" s="725">
        <v>48.915286442703504</v>
      </c>
      <c r="Y13" s="725">
        <f t="shared" si="12"/>
        <v>0.21515268735845999</v>
      </c>
      <c r="Z13" s="725">
        <v>17.663171734879644</v>
      </c>
      <c r="AA13" s="725">
        <f t="shared" si="13"/>
        <v>7.7691027537675178E-2</v>
      </c>
      <c r="AB13" s="725">
        <f t="shared" si="14"/>
        <v>227.35150112815967</v>
      </c>
      <c r="AC13" s="725">
        <v>63.431701003153862</v>
      </c>
      <c r="AD13" s="725">
        <f t="shared" si="15"/>
        <v>0.27397204710018436</v>
      </c>
      <c r="AE13" s="725">
        <v>100</v>
      </c>
      <c r="AF13" s="725">
        <f t="shared" si="16"/>
        <v>0.43191660126939102</v>
      </c>
      <c r="AG13" s="725">
        <v>49.547505712694495</v>
      </c>
      <c r="AH13" s="725">
        <f t="shared" si="17"/>
        <v>0.21400390268802741</v>
      </c>
      <c r="AI13" s="725">
        <v>18.546971500276591</v>
      </c>
      <c r="AJ13" s="725">
        <f t="shared" si="18"/>
        <v>8.0107448942397227E-2</v>
      </c>
      <c r="AK13" s="725">
        <f t="shared" si="19"/>
        <v>231.52617821612495</v>
      </c>
      <c r="AL13" s="725">
        <v>62.759356861698578</v>
      </c>
      <c r="AM13" s="725">
        <f t="shared" si="20"/>
        <v>0.27306053945459735</v>
      </c>
      <c r="AN13" s="725">
        <v>100</v>
      </c>
      <c r="AO13" s="725">
        <f t="shared" si="21"/>
        <v>0.43509136025140427</v>
      </c>
      <c r="AP13" s="725">
        <v>49.638118901120741</v>
      </c>
      <c r="AQ13" s="725">
        <f t="shared" si="22"/>
        <v>0.21597116673009564</v>
      </c>
      <c r="AR13" s="725">
        <v>17.439310566879477</v>
      </c>
      <c r="AS13" s="725">
        <f t="shared" si="23"/>
        <v>7.5876933563902793E-2</v>
      </c>
      <c r="AT13" s="725">
        <f t="shared" si="24"/>
        <v>229.83678632969878</v>
      </c>
      <c r="AU13" s="725">
        <v>67.720866857461147</v>
      </c>
      <c r="AV13" s="725">
        <f t="shared" si="25"/>
        <v>0.2820799122842097</v>
      </c>
      <c r="AW13" s="725">
        <v>100</v>
      </c>
      <c r="AX13" s="725">
        <f t="shared" si="26"/>
        <v>0.41653322731076581</v>
      </c>
      <c r="AY13" s="725">
        <v>53.666654013795849</v>
      </c>
      <c r="AZ13" s="725">
        <f t="shared" si="27"/>
        <v>0.22353944595336647</v>
      </c>
      <c r="BA13" s="725">
        <v>18.689364820727238</v>
      </c>
      <c r="BB13" s="725">
        <f t="shared" si="28"/>
        <v>7.784741445165809E-2</v>
      </c>
      <c r="BC13" s="725">
        <f t="shared" si="29"/>
        <v>240.07688569198422</v>
      </c>
      <c r="BD13" s="725">
        <v>66.289677919992911</v>
      </c>
      <c r="BE13" s="725">
        <f t="shared" si="30"/>
        <v>0.28065677903273767</v>
      </c>
      <c r="BF13" s="725">
        <v>100</v>
      </c>
      <c r="BG13" s="725">
        <f t="shared" si="31"/>
        <v>0.42337930706417237</v>
      </c>
      <c r="BH13" s="725">
        <v>50.342519318749375</v>
      </c>
      <c r="BI13" s="725">
        <f t="shared" si="32"/>
        <v>0.2131398094503682</v>
      </c>
      <c r="BJ13" s="725">
        <v>19.562624594727293</v>
      </c>
      <c r="BK13" s="725">
        <f t="shared" si="33"/>
        <v>8.2824104452721772E-2</v>
      </c>
      <c r="BL13" s="725">
        <f t="shared" si="34"/>
        <v>236.19482183346958</v>
      </c>
      <c r="BM13" s="725">
        <v>63.822330430197781</v>
      </c>
      <c r="BN13" s="725">
        <f t="shared" si="35"/>
        <v>0.27731395335365944</v>
      </c>
      <c r="BO13" s="725">
        <v>100</v>
      </c>
      <c r="BP13" s="725">
        <f t="shared" si="36"/>
        <v>0.434509287712326</v>
      </c>
      <c r="BQ13" s="725">
        <v>46.77978016757622</v>
      </c>
      <c r="BR13" s="725">
        <f t="shared" si="37"/>
        <v>0.20326248959952736</v>
      </c>
      <c r="BS13" s="725">
        <v>19.542567152374879</v>
      </c>
      <c r="BT13" s="725">
        <f t="shared" si="38"/>
        <v>8.4914269334487077E-2</v>
      </c>
      <c r="BU13" s="725">
        <f t="shared" si="39"/>
        <v>230.1446777501489</v>
      </c>
      <c r="BV13" s="725">
        <v>62.199069999098334</v>
      </c>
      <c r="BW13" s="725">
        <f t="shared" si="40"/>
        <v>0.26781629828232772</v>
      </c>
      <c r="BX13" s="725">
        <v>100</v>
      </c>
      <c r="BY13" s="725">
        <f t="shared" si="41"/>
        <v>0.43057926474818686</v>
      </c>
      <c r="BZ13" s="725">
        <v>50.000736006625203</v>
      </c>
      <c r="CA13" s="725">
        <f t="shared" si="42"/>
        <v>0.21529280146600874</v>
      </c>
      <c r="CB13" s="725">
        <v>20.045469573169946</v>
      </c>
      <c r="CC13" s="725">
        <f t="shared" si="43"/>
        <v>8.6311635503476675E-2</v>
      </c>
      <c r="CD13" s="725">
        <f t="shared" si="44"/>
        <v>232.24527557889348</v>
      </c>
      <c r="CE13" s="725">
        <v>65.397929798901927</v>
      </c>
      <c r="CF13" s="725">
        <f t="shared" si="45"/>
        <v>0.27995958788928293</v>
      </c>
      <c r="CG13" s="725">
        <v>100</v>
      </c>
      <c r="CH13" s="725">
        <f t="shared" si="46"/>
        <v>0.42808631519400725</v>
      </c>
      <c r="CI13" s="725">
        <v>51.039587367233729</v>
      </c>
      <c r="CJ13" s="725">
        <f t="shared" si="47"/>
        <v>0.2184934888506169</v>
      </c>
      <c r="CK13" s="725">
        <v>17.160232751846024</v>
      </c>
      <c r="CL13" s="725">
        <f t="shared" si="48"/>
        <v>7.3460608066092836E-2</v>
      </c>
      <c r="CM13" s="725">
        <f t="shared" si="49"/>
        <v>233.5977499179817</v>
      </c>
      <c r="CN13" s="725">
        <v>66.420326934893609</v>
      </c>
      <c r="CO13" s="725">
        <f t="shared" si="50"/>
        <v>0.28459470484452182</v>
      </c>
      <c r="CP13" s="725">
        <v>100</v>
      </c>
      <c r="CQ13" s="725">
        <f t="shared" si="51"/>
        <v>0.4284753146781205</v>
      </c>
      <c r="CR13" s="725">
        <v>47.199681329521511</v>
      </c>
      <c r="CS13" s="725">
        <f t="shared" si="52"/>
        <v>0.20223898310373739</v>
      </c>
      <c r="CT13" s="725">
        <v>19.765665482325854</v>
      </c>
      <c r="CU13" s="725">
        <f t="shared" si="53"/>
        <v>8.4690997373620347E-2</v>
      </c>
      <c r="CV13" s="725">
        <f t="shared" si="54"/>
        <v>233.38567374674096</v>
      </c>
    </row>
    <row r="14" spans="1:100" hidden="1">
      <c r="A14" s="2">
        <v>1977</v>
      </c>
      <c r="B14" s="725">
        <v>66.469140843594062</v>
      </c>
      <c r="C14" s="725">
        <f t="shared" si="0"/>
        <v>0.28360951812431168</v>
      </c>
      <c r="D14" s="725">
        <v>100</v>
      </c>
      <c r="E14" s="725">
        <f t="shared" si="1"/>
        <v>0.42667847744814719</v>
      </c>
      <c r="F14" s="725">
        <v>48.93133312616677</v>
      </c>
      <c r="G14" s="725">
        <f t="shared" si="2"/>
        <v>0.20877946717780926</v>
      </c>
      <c r="H14" s="725">
        <v>18.96803835379</v>
      </c>
      <c r="I14" s="725">
        <f t="shared" si="4"/>
        <v>8.0932537249731776E-2</v>
      </c>
      <c r="J14" s="725">
        <f t="shared" si="3"/>
        <v>234.36851232355085</v>
      </c>
      <c r="K14" s="725">
        <v>60.475317857319745</v>
      </c>
      <c r="L14" s="725">
        <f t="shared" si="5"/>
        <v>0.26650463843380218</v>
      </c>
      <c r="M14" s="725">
        <v>100</v>
      </c>
      <c r="N14" s="725">
        <f t="shared" si="6"/>
        <v>0.44068331986707415</v>
      </c>
      <c r="O14" s="725">
        <v>51.34191527865439</v>
      </c>
      <c r="P14" s="725">
        <f t="shared" si="7"/>
        <v>0.22625525673331473</v>
      </c>
      <c r="Q14" s="725">
        <v>15.103086948215966</v>
      </c>
      <c r="R14" s="725">
        <f t="shared" si="8"/>
        <v>6.6556784965808885E-2</v>
      </c>
      <c r="S14" s="725">
        <f t="shared" si="9"/>
        <v>226.92032008419011</v>
      </c>
      <c r="T14" s="725">
        <v>61.167453420293242</v>
      </c>
      <c r="U14" s="725">
        <f t="shared" si="10"/>
        <v>0.26959193725263081</v>
      </c>
      <c r="V14" s="725">
        <v>100</v>
      </c>
      <c r="W14" s="725">
        <f t="shared" si="11"/>
        <v>0.44074409212398163</v>
      </c>
      <c r="X14" s="725">
        <v>48.146391220621396</v>
      </c>
      <c r="Y14" s="725">
        <f t="shared" si="12"/>
        <v>0.21220237487578816</v>
      </c>
      <c r="Z14" s="725">
        <v>17.575186402228489</v>
      </c>
      <c r="AA14" s="725">
        <f t="shared" si="13"/>
        <v>7.7461595747599421E-2</v>
      </c>
      <c r="AB14" s="725">
        <f t="shared" si="14"/>
        <v>226.88903104314312</v>
      </c>
      <c r="AC14" s="725">
        <v>63.98215297585319</v>
      </c>
      <c r="AD14" s="725">
        <f t="shared" si="15"/>
        <v>0.27635640775897996</v>
      </c>
      <c r="AE14" s="725">
        <v>100</v>
      </c>
      <c r="AF14" s="725">
        <f t="shared" si="16"/>
        <v>0.43192733427285052</v>
      </c>
      <c r="AG14" s="725">
        <v>49.01091341236647</v>
      </c>
      <c r="AH14" s="725">
        <f t="shared" si="17"/>
        <v>0.21169153180480943</v>
      </c>
      <c r="AI14" s="725">
        <v>18.527358611855796</v>
      </c>
      <c r="AJ14" s="725">
        <f t="shared" si="18"/>
        <v>8.0024726163360135E-2</v>
      </c>
      <c r="AK14" s="725">
        <f t="shared" si="19"/>
        <v>231.52042500007545</v>
      </c>
      <c r="AL14" s="725">
        <v>63.247456682038901</v>
      </c>
      <c r="AM14" s="725">
        <f t="shared" si="20"/>
        <v>0.27538857184849569</v>
      </c>
      <c r="AN14" s="725">
        <v>100</v>
      </c>
      <c r="AO14" s="725">
        <f t="shared" si="21"/>
        <v>0.43541445979866711</v>
      </c>
      <c r="AP14" s="725">
        <v>48.990422445881087</v>
      </c>
      <c r="AQ14" s="725">
        <f t="shared" si="22"/>
        <v>0.21331138324581811</v>
      </c>
      <c r="AR14" s="725">
        <v>17.428356683907147</v>
      </c>
      <c r="AS14" s="725">
        <f t="shared" si="23"/>
        <v>7.5885585107019204E-2</v>
      </c>
      <c r="AT14" s="725">
        <f t="shared" si="24"/>
        <v>229.66623581182711</v>
      </c>
      <c r="AU14" s="725">
        <v>68.240731226915415</v>
      </c>
      <c r="AV14" s="725">
        <f t="shared" si="25"/>
        <v>0.28513334592730244</v>
      </c>
      <c r="AW14" s="725">
        <v>100</v>
      </c>
      <c r="AX14" s="725">
        <f t="shared" si="26"/>
        <v>0.41783454075128751</v>
      </c>
      <c r="AY14" s="725">
        <v>52.242845951267135</v>
      </c>
      <c r="AZ14" s="725">
        <f t="shared" si="27"/>
        <v>0.21828865545587964</v>
      </c>
      <c r="BA14" s="725">
        <v>18.845607575655592</v>
      </c>
      <c r="BB14" s="725">
        <f t="shared" si="28"/>
        <v>7.8743457865530386E-2</v>
      </c>
      <c r="BC14" s="725">
        <f t="shared" si="29"/>
        <v>239.32918475383815</v>
      </c>
      <c r="BD14" s="725">
        <v>66.753217279235372</v>
      </c>
      <c r="BE14" s="725">
        <f t="shared" si="30"/>
        <v>0.28434873603704713</v>
      </c>
      <c r="BF14" s="725">
        <v>100</v>
      </c>
      <c r="BG14" s="725">
        <f t="shared" si="31"/>
        <v>0.42597008447935625</v>
      </c>
      <c r="BH14" s="725">
        <v>48.357718490747359</v>
      </c>
      <c r="BI14" s="725">
        <f t="shared" si="32"/>
        <v>0.20598941430732581</v>
      </c>
      <c r="BJ14" s="725">
        <v>19.647333985569279</v>
      </c>
      <c r="BK14" s="725">
        <f t="shared" si="33"/>
        <v>8.3691765176270735E-2</v>
      </c>
      <c r="BL14" s="725">
        <f t="shared" si="34"/>
        <v>234.75826975555202</v>
      </c>
      <c r="BM14" s="725">
        <v>64.135712557440982</v>
      </c>
      <c r="BN14" s="725">
        <f t="shared" si="35"/>
        <v>0.2797080343251438</v>
      </c>
      <c r="BO14" s="725">
        <v>100</v>
      </c>
      <c r="BP14" s="725">
        <f t="shared" si="36"/>
        <v>0.4361190094748425</v>
      </c>
      <c r="BQ14" s="725">
        <v>45.722923115584528</v>
      </c>
      <c r="BR14" s="725">
        <f t="shared" si="37"/>
        <v>0.19940635939463106</v>
      </c>
      <c r="BS14" s="725">
        <v>19.436574642195787</v>
      </c>
      <c r="BT14" s="725">
        <f t="shared" si="38"/>
        <v>8.4766596805382677E-2</v>
      </c>
      <c r="BU14" s="725">
        <f t="shared" si="39"/>
        <v>229.29521031522128</v>
      </c>
      <c r="BV14" s="725">
        <v>62.566150868972848</v>
      </c>
      <c r="BW14" s="725">
        <f t="shared" si="40"/>
        <v>0.27101267574049354</v>
      </c>
      <c r="BX14" s="725">
        <v>100</v>
      </c>
      <c r="BY14" s="725">
        <f t="shared" si="41"/>
        <v>0.43316181669550541</v>
      </c>
      <c r="BZ14" s="725">
        <v>48.502920847859798</v>
      </c>
      <c r="CA14" s="725">
        <f t="shared" si="42"/>
        <v>0.21009613309497255</v>
      </c>
      <c r="CB14" s="725">
        <v>19.791535441198111</v>
      </c>
      <c r="CC14" s="725">
        <f t="shared" si="43"/>
        <v>8.5729374469028549E-2</v>
      </c>
      <c r="CD14" s="725">
        <f t="shared" si="44"/>
        <v>230.86060715803075</v>
      </c>
      <c r="CE14" s="725">
        <v>66.394629472509621</v>
      </c>
      <c r="CF14" s="725">
        <f t="shared" si="45"/>
        <v>0.28676461768475486</v>
      </c>
      <c r="CG14" s="725">
        <v>100</v>
      </c>
      <c r="CH14" s="725">
        <f t="shared" si="46"/>
        <v>0.43190935767400945</v>
      </c>
      <c r="CI14" s="725">
        <v>48.214512904833533</v>
      </c>
      <c r="CJ14" s="725">
        <f t="shared" si="47"/>
        <v>0.20824299299291893</v>
      </c>
      <c r="CK14" s="725">
        <v>16.920918787658547</v>
      </c>
      <c r="CL14" s="725">
        <f t="shared" si="48"/>
        <v>7.3083031648316824E-2</v>
      </c>
      <c r="CM14" s="725">
        <f t="shared" si="49"/>
        <v>231.53006116500168</v>
      </c>
      <c r="CN14" s="725">
        <v>66.868963531707209</v>
      </c>
      <c r="CO14" s="725">
        <f t="shared" si="50"/>
        <v>0.29031296863014455</v>
      </c>
      <c r="CP14" s="725">
        <v>100</v>
      </c>
      <c r="CQ14" s="725">
        <f t="shared" si="51"/>
        <v>0.43415203899861116</v>
      </c>
      <c r="CR14" s="725">
        <v>43.710431901675939</v>
      </c>
      <c r="CS14" s="725">
        <f t="shared" si="52"/>
        <v>0.18976973135622549</v>
      </c>
      <c r="CT14" s="725">
        <v>19.754660420998981</v>
      </c>
      <c r="CU14" s="725">
        <f t="shared" si="53"/>
        <v>8.5765261015018704E-2</v>
      </c>
      <c r="CV14" s="725">
        <f t="shared" si="54"/>
        <v>230.33405585438214</v>
      </c>
    </row>
    <row r="15" spans="1:100" hidden="1">
      <c r="A15" s="2">
        <v>1978</v>
      </c>
      <c r="B15" s="725">
        <v>66.992638671883725</v>
      </c>
      <c r="C15" s="725">
        <f t="shared" si="0"/>
        <v>0.28661655297287764</v>
      </c>
      <c r="D15" s="725">
        <v>100</v>
      </c>
      <c r="E15" s="725">
        <f t="shared" si="1"/>
        <v>0.42783290620431746</v>
      </c>
      <c r="F15" s="725">
        <v>47.732316740037781</v>
      </c>
      <c r="G15" s="725">
        <f t="shared" si="2"/>
        <v>0.20421455790755358</v>
      </c>
      <c r="H15" s="725">
        <v>19.011156396747129</v>
      </c>
      <c r="I15" s="725">
        <f t="shared" si="4"/>
        <v>8.1335982915251251E-2</v>
      </c>
      <c r="J15" s="725">
        <f t="shared" si="3"/>
        <v>233.73611180866865</v>
      </c>
      <c r="K15" s="725">
        <v>61.003560361426892</v>
      </c>
      <c r="L15" s="725">
        <f t="shared" si="5"/>
        <v>0.26686038551835817</v>
      </c>
      <c r="M15" s="725">
        <v>100</v>
      </c>
      <c r="N15" s="725">
        <f t="shared" si="6"/>
        <v>0.43745050934288815</v>
      </c>
      <c r="O15" s="725">
        <v>52.41312854154797</v>
      </c>
      <c r="P15" s="725">
        <f t="shared" si="7"/>
        <v>0.22928149776754428</v>
      </c>
      <c r="Q15" s="725">
        <v>15.180598937000452</v>
      </c>
      <c r="R15" s="725">
        <f t="shared" si="8"/>
        <v>6.6407607371209543E-2</v>
      </c>
      <c r="S15" s="725">
        <f t="shared" si="9"/>
        <v>228.59728783997528</v>
      </c>
      <c r="T15" s="725">
        <v>61.797771276420896</v>
      </c>
      <c r="U15" s="725">
        <f t="shared" si="10"/>
        <v>0.27196915066621297</v>
      </c>
      <c r="V15" s="725">
        <v>100</v>
      </c>
      <c r="W15" s="725">
        <f t="shared" si="11"/>
        <v>0.44009540319779061</v>
      </c>
      <c r="X15" s="725">
        <v>48.010087102516252</v>
      </c>
      <c r="Y15" s="725">
        <f t="shared" si="12"/>
        <v>0.21129018640942937</v>
      </c>
      <c r="Z15" s="725">
        <v>17.415601065053746</v>
      </c>
      <c r="AA15" s="725">
        <f t="shared" si="13"/>
        <v>7.6645259726567008E-2</v>
      </c>
      <c r="AB15" s="725">
        <f t="shared" si="14"/>
        <v>227.22345944399089</v>
      </c>
      <c r="AC15" s="725">
        <v>64.526750237974582</v>
      </c>
      <c r="AD15" s="725">
        <f t="shared" si="15"/>
        <v>0.27863297447024926</v>
      </c>
      <c r="AE15" s="725">
        <v>100</v>
      </c>
      <c r="AF15" s="725">
        <f t="shared" si="16"/>
        <v>0.43181002211121922</v>
      </c>
      <c r="AG15" s="725">
        <v>48.557186454530878</v>
      </c>
      <c r="AH15" s="725">
        <f t="shared" si="17"/>
        <v>0.20967479756589572</v>
      </c>
      <c r="AI15" s="725">
        <v>18.499386712256758</v>
      </c>
      <c r="AJ15" s="725">
        <f t="shared" si="18"/>
        <v>7.9882205852635849E-2</v>
      </c>
      <c r="AK15" s="725">
        <f t="shared" si="19"/>
        <v>231.58332340476221</v>
      </c>
      <c r="AL15" s="725">
        <v>63.796292854753446</v>
      </c>
      <c r="AM15" s="725">
        <f t="shared" si="20"/>
        <v>0.27660730120164145</v>
      </c>
      <c r="AN15" s="725">
        <v>100</v>
      </c>
      <c r="AO15" s="725">
        <f t="shared" si="21"/>
        <v>0.43357895705852367</v>
      </c>
      <c r="AP15" s="725">
        <v>49.42568586918059</v>
      </c>
      <c r="AQ15" s="725">
        <f t="shared" si="22"/>
        <v>0.21429937331061533</v>
      </c>
      <c r="AR15" s="725">
        <v>17.416520612882657</v>
      </c>
      <c r="AS15" s="725">
        <f t="shared" si="23"/>
        <v>7.5514368429219422E-2</v>
      </c>
      <c r="AT15" s="725">
        <f t="shared" si="24"/>
        <v>230.63849933681672</v>
      </c>
      <c r="AU15" s="725">
        <v>68.756605701550157</v>
      </c>
      <c r="AV15" s="725">
        <f t="shared" si="25"/>
        <v>0.29015278987465454</v>
      </c>
      <c r="AW15" s="725">
        <v>100</v>
      </c>
      <c r="AX15" s="725">
        <f t="shared" si="26"/>
        <v>0.4219998746507535</v>
      </c>
      <c r="AY15" s="725">
        <v>49.204252649181775</v>
      </c>
      <c r="AZ15" s="725">
        <f t="shared" si="27"/>
        <v>0.20764188450238716</v>
      </c>
      <c r="BA15" s="725">
        <v>19.006036681547076</v>
      </c>
      <c r="BB15" s="725">
        <f t="shared" si="28"/>
        <v>8.0205450972204897E-2</v>
      </c>
      <c r="BC15" s="725">
        <f t="shared" si="29"/>
        <v>236.96689503227898</v>
      </c>
      <c r="BD15" s="725">
        <v>67.261992348440259</v>
      </c>
      <c r="BE15" s="725">
        <f t="shared" si="30"/>
        <v>0.2868867169719389</v>
      </c>
      <c r="BF15" s="725">
        <v>100</v>
      </c>
      <c r="BG15" s="725">
        <f t="shared" si="31"/>
        <v>0.42652128929777605</v>
      </c>
      <c r="BH15" s="725">
        <v>47.447147222406855</v>
      </c>
      <c r="BI15" s="725">
        <f t="shared" si="32"/>
        <v>0.20237218406802365</v>
      </c>
      <c r="BJ15" s="725">
        <v>19.74574582218878</v>
      </c>
      <c r="BK15" s="725">
        <f t="shared" si="33"/>
        <v>8.4219809662261336E-2</v>
      </c>
      <c r="BL15" s="725">
        <f t="shared" si="34"/>
        <v>234.45488539303591</v>
      </c>
      <c r="BM15" s="725">
        <v>64.48018553513802</v>
      </c>
      <c r="BN15" s="725">
        <f t="shared" si="35"/>
        <v>0.28111912760074342</v>
      </c>
      <c r="BO15" s="725">
        <v>100</v>
      </c>
      <c r="BP15" s="725">
        <f t="shared" si="36"/>
        <v>0.43597754142247241</v>
      </c>
      <c r="BQ15" s="725">
        <v>45.522180020412854</v>
      </c>
      <c r="BR15" s="725">
        <f t="shared" si="37"/>
        <v>0.1984664812549079</v>
      </c>
      <c r="BS15" s="725">
        <v>19.367247552794218</v>
      </c>
      <c r="BT15" s="725">
        <f t="shared" si="38"/>
        <v>8.4436849721876192E-2</v>
      </c>
      <c r="BU15" s="725">
        <f t="shared" si="39"/>
        <v>229.36961310834511</v>
      </c>
      <c r="BV15" s="725">
        <v>62.955282802935656</v>
      </c>
      <c r="BW15" s="725">
        <f t="shared" si="40"/>
        <v>0.27179370867495667</v>
      </c>
      <c r="BX15" s="725">
        <v>100</v>
      </c>
      <c r="BY15" s="725">
        <f t="shared" si="41"/>
        <v>0.43172502222844866</v>
      </c>
      <c r="BZ15" s="725">
        <v>49.040381837055108</v>
      </c>
      <c r="CA15" s="725">
        <f t="shared" si="42"/>
        <v>0.21171959938694226</v>
      </c>
      <c r="CB15" s="725">
        <v>19.633253887424797</v>
      </c>
      <c r="CC15" s="725">
        <f t="shared" si="43"/>
        <v>8.476166970965246E-2</v>
      </c>
      <c r="CD15" s="725">
        <f t="shared" si="44"/>
        <v>231.62891852741555</v>
      </c>
      <c r="CE15" s="725">
        <v>67.205491333624437</v>
      </c>
      <c r="CF15" s="725">
        <f t="shared" si="45"/>
        <v>0.29070769432803623</v>
      </c>
      <c r="CG15" s="725">
        <v>100</v>
      </c>
      <c r="CH15" s="725">
        <f t="shared" si="46"/>
        <v>0.4325653879753551</v>
      </c>
      <c r="CI15" s="725">
        <v>47.237294664233048</v>
      </c>
      <c r="CJ15" s="725">
        <f t="shared" si="47"/>
        <v>0.20433218693340141</v>
      </c>
      <c r="CK15" s="725">
        <v>16.736135801815909</v>
      </c>
      <c r="CL15" s="725">
        <f t="shared" si="48"/>
        <v>7.2394730763207293E-2</v>
      </c>
      <c r="CM15" s="725">
        <f t="shared" si="49"/>
        <v>231.17892179967339</v>
      </c>
      <c r="CN15" s="725">
        <v>67.348600201440675</v>
      </c>
      <c r="CO15" s="725">
        <f t="shared" si="50"/>
        <v>0.29194182071036701</v>
      </c>
      <c r="CP15" s="725">
        <v>100</v>
      </c>
      <c r="CQ15" s="725">
        <f t="shared" si="51"/>
        <v>0.43347867637510595</v>
      </c>
      <c r="CR15" s="725">
        <v>43.651702331043374</v>
      </c>
      <c r="CS15" s="725">
        <f t="shared" si="52"/>
        <v>0.18922082147980809</v>
      </c>
      <c r="CT15" s="725">
        <v>19.691552569209861</v>
      </c>
      <c r="CU15" s="725">
        <f t="shared" si="53"/>
        <v>8.5358681434719086E-2</v>
      </c>
      <c r="CV15" s="725">
        <f t="shared" si="54"/>
        <v>230.69185510169387</v>
      </c>
    </row>
    <row r="16" spans="1:100" hidden="1">
      <c r="A16" s="2">
        <v>1979</v>
      </c>
      <c r="B16" s="725">
        <v>67.458381994140538</v>
      </c>
      <c r="C16" s="725">
        <f t="shared" si="0"/>
        <v>0.28916488084562231</v>
      </c>
      <c r="D16" s="725">
        <v>100</v>
      </c>
      <c r="E16" s="725">
        <f t="shared" si="1"/>
        <v>0.42865670995598337</v>
      </c>
      <c r="F16" s="725">
        <v>46.847773662067659</v>
      </c>
      <c r="G16" s="725">
        <f t="shared" si="2"/>
        <v>0.20081612526744494</v>
      </c>
      <c r="H16" s="725">
        <v>18.980755938546732</v>
      </c>
      <c r="I16" s="725">
        <f t="shared" si="4"/>
        <v>8.1362283930949353E-2</v>
      </c>
      <c r="J16" s="725">
        <f t="shared" si="3"/>
        <v>233.28691159475494</v>
      </c>
      <c r="K16" s="725">
        <v>61.647327106082528</v>
      </c>
      <c r="L16" s="725">
        <f t="shared" si="5"/>
        <v>0.26893681090670618</v>
      </c>
      <c r="M16" s="725">
        <v>100</v>
      </c>
      <c r="N16" s="725">
        <f t="shared" si="6"/>
        <v>0.43625056191636752</v>
      </c>
      <c r="O16" s="725">
        <v>52.426872685862534</v>
      </c>
      <c r="P16" s="725">
        <f t="shared" si="7"/>
        <v>0.22871252668725389</v>
      </c>
      <c r="Q16" s="725">
        <v>15.151865982546155</v>
      </c>
      <c r="R16" s="725">
        <f t="shared" si="8"/>
        <v>6.6100100489672547E-2</v>
      </c>
      <c r="S16" s="725">
        <f t="shared" si="9"/>
        <v>229.22606577449119</v>
      </c>
      <c r="T16" s="725">
        <v>62.441306912967406</v>
      </c>
      <c r="U16" s="725">
        <f t="shared" si="10"/>
        <v>0.27694199540156361</v>
      </c>
      <c r="V16" s="725">
        <v>100</v>
      </c>
      <c r="W16" s="725">
        <f t="shared" si="11"/>
        <v>0.44352370104548544</v>
      </c>
      <c r="X16" s="725">
        <v>45.741334154834078</v>
      </c>
      <c r="Y16" s="725">
        <f t="shared" si="12"/>
        <v>0.20287365815110284</v>
      </c>
      <c r="Z16" s="725">
        <v>17.284452943809253</v>
      </c>
      <c r="AA16" s="725">
        <f t="shared" si="13"/>
        <v>7.6660645401848165E-2</v>
      </c>
      <c r="AB16" s="725">
        <f t="shared" si="14"/>
        <v>225.46709401161073</v>
      </c>
      <c r="AC16" s="725">
        <v>65.063645225548498</v>
      </c>
      <c r="AD16" s="725">
        <f t="shared" si="15"/>
        <v>0.28268715066328631</v>
      </c>
      <c r="AE16" s="725">
        <v>100</v>
      </c>
      <c r="AF16" s="725">
        <f t="shared" si="16"/>
        <v>0.43447788651147345</v>
      </c>
      <c r="AG16" s="725">
        <v>46.702359083837116</v>
      </c>
      <c r="AH16" s="725">
        <f t="shared" si="17"/>
        <v>0.20291142269845464</v>
      </c>
      <c r="AI16" s="725">
        <v>18.395306782702061</v>
      </c>
      <c r="AJ16" s="725">
        <f t="shared" si="18"/>
        <v>7.9923540126785639E-2</v>
      </c>
      <c r="AK16" s="725">
        <f t="shared" si="19"/>
        <v>230.16131109208766</v>
      </c>
      <c r="AL16" s="725">
        <v>64.380125092795652</v>
      </c>
      <c r="AM16" s="725">
        <f t="shared" si="20"/>
        <v>0.28099962139908535</v>
      </c>
      <c r="AN16" s="725">
        <v>100</v>
      </c>
      <c r="AO16" s="725">
        <f t="shared" si="21"/>
        <v>0.43646951756316194</v>
      </c>
      <c r="AP16" s="725">
        <v>47.400420208447365</v>
      </c>
      <c r="AQ16" s="725">
        <f t="shared" si="22"/>
        <v>0.20688838540672175</v>
      </c>
      <c r="AR16" s="725">
        <v>17.330528842735205</v>
      </c>
      <c r="AS16" s="725">
        <f t="shared" si="23"/>
        <v>7.5642475631030992E-2</v>
      </c>
      <c r="AT16" s="725">
        <f t="shared" si="24"/>
        <v>229.11107414397821</v>
      </c>
      <c r="AU16" s="725">
        <v>69.196300152366319</v>
      </c>
      <c r="AV16" s="725">
        <f t="shared" si="25"/>
        <v>0.29101831395331551</v>
      </c>
      <c r="AW16" s="725">
        <v>100</v>
      </c>
      <c r="AX16" s="725">
        <f t="shared" si="26"/>
        <v>0.42056918261888243</v>
      </c>
      <c r="AY16" s="725">
        <v>49.52805792426598</v>
      </c>
      <c r="AZ16" s="725">
        <f t="shared" si="27"/>
        <v>0.20829974837909207</v>
      </c>
      <c r="BA16" s="725">
        <v>19.048650818837501</v>
      </c>
      <c r="BB16" s="725">
        <f t="shared" si="28"/>
        <v>8.0112755048709933E-2</v>
      </c>
      <c r="BC16" s="725">
        <f t="shared" si="29"/>
        <v>237.77300889546981</v>
      </c>
      <c r="BD16" s="725">
        <v>67.746448662262495</v>
      </c>
      <c r="BE16" s="725">
        <f t="shared" si="30"/>
        <v>0.28979348039064823</v>
      </c>
      <c r="BF16" s="725">
        <v>100</v>
      </c>
      <c r="BG16" s="725">
        <f t="shared" si="31"/>
        <v>0.42776187698835771</v>
      </c>
      <c r="BH16" s="725">
        <v>46.233917058981092</v>
      </c>
      <c r="BI16" s="725">
        <f t="shared" si="32"/>
        <v>0.19777107141673805</v>
      </c>
      <c r="BJ16" s="725">
        <v>19.794557617054917</v>
      </c>
      <c r="BK16" s="725">
        <f t="shared" si="33"/>
        <v>8.4673571204256046E-2</v>
      </c>
      <c r="BL16" s="725">
        <f t="shared" si="34"/>
        <v>233.77492333829849</v>
      </c>
      <c r="BM16" s="725">
        <v>64.763437169806963</v>
      </c>
      <c r="BN16" s="725">
        <f t="shared" si="35"/>
        <v>0.28281815786154929</v>
      </c>
      <c r="BO16" s="725">
        <v>100</v>
      </c>
      <c r="BP16" s="725">
        <f t="shared" si="36"/>
        <v>0.43669417532613686</v>
      </c>
      <c r="BQ16" s="725">
        <v>44.925190843656068</v>
      </c>
      <c r="BR16" s="725">
        <f t="shared" si="37"/>
        <v>0.196185691668397</v>
      </c>
      <c r="BS16" s="725">
        <v>19.304579705226786</v>
      </c>
      <c r="BT16" s="725">
        <f t="shared" si="38"/>
        <v>8.4301975143916894E-2</v>
      </c>
      <c r="BU16" s="725">
        <f t="shared" si="39"/>
        <v>228.9932077186898</v>
      </c>
      <c r="BV16" s="725">
        <v>63.231829619634581</v>
      </c>
      <c r="BW16" s="725">
        <f t="shared" si="40"/>
        <v>0.27382078140908822</v>
      </c>
      <c r="BX16" s="725">
        <v>100</v>
      </c>
      <c r="BY16" s="725">
        <f t="shared" si="41"/>
        <v>0.43304263541990268</v>
      </c>
      <c r="BZ16" s="725">
        <v>48.28445723435037</v>
      </c>
      <c r="CA16" s="725">
        <f t="shared" si="42"/>
        <v>0.2090922861058267</v>
      </c>
      <c r="CB16" s="725">
        <v>19.407857377296857</v>
      </c>
      <c r="CC16" s="725">
        <f t="shared" si="43"/>
        <v>8.4044297065182308E-2</v>
      </c>
      <c r="CD16" s="725">
        <f t="shared" si="44"/>
        <v>230.92414423128184</v>
      </c>
      <c r="CE16" s="725">
        <v>67.835100807547661</v>
      </c>
      <c r="CF16" s="725">
        <f t="shared" si="45"/>
        <v>0.29477083747131594</v>
      </c>
      <c r="CG16" s="725">
        <v>100</v>
      </c>
      <c r="CH16" s="725">
        <f t="shared" si="46"/>
        <v>0.43454028071337125</v>
      </c>
      <c r="CI16" s="725">
        <v>45.808965491224015</v>
      </c>
      <c r="CJ16" s="725">
        <f t="shared" si="47"/>
        <v>0.19905840723745619</v>
      </c>
      <c r="CK16" s="725">
        <v>16.484196691791855</v>
      </c>
      <c r="CL16" s="725">
        <f t="shared" si="48"/>
        <v>7.1630474577856582E-2</v>
      </c>
      <c r="CM16" s="725">
        <f t="shared" si="49"/>
        <v>230.12826299056354</v>
      </c>
      <c r="CN16" s="725">
        <v>67.714290431098462</v>
      </c>
      <c r="CO16" s="725">
        <f t="shared" si="50"/>
        <v>0.2956429796213908</v>
      </c>
      <c r="CP16" s="725">
        <v>100</v>
      </c>
      <c r="CQ16" s="725">
        <f t="shared" si="51"/>
        <v>0.43660352599015617</v>
      </c>
      <c r="CR16" s="725">
        <v>41.764193770183155</v>
      </c>
      <c r="CS16" s="725">
        <f t="shared" si="52"/>
        <v>0.18234394260198081</v>
      </c>
      <c r="CT16" s="725">
        <v>19.562267985073003</v>
      </c>
      <c r="CU16" s="725">
        <f t="shared" si="53"/>
        <v>8.5409551786472221E-2</v>
      </c>
      <c r="CV16" s="725">
        <f t="shared" si="54"/>
        <v>229.04075218635461</v>
      </c>
    </row>
    <row r="17" spans="1:100" hidden="1">
      <c r="A17" s="2">
        <v>1980</v>
      </c>
      <c r="B17" s="725">
        <v>67.862473413429868</v>
      </c>
      <c r="C17" s="725">
        <f t="shared" si="0"/>
        <v>0.29162722541574188</v>
      </c>
      <c r="D17" s="725">
        <v>100</v>
      </c>
      <c r="E17" s="725">
        <f t="shared" si="1"/>
        <v>0.429732679560762</v>
      </c>
      <c r="F17" s="725">
        <v>45.926446998716571</v>
      </c>
      <c r="G17" s="725">
        <f t="shared" si="2"/>
        <v>0.19736095131463788</v>
      </c>
      <c r="H17" s="725">
        <v>18.91388474154099</v>
      </c>
      <c r="I17" s="725">
        <f t="shared" si="4"/>
        <v>8.1279143708858193E-2</v>
      </c>
      <c r="J17" s="725">
        <f t="shared" si="3"/>
        <v>232.70280515368745</v>
      </c>
      <c r="K17" s="725">
        <v>62.389067653236353</v>
      </c>
      <c r="L17" s="725">
        <f t="shared" si="5"/>
        <v>0.27367606430533348</v>
      </c>
      <c r="M17" s="725">
        <v>100</v>
      </c>
      <c r="N17" s="725">
        <f t="shared" si="6"/>
        <v>0.43866028873271184</v>
      </c>
      <c r="O17" s="725">
        <v>50.431437131031494</v>
      </c>
      <c r="P17" s="725">
        <f t="shared" si="7"/>
        <v>0.22122268773103879</v>
      </c>
      <c r="Q17" s="725">
        <v>15.146335544269055</v>
      </c>
      <c r="R17" s="725">
        <f t="shared" si="8"/>
        <v>6.6440959230916002E-2</v>
      </c>
      <c r="S17" s="725">
        <f t="shared" si="9"/>
        <v>227.96684032853688</v>
      </c>
      <c r="T17" s="725">
        <v>62.99268598213925</v>
      </c>
      <c r="U17" s="725">
        <f t="shared" si="10"/>
        <v>0.27594764044527081</v>
      </c>
      <c r="V17" s="725">
        <v>100</v>
      </c>
      <c r="W17" s="725">
        <f t="shared" si="11"/>
        <v>0.43806298484162454</v>
      </c>
      <c r="X17" s="725">
        <v>48.042495701348493</v>
      </c>
      <c r="Y17" s="725">
        <f t="shared" si="12"/>
        <v>0.21045639066173635</v>
      </c>
      <c r="Z17" s="725">
        <v>17.242494039681578</v>
      </c>
      <c r="AA17" s="725">
        <f t="shared" si="13"/>
        <v>7.5532984051368324E-2</v>
      </c>
      <c r="AB17" s="725">
        <f t="shared" si="14"/>
        <v>228.27767572316932</v>
      </c>
      <c r="AC17" s="725">
        <v>65.547070986173836</v>
      </c>
      <c r="AD17" s="725">
        <f t="shared" si="15"/>
        <v>0.28296637669737473</v>
      </c>
      <c r="AE17" s="725">
        <v>100</v>
      </c>
      <c r="AF17" s="725">
        <f t="shared" si="16"/>
        <v>0.43169949845213101</v>
      </c>
      <c r="AG17" s="725">
        <v>47.76406400426059</v>
      </c>
      <c r="AH17" s="725">
        <f t="shared" si="17"/>
        <v>0.20619722474674781</v>
      </c>
      <c r="AI17" s="725">
        <v>18.331478351838189</v>
      </c>
      <c r="AJ17" s="725">
        <f t="shared" si="18"/>
        <v>7.9136900103746438E-2</v>
      </c>
      <c r="AK17" s="725">
        <f t="shared" si="19"/>
        <v>231.64261334227263</v>
      </c>
      <c r="AL17" s="725">
        <v>64.89148550237249</v>
      </c>
      <c r="AM17" s="725">
        <f t="shared" si="20"/>
        <v>0.28238514223789535</v>
      </c>
      <c r="AN17" s="725">
        <v>100</v>
      </c>
      <c r="AO17" s="725">
        <f t="shared" si="21"/>
        <v>0.43516516851439796</v>
      </c>
      <c r="AP17" s="725">
        <v>47.613240620412697</v>
      </c>
      <c r="AQ17" s="725">
        <f t="shared" si="22"/>
        <v>0.2071962387809847</v>
      </c>
      <c r="AR17" s="725">
        <v>17.293077643054065</v>
      </c>
      <c r="AS17" s="725">
        <f t="shared" si="23"/>
        <v>7.5253450466721911E-2</v>
      </c>
      <c r="AT17" s="725">
        <f t="shared" si="24"/>
        <v>229.79780376583926</v>
      </c>
      <c r="AU17" s="725">
        <v>69.573717909799214</v>
      </c>
      <c r="AV17" s="725">
        <f t="shared" si="25"/>
        <v>0.29423950143764493</v>
      </c>
      <c r="AW17" s="725">
        <v>100</v>
      </c>
      <c r="AX17" s="725">
        <f t="shared" si="26"/>
        <v>0.42291760491960478</v>
      </c>
      <c r="AY17" s="725">
        <v>47.811028772798487</v>
      </c>
      <c r="AZ17" s="725">
        <f t="shared" si="27"/>
        <v>0.20220125777334247</v>
      </c>
      <c r="BA17" s="725">
        <v>19.067930710696608</v>
      </c>
      <c r="BB17" s="725">
        <f t="shared" si="28"/>
        <v>8.0641635869407868E-2</v>
      </c>
      <c r="BC17" s="725">
        <f t="shared" si="29"/>
        <v>236.45267739329429</v>
      </c>
      <c r="BD17" s="725">
        <v>68.177442681596744</v>
      </c>
      <c r="BE17" s="725">
        <f t="shared" si="30"/>
        <v>0.29138717521218838</v>
      </c>
      <c r="BF17" s="725">
        <v>100</v>
      </c>
      <c r="BG17" s="725">
        <f t="shared" si="31"/>
        <v>0.42739528464426108</v>
      </c>
      <c r="BH17" s="725">
        <v>45.977435026912843</v>
      </c>
      <c r="BI17" s="725">
        <f t="shared" si="32"/>
        <v>0.19650538930540434</v>
      </c>
      <c r="BJ17" s="725">
        <v>19.820562809591067</v>
      </c>
      <c r="BK17" s="725">
        <f t="shared" si="33"/>
        <v>8.4712150838146288E-2</v>
      </c>
      <c r="BL17" s="725">
        <f t="shared" si="34"/>
        <v>233.97544051810064</v>
      </c>
      <c r="BM17" s="725">
        <v>64.980979955241267</v>
      </c>
      <c r="BN17" s="725">
        <f t="shared" si="35"/>
        <v>0.28499710357157487</v>
      </c>
      <c r="BO17" s="725">
        <v>100</v>
      </c>
      <c r="BP17" s="725">
        <f t="shared" si="36"/>
        <v>0.43858541956104713</v>
      </c>
      <c r="BQ17" s="725">
        <v>43.830722893332023</v>
      </c>
      <c r="BR17" s="725">
        <f t="shared" si="37"/>
        <v>0.19223515989836021</v>
      </c>
      <c r="BS17" s="725">
        <v>19.194052792103903</v>
      </c>
      <c r="BT17" s="725">
        <f t="shared" si="38"/>
        <v>8.418231696901779E-2</v>
      </c>
      <c r="BU17" s="725">
        <f t="shared" si="39"/>
        <v>228.00575564067719</v>
      </c>
      <c r="BV17" s="725">
        <v>63.473853493573444</v>
      </c>
      <c r="BW17" s="725">
        <f t="shared" si="40"/>
        <v>0.27942020383575822</v>
      </c>
      <c r="BX17" s="725">
        <v>100</v>
      </c>
      <c r="BY17" s="725">
        <f t="shared" si="41"/>
        <v>0.44021307744305888</v>
      </c>
      <c r="BZ17" s="725">
        <v>44.549247476392708</v>
      </c>
      <c r="CA17" s="725">
        <f t="shared" si="42"/>
        <v>0.19611161329355259</v>
      </c>
      <c r="CB17" s="725">
        <v>19.139618912963492</v>
      </c>
      <c r="CC17" s="725">
        <f t="shared" si="43"/>
        <v>8.4255105427630317E-2</v>
      </c>
      <c r="CD17" s="725">
        <f t="shared" si="44"/>
        <v>227.16271988292965</v>
      </c>
      <c r="CE17" s="725">
        <v>68.37422051465316</v>
      </c>
      <c r="CF17" s="725">
        <f t="shared" si="45"/>
        <v>0.2977883393006967</v>
      </c>
      <c r="CG17" s="725">
        <v>100</v>
      </c>
      <c r="CH17" s="725">
        <f t="shared" si="46"/>
        <v>0.43552721633861724</v>
      </c>
      <c r="CI17" s="725">
        <v>45.088314574369434</v>
      </c>
      <c r="CJ17" s="725">
        <f t="shared" si="47"/>
        <v>0.19637188135975026</v>
      </c>
      <c r="CK17" s="725">
        <v>16.144240902334019</v>
      </c>
      <c r="CL17" s="725">
        <f t="shared" si="48"/>
        <v>7.0312563000935815E-2</v>
      </c>
      <c r="CM17" s="725">
        <f t="shared" si="49"/>
        <v>229.60677599135661</v>
      </c>
      <c r="CN17" s="725">
        <v>67.950089243410346</v>
      </c>
      <c r="CO17" s="725">
        <f t="shared" si="50"/>
        <v>0.29790113910458943</v>
      </c>
      <c r="CP17" s="725">
        <v>100</v>
      </c>
      <c r="CQ17" s="725">
        <f t="shared" si="51"/>
        <v>0.43841169661668872</v>
      </c>
      <c r="CR17" s="725">
        <v>40.820783194014133</v>
      </c>
      <c r="CS17" s="725">
        <f t="shared" si="52"/>
        <v>0.1789630881730975</v>
      </c>
      <c r="CT17" s="725">
        <v>19.32523168507073</v>
      </c>
      <c r="CU17" s="725">
        <f t="shared" si="53"/>
        <v>8.4724076105624491E-2</v>
      </c>
      <c r="CV17" s="725">
        <f t="shared" si="54"/>
        <v>228.09610412249518</v>
      </c>
    </row>
    <row r="18" spans="1:100" hidden="1">
      <c r="A18" s="2"/>
      <c r="B18" s="725"/>
      <c r="C18" s="725"/>
      <c r="D18" s="725"/>
      <c r="E18" s="725"/>
      <c r="F18" s="725"/>
      <c r="G18" s="725"/>
      <c r="H18" s="725"/>
      <c r="I18" s="725"/>
      <c r="J18" s="725"/>
      <c r="K18" s="725"/>
      <c r="L18" s="725"/>
      <c r="M18" s="725"/>
      <c r="N18" s="725"/>
      <c r="O18" s="725"/>
      <c r="P18" s="725"/>
      <c r="Q18" s="725"/>
      <c r="R18" s="725"/>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c r="CK18" s="725"/>
      <c r="CL18" s="725"/>
      <c r="CM18" s="725"/>
      <c r="CN18" s="725"/>
      <c r="CO18" s="725"/>
      <c r="CP18" s="725"/>
      <c r="CQ18" s="725"/>
      <c r="CR18" s="725"/>
      <c r="CS18" s="725"/>
      <c r="CT18" s="725"/>
      <c r="CU18" s="725"/>
      <c r="CV18" s="725"/>
    </row>
    <row r="19" spans="1:100">
      <c r="A19" s="2">
        <v>1981</v>
      </c>
      <c r="B19" s="725">
        <v>68.131836873736276</v>
      </c>
      <c r="C19" s="725">
        <f t="shared" ref="C19:C46" si="55">B19/J19</f>
        <v>0.2932903326236963</v>
      </c>
      <c r="D19" s="725">
        <v>100</v>
      </c>
      <c r="E19" s="725">
        <f t="shared" ref="E19:E46" si="56">D19/J19</f>
        <v>0.43047471796075265</v>
      </c>
      <c r="F19" s="725">
        <v>45.270148652400152</v>
      </c>
      <c r="G19" s="725">
        <f t="shared" ref="G19:G46" si="57">F19/J19</f>
        <v>0.19487654473183302</v>
      </c>
      <c r="H19" s="725">
        <v>18.899694056164172</v>
      </c>
      <c r="I19" s="725">
        <f t="shared" si="4"/>
        <v>8.1358404683717855E-2</v>
      </c>
      <c r="J19" s="725">
        <f t="shared" ref="J19:J46" si="58">B19+D19+F19+H19</f>
        <v>232.30167958230064</v>
      </c>
      <c r="K19" s="725">
        <v>63.124932644072153</v>
      </c>
      <c r="L19" s="725">
        <f t="shared" si="5"/>
        <v>0.27677691365150131</v>
      </c>
      <c r="M19" s="725">
        <v>100</v>
      </c>
      <c r="N19" s="725">
        <f t="shared" si="6"/>
        <v>0.43845894491816534</v>
      </c>
      <c r="O19" s="725">
        <v>49.756656834722762</v>
      </c>
      <c r="P19" s="725">
        <f t="shared" si="7"/>
        <v>0.21816251258407762</v>
      </c>
      <c r="Q19" s="725">
        <v>15.18993502543012</v>
      </c>
      <c r="R19" s="725">
        <f t="shared" si="8"/>
        <v>6.6601628846255756E-2</v>
      </c>
      <c r="S19" s="725">
        <f t="shared" si="9"/>
        <v>228.07152450422504</v>
      </c>
      <c r="T19" s="725">
        <v>63.182815193725673</v>
      </c>
      <c r="U19" s="725">
        <f t="shared" si="10"/>
        <v>0.27675217861579327</v>
      </c>
      <c r="V19" s="725">
        <v>100</v>
      </c>
      <c r="W19" s="725">
        <f t="shared" si="11"/>
        <v>0.43801811895725085</v>
      </c>
      <c r="X19" s="725">
        <v>47.69952507293511</v>
      </c>
      <c r="Y19" s="725">
        <f t="shared" si="12"/>
        <v>0.20893256247601261</v>
      </c>
      <c r="Z19" s="725">
        <v>17.418717776464778</v>
      </c>
      <c r="AA19" s="725">
        <f t="shared" si="13"/>
        <v>7.6297139950943296E-2</v>
      </c>
      <c r="AB19" s="725">
        <f t="shared" si="14"/>
        <v>228.30105804312555</v>
      </c>
      <c r="AC19" s="725">
        <v>65.848414556114307</v>
      </c>
      <c r="AD19" s="725">
        <f t="shared" si="15"/>
        <v>0.28431517254963307</v>
      </c>
      <c r="AE19" s="725">
        <v>100</v>
      </c>
      <c r="AF19" s="725">
        <f t="shared" si="16"/>
        <v>0.43177223698734168</v>
      </c>
      <c r="AG19" s="725">
        <v>47.455922931853834</v>
      </c>
      <c r="AH19" s="725">
        <f t="shared" si="17"/>
        <v>0.20490150002585417</v>
      </c>
      <c r="AI19" s="725">
        <v>18.299252167870943</v>
      </c>
      <c r="AJ19" s="725">
        <f t="shared" si="18"/>
        <v>7.9011090437170986E-2</v>
      </c>
      <c r="AK19" s="725">
        <f t="shared" si="19"/>
        <v>231.6035896558391</v>
      </c>
      <c r="AL19" s="725">
        <v>65.231343727262697</v>
      </c>
      <c r="AM19" s="725">
        <f t="shared" si="20"/>
        <v>0.28395837404949464</v>
      </c>
      <c r="AN19" s="725">
        <v>100</v>
      </c>
      <c r="AO19" s="725">
        <f t="shared" si="21"/>
        <v>0.43530971128963186</v>
      </c>
      <c r="AP19" s="725">
        <v>47.148932069586245</v>
      </c>
      <c r="AQ19" s="725">
        <f t="shared" si="22"/>
        <v>0.20524388006826053</v>
      </c>
      <c r="AR19" s="725">
        <v>17.341224566062415</v>
      </c>
      <c r="AS19" s="725">
        <f t="shared" si="23"/>
        <v>7.5488034592613024E-2</v>
      </c>
      <c r="AT19" s="725">
        <f t="shared" si="24"/>
        <v>229.72150036291134</v>
      </c>
      <c r="AU19" s="725">
        <v>69.747664920324041</v>
      </c>
      <c r="AV19" s="725">
        <f t="shared" si="25"/>
        <v>0.29572740632989319</v>
      </c>
      <c r="AW19" s="725">
        <v>100</v>
      </c>
      <c r="AX19" s="725">
        <f t="shared" si="26"/>
        <v>0.4239961390359322</v>
      </c>
      <c r="AY19" s="725">
        <v>46.984485994451276</v>
      </c>
      <c r="AZ19" s="725">
        <f t="shared" si="27"/>
        <v>0.1992124065623517</v>
      </c>
      <c r="BA19" s="725">
        <v>19.119053361227163</v>
      </c>
      <c r="BB19" s="725">
        <f t="shared" si="28"/>
        <v>8.1064048071822783E-2</v>
      </c>
      <c r="BC19" s="725">
        <f t="shared" si="29"/>
        <v>235.85120427600251</v>
      </c>
      <c r="BD19" s="725">
        <v>68.467784636131881</v>
      </c>
      <c r="BE19" s="725">
        <f t="shared" si="30"/>
        <v>0.29253062495724075</v>
      </c>
      <c r="BF19" s="725">
        <v>100</v>
      </c>
      <c r="BG19" s="725">
        <f t="shared" si="31"/>
        <v>0.42725294313504958</v>
      </c>
      <c r="BH19" s="725">
        <v>45.665496734309848</v>
      </c>
      <c r="BI19" s="725">
        <f t="shared" si="32"/>
        <v>0.19510717879457878</v>
      </c>
      <c r="BJ19" s="725">
        <v>19.920109265632096</v>
      </c>
      <c r="BK19" s="725">
        <f t="shared" si="33"/>
        <v>8.5109253113130848E-2</v>
      </c>
      <c r="BL19" s="725">
        <f t="shared" si="34"/>
        <v>234.05339063607383</v>
      </c>
      <c r="BM19" s="725">
        <v>65.123195998242466</v>
      </c>
      <c r="BN19" s="725">
        <f t="shared" si="35"/>
        <v>0.28568106368116275</v>
      </c>
      <c r="BO19" s="725">
        <v>100</v>
      </c>
      <c r="BP19" s="725">
        <f t="shared" si="36"/>
        <v>0.43867789241927357</v>
      </c>
      <c r="BQ19" s="725">
        <v>43.693850511690385</v>
      </c>
      <c r="BR19" s="725">
        <f t="shared" si="37"/>
        <v>0.19167526254151138</v>
      </c>
      <c r="BS19" s="725">
        <v>19.140645746925532</v>
      </c>
      <c r="BT19" s="725">
        <f t="shared" si="38"/>
        <v>8.3965781358052244E-2</v>
      </c>
      <c r="BU19" s="725">
        <f t="shared" si="39"/>
        <v>227.95769225685839</v>
      </c>
      <c r="BV19" s="725">
        <v>63.521832747635429</v>
      </c>
      <c r="BW19" s="725">
        <f t="shared" si="40"/>
        <v>0.27996589888288281</v>
      </c>
      <c r="BX19" s="725">
        <v>100</v>
      </c>
      <c r="BY19" s="725">
        <f t="shared" si="41"/>
        <v>0.44073964300613544</v>
      </c>
      <c r="BZ19" s="725">
        <v>44.488596968056527</v>
      </c>
      <c r="CA19" s="725">
        <f t="shared" si="42"/>
        <v>0.19607888345545071</v>
      </c>
      <c r="CB19" s="725">
        <v>18.880891695592865</v>
      </c>
      <c r="CC19" s="725">
        <f t="shared" si="43"/>
        <v>8.321557465553106E-2</v>
      </c>
      <c r="CD19" s="725">
        <f t="shared" si="44"/>
        <v>226.89132141128482</v>
      </c>
      <c r="CE19" s="725">
        <v>68.86326417307987</v>
      </c>
      <c r="CF19" s="725">
        <f t="shared" si="45"/>
        <v>0.30185824916684456</v>
      </c>
      <c r="CG19" s="725">
        <v>100</v>
      </c>
      <c r="CH19" s="725">
        <f t="shared" si="46"/>
        <v>0.43834438113209201</v>
      </c>
      <c r="CI19" s="725">
        <v>43.437814132789072</v>
      </c>
      <c r="CJ19" s="725">
        <f t="shared" si="47"/>
        <v>0.19040721753768264</v>
      </c>
      <c r="CK19" s="725">
        <v>15.830053982708773</v>
      </c>
      <c r="CL19" s="725">
        <f t="shared" si="48"/>
        <v>6.9390152163380847E-2</v>
      </c>
      <c r="CM19" s="725">
        <f t="shared" si="49"/>
        <v>228.1311322885777</v>
      </c>
      <c r="CN19" s="725">
        <v>68.15872874358142</v>
      </c>
      <c r="CO19" s="725">
        <f t="shared" si="50"/>
        <v>0.29993661486411016</v>
      </c>
      <c r="CP19" s="725">
        <v>100</v>
      </c>
      <c r="CQ19" s="725">
        <f t="shared" si="51"/>
        <v>0.44005605795920233</v>
      </c>
      <c r="CR19" s="725">
        <v>39.89446221094861</v>
      </c>
      <c r="CS19" s="725">
        <f t="shared" si="52"/>
        <v>0.1755579977495241</v>
      </c>
      <c r="CT19" s="725">
        <v>19.190584449355011</v>
      </c>
      <c r="CU19" s="725">
        <f t="shared" si="53"/>
        <v>8.4449329427163364E-2</v>
      </c>
      <c r="CV19" s="725">
        <f t="shared" si="54"/>
        <v>227.24377540388505</v>
      </c>
    </row>
    <row r="20" spans="1:100">
      <c r="A20" s="2">
        <v>1982</v>
      </c>
      <c r="B20" s="725">
        <v>68.280441942335173</v>
      </c>
      <c r="C20" s="725">
        <f t="shared" si="55"/>
        <v>0.2945424226999977</v>
      </c>
      <c r="D20" s="725">
        <v>100</v>
      </c>
      <c r="E20" s="725">
        <f t="shared" si="56"/>
        <v>0.43137158214170229</v>
      </c>
      <c r="F20" s="725">
        <v>44.641456670539121</v>
      </c>
      <c r="G20" s="725">
        <f t="shared" si="57"/>
        <v>0.1925705579308071</v>
      </c>
      <c r="H20" s="725">
        <v>18.8968028034623</v>
      </c>
      <c r="I20" s="725">
        <f t="shared" si="4"/>
        <v>8.1515437227492868E-2</v>
      </c>
      <c r="J20" s="725">
        <f t="shared" si="58"/>
        <v>231.81870141633661</v>
      </c>
      <c r="K20" s="725">
        <v>63.563467789018723</v>
      </c>
      <c r="L20" s="725">
        <f t="shared" si="5"/>
        <v>0.27855859854644321</v>
      </c>
      <c r="M20" s="725">
        <v>100</v>
      </c>
      <c r="N20" s="725">
        <f t="shared" si="6"/>
        <v>0.43823694369703226</v>
      </c>
      <c r="O20" s="725">
        <v>49.298084506820729</v>
      </c>
      <c r="P20" s="725">
        <f t="shared" si="7"/>
        <v>0.21604241884387132</v>
      </c>
      <c r="Q20" s="725">
        <v>15.32550823900522</v>
      </c>
      <c r="R20" s="725">
        <f t="shared" si="8"/>
        <v>6.7162038912653349E-2</v>
      </c>
      <c r="S20" s="725">
        <f t="shared" si="9"/>
        <v>228.18706053484465</v>
      </c>
      <c r="T20" s="725">
        <v>63.203547269961483</v>
      </c>
      <c r="U20" s="725">
        <f t="shared" si="10"/>
        <v>0.27715326507313148</v>
      </c>
      <c r="V20" s="725">
        <v>100</v>
      </c>
      <c r="W20" s="725">
        <f t="shared" si="11"/>
        <v>0.43850903476877012</v>
      </c>
      <c r="X20" s="725">
        <v>47.316760907647918</v>
      </c>
      <c r="Y20" s="725">
        <f t="shared" si="12"/>
        <v>0.20748827153997365</v>
      </c>
      <c r="Z20" s="725">
        <v>17.525164255429328</v>
      </c>
      <c r="AA20" s="725">
        <f t="shared" si="13"/>
        <v>7.684942861812466E-2</v>
      </c>
      <c r="AB20" s="725">
        <f t="shared" si="14"/>
        <v>228.04547243303875</v>
      </c>
      <c r="AC20" s="725">
        <v>66.043411350836635</v>
      </c>
      <c r="AD20" s="725">
        <f t="shared" si="15"/>
        <v>0.28560043237105065</v>
      </c>
      <c r="AE20" s="725">
        <v>100</v>
      </c>
      <c r="AF20" s="725">
        <f t="shared" si="16"/>
        <v>0.43244348910730923</v>
      </c>
      <c r="AG20" s="725">
        <v>46.948864160156084</v>
      </c>
      <c r="AH20" s="725">
        <f t="shared" si="17"/>
        <v>0.20302730627043</v>
      </c>
      <c r="AI20" s="725">
        <v>18.251811910532478</v>
      </c>
      <c r="AJ20" s="725">
        <f t="shared" si="18"/>
        <v>7.8928772251210089E-2</v>
      </c>
      <c r="AK20" s="725">
        <f t="shared" si="19"/>
        <v>231.24408742152519</v>
      </c>
      <c r="AL20" s="725">
        <v>65.489068593568234</v>
      </c>
      <c r="AM20" s="725">
        <f t="shared" si="20"/>
        <v>0.28543968386886798</v>
      </c>
      <c r="AN20" s="725">
        <v>100</v>
      </c>
      <c r="AO20" s="725">
        <f t="shared" si="21"/>
        <v>0.43585851806861914</v>
      </c>
      <c r="AP20" s="725">
        <v>46.570675681571373</v>
      </c>
      <c r="AQ20" s="725">
        <f t="shared" si="22"/>
        <v>0.20298225688023977</v>
      </c>
      <c r="AR20" s="725">
        <v>17.372504618655267</v>
      </c>
      <c r="AS20" s="725">
        <f t="shared" si="23"/>
        <v>7.5719541182273253E-2</v>
      </c>
      <c r="AT20" s="725">
        <f t="shared" si="24"/>
        <v>229.43224889379485</v>
      </c>
      <c r="AU20" s="725">
        <v>69.841889022496474</v>
      </c>
      <c r="AV20" s="725">
        <f t="shared" si="25"/>
        <v>0.29690091531184037</v>
      </c>
      <c r="AW20" s="725">
        <v>100</v>
      </c>
      <c r="AX20" s="725">
        <f t="shared" si="26"/>
        <v>0.42510435995825779</v>
      </c>
      <c r="AY20" s="725">
        <v>46.217550871520068</v>
      </c>
      <c r="AZ20" s="725">
        <f t="shared" si="27"/>
        <v>0.19647282382075759</v>
      </c>
      <c r="BA20" s="725">
        <v>19.176914797380373</v>
      </c>
      <c r="BB20" s="725">
        <f t="shared" si="28"/>
        <v>8.1521900909144268E-2</v>
      </c>
      <c r="BC20" s="725">
        <f t="shared" si="29"/>
        <v>235.23635469139691</v>
      </c>
      <c r="BD20" s="725">
        <v>68.659341492113256</v>
      </c>
      <c r="BE20" s="725">
        <f t="shared" si="30"/>
        <v>0.29373717432740698</v>
      </c>
      <c r="BF20" s="725">
        <v>100</v>
      </c>
      <c r="BG20" s="725">
        <f t="shared" si="31"/>
        <v>0.427818222464525</v>
      </c>
      <c r="BH20" s="725">
        <v>45.125717383941925</v>
      </c>
      <c r="BI20" s="725">
        <f t="shared" si="32"/>
        <v>0.19305604198634549</v>
      </c>
      <c r="BJ20" s="725">
        <v>19.959075312366597</v>
      </c>
      <c r="BK20" s="725">
        <f t="shared" si="33"/>
        <v>8.5388561221722614E-2</v>
      </c>
      <c r="BL20" s="725">
        <f t="shared" si="34"/>
        <v>233.74413418842175</v>
      </c>
      <c r="BM20" s="725">
        <v>65.230228161618939</v>
      </c>
      <c r="BN20" s="725">
        <f t="shared" si="35"/>
        <v>0.28688221358121335</v>
      </c>
      <c r="BO20" s="725">
        <v>100</v>
      </c>
      <c r="BP20" s="725">
        <f t="shared" si="36"/>
        <v>0.43979949429337278</v>
      </c>
      <c r="BQ20" s="725">
        <v>43.200317973745868</v>
      </c>
      <c r="BR20" s="725">
        <f t="shared" si="37"/>
        <v>0.18999477998166336</v>
      </c>
      <c r="BS20" s="725">
        <v>18.945795351044371</v>
      </c>
      <c r="BT20" s="725">
        <f t="shared" si="38"/>
        <v>8.3323512143750472E-2</v>
      </c>
      <c r="BU20" s="725">
        <f t="shared" si="39"/>
        <v>227.37634148640919</v>
      </c>
      <c r="BV20" s="725">
        <v>63.447336359268668</v>
      </c>
      <c r="BW20" s="725">
        <f t="shared" si="40"/>
        <v>0.28032779531096946</v>
      </c>
      <c r="BX20" s="725">
        <v>100</v>
      </c>
      <c r="BY20" s="725">
        <f t="shared" si="41"/>
        <v>0.44182752404864029</v>
      </c>
      <c r="BZ20" s="725">
        <v>44.289406348628098</v>
      </c>
      <c r="CA20" s="725">
        <f t="shared" si="42"/>
        <v>0.19568278748598483</v>
      </c>
      <c r="CB20" s="725">
        <v>18.595920055302042</v>
      </c>
      <c r="CC20" s="725">
        <f t="shared" si="43"/>
        <v>8.2161893154405544E-2</v>
      </c>
      <c r="CD20" s="725">
        <f t="shared" si="44"/>
        <v>226.33266276319878</v>
      </c>
      <c r="CE20" s="725">
        <v>69.109053108096077</v>
      </c>
      <c r="CF20" s="725">
        <f t="shared" si="45"/>
        <v>0.30408902115399244</v>
      </c>
      <c r="CG20" s="725">
        <v>100</v>
      </c>
      <c r="CH20" s="725">
        <f t="shared" si="46"/>
        <v>0.4400132941748679</v>
      </c>
      <c r="CI20" s="725">
        <v>42.437896418969977</v>
      </c>
      <c r="CJ20" s="725">
        <f t="shared" si="47"/>
        <v>0.18673238601162809</v>
      </c>
      <c r="CK20" s="725">
        <v>15.71891112726794</v>
      </c>
      <c r="CL20" s="725">
        <f t="shared" si="48"/>
        <v>6.9165298659511529E-2</v>
      </c>
      <c r="CM20" s="725">
        <f t="shared" si="49"/>
        <v>227.26586065433401</v>
      </c>
      <c r="CN20" s="725">
        <v>68.184638831807817</v>
      </c>
      <c r="CO20" s="725">
        <f t="shared" si="50"/>
        <v>0.30061135919746246</v>
      </c>
      <c r="CP20" s="725">
        <v>100</v>
      </c>
      <c r="CQ20" s="725">
        <f t="shared" si="51"/>
        <v>0.4408784212218026</v>
      </c>
      <c r="CR20" s="725">
        <v>39.441085381536794</v>
      </c>
      <c r="CS20" s="725">
        <f t="shared" si="52"/>
        <v>0.17388723454286259</v>
      </c>
      <c r="CT20" s="725">
        <v>19.19417711652963</v>
      </c>
      <c r="CU20" s="725">
        <f t="shared" si="53"/>
        <v>8.4622985037872342E-2</v>
      </c>
      <c r="CV20" s="725">
        <f t="shared" si="54"/>
        <v>226.81990132987426</v>
      </c>
    </row>
    <row r="21" spans="1:100">
      <c r="A21" s="2">
        <v>1983</v>
      </c>
      <c r="B21" s="725">
        <v>68.375666741870987</v>
      </c>
      <c r="C21" s="725">
        <f t="shared" si="55"/>
        <v>0.29546153610861459</v>
      </c>
      <c r="D21" s="725">
        <v>100</v>
      </c>
      <c r="E21" s="725">
        <f t="shared" si="56"/>
        <v>0.4321150347594106</v>
      </c>
      <c r="F21" s="725">
        <v>44.106666294844707</v>
      </c>
      <c r="G21" s="725">
        <f t="shared" si="57"/>
        <v>0.19059153639118545</v>
      </c>
      <c r="H21" s="725">
        <v>18.937525001033844</v>
      </c>
      <c r="I21" s="725">
        <f t="shared" si="4"/>
        <v>8.1831892740789461E-2</v>
      </c>
      <c r="J21" s="725">
        <f t="shared" si="58"/>
        <v>231.41985803774952</v>
      </c>
      <c r="K21" s="725">
        <v>64.221187781008496</v>
      </c>
      <c r="L21" s="725">
        <f t="shared" si="5"/>
        <v>0.28175272672593177</v>
      </c>
      <c r="M21" s="725">
        <v>100</v>
      </c>
      <c r="N21" s="725">
        <f t="shared" si="6"/>
        <v>0.43872238502765865</v>
      </c>
      <c r="O21" s="725">
        <v>48.405287105597345</v>
      </c>
      <c r="P21" s="725">
        <f t="shared" si="7"/>
        <v>0.2123648300691624</v>
      </c>
      <c r="Q21" s="725">
        <v>15.30809926031314</v>
      </c>
      <c r="R21" s="725">
        <f t="shared" si="8"/>
        <v>6.7160058177247184E-2</v>
      </c>
      <c r="S21" s="725">
        <f t="shared" si="9"/>
        <v>227.93457414691898</v>
      </c>
      <c r="T21" s="725">
        <v>63.615289923422495</v>
      </c>
      <c r="U21" s="725">
        <f t="shared" si="10"/>
        <v>0.27974260153294089</v>
      </c>
      <c r="V21" s="725">
        <v>100</v>
      </c>
      <c r="W21" s="725">
        <f t="shared" si="11"/>
        <v>0.43974114064352088</v>
      </c>
      <c r="X21" s="725">
        <v>46.388624924929239</v>
      </c>
      <c r="Y21" s="725">
        <f t="shared" si="12"/>
        <v>0.20398986837372846</v>
      </c>
      <c r="Z21" s="725">
        <v>17.40259947882528</v>
      </c>
      <c r="AA21" s="725">
        <f t="shared" si="13"/>
        <v>7.6526389449809704E-2</v>
      </c>
      <c r="AB21" s="725">
        <f t="shared" si="14"/>
        <v>227.40651432717704</v>
      </c>
      <c r="AC21" s="725">
        <v>66.330104377689906</v>
      </c>
      <c r="AD21" s="725">
        <f t="shared" si="15"/>
        <v>0.28749131636919967</v>
      </c>
      <c r="AE21" s="725">
        <v>100</v>
      </c>
      <c r="AF21" s="725">
        <f t="shared" si="16"/>
        <v>0.43342509267315005</v>
      </c>
      <c r="AG21" s="725">
        <v>46.241705073697936</v>
      </c>
      <c r="AH21" s="725">
        <f t="shared" si="17"/>
        <v>0.20042315306932001</v>
      </c>
      <c r="AI21" s="725">
        <v>18.148565742511998</v>
      </c>
      <c r="AJ21" s="725">
        <f t="shared" si="18"/>
        <v>7.8660437888330201E-2</v>
      </c>
      <c r="AK21" s="725">
        <f t="shared" si="19"/>
        <v>230.72037519389986</v>
      </c>
      <c r="AL21" s="725">
        <v>65.830071540284436</v>
      </c>
      <c r="AM21" s="725">
        <f t="shared" si="20"/>
        <v>0.28772197174003772</v>
      </c>
      <c r="AN21" s="725">
        <v>100</v>
      </c>
      <c r="AO21" s="725">
        <f t="shared" si="21"/>
        <v>0.43706768807621216</v>
      </c>
      <c r="AP21" s="725">
        <v>45.660819754811754</v>
      </c>
      <c r="AQ21" s="725">
        <f t="shared" si="22"/>
        <v>0.19956868925900212</v>
      </c>
      <c r="AR21" s="725">
        <v>17.306621603095511</v>
      </c>
      <c r="AS21" s="725">
        <f t="shared" si="23"/>
        <v>7.5641650924747839E-2</v>
      </c>
      <c r="AT21" s="725">
        <f t="shared" si="24"/>
        <v>228.79751289819174</v>
      </c>
      <c r="AU21" s="725">
        <v>69.896846512845116</v>
      </c>
      <c r="AV21" s="725">
        <f t="shared" si="25"/>
        <v>0.29785072559838893</v>
      </c>
      <c r="AW21" s="725">
        <v>100</v>
      </c>
      <c r="AX21" s="725">
        <f t="shared" si="26"/>
        <v>0.42612898930090098</v>
      </c>
      <c r="AY21" s="725">
        <v>45.516837059444889</v>
      </c>
      <c r="AZ21" s="725">
        <f t="shared" si="27"/>
        <v>0.19396043772315044</v>
      </c>
      <c r="BA21" s="725">
        <v>19.257044096480133</v>
      </c>
      <c r="BB21" s="725">
        <f t="shared" si="28"/>
        <v>8.20598473775596E-2</v>
      </c>
      <c r="BC21" s="725">
        <f t="shared" si="29"/>
        <v>234.67072766877016</v>
      </c>
      <c r="BD21" s="725">
        <v>68.82531060126351</v>
      </c>
      <c r="BE21" s="725">
        <f t="shared" si="30"/>
        <v>0.29488985327510192</v>
      </c>
      <c r="BF21" s="725">
        <v>100</v>
      </c>
      <c r="BG21" s="725">
        <f t="shared" si="31"/>
        <v>0.4284613475753617</v>
      </c>
      <c r="BH21" s="725">
        <v>44.558079046883357</v>
      </c>
      <c r="BI21" s="725">
        <f t="shared" si="32"/>
        <v>0.19091414593797132</v>
      </c>
      <c r="BJ21" s="725">
        <v>20.009892070015766</v>
      </c>
      <c r="BK21" s="725">
        <f t="shared" si="33"/>
        <v>8.5734653211564996E-2</v>
      </c>
      <c r="BL21" s="725">
        <f t="shared" si="34"/>
        <v>233.39328171816265</v>
      </c>
      <c r="BM21" s="725">
        <v>65.376050245717863</v>
      </c>
      <c r="BN21" s="725">
        <f t="shared" si="35"/>
        <v>0.28839488722508655</v>
      </c>
      <c r="BO21" s="725">
        <v>100</v>
      </c>
      <c r="BP21" s="725">
        <f t="shared" si="36"/>
        <v>0.44113232007921199</v>
      </c>
      <c r="BQ21" s="725">
        <v>42.557782082200902</v>
      </c>
      <c r="BR21" s="725">
        <f t="shared" si="37"/>
        <v>0.18773613147346802</v>
      </c>
      <c r="BS21" s="725">
        <v>18.755520159433527</v>
      </c>
      <c r="BT21" s="725">
        <f t="shared" si="38"/>
        <v>8.2736661222233429E-2</v>
      </c>
      <c r="BU21" s="725">
        <f t="shared" si="39"/>
        <v>226.68935248735229</v>
      </c>
      <c r="BV21" s="725">
        <v>63.447953506070917</v>
      </c>
      <c r="BW21" s="725">
        <f t="shared" si="40"/>
        <v>0.28112836194606916</v>
      </c>
      <c r="BX21" s="725">
        <v>100</v>
      </c>
      <c r="BY21" s="725">
        <f t="shared" si="41"/>
        <v>0.44308499551395281</v>
      </c>
      <c r="BZ21" s="725">
        <v>43.954320861457006</v>
      </c>
      <c r="CA21" s="725">
        <f t="shared" si="42"/>
        <v>0.19475500061717518</v>
      </c>
      <c r="CB21" s="725">
        <v>18.288058215289105</v>
      </c>
      <c r="CC21" s="725">
        <f t="shared" si="43"/>
        <v>8.1031641922802808E-2</v>
      </c>
      <c r="CD21" s="725">
        <f t="shared" si="44"/>
        <v>225.69033258281704</v>
      </c>
      <c r="CE21" s="725">
        <v>68.971840171257611</v>
      </c>
      <c r="CF21" s="725">
        <f t="shared" si="45"/>
        <v>0.30356384399007069</v>
      </c>
      <c r="CG21" s="725">
        <v>100</v>
      </c>
      <c r="CH21" s="725">
        <f t="shared" si="46"/>
        <v>0.44012722182896569</v>
      </c>
      <c r="CI21" s="725">
        <v>42.396119018011525</v>
      </c>
      <c r="CJ21" s="725">
        <f t="shared" si="47"/>
        <v>0.18659686079727592</v>
      </c>
      <c r="CK21" s="725">
        <v>15.839073323844088</v>
      </c>
      <c r="CL21" s="725">
        <f t="shared" si="48"/>
        <v>6.9712073383687803E-2</v>
      </c>
      <c r="CM21" s="725">
        <f t="shared" si="49"/>
        <v>227.20703251311321</v>
      </c>
      <c r="CN21" s="725">
        <v>68.149050284402207</v>
      </c>
      <c r="CO21" s="725">
        <f t="shared" si="50"/>
        <v>0.30061217715065797</v>
      </c>
      <c r="CP21" s="725">
        <v>100</v>
      </c>
      <c r="CQ21" s="725">
        <f t="shared" si="51"/>
        <v>0.4411098553774877</v>
      </c>
      <c r="CR21" s="725">
        <v>39.222573933523265</v>
      </c>
      <c r="CS21" s="725">
        <f t="shared" si="52"/>
        <v>0.17301463915349266</v>
      </c>
      <c r="CT21" s="725">
        <v>19.329273032314337</v>
      </c>
      <c r="CU21" s="725">
        <f t="shared" si="53"/>
        <v>8.5263328318361503E-2</v>
      </c>
      <c r="CV21" s="725">
        <f t="shared" si="54"/>
        <v>226.70089725023985</v>
      </c>
    </row>
    <row r="22" spans="1:100">
      <c r="A22" s="2">
        <v>1984</v>
      </c>
      <c r="B22" s="725">
        <v>68.439023420617744</v>
      </c>
      <c r="C22" s="725">
        <f t="shared" si="55"/>
        <v>0.29623679410115122</v>
      </c>
      <c r="D22" s="725">
        <v>100</v>
      </c>
      <c r="E22" s="725">
        <f t="shared" si="56"/>
        <v>0.43284778083479752</v>
      </c>
      <c r="F22" s="725">
        <v>43.599666771218274</v>
      </c>
      <c r="G22" s="725">
        <f t="shared" si="57"/>
        <v>0.18872019007058491</v>
      </c>
      <c r="H22" s="725">
        <v>18.989408894494812</v>
      </c>
      <c r="I22" s="725">
        <f t="shared" si="4"/>
        <v>8.2195234993466454E-2</v>
      </c>
      <c r="J22" s="725">
        <f t="shared" si="58"/>
        <v>231.0280990863308</v>
      </c>
      <c r="K22" s="725">
        <v>64.757225483350993</v>
      </c>
      <c r="L22" s="725">
        <f t="shared" si="5"/>
        <v>0.2839806949831537</v>
      </c>
      <c r="M22" s="725">
        <v>100</v>
      </c>
      <c r="N22" s="725">
        <f t="shared" si="6"/>
        <v>0.43853128799683494</v>
      </c>
      <c r="O22" s="725">
        <v>47.885641040647698</v>
      </c>
      <c r="P22" s="725">
        <f t="shared" si="7"/>
        <v>0.20999351842109334</v>
      </c>
      <c r="Q22" s="725">
        <v>15.391033763457543</v>
      </c>
      <c r="R22" s="725">
        <f t="shared" si="8"/>
        <v>6.7494498598918096E-2</v>
      </c>
      <c r="S22" s="725">
        <f t="shared" si="9"/>
        <v>228.03390028745622</v>
      </c>
      <c r="T22" s="725">
        <v>64.03530257658241</v>
      </c>
      <c r="U22" s="725">
        <f t="shared" si="10"/>
        <v>0.28211939144709225</v>
      </c>
      <c r="V22" s="725">
        <v>100</v>
      </c>
      <c r="W22" s="725">
        <f t="shared" si="11"/>
        <v>0.44056853031918491</v>
      </c>
      <c r="X22" s="725">
        <v>45.633394870205464</v>
      </c>
      <c r="Y22" s="725">
        <f t="shared" si="12"/>
        <v>0.20104637711441453</v>
      </c>
      <c r="Z22" s="725">
        <v>17.310746426680783</v>
      </c>
      <c r="AA22" s="725">
        <f t="shared" si="13"/>
        <v>7.6265701119308346E-2</v>
      </c>
      <c r="AB22" s="725">
        <f t="shared" si="14"/>
        <v>226.97944387346865</v>
      </c>
      <c r="AC22" s="725">
        <v>66.580547961129199</v>
      </c>
      <c r="AD22" s="725">
        <f t="shared" si="15"/>
        <v>0.28914538444368543</v>
      </c>
      <c r="AE22" s="725">
        <v>100</v>
      </c>
      <c r="AF22" s="725">
        <f t="shared" si="16"/>
        <v>0.43427906993570131</v>
      </c>
      <c r="AG22" s="725">
        <v>45.611575446664091</v>
      </c>
      <c r="AH22" s="725">
        <f t="shared" si="17"/>
        <v>0.19808152563279349</v>
      </c>
      <c r="AI22" s="725">
        <v>18.074557449761873</v>
      </c>
      <c r="AJ22" s="725">
        <f t="shared" si="18"/>
        <v>7.8494019987819866E-2</v>
      </c>
      <c r="AK22" s="725">
        <f t="shared" si="19"/>
        <v>230.26668085755514</v>
      </c>
      <c r="AL22" s="725">
        <v>66.097700447474494</v>
      </c>
      <c r="AM22" s="725">
        <f t="shared" si="20"/>
        <v>0.28957917357274238</v>
      </c>
      <c r="AN22" s="725">
        <v>100</v>
      </c>
      <c r="AO22" s="725">
        <f t="shared" si="21"/>
        <v>0.43810778833805381</v>
      </c>
      <c r="AP22" s="725">
        <v>44.859881378755141</v>
      </c>
      <c r="AQ22" s="725">
        <f t="shared" si="22"/>
        <v>0.19653463415953859</v>
      </c>
      <c r="AR22" s="725">
        <v>17.296748870210191</v>
      </c>
      <c r="AS22" s="725">
        <f t="shared" si="23"/>
        <v>7.5778403929665172E-2</v>
      </c>
      <c r="AT22" s="725">
        <f t="shared" si="24"/>
        <v>228.25433069643984</v>
      </c>
      <c r="AU22" s="725">
        <v>69.923603801412099</v>
      </c>
      <c r="AV22" s="725">
        <f t="shared" si="25"/>
        <v>0.29872231972344598</v>
      </c>
      <c r="AW22" s="725">
        <v>100</v>
      </c>
      <c r="AX22" s="725">
        <f t="shared" si="26"/>
        <v>0.42721241967424639</v>
      </c>
      <c r="AY22" s="725">
        <v>44.781736465344409</v>
      </c>
      <c r="AZ22" s="725">
        <f t="shared" si="27"/>
        <v>0.1913131399257422</v>
      </c>
      <c r="BA22" s="725">
        <v>19.370251627905574</v>
      </c>
      <c r="BB22" s="725">
        <f t="shared" si="28"/>
        <v>8.275212067656551E-2</v>
      </c>
      <c r="BC22" s="725">
        <f t="shared" si="29"/>
        <v>234.07559189466207</v>
      </c>
      <c r="BD22" s="725">
        <v>68.952735559723905</v>
      </c>
      <c r="BE22" s="725">
        <f t="shared" si="30"/>
        <v>0.29600721719371442</v>
      </c>
      <c r="BF22" s="725">
        <v>100</v>
      </c>
      <c r="BG22" s="725">
        <f t="shared" si="31"/>
        <v>0.42929002713362352</v>
      </c>
      <c r="BH22" s="725">
        <v>43.953929442377763</v>
      </c>
      <c r="BI22" s="725">
        <f t="shared" si="32"/>
        <v>0.18868983562947722</v>
      </c>
      <c r="BJ22" s="725">
        <v>20.036086236965346</v>
      </c>
      <c r="BK22" s="725">
        <f t="shared" si="33"/>
        <v>8.601292004318474E-2</v>
      </c>
      <c r="BL22" s="725">
        <f t="shared" si="34"/>
        <v>232.94275123906704</v>
      </c>
      <c r="BM22" s="725">
        <v>65.476996855786012</v>
      </c>
      <c r="BN22" s="725">
        <f t="shared" si="35"/>
        <v>0.28956618606126439</v>
      </c>
      <c r="BO22" s="725">
        <v>100</v>
      </c>
      <c r="BP22" s="725">
        <f t="shared" si="36"/>
        <v>0.44224109224043656</v>
      </c>
      <c r="BQ22" s="725">
        <v>42.068607134043617</v>
      </c>
      <c r="BR22" s="725">
        <f t="shared" si="37"/>
        <v>0.18604466767993272</v>
      </c>
      <c r="BS22" s="725">
        <v>18.575400490758621</v>
      </c>
      <c r="BT22" s="725">
        <f t="shared" si="38"/>
        <v>8.2148054018366334E-2</v>
      </c>
      <c r="BU22" s="725">
        <f t="shared" si="39"/>
        <v>226.12100448058825</v>
      </c>
      <c r="BV22" s="725">
        <v>63.455990695978279</v>
      </c>
      <c r="BW22" s="725">
        <f t="shared" si="40"/>
        <v>0.28188492775673524</v>
      </c>
      <c r="BX22" s="725">
        <v>100</v>
      </c>
      <c r="BY22" s="725">
        <f t="shared" si="41"/>
        <v>0.44422114392203566</v>
      </c>
      <c r="BZ22" s="725">
        <v>43.670289431377689</v>
      </c>
      <c r="CA22" s="725">
        <f t="shared" si="42"/>
        <v>0.1939926592661298</v>
      </c>
      <c r="CB22" s="725">
        <v>17.986822587878159</v>
      </c>
      <c r="CC22" s="725">
        <f t="shared" si="43"/>
        <v>7.990126905509945E-2</v>
      </c>
      <c r="CD22" s="725">
        <f t="shared" si="44"/>
        <v>225.11310271523411</v>
      </c>
      <c r="CE22" s="725">
        <v>68.729654075951984</v>
      </c>
      <c r="CF22" s="725">
        <f t="shared" si="45"/>
        <v>0.30204630710369357</v>
      </c>
      <c r="CG22" s="725">
        <v>100</v>
      </c>
      <c r="CH22" s="725">
        <f t="shared" si="46"/>
        <v>0.4394701401667282</v>
      </c>
      <c r="CI22" s="725">
        <v>42.751345862849334</v>
      </c>
      <c r="CJ22" s="725">
        <f t="shared" si="47"/>
        <v>0.18787939958662672</v>
      </c>
      <c r="CK22" s="725">
        <v>16.065745244071721</v>
      </c>
      <c r="CL22" s="725">
        <f t="shared" si="48"/>
        <v>7.0604153142951459E-2</v>
      </c>
      <c r="CM22" s="725">
        <f t="shared" si="49"/>
        <v>227.54674518287305</v>
      </c>
      <c r="CN22" s="725">
        <v>68.148546017363714</v>
      </c>
      <c r="CO22" s="725">
        <f t="shared" si="50"/>
        <v>0.30093485257205999</v>
      </c>
      <c r="CP22" s="725">
        <v>100</v>
      </c>
      <c r="CQ22" s="725">
        <f t="shared" si="51"/>
        <v>0.44158660772510711</v>
      </c>
      <c r="CR22" s="725">
        <v>38.908992042602463</v>
      </c>
      <c r="CS22" s="725">
        <f t="shared" si="52"/>
        <v>0.17181689806096007</v>
      </c>
      <c r="CT22" s="725">
        <v>19.398604972005451</v>
      </c>
      <c r="CU22" s="725">
        <f t="shared" si="53"/>
        <v>8.5661641641872829E-2</v>
      </c>
      <c r="CV22" s="725">
        <f t="shared" si="54"/>
        <v>226.45614303197164</v>
      </c>
    </row>
    <row r="23" spans="1:100">
      <c r="A23" s="2">
        <v>1985</v>
      </c>
      <c r="B23" s="725">
        <v>68.450687242484321</v>
      </c>
      <c r="C23" s="725">
        <f t="shared" si="55"/>
        <v>0.29693966897729723</v>
      </c>
      <c r="D23" s="725">
        <v>100</v>
      </c>
      <c r="E23" s="725">
        <f t="shared" si="56"/>
        <v>0.43380085860262901</v>
      </c>
      <c r="F23" s="725">
        <v>43.112280275933792</v>
      </c>
      <c r="G23" s="725">
        <f t="shared" si="57"/>
        <v>0.18702144200017265</v>
      </c>
      <c r="H23" s="725">
        <v>18.957553630670184</v>
      </c>
      <c r="I23" s="725">
        <f t="shared" si="4"/>
        <v>8.2238030419901118E-2</v>
      </c>
      <c r="J23" s="725">
        <f t="shared" si="58"/>
        <v>230.5205211490883</v>
      </c>
      <c r="K23" s="725">
        <v>65.201501877346686</v>
      </c>
      <c r="L23" s="725">
        <f t="shared" si="5"/>
        <v>0.28582253388493584</v>
      </c>
      <c r="M23" s="725">
        <v>100</v>
      </c>
      <c r="N23" s="725">
        <f t="shared" si="6"/>
        <v>0.43836802167932992</v>
      </c>
      <c r="O23" s="725">
        <v>47.487868394577852</v>
      </c>
      <c r="P23" s="725">
        <f t="shared" si="7"/>
        <v>0.20817162921899471</v>
      </c>
      <c r="Q23" s="725">
        <v>15.429459237840405</v>
      </c>
      <c r="R23" s="725">
        <f t="shared" si="8"/>
        <v>6.7637815216739602E-2</v>
      </c>
      <c r="S23" s="725">
        <f t="shared" si="9"/>
        <v>228.11882950976494</v>
      </c>
      <c r="T23" s="725">
        <v>64.200471716593924</v>
      </c>
      <c r="U23" s="725">
        <f t="shared" si="10"/>
        <v>0.28357009891281765</v>
      </c>
      <c r="V23" s="725">
        <v>100</v>
      </c>
      <c r="W23" s="725">
        <f t="shared" si="11"/>
        <v>0.44169472798363124</v>
      </c>
      <c r="X23" s="725">
        <v>44.934000455044071</v>
      </c>
      <c r="Y23" s="725">
        <f t="shared" si="12"/>
        <v>0.19847111108207055</v>
      </c>
      <c r="Z23" s="725">
        <v>17.26623778590962</v>
      </c>
      <c r="AA23" s="725">
        <f t="shared" si="13"/>
        <v>7.626406202148045E-2</v>
      </c>
      <c r="AB23" s="725">
        <f t="shared" si="14"/>
        <v>226.40070995754763</v>
      </c>
      <c r="AC23" s="725">
        <v>66.744972049380934</v>
      </c>
      <c r="AD23" s="725">
        <f t="shared" si="15"/>
        <v>0.29062926124297161</v>
      </c>
      <c r="AE23" s="725">
        <v>100</v>
      </c>
      <c r="AF23" s="725">
        <f t="shared" si="16"/>
        <v>0.43543244130501851</v>
      </c>
      <c r="AG23" s="725">
        <v>44.995726206108962</v>
      </c>
      <c r="AH23" s="725">
        <f t="shared" si="17"/>
        <v>0.19592598910218223</v>
      </c>
      <c r="AI23" s="725">
        <v>17.916053318402252</v>
      </c>
      <c r="AJ23" s="725">
        <f t="shared" si="18"/>
        <v>7.8012308349827697E-2</v>
      </c>
      <c r="AK23" s="725">
        <f t="shared" si="19"/>
        <v>229.65675157389214</v>
      </c>
      <c r="AL23" s="725">
        <v>66.319040712746116</v>
      </c>
      <c r="AM23" s="725">
        <f t="shared" si="20"/>
        <v>0.29106803207903842</v>
      </c>
      <c r="AN23" s="725">
        <v>100</v>
      </c>
      <c r="AO23" s="725">
        <f t="shared" si="21"/>
        <v>0.43889059454247642</v>
      </c>
      <c r="AP23" s="725">
        <v>44.252874947687317</v>
      </c>
      <c r="AQ23" s="725">
        <f t="shared" si="22"/>
        <v>0.19422170596004348</v>
      </c>
      <c r="AR23" s="725">
        <v>17.275300122911101</v>
      </c>
      <c r="AS23" s="725">
        <f t="shared" si="23"/>
        <v>7.5819667418441691E-2</v>
      </c>
      <c r="AT23" s="725">
        <f t="shared" si="24"/>
        <v>227.84721578334452</v>
      </c>
      <c r="AU23" s="725">
        <v>69.941666434136508</v>
      </c>
      <c r="AV23" s="725">
        <f t="shared" si="25"/>
        <v>0.2996551102022314</v>
      </c>
      <c r="AW23" s="725">
        <v>100</v>
      </c>
      <c r="AX23" s="725">
        <f t="shared" si="26"/>
        <v>0.42843576008360362</v>
      </c>
      <c r="AY23" s="725">
        <v>44.01622166500718</v>
      </c>
      <c r="AZ23" s="725">
        <f t="shared" si="27"/>
        <v>0.18858123385055731</v>
      </c>
      <c r="BA23" s="725">
        <v>19.449332578435424</v>
      </c>
      <c r="BB23" s="725">
        <f t="shared" si="28"/>
        <v>8.3327895863607754E-2</v>
      </c>
      <c r="BC23" s="725">
        <f t="shared" si="29"/>
        <v>233.40722067757909</v>
      </c>
      <c r="BD23" s="725">
        <v>68.992712695046194</v>
      </c>
      <c r="BE23" s="725">
        <f t="shared" si="30"/>
        <v>0.29698286871943741</v>
      </c>
      <c r="BF23" s="725">
        <v>100</v>
      </c>
      <c r="BG23" s="725">
        <f t="shared" si="31"/>
        <v>0.4304554164033636</v>
      </c>
      <c r="BH23" s="725">
        <v>43.388427228256113</v>
      </c>
      <c r="BI23" s="725">
        <f t="shared" si="32"/>
        <v>0.18676783509626024</v>
      </c>
      <c r="BJ23" s="725">
        <v>19.930956032051533</v>
      </c>
      <c r="BK23" s="725">
        <f t="shared" si="33"/>
        <v>8.5793879780938748E-2</v>
      </c>
      <c r="BL23" s="725">
        <f t="shared" si="34"/>
        <v>232.31209595535384</v>
      </c>
      <c r="BM23" s="725">
        <v>65.524829213991751</v>
      </c>
      <c r="BN23" s="725">
        <f t="shared" si="35"/>
        <v>0.29061348597454412</v>
      </c>
      <c r="BO23" s="725">
        <v>100</v>
      </c>
      <c r="BP23" s="725">
        <f t="shared" si="36"/>
        <v>0.44351658670556043</v>
      </c>
      <c r="BQ23" s="725">
        <v>41.604180112185681</v>
      </c>
      <c r="BR23" s="725">
        <f t="shared" si="37"/>
        <v>0.18452143956039954</v>
      </c>
      <c r="BS23" s="725">
        <v>18.341701347350334</v>
      </c>
      <c r="BT23" s="725">
        <f t="shared" si="38"/>
        <v>8.1348487759495991E-2</v>
      </c>
      <c r="BU23" s="725">
        <f t="shared" si="39"/>
        <v>225.47071067352775</v>
      </c>
      <c r="BV23" s="725">
        <v>63.356060133004469</v>
      </c>
      <c r="BW23" s="725">
        <f t="shared" si="40"/>
        <v>0.28211316405159631</v>
      </c>
      <c r="BX23" s="725">
        <v>100</v>
      </c>
      <c r="BY23" s="725">
        <f t="shared" si="41"/>
        <v>0.44528205109243107</v>
      </c>
      <c r="BZ23" s="725">
        <v>43.547847981112874</v>
      </c>
      <c r="CA23" s="725">
        <f t="shared" si="42"/>
        <v>0.19391075069691324</v>
      </c>
      <c r="CB23" s="725">
        <v>17.672851166130695</v>
      </c>
      <c r="CC23" s="725">
        <f t="shared" si="43"/>
        <v>7.8694034159059373E-2</v>
      </c>
      <c r="CD23" s="725">
        <f t="shared" si="44"/>
        <v>224.57675928024804</v>
      </c>
      <c r="CE23" s="725">
        <v>68.577619370427826</v>
      </c>
      <c r="CF23" s="725">
        <f t="shared" si="45"/>
        <v>0.30127752108617378</v>
      </c>
      <c r="CG23" s="725">
        <v>100</v>
      </c>
      <c r="CH23" s="725">
        <f t="shared" si="46"/>
        <v>0.4393233883766039</v>
      </c>
      <c r="CI23" s="725">
        <v>42.871310830864566</v>
      </c>
      <c r="CJ23" s="725">
        <f t="shared" si="47"/>
        <v>0.1883436953836202</v>
      </c>
      <c r="CK23" s="725">
        <v>16.173824802764827</v>
      </c>
      <c r="CL23" s="725">
        <f t="shared" si="48"/>
        <v>7.1055395153602013E-2</v>
      </c>
      <c r="CM23" s="725">
        <f t="shared" si="49"/>
        <v>227.62275500405724</v>
      </c>
      <c r="CN23" s="725">
        <v>68.022550939773737</v>
      </c>
      <c r="CO23" s="725">
        <f t="shared" si="50"/>
        <v>0.30075856124712402</v>
      </c>
      <c r="CP23" s="725">
        <v>100</v>
      </c>
      <c r="CQ23" s="725">
        <f t="shared" si="51"/>
        <v>0.44214537251537611</v>
      </c>
      <c r="CR23" s="725">
        <v>38.752831751797821</v>
      </c>
      <c r="CS23" s="725">
        <f t="shared" si="52"/>
        <v>0.17134385230924343</v>
      </c>
      <c r="CT23" s="725">
        <v>19.394574558229539</v>
      </c>
      <c r="CU23" s="725">
        <f t="shared" si="53"/>
        <v>8.5752213928256354E-2</v>
      </c>
      <c r="CV23" s="725">
        <f t="shared" si="54"/>
        <v>226.16995724980112</v>
      </c>
    </row>
    <row r="24" spans="1:100">
      <c r="A24" s="2">
        <v>1986</v>
      </c>
      <c r="B24" s="725">
        <v>68.497814467723288</v>
      </c>
      <c r="C24" s="725">
        <f t="shared" si="55"/>
        <v>0.29775291750040456</v>
      </c>
      <c r="D24" s="725">
        <v>100</v>
      </c>
      <c r="E24" s="725">
        <f t="shared" si="56"/>
        <v>0.43468966099744405</v>
      </c>
      <c r="F24" s="725">
        <v>42.594310591355793</v>
      </c>
      <c r="G24" s="725">
        <f t="shared" si="57"/>
        <v>0.18515306431376291</v>
      </c>
      <c r="H24" s="725">
        <v>18.957054786926026</v>
      </c>
      <c r="I24" s="725">
        <f t="shared" si="4"/>
        <v>8.2404357188388483E-2</v>
      </c>
      <c r="J24" s="725">
        <f t="shared" si="58"/>
        <v>230.0491798460051</v>
      </c>
      <c r="K24" s="725">
        <v>65.686458235728935</v>
      </c>
      <c r="L24" s="725">
        <f t="shared" si="5"/>
        <v>0.28739607829180847</v>
      </c>
      <c r="M24" s="725">
        <v>100</v>
      </c>
      <c r="N24" s="725">
        <f t="shared" si="6"/>
        <v>0.43752713422366363</v>
      </c>
      <c r="O24" s="725">
        <v>47.246803546182129</v>
      </c>
      <c r="P24" s="725">
        <f t="shared" si="7"/>
        <v>0.20671758556789493</v>
      </c>
      <c r="Q24" s="725">
        <v>15.623991421224142</v>
      </c>
      <c r="R24" s="725">
        <f t="shared" si="8"/>
        <v>6.8359201916633042E-2</v>
      </c>
      <c r="S24" s="725">
        <f t="shared" si="9"/>
        <v>228.55725320313519</v>
      </c>
      <c r="T24" s="725">
        <v>64.380703229624089</v>
      </c>
      <c r="U24" s="725">
        <f t="shared" si="10"/>
        <v>0.28481049201753961</v>
      </c>
      <c r="V24" s="725">
        <v>100</v>
      </c>
      <c r="W24" s="725">
        <f t="shared" si="11"/>
        <v>0.44238487268726678</v>
      </c>
      <c r="X24" s="725">
        <v>44.350013269235347</v>
      </c>
      <c r="Y24" s="725">
        <f t="shared" si="12"/>
        <v>0.19619774973789272</v>
      </c>
      <c r="Z24" s="725">
        <v>17.316795913918213</v>
      </c>
      <c r="AA24" s="725">
        <f t="shared" si="13"/>
        <v>7.6606885557300899E-2</v>
      </c>
      <c r="AB24" s="725">
        <f t="shared" si="14"/>
        <v>226.04751241277765</v>
      </c>
      <c r="AC24" s="725">
        <v>66.959476406695856</v>
      </c>
      <c r="AD24" s="725">
        <f t="shared" si="15"/>
        <v>0.29180104743534196</v>
      </c>
      <c r="AE24" s="725">
        <v>100</v>
      </c>
      <c r="AF24" s="725">
        <f t="shared" si="16"/>
        <v>0.43578752865839659</v>
      </c>
      <c r="AG24" s="725">
        <v>44.576581244755651</v>
      </c>
      <c r="AH24" s="725">
        <f t="shared" si="17"/>
        <v>0.19425918176692297</v>
      </c>
      <c r="AI24" s="725">
        <v>17.933565556576578</v>
      </c>
      <c r="AJ24" s="725">
        <f t="shared" si="18"/>
        <v>7.8152242139338496E-2</v>
      </c>
      <c r="AK24" s="725">
        <f t="shared" si="19"/>
        <v>229.46962320802808</v>
      </c>
      <c r="AL24" s="725">
        <v>66.582117158308947</v>
      </c>
      <c r="AM24" s="725">
        <f t="shared" si="20"/>
        <v>0.29247196254588914</v>
      </c>
      <c r="AN24" s="725">
        <v>100</v>
      </c>
      <c r="AO24" s="725">
        <f t="shared" si="21"/>
        <v>0.43926503846444725</v>
      </c>
      <c r="AP24" s="725">
        <v>43.724018449782228</v>
      </c>
      <c r="AQ24" s="725">
        <f t="shared" si="22"/>
        <v>0.19206432646163793</v>
      </c>
      <c r="AR24" s="725">
        <v>17.346855737573776</v>
      </c>
      <c r="AS24" s="725">
        <f t="shared" si="23"/>
        <v>7.6198672528025632E-2</v>
      </c>
      <c r="AT24" s="725">
        <f t="shared" si="24"/>
        <v>227.65299134566496</v>
      </c>
      <c r="AU24" s="725">
        <v>69.947929166971022</v>
      </c>
      <c r="AV24" s="725">
        <f t="shared" si="25"/>
        <v>0.30055615722204493</v>
      </c>
      <c r="AW24" s="725">
        <v>100</v>
      </c>
      <c r="AX24" s="725">
        <f t="shared" si="26"/>
        <v>0.42968556868151819</v>
      </c>
      <c r="AY24" s="725">
        <v>43.208121758878804</v>
      </c>
      <c r="AZ24" s="725">
        <f t="shared" si="27"/>
        <v>0.18565906369624119</v>
      </c>
      <c r="BA24" s="725">
        <v>19.572267846521481</v>
      </c>
      <c r="BB24" s="725">
        <f t="shared" si="28"/>
        <v>8.4099210400195759E-2</v>
      </c>
      <c r="BC24" s="725">
        <f t="shared" si="29"/>
        <v>232.7283187723713</v>
      </c>
      <c r="BD24" s="725">
        <v>69.053937653532088</v>
      </c>
      <c r="BE24" s="725">
        <f t="shared" si="30"/>
        <v>0.29812071774088977</v>
      </c>
      <c r="BF24" s="725">
        <v>100</v>
      </c>
      <c r="BG24" s="725">
        <f t="shared" si="31"/>
        <v>0.43172153228490218</v>
      </c>
      <c r="BH24" s="725">
        <v>42.77229782141471</v>
      </c>
      <c r="BI24" s="725">
        <f t="shared" si="32"/>
        <v>0.18465721954807343</v>
      </c>
      <c r="BJ24" s="725">
        <v>19.804555490577396</v>
      </c>
      <c r="BK24" s="725">
        <f t="shared" si="33"/>
        <v>8.5500530426134466E-2</v>
      </c>
      <c r="BL24" s="725">
        <f t="shared" si="34"/>
        <v>231.63079096552423</v>
      </c>
      <c r="BM24" s="725">
        <v>65.644330274691455</v>
      </c>
      <c r="BN24" s="725">
        <f t="shared" si="35"/>
        <v>0.29171062998933406</v>
      </c>
      <c r="BO24" s="725">
        <v>100</v>
      </c>
      <c r="BP24" s="725">
        <f t="shared" si="36"/>
        <v>0.44438054096775559</v>
      </c>
      <c r="BQ24" s="725">
        <v>41.185869316640165</v>
      </c>
      <c r="BR24" s="725">
        <f t="shared" si="37"/>
        <v>0.18302198887155843</v>
      </c>
      <c r="BS24" s="725">
        <v>18.202156195948522</v>
      </c>
      <c r="BT24" s="725">
        <f t="shared" si="38"/>
        <v>8.0886840171351879E-2</v>
      </c>
      <c r="BU24" s="725">
        <f t="shared" si="39"/>
        <v>225.03235578728015</v>
      </c>
      <c r="BV24" s="725">
        <v>63.488300165182174</v>
      </c>
      <c r="BW24" s="725">
        <f t="shared" si="40"/>
        <v>0.28245329383636114</v>
      </c>
      <c r="BX24" s="725">
        <v>100</v>
      </c>
      <c r="BY24" s="725">
        <f t="shared" si="41"/>
        <v>0.44489030750781117</v>
      </c>
      <c r="BZ24" s="725">
        <v>43.688501102717659</v>
      </c>
      <c r="CA24" s="725">
        <f t="shared" si="42"/>
        <v>0.19436590690143407</v>
      </c>
      <c r="CB24" s="725">
        <v>17.597706767981002</v>
      </c>
      <c r="CC24" s="725">
        <f t="shared" si="43"/>
        <v>7.8290491754393579E-2</v>
      </c>
      <c r="CD24" s="725">
        <f t="shared" si="44"/>
        <v>224.77450803588084</v>
      </c>
      <c r="CE24" s="725">
        <v>68.588122140793189</v>
      </c>
      <c r="CF24" s="725">
        <f t="shared" si="45"/>
        <v>0.30141015612584743</v>
      </c>
      <c r="CG24" s="725">
        <v>100</v>
      </c>
      <c r="CH24" s="725">
        <f t="shared" si="46"/>
        <v>0.43944949463280608</v>
      </c>
      <c r="CI24" s="725">
        <v>42.723675314391556</v>
      </c>
      <c r="CJ24" s="725">
        <f t="shared" si="47"/>
        <v>0.1877489752576546</v>
      </c>
      <c r="CK24" s="725">
        <v>16.245637975609657</v>
      </c>
      <c r="CL24" s="725">
        <f t="shared" si="48"/>
        <v>7.1391373983691858E-2</v>
      </c>
      <c r="CM24" s="725">
        <f t="shared" si="49"/>
        <v>227.55743543079441</v>
      </c>
      <c r="CN24" s="725">
        <v>67.942393531008065</v>
      </c>
      <c r="CO24" s="725">
        <f t="shared" si="50"/>
        <v>0.30064612226354653</v>
      </c>
      <c r="CP24" s="725">
        <v>100</v>
      </c>
      <c r="CQ24" s="725">
        <f t="shared" si="51"/>
        <v>0.44250151729837917</v>
      </c>
      <c r="CR24" s="725">
        <v>38.587318203012785</v>
      </c>
      <c r="CS24" s="725">
        <f t="shared" si="52"/>
        <v>0.17074946853308523</v>
      </c>
      <c r="CT24" s="725">
        <v>19.458213935779515</v>
      </c>
      <c r="CU24" s="725">
        <f t="shared" si="53"/>
        <v>8.6102891904989015E-2</v>
      </c>
      <c r="CV24" s="725">
        <f t="shared" si="54"/>
        <v>225.98792566980038</v>
      </c>
    </row>
    <row r="25" spans="1:100">
      <c r="A25" s="2">
        <v>1987</v>
      </c>
      <c r="B25" s="725">
        <v>68.371875085195256</v>
      </c>
      <c r="C25" s="725">
        <f t="shared" si="55"/>
        <v>0.29818543526024949</v>
      </c>
      <c r="D25" s="725">
        <v>100</v>
      </c>
      <c r="E25" s="725">
        <f t="shared" si="56"/>
        <v>0.43612294512720823</v>
      </c>
      <c r="F25" s="725">
        <v>41.955036682113189</v>
      </c>
      <c r="G25" s="725">
        <f t="shared" si="57"/>
        <v>0.18297554160723259</v>
      </c>
      <c r="H25" s="725">
        <v>18.96622934644796</v>
      </c>
      <c r="I25" s="725">
        <f t="shared" si="4"/>
        <v>8.2716078005309709E-2</v>
      </c>
      <c r="J25" s="725">
        <f t="shared" si="58"/>
        <v>229.29314111375641</v>
      </c>
      <c r="K25" s="725">
        <v>66.155113847737127</v>
      </c>
      <c r="L25" s="725">
        <f t="shared" si="5"/>
        <v>0.28908062704743054</v>
      </c>
      <c r="M25" s="725">
        <v>100</v>
      </c>
      <c r="N25" s="725">
        <f t="shared" si="6"/>
        <v>0.43697396956005496</v>
      </c>
      <c r="O25" s="725">
        <v>46.89794272598099</v>
      </c>
      <c r="P25" s="725">
        <f t="shared" si="7"/>
        <v>0.2049318019717202</v>
      </c>
      <c r="Q25" s="725">
        <v>15.793526898244565</v>
      </c>
      <c r="R25" s="725">
        <f t="shared" si="8"/>
        <v>6.9013601420794296E-2</v>
      </c>
      <c r="S25" s="725">
        <f t="shared" si="9"/>
        <v>228.84658347196267</v>
      </c>
      <c r="T25" s="725">
        <v>64.418031576247074</v>
      </c>
      <c r="U25" s="725">
        <f t="shared" si="10"/>
        <v>0.28530255441305197</v>
      </c>
      <c r="V25" s="725">
        <v>100</v>
      </c>
      <c r="W25" s="725">
        <f t="shared" si="11"/>
        <v>0.44289238188745256</v>
      </c>
      <c r="X25" s="725">
        <v>43.973200774564887</v>
      </c>
      <c r="Y25" s="725">
        <f t="shared" si="12"/>
        <v>0.19475395630262216</v>
      </c>
      <c r="Z25" s="725">
        <v>17.397252819863031</v>
      </c>
      <c r="AA25" s="725">
        <f t="shared" si="13"/>
        <v>7.7051107396873375E-2</v>
      </c>
      <c r="AB25" s="725">
        <f t="shared" si="14"/>
        <v>225.78848517067499</v>
      </c>
      <c r="AC25" s="725">
        <v>67.016671777047151</v>
      </c>
      <c r="AD25" s="725">
        <f t="shared" si="15"/>
        <v>0.29243693164009321</v>
      </c>
      <c r="AE25" s="725">
        <v>100</v>
      </c>
      <c r="AF25" s="725">
        <f t="shared" si="16"/>
        <v>0.43636445064443102</v>
      </c>
      <c r="AG25" s="725">
        <v>44.175762241370322</v>
      </c>
      <c r="AH25" s="725">
        <f t="shared" si="17"/>
        <v>0.19276732222254558</v>
      </c>
      <c r="AI25" s="725">
        <v>17.973805010261792</v>
      </c>
      <c r="AJ25" s="725">
        <f t="shared" si="18"/>
        <v>7.8431295492930084E-2</v>
      </c>
      <c r="AK25" s="725">
        <f t="shared" si="19"/>
        <v>229.16623902867929</v>
      </c>
      <c r="AL25" s="725">
        <v>66.720988007167108</v>
      </c>
      <c r="AM25" s="725">
        <f t="shared" si="20"/>
        <v>0.29354619922493469</v>
      </c>
      <c r="AN25" s="725">
        <v>100</v>
      </c>
      <c r="AO25" s="725">
        <f t="shared" si="21"/>
        <v>0.43996080992296188</v>
      </c>
      <c r="AP25" s="725">
        <v>43.122054778817827</v>
      </c>
      <c r="AQ25" s="725">
        <f t="shared" si="22"/>
        <v>0.18972014146031022</v>
      </c>
      <c r="AR25" s="725">
        <v>17.44992909828407</v>
      </c>
      <c r="AS25" s="725">
        <f t="shared" si="23"/>
        <v>7.6772849391793199E-2</v>
      </c>
      <c r="AT25" s="725">
        <f t="shared" si="24"/>
        <v>227.29297188426901</v>
      </c>
      <c r="AU25" s="725">
        <v>69.821942959464366</v>
      </c>
      <c r="AV25" s="725">
        <f t="shared" si="25"/>
        <v>0.30127033741360648</v>
      </c>
      <c r="AW25" s="725">
        <v>100</v>
      </c>
      <c r="AX25" s="725">
        <f t="shared" si="26"/>
        <v>0.43148374944036022</v>
      </c>
      <c r="AY25" s="725">
        <v>42.231612702063387</v>
      </c>
      <c r="AZ25" s="725">
        <f t="shared" si="27"/>
        <v>0.18222254593599452</v>
      </c>
      <c r="BA25" s="725">
        <v>19.704882818950914</v>
      </c>
      <c r="BB25" s="725">
        <f t="shared" si="28"/>
        <v>8.5023367210038753E-2</v>
      </c>
      <c r="BC25" s="725">
        <f t="shared" si="29"/>
        <v>231.75843848047867</v>
      </c>
      <c r="BD25" s="725">
        <v>68.935203510706899</v>
      </c>
      <c r="BE25" s="725">
        <f t="shared" si="30"/>
        <v>0.29906135206103696</v>
      </c>
      <c r="BF25" s="725">
        <v>100</v>
      </c>
      <c r="BG25" s="725">
        <f t="shared" si="31"/>
        <v>0.43382964991840095</v>
      </c>
      <c r="BH25" s="725">
        <v>41.89188225061578</v>
      </c>
      <c r="BI25" s="725">
        <f t="shared" si="32"/>
        <v>0.18173940611207517</v>
      </c>
      <c r="BJ25" s="725">
        <v>19.678136781232929</v>
      </c>
      <c r="BK25" s="725">
        <f t="shared" si="33"/>
        <v>8.5369591908486905E-2</v>
      </c>
      <c r="BL25" s="725">
        <f t="shared" si="34"/>
        <v>230.5052225425556</v>
      </c>
      <c r="BM25" s="725">
        <v>65.461186682483998</v>
      </c>
      <c r="BN25" s="725">
        <f t="shared" si="35"/>
        <v>0.291723180560852</v>
      </c>
      <c r="BO25" s="725">
        <v>100</v>
      </c>
      <c r="BP25" s="725">
        <f t="shared" si="36"/>
        <v>0.44564297615904791</v>
      </c>
      <c r="BQ25" s="725">
        <v>40.886267425823384</v>
      </c>
      <c r="BR25" s="725">
        <f t="shared" si="37"/>
        <v>0.18220677899678669</v>
      </c>
      <c r="BS25" s="725">
        <v>18.047421049133582</v>
      </c>
      <c r="BT25" s="725">
        <f t="shared" si="38"/>
        <v>8.0427064283313365E-2</v>
      </c>
      <c r="BU25" s="725">
        <f t="shared" si="39"/>
        <v>224.39487515744096</v>
      </c>
      <c r="BV25" s="725">
        <v>63.507068775428564</v>
      </c>
      <c r="BW25" s="725">
        <f t="shared" si="40"/>
        <v>0.28238995567901204</v>
      </c>
      <c r="BX25" s="725">
        <v>100</v>
      </c>
      <c r="BY25" s="725">
        <f t="shared" si="41"/>
        <v>0.44465909248242796</v>
      </c>
      <c r="BZ25" s="725">
        <v>43.848779098503364</v>
      </c>
      <c r="CA25" s="725">
        <f t="shared" si="42"/>
        <v>0.19497758320402961</v>
      </c>
      <c r="CB25" s="725">
        <v>17.535539012420358</v>
      </c>
      <c r="CC25" s="725">
        <f t="shared" si="43"/>
        <v>7.7973368634530471E-2</v>
      </c>
      <c r="CD25" s="725">
        <f t="shared" si="44"/>
        <v>224.89138688635228</v>
      </c>
      <c r="CE25" s="725">
        <v>68.297624173606451</v>
      </c>
      <c r="CF25" s="725">
        <f t="shared" si="45"/>
        <v>0.29996142231447759</v>
      </c>
      <c r="CG25" s="725">
        <v>100</v>
      </c>
      <c r="CH25" s="725">
        <f t="shared" si="46"/>
        <v>0.43919744785265519</v>
      </c>
      <c r="CI25" s="725">
        <v>42.976998124495758</v>
      </c>
      <c r="CJ25" s="725">
        <f t="shared" si="47"/>
        <v>0.18875387892646883</v>
      </c>
      <c r="CK25" s="725">
        <v>16.413403870821842</v>
      </c>
      <c r="CL25" s="725">
        <f t="shared" si="48"/>
        <v>7.2087250906398448E-2</v>
      </c>
      <c r="CM25" s="725">
        <f t="shared" si="49"/>
        <v>227.68802616892404</v>
      </c>
      <c r="CN25" s="725">
        <v>67.68882367971932</v>
      </c>
      <c r="CO25" s="725">
        <f t="shared" si="50"/>
        <v>0.30029355112416767</v>
      </c>
      <c r="CP25" s="725">
        <v>100</v>
      </c>
      <c r="CQ25" s="725">
        <f t="shared" si="51"/>
        <v>0.44363830659113745</v>
      </c>
      <c r="CR25" s="725">
        <v>38.252070339763954</v>
      </c>
      <c r="CS25" s="725">
        <f t="shared" si="52"/>
        <v>0.16970083709137956</v>
      </c>
      <c r="CT25" s="725">
        <v>19.467954842978092</v>
      </c>
      <c r="CU25" s="725">
        <f t="shared" si="53"/>
        <v>8.6367305193315341E-2</v>
      </c>
      <c r="CV25" s="725">
        <f t="shared" si="54"/>
        <v>225.40884886246135</v>
      </c>
    </row>
    <row r="26" spans="1:100">
      <c r="A26" s="2">
        <v>1988</v>
      </c>
      <c r="B26" s="725">
        <v>68.260602789358984</v>
      </c>
      <c r="C26" s="725">
        <f t="shared" si="55"/>
        <v>0.29795273039553677</v>
      </c>
      <c r="D26" s="725">
        <v>100</v>
      </c>
      <c r="E26" s="725">
        <f t="shared" si="56"/>
        <v>0.43649296698268253</v>
      </c>
      <c r="F26" s="725">
        <v>41.76306869189461</v>
      </c>
      <c r="G26" s="725">
        <f t="shared" si="57"/>
        <v>0.18229285763626657</v>
      </c>
      <c r="H26" s="725">
        <v>19.075094281832385</v>
      </c>
      <c r="I26" s="725">
        <f t="shared" si="4"/>
        <v>8.3261444985514188E-2</v>
      </c>
      <c r="J26" s="725">
        <f t="shared" si="58"/>
        <v>229.09876576308596</v>
      </c>
      <c r="K26" s="725">
        <v>66.66173897617665</v>
      </c>
      <c r="L26" s="725">
        <f t="shared" si="5"/>
        <v>0.29099024979674459</v>
      </c>
      <c r="M26" s="725">
        <v>100</v>
      </c>
      <c r="N26" s="725">
        <f t="shared" si="6"/>
        <v>0.43651764005247107</v>
      </c>
      <c r="O26" s="725">
        <v>46.302007642870009</v>
      </c>
      <c r="P26" s="725">
        <f t="shared" si="7"/>
        <v>0.20211643105957094</v>
      </c>
      <c r="Q26" s="725">
        <v>16.122069908275389</v>
      </c>
      <c r="R26" s="725">
        <f t="shared" si="8"/>
        <v>7.0375679091213311E-2</v>
      </c>
      <c r="S26" s="725">
        <f t="shared" si="9"/>
        <v>229.08581652732207</v>
      </c>
      <c r="T26" s="725">
        <v>64.375159526332482</v>
      </c>
      <c r="U26" s="725">
        <f t="shared" si="10"/>
        <v>0.28581701540959792</v>
      </c>
      <c r="V26" s="725">
        <v>100</v>
      </c>
      <c r="W26" s="725">
        <f t="shared" si="11"/>
        <v>0.44398649651918182</v>
      </c>
      <c r="X26" s="725">
        <v>43.408408903670981</v>
      </c>
      <c r="Y26" s="725">
        <f t="shared" si="12"/>
        <v>0.19272747388612937</v>
      </c>
      <c r="Z26" s="725">
        <v>17.448506833527986</v>
      </c>
      <c r="AA26" s="725">
        <f t="shared" si="13"/>
        <v>7.7469014185090931E-2</v>
      </c>
      <c r="AB26" s="725">
        <f t="shared" si="14"/>
        <v>225.23207526353144</v>
      </c>
      <c r="AC26" s="725">
        <v>67.091759397959919</v>
      </c>
      <c r="AD26" s="725">
        <f t="shared" si="15"/>
        <v>0.29307495006903117</v>
      </c>
      <c r="AE26" s="725">
        <v>100</v>
      </c>
      <c r="AF26" s="725">
        <f t="shared" si="16"/>
        <v>0.43682704507812148</v>
      </c>
      <c r="AG26" s="725">
        <v>43.659025429481957</v>
      </c>
      <c r="AH26" s="725">
        <f t="shared" si="17"/>
        <v>0.19071443069351166</v>
      </c>
      <c r="AI26" s="725">
        <v>18.17276999072687</v>
      </c>
      <c r="AJ26" s="725">
        <f t="shared" si="18"/>
        <v>7.9383574159335793E-2</v>
      </c>
      <c r="AK26" s="725">
        <f t="shared" si="19"/>
        <v>228.92355481816872</v>
      </c>
      <c r="AL26" s="725">
        <v>66.908833995802013</v>
      </c>
      <c r="AM26" s="725">
        <f t="shared" si="20"/>
        <v>0.2944700667895771</v>
      </c>
      <c r="AN26" s="725">
        <v>100</v>
      </c>
      <c r="AO26" s="725">
        <f t="shared" si="21"/>
        <v>0.44010640927930789</v>
      </c>
      <c r="AP26" s="725">
        <v>42.647797533403939</v>
      </c>
      <c r="AQ26" s="725">
        <f t="shared" si="22"/>
        <v>0.18769569036097331</v>
      </c>
      <c r="AR26" s="725">
        <v>17.661145561916289</v>
      </c>
      <c r="AS26" s="725">
        <f t="shared" si="23"/>
        <v>7.7727833570141625E-2</v>
      </c>
      <c r="AT26" s="725">
        <f t="shared" si="24"/>
        <v>227.21777709112226</v>
      </c>
      <c r="AU26" s="725">
        <v>69.667593329722635</v>
      </c>
      <c r="AV26" s="725">
        <f t="shared" si="25"/>
        <v>0.30084482322923145</v>
      </c>
      <c r="AW26" s="725">
        <v>100</v>
      </c>
      <c r="AX26" s="725">
        <f t="shared" si="26"/>
        <v>0.43182893056947402</v>
      </c>
      <c r="AY26" s="725">
        <v>41.942336452351938</v>
      </c>
      <c r="AZ26" s="725">
        <f t="shared" si="27"/>
        <v>0.18111914295804205</v>
      </c>
      <c r="BA26" s="725">
        <v>19.963253302544349</v>
      </c>
      <c r="BB26" s="725">
        <f t="shared" si="28"/>
        <v>8.6207103243252467E-2</v>
      </c>
      <c r="BC26" s="725">
        <f t="shared" si="29"/>
        <v>231.57318308461893</v>
      </c>
      <c r="BD26" s="725">
        <v>68.811693103301081</v>
      </c>
      <c r="BE26" s="725">
        <f t="shared" si="30"/>
        <v>0.29901145826047149</v>
      </c>
      <c r="BF26" s="725">
        <v>100</v>
      </c>
      <c r="BG26" s="725">
        <f t="shared" si="31"/>
        <v>0.43453582490927994</v>
      </c>
      <c r="BH26" s="725">
        <v>41.686593012685996</v>
      </c>
      <c r="BI26" s="725">
        <f t="shared" si="32"/>
        <v>0.18114318082424935</v>
      </c>
      <c r="BJ26" s="725">
        <v>19.632336648838962</v>
      </c>
      <c r="BK26" s="725">
        <f t="shared" si="33"/>
        <v>8.5309536005999276E-2</v>
      </c>
      <c r="BL26" s="725">
        <f t="shared" si="34"/>
        <v>230.13062276482603</v>
      </c>
      <c r="BM26" s="725">
        <v>65.319393332317148</v>
      </c>
      <c r="BN26" s="725">
        <f t="shared" si="35"/>
        <v>0.29163522030876371</v>
      </c>
      <c r="BO26" s="725">
        <v>100</v>
      </c>
      <c r="BP26" s="725">
        <f t="shared" si="36"/>
        <v>0.44647570259118669</v>
      </c>
      <c r="BQ26" s="725">
        <v>40.637939662046627</v>
      </c>
      <c r="BR26" s="725">
        <f t="shared" si="37"/>
        <v>0.18143852662470519</v>
      </c>
      <c r="BS26" s="725">
        <v>18.019020969884373</v>
      </c>
      <c r="BT26" s="725">
        <f t="shared" si="38"/>
        <v>8.0450550475344509E-2</v>
      </c>
      <c r="BU26" s="725">
        <f t="shared" si="39"/>
        <v>223.97635396424812</v>
      </c>
      <c r="BV26" s="725">
        <v>63.063855030241058</v>
      </c>
      <c r="BW26" s="725">
        <f t="shared" si="40"/>
        <v>0.28144770497922866</v>
      </c>
      <c r="BX26" s="725">
        <v>100</v>
      </c>
      <c r="BY26" s="725">
        <f t="shared" si="41"/>
        <v>0.44629004180646076</v>
      </c>
      <c r="BZ26" s="725">
        <v>43.486544612505938</v>
      </c>
      <c r="CA26" s="725">
        <f t="shared" si="42"/>
        <v>0.19407611813133796</v>
      </c>
      <c r="CB26" s="725">
        <v>17.519130556105729</v>
      </c>
      <c r="CC26" s="725">
        <f t="shared" si="43"/>
        <v>7.8186135082972702E-2</v>
      </c>
      <c r="CD26" s="725">
        <f t="shared" si="44"/>
        <v>224.0695301988527</v>
      </c>
      <c r="CE26" s="725">
        <v>68.06873200266709</v>
      </c>
      <c r="CF26" s="725">
        <f t="shared" si="45"/>
        <v>0.29878282446594995</v>
      </c>
      <c r="CG26" s="725">
        <v>100</v>
      </c>
      <c r="CH26" s="725">
        <f t="shared" si="46"/>
        <v>0.43894283862117917</v>
      </c>
      <c r="CI26" s="725">
        <v>43.106055476300895</v>
      </c>
      <c r="CJ26" s="725">
        <f t="shared" si="47"/>
        <v>0.18921094352529541</v>
      </c>
      <c r="CK26" s="725">
        <v>16.645309356699915</v>
      </c>
      <c r="CL26" s="725">
        <f t="shared" si="48"/>
        <v>7.3063393387575351E-2</v>
      </c>
      <c r="CM26" s="725">
        <f t="shared" si="49"/>
        <v>227.82009683566793</v>
      </c>
      <c r="CN26" s="725">
        <v>67.534587725992452</v>
      </c>
      <c r="CO26" s="725">
        <f t="shared" si="50"/>
        <v>0.29936709392642502</v>
      </c>
      <c r="CP26" s="725">
        <v>100</v>
      </c>
      <c r="CQ26" s="725">
        <f t="shared" si="51"/>
        <v>0.44327966454914147</v>
      </c>
      <c r="CR26" s="725">
        <v>38.494552776889243</v>
      </c>
      <c r="CS26" s="725">
        <f t="shared" si="52"/>
        <v>0.17063852441908686</v>
      </c>
      <c r="CT26" s="725">
        <v>19.562078759814959</v>
      </c>
      <c r="CU26" s="725">
        <f t="shared" si="53"/>
        <v>8.6714717105346603E-2</v>
      </c>
      <c r="CV26" s="725">
        <f t="shared" si="54"/>
        <v>225.59121926269665</v>
      </c>
    </row>
    <row r="27" spans="1:100">
      <c r="A27" s="2">
        <v>1989</v>
      </c>
      <c r="B27" s="725">
        <v>68.168699964999533</v>
      </c>
      <c r="C27" s="725">
        <f t="shared" si="55"/>
        <v>0.29812873457314759</v>
      </c>
      <c r="D27" s="725">
        <v>100</v>
      </c>
      <c r="E27" s="725">
        <f t="shared" si="56"/>
        <v>0.43733962174167695</v>
      </c>
      <c r="F27" s="725">
        <v>41.363856123843227</v>
      </c>
      <c r="G27" s="725">
        <f t="shared" si="57"/>
        <v>0.18090053190978744</v>
      </c>
      <c r="H27" s="725">
        <v>19.122692666704332</v>
      </c>
      <c r="I27" s="725">
        <f t="shared" si="4"/>
        <v>8.3631111775388123E-2</v>
      </c>
      <c r="J27" s="725">
        <f t="shared" si="58"/>
        <v>228.65524875554706</v>
      </c>
      <c r="K27" s="725">
        <v>67.202727946009972</v>
      </c>
      <c r="L27" s="725">
        <f t="shared" si="5"/>
        <v>0.29312709357558137</v>
      </c>
      <c r="M27" s="725">
        <v>100</v>
      </c>
      <c r="N27" s="725">
        <f t="shared" si="6"/>
        <v>0.43618332549100813</v>
      </c>
      <c r="O27" s="725">
        <v>45.581899291024712</v>
      </c>
      <c r="P27" s="725">
        <f t="shared" si="7"/>
        <v>0.19882064414955383</v>
      </c>
      <c r="Q27" s="725">
        <v>16.476773086856149</v>
      </c>
      <c r="R27" s="725">
        <f t="shared" si="8"/>
        <v>7.1868936783856585E-2</v>
      </c>
      <c r="S27" s="725">
        <f t="shared" si="9"/>
        <v>229.26140032389085</v>
      </c>
      <c r="T27" s="725">
        <v>64.323526926002472</v>
      </c>
      <c r="U27" s="725">
        <f t="shared" si="10"/>
        <v>0.28614194835431822</v>
      </c>
      <c r="V27" s="725">
        <v>100</v>
      </c>
      <c r="W27" s="725">
        <f t="shared" si="11"/>
        <v>0.44484803932392381</v>
      </c>
      <c r="X27" s="725">
        <v>42.817732036902022</v>
      </c>
      <c r="Y27" s="725">
        <f t="shared" si="12"/>
        <v>0.19047384144913024</v>
      </c>
      <c r="Z27" s="725">
        <v>17.654606501578911</v>
      </c>
      <c r="AA27" s="725">
        <f t="shared" si="13"/>
        <v>7.8536170872627764E-2</v>
      </c>
      <c r="AB27" s="725">
        <f t="shared" si="14"/>
        <v>224.7958654644834</v>
      </c>
      <c r="AC27" s="725">
        <v>67.163693614252949</v>
      </c>
      <c r="AD27" s="725">
        <f t="shared" si="15"/>
        <v>0.29389712041034965</v>
      </c>
      <c r="AE27" s="725">
        <v>100</v>
      </c>
      <c r="AF27" s="725">
        <f t="shared" si="16"/>
        <v>0.43758332008706136</v>
      </c>
      <c r="AG27" s="725">
        <v>43.026474144657406</v>
      </c>
      <c r="AH27" s="725">
        <f t="shared" si="17"/>
        <v>0.18827667407859291</v>
      </c>
      <c r="AI27" s="725">
        <v>18.337738606679714</v>
      </c>
      <c r="AJ27" s="725">
        <f t="shared" si="18"/>
        <v>8.0242885423995922E-2</v>
      </c>
      <c r="AK27" s="725">
        <f t="shared" si="19"/>
        <v>228.5279063655901</v>
      </c>
      <c r="AL27" s="725">
        <v>67.069725177485864</v>
      </c>
      <c r="AM27" s="725">
        <f t="shared" si="20"/>
        <v>0.29543698923419603</v>
      </c>
      <c r="AN27" s="725">
        <v>100</v>
      </c>
      <c r="AO27" s="725">
        <f t="shared" si="21"/>
        <v>0.44049232116634507</v>
      </c>
      <c r="AP27" s="725">
        <v>42.042743164885884</v>
      </c>
      <c r="AQ27" s="725">
        <f t="shared" si="22"/>
        <v>0.18519505524901073</v>
      </c>
      <c r="AR27" s="725">
        <v>17.906245026383125</v>
      </c>
      <c r="AS27" s="725">
        <f t="shared" si="23"/>
        <v>7.8875634350448254E-2</v>
      </c>
      <c r="AT27" s="725">
        <f t="shared" si="24"/>
        <v>227.01871336875485</v>
      </c>
      <c r="AU27" s="725">
        <v>69.535797749875528</v>
      </c>
      <c r="AV27" s="725">
        <f t="shared" si="25"/>
        <v>0.30081780801211205</v>
      </c>
      <c r="AW27" s="725">
        <v>100</v>
      </c>
      <c r="AX27" s="725">
        <f t="shared" si="26"/>
        <v>0.43260855235194379</v>
      </c>
      <c r="AY27" s="725">
        <v>41.459044083863958</v>
      </c>
      <c r="AZ27" s="725">
        <f t="shared" si="27"/>
        <v>0.17935537043015806</v>
      </c>
      <c r="BA27" s="725">
        <v>20.161013630361779</v>
      </c>
      <c r="BB27" s="725">
        <f t="shared" si="28"/>
        <v>8.7218269205786167E-2</v>
      </c>
      <c r="BC27" s="725">
        <f t="shared" si="29"/>
        <v>231.15585546410125</v>
      </c>
      <c r="BD27" s="725">
        <v>68.742723296980543</v>
      </c>
      <c r="BE27" s="725">
        <f t="shared" si="30"/>
        <v>0.29959100717450576</v>
      </c>
      <c r="BF27" s="725">
        <v>100</v>
      </c>
      <c r="BG27" s="725">
        <f t="shared" si="31"/>
        <v>0.4358148656407172</v>
      </c>
      <c r="BH27" s="725">
        <v>41.215133773887295</v>
      </c>
      <c r="BI27" s="725">
        <f t="shared" si="32"/>
        <v>0.17962167988030878</v>
      </c>
      <c r="BJ27" s="725">
        <v>19.497372394478838</v>
      </c>
      <c r="BK27" s="725">
        <f t="shared" si="33"/>
        <v>8.4972447304468235E-2</v>
      </c>
      <c r="BL27" s="725">
        <f t="shared" si="34"/>
        <v>229.45522946534669</v>
      </c>
      <c r="BM27" s="725">
        <v>65.130296287706386</v>
      </c>
      <c r="BN27" s="725">
        <f t="shared" si="35"/>
        <v>0.29118980518024729</v>
      </c>
      <c r="BO27" s="725">
        <v>100</v>
      </c>
      <c r="BP27" s="725">
        <f t="shared" si="36"/>
        <v>0.44708810150954365</v>
      </c>
      <c r="BQ27" s="725">
        <v>40.486770672366852</v>
      </c>
      <c r="BR27" s="725">
        <f t="shared" si="37"/>
        <v>0.18101153436160766</v>
      </c>
      <c r="BS27" s="725">
        <v>18.052495397683622</v>
      </c>
      <c r="BT27" s="725">
        <f t="shared" si="38"/>
        <v>8.0710558948601449E-2</v>
      </c>
      <c r="BU27" s="725">
        <f t="shared" si="39"/>
        <v>223.66956235775686</v>
      </c>
      <c r="BV27" s="725">
        <v>62.223347500126835</v>
      </c>
      <c r="BW27" s="725">
        <f t="shared" si="40"/>
        <v>0.27909079498000289</v>
      </c>
      <c r="BX27" s="725">
        <v>100</v>
      </c>
      <c r="BY27" s="725">
        <f t="shared" si="41"/>
        <v>0.44853066604851821</v>
      </c>
      <c r="BZ27" s="725">
        <v>43.292131085749475</v>
      </c>
      <c r="CA27" s="725">
        <f t="shared" si="42"/>
        <v>0.19417848390550971</v>
      </c>
      <c r="CB27" s="725">
        <v>17.434717620290908</v>
      </c>
      <c r="CC27" s="725">
        <f t="shared" si="43"/>
        <v>7.8200055065969165E-2</v>
      </c>
      <c r="CD27" s="725">
        <f t="shared" si="44"/>
        <v>222.95019620616722</v>
      </c>
      <c r="CE27" s="725">
        <v>67.824602483664052</v>
      </c>
      <c r="CF27" s="725">
        <f t="shared" si="45"/>
        <v>0.29816722769921716</v>
      </c>
      <c r="CG27" s="725">
        <v>100</v>
      </c>
      <c r="CH27" s="725">
        <f t="shared" si="46"/>
        <v>0.4396151496369366</v>
      </c>
      <c r="CI27" s="725">
        <v>42.856915742771811</v>
      </c>
      <c r="CJ27" s="725">
        <f t="shared" si="47"/>
        <v>0.18840549427236214</v>
      </c>
      <c r="CK27" s="725">
        <v>16.790169413507051</v>
      </c>
      <c r="CL27" s="725">
        <f t="shared" si="48"/>
        <v>7.3812128391484183E-2</v>
      </c>
      <c r="CM27" s="725">
        <f t="shared" si="49"/>
        <v>227.4716876399429</v>
      </c>
      <c r="CN27" s="725">
        <v>67.390563780118711</v>
      </c>
      <c r="CO27" s="725">
        <f t="shared" si="50"/>
        <v>0.29884624937476995</v>
      </c>
      <c r="CP27" s="725">
        <v>100</v>
      </c>
      <c r="CQ27" s="725">
        <f t="shared" si="51"/>
        <v>0.44345414641409237</v>
      </c>
      <c r="CR27" s="725">
        <v>38.51787215284272</v>
      </c>
      <c r="CS27" s="725">
        <f t="shared" si="52"/>
        <v>0.17080910117226006</v>
      </c>
      <c r="CT27" s="725">
        <v>19.594022006897685</v>
      </c>
      <c r="CU27" s="725">
        <f t="shared" si="53"/>
        <v>8.6890503038877534E-2</v>
      </c>
      <c r="CV27" s="725">
        <f t="shared" si="54"/>
        <v>225.50245793985914</v>
      </c>
    </row>
    <row r="28" spans="1:100">
      <c r="A28" s="2">
        <v>1990</v>
      </c>
      <c r="B28" s="725">
        <v>68.026333912315195</v>
      </c>
      <c r="C28" s="725">
        <f t="shared" si="55"/>
        <v>0.29793797514132475</v>
      </c>
      <c r="D28" s="725">
        <v>100</v>
      </c>
      <c r="E28" s="725">
        <f t="shared" si="56"/>
        <v>0.4379744696007899</v>
      </c>
      <c r="F28" s="725">
        <v>41.088057046452619</v>
      </c>
      <c r="G28" s="725">
        <f t="shared" si="57"/>
        <v>0.17995519991847084</v>
      </c>
      <c r="H28" s="725">
        <v>19.209419995667929</v>
      </c>
      <c r="I28" s="725">
        <f t="shared" si="4"/>
        <v>8.4132355339414683E-2</v>
      </c>
      <c r="J28" s="725">
        <f t="shared" si="58"/>
        <v>228.32381095443571</v>
      </c>
      <c r="K28" s="725">
        <v>67.697205248645574</v>
      </c>
      <c r="L28" s="725">
        <f t="shared" si="5"/>
        <v>0.2950958619759213</v>
      </c>
      <c r="M28" s="725">
        <v>100</v>
      </c>
      <c r="N28" s="725">
        <f t="shared" si="6"/>
        <v>0.43590553094778656</v>
      </c>
      <c r="O28" s="725">
        <v>44.846704335269564</v>
      </c>
      <c r="P28" s="725">
        <f t="shared" si="7"/>
        <v>0.1954892646452408</v>
      </c>
      <c r="Q28" s="725">
        <v>16.863594795693562</v>
      </c>
      <c r="R28" s="725">
        <f t="shared" si="8"/>
        <v>7.3509342431051325E-2</v>
      </c>
      <c r="S28" s="725">
        <f t="shared" si="9"/>
        <v>229.4075043796087</v>
      </c>
      <c r="T28" s="725">
        <v>64.280236802552068</v>
      </c>
      <c r="U28" s="725">
        <f t="shared" si="10"/>
        <v>0.28629316221277051</v>
      </c>
      <c r="V28" s="725">
        <v>100</v>
      </c>
      <c r="W28" s="725">
        <f t="shared" si="11"/>
        <v>0.44538286797568866</v>
      </c>
      <c r="X28" s="725">
        <v>42.348230140544153</v>
      </c>
      <c r="Y28" s="725">
        <f t="shared" si="12"/>
        <v>0.18861176193690057</v>
      </c>
      <c r="Z28" s="725">
        <v>17.897457133216772</v>
      </c>
      <c r="AA28" s="725">
        <f t="shared" si="13"/>
        <v>7.9712207874640326E-2</v>
      </c>
      <c r="AB28" s="725">
        <f t="shared" si="14"/>
        <v>224.52592407631298</v>
      </c>
      <c r="AC28" s="725">
        <v>67.19581833618723</v>
      </c>
      <c r="AD28" s="725">
        <f t="shared" si="15"/>
        <v>0.29447982798443922</v>
      </c>
      <c r="AE28" s="725">
        <v>100</v>
      </c>
      <c r="AF28" s="725">
        <f t="shared" si="16"/>
        <v>0.43824130024152386</v>
      </c>
      <c r="AG28" s="725">
        <v>42.435861109372269</v>
      </c>
      <c r="AH28" s="725">
        <f t="shared" si="17"/>
        <v>0.18597146949440019</v>
      </c>
      <c r="AI28" s="725">
        <v>18.553112688107323</v>
      </c>
      <c r="AJ28" s="725">
        <f t="shared" si="18"/>
        <v>8.1307402279636676E-2</v>
      </c>
      <c r="AK28" s="725">
        <f t="shared" si="19"/>
        <v>228.18479213366683</v>
      </c>
      <c r="AL28" s="725">
        <v>67.191916298726213</v>
      </c>
      <c r="AM28" s="725">
        <f t="shared" si="20"/>
        <v>0.29631959962580118</v>
      </c>
      <c r="AN28" s="725">
        <v>100</v>
      </c>
      <c r="AO28" s="725">
        <f t="shared" si="21"/>
        <v>0.44100483502867238</v>
      </c>
      <c r="AP28" s="725">
        <v>41.444219284635672</v>
      </c>
      <c r="AQ28" s="725">
        <f t="shared" si="22"/>
        <v>0.18277101088512876</v>
      </c>
      <c r="AR28" s="725">
        <v>18.118747939623539</v>
      </c>
      <c r="AS28" s="725">
        <f t="shared" si="23"/>
        <v>7.9904554460397764E-2</v>
      </c>
      <c r="AT28" s="725">
        <f t="shared" si="24"/>
        <v>226.75488352298541</v>
      </c>
      <c r="AU28" s="725">
        <v>69.354004710028008</v>
      </c>
      <c r="AV28" s="725">
        <f t="shared" si="25"/>
        <v>0.3004261774548474</v>
      </c>
      <c r="AW28" s="725">
        <v>100</v>
      </c>
      <c r="AX28" s="725">
        <f t="shared" si="26"/>
        <v>0.43317783696982137</v>
      </c>
      <c r="AY28" s="725">
        <v>41.075242443963141</v>
      </c>
      <c r="AZ28" s="725">
        <f t="shared" si="27"/>
        <v>0.17792884674886952</v>
      </c>
      <c r="BA28" s="725">
        <v>20.422822055096294</v>
      </c>
      <c r="BB28" s="725">
        <f t="shared" si="28"/>
        <v>8.8467138826461747E-2</v>
      </c>
      <c r="BC28" s="725">
        <f t="shared" si="29"/>
        <v>230.85206920908743</v>
      </c>
      <c r="BD28" s="725">
        <v>68.540823121433988</v>
      </c>
      <c r="BE28" s="725">
        <f t="shared" si="30"/>
        <v>0.29923322196170965</v>
      </c>
      <c r="BF28" s="725">
        <v>100</v>
      </c>
      <c r="BG28" s="725">
        <f t="shared" si="31"/>
        <v>0.43657663905138289</v>
      </c>
      <c r="BH28" s="725">
        <v>41.068321165476334</v>
      </c>
      <c r="BI28" s="725">
        <f t="shared" si="32"/>
        <v>0.17929469625906427</v>
      </c>
      <c r="BJ28" s="725">
        <v>19.44571356642183</v>
      </c>
      <c r="BK28" s="725">
        <f t="shared" si="33"/>
        <v>8.4895442727843218E-2</v>
      </c>
      <c r="BL28" s="725">
        <f t="shared" si="34"/>
        <v>229.05485785333215</v>
      </c>
      <c r="BM28" s="725">
        <v>64.954890489686733</v>
      </c>
      <c r="BN28" s="725">
        <f t="shared" si="35"/>
        <v>0.29081724838939577</v>
      </c>
      <c r="BO28" s="725">
        <v>100</v>
      </c>
      <c r="BP28" s="725">
        <f t="shared" si="36"/>
        <v>0.4477218669710028</v>
      </c>
      <c r="BQ28" s="725">
        <v>40.313095115831054</v>
      </c>
      <c r="BR28" s="725">
        <f t="shared" si="37"/>
        <v>0.18049054208639495</v>
      </c>
      <c r="BS28" s="725">
        <v>18.084964913820166</v>
      </c>
      <c r="BT28" s="725">
        <f t="shared" si="38"/>
        <v>8.0970342553206454E-2</v>
      </c>
      <c r="BU28" s="725">
        <f t="shared" si="39"/>
        <v>223.35295051933795</v>
      </c>
      <c r="BV28" s="725">
        <v>61.208000913230421</v>
      </c>
      <c r="BW28" s="725">
        <f t="shared" si="40"/>
        <v>0.27596906186665826</v>
      </c>
      <c r="BX28" s="725">
        <v>100</v>
      </c>
      <c r="BY28" s="725">
        <f t="shared" si="41"/>
        <v>0.45087089555150972</v>
      </c>
      <c r="BZ28" s="725">
        <v>43.237602323579075</v>
      </c>
      <c r="CA28" s="725">
        <f t="shared" si="42"/>
        <v>0.19494576481132136</v>
      </c>
      <c r="CB28" s="725">
        <v>17.347377828599527</v>
      </c>
      <c r="CC28" s="725">
        <f t="shared" si="43"/>
        <v>7.8214277770510723E-2</v>
      </c>
      <c r="CD28" s="725">
        <f t="shared" si="44"/>
        <v>221.79298106540901</v>
      </c>
      <c r="CE28" s="725">
        <v>67.635297756328242</v>
      </c>
      <c r="CF28" s="725">
        <f t="shared" si="45"/>
        <v>0.29799895114359148</v>
      </c>
      <c r="CG28" s="725">
        <v>100</v>
      </c>
      <c r="CH28" s="725">
        <f t="shared" si="46"/>
        <v>0.44059679047647782</v>
      </c>
      <c r="CI28" s="725">
        <v>42.436659214784662</v>
      </c>
      <c r="CJ28" s="725">
        <f t="shared" si="47"/>
        <v>0.18697455848578171</v>
      </c>
      <c r="CK28" s="725">
        <v>16.892928297016862</v>
      </c>
      <c r="CL28" s="725">
        <f t="shared" si="48"/>
        <v>7.4429699894149021E-2</v>
      </c>
      <c r="CM28" s="725">
        <f t="shared" si="49"/>
        <v>226.96488526812976</v>
      </c>
      <c r="CN28" s="725">
        <v>67.340044123664129</v>
      </c>
      <c r="CO28" s="725">
        <f t="shared" si="50"/>
        <v>0.2988129167686211</v>
      </c>
      <c r="CP28" s="725">
        <v>100</v>
      </c>
      <c r="CQ28" s="725">
        <f t="shared" si="51"/>
        <v>0.4437373343858777</v>
      </c>
      <c r="CR28" s="725">
        <v>38.423960992303599</v>
      </c>
      <c r="CS28" s="725">
        <f t="shared" si="52"/>
        <v>0.17050146027271743</v>
      </c>
      <c r="CT28" s="725">
        <v>19.594539795286366</v>
      </c>
      <c r="CU28" s="725">
        <f t="shared" si="53"/>
        <v>8.6948288572783736E-2</v>
      </c>
      <c r="CV28" s="725">
        <f t="shared" si="54"/>
        <v>225.35854491125411</v>
      </c>
    </row>
    <row r="29" spans="1:100">
      <c r="A29" s="2">
        <v>1991</v>
      </c>
      <c r="B29" s="725">
        <v>67.87133766230987</v>
      </c>
      <c r="C29" s="725">
        <f t="shared" si="55"/>
        <v>0.29738580487536775</v>
      </c>
      <c r="D29" s="725">
        <v>100</v>
      </c>
      <c r="E29" s="725">
        <f t="shared" si="56"/>
        <v>0.43816110764605021</v>
      </c>
      <c r="F29" s="725">
        <v>40.9401103658926</v>
      </c>
      <c r="G29" s="725">
        <f t="shared" si="57"/>
        <v>0.17938364105071045</v>
      </c>
      <c r="H29" s="725">
        <v>19.415106668159908</v>
      </c>
      <c r="I29" s="725">
        <f t="shared" si="4"/>
        <v>8.5069446427871606E-2</v>
      </c>
      <c r="J29" s="725">
        <f t="shared" si="58"/>
        <v>228.22655469636237</v>
      </c>
      <c r="K29" s="725">
        <v>68.2054847458095</v>
      </c>
      <c r="L29" s="725">
        <f t="shared" si="5"/>
        <v>0.29693268295097736</v>
      </c>
      <c r="M29" s="725">
        <v>100</v>
      </c>
      <c r="N29" s="725">
        <f t="shared" si="6"/>
        <v>0.43535015410798134</v>
      </c>
      <c r="O29" s="725">
        <v>44.116422270058827</v>
      </c>
      <c r="P29" s="725">
        <f t="shared" si="7"/>
        <v>0.19206091233962891</v>
      </c>
      <c r="Q29" s="725">
        <v>17.378252858651173</v>
      </c>
      <c r="R29" s="725">
        <f t="shared" si="8"/>
        <v>7.5656250601412553E-2</v>
      </c>
      <c r="S29" s="725">
        <f t="shared" si="9"/>
        <v>229.70015987451947</v>
      </c>
      <c r="T29" s="725">
        <v>64.340449033129048</v>
      </c>
      <c r="U29" s="725">
        <f t="shared" si="10"/>
        <v>0.28626669811669553</v>
      </c>
      <c r="V29" s="725">
        <v>100</v>
      </c>
      <c r="W29" s="725">
        <f t="shared" si="11"/>
        <v>0.44492493045750442</v>
      </c>
      <c r="X29" s="725">
        <v>42.100096670316169</v>
      </c>
      <c r="Y29" s="725">
        <f t="shared" si="12"/>
        <v>0.18731382583294637</v>
      </c>
      <c r="Z29" s="725">
        <v>18.316470940177496</v>
      </c>
      <c r="AA29" s="725">
        <f t="shared" si="13"/>
        <v>8.1494545592853726E-2</v>
      </c>
      <c r="AB29" s="725">
        <f t="shared" si="14"/>
        <v>224.75701664362271</v>
      </c>
      <c r="AC29" s="725">
        <v>67.215719876848283</v>
      </c>
      <c r="AD29" s="725">
        <f t="shared" si="15"/>
        <v>0.29484322578726296</v>
      </c>
      <c r="AE29" s="725">
        <v>100</v>
      </c>
      <c r="AF29" s="725">
        <f t="shared" si="16"/>
        <v>0.43865218780289889</v>
      </c>
      <c r="AG29" s="725">
        <v>41.86846110075065</v>
      </c>
      <c r="AH29" s="725">
        <f t="shared" si="17"/>
        <v>0.18365692061784841</v>
      </c>
      <c r="AI29" s="725">
        <v>18.886869391203419</v>
      </c>
      <c r="AJ29" s="725">
        <f t="shared" si="18"/>
        <v>8.284766579198985E-2</v>
      </c>
      <c r="AK29" s="725">
        <f t="shared" si="19"/>
        <v>227.97105036880234</v>
      </c>
      <c r="AL29" s="725">
        <v>67.330501484105383</v>
      </c>
      <c r="AM29" s="725">
        <f t="shared" si="20"/>
        <v>0.29718764574232814</v>
      </c>
      <c r="AN29" s="725">
        <v>100</v>
      </c>
      <c r="AO29" s="725">
        <f t="shared" si="21"/>
        <v>0.44138635416592703</v>
      </c>
      <c r="AP29" s="725">
        <v>40.819306358343439</v>
      </c>
      <c r="AQ29" s="725">
        <f t="shared" si="22"/>
        <v>0.18017084813091255</v>
      </c>
      <c r="AR29" s="725">
        <v>18.409076581983914</v>
      </c>
      <c r="AS29" s="725">
        <f t="shared" si="23"/>
        <v>8.1255151960832259E-2</v>
      </c>
      <c r="AT29" s="725">
        <f t="shared" si="24"/>
        <v>226.55888442443273</v>
      </c>
      <c r="AU29" s="725">
        <v>69.135718445662306</v>
      </c>
      <c r="AV29" s="725">
        <f t="shared" si="25"/>
        <v>0.29976234857005318</v>
      </c>
      <c r="AW29" s="725">
        <v>100</v>
      </c>
      <c r="AX29" s="725">
        <f t="shared" si="26"/>
        <v>0.43358535256367292</v>
      </c>
      <c r="AY29" s="725">
        <v>40.772126608254993</v>
      </c>
      <c r="AZ29" s="725">
        <f t="shared" si="27"/>
        <v>0.17678196890210951</v>
      </c>
      <c r="BA29" s="725">
        <v>20.727252300564452</v>
      </c>
      <c r="BB29" s="725">
        <f t="shared" si="28"/>
        <v>8.9870329964164386E-2</v>
      </c>
      <c r="BC29" s="725">
        <f t="shared" si="29"/>
        <v>230.63509735448176</v>
      </c>
      <c r="BD29" s="725">
        <v>68.288929220435847</v>
      </c>
      <c r="BE29" s="725">
        <f t="shared" si="30"/>
        <v>0.2981680450342194</v>
      </c>
      <c r="BF29" s="725">
        <v>100</v>
      </c>
      <c r="BG29" s="725">
        <f t="shared" si="31"/>
        <v>0.43662720800868982</v>
      </c>
      <c r="BH29" s="725">
        <v>41.162493440537062</v>
      </c>
      <c r="BI29" s="725">
        <f t="shared" si="32"/>
        <v>0.17972664585617706</v>
      </c>
      <c r="BJ29" s="725">
        <v>19.576906691351311</v>
      </c>
      <c r="BK29" s="725">
        <f t="shared" si="33"/>
        <v>8.5478101100913612E-2</v>
      </c>
      <c r="BL29" s="725">
        <f t="shared" si="34"/>
        <v>229.02832935232425</v>
      </c>
      <c r="BM29" s="725">
        <v>64.860166329609484</v>
      </c>
      <c r="BN29" s="725">
        <f t="shared" si="35"/>
        <v>0.2906421000349857</v>
      </c>
      <c r="BO29" s="725">
        <v>100</v>
      </c>
      <c r="BP29" s="725">
        <f t="shared" si="36"/>
        <v>0.4481056964269669</v>
      </c>
      <c r="BQ29" s="725">
        <v>40.070820915162393</v>
      </c>
      <c r="BR29" s="725">
        <f t="shared" si="37"/>
        <v>0.17955963112589116</v>
      </c>
      <c r="BS29" s="725">
        <v>18.230648051016399</v>
      </c>
      <c r="BT29" s="725">
        <f t="shared" si="38"/>
        <v>8.16925724121563E-2</v>
      </c>
      <c r="BU29" s="725">
        <f t="shared" si="39"/>
        <v>223.16163529578827</v>
      </c>
      <c r="BV29" s="725">
        <v>60.754155877354052</v>
      </c>
      <c r="BW29" s="725">
        <f t="shared" si="40"/>
        <v>0.27492450287391668</v>
      </c>
      <c r="BX29" s="725">
        <v>100</v>
      </c>
      <c r="BY29" s="725">
        <f t="shared" si="41"/>
        <v>0.45251966536892346</v>
      </c>
      <c r="BZ29" s="725">
        <v>42.854767285700234</v>
      </c>
      <c r="CA29" s="725">
        <f t="shared" si="42"/>
        <v>0.19392624951588158</v>
      </c>
      <c r="CB29" s="725">
        <v>17.375948109829512</v>
      </c>
      <c r="CC29" s="725">
        <f t="shared" si="43"/>
        <v>7.8629582241278292E-2</v>
      </c>
      <c r="CD29" s="725">
        <f t="shared" si="44"/>
        <v>220.98487127288379</v>
      </c>
      <c r="CE29" s="725">
        <v>67.50634377268733</v>
      </c>
      <c r="CF29" s="725">
        <f t="shared" si="45"/>
        <v>0.29772584297273746</v>
      </c>
      <c r="CG29" s="725">
        <v>100</v>
      </c>
      <c r="CH29" s="725">
        <f t="shared" si="46"/>
        <v>0.44103387375749947</v>
      </c>
      <c r="CI29" s="725">
        <v>42.149361122859105</v>
      </c>
      <c r="CJ29" s="725">
        <f t="shared" si="47"/>
        <v>0.18589296012418299</v>
      </c>
      <c r="CK29" s="725">
        <v>17.084248541645934</v>
      </c>
      <c r="CL29" s="725">
        <f t="shared" si="48"/>
        <v>7.5347323145580167E-2</v>
      </c>
      <c r="CM29" s="725">
        <f t="shared" si="49"/>
        <v>226.73995343719236</v>
      </c>
      <c r="CN29" s="725">
        <v>67.31038444335698</v>
      </c>
      <c r="CO29" s="725">
        <f t="shared" si="50"/>
        <v>0.29844979310422792</v>
      </c>
      <c r="CP29" s="725">
        <v>100</v>
      </c>
      <c r="CQ29" s="725">
        <f t="shared" si="51"/>
        <v>0.44339338658120325</v>
      </c>
      <c r="CR29" s="725">
        <v>38.462687752158757</v>
      </c>
      <c r="CS29" s="725">
        <f t="shared" si="52"/>
        <v>0.17054101379445039</v>
      </c>
      <c r="CT29" s="725">
        <v>19.760287178769733</v>
      </c>
      <c r="CU29" s="725">
        <f t="shared" si="53"/>
        <v>8.7615806520118425E-2</v>
      </c>
      <c r="CV29" s="725">
        <f t="shared" si="54"/>
        <v>225.53335937428548</v>
      </c>
    </row>
    <row r="30" spans="1:100">
      <c r="A30" s="2">
        <v>1992</v>
      </c>
      <c r="B30" s="725">
        <v>67.700956150561353</v>
      </c>
      <c r="C30" s="725">
        <f t="shared" si="55"/>
        <v>0.29672122637359999</v>
      </c>
      <c r="D30" s="725">
        <v>100</v>
      </c>
      <c r="E30" s="725">
        <f t="shared" si="56"/>
        <v>0.43828217981695328</v>
      </c>
      <c r="F30" s="725">
        <v>40.661996725919799</v>
      </c>
      <c r="G30" s="725">
        <f t="shared" si="57"/>
        <v>0.17821428560745947</v>
      </c>
      <c r="H30" s="725">
        <v>19.800555942801843</v>
      </c>
      <c r="I30" s="725">
        <f t="shared" si="4"/>
        <v>8.6782308201987207E-2</v>
      </c>
      <c r="J30" s="725">
        <f t="shared" si="58"/>
        <v>228.16350881928301</v>
      </c>
      <c r="K30" s="725">
        <v>68.530569255088267</v>
      </c>
      <c r="L30" s="725">
        <f t="shared" si="5"/>
        <v>0.29826771373956851</v>
      </c>
      <c r="M30" s="725">
        <v>100</v>
      </c>
      <c r="N30" s="725">
        <f t="shared" si="6"/>
        <v>0.43523308938138244</v>
      </c>
      <c r="O30" s="725">
        <v>43.257337201058128</v>
      </c>
      <c r="P30" s="725">
        <f t="shared" si="7"/>
        <v>0.18827024508428733</v>
      </c>
      <c r="Q30" s="725">
        <v>17.974035913940313</v>
      </c>
      <c r="R30" s="725">
        <f t="shared" si="8"/>
        <v>7.8228951794761623E-2</v>
      </c>
      <c r="S30" s="725">
        <f t="shared" si="9"/>
        <v>229.76194237008673</v>
      </c>
      <c r="T30" s="725">
        <v>64.497389682557881</v>
      </c>
      <c r="U30" s="725">
        <f t="shared" si="10"/>
        <v>0.28660648376528997</v>
      </c>
      <c r="V30" s="725">
        <v>100</v>
      </c>
      <c r="W30" s="725">
        <f t="shared" si="11"/>
        <v>0.44436912125576666</v>
      </c>
      <c r="X30" s="725">
        <v>41.585946237714396</v>
      </c>
      <c r="Y30" s="725">
        <f t="shared" si="12"/>
        <v>0.18479510386242703</v>
      </c>
      <c r="Z30" s="725">
        <v>18.954802907656678</v>
      </c>
      <c r="AA30" s="725">
        <f t="shared" si="13"/>
        <v>8.4229291116516489E-2</v>
      </c>
      <c r="AB30" s="725">
        <f t="shared" si="14"/>
        <v>225.03813882792892</v>
      </c>
      <c r="AC30" s="725">
        <v>67.224898336072286</v>
      </c>
      <c r="AD30" s="725">
        <f t="shared" si="15"/>
        <v>0.29493655950602715</v>
      </c>
      <c r="AE30" s="725">
        <v>100</v>
      </c>
      <c r="AF30" s="725">
        <f t="shared" si="16"/>
        <v>0.43873113504995337</v>
      </c>
      <c r="AG30" s="725">
        <v>41.247214252556155</v>
      </c>
      <c r="AH30" s="725">
        <f t="shared" si="17"/>
        <v>0.18096437126672577</v>
      </c>
      <c r="AI30" s="725">
        <v>19.457915647489642</v>
      </c>
      <c r="AJ30" s="725">
        <f t="shared" si="18"/>
        <v>8.5367934177293797E-2</v>
      </c>
      <c r="AK30" s="725">
        <f t="shared" si="19"/>
        <v>227.93002823611806</v>
      </c>
      <c r="AL30" s="725">
        <v>67.524103721189491</v>
      </c>
      <c r="AM30" s="725">
        <f t="shared" si="20"/>
        <v>0.29772410761128498</v>
      </c>
      <c r="AN30" s="725">
        <v>100</v>
      </c>
      <c r="AO30" s="725">
        <f t="shared" si="21"/>
        <v>0.44091530461567208</v>
      </c>
      <c r="AP30" s="725">
        <v>40.257039464897908</v>
      </c>
      <c r="AQ30" s="725">
        <f t="shared" si="22"/>
        <v>0.17749944818590593</v>
      </c>
      <c r="AR30" s="725">
        <v>19.019784232764486</v>
      </c>
      <c r="AS30" s="725">
        <f t="shared" si="23"/>
        <v>8.3861139587137104E-2</v>
      </c>
      <c r="AT30" s="725">
        <f t="shared" si="24"/>
        <v>226.80092741885187</v>
      </c>
      <c r="AU30" s="725">
        <v>68.961239154375306</v>
      </c>
      <c r="AV30" s="725">
        <f t="shared" si="25"/>
        <v>0.29928844606971527</v>
      </c>
      <c r="AW30" s="725">
        <v>100</v>
      </c>
      <c r="AX30" s="725">
        <f t="shared" si="26"/>
        <v>0.43399516850289466</v>
      </c>
      <c r="AY30" s="725">
        <v>40.360996690288303</v>
      </c>
      <c r="AZ30" s="725">
        <f t="shared" si="27"/>
        <v>0.17516477559546448</v>
      </c>
      <c r="BA30" s="725">
        <v>21.095075815645828</v>
      </c>
      <c r="BB30" s="725">
        <f t="shared" si="28"/>
        <v>9.1551609831925493E-2</v>
      </c>
      <c r="BC30" s="725">
        <f t="shared" si="29"/>
        <v>230.41731166030945</v>
      </c>
      <c r="BD30" s="725">
        <v>67.980180104339638</v>
      </c>
      <c r="BE30" s="725">
        <f t="shared" si="30"/>
        <v>0.29685081896049043</v>
      </c>
      <c r="BF30" s="725">
        <v>100</v>
      </c>
      <c r="BG30" s="725">
        <f t="shared" si="31"/>
        <v>0.43667259854985346</v>
      </c>
      <c r="BH30" s="725">
        <v>41.079212873775283</v>
      </c>
      <c r="BI30" s="725">
        <f t="shared" si="32"/>
        <v>0.17938166631974048</v>
      </c>
      <c r="BJ30" s="725">
        <v>19.945129705676344</v>
      </c>
      <c r="BK30" s="725">
        <f t="shared" si="33"/>
        <v>8.7094916169915632E-2</v>
      </c>
      <c r="BL30" s="725">
        <f t="shared" si="34"/>
        <v>229.00452268379127</v>
      </c>
      <c r="BM30" s="725">
        <v>64.696514479787254</v>
      </c>
      <c r="BN30" s="725">
        <f t="shared" si="35"/>
        <v>0.29002859185173463</v>
      </c>
      <c r="BO30" s="725">
        <v>100</v>
      </c>
      <c r="BP30" s="725">
        <f t="shared" si="36"/>
        <v>0.44829090745274469</v>
      </c>
      <c r="BQ30" s="725">
        <v>39.803941575670457</v>
      </c>
      <c r="BR30" s="725">
        <f t="shared" si="37"/>
        <v>0.17843745089153343</v>
      </c>
      <c r="BS30" s="725">
        <v>18.568980191230434</v>
      </c>
      <c r="BT30" s="725">
        <f t="shared" si="38"/>
        <v>8.3243049803987321E-2</v>
      </c>
      <c r="BU30" s="725">
        <f t="shared" si="39"/>
        <v>223.06943624668813</v>
      </c>
      <c r="BV30" s="725">
        <v>60.800050734924646</v>
      </c>
      <c r="BW30" s="725">
        <f t="shared" si="40"/>
        <v>0.27555271321658037</v>
      </c>
      <c r="BX30" s="725">
        <v>100</v>
      </c>
      <c r="BY30" s="725">
        <f t="shared" si="41"/>
        <v>0.45321132118447055</v>
      </c>
      <c r="BZ30" s="725">
        <v>42.218159995460915</v>
      </c>
      <c r="CA30" s="725">
        <f t="shared" si="42"/>
        <v>0.19133748069520204</v>
      </c>
      <c r="CB30" s="725">
        <v>17.629410645553133</v>
      </c>
      <c r="CC30" s="725">
        <f t="shared" si="43"/>
        <v>7.9898484903747055E-2</v>
      </c>
      <c r="CD30" s="725">
        <f t="shared" si="44"/>
        <v>220.64762137593868</v>
      </c>
      <c r="CE30" s="725">
        <v>67.36961535656549</v>
      </c>
      <c r="CF30" s="725">
        <f t="shared" si="45"/>
        <v>0.29714161875928269</v>
      </c>
      <c r="CG30" s="725">
        <v>100</v>
      </c>
      <c r="CH30" s="725">
        <f t="shared" si="46"/>
        <v>0.44106177122521573</v>
      </c>
      <c r="CI30" s="725">
        <v>41.85282873466749</v>
      </c>
      <c r="CJ30" s="725">
        <f t="shared" si="47"/>
        <v>0.18459682772498048</v>
      </c>
      <c r="CK30" s="725">
        <v>17.503167884187622</v>
      </c>
      <c r="CL30" s="725">
        <f t="shared" si="48"/>
        <v>7.7199782290521046E-2</v>
      </c>
      <c r="CM30" s="725">
        <f t="shared" si="49"/>
        <v>226.72561197542061</v>
      </c>
      <c r="CN30" s="725">
        <v>67.274897788919631</v>
      </c>
      <c r="CO30" s="725">
        <f t="shared" si="50"/>
        <v>0.29805355472189704</v>
      </c>
      <c r="CP30" s="725">
        <v>100</v>
      </c>
      <c r="CQ30" s="725">
        <f t="shared" si="51"/>
        <v>0.4430382869656137</v>
      </c>
      <c r="CR30" s="725">
        <v>38.310377425600407</v>
      </c>
      <c r="CS30" s="725">
        <f t="shared" si="52"/>
        <v>0.16972963987644121</v>
      </c>
      <c r="CT30" s="725">
        <v>20.128851401723129</v>
      </c>
      <c r="CU30" s="725">
        <f t="shared" si="53"/>
        <v>8.9178518436048071E-2</v>
      </c>
      <c r="CV30" s="725">
        <f t="shared" si="54"/>
        <v>225.71412661624316</v>
      </c>
    </row>
    <row r="31" spans="1:100">
      <c r="A31" s="2">
        <v>1993</v>
      </c>
      <c r="B31" s="725">
        <v>67.605799371401488</v>
      </c>
      <c r="C31" s="725">
        <f t="shared" si="55"/>
        <v>0.29626233270132479</v>
      </c>
      <c r="D31" s="725">
        <v>100</v>
      </c>
      <c r="E31" s="725">
        <f t="shared" si="56"/>
        <v>0.43822029390373468</v>
      </c>
      <c r="F31" s="725">
        <v>40.399149509701139</v>
      </c>
      <c r="G31" s="725">
        <f t="shared" si="57"/>
        <v>0.17703727171602152</v>
      </c>
      <c r="H31" s="725">
        <v>20.190781419711175</v>
      </c>
      <c r="I31" s="725">
        <f t="shared" si="4"/>
        <v>8.8480101678918968E-2</v>
      </c>
      <c r="J31" s="725">
        <f t="shared" si="58"/>
        <v>228.19573030081381</v>
      </c>
      <c r="K31" s="725">
        <v>68.891007746858918</v>
      </c>
      <c r="L31" s="725">
        <f t="shared" si="5"/>
        <v>0.29910741649202205</v>
      </c>
      <c r="M31" s="725">
        <v>100</v>
      </c>
      <c r="N31" s="725">
        <f t="shared" si="6"/>
        <v>0.43417483104775723</v>
      </c>
      <c r="O31" s="725">
        <v>42.795390116490459</v>
      </c>
      <c r="P31" s="725">
        <f t="shared" si="7"/>
        <v>0.18580681273450103</v>
      </c>
      <c r="Q31" s="725">
        <v>18.635566582812764</v>
      </c>
      <c r="R31" s="725">
        <f t="shared" si="8"/>
        <v>8.0910939725719624E-2</v>
      </c>
      <c r="S31" s="725">
        <f t="shared" si="9"/>
        <v>230.32196444616216</v>
      </c>
      <c r="T31" s="725">
        <v>64.687502364253987</v>
      </c>
      <c r="U31" s="725">
        <f t="shared" si="10"/>
        <v>0.28687900599255456</v>
      </c>
      <c r="V31" s="725">
        <v>100</v>
      </c>
      <c r="W31" s="725">
        <f t="shared" si="11"/>
        <v>0.44348443749944905</v>
      </c>
      <c r="X31" s="725">
        <v>41.33247496327629</v>
      </c>
      <c r="Y31" s="725">
        <f t="shared" si="12"/>
        <v>0.18330309409548645</v>
      </c>
      <c r="Z31" s="725">
        <v>19.467078236001726</v>
      </c>
      <c r="AA31" s="725">
        <f t="shared" si="13"/>
        <v>8.6333462412509915E-2</v>
      </c>
      <c r="AB31" s="725">
        <f t="shared" si="14"/>
        <v>225.48705556353201</v>
      </c>
      <c r="AC31" s="725">
        <v>67.267040073599048</v>
      </c>
      <c r="AD31" s="725">
        <f t="shared" si="15"/>
        <v>0.29511396570997717</v>
      </c>
      <c r="AE31" s="725">
        <v>100</v>
      </c>
      <c r="AF31" s="725">
        <f t="shared" si="16"/>
        <v>0.43872001114822862</v>
      </c>
      <c r="AG31" s="725">
        <v>40.631751417792486</v>
      </c>
      <c r="AH31" s="725">
        <f t="shared" si="17"/>
        <v>0.17825962434985973</v>
      </c>
      <c r="AI31" s="725">
        <v>20.037015991557755</v>
      </c>
      <c r="AJ31" s="725">
        <f t="shared" si="18"/>
        <v>8.7906398791934529E-2</v>
      </c>
      <c r="AK31" s="725">
        <f t="shared" si="19"/>
        <v>227.93580748294929</v>
      </c>
      <c r="AL31" s="725">
        <v>67.608692168394739</v>
      </c>
      <c r="AM31" s="725">
        <f t="shared" si="20"/>
        <v>0.29785531206630333</v>
      </c>
      <c r="AN31" s="725">
        <v>100</v>
      </c>
      <c r="AO31" s="725">
        <f t="shared" si="21"/>
        <v>0.44055771900516477</v>
      </c>
      <c r="AP31" s="725">
        <v>39.734943184458629</v>
      </c>
      <c r="AQ31" s="725">
        <f t="shared" si="22"/>
        <v>0.17505535934144911</v>
      </c>
      <c r="AR31" s="725">
        <v>19.641378610385519</v>
      </c>
      <c r="AS31" s="725">
        <f t="shared" si="23"/>
        <v>8.6531609587082781E-2</v>
      </c>
      <c r="AT31" s="725">
        <f t="shared" si="24"/>
        <v>226.98501396323888</v>
      </c>
      <c r="AU31" s="725">
        <v>68.864074901031046</v>
      </c>
      <c r="AV31" s="725">
        <f t="shared" si="25"/>
        <v>0.29915109362456532</v>
      </c>
      <c r="AW31" s="725">
        <v>100</v>
      </c>
      <c r="AX31" s="725">
        <f t="shared" si="26"/>
        <v>0.4344080626284379</v>
      </c>
      <c r="AY31" s="725">
        <v>39.874619817913377</v>
      </c>
      <c r="AZ31" s="725">
        <f t="shared" si="27"/>
        <v>0.17321856343145264</v>
      </c>
      <c r="BA31" s="725">
        <v>21.459610982239035</v>
      </c>
      <c r="BB31" s="725">
        <f t="shared" si="28"/>
        <v>9.3222280315544082E-2</v>
      </c>
      <c r="BC31" s="725">
        <f t="shared" si="29"/>
        <v>230.19830570118347</v>
      </c>
      <c r="BD31" s="725">
        <v>67.739057616072088</v>
      </c>
      <c r="BE31" s="725">
        <f t="shared" si="30"/>
        <v>0.29603309691844876</v>
      </c>
      <c r="BF31" s="725">
        <v>100</v>
      </c>
      <c r="BG31" s="725">
        <f t="shared" si="31"/>
        <v>0.4370198041376509</v>
      </c>
      <c r="BH31" s="725">
        <v>40.767478808123798</v>
      </c>
      <c r="BI31" s="725">
        <f t="shared" si="32"/>
        <v>0.17816195603912097</v>
      </c>
      <c r="BJ31" s="725">
        <v>20.316045649229686</v>
      </c>
      <c r="BK31" s="725">
        <f t="shared" si="33"/>
        <v>8.8785142904779318E-2</v>
      </c>
      <c r="BL31" s="725">
        <f t="shared" si="34"/>
        <v>228.82258207342559</v>
      </c>
      <c r="BM31" s="725">
        <v>64.637559523916039</v>
      </c>
      <c r="BN31" s="725">
        <f t="shared" si="35"/>
        <v>0.28961447465120904</v>
      </c>
      <c r="BO31" s="725">
        <v>100</v>
      </c>
      <c r="BP31" s="725">
        <f t="shared" si="36"/>
        <v>0.44805911111797325</v>
      </c>
      <c r="BQ31" s="725">
        <v>39.639565534370298</v>
      </c>
      <c r="BR31" s="725">
        <f t="shared" si="37"/>
        <v>0.17760868498432603</v>
      </c>
      <c r="BS31" s="725">
        <v>18.907712653160562</v>
      </c>
      <c r="BT31" s="725">
        <f t="shared" si="38"/>
        <v>8.4717729246491763E-2</v>
      </c>
      <c r="BU31" s="725">
        <f t="shared" si="39"/>
        <v>223.18483771144687</v>
      </c>
      <c r="BV31" s="725">
        <v>60.9911252995309</v>
      </c>
      <c r="BW31" s="725">
        <f t="shared" si="40"/>
        <v>0.27534941263233004</v>
      </c>
      <c r="BX31" s="725">
        <v>100</v>
      </c>
      <c r="BY31" s="725">
        <f t="shared" si="41"/>
        <v>0.45145816097026142</v>
      </c>
      <c r="BZ31" s="725">
        <v>42.649983936817897</v>
      </c>
      <c r="CA31" s="725">
        <f t="shared" si="42"/>
        <v>0.19254683313526999</v>
      </c>
      <c r="CB31" s="725">
        <v>17.863359273164374</v>
      </c>
      <c r="CC31" s="725">
        <f t="shared" si="43"/>
        <v>8.0645593262138535E-2</v>
      </c>
      <c r="CD31" s="725">
        <f t="shared" si="44"/>
        <v>221.50446850951317</v>
      </c>
      <c r="CE31" s="725">
        <v>67.32348764214791</v>
      </c>
      <c r="CF31" s="725">
        <f t="shared" si="45"/>
        <v>0.29627391841817591</v>
      </c>
      <c r="CG31" s="725">
        <v>100</v>
      </c>
      <c r="CH31" s="725">
        <f t="shared" si="46"/>
        <v>0.44007511909215685</v>
      </c>
      <c r="CI31" s="725">
        <v>41.953618445666919</v>
      </c>
      <c r="CJ31" s="725">
        <f t="shared" si="47"/>
        <v>0.18462743633823778</v>
      </c>
      <c r="CK31" s="725">
        <v>17.956826624156637</v>
      </c>
      <c r="CL31" s="725">
        <f t="shared" si="48"/>
        <v>7.9023526151429449E-2</v>
      </c>
      <c r="CM31" s="725">
        <f t="shared" si="49"/>
        <v>227.23393271197148</v>
      </c>
      <c r="CN31" s="725">
        <v>67.378773083033323</v>
      </c>
      <c r="CO31" s="725">
        <f t="shared" si="50"/>
        <v>0.29776991579985729</v>
      </c>
      <c r="CP31" s="725">
        <v>100</v>
      </c>
      <c r="CQ31" s="725">
        <f t="shared" si="51"/>
        <v>0.4419343098350938</v>
      </c>
      <c r="CR31" s="725">
        <v>38.398562932151364</v>
      </c>
      <c r="CS31" s="725">
        <f t="shared" si="52"/>
        <v>0.1696964240807973</v>
      </c>
      <c r="CT31" s="725">
        <v>20.500637372567528</v>
      </c>
      <c r="CU31" s="725">
        <f t="shared" si="53"/>
        <v>9.0599350284251617E-2</v>
      </c>
      <c r="CV31" s="725">
        <f t="shared" si="54"/>
        <v>226.27797338775221</v>
      </c>
    </row>
    <row r="32" spans="1:100">
      <c r="A32" s="2">
        <v>1994</v>
      </c>
      <c r="B32" s="725">
        <v>67.602578603116754</v>
      </c>
      <c r="C32" s="725">
        <f t="shared" si="55"/>
        <v>0.29652811195635548</v>
      </c>
      <c r="D32" s="725">
        <v>100</v>
      </c>
      <c r="E32" s="725">
        <f t="shared" si="56"/>
        <v>0.438634321476436</v>
      </c>
      <c r="F32" s="725">
        <v>39.78881432938271</v>
      </c>
      <c r="G32" s="725">
        <f t="shared" si="57"/>
        <v>0.1745273957572068</v>
      </c>
      <c r="H32" s="725">
        <v>20.58894308726666</v>
      </c>
      <c r="I32" s="725">
        <f t="shared" si="4"/>
        <v>9.0310170810001686E-2</v>
      </c>
      <c r="J32" s="725">
        <f t="shared" si="58"/>
        <v>227.98033601976613</v>
      </c>
      <c r="K32" s="725">
        <v>69.161273252028849</v>
      </c>
      <c r="L32" s="725">
        <f t="shared" si="5"/>
        <v>0.29970145639031481</v>
      </c>
      <c r="M32" s="725">
        <v>100</v>
      </c>
      <c r="N32" s="725">
        <f t="shared" si="6"/>
        <v>0.43333710080521554</v>
      </c>
      <c r="O32" s="725">
        <v>42.156410223671955</v>
      </c>
      <c r="P32" s="725">
        <f t="shared" si="7"/>
        <v>0.18267936586681355</v>
      </c>
      <c r="Q32" s="725">
        <v>19.449540965000541</v>
      </c>
      <c r="R32" s="725">
        <f t="shared" si="8"/>
        <v>8.4282076937656089E-2</v>
      </c>
      <c r="S32" s="725">
        <f t="shared" si="9"/>
        <v>230.76722444070134</v>
      </c>
      <c r="T32" s="725">
        <v>64.959493993420111</v>
      </c>
      <c r="U32" s="725">
        <f t="shared" si="10"/>
        <v>0.28752861624722637</v>
      </c>
      <c r="V32" s="725">
        <v>100</v>
      </c>
      <c r="W32" s="725">
        <f t="shared" si="11"/>
        <v>0.44262754921759517</v>
      </c>
      <c r="X32" s="725">
        <v>40.94714798691281</v>
      </c>
      <c r="Y32" s="725">
        <f t="shared" si="12"/>
        <v>0.18124335760897403</v>
      </c>
      <c r="Z32" s="725">
        <v>20.016936831613421</v>
      </c>
      <c r="AA32" s="725">
        <f t="shared" si="13"/>
        <v>8.8600476926204624E-2</v>
      </c>
      <c r="AB32" s="725">
        <f t="shared" si="14"/>
        <v>225.9235788119463</v>
      </c>
      <c r="AC32" s="725">
        <v>67.341409969672156</v>
      </c>
      <c r="AD32" s="725">
        <f t="shared" si="15"/>
        <v>0.295511797405693</v>
      </c>
      <c r="AE32" s="725">
        <v>100</v>
      </c>
      <c r="AF32" s="725">
        <f t="shared" si="16"/>
        <v>0.43882626980750705</v>
      </c>
      <c r="AG32" s="725">
        <v>39.91497521742879</v>
      </c>
      <c r="AH32" s="725">
        <f t="shared" si="17"/>
        <v>0.17515739684123363</v>
      </c>
      <c r="AI32" s="725">
        <v>20.62422926167719</v>
      </c>
      <c r="AJ32" s="725">
        <f t="shared" si="18"/>
        <v>9.0504535945566372E-2</v>
      </c>
      <c r="AK32" s="725">
        <f t="shared" si="19"/>
        <v>227.88061444877812</v>
      </c>
      <c r="AL32" s="725">
        <v>67.753287522411142</v>
      </c>
      <c r="AM32" s="725">
        <f t="shared" si="20"/>
        <v>0.29834109890453214</v>
      </c>
      <c r="AN32" s="725">
        <v>100</v>
      </c>
      <c r="AO32" s="725">
        <f t="shared" si="21"/>
        <v>0.44033449861137458</v>
      </c>
      <c r="AP32" s="725">
        <v>39.064062532473393</v>
      </c>
      <c r="AQ32" s="725">
        <f t="shared" si="22"/>
        <v>0.17201254388960055</v>
      </c>
      <c r="AR32" s="725">
        <v>20.282730259869233</v>
      </c>
      <c r="AS32" s="725">
        <f t="shared" si="23"/>
        <v>8.9311858594492741E-2</v>
      </c>
      <c r="AT32" s="725">
        <f t="shared" si="24"/>
        <v>227.10008031475377</v>
      </c>
      <c r="AU32" s="725">
        <v>68.859809440600031</v>
      </c>
      <c r="AV32" s="725">
        <f t="shared" si="25"/>
        <v>0.29943366161210622</v>
      </c>
      <c r="AW32" s="725">
        <v>100</v>
      </c>
      <c r="AX32" s="725">
        <f t="shared" si="26"/>
        <v>0.43484532420962357</v>
      </c>
      <c r="AY32" s="725">
        <v>39.22816972395416</v>
      </c>
      <c r="AZ32" s="725">
        <f t="shared" si="27"/>
        <v>0.17058186181762988</v>
      </c>
      <c r="BA32" s="725">
        <v>21.878849113432604</v>
      </c>
      <c r="BB32" s="725">
        <f t="shared" si="28"/>
        <v>9.5139152360640369E-2</v>
      </c>
      <c r="BC32" s="725">
        <f t="shared" si="29"/>
        <v>229.96682827798679</v>
      </c>
      <c r="BD32" s="725">
        <v>67.617065154680418</v>
      </c>
      <c r="BE32" s="725">
        <f t="shared" si="30"/>
        <v>0.2960235778737903</v>
      </c>
      <c r="BF32" s="725">
        <v>100</v>
      </c>
      <c r="BG32" s="725">
        <f t="shared" si="31"/>
        <v>0.43779418286878974</v>
      </c>
      <c r="BH32" s="725">
        <v>40.137310286981432</v>
      </c>
      <c r="BI32" s="725">
        <f t="shared" si="32"/>
        <v>0.17571880959640104</v>
      </c>
      <c r="BJ32" s="725">
        <v>20.663460868353194</v>
      </c>
      <c r="BK32" s="725">
        <f t="shared" si="33"/>
        <v>9.0463429661019001E-2</v>
      </c>
      <c r="BL32" s="725">
        <f t="shared" si="34"/>
        <v>228.41783631001502</v>
      </c>
      <c r="BM32" s="725">
        <v>64.597544581252293</v>
      </c>
      <c r="BN32" s="725">
        <f t="shared" si="35"/>
        <v>0.28965581033461868</v>
      </c>
      <c r="BO32" s="725">
        <v>100</v>
      </c>
      <c r="BP32" s="725">
        <f t="shared" si="36"/>
        <v>0.44840065084870656</v>
      </c>
      <c r="BQ32" s="725">
        <v>39.170303699025929</v>
      </c>
      <c r="BR32" s="725">
        <f t="shared" si="37"/>
        <v>0.17563989672584726</v>
      </c>
      <c r="BS32" s="725">
        <v>19.246993046838138</v>
      </c>
      <c r="BT32" s="725">
        <f t="shared" si="38"/>
        <v>8.6303642090827512E-2</v>
      </c>
      <c r="BU32" s="725">
        <f t="shared" si="39"/>
        <v>223.01484132711636</v>
      </c>
      <c r="BV32" s="725">
        <v>61.273424610488256</v>
      </c>
      <c r="BW32" s="725">
        <f t="shared" si="40"/>
        <v>0.27761914969330687</v>
      </c>
      <c r="BX32" s="725">
        <v>100</v>
      </c>
      <c r="BY32" s="725">
        <f t="shared" si="41"/>
        <v>0.45308247655181078</v>
      </c>
      <c r="BZ32" s="725">
        <v>41.311146093329903</v>
      </c>
      <c r="CA32" s="725">
        <f t="shared" si="42"/>
        <v>0.18717356381159575</v>
      </c>
      <c r="CB32" s="725">
        <v>18.125797000205864</v>
      </c>
      <c r="CC32" s="725">
        <f t="shared" si="43"/>
        <v>8.2124809943286553E-2</v>
      </c>
      <c r="CD32" s="725">
        <f t="shared" si="44"/>
        <v>220.71036770402404</v>
      </c>
      <c r="CE32" s="725">
        <v>67.385764528405844</v>
      </c>
      <c r="CF32" s="725">
        <f t="shared" si="45"/>
        <v>0.29643959183059604</v>
      </c>
      <c r="CG32" s="725">
        <v>100</v>
      </c>
      <c r="CH32" s="725">
        <f t="shared" si="46"/>
        <v>0.43991426661878219</v>
      </c>
      <c r="CI32" s="725">
        <v>41.540160702676602</v>
      </c>
      <c r="CJ32" s="725">
        <f t="shared" si="47"/>
        <v>0.18274109330744334</v>
      </c>
      <c r="CK32" s="725">
        <v>18.391094443247184</v>
      </c>
      <c r="CL32" s="725">
        <f t="shared" si="48"/>
        <v>8.0905048243178457E-2</v>
      </c>
      <c r="CM32" s="725">
        <f t="shared" si="49"/>
        <v>227.31701967432963</v>
      </c>
      <c r="CN32" s="725">
        <v>67.560917554728888</v>
      </c>
      <c r="CO32" s="725">
        <f t="shared" si="50"/>
        <v>0.29833344895869235</v>
      </c>
      <c r="CP32" s="725">
        <v>100</v>
      </c>
      <c r="CQ32" s="725">
        <f t="shared" si="51"/>
        <v>0.44157696454762058</v>
      </c>
      <c r="CR32" s="725">
        <v>38.028344228071866</v>
      </c>
      <c r="CS32" s="725">
        <f t="shared" si="52"/>
        <v>0.16792440811004003</v>
      </c>
      <c r="CT32" s="725">
        <v>20.871826608543078</v>
      </c>
      <c r="CU32" s="725">
        <f t="shared" si="53"/>
        <v>9.2165178383647101E-2</v>
      </c>
      <c r="CV32" s="725">
        <f t="shared" si="54"/>
        <v>226.46108839134382</v>
      </c>
    </row>
    <row r="33" spans="1:138" ht="15.75" customHeight="1">
      <c r="A33" s="2">
        <v>1995</v>
      </c>
      <c r="B33" s="725">
        <v>67.64423120074045</v>
      </c>
      <c r="C33" s="725">
        <f t="shared" si="55"/>
        <v>0.29690348453780302</v>
      </c>
      <c r="D33" s="725">
        <v>100</v>
      </c>
      <c r="E33" s="725">
        <f t="shared" si="56"/>
        <v>0.43891914989278946</v>
      </c>
      <c r="F33" s="725">
        <v>39.219941342846766</v>
      </c>
      <c r="G33" s="725">
        <f t="shared" si="57"/>
        <v>0.17214383313047368</v>
      </c>
      <c r="H33" s="725">
        <v>20.968219878630052</v>
      </c>
      <c r="I33" s="725">
        <f t="shared" si="4"/>
        <v>9.2033532438933904E-2</v>
      </c>
      <c r="J33" s="725">
        <f t="shared" si="58"/>
        <v>227.83239242221725</v>
      </c>
      <c r="K33" s="725">
        <v>69.413126964012847</v>
      </c>
      <c r="L33" s="725">
        <f t="shared" si="5"/>
        <v>0.30011345197179684</v>
      </c>
      <c r="M33" s="725">
        <v>100</v>
      </c>
      <c r="N33" s="725">
        <f t="shared" si="6"/>
        <v>0.43235835222837654</v>
      </c>
      <c r="O33" s="725">
        <v>41.569549792542347</v>
      </c>
      <c r="P33" s="725">
        <f t="shared" si="7"/>
        <v>0.17972942051179061</v>
      </c>
      <c r="Q33" s="725">
        <v>20.306945577787687</v>
      </c>
      <c r="R33" s="725">
        <f t="shared" si="8"/>
        <v>8.7798775288036021E-2</v>
      </c>
      <c r="S33" s="725">
        <f t="shared" si="9"/>
        <v>231.28962233434288</v>
      </c>
      <c r="T33" s="725">
        <v>65.187665067142802</v>
      </c>
      <c r="U33" s="725">
        <f t="shared" si="10"/>
        <v>0.28777587263812537</v>
      </c>
      <c r="V33" s="725">
        <v>100</v>
      </c>
      <c r="W33" s="725">
        <f t="shared" si="11"/>
        <v>0.44145755541591869</v>
      </c>
      <c r="X33" s="725">
        <v>40.697844726671065</v>
      </c>
      <c r="Y33" s="725">
        <f t="shared" si="12"/>
        <v>0.17966371043732846</v>
      </c>
      <c r="Z33" s="725">
        <v>20.636833686716514</v>
      </c>
      <c r="AA33" s="725">
        <f t="shared" si="13"/>
        <v>9.1102861508627522E-2</v>
      </c>
      <c r="AB33" s="725">
        <f t="shared" si="14"/>
        <v>226.52234348053037</v>
      </c>
      <c r="AC33" s="725">
        <v>67.437939059604361</v>
      </c>
      <c r="AD33" s="725">
        <f t="shared" si="15"/>
        <v>0.29603518521264366</v>
      </c>
      <c r="AE33" s="725">
        <v>100</v>
      </c>
      <c r="AF33" s="725">
        <f t="shared" si="16"/>
        <v>0.43897424704956639</v>
      </c>
      <c r="AG33" s="725">
        <v>39.163426620861799</v>
      </c>
      <c r="AH33" s="725">
        <f t="shared" si="17"/>
        <v>0.17191735712773751</v>
      </c>
      <c r="AI33" s="725">
        <v>21.202430720165495</v>
      </c>
      <c r="AJ33" s="725">
        <f t="shared" si="18"/>
        <v>9.3073210610052429E-2</v>
      </c>
      <c r="AK33" s="725">
        <f t="shared" si="19"/>
        <v>227.80379640063165</v>
      </c>
      <c r="AL33" s="725">
        <v>67.939643887751799</v>
      </c>
      <c r="AM33" s="725">
        <f t="shared" si="20"/>
        <v>0.29897028798640612</v>
      </c>
      <c r="AN33" s="725">
        <v>100</v>
      </c>
      <c r="AO33" s="725">
        <f t="shared" si="21"/>
        <v>0.44005277460735215</v>
      </c>
      <c r="AP33" s="725">
        <v>38.403974305769431</v>
      </c>
      <c r="AQ33" s="725">
        <f t="shared" si="22"/>
        <v>0.168997754492033</v>
      </c>
      <c r="AR33" s="725">
        <v>20.901852737158482</v>
      </c>
      <c r="AS33" s="725">
        <f t="shared" si="23"/>
        <v>9.1979182914208688E-2</v>
      </c>
      <c r="AT33" s="725">
        <f t="shared" si="24"/>
        <v>227.24547093067972</v>
      </c>
      <c r="AU33" s="725">
        <v>68.920156044580452</v>
      </c>
      <c r="AV33" s="725">
        <f t="shared" si="25"/>
        <v>0.29997335749025467</v>
      </c>
      <c r="AW33" s="725">
        <v>100</v>
      </c>
      <c r="AX33" s="725">
        <f t="shared" si="26"/>
        <v>0.4352476469963581</v>
      </c>
      <c r="AY33" s="725">
        <v>38.552189879198963</v>
      </c>
      <c r="AZ33" s="725">
        <f t="shared" si="27"/>
        <v>0.16779749931478161</v>
      </c>
      <c r="BA33" s="725">
        <v>22.28191165831096</v>
      </c>
      <c r="BB33" s="725">
        <f t="shared" si="28"/>
        <v>9.698149619860566E-2</v>
      </c>
      <c r="BC33" s="725">
        <f t="shared" si="29"/>
        <v>229.75425758209036</v>
      </c>
      <c r="BD33" s="725">
        <v>67.532973842567372</v>
      </c>
      <c r="BE33" s="725">
        <f t="shared" si="30"/>
        <v>0.29615249166318769</v>
      </c>
      <c r="BF33" s="725">
        <v>100</v>
      </c>
      <c r="BG33" s="725">
        <f t="shared" si="31"/>
        <v>0.43853020948489158</v>
      </c>
      <c r="BH33" s="725">
        <v>39.537112358944775</v>
      </c>
      <c r="BI33" s="725">
        <f t="shared" si="32"/>
        <v>0.17338218165195746</v>
      </c>
      <c r="BJ33" s="725">
        <v>20.964374907706482</v>
      </c>
      <c r="BK33" s="725">
        <f t="shared" si="33"/>
        <v>9.1935117199963279E-2</v>
      </c>
      <c r="BL33" s="725">
        <f t="shared" si="34"/>
        <v>228.03446110921863</v>
      </c>
      <c r="BM33" s="725">
        <v>64.600008856219276</v>
      </c>
      <c r="BN33" s="725">
        <f t="shared" si="35"/>
        <v>0.28974945488922055</v>
      </c>
      <c r="BO33" s="725">
        <v>100</v>
      </c>
      <c r="BP33" s="725">
        <f t="shared" si="36"/>
        <v>0.44852850644977171</v>
      </c>
      <c r="BQ33" s="725">
        <v>38.768123063839148</v>
      </c>
      <c r="BR33" s="725">
        <f t="shared" si="37"/>
        <v>0.17388608335684722</v>
      </c>
      <c r="BS33" s="725">
        <v>19.583137758490903</v>
      </c>
      <c r="BT33" s="725">
        <f t="shared" si="38"/>
        <v>8.7835955304160551E-2</v>
      </c>
      <c r="BU33" s="725">
        <f t="shared" si="39"/>
        <v>222.95126967854932</v>
      </c>
      <c r="BV33" s="725">
        <v>61.780029621303925</v>
      </c>
      <c r="BW33" s="725">
        <f t="shared" si="40"/>
        <v>0.27946082920881005</v>
      </c>
      <c r="BX33" s="725">
        <v>100</v>
      </c>
      <c r="BY33" s="725">
        <f t="shared" si="41"/>
        <v>0.45234816318774013</v>
      </c>
      <c r="BZ33" s="725">
        <v>40.834923727850779</v>
      </c>
      <c r="CA33" s="725">
        <f t="shared" si="42"/>
        <v>0.18471602742204765</v>
      </c>
      <c r="CB33" s="725">
        <v>18.453701589754697</v>
      </c>
      <c r="CC33" s="725">
        <f t="shared" si="43"/>
        <v>8.3474980181402175E-2</v>
      </c>
      <c r="CD33" s="725">
        <f t="shared" si="44"/>
        <v>221.06865493890939</v>
      </c>
      <c r="CE33" s="725">
        <v>67.491833115805747</v>
      </c>
      <c r="CF33" s="725">
        <f t="shared" si="45"/>
        <v>0.29674580867313716</v>
      </c>
      <c r="CG33" s="725">
        <v>100</v>
      </c>
      <c r="CH33" s="725">
        <f t="shared" si="46"/>
        <v>0.43967661711597961</v>
      </c>
      <c r="CI33" s="725">
        <v>41.121817641080696</v>
      </c>
      <c r="CJ33" s="725">
        <f t="shared" si="47"/>
        <v>0.18080301670090573</v>
      </c>
      <c r="CK33" s="725">
        <v>18.826235985195204</v>
      </c>
      <c r="CL33" s="725">
        <f t="shared" si="48"/>
        <v>8.2774557509977489E-2</v>
      </c>
      <c r="CM33" s="725">
        <f t="shared" si="49"/>
        <v>227.43988674208165</v>
      </c>
      <c r="CN33" s="725">
        <v>67.775051027296627</v>
      </c>
      <c r="CO33" s="725">
        <f t="shared" si="50"/>
        <v>0.29893393762800641</v>
      </c>
      <c r="CP33" s="725">
        <v>100</v>
      </c>
      <c r="CQ33" s="725">
        <f t="shared" si="51"/>
        <v>0.44106781639693604</v>
      </c>
      <c r="CR33" s="725">
        <v>37.68044109219025</v>
      </c>
      <c r="CS33" s="725">
        <f t="shared" si="52"/>
        <v>0.16619629873405734</v>
      </c>
      <c r="CT33" s="725">
        <v>21.267012408038354</v>
      </c>
      <c r="CU33" s="725">
        <f t="shared" si="53"/>
        <v>9.3801947241000216E-2</v>
      </c>
      <c r="CV33" s="725">
        <f t="shared" si="54"/>
        <v>226.72250452752525</v>
      </c>
    </row>
    <row r="34" spans="1:138" ht="15.75" customHeight="1">
      <c r="A34" s="2">
        <v>1996</v>
      </c>
      <c r="B34" s="725">
        <v>67.696728879199739</v>
      </c>
      <c r="C34" s="725">
        <f t="shared" si="55"/>
        <v>0.29740625874066828</v>
      </c>
      <c r="D34" s="725">
        <v>100</v>
      </c>
      <c r="E34" s="725">
        <f t="shared" si="56"/>
        <v>0.43932146156038016</v>
      </c>
      <c r="F34" s="725">
        <v>38.58193</v>
      </c>
      <c r="G34" s="725">
        <f t="shared" si="57"/>
        <v>0.16949869877420279</v>
      </c>
      <c r="H34" s="725">
        <v>21.34509445354303</v>
      </c>
      <c r="I34" s="725">
        <f t="shared" si="4"/>
        <v>9.3773580924748884E-2</v>
      </c>
      <c r="J34" s="725">
        <f t="shared" si="58"/>
        <v>227.62375333274275</v>
      </c>
      <c r="K34" s="725">
        <v>69.644701249602463</v>
      </c>
      <c r="L34" s="725">
        <f t="shared" si="5"/>
        <v>0.30022965272659535</v>
      </c>
      <c r="M34" s="725">
        <v>100</v>
      </c>
      <c r="N34" s="725">
        <f t="shared" si="6"/>
        <v>0.43108757355507943</v>
      </c>
      <c r="O34" s="725">
        <v>41.064010000000003</v>
      </c>
      <c r="P34" s="725">
        <f t="shared" si="7"/>
        <v>0.17702184431341519</v>
      </c>
      <c r="Q34" s="725">
        <v>21.262716679352078</v>
      </c>
      <c r="R34" s="725">
        <f t="shared" si="8"/>
        <v>9.1660929404910038E-2</v>
      </c>
      <c r="S34" s="725">
        <f t="shared" si="9"/>
        <v>231.97142792895454</v>
      </c>
      <c r="T34" s="725">
        <v>65.548081952599517</v>
      </c>
      <c r="U34" s="725">
        <f t="shared" si="10"/>
        <v>0.28863189355068469</v>
      </c>
      <c r="V34" s="725">
        <v>100</v>
      </c>
      <c r="W34" s="725">
        <f t="shared" si="11"/>
        <v>0.44033613944555411</v>
      </c>
      <c r="X34" s="725">
        <v>40.371960000000001</v>
      </c>
      <c r="Y34" s="725">
        <f t="shared" si="12"/>
        <v>0.17777233008250332</v>
      </c>
      <c r="Z34" s="725">
        <v>21.179192114161946</v>
      </c>
      <c r="AA34" s="725">
        <f t="shared" si="13"/>
        <v>9.3259636921257938E-2</v>
      </c>
      <c r="AB34" s="725">
        <f t="shared" si="14"/>
        <v>227.09923406676145</v>
      </c>
      <c r="AC34" s="725">
        <v>67.514632347177738</v>
      </c>
      <c r="AD34" s="725">
        <f t="shared" si="15"/>
        <v>0.29681115050280993</v>
      </c>
      <c r="AE34" s="725">
        <v>100</v>
      </c>
      <c r="AF34" s="725">
        <f t="shared" si="16"/>
        <v>0.4396249230485772</v>
      </c>
      <c r="AG34" s="725">
        <v>38.204320000000003</v>
      </c>
      <c r="AH34" s="725">
        <f t="shared" si="17"/>
        <v>0.16795571240123219</v>
      </c>
      <c r="AI34" s="725">
        <v>21.747678312773065</v>
      </c>
      <c r="AJ34" s="725">
        <f t="shared" si="18"/>
        <v>9.5608214047380694E-2</v>
      </c>
      <c r="AK34" s="725">
        <f t="shared" si="19"/>
        <v>227.46663065995079</v>
      </c>
      <c r="AL34" s="725">
        <v>68.142736365231542</v>
      </c>
      <c r="AM34" s="725">
        <f t="shared" si="20"/>
        <v>0.29931448743074096</v>
      </c>
      <c r="AN34" s="725">
        <v>100</v>
      </c>
      <c r="AO34" s="725">
        <f t="shared" si="21"/>
        <v>0.43924635756696756</v>
      </c>
      <c r="AP34" s="725">
        <v>38.003270000000001</v>
      </c>
      <c r="AQ34" s="725">
        <f t="shared" si="22"/>
        <v>0.16692797923134012</v>
      </c>
      <c r="AR34" s="725">
        <v>21.516666932529365</v>
      </c>
      <c r="AS34" s="725">
        <f t="shared" si="23"/>
        <v>9.4511175770951403E-2</v>
      </c>
      <c r="AT34" s="725">
        <f t="shared" si="24"/>
        <v>227.6626732977609</v>
      </c>
      <c r="AU34" s="725">
        <v>68.955319773414743</v>
      </c>
      <c r="AV34" s="725">
        <f t="shared" si="25"/>
        <v>0.30058346711738743</v>
      </c>
      <c r="AW34" s="725">
        <v>100</v>
      </c>
      <c r="AX34" s="725">
        <f t="shared" si="26"/>
        <v>0.43591048247632863</v>
      </c>
      <c r="AY34" s="725">
        <v>37.739789999999999</v>
      </c>
      <c r="AZ34" s="725">
        <f t="shared" si="27"/>
        <v>0.16451170067455323</v>
      </c>
      <c r="BA34" s="725">
        <v>22.709788755104427</v>
      </c>
      <c r="BB34" s="725">
        <f t="shared" si="28"/>
        <v>9.8994349731730727E-2</v>
      </c>
      <c r="BC34" s="725">
        <f t="shared" si="29"/>
        <v>229.40489852851917</v>
      </c>
      <c r="BD34" s="725">
        <v>67.426178863065033</v>
      </c>
      <c r="BE34" s="725">
        <f t="shared" si="30"/>
        <v>0.29605909103493439</v>
      </c>
      <c r="BF34" s="725">
        <v>100</v>
      </c>
      <c r="BG34" s="725">
        <f t="shared" si="31"/>
        <v>0.43908626593863048</v>
      </c>
      <c r="BH34" s="725">
        <v>39.047979999999995</v>
      </c>
      <c r="BI34" s="725">
        <f t="shared" si="32"/>
        <v>0.17145431730646321</v>
      </c>
      <c r="BJ34" s="725">
        <v>21.271520647613716</v>
      </c>
      <c r="BK34" s="725">
        <f t="shared" si="33"/>
        <v>9.3400325719971852E-2</v>
      </c>
      <c r="BL34" s="725">
        <f t="shared" si="34"/>
        <v>227.74567951067877</v>
      </c>
      <c r="BM34" s="725">
        <v>64.721000603070365</v>
      </c>
      <c r="BN34" s="725">
        <f t="shared" si="35"/>
        <v>0.2903628401684491</v>
      </c>
      <c r="BO34" s="725">
        <v>100</v>
      </c>
      <c r="BP34" s="725">
        <f t="shared" si="36"/>
        <v>0.44863774889579544</v>
      </c>
      <c r="BQ34" s="725">
        <v>38.195659999999997</v>
      </c>
      <c r="BR34" s="725">
        <f t="shared" si="37"/>
        <v>0.17136014919989176</v>
      </c>
      <c r="BS34" s="725">
        <v>19.980320861650014</v>
      </c>
      <c r="BT34" s="725">
        <f t="shared" si="38"/>
        <v>8.9639261735863618E-2</v>
      </c>
      <c r="BU34" s="725">
        <f t="shared" si="39"/>
        <v>222.8969814647204</v>
      </c>
      <c r="BV34" s="725">
        <v>62.329758161217399</v>
      </c>
      <c r="BW34" s="725">
        <f t="shared" si="40"/>
        <v>0.28137519141462786</v>
      </c>
      <c r="BX34" s="725">
        <v>100</v>
      </c>
      <c r="BY34" s="725">
        <f t="shared" si="41"/>
        <v>0.45142994247923152</v>
      </c>
      <c r="BZ34" s="725">
        <v>40.412999999999997</v>
      </c>
      <c r="CA34" s="725">
        <f t="shared" si="42"/>
        <v>0.18243638265413184</v>
      </c>
      <c r="CB34" s="725">
        <v>18.775556398966181</v>
      </c>
      <c r="CC34" s="725">
        <f t="shared" si="43"/>
        <v>8.4758483452008704E-2</v>
      </c>
      <c r="CD34" s="725">
        <f t="shared" si="44"/>
        <v>221.5183145601836</v>
      </c>
      <c r="CE34" s="725">
        <v>67.695386131043094</v>
      </c>
      <c r="CF34" s="725">
        <f t="shared" si="45"/>
        <v>0.29741732903435691</v>
      </c>
      <c r="CG34" s="725">
        <v>100</v>
      </c>
      <c r="CH34" s="725">
        <f t="shared" si="46"/>
        <v>0.43934652866684837</v>
      </c>
      <c r="CI34" s="725">
        <v>40.686679999999996</v>
      </c>
      <c r="CJ34" s="725">
        <f t="shared" si="47"/>
        <v>0.17875551620978883</v>
      </c>
      <c r="CK34" s="725">
        <v>19.228700029872442</v>
      </c>
      <c r="CL34" s="725">
        <f t="shared" si="48"/>
        <v>8.4480626089005806E-2</v>
      </c>
      <c r="CM34" s="725">
        <f t="shared" si="49"/>
        <v>227.61076616091555</v>
      </c>
      <c r="CN34" s="725">
        <v>68.065442244400757</v>
      </c>
      <c r="CO34" s="725">
        <f t="shared" si="50"/>
        <v>0.30064746541677134</v>
      </c>
      <c r="CP34" s="725">
        <v>100</v>
      </c>
      <c r="CQ34" s="725">
        <f t="shared" si="51"/>
        <v>0.44170353633675746</v>
      </c>
      <c r="CR34" s="725">
        <v>36.740469999999995</v>
      </c>
      <c r="CS34" s="725">
        <f t="shared" si="52"/>
        <v>0.16228395525674544</v>
      </c>
      <c r="CT34" s="725">
        <v>21.590282880827768</v>
      </c>
      <c r="CU34" s="725">
        <f t="shared" si="53"/>
        <v>9.5365042989725812E-2</v>
      </c>
      <c r="CV34" s="725">
        <f t="shared" si="54"/>
        <v>226.3961951252285</v>
      </c>
    </row>
    <row r="35" spans="1:138" ht="15.75" customHeight="1">
      <c r="A35" s="2">
        <v>1997</v>
      </c>
      <c r="B35" s="725">
        <v>67.791400560182879</v>
      </c>
      <c r="C35" s="725">
        <f t="shared" si="55"/>
        <v>0.2978046612815714</v>
      </c>
      <c r="D35" s="725">
        <v>100</v>
      </c>
      <c r="E35" s="725">
        <f t="shared" si="56"/>
        <v>0.43929563162984164</v>
      </c>
      <c r="F35" s="725">
        <v>38.082230000000003</v>
      </c>
      <c r="G35" s="725">
        <f t="shared" si="57"/>
        <v>0.16729357281722906</v>
      </c>
      <c r="H35" s="725">
        <v>21.763506711106434</v>
      </c>
      <c r="I35" s="725">
        <f t="shared" si="4"/>
        <v>9.5606134271357987E-2</v>
      </c>
      <c r="J35" s="725">
        <f t="shared" si="58"/>
        <v>227.6371372712893</v>
      </c>
      <c r="K35" s="725">
        <v>69.901671957902451</v>
      </c>
      <c r="L35" s="725">
        <f t="shared" si="5"/>
        <v>0.30175897446569006</v>
      </c>
      <c r="M35" s="725">
        <v>100</v>
      </c>
      <c r="N35" s="725">
        <f t="shared" si="6"/>
        <v>0.43169063917014922</v>
      </c>
      <c r="O35" s="725">
        <v>39.471679999999999</v>
      </c>
      <c r="P35" s="725">
        <f t="shared" si="7"/>
        <v>0.17039554768319595</v>
      </c>
      <c r="Q35" s="725">
        <v>22.274015222059461</v>
      </c>
      <c r="R35" s="725">
        <f t="shared" si="8"/>
        <v>9.6154838680964819E-2</v>
      </c>
      <c r="S35" s="725">
        <f t="shared" si="9"/>
        <v>231.64736717996192</v>
      </c>
      <c r="T35" s="725">
        <v>65.812116536243067</v>
      </c>
      <c r="U35" s="725">
        <f t="shared" si="10"/>
        <v>0.28868919523805231</v>
      </c>
      <c r="V35" s="725">
        <v>100</v>
      </c>
      <c r="W35" s="725">
        <f t="shared" si="11"/>
        <v>0.43865660372595627</v>
      </c>
      <c r="X35" s="725">
        <v>40.409329999999997</v>
      </c>
      <c r="Y35" s="725">
        <f t="shared" si="12"/>
        <v>0.17725819456641395</v>
      </c>
      <c r="Z35" s="725">
        <v>21.747308865130975</v>
      </c>
      <c r="AA35" s="725">
        <f t="shared" si="13"/>
        <v>9.5396006469577341E-2</v>
      </c>
      <c r="AB35" s="725">
        <f t="shared" si="14"/>
        <v>227.96875540137407</v>
      </c>
      <c r="AC35" s="725">
        <v>67.64882529209504</v>
      </c>
      <c r="AD35" s="725">
        <f t="shared" si="15"/>
        <v>0.29834634119142051</v>
      </c>
      <c r="AE35" s="725">
        <v>100</v>
      </c>
      <c r="AF35" s="725">
        <f t="shared" si="16"/>
        <v>0.44102220534239361</v>
      </c>
      <c r="AG35" s="725">
        <v>36.742069999999998</v>
      </c>
      <c r="AH35" s="725">
        <f t="shared" si="17"/>
        <v>0.16204068740244601</v>
      </c>
      <c r="AI35" s="725">
        <v>22.355057153459558</v>
      </c>
      <c r="AJ35" s="725">
        <f t="shared" si="18"/>
        <v>9.8590766063739871E-2</v>
      </c>
      <c r="AK35" s="725">
        <f t="shared" si="19"/>
        <v>226.74595244555459</v>
      </c>
      <c r="AL35" s="725">
        <v>68.281261004822525</v>
      </c>
      <c r="AM35" s="725">
        <f t="shared" si="20"/>
        <v>0.29984405056967467</v>
      </c>
      <c r="AN35" s="725">
        <v>100</v>
      </c>
      <c r="AO35" s="725">
        <f t="shared" si="21"/>
        <v>0.43913080420189882</v>
      </c>
      <c r="AP35" s="725">
        <v>37.302639999999997</v>
      </c>
      <c r="AQ35" s="725">
        <f t="shared" si="22"/>
        <v>0.16380738302053918</v>
      </c>
      <c r="AR35" s="725">
        <v>22.138679700363184</v>
      </c>
      <c r="AS35" s="725">
        <f t="shared" si="23"/>
        <v>9.7217762207887373E-2</v>
      </c>
      <c r="AT35" s="725">
        <f t="shared" si="24"/>
        <v>227.72258070518569</v>
      </c>
      <c r="AU35" s="725">
        <v>68.995414325247083</v>
      </c>
      <c r="AV35" s="725">
        <f t="shared" si="25"/>
        <v>0.30142867838833681</v>
      </c>
      <c r="AW35" s="725">
        <v>100</v>
      </c>
      <c r="AX35" s="725">
        <f t="shared" si="26"/>
        <v>0.43688219186189708</v>
      </c>
      <c r="AY35" s="725">
        <v>36.72052</v>
      </c>
      <c r="AZ35" s="725">
        <f t="shared" si="27"/>
        <v>0.1604254126390863</v>
      </c>
      <c r="BA35" s="725">
        <v>23.178723920770473</v>
      </c>
      <c r="BB35" s="725">
        <f t="shared" si="28"/>
        <v>0.1012637171106799</v>
      </c>
      <c r="BC35" s="725">
        <f t="shared" si="29"/>
        <v>228.89465824601754</v>
      </c>
      <c r="BD35" s="725">
        <v>67.461715723084012</v>
      </c>
      <c r="BE35" s="725">
        <f t="shared" si="30"/>
        <v>0.29602411218375363</v>
      </c>
      <c r="BF35" s="725">
        <v>100</v>
      </c>
      <c r="BG35" s="725">
        <f t="shared" si="31"/>
        <v>0.43880311819946832</v>
      </c>
      <c r="BH35" s="725">
        <v>38.830010000000001</v>
      </c>
      <c r="BI35" s="725">
        <f t="shared" si="32"/>
        <v>0.17038729467716537</v>
      </c>
      <c r="BJ35" s="725">
        <v>21.600911891543475</v>
      </c>
      <c r="BK35" s="725">
        <f t="shared" si="33"/>
        <v>9.4785474939612521E-2</v>
      </c>
      <c r="BL35" s="725">
        <f t="shared" si="34"/>
        <v>227.89263761462752</v>
      </c>
      <c r="BM35" s="725">
        <v>64.826674459215866</v>
      </c>
      <c r="BN35" s="725">
        <f t="shared" si="35"/>
        <v>0.2910070804463476</v>
      </c>
      <c r="BO35" s="725">
        <v>100</v>
      </c>
      <c r="BP35" s="725">
        <f t="shared" si="36"/>
        <v>0.44890021410774</v>
      </c>
      <c r="BQ35" s="725">
        <v>37.538319999999999</v>
      </c>
      <c r="BR35" s="725">
        <f t="shared" si="37"/>
        <v>0.16850959885244857</v>
      </c>
      <c r="BS35" s="725">
        <v>20.401662488733663</v>
      </c>
      <c r="BT35" s="725">
        <f t="shared" si="38"/>
        <v>9.1583106593463887E-2</v>
      </c>
      <c r="BU35" s="725">
        <f t="shared" si="39"/>
        <v>222.76665694794951</v>
      </c>
      <c r="BV35" s="725">
        <v>62.493706948699433</v>
      </c>
      <c r="BW35" s="725">
        <f t="shared" si="40"/>
        <v>0.28208275146334993</v>
      </c>
      <c r="BX35" s="725">
        <v>100</v>
      </c>
      <c r="BY35" s="725">
        <f t="shared" si="41"/>
        <v>0.45137785104492095</v>
      </c>
      <c r="BZ35" s="725">
        <v>39.932369999999999</v>
      </c>
      <c r="CA35" s="725">
        <f t="shared" si="42"/>
        <v>0.1802458735773067</v>
      </c>
      <c r="CB35" s="725">
        <v>19.117802017679082</v>
      </c>
      <c r="CC35" s="725">
        <f t="shared" si="43"/>
        <v>8.6293523914422382E-2</v>
      </c>
      <c r="CD35" s="725">
        <f t="shared" si="44"/>
        <v>221.54387896637851</v>
      </c>
      <c r="CE35" s="725">
        <v>67.962130828228226</v>
      </c>
      <c r="CF35" s="725">
        <f t="shared" si="45"/>
        <v>0.29858014882829959</v>
      </c>
      <c r="CG35" s="725">
        <v>100</v>
      </c>
      <c r="CH35" s="725">
        <f t="shared" si="46"/>
        <v>0.43933311859063079</v>
      </c>
      <c r="CI35" s="725">
        <v>40.03725</v>
      </c>
      <c r="CJ35" s="725">
        <f t="shared" si="47"/>
        <v>0.17589689902292732</v>
      </c>
      <c r="CK35" s="725">
        <v>19.618332857453826</v>
      </c>
      <c r="CL35" s="725">
        <f t="shared" si="48"/>
        <v>8.6189833558142304E-2</v>
      </c>
      <c r="CM35" s="725">
        <f t="shared" si="49"/>
        <v>227.61771368568205</v>
      </c>
      <c r="CN35" s="725">
        <v>68.220624968501355</v>
      </c>
      <c r="CO35" s="725">
        <f t="shared" si="50"/>
        <v>0.30028720519795937</v>
      </c>
      <c r="CP35" s="725">
        <v>100</v>
      </c>
      <c r="CQ35" s="725">
        <f t="shared" si="51"/>
        <v>0.44017070400132979</v>
      </c>
      <c r="CR35" s="725">
        <v>36.916939999999997</v>
      </c>
      <c r="CS35" s="725">
        <f t="shared" si="52"/>
        <v>0.16249755469374849</v>
      </c>
      <c r="CT35" s="725">
        <v>22.047022944686738</v>
      </c>
      <c r="CU35" s="725">
        <f t="shared" si="53"/>
        <v>9.7044536106962315E-2</v>
      </c>
      <c r="CV35" s="725">
        <f t="shared" si="54"/>
        <v>227.1845879131881</v>
      </c>
    </row>
    <row r="36" spans="1:138" ht="15.75" customHeight="1">
      <c r="A36" s="2">
        <v>1998</v>
      </c>
      <c r="B36" s="725">
        <v>67.889844306315211</v>
      </c>
      <c r="C36" s="725">
        <f t="shared" si="55"/>
        <v>0.29820334360691902</v>
      </c>
      <c r="D36" s="725">
        <v>100</v>
      </c>
      <c r="E36" s="725">
        <f t="shared" si="56"/>
        <v>0.43924587934160236</v>
      </c>
      <c r="F36" s="725">
        <v>37.521819999999998</v>
      </c>
      <c r="G36" s="725">
        <f t="shared" si="57"/>
        <v>0.16481304820397322</v>
      </c>
      <c r="H36" s="725">
        <v>22.251256857322623</v>
      </c>
      <c r="I36" s="725">
        <f t="shared" si="4"/>
        <v>9.7737728847505354E-2</v>
      </c>
      <c r="J36" s="725">
        <f t="shared" si="58"/>
        <v>227.66292116363783</v>
      </c>
      <c r="K36" s="725">
        <v>70.077411395535378</v>
      </c>
      <c r="L36" s="725">
        <f t="shared" si="5"/>
        <v>0.30168501149708249</v>
      </c>
      <c r="M36" s="725">
        <v>100</v>
      </c>
      <c r="N36" s="725">
        <f t="shared" si="6"/>
        <v>0.43050250500021009</v>
      </c>
      <c r="O36" s="725">
        <v>38.846000000000004</v>
      </c>
      <c r="P36" s="725">
        <f t="shared" si="7"/>
        <v>0.16723300309238165</v>
      </c>
      <c r="Q36" s="725">
        <v>23.363274137110235</v>
      </c>
      <c r="R36" s="725">
        <f t="shared" si="8"/>
        <v>0.10057948041032579</v>
      </c>
      <c r="S36" s="725">
        <f t="shared" si="9"/>
        <v>232.28668553264561</v>
      </c>
      <c r="T36" s="725">
        <v>66.009101351948402</v>
      </c>
      <c r="U36" s="725">
        <f t="shared" si="10"/>
        <v>0.28942711642020796</v>
      </c>
      <c r="V36" s="725">
        <v>100</v>
      </c>
      <c r="W36" s="725">
        <f t="shared" si="11"/>
        <v>0.43846546990093949</v>
      </c>
      <c r="X36" s="725">
        <v>39.642899999999997</v>
      </c>
      <c r="Y36" s="725">
        <f t="shared" si="12"/>
        <v>0.17382042776735954</v>
      </c>
      <c r="Z36" s="725">
        <v>22.416129127271656</v>
      </c>
      <c r="AA36" s="725">
        <f t="shared" si="13"/>
        <v>9.8286985911493027E-2</v>
      </c>
      <c r="AB36" s="725">
        <f t="shared" si="14"/>
        <v>228.06813047922006</v>
      </c>
      <c r="AC36" s="725">
        <v>67.823200649041254</v>
      </c>
      <c r="AD36" s="725">
        <f t="shared" si="15"/>
        <v>0.29846131823359584</v>
      </c>
      <c r="AE36" s="725">
        <v>100</v>
      </c>
      <c r="AF36" s="725">
        <f t="shared" si="16"/>
        <v>0.44005784949315108</v>
      </c>
      <c r="AG36" s="725">
        <v>36.402079999999998</v>
      </c>
      <c r="AH36" s="725">
        <f t="shared" si="17"/>
        <v>0.16019021041877643</v>
      </c>
      <c r="AI36" s="725">
        <v>23.017569615254185</v>
      </c>
      <c r="AJ36" s="725">
        <f t="shared" si="18"/>
        <v>0.10129062185447653</v>
      </c>
      <c r="AK36" s="725">
        <f t="shared" si="19"/>
        <v>227.24285026429547</v>
      </c>
      <c r="AL36" s="725">
        <v>68.450694842311435</v>
      </c>
      <c r="AM36" s="725">
        <f t="shared" si="20"/>
        <v>0.3002003361833574</v>
      </c>
      <c r="AN36" s="725">
        <v>100</v>
      </c>
      <c r="AO36" s="725">
        <f t="shared" si="21"/>
        <v>0.43856433725752997</v>
      </c>
      <c r="AP36" s="725">
        <v>36.685790000000004</v>
      </c>
      <c r="AQ36" s="725">
        <f t="shared" si="22"/>
        <v>0.16089079178118923</v>
      </c>
      <c r="AR36" s="725">
        <v>22.880231303212398</v>
      </c>
      <c r="AS36" s="725">
        <f t="shared" si="23"/>
        <v>0.10034453477792336</v>
      </c>
      <c r="AT36" s="725">
        <f t="shared" si="24"/>
        <v>228.01671614552384</v>
      </c>
      <c r="AU36" s="725">
        <v>69.010140578280925</v>
      </c>
      <c r="AV36" s="725">
        <f t="shared" si="25"/>
        <v>0.30242304779649565</v>
      </c>
      <c r="AW36" s="725">
        <v>100</v>
      </c>
      <c r="AX36" s="725">
        <f t="shared" si="26"/>
        <v>0.43822986775899297</v>
      </c>
      <c r="AY36" s="725">
        <v>35.470839999999995</v>
      </c>
      <c r="AZ36" s="725">
        <f t="shared" si="27"/>
        <v>0.15544381522500397</v>
      </c>
      <c r="BA36" s="725">
        <v>23.709764409907706</v>
      </c>
      <c r="BB36" s="725">
        <f t="shared" si="28"/>
        <v>0.10390326921950732</v>
      </c>
      <c r="BC36" s="725">
        <f t="shared" si="29"/>
        <v>228.19074498818864</v>
      </c>
      <c r="BD36" s="725">
        <v>67.50624521540351</v>
      </c>
      <c r="BE36" s="725">
        <f t="shared" si="30"/>
        <v>0.29618561985508896</v>
      </c>
      <c r="BF36" s="725">
        <v>100</v>
      </c>
      <c r="BG36" s="725">
        <f t="shared" si="31"/>
        <v>0.43875291672644473</v>
      </c>
      <c r="BH36" s="725">
        <v>38.431939999999997</v>
      </c>
      <c r="BI36" s="725">
        <f t="shared" si="32"/>
        <v>0.16862125770455719</v>
      </c>
      <c r="BJ36" s="725">
        <v>21.980527544626685</v>
      </c>
      <c r="BK36" s="725">
        <f t="shared" si="33"/>
        <v>9.6440205713909169E-2</v>
      </c>
      <c r="BL36" s="725">
        <f t="shared" si="34"/>
        <v>227.91871276003019</v>
      </c>
      <c r="BM36" s="725">
        <v>64.961507320070794</v>
      </c>
      <c r="BN36" s="725">
        <f t="shared" si="35"/>
        <v>0.29109768741666076</v>
      </c>
      <c r="BO36" s="725">
        <v>100</v>
      </c>
      <c r="BP36" s="725">
        <f t="shared" si="36"/>
        <v>0.44810796335497272</v>
      </c>
      <c r="BQ36" s="725">
        <v>37.299720000000001</v>
      </c>
      <c r="BR36" s="725">
        <f t="shared" si="37"/>
        <v>0.16714301562910744</v>
      </c>
      <c r="BS36" s="725">
        <v>20.899279025994979</v>
      </c>
      <c r="BT36" s="725">
        <f t="shared" si="38"/>
        <v>9.3651333599259076E-2</v>
      </c>
      <c r="BU36" s="725">
        <f t="shared" si="39"/>
        <v>223.16050634606577</v>
      </c>
      <c r="BV36" s="725">
        <v>62.740977285521801</v>
      </c>
      <c r="BW36" s="725">
        <f t="shared" si="40"/>
        <v>0.28220880081477684</v>
      </c>
      <c r="BX36" s="725">
        <v>100</v>
      </c>
      <c r="BY36" s="725">
        <f t="shared" si="41"/>
        <v>0.44979981668200719</v>
      </c>
      <c r="BZ36" s="725">
        <v>40.020580000000002</v>
      </c>
      <c r="CA36" s="725">
        <f t="shared" si="42"/>
        <v>0.18001249547507606</v>
      </c>
      <c r="CB36" s="725">
        <v>19.559564892027932</v>
      </c>
      <c r="CC36" s="725">
        <f t="shared" si="43"/>
        <v>8.7978887028139885E-2</v>
      </c>
      <c r="CD36" s="725">
        <f t="shared" si="44"/>
        <v>222.32112217754974</v>
      </c>
      <c r="CE36" s="725">
        <v>68.317106268018733</v>
      </c>
      <c r="CF36" s="725">
        <f t="shared" si="45"/>
        <v>0.30000447258735058</v>
      </c>
      <c r="CG36" s="725">
        <v>100</v>
      </c>
      <c r="CH36" s="725">
        <f t="shared" si="46"/>
        <v>0.43913521660356331</v>
      </c>
      <c r="CI36" s="725">
        <v>39.353660000000005</v>
      </c>
      <c r="CJ36" s="725">
        <f t="shared" si="47"/>
        <v>0.17281578008242987</v>
      </c>
      <c r="CK36" s="725">
        <v>20.049526295710411</v>
      </c>
      <c r="CL36" s="725">
        <f t="shared" si="48"/>
        <v>8.8044530726656287E-2</v>
      </c>
      <c r="CM36" s="725">
        <f t="shared" si="49"/>
        <v>227.72029256372915</v>
      </c>
      <c r="CN36" s="725">
        <v>68.339085534354666</v>
      </c>
      <c r="CO36" s="725">
        <f t="shared" si="50"/>
        <v>0.29980184617672684</v>
      </c>
      <c r="CP36" s="725">
        <v>100</v>
      </c>
      <c r="CQ36" s="725">
        <f t="shared" si="51"/>
        <v>0.43869748012067528</v>
      </c>
      <c r="CR36" s="725">
        <v>36.9452</v>
      </c>
      <c r="CS36" s="725">
        <f t="shared" si="52"/>
        <v>0.16207766142554372</v>
      </c>
      <c r="CT36" s="725">
        <v>22.663228484855942</v>
      </c>
      <c r="CU36" s="725">
        <f t="shared" si="53"/>
        <v>9.9423012277054121E-2</v>
      </c>
      <c r="CV36" s="725">
        <f t="shared" si="54"/>
        <v>227.94751401921062</v>
      </c>
    </row>
    <row r="37" spans="1:138" ht="15.75" customHeight="1">
      <c r="A37" s="2">
        <v>1999</v>
      </c>
      <c r="B37" s="725">
        <v>68.076886615914873</v>
      </c>
      <c r="C37" s="725">
        <f t="shared" si="55"/>
        <v>0.29787305006994896</v>
      </c>
      <c r="D37" s="725">
        <v>100</v>
      </c>
      <c r="E37" s="725">
        <f t="shared" si="56"/>
        <v>0.43755386721858813</v>
      </c>
      <c r="F37" s="725">
        <v>37.661909999999999</v>
      </c>
      <c r="G37" s="725">
        <f t="shared" si="57"/>
        <v>0.16479114367338418</v>
      </c>
      <c r="H37" s="725">
        <v>22.804492546795554</v>
      </c>
      <c r="I37" s="725">
        <f t="shared" si="4"/>
        <v>9.9781939038078651E-2</v>
      </c>
      <c r="J37" s="725">
        <f t="shared" si="58"/>
        <v>228.54328916271044</v>
      </c>
      <c r="K37" s="725">
        <v>70.336696485658948</v>
      </c>
      <c r="L37" s="725">
        <f t="shared" si="5"/>
        <v>0.3022173579741016</v>
      </c>
      <c r="M37" s="725">
        <v>100</v>
      </c>
      <c r="N37" s="725">
        <f t="shared" si="6"/>
        <v>0.42967238024282406</v>
      </c>
      <c r="O37" s="725">
        <v>38.006129999999999</v>
      </c>
      <c r="P37" s="725">
        <f t="shared" si="7"/>
        <v>0.16330184340918202</v>
      </c>
      <c r="Q37" s="725">
        <v>24.392635690164983</v>
      </c>
      <c r="R37" s="725">
        <f t="shared" si="8"/>
        <v>0.1048084183738925</v>
      </c>
      <c r="S37" s="725">
        <f t="shared" si="9"/>
        <v>232.7354621758239</v>
      </c>
      <c r="T37" s="725">
        <v>66.223464752973641</v>
      </c>
      <c r="U37" s="725">
        <f t="shared" si="10"/>
        <v>0.2901939508836156</v>
      </c>
      <c r="V37" s="725">
        <v>100</v>
      </c>
      <c r="W37" s="725">
        <f t="shared" si="11"/>
        <v>0.43820411989329661</v>
      </c>
      <c r="X37" s="725">
        <v>38.870349999999995</v>
      </c>
      <c r="Y37" s="725">
        <f t="shared" si="12"/>
        <v>0.17033147511694399</v>
      </c>
      <c r="Z37" s="725">
        <v>23.110338198281489</v>
      </c>
      <c r="AA37" s="725">
        <f t="shared" si="13"/>
        <v>0.10127045410614374</v>
      </c>
      <c r="AB37" s="725">
        <f t="shared" si="14"/>
        <v>228.20415295125514</v>
      </c>
      <c r="AC37" s="725">
        <v>68.066597842755925</v>
      </c>
      <c r="AD37" s="725">
        <f t="shared" si="15"/>
        <v>0.29885590255634725</v>
      </c>
      <c r="AE37" s="725">
        <v>100</v>
      </c>
      <c r="AF37" s="725">
        <f t="shared" si="16"/>
        <v>0.43906396386484503</v>
      </c>
      <c r="AG37" s="725">
        <v>35.953790000000005</v>
      </c>
      <c r="AH37" s="725">
        <f t="shared" si="17"/>
        <v>0.15786013553364228</v>
      </c>
      <c r="AI37" s="725">
        <v>23.736859916211888</v>
      </c>
      <c r="AJ37" s="725">
        <f t="shared" si="18"/>
        <v>0.10421999804516545</v>
      </c>
      <c r="AK37" s="725">
        <f t="shared" si="19"/>
        <v>227.75724775896782</v>
      </c>
      <c r="AL37" s="725">
        <v>68.711738993153489</v>
      </c>
      <c r="AM37" s="725">
        <f t="shared" si="20"/>
        <v>0.29960716234784696</v>
      </c>
      <c r="AN37" s="725">
        <v>100</v>
      </c>
      <c r="AO37" s="725">
        <f t="shared" si="21"/>
        <v>0.43603489991382716</v>
      </c>
      <c r="AP37" s="725">
        <v>36.969059999999999</v>
      </c>
      <c r="AQ37" s="725">
        <f t="shared" si="22"/>
        <v>0.16119800377008273</v>
      </c>
      <c r="AR37" s="725">
        <v>23.658641541911081</v>
      </c>
      <c r="AS37" s="725">
        <f t="shared" si="23"/>
        <v>0.10315993396824312</v>
      </c>
      <c r="AT37" s="725">
        <f t="shared" si="24"/>
        <v>229.33944053506457</v>
      </c>
      <c r="AU37" s="725">
        <v>69.125183490936408</v>
      </c>
      <c r="AV37" s="725">
        <f t="shared" si="25"/>
        <v>0.30195815712832136</v>
      </c>
      <c r="AW37" s="725">
        <v>100</v>
      </c>
      <c r="AX37" s="725">
        <f t="shared" si="26"/>
        <v>0.43682800085140266</v>
      </c>
      <c r="AY37" s="725">
        <v>35.468290000000003</v>
      </c>
      <c r="AZ37" s="725">
        <f t="shared" si="27"/>
        <v>0.15493542214317799</v>
      </c>
      <c r="BA37" s="725">
        <v>24.329580445840303</v>
      </c>
      <c r="BB37" s="725">
        <f t="shared" si="28"/>
        <v>0.10627841987709798</v>
      </c>
      <c r="BC37" s="725">
        <f t="shared" si="29"/>
        <v>228.92305393677671</v>
      </c>
      <c r="BD37" s="725">
        <v>67.656349863565154</v>
      </c>
      <c r="BE37" s="725">
        <f t="shared" si="30"/>
        <v>0.29571870436198333</v>
      </c>
      <c r="BF37" s="725">
        <v>100</v>
      </c>
      <c r="BG37" s="725">
        <f t="shared" si="31"/>
        <v>0.43708935666545051</v>
      </c>
      <c r="BH37" s="725">
        <v>38.723910000000004</v>
      </c>
      <c r="BI37" s="725">
        <f t="shared" si="32"/>
        <v>0.16925808909470808</v>
      </c>
      <c r="BJ37" s="725">
        <v>22.405910458445934</v>
      </c>
      <c r="BK37" s="725">
        <f t="shared" si="33"/>
        <v>9.793384987785822E-2</v>
      </c>
      <c r="BL37" s="725">
        <f t="shared" si="34"/>
        <v>228.78617032201106</v>
      </c>
      <c r="BM37" s="725">
        <v>65.212421046734732</v>
      </c>
      <c r="BN37" s="725">
        <f t="shared" si="35"/>
        <v>0.28945592717999769</v>
      </c>
      <c r="BO37" s="725">
        <v>100</v>
      </c>
      <c r="BP37" s="725">
        <f t="shared" si="36"/>
        <v>0.44386624899657995</v>
      </c>
      <c r="BQ37" s="725">
        <v>38.658340000000003</v>
      </c>
      <c r="BR37" s="725">
        <f t="shared" si="37"/>
        <v>0.17159132368234448</v>
      </c>
      <c r="BS37" s="725">
        <v>21.422331694746717</v>
      </c>
      <c r="BT37" s="725">
        <f t="shared" si="38"/>
        <v>9.5086500141077737E-2</v>
      </c>
      <c r="BU37" s="725">
        <f t="shared" si="39"/>
        <v>225.29309274148147</v>
      </c>
      <c r="BV37" s="725">
        <v>62.92307272021246</v>
      </c>
      <c r="BW37" s="725">
        <f t="shared" si="40"/>
        <v>0.28190653429102086</v>
      </c>
      <c r="BX37" s="725">
        <v>100</v>
      </c>
      <c r="BY37" s="725">
        <f t="shared" si="41"/>
        <v>0.44801774945816569</v>
      </c>
      <c r="BZ37" s="725">
        <v>40.170499999999997</v>
      </c>
      <c r="CA37" s="725">
        <f t="shared" si="42"/>
        <v>0.17997097004609244</v>
      </c>
      <c r="CB37" s="725">
        <v>20.111869744824585</v>
      </c>
      <c r="CC37" s="725">
        <f t="shared" si="43"/>
        <v>9.0104746204720837E-2</v>
      </c>
      <c r="CD37" s="725">
        <f t="shared" si="44"/>
        <v>223.20544246503707</v>
      </c>
      <c r="CE37" s="725">
        <v>68.658160079005867</v>
      </c>
      <c r="CF37" s="725">
        <f t="shared" si="45"/>
        <v>0.29943216070431422</v>
      </c>
      <c r="CG37" s="725">
        <v>100</v>
      </c>
      <c r="CH37" s="725">
        <f t="shared" si="46"/>
        <v>0.43612028105581863</v>
      </c>
      <c r="CI37" s="725">
        <v>40.000229999999995</v>
      </c>
      <c r="CJ37" s="725">
        <f t="shared" si="47"/>
        <v>0.17444911549897385</v>
      </c>
      <c r="CK37" s="725">
        <v>20.636151688018934</v>
      </c>
      <c r="CL37" s="725">
        <f t="shared" si="48"/>
        <v>8.9998442740893234E-2</v>
      </c>
      <c r="CM37" s="725">
        <f t="shared" si="49"/>
        <v>229.29454176702481</v>
      </c>
      <c r="CN37" s="725">
        <v>68.55011062291608</v>
      </c>
      <c r="CO37" s="725">
        <f t="shared" si="50"/>
        <v>0.30065710908625254</v>
      </c>
      <c r="CP37" s="725">
        <v>100</v>
      </c>
      <c r="CQ37" s="725">
        <f t="shared" si="51"/>
        <v>0.43859463734511295</v>
      </c>
      <c r="CR37" s="725">
        <v>36.146450000000002</v>
      </c>
      <c r="CS37" s="725">
        <f t="shared" si="52"/>
        <v>0.1585363912906326</v>
      </c>
      <c r="CT37" s="725">
        <v>23.304403103673927</v>
      </c>
      <c r="CU37" s="725">
        <f t="shared" si="53"/>
        <v>0.1022118622780019</v>
      </c>
      <c r="CV37" s="725">
        <f t="shared" si="54"/>
        <v>228.00096372659002</v>
      </c>
    </row>
    <row r="38" spans="1:138" ht="15.75" customHeight="1">
      <c r="A38" s="2">
        <v>2000</v>
      </c>
      <c r="B38" s="725">
        <v>68.273634031192998</v>
      </c>
      <c r="C38" s="725">
        <f t="shared" si="55"/>
        <v>0.29861917589984577</v>
      </c>
      <c r="D38" s="725">
        <v>100</v>
      </c>
      <c r="E38" s="725">
        <f t="shared" si="56"/>
        <v>0.43738579341391443</v>
      </c>
      <c r="F38" s="725">
        <v>36.99335</v>
      </c>
      <c r="G38" s="725">
        <f t="shared" si="57"/>
        <v>0.1618036574078863</v>
      </c>
      <c r="H38" s="725">
        <v>23.364127234385496</v>
      </c>
      <c r="I38" s="725">
        <f t="shared" si="4"/>
        <v>0.10219137327835345</v>
      </c>
      <c r="J38" s="725">
        <f t="shared" si="58"/>
        <v>228.63111126557851</v>
      </c>
      <c r="K38" s="725">
        <v>70.550186943856232</v>
      </c>
      <c r="L38" s="725">
        <f t="shared" si="5"/>
        <v>0.3022173135325657</v>
      </c>
      <c r="M38" s="725">
        <v>100</v>
      </c>
      <c r="N38" s="725">
        <f t="shared" si="6"/>
        <v>0.4283720945673325</v>
      </c>
      <c r="O38" s="725">
        <v>37.543500000000002</v>
      </c>
      <c r="P38" s="725">
        <f t="shared" si="7"/>
        <v>0.16082587732388648</v>
      </c>
      <c r="Q38" s="725">
        <v>25.348223181038172</v>
      </c>
      <c r="R38" s="725">
        <f t="shared" si="8"/>
        <v>0.10858471457621534</v>
      </c>
      <c r="S38" s="725">
        <f t="shared" si="9"/>
        <v>233.44191012489441</v>
      </c>
      <c r="T38" s="725">
        <v>66.528907452187298</v>
      </c>
      <c r="U38" s="725">
        <f t="shared" si="10"/>
        <v>0.2908175153041464</v>
      </c>
      <c r="V38" s="725">
        <v>100</v>
      </c>
      <c r="W38" s="725">
        <f t="shared" si="11"/>
        <v>0.43712955231250394</v>
      </c>
      <c r="X38" s="725">
        <v>38.400950000000002</v>
      </c>
      <c r="Y38" s="725">
        <f t="shared" si="12"/>
        <v>0.16786190081874849</v>
      </c>
      <c r="Z38" s="725">
        <v>23.835275152048069</v>
      </c>
      <c r="AA38" s="725">
        <f t="shared" si="13"/>
        <v>0.10419103156460122</v>
      </c>
      <c r="AB38" s="725">
        <f t="shared" si="14"/>
        <v>228.76513260423536</v>
      </c>
      <c r="AC38" s="725">
        <v>68.234704509750799</v>
      </c>
      <c r="AD38" s="725">
        <f t="shared" si="15"/>
        <v>0.29943730003963287</v>
      </c>
      <c r="AE38" s="725">
        <v>100</v>
      </c>
      <c r="AF38" s="725">
        <f t="shared" si="16"/>
        <v>0.43883431780208421</v>
      </c>
      <c r="AG38" s="725">
        <v>35.2166</v>
      </c>
      <c r="AH38" s="725">
        <f t="shared" si="17"/>
        <v>0.15454252636308877</v>
      </c>
      <c r="AI38" s="725">
        <v>24.425130726338345</v>
      </c>
      <c r="AJ38" s="725">
        <f t="shared" si="18"/>
        <v>0.10718585579519413</v>
      </c>
      <c r="AK38" s="725">
        <f t="shared" si="19"/>
        <v>227.87643523608915</v>
      </c>
      <c r="AL38" s="725">
        <v>68.962328634794417</v>
      </c>
      <c r="AM38" s="725">
        <f t="shared" si="20"/>
        <v>0.30016589522424963</v>
      </c>
      <c r="AN38" s="725">
        <v>100</v>
      </c>
      <c r="AO38" s="725">
        <f t="shared" si="21"/>
        <v>0.43526067226332499</v>
      </c>
      <c r="AP38" s="725">
        <v>36.322049999999997</v>
      </c>
      <c r="AQ38" s="725">
        <f t="shared" si="22"/>
        <v>0.15809559900982104</v>
      </c>
      <c r="AR38" s="725">
        <v>24.463003502918653</v>
      </c>
      <c r="AS38" s="725">
        <f t="shared" si="23"/>
        <v>0.10647783350260447</v>
      </c>
      <c r="AT38" s="725">
        <f t="shared" si="24"/>
        <v>229.74738213771303</v>
      </c>
      <c r="AU38" s="725">
        <v>69.20978541246231</v>
      </c>
      <c r="AV38" s="725">
        <f t="shared" si="25"/>
        <v>0.3020881069317724</v>
      </c>
      <c r="AW38" s="725">
        <v>100</v>
      </c>
      <c r="AX38" s="725">
        <f t="shared" si="26"/>
        <v>0.43648178524387776</v>
      </c>
      <c r="AY38" s="725">
        <v>34.933680000000003</v>
      </c>
      <c r="AZ38" s="725">
        <f t="shared" si="27"/>
        <v>0.15247915011538349</v>
      </c>
      <c r="BA38" s="725">
        <v>24.961169375737313</v>
      </c>
      <c r="BB38" s="725">
        <f t="shared" si="28"/>
        <v>0.10895095770896633</v>
      </c>
      <c r="BC38" s="725">
        <f t="shared" si="29"/>
        <v>229.10463478819963</v>
      </c>
      <c r="BD38" s="725">
        <v>67.860602621350665</v>
      </c>
      <c r="BE38" s="725">
        <f t="shared" si="30"/>
        <v>0.29713773535603338</v>
      </c>
      <c r="BF38" s="725">
        <v>100</v>
      </c>
      <c r="BG38" s="725">
        <f t="shared" si="31"/>
        <v>0.43786486396828178</v>
      </c>
      <c r="BH38" s="725">
        <v>37.708439999999996</v>
      </c>
      <c r="BI38" s="725">
        <f t="shared" si="32"/>
        <v>0.16511200951056115</v>
      </c>
      <c r="BJ38" s="725">
        <v>22.811921984304078</v>
      </c>
      <c r="BK38" s="725">
        <f t="shared" si="33"/>
        <v>9.9885391165123627E-2</v>
      </c>
      <c r="BL38" s="725">
        <f t="shared" si="34"/>
        <v>228.38096460565475</v>
      </c>
      <c r="BM38" s="725">
        <v>65.428875991120123</v>
      </c>
      <c r="BN38" s="725">
        <f t="shared" si="35"/>
        <v>0.28872850139430645</v>
      </c>
      <c r="BO38" s="725">
        <v>100</v>
      </c>
      <c r="BP38" s="725">
        <f t="shared" si="36"/>
        <v>0.4412860484314175</v>
      </c>
      <c r="BQ38" s="725">
        <v>39.205550000000002</v>
      </c>
      <c r="BR38" s="725">
        <f t="shared" si="37"/>
        <v>0.17300862236080361</v>
      </c>
      <c r="BS38" s="725">
        <v>21.975955994571663</v>
      </c>
      <c r="BT38" s="725">
        <f t="shared" si="38"/>
        <v>9.6976827813472499E-2</v>
      </c>
      <c r="BU38" s="725">
        <f t="shared" si="39"/>
        <v>226.61038198569179</v>
      </c>
      <c r="BV38" s="725">
        <v>62.82163983753243</v>
      </c>
      <c r="BW38" s="725">
        <f t="shared" si="40"/>
        <v>0.28141514510410526</v>
      </c>
      <c r="BX38" s="725">
        <v>100</v>
      </c>
      <c r="BY38" s="725">
        <f t="shared" si="41"/>
        <v>0.44795892917137037</v>
      </c>
      <c r="BZ38" s="725">
        <v>39.730399999999996</v>
      </c>
      <c r="CA38" s="725">
        <f t="shared" si="42"/>
        <v>0.17797587439550211</v>
      </c>
      <c r="CB38" s="725">
        <v>20.682711136131473</v>
      </c>
      <c r="CC38" s="725">
        <f t="shared" si="43"/>
        <v>9.2650051329022307E-2</v>
      </c>
      <c r="CD38" s="725">
        <f t="shared" si="44"/>
        <v>223.23475097366389</v>
      </c>
      <c r="CE38" s="725">
        <v>68.977111362167207</v>
      </c>
      <c r="CF38" s="725">
        <f t="shared" si="45"/>
        <v>0.30058078345109823</v>
      </c>
      <c r="CG38" s="725">
        <v>100</v>
      </c>
      <c r="CH38" s="725">
        <f t="shared" si="46"/>
        <v>0.435768876827686</v>
      </c>
      <c r="CI38" s="725">
        <v>39.21622</v>
      </c>
      <c r="CJ38" s="725">
        <f t="shared" si="47"/>
        <v>0.17089208142827436</v>
      </c>
      <c r="CK38" s="725">
        <v>21.2861136316581</v>
      </c>
      <c r="CL38" s="725">
        <f t="shared" si="48"/>
        <v>9.2758258292941473E-2</v>
      </c>
      <c r="CM38" s="725">
        <f t="shared" si="49"/>
        <v>229.4794449938253</v>
      </c>
      <c r="CN38" s="725">
        <v>68.786897502741866</v>
      </c>
      <c r="CO38" s="725">
        <f t="shared" si="50"/>
        <v>0.3005902102543373</v>
      </c>
      <c r="CP38" s="725">
        <v>100</v>
      </c>
      <c r="CQ38" s="725">
        <f t="shared" si="51"/>
        <v>0.43698759671833676</v>
      </c>
      <c r="CR38" s="725">
        <v>36.088700000000003</v>
      </c>
      <c r="CS38" s="725">
        <f t="shared" si="52"/>
        <v>0.15770314281689041</v>
      </c>
      <c r="CT38" s="725">
        <v>23.963849545581709</v>
      </c>
      <c r="CU38" s="725">
        <f t="shared" si="53"/>
        <v>0.10471905021043558</v>
      </c>
      <c r="CV38" s="725">
        <f t="shared" si="54"/>
        <v>228.83944704832356</v>
      </c>
    </row>
    <row r="39" spans="1:138" ht="15.75" customHeight="1">
      <c r="A39" s="2">
        <v>2001</v>
      </c>
      <c r="B39" s="725">
        <v>68.481857260480822</v>
      </c>
      <c r="C39" s="725">
        <f t="shared" si="55"/>
        <v>0.29929770547333739</v>
      </c>
      <c r="D39" s="725">
        <v>100</v>
      </c>
      <c r="E39" s="725">
        <f t="shared" si="56"/>
        <v>0.4370467119998141</v>
      </c>
      <c r="F39" s="725">
        <v>36.427599999999998</v>
      </c>
      <c r="G39" s="725">
        <f t="shared" si="57"/>
        <v>0.15920562806044428</v>
      </c>
      <c r="H39" s="725">
        <v>23.899036784527684</v>
      </c>
      <c r="I39" s="725">
        <f t="shared" si="4"/>
        <v>0.10444995446640434</v>
      </c>
      <c r="J39" s="725">
        <f t="shared" si="58"/>
        <v>228.80849404500847</v>
      </c>
      <c r="K39" s="725">
        <v>70.750316550869385</v>
      </c>
      <c r="L39" s="725">
        <f t="shared" si="5"/>
        <v>0.30332452363602075</v>
      </c>
      <c r="M39" s="725">
        <v>100</v>
      </c>
      <c r="N39" s="725">
        <f t="shared" si="6"/>
        <v>0.42872532367813615</v>
      </c>
      <c r="O39" s="725">
        <v>36.210500000000003</v>
      </c>
      <c r="P39" s="725">
        <f t="shared" si="7"/>
        <v>0.1552435833304715</v>
      </c>
      <c r="Q39" s="725">
        <v>26.288759522865412</v>
      </c>
      <c r="R39" s="725">
        <f t="shared" si="8"/>
        <v>0.11270656935537159</v>
      </c>
      <c r="S39" s="725">
        <f t="shared" si="9"/>
        <v>233.2495760737348</v>
      </c>
      <c r="T39" s="725">
        <v>66.823500142686754</v>
      </c>
      <c r="U39" s="725">
        <f t="shared" si="10"/>
        <v>0.29216493295402335</v>
      </c>
      <c r="V39" s="725">
        <v>100</v>
      </c>
      <c r="W39" s="725">
        <f t="shared" si="11"/>
        <v>0.43721884117139931</v>
      </c>
      <c r="X39" s="725">
        <v>37.326450000000001</v>
      </c>
      <c r="Y39" s="725">
        <f t="shared" si="12"/>
        <v>0.16319827214042176</v>
      </c>
      <c r="Z39" s="725">
        <v>24.568464031961835</v>
      </c>
      <c r="AA39" s="725">
        <f t="shared" si="13"/>
        <v>0.10741795373415558</v>
      </c>
      <c r="AB39" s="725">
        <f t="shared" si="14"/>
        <v>228.71841417464859</v>
      </c>
      <c r="AC39" s="725">
        <v>68.447666051086699</v>
      </c>
      <c r="AD39" s="725">
        <f t="shared" si="15"/>
        <v>0.30002343970633211</v>
      </c>
      <c r="AE39" s="725">
        <v>100</v>
      </c>
      <c r="AF39" s="725">
        <f t="shared" si="16"/>
        <v>0.43832530313364698</v>
      </c>
      <c r="AG39" s="725">
        <v>34.521429999999995</v>
      </c>
      <c r="AH39" s="725">
        <f t="shared" si="17"/>
        <v>0.15131616269356973</v>
      </c>
      <c r="AI39" s="725">
        <v>25.171965587578583</v>
      </c>
      <c r="AJ39" s="725">
        <f t="shared" si="18"/>
        <v>0.11033509446645112</v>
      </c>
      <c r="AK39" s="725">
        <f t="shared" si="19"/>
        <v>228.14106163866529</v>
      </c>
      <c r="AL39" s="725">
        <v>69.170086462941498</v>
      </c>
      <c r="AM39" s="725">
        <f t="shared" si="20"/>
        <v>0.30161080174710442</v>
      </c>
      <c r="AN39" s="725">
        <v>100</v>
      </c>
      <c r="AO39" s="725">
        <f t="shared" si="21"/>
        <v>0.43604225058861995</v>
      </c>
      <c r="AP39" s="725">
        <v>34.972270000000002</v>
      </c>
      <c r="AQ39" s="725">
        <f t="shared" si="22"/>
        <v>0.15249387318992877</v>
      </c>
      <c r="AR39" s="725">
        <v>25.193217933825107</v>
      </c>
      <c r="AS39" s="725">
        <f t="shared" si="23"/>
        <v>0.10985307447434681</v>
      </c>
      <c r="AT39" s="725">
        <f t="shared" si="24"/>
        <v>229.33557439676662</v>
      </c>
      <c r="AU39" s="725">
        <v>69.313934165466634</v>
      </c>
      <c r="AV39" s="725">
        <f t="shared" si="25"/>
        <v>0.30299893002812506</v>
      </c>
      <c r="AW39" s="725">
        <v>100</v>
      </c>
      <c r="AX39" s="725">
        <f t="shared" si="26"/>
        <v>0.4371399974279403</v>
      </c>
      <c r="AY39" s="725">
        <v>33.891399999999997</v>
      </c>
      <c r="AZ39" s="725">
        <f t="shared" si="27"/>
        <v>0.14815286508829295</v>
      </c>
      <c r="BA39" s="725">
        <v>25.554332276367838</v>
      </c>
      <c r="BB39" s="725">
        <f t="shared" si="28"/>
        <v>0.11170820745564168</v>
      </c>
      <c r="BC39" s="725">
        <f t="shared" si="29"/>
        <v>228.75966644183447</v>
      </c>
      <c r="BD39" s="725">
        <v>68.073072255640085</v>
      </c>
      <c r="BE39" s="725">
        <f t="shared" si="30"/>
        <v>0.29759084076705955</v>
      </c>
      <c r="BF39" s="725">
        <v>100</v>
      </c>
      <c r="BG39" s="725">
        <f t="shared" si="31"/>
        <v>0.43716381662560144</v>
      </c>
      <c r="BH39" s="725">
        <v>37.483980000000003</v>
      </c>
      <c r="BI39" s="725">
        <f t="shared" si="32"/>
        <v>0.16386639759117713</v>
      </c>
      <c r="BJ39" s="725">
        <v>23.190150044596539</v>
      </c>
      <c r="BK39" s="725">
        <f t="shared" si="33"/>
        <v>0.10137894501616183</v>
      </c>
      <c r="BL39" s="725">
        <f t="shared" si="34"/>
        <v>228.74720230023664</v>
      </c>
      <c r="BM39" s="725">
        <v>65.668784885695203</v>
      </c>
      <c r="BN39" s="725">
        <f t="shared" si="35"/>
        <v>0.29005136890687983</v>
      </c>
      <c r="BO39" s="725">
        <v>100</v>
      </c>
      <c r="BP39" s="725">
        <f t="shared" si="36"/>
        <v>0.44168834464007645</v>
      </c>
      <c r="BQ39" s="725">
        <v>38.209209999999999</v>
      </c>
      <c r="BR39" s="725">
        <f t="shared" si="37"/>
        <v>0.16876562714905055</v>
      </c>
      <c r="BS39" s="725">
        <v>22.525987047511855</v>
      </c>
      <c r="BT39" s="725">
        <f t="shared" si="38"/>
        <v>9.9494659303993135E-2</v>
      </c>
      <c r="BU39" s="725">
        <f t="shared" si="39"/>
        <v>226.40398193320706</v>
      </c>
      <c r="BV39" s="725">
        <v>62.717670428823425</v>
      </c>
      <c r="BW39" s="725">
        <f t="shared" si="40"/>
        <v>0.28219155460076872</v>
      </c>
      <c r="BX39" s="725">
        <v>100</v>
      </c>
      <c r="BY39" s="725">
        <f t="shared" si="41"/>
        <v>0.44993947107939897</v>
      </c>
      <c r="BZ39" s="725">
        <v>38.28792</v>
      </c>
      <c r="CA39" s="725">
        <f t="shared" si="42"/>
        <v>0.17227246473530342</v>
      </c>
      <c r="CB39" s="725">
        <v>21.246526639504207</v>
      </c>
      <c r="CC39" s="725">
        <f t="shared" si="43"/>
        <v>9.5596509584528838E-2</v>
      </c>
      <c r="CD39" s="725">
        <f t="shared" si="44"/>
        <v>222.25211706832764</v>
      </c>
      <c r="CE39" s="725">
        <v>69.326037101821214</v>
      </c>
      <c r="CF39" s="725">
        <f t="shared" si="45"/>
        <v>0.30079160713536723</v>
      </c>
      <c r="CG39" s="725">
        <v>100</v>
      </c>
      <c r="CH39" s="725">
        <f t="shared" si="46"/>
        <v>0.43387970769710327</v>
      </c>
      <c r="CI39" s="725">
        <v>39.202550000000002</v>
      </c>
      <c r="CJ39" s="725">
        <f t="shared" si="47"/>
        <v>0.17009190934981075</v>
      </c>
      <c r="CK39" s="725">
        <v>21.950041481129766</v>
      </c>
      <c r="CL39" s="725">
        <f t="shared" si="48"/>
        <v>9.5236775817718736E-2</v>
      </c>
      <c r="CM39" s="725">
        <f t="shared" si="49"/>
        <v>230.47862858295099</v>
      </c>
      <c r="CN39" s="725">
        <v>69.009416465665623</v>
      </c>
      <c r="CO39" s="725">
        <f t="shared" si="50"/>
        <v>0.30181851716872166</v>
      </c>
      <c r="CP39" s="725">
        <v>100</v>
      </c>
      <c r="CQ39" s="725">
        <f t="shared" si="51"/>
        <v>0.43735845428990983</v>
      </c>
      <c r="CR39" s="725">
        <v>35.045429999999996</v>
      </c>
      <c r="CS39" s="725">
        <f t="shared" si="52"/>
        <v>0.15327415094725233</v>
      </c>
      <c r="CT39" s="725">
        <v>24.59055645071075</v>
      </c>
      <c r="CU39" s="725">
        <f t="shared" si="53"/>
        <v>0.10754887759411624</v>
      </c>
      <c r="CV39" s="725">
        <f t="shared" si="54"/>
        <v>228.64540291637636</v>
      </c>
    </row>
    <row r="40" spans="1:138" ht="15.75" customHeight="1">
      <c r="A40" s="2">
        <v>2002</v>
      </c>
      <c r="B40" s="725">
        <v>68.675764638101526</v>
      </c>
      <c r="C40" s="725">
        <f t="shared" si="55"/>
        <v>0.30003096922228634</v>
      </c>
      <c r="D40" s="725">
        <v>100</v>
      </c>
      <c r="E40" s="725">
        <f t="shared" si="56"/>
        <v>0.43688042033947477</v>
      </c>
      <c r="F40" s="725">
        <v>35.709350000000001</v>
      </c>
      <c r="G40" s="725">
        <f t="shared" si="57"/>
        <v>0.15600715838049423</v>
      </c>
      <c r="H40" s="725">
        <v>24.510471761251701</v>
      </c>
      <c r="I40" s="725">
        <f t="shared" si="4"/>
        <v>0.10708145205774469</v>
      </c>
      <c r="J40" s="725">
        <f t="shared" si="58"/>
        <v>228.89558639935322</v>
      </c>
      <c r="K40" s="725">
        <v>70.846782963865479</v>
      </c>
      <c r="L40" s="725">
        <f t="shared" si="5"/>
        <v>0.30387335741610755</v>
      </c>
      <c r="M40" s="725">
        <v>100</v>
      </c>
      <c r="N40" s="725">
        <f t="shared" si="6"/>
        <v>0.42891623967046516</v>
      </c>
      <c r="O40" s="725">
        <v>35.165459999999996</v>
      </c>
      <c r="P40" s="725">
        <f t="shared" si="7"/>
        <v>0.15083036869482153</v>
      </c>
      <c r="Q40" s="725">
        <v>27.133510801087908</v>
      </c>
      <c r="R40" s="725">
        <f t="shared" si="8"/>
        <v>0.11638003421860577</v>
      </c>
      <c r="S40" s="725">
        <f t="shared" si="9"/>
        <v>233.14575376495338</v>
      </c>
      <c r="T40" s="725">
        <v>67.188550220637651</v>
      </c>
      <c r="U40" s="725">
        <f t="shared" si="10"/>
        <v>0.29344033709121553</v>
      </c>
      <c r="V40" s="725">
        <v>100</v>
      </c>
      <c r="W40" s="725">
        <f t="shared" si="11"/>
        <v>0.4367415819028676</v>
      </c>
      <c r="X40" s="479">
        <v>36.529939999999996</v>
      </c>
      <c r="Y40" s="725">
        <f t="shared" si="12"/>
        <v>0.15954143782416838</v>
      </c>
      <c r="Z40" s="725">
        <v>25.249861188228763</v>
      </c>
      <c r="AA40" s="725">
        <f t="shared" si="13"/>
        <v>0.11027664318174851</v>
      </c>
      <c r="AB40" s="725">
        <f t="shared" si="14"/>
        <v>228.9683514088664</v>
      </c>
      <c r="AC40" s="725">
        <v>68.740501489280931</v>
      </c>
      <c r="AD40" s="725">
        <f t="shared" si="15"/>
        <v>0.29957008524632689</v>
      </c>
      <c r="AE40" s="725">
        <v>100</v>
      </c>
      <c r="AF40" s="725">
        <f t="shared" si="16"/>
        <v>0.43579851580372952</v>
      </c>
      <c r="AG40" s="725">
        <v>34.761399999999995</v>
      </c>
      <c r="AH40" s="725">
        <f t="shared" si="17"/>
        <v>0.15148966527259761</v>
      </c>
      <c r="AI40" s="725">
        <v>25.961936439522361</v>
      </c>
      <c r="AJ40" s="725">
        <f t="shared" si="18"/>
        <v>0.11314173367734608</v>
      </c>
      <c r="AK40" s="725">
        <f t="shared" si="19"/>
        <v>229.46383792880326</v>
      </c>
      <c r="AL40" s="725">
        <v>69.32210198163429</v>
      </c>
      <c r="AM40" s="725">
        <f t="shared" si="20"/>
        <v>0.30208901146297773</v>
      </c>
      <c r="AN40" s="725">
        <v>100</v>
      </c>
      <c r="AO40" s="725">
        <f t="shared" si="21"/>
        <v>0.43577589661521093</v>
      </c>
      <c r="AP40" s="725">
        <v>34.100140000000003</v>
      </c>
      <c r="AQ40" s="725">
        <f t="shared" si="22"/>
        <v>0.14860019083204221</v>
      </c>
      <c r="AR40" s="725">
        <v>26.053506394370444</v>
      </c>
      <c r="AS40" s="725">
        <f t="shared" si="23"/>
        <v>0.11353490108976912</v>
      </c>
      <c r="AT40" s="725">
        <f t="shared" si="24"/>
        <v>229.47574837600473</v>
      </c>
      <c r="AU40" s="725">
        <v>69.379616603835245</v>
      </c>
      <c r="AV40" s="725">
        <f t="shared" si="25"/>
        <v>0.3032034391055709</v>
      </c>
      <c r="AW40" s="725">
        <v>100</v>
      </c>
      <c r="AX40" s="725">
        <f t="shared" si="26"/>
        <v>0.43702092047711039</v>
      </c>
      <c r="AY40" s="725">
        <v>33.23265</v>
      </c>
      <c r="AZ40" s="725">
        <f t="shared" si="27"/>
        <v>0.14523363292893643</v>
      </c>
      <c r="BA40" s="725">
        <v>26.209730958264636</v>
      </c>
      <c r="BB40" s="725">
        <f t="shared" si="28"/>
        <v>0.11454200748838228</v>
      </c>
      <c r="BC40" s="725">
        <f t="shared" si="29"/>
        <v>228.82199756209988</v>
      </c>
      <c r="BD40" s="725">
        <v>68.302656457113784</v>
      </c>
      <c r="BE40" s="725">
        <f t="shared" si="30"/>
        <v>0.29818337138433476</v>
      </c>
      <c r="BF40" s="725">
        <v>100</v>
      </c>
      <c r="BG40" s="725">
        <f t="shared" si="31"/>
        <v>0.43656189502901638</v>
      </c>
      <c r="BH40" s="725">
        <v>37.073499999999996</v>
      </c>
      <c r="BI40" s="725">
        <f t="shared" si="32"/>
        <v>0.16184877415358237</v>
      </c>
      <c r="BJ40" s="725">
        <v>23.686437275107021</v>
      </c>
      <c r="BK40" s="725">
        <f t="shared" si="33"/>
        <v>0.10340595943306652</v>
      </c>
      <c r="BL40" s="725">
        <f t="shared" si="34"/>
        <v>229.06259373222079</v>
      </c>
      <c r="BM40" s="725">
        <v>65.936488695873209</v>
      </c>
      <c r="BN40" s="725">
        <f t="shared" si="35"/>
        <v>0.29040005338567004</v>
      </c>
      <c r="BO40" s="725">
        <v>100</v>
      </c>
      <c r="BP40" s="725">
        <f t="shared" si="36"/>
        <v>0.44042389749493199</v>
      </c>
      <c r="BQ40" s="725">
        <v>37.956159999999997</v>
      </c>
      <c r="BR40" s="725">
        <f t="shared" si="37"/>
        <v>0.16716799921141237</v>
      </c>
      <c r="BS40" s="725">
        <v>23.161333998493877</v>
      </c>
      <c r="BT40" s="725">
        <f t="shared" si="38"/>
        <v>0.10200804990798551</v>
      </c>
      <c r="BU40" s="725">
        <f t="shared" si="39"/>
        <v>227.05398269436711</v>
      </c>
      <c r="BV40" s="725">
        <v>62.759367575821145</v>
      </c>
      <c r="BW40" s="725">
        <f t="shared" si="40"/>
        <v>0.28285797204881541</v>
      </c>
      <c r="BX40" s="725">
        <v>100</v>
      </c>
      <c r="BY40" s="725">
        <f t="shared" si="41"/>
        <v>0.45070239388102129</v>
      </c>
      <c r="BZ40" s="725">
        <v>37.268630000000002</v>
      </c>
      <c r="CA40" s="725">
        <f t="shared" si="42"/>
        <v>0.16797060757666049</v>
      </c>
      <c r="CB40" s="725">
        <v>21.847904033874986</v>
      </c>
      <c r="CC40" s="725">
        <f t="shared" si="43"/>
        <v>9.8469026493502781E-2</v>
      </c>
      <c r="CD40" s="725">
        <f t="shared" si="44"/>
        <v>221.87590160969614</v>
      </c>
      <c r="CE40" s="725">
        <v>69.66797981309081</v>
      </c>
      <c r="CF40" s="725">
        <f t="shared" si="45"/>
        <v>0.30292747169705281</v>
      </c>
      <c r="CG40" s="725">
        <v>100</v>
      </c>
      <c r="CH40" s="725">
        <f t="shared" si="46"/>
        <v>0.43481592621138687</v>
      </c>
      <c r="CI40" s="725">
        <v>37.709769999999999</v>
      </c>
      <c r="CJ40" s="725">
        <f t="shared" si="47"/>
        <v>0.1639680856976837</v>
      </c>
      <c r="CK40" s="725">
        <v>22.604626571588216</v>
      </c>
      <c r="CL40" s="725">
        <f t="shared" si="48"/>
        <v>9.8288516393876563E-2</v>
      </c>
      <c r="CM40" s="725">
        <f t="shared" si="49"/>
        <v>229.98237638467904</v>
      </c>
      <c r="CN40" s="725">
        <v>69.159319092533309</v>
      </c>
      <c r="CO40" s="725">
        <f t="shared" si="50"/>
        <v>0.30250993400633197</v>
      </c>
      <c r="CP40" s="725">
        <v>100</v>
      </c>
      <c r="CQ40" s="725">
        <f t="shared" si="51"/>
        <v>0.43741022609199182</v>
      </c>
      <c r="CR40" s="725">
        <v>34.127130000000001</v>
      </c>
      <c r="CS40" s="725">
        <f t="shared" si="52"/>
        <v>0.14927555649170796</v>
      </c>
      <c r="CT40" s="725">
        <v>25.331891391735546</v>
      </c>
      <c r="CU40" s="725">
        <f t="shared" si="53"/>
        <v>0.11080428340996826</v>
      </c>
      <c r="CV40" s="725">
        <f t="shared" si="54"/>
        <v>228.61834048426886</v>
      </c>
    </row>
    <row r="41" spans="1:138" ht="15.75" customHeight="1">
      <c r="A41" s="2">
        <v>2003</v>
      </c>
      <c r="B41" s="725">
        <v>68.836429077800119</v>
      </c>
      <c r="C41" s="725">
        <f t="shared" si="55"/>
        <v>0.30004440168864199</v>
      </c>
      <c r="D41" s="725">
        <f t="shared" ref="D41:D46" si="59">D40</f>
        <v>100</v>
      </c>
      <c r="E41" s="725">
        <f t="shared" si="56"/>
        <v>0.4358802536801068</v>
      </c>
      <c r="F41" s="725">
        <v>35.454120000000003</v>
      </c>
      <c r="G41" s="725">
        <f t="shared" si="57"/>
        <v>0.1545375081960495</v>
      </c>
      <c r="H41" s="725">
        <v>25.130258943914395</v>
      </c>
      <c r="I41" s="725">
        <f t="shared" si="4"/>
        <v>0.1095378364352018</v>
      </c>
      <c r="J41" s="725">
        <f t="shared" si="58"/>
        <v>229.42080802171449</v>
      </c>
      <c r="K41" s="725">
        <v>70.987040037028464</v>
      </c>
      <c r="L41" s="725">
        <f t="shared" si="5"/>
        <v>0.30448722007696138</v>
      </c>
      <c r="M41" s="725">
        <f t="shared" ref="M41:M46" si="60">M40</f>
        <v>100</v>
      </c>
      <c r="N41" s="725">
        <f t="shared" si="6"/>
        <v>0.42893353479470886</v>
      </c>
      <c r="O41" s="725">
        <v>34.201500000000003</v>
      </c>
      <c r="P41" s="725">
        <f t="shared" si="7"/>
        <v>0.14670170290281237</v>
      </c>
      <c r="Q41" s="725">
        <v>27.947813006248552</v>
      </c>
      <c r="R41" s="725">
        <f t="shared" si="8"/>
        <v>0.1198775422255173</v>
      </c>
      <c r="S41" s="725">
        <f t="shared" si="9"/>
        <v>233.13635304327704</v>
      </c>
      <c r="T41" s="725">
        <v>67.453961128398703</v>
      </c>
      <c r="U41" s="725">
        <f t="shared" si="10"/>
        <v>0.29305771953138621</v>
      </c>
      <c r="V41" s="725">
        <f t="shared" ref="V41:V46" si="61">V40</f>
        <v>100</v>
      </c>
      <c r="W41" s="725">
        <f t="shared" si="11"/>
        <v>0.43445590833954206</v>
      </c>
      <c r="X41" s="479">
        <v>36.823540000000001</v>
      </c>
      <c r="Y41" s="725">
        <f t="shared" si="12"/>
        <v>0.1599820451897746</v>
      </c>
      <c r="Z41" s="725">
        <v>25.895453319827137</v>
      </c>
      <c r="AA41" s="725">
        <f t="shared" si="13"/>
        <v>0.11250432693929709</v>
      </c>
      <c r="AB41" s="725">
        <f t="shared" si="14"/>
        <v>230.17295444822585</v>
      </c>
      <c r="AC41" s="725">
        <v>68.954048625533474</v>
      </c>
      <c r="AD41" s="725">
        <f t="shared" si="15"/>
        <v>0.29967732437004857</v>
      </c>
      <c r="AE41" s="725">
        <f t="shared" ref="AE41:AE46" si="62">AE40</f>
        <v>100</v>
      </c>
      <c r="AF41" s="725">
        <f t="shared" si="16"/>
        <v>0.43460439284355379</v>
      </c>
      <c r="AG41" s="725">
        <v>34.45073</v>
      </c>
      <c r="AH41" s="725">
        <f t="shared" si="17"/>
        <v>0.14972438594667203</v>
      </c>
      <c r="AI41" s="725">
        <v>26.689536219547712</v>
      </c>
      <c r="AJ41" s="725">
        <f t="shared" si="18"/>
        <v>0.1159938968397257</v>
      </c>
      <c r="AK41" s="725">
        <f t="shared" si="19"/>
        <v>230.09431484508116</v>
      </c>
      <c r="AL41" s="725">
        <v>69.428561134470883</v>
      </c>
      <c r="AM41" s="725">
        <f t="shared" si="20"/>
        <v>0.30278433949058153</v>
      </c>
      <c r="AN41" s="725">
        <f t="shared" ref="AN41:AN46" si="63">AN40</f>
        <v>100</v>
      </c>
      <c r="AO41" s="725">
        <f t="shared" si="21"/>
        <v>0.43610919561495975</v>
      </c>
      <c r="AP41" s="725">
        <v>33.01126</v>
      </c>
      <c r="AQ41" s="725">
        <f t="shared" si="22"/>
        <v>0.14396514044836295</v>
      </c>
      <c r="AR41" s="725">
        <v>26.860549060634732</v>
      </c>
      <c r="AS41" s="725">
        <f t="shared" si="23"/>
        <v>0.11714132444609575</v>
      </c>
      <c r="AT41" s="725">
        <f t="shared" si="24"/>
        <v>229.30037019510561</v>
      </c>
      <c r="AU41" s="725">
        <v>69.414673413985184</v>
      </c>
      <c r="AV41" s="725">
        <f t="shared" si="25"/>
        <v>0.30255928326119308</v>
      </c>
      <c r="AW41" s="725">
        <f t="shared" ref="AW41:AW46" si="64">AW40</f>
        <v>100</v>
      </c>
      <c r="AX41" s="725">
        <f t="shared" si="26"/>
        <v>0.43587222755734456</v>
      </c>
      <c r="AY41" s="725">
        <v>33.164320000000004</v>
      </c>
      <c r="AZ41" s="725">
        <f t="shared" si="27"/>
        <v>0.14455406033824594</v>
      </c>
      <c r="BA41" s="725">
        <v>26.846039147520962</v>
      </c>
      <c r="BB41" s="725">
        <f t="shared" si="28"/>
        <v>0.11701442884321638</v>
      </c>
      <c r="BC41" s="725">
        <f t="shared" si="29"/>
        <v>229.42503256150616</v>
      </c>
      <c r="BD41" s="725">
        <v>68.51641847882334</v>
      </c>
      <c r="BE41" s="725">
        <f t="shared" si="30"/>
        <v>0.29799046173300936</v>
      </c>
      <c r="BF41" s="725">
        <f t="shared" ref="BF41:BF46" si="65">BF40</f>
        <v>100</v>
      </c>
      <c r="BG41" s="725">
        <f t="shared" si="31"/>
        <v>0.43491832811592529</v>
      </c>
      <c r="BH41" s="725">
        <v>37.177329999999998</v>
      </c>
      <c r="BI41" s="725">
        <f t="shared" si="32"/>
        <v>0.16169102207414032</v>
      </c>
      <c r="BJ41" s="725">
        <v>24.234478352181821</v>
      </c>
      <c r="BK41" s="725">
        <f t="shared" si="33"/>
        <v>0.10540018807692501</v>
      </c>
      <c r="BL41" s="725">
        <f t="shared" si="34"/>
        <v>229.92822683100516</v>
      </c>
      <c r="BM41" s="725">
        <v>66.18211251062236</v>
      </c>
      <c r="BN41" s="725">
        <f t="shared" si="35"/>
        <v>0.29105558368180817</v>
      </c>
      <c r="BO41" s="725">
        <f t="shared" ref="BO41:BO46" si="66">BO40</f>
        <v>100</v>
      </c>
      <c r="BP41" s="725">
        <f t="shared" si="36"/>
        <v>0.43977983270795895</v>
      </c>
      <c r="BQ41" s="725">
        <v>37.453879999999998</v>
      </c>
      <c r="BR41" s="725">
        <f t="shared" si="37"/>
        <v>0.16471461080663968</v>
      </c>
      <c r="BS41" s="725">
        <v>23.750514470033572</v>
      </c>
      <c r="BT41" s="725">
        <f t="shared" si="38"/>
        <v>0.10444997280359322</v>
      </c>
      <c r="BU41" s="725">
        <f t="shared" si="39"/>
        <v>227.38650698065592</v>
      </c>
      <c r="BV41" s="725">
        <v>63.055126806680548</v>
      </c>
      <c r="BW41" s="725">
        <f t="shared" si="40"/>
        <v>0.28384172053821227</v>
      </c>
      <c r="BX41" s="725">
        <f t="shared" ref="BX41:BX46" si="67">BX40</f>
        <v>100</v>
      </c>
      <c r="BY41" s="725">
        <f t="shared" si="41"/>
        <v>0.4501485206879956</v>
      </c>
      <c r="BZ41" s="725">
        <v>36.599029999999999</v>
      </c>
      <c r="CA41" s="725">
        <f t="shared" si="42"/>
        <v>0.16474999213115571</v>
      </c>
      <c r="CB41" s="725">
        <v>22.494746064670721</v>
      </c>
      <c r="CC41" s="725">
        <f t="shared" si="43"/>
        <v>0.10125976664263636</v>
      </c>
      <c r="CD41" s="725">
        <f t="shared" si="44"/>
        <v>222.14890287135128</v>
      </c>
      <c r="CE41" s="725">
        <v>69.903367347323424</v>
      </c>
      <c r="CF41" s="725">
        <f t="shared" si="45"/>
        <v>0.30417723356448562</v>
      </c>
      <c r="CG41" s="725">
        <f t="shared" ref="CG41:CG46" si="68">CG40</f>
        <v>100</v>
      </c>
      <c r="CH41" s="725">
        <f t="shared" si="46"/>
        <v>0.43513960071929564</v>
      </c>
      <c r="CI41" s="725">
        <v>36.639800000000001</v>
      </c>
      <c r="CJ41" s="725">
        <f t="shared" si="47"/>
        <v>0.15943427942434849</v>
      </c>
      <c r="CK41" s="725">
        <v>23.268138805225615</v>
      </c>
      <c r="CL41" s="725">
        <f t="shared" si="48"/>
        <v>0.10124888629187023</v>
      </c>
      <c r="CM41" s="725">
        <f t="shared" si="49"/>
        <v>229.81130615254904</v>
      </c>
      <c r="CN41" s="725">
        <v>69.251935039719612</v>
      </c>
      <c r="CO41" s="725">
        <f t="shared" si="50"/>
        <v>0.30311081403890799</v>
      </c>
      <c r="CP41" s="725">
        <f t="shared" ref="CP41:CP46" si="69">CP40</f>
        <v>100</v>
      </c>
      <c r="CQ41" s="725">
        <f t="shared" si="51"/>
        <v>0.43769291625578122</v>
      </c>
      <c r="CR41" s="725">
        <v>33.167540000000002</v>
      </c>
      <c r="CS41" s="725">
        <f t="shared" si="52"/>
        <v>0.14517197307630275</v>
      </c>
      <c r="CT41" s="725">
        <v>26.051209054152004</v>
      </c>
      <c r="CU41" s="725">
        <f t="shared" si="53"/>
        <v>0.11402429662900802</v>
      </c>
      <c r="CV41" s="725">
        <f t="shared" si="54"/>
        <v>228.47068409387163</v>
      </c>
    </row>
    <row r="42" spans="1:138" ht="15.75" customHeight="1">
      <c r="A42" s="2">
        <v>2004</v>
      </c>
      <c r="B42" s="725">
        <v>69.017230568319846</v>
      </c>
      <c r="C42" s="725">
        <f t="shared" si="55"/>
        <v>0.29986593471879702</v>
      </c>
      <c r="D42" s="725">
        <f t="shared" si="59"/>
        <v>100</v>
      </c>
      <c r="E42" s="725">
        <f>D42/J42</f>
        <v>0.43447981359084104</v>
      </c>
      <c r="F42" s="725">
        <v>35.428513117861499</v>
      </c>
      <c r="G42" s="725">
        <f t="shared" si="57"/>
        <v>0.1539297377524913</v>
      </c>
      <c r="H42" s="725">
        <v>25.714546554994637</v>
      </c>
      <c r="I42" s="725">
        <f t="shared" si="4"/>
        <v>0.11172451393787072</v>
      </c>
      <c r="J42" s="725">
        <f t="shared" si="58"/>
        <v>230.16029024117597</v>
      </c>
      <c r="K42" s="725">
        <v>71.058871729858325</v>
      </c>
      <c r="L42" s="725">
        <f t="shared" si="5"/>
        <v>0.30412616781699259</v>
      </c>
      <c r="M42" s="725">
        <f t="shared" si="60"/>
        <v>100</v>
      </c>
      <c r="N42" s="725">
        <f t="shared" si="6"/>
        <v>0.42799183326914747</v>
      </c>
      <c r="O42" s="725">
        <v>33.916012090287843</v>
      </c>
      <c r="P42" s="725">
        <f t="shared" si="7"/>
        <v>0.14515776191700863</v>
      </c>
      <c r="Q42" s="725">
        <v>28.67443428988863</v>
      </c>
      <c r="R42" s="725">
        <f t="shared" si="8"/>
        <v>0.12272423699685139</v>
      </c>
      <c r="S42" s="725">
        <f t="shared" si="9"/>
        <v>233.64931811003478</v>
      </c>
      <c r="T42" s="725">
        <v>67.770239841945468</v>
      </c>
      <c r="U42" s="725">
        <f t="shared" si="10"/>
        <v>0.29290359822115131</v>
      </c>
      <c r="V42" s="725">
        <f t="shared" si="61"/>
        <v>100</v>
      </c>
      <c r="W42" s="725">
        <f t="shared" si="11"/>
        <v>0.4322009172525646</v>
      </c>
      <c r="X42" s="725">
        <v>37.096086023239302</v>
      </c>
      <c r="Y42" s="725">
        <f t="shared" si="12"/>
        <v>0.16032962405724069</v>
      </c>
      <c r="Z42" s="725">
        <v>26.507546813486933</v>
      </c>
      <c r="AA42" s="725">
        <f t="shared" si="13"/>
        <v>0.11456586046904348</v>
      </c>
      <c r="AB42" s="725">
        <f t="shared" si="14"/>
        <v>231.37387267867169</v>
      </c>
      <c r="AC42" s="725">
        <v>69.167830559861017</v>
      </c>
      <c r="AD42" s="725">
        <f t="shared" si="15"/>
        <v>0.30018004883685356</v>
      </c>
      <c r="AE42" s="725">
        <f t="shared" si="62"/>
        <v>100</v>
      </c>
      <c r="AF42" s="725">
        <f t="shared" si="16"/>
        <v>0.43398794845396227</v>
      </c>
      <c r="AG42" s="725">
        <v>33.863643001061014</v>
      </c>
      <c r="AH42" s="725">
        <f t="shared" si="17"/>
        <v>0.14696412953207846</v>
      </c>
      <c r="AI42" s="725">
        <v>27.389671441467527</v>
      </c>
      <c r="AJ42" s="725">
        <f t="shared" si="18"/>
        <v>0.11886787317710572</v>
      </c>
      <c r="AK42" s="725">
        <f t="shared" si="19"/>
        <v>230.42114500238955</v>
      </c>
      <c r="AL42" s="725">
        <v>69.522891926407411</v>
      </c>
      <c r="AM42" s="725">
        <f t="shared" si="20"/>
        <v>0.30220062973301975</v>
      </c>
      <c r="AN42" s="725">
        <f t="shared" si="63"/>
        <v>100</v>
      </c>
      <c r="AO42" s="725">
        <f t="shared" si="21"/>
        <v>0.43467787567426058</v>
      </c>
      <c r="AP42" s="725">
        <v>32.979477226759691</v>
      </c>
      <c r="AQ42" s="725">
        <f t="shared" si="22"/>
        <v>0.14335449101775558</v>
      </c>
      <c r="AR42" s="725">
        <v>27.553047964354011</v>
      </c>
      <c r="AS42" s="725">
        <f t="shared" si="23"/>
        <v>0.11976700357496411</v>
      </c>
      <c r="AT42" s="725">
        <f t="shared" si="24"/>
        <v>230.0554171175211</v>
      </c>
      <c r="AU42" s="725">
        <v>69.483722577534905</v>
      </c>
      <c r="AV42" s="725">
        <f t="shared" si="25"/>
        <v>0.3015045788345041</v>
      </c>
      <c r="AW42" s="725">
        <f t="shared" si="64"/>
        <v>100</v>
      </c>
      <c r="AX42" s="725">
        <f t="shared" si="26"/>
        <v>0.43392116549032572</v>
      </c>
      <c r="AY42" s="725">
        <v>33.552483912767102</v>
      </c>
      <c r="AZ42" s="725">
        <f t="shared" si="27"/>
        <v>0.14559132924523305</v>
      </c>
      <c r="BA42" s="725">
        <v>27.420401651873309</v>
      </c>
      <c r="BB42" s="725">
        <f t="shared" si="28"/>
        <v>0.1189829264299372</v>
      </c>
      <c r="BC42" s="725">
        <f t="shared" si="29"/>
        <v>230.4566081421753</v>
      </c>
      <c r="BD42" s="725">
        <v>68.727726561080701</v>
      </c>
      <c r="BE42" s="725">
        <f t="shared" si="30"/>
        <v>0.29874982490654661</v>
      </c>
      <c r="BF42" s="725">
        <f t="shared" si="65"/>
        <v>100</v>
      </c>
      <c r="BG42" s="725">
        <f t="shared" si="31"/>
        <v>0.43468602826697217</v>
      </c>
      <c r="BH42" s="725">
        <v>36.549028769839168</v>
      </c>
      <c r="BI42" s="725">
        <f t="shared" si="32"/>
        <v>0.15887352152976689</v>
      </c>
      <c r="BJ42" s="725">
        <v>24.77434706748237</v>
      </c>
      <c r="BK42" s="725">
        <f t="shared" si="33"/>
        <v>0.10769062529671421</v>
      </c>
      <c r="BL42" s="725">
        <f t="shared" si="34"/>
        <v>230.05110239840226</v>
      </c>
      <c r="BM42" s="725">
        <v>66.496473142541618</v>
      </c>
      <c r="BN42" s="725">
        <f t="shared" si="35"/>
        <v>0.29007895524948968</v>
      </c>
      <c r="BO42" s="725">
        <f t="shared" si="66"/>
        <v>100</v>
      </c>
      <c r="BP42" s="725">
        <f t="shared" si="36"/>
        <v>0.43623209102786159</v>
      </c>
      <c r="BQ42" s="725">
        <v>38.415996695575807</v>
      </c>
      <c r="BR42" s="725">
        <f t="shared" si="37"/>
        <v>0.16758290567430456</v>
      </c>
      <c r="BS42" s="725">
        <v>24.32330179981356</v>
      </c>
      <c r="BT42" s="725">
        <f t="shared" si="38"/>
        <v>0.10610604804834418</v>
      </c>
      <c r="BU42" s="725">
        <f t="shared" si="39"/>
        <v>229.23577163793098</v>
      </c>
      <c r="BV42" s="725">
        <v>63.49001460563327</v>
      </c>
      <c r="BW42" s="725">
        <f t="shared" si="40"/>
        <v>0.28451714940823081</v>
      </c>
      <c r="BX42" s="725">
        <f t="shared" si="67"/>
        <v>100</v>
      </c>
      <c r="BY42" s="725">
        <f t="shared" si="41"/>
        <v>0.44812897142251801</v>
      </c>
      <c r="BZ42" s="725">
        <v>36.505759668837769</v>
      </c>
      <c r="CA42" s="725">
        <f t="shared" si="42"/>
        <v>0.16359288531393912</v>
      </c>
      <c r="CB42" s="725">
        <v>23.154270415933702</v>
      </c>
      <c r="CC42" s="725">
        <f t="shared" si="43"/>
        <v>0.10376099385531208</v>
      </c>
      <c r="CD42" s="725">
        <f t="shared" si="44"/>
        <v>223.15004469040474</v>
      </c>
      <c r="CE42" s="725">
        <v>70.163739697006093</v>
      </c>
      <c r="CF42" s="725">
        <f t="shared" si="45"/>
        <v>0.30301678531888171</v>
      </c>
      <c r="CG42" s="725">
        <f t="shared" si="68"/>
        <v>100</v>
      </c>
      <c r="CH42" s="725">
        <f t="shared" si="46"/>
        <v>0.43187091598512889</v>
      </c>
      <c r="CI42" s="725">
        <v>37.474260727011831</v>
      </c>
      <c r="CJ42" s="725">
        <f t="shared" si="47"/>
        <v>0.16184043306040141</v>
      </c>
      <c r="CK42" s="725">
        <v>23.912669692057747</v>
      </c>
      <c r="CL42" s="725">
        <f t="shared" si="48"/>
        <v>0.10327186563558809</v>
      </c>
      <c r="CM42" s="725">
        <f t="shared" si="49"/>
        <v>231.55067011607565</v>
      </c>
      <c r="CN42" s="725">
        <v>69.399495086843615</v>
      </c>
      <c r="CO42" s="725">
        <f t="shared" si="50"/>
        <v>0.30273523617014175</v>
      </c>
      <c r="CP42" s="725">
        <f t="shared" si="69"/>
        <v>100</v>
      </c>
      <c r="CQ42" s="725">
        <f t="shared" si="51"/>
        <v>0.43622109323895164</v>
      </c>
      <c r="CR42" s="725">
        <v>33.1506088884991</v>
      </c>
      <c r="CS42" s="725">
        <f t="shared" si="52"/>
        <v>0.14460994850877987</v>
      </c>
      <c r="CT42" s="725">
        <v>26.691447040674632</v>
      </c>
      <c r="CU42" s="725">
        <f t="shared" si="53"/>
        <v>0.11643372208212668</v>
      </c>
      <c r="CV42" s="725">
        <f t="shared" si="54"/>
        <v>229.24155101601735</v>
      </c>
    </row>
    <row r="43" spans="1:138" ht="15.75" customHeight="1">
      <c r="A43" s="2">
        <v>2005</v>
      </c>
      <c r="B43" s="725">
        <v>69.240565319331623</v>
      </c>
      <c r="C43" s="725">
        <f t="shared" si="55"/>
        <v>0.30025623319239475</v>
      </c>
      <c r="D43" s="725">
        <f t="shared" si="59"/>
        <v>100</v>
      </c>
      <c r="E43" s="725">
        <f t="shared" si="56"/>
        <v>0.43364208799803761</v>
      </c>
      <c r="F43" s="725">
        <v>35.066785125756475</v>
      </c>
      <c r="G43" s="725">
        <f t="shared" si="57"/>
        <v>0.15206433921311566</v>
      </c>
      <c r="H43" s="725">
        <v>26.297571834625106</v>
      </c>
      <c r="I43" s="725">
        <f t="shared" si="4"/>
        <v>0.11403733959645215</v>
      </c>
      <c r="J43" s="725">
        <f t="shared" si="58"/>
        <v>230.60492227971318</v>
      </c>
      <c r="K43" s="725">
        <v>71.169582571063629</v>
      </c>
      <c r="L43" s="725">
        <f t="shared" si="5"/>
        <v>0.3050966690409852</v>
      </c>
      <c r="M43" s="725">
        <f t="shared" si="60"/>
        <v>100</v>
      </c>
      <c r="N43" s="725">
        <f t="shared" si="6"/>
        <v>0.42868969863121337</v>
      </c>
      <c r="O43" s="725">
        <v>32.640220773276098</v>
      </c>
      <c r="P43" s="725">
        <f t="shared" si="7"/>
        <v>0.13992526406552</v>
      </c>
      <c r="Q43" s="725">
        <v>29.459156276792847</v>
      </c>
      <c r="R43" s="725">
        <f t="shared" si="8"/>
        <v>0.12628836826228143</v>
      </c>
      <c r="S43" s="725">
        <f t="shared" si="9"/>
        <v>233.26895962113258</v>
      </c>
      <c r="T43" s="725">
        <v>68.008402448299591</v>
      </c>
      <c r="U43" s="725">
        <f t="shared" si="10"/>
        <v>0.29500779245576852</v>
      </c>
      <c r="V43" s="725">
        <f t="shared" si="61"/>
        <v>100</v>
      </c>
      <c r="W43" s="725">
        <f t="shared" si="11"/>
        <v>0.43378138852774151</v>
      </c>
      <c r="X43" s="725">
        <v>35.349961794353447</v>
      </c>
      <c r="Y43" s="725">
        <f t="shared" si="12"/>
        <v>0.15334155511557251</v>
      </c>
      <c r="Z43" s="725">
        <v>27.172503712288581</v>
      </c>
      <c r="AA43" s="725">
        <f t="shared" si="13"/>
        <v>0.11786926390091751</v>
      </c>
      <c r="AB43" s="725">
        <f t="shared" si="14"/>
        <v>230.53086795494161</v>
      </c>
      <c r="AC43" s="725">
        <v>69.405325068421149</v>
      </c>
      <c r="AD43" s="725">
        <f t="shared" si="15"/>
        <v>0.29963441376964461</v>
      </c>
      <c r="AE43" s="725">
        <f t="shared" si="62"/>
        <v>100</v>
      </c>
      <c r="AF43" s="725">
        <f t="shared" si="16"/>
        <v>0.43171675008258958</v>
      </c>
      <c r="AG43" s="725">
        <v>34.078286685476336</v>
      </c>
      <c r="AH43" s="725">
        <f t="shared" si="17"/>
        <v>0.14712167176236626</v>
      </c>
      <c r="AI43" s="725">
        <v>28.149745026606148</v>
      </c>
      <c r="AJ43" s="725">
        <f t="shared" si="18"/>
        <v>0.12152716438539946</v>
      </c>
      <c r="AK43" s="725">
        <f t="shared" si="19"/>
        <v>231.63335678050365</v>
      </c>
      <c r="AL43" s="725">
        <v>69.605861276004063</v>
      </c>
      <c r="AM43" s="725">
        <f t="shared" si="20"/>
        <v>0.30112230902054132</v>
      </c>
      <c r="AN43" s="725">
        <f t="shared" si="63"/>
        <v>100</v>
      </c>
      <c r="AO43" s="725">
        <f t="shared" si="21"/>
        <v>0.43261056396747766</v>
      </c>
      <c r="AP43" s="725">
        <v>33.249143936915054</v>
      </c>
      <c r="AQ43" s="725">
        <f t="shared" si="22"/>
        <v>0.1438393090998466</v>
      </c>
      <c r="AR43" s="725">
        <v>28.29977538905824</v>
      </c>
      <c r="AS43" s="725">
        <f t="shared" si="23"/>
        <v>0.12242781791213429</v>
      </c>
      <c r="AT43" s="725">
        <f t="shared" si="24"/>
        <v>231.15478060197739</v>
      </c>
      <c r="AU43" s="725">
        <v>69.614138177037418</v>
      </c>
      <c r="AV43" s="725">
        <f t="shared" si="25"/>
        <v>0.30212972411036881</v>
      </c>
      <c r="AW43" s="725">
        <f t="shared" si="64"/>
        <v>100</v>
      </c>
      <c r="AX43" s="725">
        <f t="shared" si="26"/>
        <v>0.43400626944775972</v>
      </c>
      <c r="AY43" s="725">
        <v>32.813253186777963</v>
      </c>
      <c r="AZ43" s="725">
        <f t="shared" si="27"/>
        <v>0.14241157604038318</v>
      </c>
      <c r="BA43" s="725">
        <v>27.984026718329986</v>
      </c>
      <c r="BB43" s="725">
        <f t="shared" si="28"/>
        <v>0.12145243040148831</v>
      </c>
      <c r="BC43" s="725">
        <f t="shared" si="29"/>
        <v>230.41141808214536</v>
      </c>
      <c r="BD43" s="725">
        <v>68.981807848996851</v>
      </c>
      <c r="BE43" s="725">
        <f t="shared" si="30"/>
        <v>0.29896572683695755</v>
      </c>
      <c r="BF43" s="725">
        <f t="shared" si="65"/>
        <v>100</v>
      </c>
      <c r="BG43" s="725">
        <f t="shared" si="31"/>
        <v>0.43339792933725668</v>
      </c>
      <c r="BH43" s="725">
        <v>36.407973979303208</v>
      </c>
      <c r="BI43" s="725">
        <f t="shared" si="32"/>
        <v>0.15779140533994732</v>
      </c>
      <c r="BJ43" s="725">
        <v>25.345053829355198</v>
      </c>
      <c r="BK43" s="725">
        <f t="shared" si="33"/>
        <v>0.1098449384858385</v>
      </c>
      <c r="BL43" s="725">
        <f t="shared" si="34"/>
        <v>230.73483565765525</v>
      </c>
      <c r="BM43" s="725">
        <v>66.82019280302741</v>
      </c>
      <c r="BN43" s="725">
        <f t="shared" si="35"/>
        <v>0.29202800643586135</v>
      </c>
      <c r="BO43" s="725">
        <f t="shared" si="66"/>
        <v>100</v>
      </c>
      <c r="BP43" s="725">
        <f t="shared" si="36"/>
        <v>0.43703556393005571</v>
      </c>
      <c r="BQ43" s="725">
        <v>37.010538509186432</v>
      </c>
      <c r="BR43" s="725">
        <f t="shared" si="37"/>
        <v>0.16174921568717335</v>
      </c>
      <c r="BS43" s="725">
        <v>24.983599267080315</v>
      </c>
      <c r="BT43" s="725">
        <f t="shared" si="38"/>
        <v>0.10918721394690972</v>
      </c>
      <c r="BU43" s="725">
        <f t="shared" si="39"/>
        <v>228.81433057929414</v>
      </c>
      <c r="BV43" s="725">
        <v>63.577469296003308</v>
      </c>
      <c r="BW43" s="725">
        <f t="shared" si="40"/>
        <v>0.28311502387322696</v>
      </c>
      <c r="BX43" s="725">
        <f t="shared" si="67"/>
        <v>100</v>
      </c>
      <c r="BY43" s="725">
        <f t="shared" si="41"/>
        <v>0.44530716149632038</v>
      </c>
      <c r="BZ43" s="725">
        <v>37.22883569714444</v>
      </c>
      <c r="CA43" s="725">
        <f t="shared" si="42"/>
        <v>0.16578267150108275</v>
      </c>
      <c r="CB43" s="725">
        <v>23.757790639134864</v>
      </c>
      <c r="CC43" s="725">
        <f t="shared" si="43"/>
        <v>0.10579514312936997</v>
      </c>
      <c r="CD43" s="725">
        <f t="shared" si="44"/>
        <v>224.5640956322826</v>
      </c>
      <c r="CE43" s="725">
        <v>70.484678827283119</v>
      </c>
      <c r="CF43" s="725">
        <f t="shared" si="45"/>
        <v>0.30340584030592271</v>
      </c>
      <c r="CG43" s="725">
        <f t="shared" si="68"/>
        <v>100</v>
      </c>
      <c r="CH43" s="725">
        <f t="shared" si="46"/>
        <v>0.43045644153305096</v>
      </c>
      <c r="CI43" s="725">
        <v>37.388268971081317</v>
      </c>
      <c r="CJ43" s="725">
        <f t="shared" si="47"/>
        <v>0.16094021216372248</v>
      </c>
      <c r="CK43" s="725">
        <v>24.438594906989344</v>
      </c>
      <c r="CL43" s="725">
        <f t="shared" si="48"/>
        <v>0.10519750599730376</v>
      </c>
      <c r="CM43" s="725">
        <f t="shared" si="49"/>
        <v>232.31154270535379</v>
      </c>
      <c r="CN43" s="725">
        <v>69.575804162611973</v>
      </c>
      <c r="CO43" s="725">
        <f t="shared" si="50"/>
        <v>0.30339023417264921</v>
      </c>
      <c r="CP43" s="725">
        <f t="shared" si="69"/>
        <v>100</v>
      </c>
      <c r="CQ43" s="725">
        <f t="shared" si="51"/>
        <v>0.43605710034420608</v>
      </c>
      <c r="CR43" s="725">
        <v>32.468904782337006</v>
      </c>
      <c r="CS43" s="725">
        <f t="shared" si="52"/>
        <v>0.14158296470737999</v>
      </c>
      <c r="CT43" s="725">
        <v>27.283055517695914</v>
      </c>
      <c r="CU43" s="725">
        <f t="shared" si="53"/>
        <v>0.11896970077576473</v>
      </c>
      <c r="CV43" s="725">
        <f t="shared" si="54"/>
        <v>229.32776446264489</v>
      </c>
    </row>
    <row r="44" spans="1:138" ht="15.75" customHeight="1">
      <c r="A44" s="2">
        <v>2006</v>
      </c>
      <c r="B44" s="725">
        <v>69.374415713814997</v>
      </c>
      <c r="C44" s="725">
        <f t="shared" si="55"/>
        <v>0.29996194425314432</v>
      </c>
      <c r="D44" s="725">
        <f t="shared" si="59"/>
        <v>100</v>
      </c>
      <c r="E44" s="725">
        <f t="shared" si="56"/>
        <v>0.43238121887837516</v>
      </c>
      <c r="F44" s="479">
        <f>F43</f>
        <v>35.066785125756475</v>
      </c>
      <c r="G44" s="725">
        <f t="shared" si="57"/>
        <v>0.15162219294820661</v>
      </c>
      <c r="H44" s="725">
        <v>26.836189652565256</v>
      </c>
      <c r="I44" s="725">
        <f t="shared" si="4"/>
        <v>0.11603464392027404</v>
      </c>
      <c r="J44" s="725">
        <f t="shared" si="58"/>
        <v>231.2773904921367</v>
      </c>
      <c r="K44" s="725">
        <v>71.114982373562896</v>
      </c>
      <c r="L44" s="725">
        <f t="shared" si="5"/>
        <v>0.30390588772215155</v>
      </c>
      <c r="M44" s="725">
        <f t="shared" si="60"/>
        <v>100</v>
      </c>
      <c r="N44" s="725">
        <f t="shared" si="6"/>
        <v>0.42734439013955106</v>
      </c>
      <c r="O44" s="479">
        <f>O43</f>
        <v>32.640220773276098</v>
      </c>
      <c r="P44" s="725">
        <f t="shared" si="7"/>
        <v>0.13948615240375981</v>
      </c>
      <c r="Q44" s="725">
        <v>30.248102635049467</v>
      </c>
      <c r="R44" s="725">
        <f t="shared" si="8"/>
        <v>0.12926356973453762</v>
      </c>
      <c r="S44" s="725">
        <f t="shared" si="9"/>
        <v>234.00330578188846</v>
      </c>
      <c r="T44" s="725">
        <v>68.130075406032489</v>
      </c>
      <c r="U44" s="725">
        <f t="shared" si="10"/>
        <v>0.29445251587926075</v>
      </c>
      <c r="V44" s="725">
        <f t="shared" si="61"/>
        <v>100</v>
      </c>
      <c r="W44" s="725">
        <f t="shared" si="11"/>
        <v>0.43219167764665178</v>
      </c>
      <c r="X44" s="479">
        <f>X43</f>
        <v>35.349961794353447</v>
      </c>
      <c r="Y44" s="725">
        <f t="shared" si="12"/>
        <v>0.15277959292646662</v>
      </c>
      <c r="Z44" s="725">
        <v>27.898781902552205</v>
      </c>
      <c r="AA44" s="725">
        <f t="shared" si="13"/>
        <v>0.12057621354762085</v>
      </c>
      <c r="AB44" s="725">
        <f t="shared" si="14"/>
        <v>231.37881910293814</v>
      </c>
      <c r="AC44" s="725">
        <v>69.519941152013303</v>
      </c>
      <c r="AD44" s="725">
        <f t="shared" si="15"/>
        <v>0.29904786738518396</v>
      </c>
      <c r="AE44" s="725">
        <f t="shared" si="62"/>
        <v>100</v>
      </c>
      <c r="AF44" s="725">
        <f t="shared" si="16"/>
        <v>0.43016127808750815</v>
      </c>
      <c r="AG44" s="479">
        <f>AG43</f>
        <v>34.078286685476336</v>
      </c>
      <c r="AH44" s="725">
        <f t="shared" si="17"/>
        <v>0.14659159355657012</v>
      </c>
      <c r="AI44" s="725">
        <v>28.872719907037236</v>
      </c>
      <c r="AJ44" s="725">
        <f t="shared" si="18"/>
        <v>0.12419926097073777</v>
      </c>
      <c r="AK44" s="725">
        <f t="shared" si="19"/>
        <v>232.47094774452688</v>
      </c>
      <c r="AL44" s="725">
        <v>69.570482543309808</v>
      </c>
      <c r="AM44" s="725">
        <f t="shared" si="20"/>
        <v>0.30013742668322851</v>
      </c>
      <c r="AN44" s="725">
        <f t="shared" si="63"/>
        <v>100</v>
      </c>
      <c r="AO44" s="725">
        <f t="shared" si="21"/>
        <v>0.43141489854750331</v>
      </c>
      <c r="AP44" s="479">
        <f>AP43</f>
        <v>33.249143936915054</v>
      </c>
      <c r="AQ44" s="725">
        <f t="shared" si="22"/>
        <v>0.14344176058335542</v>
      </c>
      <c r="AR44" s="725">
        <v>28.975799075735509</v>
      </c>
      <c r="AS44" s="725">
        <f t="shared" si="23"/>
        <v>0.12500591418591275</v>
      </c>
      <c r="AT44" s="725">
        <f t="shared" si="24"/>
        <v>231.79542555596038</v>
      </c>
      <c r="AU44" s="725">
        <v>69.663654260627467</v>
      </c>
      <c r="AV44" s="725">
        <f t="shared" si="25"/>
        <v>0.30166054911585205</v>
      </c>
      <c r="AW44" s="725">
        <f t="shared" si="64"/>
        <v>100</v>
      </c>
      <c r="AX44" s="725">
        <f t="shared" si="26"/>
        <v>0.43302429698458222</v>
      </c>
      <c r="AY44" s="479">
        <f>AY43</f>
        <v>32.813253186777963</v>
      </c>
      <c r="AZ44" s="725">
        <f t="shared" si="27"/>
        <v>0.14208935892981631</v>
      </c>
      <c r="BA44" s="725">
        <v>28.457016344774956</v>
      </c>
      <c r="BB44" s="725">
        <f t="shared" si="28"/>
        <v>0.12322579496974941</v>
      </c>
      <c r="BC44" s="725">
        <f t="shared" si="29"/>
        <v>230.93392379218039</v>
      </c>
      <c r="BD44" s="725">
        <v>69.145367209075843</v>
      </c>
      <c r="BE44" s="725">
        <f t="shared" si="30"/>
        <v>0.29870546652042801</v>
      </c>
      <c r="BF44" s="725">
        <f t="shared" si="65"/>
        <v>100</v>
      </c>
      <c r="BG44" s="725">
        <f t="shared" si="31"/>
        <v>0.43199635576050666</v>
      </c>
      <c r="BH44" s="479">
        <f>BH43</f>
        <v>36.407973979303208</v>
      </c>
      <c r="BI44" s="725">
        <f t="shared" si="32"/>
        <v>0.15728112079682338</v>
      </c>
      <c r="BJ44" s="725">
        <v>25.93009302706772</v>
      </c>
      <c r="BK44" s="725">
        <f t="shared" si="33"/>
        <v>0.1120170569222418</v>
      </c>
      <c r="BL44" s="725">
        <f t="shared" si="34"/>
        <v>231.48343421544681</v>
      </c>
      <c r="BM44" s="725">
        <v>67.01817773352218</v>
      </c>
      <c r="BN44" s="725">
        <f t="shared" si="35"/>
        <v>0.29189917054262815</v>
      </c>
      <c r="BO44" s="725">
        <f t="shared" si="66"/>
        <v>100</v>
      </c>
      <c r="BP44" s="725">
        <f t="shared" si="36"/>
        <v>0.43555223435539869</v>
      </c>
      <c r="BQ44" s="479">
        <f>BQ43</f>
        <v>37.010538509186432</v>
      </c>
      <c r="BR44" s="725">
        <f t="shared" si="37"/>
        <v>0.16120022742372678</v>
      </c>
      <c r="BS44" s="725">
        <v>25.564871190027965</v>
      </c>
      <c r="BT44" s="725">
        <f t="shared" si="38"/>
        <v>0.11134836767824641</v>
      </c>
      <c r="BU44" s="725">
        <f t="shared" si="39"/>
        <v>229.59358743273657</v>
      </c>
      <c r="BV44" s="725">
        <v>63.689998234058478</v>
      </c>
      <c r="BW44" s="725">
        <f t="shared" si="40"/>
        <v>0.28278470868738681</v>
      </c>
      <c r="BX44" s="725">
        <f t="shared" si="67"/>
        <v>100</v>
      </c>
      <c r="BY44" s="725">
        <f t="shared" si="41"/>
        <v>0.44400175306672651</v>
      </c>
      <c r="BZ44" s="479">
        <f>BZ43</f>
        <v>37.22883569714444</v>
      </c>
      <c r="CA44" s="725">
        <f t="shared" si="42"/>
        <v>0.16529668314165258</v>
      </c>
      <c r="CB44" s="725">
        <v>24.305502029857095</v>
      </c>
      <c r="CC44" s="725">
        <f t="shared" si="43"/>
        <v>0.10791685510423429</v>
      </c>
      <c r="CD44" s="725">
        <f t="shared" si="44"/>
        <v>225.22433596105998</v>
      </c>
      <c r="CE44" s="725">
        <v>70.749839313257453</v>
      </c>
      <c r="CF44" s="725">
        <f t="shared" si="45"/>
        <v>0.3036555771618632</v>
      </c>
      <c r="CG44" s="725">
        <f t="shared" si="68"/>
        <v>100</v>
      </c>
      <c r="CH44" s="725">
        <f t="shared" si="46"/>
        <v>0.42919613685251545</v>
      </c>
      <c r="CI44" s="479">
        <f>CI43</f>
        <v>37.388268971081317</v>
      </c>
      <c r="CJ44" s="725">
        <f t="shared" si="47"/>
        <v>0.16046900605990874</v>
      </c>
      <c r="CK44" s="725">
        <v>24.855601149637284</v>
      </c>
      <c r="CL44" s="725">
        <f t="shared" si="48"/>
        <v>0.10667927992571263</v>
      </c>
      <c r="CM44" s="725">
        <f t="shared" si="49"/>
        <v>232.99370943397605</v>
      </c>
      <c r="CN44" s="725">
        <v>69.65312307061491</v>
      </c>
      <c r="CO44" s="725">
        <f t="shared" si="50"/>
        <v>0.30292762572806009</v>
      </c>
      <c r="CP44" s="725">
        <f t="shared" si="69"/>
        <v>100</v>
      </c>
      <c r="CQ44" s="725">
        <f t="shared" si="51"/>
        <v>0.43490889191134985</v>
      </c>
      <c r="CR44" s="479">
        <f>CR43</f>
        <v>32.468904782337006</v>
      </c>
      <c r="CS44" s="725">
        <f t="shared" si="52"/>
        <v>0.14121015400461315</v>
      </c>
      <c r="CT44" s="725">
        <v>27.81118772357302</v>
      </c>
      <c r="CU44" s="725">
        <f t="shared" si="53"/>
        <v>0.12095332835597679</v>
      </c>
      <c r="CV44" s="725">
        <f t="shared" si="54"/>
        <v>229.93321557652496</v>
      </c>
    </row>
    <row r="45" spans="1:138" ht="15.75" customHeight="1">
      <c r="A45" s="2">
        <v>2007</v>
      </c>
      <c r="B45" s="725">
        <v>69.471432460507316</v>
      </c>
      <c r="C45" s="725">
        <f t="shared" si="55"/>
        <v>0.29965799554817957</v>
      </c>
      <c r="D45" s="725">
        <f t="shared" si="59"/>
        <v>100</v>
      </c>
      <c r="E45" s="725">
        <f t="shared" si="56"/>
        <v>0.43133988307859822</v>
      </c>
      <c r="F45" s="479">
        <f>F44</f>
        <v>35.066785125756475</v>
      </c>
      <c r="G45" s="725">
        <f t="shared" si="57"/>
        <v>0.15125702996086124</v>
      </c>
      <c r="H45" s="725">
        <v>27.297520130060786</v>
      </c>
      <c r="I45" s="725">
        <f t="shared" si="4"/>
        <v>0.117745091412361</v>
      </c>
      <c r="J45" s="725">
        <f t="shared" si="58"/>
        <v>231.83573771632456</v>
      </c>
      <c r="K45" s="725">
        <v>70.850157663305424</v>
      </c>
      <c r="L45" s="725">
        <f t="shared" si="5"/>
        <v>0.30223288425678818</v>
      </c>
      <c r="M45" s="725">
        <f t="shared" si="60"/>
        <v>100</v>
      </c>
      <c r="N45" s="725">
        <f t="shared" si="6"/>
        <v>0.42658039759496547</v>
      </c>
      <c r="O45" s="479">
        <f>O44</f>
        <v>32.640220773276098</v>
      </c>
      <c r="P45" s="725">
        <f t="shared" si="7"/>
        <v>0.13923678355051569</v>
      </c>
      <c r="Q45" s="725">
        <v>30.93202016352755</v>
      </c>
      <c r="R45" s="725">
        <f t="shared" si="8"/>
        <v>0.13194993459773072</v>
      </c>
      <c r="S45" s="725">
        <f t="shared" si="9"/>
        <v>234.42239860010906</v>
      </c>
      <c r="T45" s="725">
        <v>68.151870140025196</v>
      </c>
      <c r="U45" s="725">
        <f t="shared" si="10"/>
        <v>0.29367475167784091</v>
      </c>
      <c r="V45" s="725">
        <f t="shared" si="61"/>
        <v>100</v>
      </c>
      <c r="W45" s="725">
        <f t="shared" si="11"/>
        <v>0.43091224213577006</v>
      </c>
      <c r="X45" s="479">
        <f>X44</f>
        <v>35.349961794353447</v>
      </c>
      <c r="Y45" s="725">
        <f t="shared" si="12"/>
        <v>0.15232731296218652</v>
      </c>
      <c r="Z45" s="725">
        <v>28.563981523045513</v>
      </c>
      <c r="AA45" s="725">
        <f t="shared" si="13"/>
        <v>0.1230856932242025</v>
      </c>
      <c r="AB45" s="725">
        <f t="shared" si="14"/>
        <v>232.06581345742416</v>
      </c>
      <c r="AC45" s="725">
        <v>69.462810844419948</v>
      </c>
      <c r="AD45" s="46">
        <f t="shared" si="15"/>
        <v>0.29804013048021694</v>
      </c>
      <c r="AE45" s="725">
        <f t="shared" si="62"/>
        <v>100</v>
      </c>
      <c r="AF45" s="46">
        <f t="shared" si="16"/>
        <v>0.42906431061040046</v>
      </c>
      <c r="AG45" s="479">
        <f>AG44</f>
        <v>34.078286685476336</v>
      </c>
      <c r="AH45" s="46">
        <f t="shared" si="17"/>
        <v>0.14621776583487495</v>
      </c>
      <c r="AI45" s="725">
        <v>29.524197175545037</v>
      </c>
      <c r="AJ45" s="46">
        <f t="shared" si="18"/>
        <v>0.12667779307450763</v>
      </c>
      <c r="AK45" s="725">
        <f t="shared" si="19"/>
        <v>233.06529470544132</v>
      </c>
      <c r="AL45" s="725">
        <v>69.461073024135672</v>
      </c>
      <c r="AM45" s="725">
        <f t="shared" si="20"/>
        <v>0.29905983535815045</v>
      </c>
      <c r="AN45" s="725">
        <f t="shared" si="63"/>
        <v>100</v>
      </c>
      <c r="AO45" s="725">
        <f t="shared" si="21"/>
        <v>0.4305430687116451</v>
      </c>
      <c r="AP45" s="479">
        <f>AP44</f>
        <v>33.249143936915054</v>
      </c>
      <c r="AQ45" s="725">
        <f t="shared" si="22"/>
        <v>0.14315188462634595</v>
      </c>
      <c r="AR45" s="725">
        <v>29.554583629606775</v>
      </c>
      <c r="AS45" s="725">
        <f t="shared" si="23"/>
        <v>0.12724521130385852</v>
      </c>
      <c r="AT45" s="725">
        <f t="shared" si="24"/>
        <v>232.2648005906575</v>
      </c>
      <c r="AU45" s="725">
        <v>69.630842314336732</v>
      </c>
      <c r="AV45" s="725">
        <f t="shared" si="25"/>
        <v>0.30106939768219004</v>
      </c>
      <c r="AW45" s="725">
        <f t="shared" si="64"/>
        <v>100</v>
      </c>
      <c r="AX45" s="725">
        <f t="shared" si="26"/>
        <v>0.43237937051380598</v>
      </c>
      <c r="AY45" s="479">
        <f>AY44</f>
        <v>32.813253186777963</v>
      </c>
      <c r="AZ45" s="725">
        <f t="shared" si="27"/>
        <v>0.14187773757409194</v>
      </c>
      <c r="BA45" s="725">
        <v>28.834283671249089</v>
      </c>
      <c r="BB45" s="725">
        <f t="shared" si="28"/>
        <v>0.12467349422991196</v>
      </c>
      <c r="BC45" s="725">
        <f t="shared" si="29"/>
        <v>231.2783791723638</v>
      </c>
      <c r="BD45" s="725">
        <v>69.277485599799647</v>
      </c>
      <c r="BE45" s="725">
        <f t="shared" si="30"/>
        <v>0.29841162513836361</v>
      </c>
      <c r="BF45" s="725">
        <f t="shared" si="65"/>
        <v>100</v>
      </c>
      <c r="BG45" s="725">
        <f t="shared" si="31"/>
        <v>0.43074834855037897</v>
      </c>
      <c r="BH45" s="479">
        <f>BH44</f>
        <v>36.407973979303208</v>
      </c>
      <c r="BI45" s="725">
        <f t="shared" si="32"/>
        <v>0.15682674665650026</v>
      </c>
      <c r="BJ45" s="725">
        <v>26.468651600975868</v>
      </c>
      <c r="BK45" s="725">
        <f t="shared" si="33"/>
        <v>0.11401327965475699</v>
      </c>
      <c r="BL45" s="725">
        <f t="shared" si="34"/>
        <v>232.15411118007876</v>
      </c>
      <c r="BM45" s="725">
        <v>67.170640646025106</v>
      </c>
      <c r="BN45" s="725">
        <f t="shared" si="35"/>
        <v>0.29181167765244248</v>
      </c>
      <c r="BO45" s="725">
        <f t="shared" si="66"/>
        <v>100</v>
      </c>
      <c r="BP45" s="725">
        <f t="shared" si="36"/>
        <v>0.43443336976675201</v>
      </c>
      <c r="BQ45" s="479">
        <f>BQ44</f>
        <v>37.010538509186432</v>
      </c>
      <c r="BR45" s="725">
        <f t="shared" si="37"/>
        <v>0.16078612961428004</v>
      </c>
      <c r="BS45" s="725">
        <v>26.003716755731393</v>
      </c>
      <c r="BT45" s="725">
        <f t="shared" si="38"/>
        <v>0.11296882296652541</v>
      </c>
      <c r="BU45" s="725">
        <f t="shared" si="39"/>
        <v>230.18489591094294</v>
      </c>
      <c r="BV45" s="725">
        <v>64.347236450558569</v>
      </c>
      <c r="BW45" s="725">
        <f t="shared" si="40"/>
        <v>0.28404442616652087</v>
      </c>
      <c r="BX45" s="725">
        <f t="shared" si="67"/>
        <v>100</v>
      </c>
      <c r="BY45" s="725">
        <f t="shared" si="41"/>
        <v>0.44142443690610927</v>
      </c>
      <c r="BZ45" s="479">
        <f>BZ44</f>
        <v>37.22883569714444</v>
      </c>
      <c r="CA45" s="725">
        <f t="shared" si="42"/>
        <v>0.16433717834282044</v>
      </c>
      <c r="CB45" s="725">
        <v>24.963266500804917</v>
      </c>
      <c r="CC45" s="725">
        <f t="shared" si="43"/>
        <v>0.11019395858454951</v>
      </c>
      <c r="CD45" s="725">
        <f t="shared" si="44"/>
        <v>226.53933864850791</v>
      </c>
      <c r="CE45" s="725">
        <v>71.070628205025955</v>
      </c>
      <c r="CF45" s="725">
        <f t="shared" si="45"/>
        <v>0.30412748981227933</v>
      </c>
      <c r="CG45" s="725">
        <f t="shared" si="68"/>
        <v>100</v>
      </c>
      <c r="CH45" s="725">
        <f t="shared" si="46"/>
        <v>0.42792289514442777</v>
      </c>
      <c r="CI45" s="479">
        <f>CI44</f>
        <v>37.388268971081317</v>
      </c>
      <c r="CJ45" s="725">
        <f t="shared" si="47"/>
        <v>0.15999296302543692</v>
      </c>
      <c r="CK45" s="725">
        <v>25.228061700559291</v>
      </c>
      <c r="CL45" s="725">
        <f t="shared" si="48"/>
        <v>0.10795665201785588</v>
      </c>
      <c r="CM45" s="725">
        <f t="shared" si="49"/>
        <v>233.68695887666658</v>
      </c>
      <c r="CN45" s="725">
        <v>69.755063736788927</v>
      </c>
      <c r="CO45" s="725">
        <f t="shared" si="50"/>
        <v>0.3027092255110635</v>
      </c>
      <c r="CP45" s="725">
        <f t="shared" si="69"/>
        <v>100</v>
      </c>
      <c r="CQ45" s="725">
        <f t="shared" si="51"/>
        <v>0.43396021635546755</v>
      </c>
      <c r="CR45" s="479">
        <f>CR44</f>
        <v>32.468904782337006</v>
      </c>
      <c r="CS45" s="725">
        <f t="shared" si="52"/>
        <v>0.14090212944168043</v>
      </c>
      <c r="CT45" s="725">
        <v>28.211901477969658</v>
      </c>
      <c r="CU45" s="725">
        <f t="shared" si="53"/>
        <v>0.12242842869178847</v>
      </c>
      <c r="CV45" s="725">
        <f t="shared" si="54"/>
        <v>230.43586999709561</v>
      </c>
    </row>
    <row r="46" spans="1:138" ht="15.75" customHeight="1">
      <c r="A46" s="2">
        <v>2008</v>
      </c>
      <c r="B46" s="725">
        <v>69.497570335478954</v>
      </c>
      <c r="C46" s="725">
        <f t="shared" si="55"/>
        <v>0.29973694536130896</v>
      </c>
      <c r="D46" s="725">
        <f t="shared" si="59"/>
        <v>100</v>
      </c>
      <c r="E46" s="725">
        <f t="shared" si="56"/>
        <v>0.43129125797408102</v>
      </c>
      <c r="F46" s="479">
        <f>F45</f>
        <v>35.066785125756475</v>
      </c>
      <c r="G46" s="725">
        <f t="shared" si="57"/>
        <v>0.15123997869994302</v>
      </c>
      <c r="H46" s="725">
        <v>27.297520130060786</v>
      </c>
      <c r="I46" s="725">
        <f t="shared" si="4"/>
        <v>0.11773181796466715</v>
      </c>
      <c r="J46" s="725">
        <f t="shared" si="58"/>
        <v>231.86187559129618</v>
      </c>
      <c r="K46" s="725">
        <v>70.555528209570866</v>
      </c>
      <c r="L46" s="725">
        <f t="shared" si="5"/>
        <v>0.30073321509400192</v>
      </c>
      <c r="M46" s="725">
        <f t="shared" si="60"/>
        <v>100</v>
      </c>
      <c r="N46" s="725">
        <f t="shared" si="6"/>
        <v>0.42623621809014733</v>
      </c>
      <c r="O46" s="479">
        <f>O45</f>
        <v>32.640220773276098</v>
      </c>
      <c r="P46" s="725">
        <f t="shared" si="7"/>
        <v>0.13912444260028667</v>
      </c>
      <c r="Q46" s="725">
        <v>31.415942271532504</v>
      </c>
      <c r="R46" s="725">
        <f t="shared" si="8"/>
        <v>0.13390612421556405</v>
      </c>
      <c r="S46" s="725">
        <f t="shared" si="9"/>
        <v>234.61169125437948</v>
      </c>
      <c r="T46" s="725">
        <v>68.15145403310018</v>
      </c>
      <c r="U46" s="725">
        <f t="shared" si="10"/>
        <v>0.29283828678820162</v>
      </c>
      <c r="V46" s="725">
        <f t="shared" si="61"/>
        <v>100</v>
      </c>
      <c r="W46" s="725">
        <f t="shared" si="11"/>
        <v>0.42968751135665323</v>
      </c>
      <c r="X46" s="479">
        <f>X45</f>
        <v>35.349961794353447</v>
      </c>
      <c r="Y46" s="725">
        <f t="shared" si="12"/>
        <v>0.15189437109968504</v>
      </c>
      <c r="Z46" s="725">
        <v>29.225850748830624</v>
      </c>
      <c r="AA46" s="725">
        <f t="shared" si="13"/>
        <v>0.12557983075546011</v>
      </c>
      <c r="AB46" s="725">
        <f t="shared" si="14"/>
        <v>232.72726657628425</v>
      </c>
      <c r="AC46" s="725">
        <v>69.39241828393601</v>
      </c>
      <c r="AD46" s="46">
        <f t="shared" si="15"/>
        <v>0.2971502880749351</v>
      </c>
      <c r="AE46" s="725">
        <f t="shared" si="62"/>
        <v>100</v>
      </c>
      <c r="AF46" s="46">
        <f t="shared" si="16"/>
        <v>0.42821722520041333</v>
      </c>
      <c r="AG46" s="479">
        <f>AG45</f>
        <v>34.078286685476336</v>
      </c>
      <c r="AH46" s="46">
        <f t="shared" si="17"/>
        <v>0.14592909364038867</v>
      </c>
      <c r="AI46" s="725">
        <v>30.055631934009014</v>
      </c>
      <c r="AJ46" s="46">
        <f t="shared" si="18"/>
        <v>0.12870339308426273</v>
      </c>
      <c r="AK46" s="725">
        <f t="shared" si="19"/>
        <v>233.5263369034214</v>
      </c>
      <c r="AL46" s="725">
        <v>69.3066524644655</v>
      </c>
      <c r="AM46" s="725">
        <f t="shared" si="20"/>
        <v>0.29794661993362836</v>
      </c>
      <c r="AN46" s="725">
        <f t="shared" si="63"/>
        <v>100</v>
      </c>
      <c r="AO46" s="725">
        <f t="shared" si="21"/>
        <v>0.4298961345541682</v>
      </c>
      <c r="AP46" s="479">
        <f>AP45</f>
        <v>33.249143936915054</v>
      </c>
      <c r="AQ46" s="725">
        <f t="shared" si="22"/>
        <v>0.14293678455714939</v>
      </c>
      <c r="AR46" s="725">
        <v>30.058530553912611</v>
      </c>
      <c r="AS46" s="725">
        <f t="shared" si="23"/>
        <v>0.12922046095505393</v>
      </c>
      <c r="AT46" s="725">
        <f t="shared" si="24"/>
        <v>232.61432695529319</v>
      </c>
      <c r="AU46" s="725">
        <v>69.487906850960925</v>
      </c>
      <c r="AV46" s="725">
        <f t="shared" si="25"/>
        <v>0.30022791934626597</v>
      </c>
      <c r="AW46" s="725">
        <f t="shared" si="64"/>
        <v>100</v>
      </c>
      <c r="AX46" s="725">
        <f t="shared" si="26"/>
        <v>0.43205779674757061</v>
      </c>
      <c r="AY46" s="479">
        <f>AY45</f>
        <v>32.813253186777963</v>
      </c>
      <c r="AZ46" s="725">
        <f t="shared" si="27"/>
        <v>0.14177221875999488</v>
      </c>
      <c r="BA46" s="725">
        <v>29.14935596446373</v>
      </c>
      <c r="BB46" s="725">
        <f t="shared" si="28"/>
        <v>0.12594206514616857</v>
      </c>
      <c r="BC46" s="725">
        <f t="shared" si="29"/>
        <v>231.45051600220262</v>
      </c>
      <c r="BD46" s="725">
        <v>69.350412050556756</v>
      </c>
      <c r="BE46" s="725">
        <f t="shared" si="30"/>
        <v>0.29794854479279537</v>
      </c>
      <c r="BF46" s="725">
        <f t="shared" si="65"/>
        <v>100</v>
      </c>
      <c r="BG46" s="725">
        <f t="shared" si="31"/>
        <v>0.42962764889643279</v>
      </c>
      <c r="BH46" s="479">
        <f>BH45</f>
        <v>36.407973979303208</v>
      </c>
      <c r="BI46" s="725">
        <f t="shared" si="32"/>
        <v>0.15641872261810538</v>
      </c>
      <c r="BJ46" s="725">
        <v>27.001307758158482</v>
      </c>
      <c r="BK46" s="725">
        <f t="shared" si="33"/>
        <v>0.11600508369266639</v>
      </c>
      <c r="BL46" s="725">
        <f t="shared" si="34"/>
        <v>232.75969378801847</v>
      </c>
      <c r="BM46" s="725">
        <v>67.24772943452551</v>
      </c>
      <c r="BN46" s="725">
        <f t="shared" si="35"/>
        <v>0.2916596665819729</v>
      </c>
      <c r="BO46" s="725">
        <f t="shared" si="66"/>
        <v>100</v>
      </c>
      <c r="BP46" s="725">
        <f t="shared" si="36"/>
        <v>0.43370931484897474</v>
      </c>
      <c r="BQ46" s="479">
        <f>BQ45</f>
        <v>37.010538509186432</v>
      </c>
      <c r="BR46" s="725">
        <f t="shared" si="37"/>
        <v>0.16051815299010844</v>
      </c>
      <c r="BS46" s="725">
        <v>26.310909559016487</v>
      </c>
      <c r="BT46" s="725">
        <f t="shared" si="38"/>
        <v>0.1141128655789438</v>
      </c>
      <c r="BU46" s="725">
        <f t="shared" si="39"/>
        <v>230.56917750272845</v>
      </c>
      <c r="BV46" s="725">
        <v>65.512302539340908</v>
      </c>
      <c r="BW46" s="725">
        <f t="shared" si="40"/>
        <v>0.28676196252326253</v>
      </c>
      <c r="BX46" s="725">
        <f t="shared" si="67"/>
        <v>100</v>
      </c>
      <c r="BY46" s="725">
        <f t="shared" si="41"/>
        <v>0.43772230773152659</v>
      </c>
      <c r="BZ46" s="479">
        <f>BZ45</f>
        <v>37.22883569714444</v>
      </c>
      <c r="CA46" s="725">
        <f t="shared" si="42"/>
        <v>0.16295891875511903</v>
      </c>
      <c r="CB46" s="725">
        <v>25.714204874184226</v>
      </c>
      <c r="CC46" s="725">
        <f t="shared" si="43"/>
        <v>0.11255681099009189</v>
      </c>
      <c r="CD46" s="725">
        <f t="shared" si="44"/>
        <v>228.45534311066956</v>
      </c>
      <c r="CE46" s="725">
        <v>71.306464290675237</v>
      </c>
      <c r="CF46" s="725">
        <f t="shared" si="45"/>
        <v>0.30438251679959344</v>
      </c>
      <c r="CG46" s="725">
        <f t="shared" si="68"/>
        <v>100</v>
      </c>
      <c r="CH46" s="725">
        <f t="shared" si="46"/>
        <v>0.42686524963403299</v>
      </c>
      <c r="CI46" s="479">
        <f>CI45</f>
        <v>37.388268971081317</v>
      </c>
      <c r="CJ46" s="725">
        <f t="shared" si="47"/>
        <v>0.15959752767724997</v>
      </c>
      <c r="CK46" s="725">
        <v>25.57123260389686</v>
      </c>
      <c r="CL46" s="725">
        <f t="shared" si="48"/>
        <v>0.10915470588912357</v>
      </c>
      <c r="CM46" s="725">
        <f t="shared" si="49"/>
        <v>234.26596586565341</v>
      </c>
      <c r="CN46" s="725">
        <v>69.816389116038124</v>
      </c>
      <c r="CO46" s="725">
        <f t="shared" si="50"/>
        <v>0.30238591687944144</v>
      </c>
      <c r="CP46" s="725">
        <f t="shared" si="69"/>
        <v>100</v>
      </c>
      <c r="CQ46" s="725">
        <f t="shared" si="51"/>
        <v>0.4331159498622334</v>
      </c>
      <c r="CR46" s="479">
        <f>CR45</f>
        <v>32.468904782337006</v>
      </c>
      <c r="CS46" s="725">
        <f t="shared" si="52"/>
        <v>0.14062800535788303</v>
      </c>
      <c r="CT46" s="725">
        <v>28.599761320229149</v>
      </c>
      <c r="CU46" s="725">
        <f t="shared" si="53"/>
        <v>0.12387012790044209</v>
      </c>
      <c r="CV46" s="725">
        <f t="shared" si="54"/>
        <v>230.88505521860429</v>
      </c>
    </row>
    <row r="47" spans="1:138" ht="15.75" customHeight="1">
      <c r="A47" s="2" t="s">
        <v>1707</v>
      </c>
      <c r="B47" s="725">
        <f>(POWER(B46/B19, 1/27)-1)*100</f>
        <v>7.3535123937662483E-2</v>
      </c>
      <c r="C47" s="725">
        <f t="shared" ref="C47:BN47" si="70">(POWER(C46/C19, 1/27)-1)*100</f>
        <v>8.0559196221741125E-2</v>
      </c>
      <c r="D47" s="725">
        <f t="shared" si="70"/>
        <v>0</v>
      </c>
      <c r="E47" s="725">
        <f t="shared" si="70"/>
        <v>7.0189109192320132E-3</v>
      </c>
      <c r="F47" s="725">
        <f t="shared" si="70"/>
        <v>-0.94144210876299095</v>
      </c>
      <c r="G47" s="725">
        <f t="shared" si="70"/>
        <v>-0.93448927682673322</v>
      </c>
      <c r="H47" s="725">
        <f t="shared" si="70"/>
        <v>1.3709800421644935</v>
      </c>
      <c r="I47" s="725">
        <f t="shared" si="70"/>
        <v>1.3780951809515996</v>
      </c>
      <c r="J47" s="725">
        <f t="shared" si="70"/>
        <v>-7.0184183026955616E-3</v>
      </c>
      <c r="K47" s="725">
        <f t="shared" si="70"/>
        <v>0.41301431631959318</v>
      </c>
      <c r="L47" s="725">
        <f t="shared" si="70"/>
        <v>0.30792395672749606</v>
      </c>
      <c r="M47" s="725">
        <f t="shared" si="70"/>
        <v>0</v>
      </c>
      <c r="N47" s="725">
        <f t="shared" si="70"/>
        <v>-0.10465810662853015</v>
      </c>
      <c r="O47" s="725">
        <f t="shared" si="70"/>
        <v>-1.5493497977229875</v>
      </c>
      <c r="P47" s="725">
        <f t="shared" si="70"/>
        <v>-1.6523863841881647</v>
      </c>
      <c r="Q47" s="725">
        <f t="shared" si="70"/>
        <v>2.7279621884122918</v>
      </c>
      <c r="R47" s="725">
        <f t="shared" si="70"/>
        <v>2.6204490482078402</v>
      </c>
      <c r="S47" s="725">
        <f t="shared" si="70"/>
        <v>0.10476775457683996</v>
      </c>
      <c r="T47" s="725">
        <f t="shared" si="70"/>
        <v>0.28076429937438085</v>
      </c>
      <c r="U47" s="725">
        <f t="shared" si="70"/>
        <v>0.20947127305088742</v>
      </c>
      <c r="V47" s="725">
        <f t="shared" si="70"/>
        <v>0</v>
      </c>
      <c r="W47" s="725">
        <f t="shared" si="70"/>
        <v>-7.1093421377066424E-2</v>
      </c>
      <c r="X47" s="725">
        <f t="shared" si="70"/>
        <v>-1.1035843312567351</v>
      </c>
      <c r="Y47" s="725">
        <f t="shared" si="70"/>
        <v>-1.1738931767749206</v>
      </c>
      <c r="Z47" s="725">
        <f t="shared" si="70"/>
        <v>1.9351838036391289</v>
      </c>
      <c r="AA47" s="725">
        <f t="shared" si="70"/>
        <v>1.8627145938861389</v>
      </c>
      <c r="AB47" s="725">
        <f t="shared" si="70"/>
        <v>7.1144000080836101E-2</v>
      </c>
      <c r="AC47" s="725">
        <f t="shared" si="70"/>
        <v>0.19434513773777251</v>
      </c>
      <c r="AD47" s="725">
        <f t="shared" si="70"/>
        <v>0.16366951830617538</v>
      </c>
      <c r="AE47" s="725">
        <f t="shared" si="70"/>
        <v>0</v>
      </c>
      <c r="AF47" s="725">
        <f t="shared" si="70"/>
        <v>-3.0616118493942412E-2</v>
      </c>
      <c r="AG47" s="725">
        <f t="shared" si="70"/>
        <v>-1.2189576128324164</v>
      </c>
      <c r="AH47" s="725">
        <f t="shared" si="70"/>
        <v>-1.249200533819228</v>
      </c>
      <c r="AI47" s="725">
        <f t="shared" si="70"/>
        <v>1.8547306192401969</v>
      </c>
      <c r="AJ47" s="725">
        <f t="shared" si="70"/>
        <v>1.8235466542221301</v>
      </c>
      <c r="AK47" s="725">
        <f t="shared" si="70"/>
        <v>3.0625494831726385E-2</v>
      </c>
      <c r="AL47" s="725">
        <f t="shared" si="70"/>
        <v>0.22469952115897751</v>
      </c>
      <c r="AM47" s="725">
        <f t="shared" si="70"/>
        <v>0.17825752554112562</v>
      </c>
      <c r="AN47" s="725">
        <f t="shared" si="70"/>
        <v>0</v>
      </c>
      <c r="AO47" s="725">
        <f t="shared" si="70"/>
        <v>-4.6337874635427045E-2</v>
      </c>
      <c r="AP47" s="725">
        <f t="shared" si="70"/>
        <v>-1.2853067565753773</v>
      </c>
      <c r="AQ47" s="725">
        <f t="shared" si="70"/>
        <v>-1.331049047377264</v>
      </c>
      <c r="AR47" s="725">
        <f t="shared" si="70"/>
        <v>2.058152689642867</v>
      </c>
      <c r="AS47" s="725">
        <f t="shared" si="70"/>
        <v>2.0108611107942931</v>
      </c>
      <c r="AT47" s="725">
        <f t="shared" si="70"/>
        <v>4.635935657595347E-2</v>
      </c>
      <c r="AU47" s="725">
        <f t="shared" si="70"/>
        <v>-1.3818330403325696E-2</v>
      </c>
      <c r="AV47" s="725">
        <f t="shared" si="70"/>
        <v>5.5955693469722512E-2</v>
      </c>
      <c r="AW47" s="725">
        <f t="shared" si="70"/>
        <v>0</v>
      </c>
      <c r="AX47" s="725">
        <f t="shared" si="70"/>
        <v>6.9783666810696587E-2</v>
      </c>
      <c r="AY47" s="725">
        <f t="shared" si="70"/>
        <v>-1.3207741628201597</v>
      </c>
      <c r="AZ47" s="725">
        <f t="shared" si="70"/>
        <v>-1.2519121806505606</v>
      </c>
      <c r="BA47" s="725">
        <f t="shared" si="70"/>
        <v>1.5742909103856562</v>
      </c>
      <c r="BB47" s="725">
        <f t="shared" si="70"/>
        <v>1.6451731751198739</v>
      </c>
      <c r="BC47" s="725">
        <f t="shared" si="70"/>
        <v>-6.9735003168436283E-2</v>
      </c>
      <c r="BD47" s="725">
        <f t="shared" si="70"/>
        <v>4.745107294601425E-2</v>
      </c>
      <c r="BE47" s="725">
        <f t="shared" si="70"/>
        <v>6.799140448456864E-2</v>
      </c>
      <c r="BF47" s="725">
        <f t="shared" si="70"/>
        <v>0</v>
      </c>
      <c r="BG47" s="725">
        <f t="shared" si="70"/>
        <v>2.0530589553535705E-2</v>
      </c>
      <c r="BH47" s="725">
        <f t="shared" si="70"/>
        <v>-0.83558277787479929</v>
      </c>
      <c r="BI47" s="725">
        <f t="shared" si="70"/>
        <v>-0.8152237383917682</v>
      </c>
      <c r="BJ47" s="725">
        <f t="shared" si="70"/>
        <v>1.1328710126556896</v>
      </c>
      <c r="BK47" s="725">
        <f t="shared" si="70"/>
        <v>1.1536341873070066</v>
      </c>
      <c r="BL47" s="725">
        <f t="shared" si="70"/>
        <v>-2.0526375367657668E-2</v>
      </c>
      <c r="BM47" s="725">
        <f t="shared" si="70"/>
        <v>0.11896869600709348</v>
      </c>
      <c r="BN47" s="725">
        <f t="shared" si="70"/>
        <v>7.6738949651122823E-2</v>
      </c>
      <c r="BO47" s="725">
        <f t="shared" ref="BO47:CV47" si="71">(POWER(BO46/BO19, 1/27)-1)*100</f>
        <v>0</v>
      </c>
      <c r="BP47" s="725">
        <f t="shared" si="71"/>
        <v>-4.217956587645455E-2</v>
      </c>
      <c r="BQ47" s="725">
        <f t="shared" si="71"/>
        <v>-0.61294590450794439</v>
      </c>
      <c r="BR47" s="725">
        <f t="shared" si="71"/>
        <v>-0.65486693246281646</v>
      </c>
      <c r="BS47" s="725">
        <f t="shared" si="71"/>
        <v>1.1853762638824872</v>
      </c>
      <c r="BT47" s="725">
        <f t="shared" si="71"/>
        <v>1.1426967114439357</v>
      </c>
      <c r="BU47" s="725">
        <f t="shared" si="71"/>
        <v>4.2197364541629589E-2</v>
      </c>
      <c r="BV47" s="725">
        <f t="shared" si="71"/>
        <v>0.1143404315887997</v>
      </c>
      <c r="BW47" s="725">
        <f t="shared" si="71"/>
        <v>8.887156626922188E-2</v>
      </c>
      <c r="BX47" s="725">
        <f t="shared" si="71"/>
        <v>0</v>
      </c>
      <c r="BY47" s="725">
        <f t="shared" si="71"/>
        <v>-2.5439777368341243E-2</v>
      </c>
      <c r="BZ47" s="725">
        <f t="shared" si="71"/>
        <v>-0.65764021993646171</v>
      </c>
      <c r="CA47" s="725">
        <f t="shared" si="71"/>
        <v>-0.68291269509695995</v>
      </c>
      <c r="CB47" s="725">
        <f t="shared" si="71"/>
        <v>1.1506180393041188</v>
      </c>
      <c r="CC47" s="725">
        <f t="shared" si="71"/>
        <v>1.1248855472682173</v>
      </c>
      <c r="CD47" s="725">
        <f t="shared" si="71"/>
        <v>2.5446250837890538E-2</v>
      </c>
      <c r="CE47" s="725">
        <f t="shared" si="71"/>
        <v>0.12920979939794464</v>
      </c>
      <c r="CF47" s="725">
        <f t="shared" si="71"/>
        <v>3.0847926690436012E-2</v>
      </c>
      <c r="CG47" s="725">
        <f t="shared" si="71"/>
        <v>0</v>
      </c>
      <c r="CH47" s="725">
        <f t="shared" si="71"/>
        <v>-9.8234943534025732E-2</v>
      </c>
      <c r="CI47" s="725">
        <f t="shared" si="71"/>
        <v>-0.55391709338287187</v>
      </c>
      <c r="CJ47" s="725">
        <f t="shared" si="71"/>
        <v>-0.65160789677298769</v>
      </c>
      <c r="CK47" s="725">
        <f t="shared" si="71"/>
        <v>1.792006825940673</v>
      </c>
      <c r="CL47" s="725">
        <f t="shared" si="71"/>
        <v>1.6920115055130358</v>
      </c>
      <c r="CM47" s="725">
        <f t="shared" si="71"/>
        <v>9.833153946630091E-2</v>
      </c>
      <c r="CN47" s="725">
        <f t="shared" si="71"/>
        <v>8.9037956058413137E-2</v>
      </c>
      <c r="CO47" s="725">
        <f t="shared" si="71"/>
        <v>3.0126401936292346E-2</v>
      </c>
      <c r="CP47" s="725">
        <f t="shared" si="71"/>
        <v>0</v>
      </c>
      <c r="CQ47" s="725">
        <f t="shared" si="71"/>
        <v>-5.885914714055529E-2</v>
      </c>
      <c r="CR47" s="725">
        <f t="shared" si="71"/>
        <v>-0.75989316518321193</v>
      </c>
      <c r="CS47" s="725">
        <f t="shared" si="71"/>
        <v>-0.81830504568756179</v>
      </c>
      <c r="CT47" s="725">
        <f t="shared" si="71"/>
        <v>1.4886704863043665</v>
      </c>
      <c r="CU47" s="725">
        <f t="shared" si="71"/>
        <v>1.428935120411845</v>
      </c>
      <c r="CV47" s="725">
        <f t="shared" si="71"/>
        <v>5.8893811535742913E-2</v>
      </c>
      <c r="CW47" s="728"/>
      <c r="CX47" s="728"/>
      <c r="CY47" s="728"/>
      <c r="CZ47" s="728"/>
      <c r="DA47" s="728"/>
      <c r="DB47" s="728"/>
      <c r="DC47" s="728"/>
      <c r="DD47" s="728"/>
      <c r="DE47" s="728"/>
      <c r="DF47" s="728"/>
      <c r="DG47" s="728"/>
      <c r="DH47" s="728"/>
      <c r="DI47" s="728"/>
      <c r="DJ47" s="728"/>
      <c r="DK47" s="728"/>
      <c r="DL47" s="728"/>
      <c r="DM47" s="728"/>
      <c r="DN47" s="728"/>
      <c r="DO47" s="728"/>
      <c r="DP47" s="728"/>
      <c r="DQ47" s="728"/>
      <c r="DR47" s="728"/>
      <c r="DS47" s="728"/>
      <c r="DT47" s="728"/>
      <c r="DU47" s="728"/>
      <c r="DV47" s="728"/>
      <c r="DW47" s="728"/>
      <c r="DX47" s="728"/>
      <c r="DY47" s="728"/>
      <c r="DZ47" s="728"/>
      <c r="EA47" s="728"/>
      <c r="EB47" s="728"/>
      <c r="EC47" s="728"/>
      <c r="ED47" s="728"/>
      <c r="EE47" s="728"/>
      <c r="EF47" s="728"/>
      <c r="EG47" s="728"/>
      <c r="EH47" s="728"/>
    </row>
    <row r="48" spans="1:138" ht="15.75" customHeight="1">
      <c r="A48" s="309" t="s">
        <v>391</v>
      </c>
      <c r="B48" s="725"/>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c r="AD48" s="725"/>
      <c r="AE48" s="725"/>
      <c r="AF48" s="725"/>
      <c r="AG48" s="725"/>
      <c r="AH48" s="725"/>
      <c r="AI48" s="725"/>
      <c r="AJ48" s="725"/>
      <c r="AK48" s="725"/>
      <c r="AL48" s="725"/>
      <c r="AM48" s="725"/>
      <c r="AN48" s="725"/>
      <c r="AO48" s="725"/>
      <c r="AP48" s="725"/>
      <c r="AQ48" s="725"/>
      <c r="AR48" s="725"/>
      <c r="AS48" s="725"/>
      <c r="AT48" s="725"/>
      <c r="AU48" s="725"/>
      <c r="AV48" s="725"/>
      <c r="AW48" s="725"/>
      <c r="AX48" s="725"/>
      <c r="AY48" s="725"/>
      <c r="AZ48" s="725"/>
      <c r="BA48" s="725"/>
      <c r="BB48" s="725"/>
      <c r="BC48" s="725"/>
      <c r="BD48" s="725"/>
      <c r="BE48" s="725"/>
      <c r="BF48" s="725"/>
      <c r="BG48" s="725"/>
      <c r="BH48" s="725"/>
      <c r="BI48" s="725"/>
      <c r="BJ48" s="725"/>
      <c r="BK48" s="725"/>
      <c r="BL48" s="725"/>
      <c r="BM48" s="725"/>
      <c r="BN48" s="725"/>
      <c r="BO48" s="725"/>
      <c r="BP48" s="725"/>
      <c r="BQ48" s="725"/>
      <c r="BR48" s="725"/>
      <c r="BS48" s="725"/>
      <c r="BT48" s="725"/>
      <c r="BU48" s="725"/>
      <c r="BV48" s="725"/>
      <c r="BW48" s="725"/>
      <c r="BX48" s="725"/>
      <c r="BY48" s="725"/>
      <c r="BZ48" s="725"/>
      <c r="CA48" s="725"/>
      <c r="CB48" s="725"/>
      <c r="CC48" s="725"/>
      <c r="CD48" s="725"/>
      <c r="CE48" s="725"/>
      <c r="CF48" s="725"/>
      <c r="CG48" s="725"/>
      <c r="CH48" s="725"/>
      <c r="CI48" s="725"/>
      <c r="CJ48" s="725"/>
      <c r="CK48" s="725"/>
      <c r="CL48" s="725"/>
      <c r="CM48" s="725"/>
      <c r="CN48" s="725"/>
      <c r="CO48" s="725"/>
      <c r="CP48" s="725"/>
      <c r="CQ48" s="725"/>
      <c r="CR48" s="725"/>
      <c r="CS48" s="725"/>
      <c r="CT48" s="725"/>
      <c r="CU48" s="725"/>
      <c r="CV48" s="725"/>
      <c r="CW48" s="728"/>
      <c r="CX48" s="728"/>
      <c r="CY48" s="728"/>
      <c r="CZ48" s="728"/>
      <c r="DA48" s="728"/>
      <c r="DB48" s="728"/>
      <c r="DC48" s="728"/>
      <c r="DD48" s="728"/>
      <c r="DE48" s="728"/>
      <c r="DF48" s="728"/>
      <c r="DG48" s="728"/>
      <c r="DH48" s="728"/>
      <c r="DI48" s="728"/>
      <c r="DJ48" s="728"/>
      <c r="DK48" s="728"/>
      <c r="DL48" s="728"/>
      <c r="DM48" s="728"/>
      <c r="DN48" s="728"/>
      <c r="DO48" s="728"/>
      <c r="DP48" s="728"/>
      <c r="DQ48" s="728"/>
      <c r="DR48" s="728"/>
      <c r="DS48" s="728"/>
      <c r="DT48" s="728"/>
      <c r="DU48" s="728"/>
      <c r="DV48" s="728"/>
      <c r="DW48" s="728"/>
      <c r="DX48" s="728"/>
      <c r="DY48" s="728"/>
      <c r="DZ48" s="728"/>
      <c r="EA48" s="728"/>
      <c r="EB48" s="728"/>
      <c r="EC48" s="728"/>
      <c r="ED48" s="728"/>
      <c r="EE48" s="728"/>
      <c r="EF48" s="728"/>
      <c r="EG48" s="728"/>
      <c r="EH48" s="728"/>
    </row>
    <row r="49" spans="1:96" ht="12.75" customHeight="1">
      <c r="A49" s="480" t="s">
        <v>1551</v>
      </c>
      <c r="K49" s="739" t="s">
        <v>1532</v>
      </c>
    </row>
    <row r="50" spans="1:96">
      <c r="A50" s="480" t="s">
        <v>1533</v>
      </c>
      <c r="T50" s="739" t="s">
        <v>1532</v>
      </c>
      <c r="AC50" s="739" t="s">
        <v>1532</v>
      </c>
      <c r="AL50" s="739" t="s">
        <v>1532</v>
      </c>
      <c r="AU50" s="739" t="s">
        <v>1532</v>
      </c>
      <c r="BD50" s="739" t="s">
        <v>1532</v>
      </c>
      <c r="BM50" s="739" t="s">
        <v>1532</v>
      </c>
      <c r="BV50" s="739" t="s">
        <v>1532</v>
      </c>
      <c r="CE50" s="739" t="s">
        <v>1532</v>
      </c>
      <c r="CN50" s="739" t="s">
        <v>1532</v>
      </c>
    </row>
    <row r="51" spans="1:96">
      <c r="A51" s="480" t="s">
        <v>1534</v>
      </c>
    </row>
    <row r="52" spans="1:96">
      <c r="A52" s="30" t="s">
        <v>1535</v>
      </c>
    </row>
    <row r="53" spans="1:96">
      <c r="A53" s="739" t="s">
        <v>1536</v>
      </c>
    </row>
    <row r="57" spans="1:96">
      <c r="B57" s="739" t="s">
        <v>1537</v>
      </c>
    </row>
    <row r="59" spans="1:96">
      <c r="A59" s="739">
        <v>1971</v>
      </c>
      <c r="F59" s="114">
        <v>56.319890122319443</v>
      </c>
      <c r="O59" s="114">
        <v>54.88252719881239</v>
      </c>
      <c r="X59" s="114">
        <v>52.270372717859637</v>
      </c>
      <c r="AG59" s="114">
        <v>52.962266525858723</v>
      </c>
      <c r="AP59" s="114">
        <v>54.098604282342905</v>
      </c>
      <c r="AY59" s="114">
        <v>60.036161711796161</v>
      </c>
      <c r="BH59" s="114">
        <v>54.957417914895672</v>
      </c>
      <c r="BQ59" s="114">
        <v>51.849599309645548</v>
      </c>
      <c r="BZ59" s="114">
        <v>53.51938543565381</v>
      </c>
      <c r="CI59" s="114">
        <v>61.082196074658022</v>
      </c>
      <c r="CR59" s="114">
        <v>52.78710854657465</v>
      </c>
    </row>
    <row r="60" spans="1:96">
      <c r="A60" s="739">
        <v>1972</v>
      </c>
      <c r="F60" s="114">
        <v>55.50168032322896</v>
      </c>
      <c r="O60" s="114">
        <v>54.014738612677732</v>
      </c>
      <c r="X60" s="114">
        <v>51.757379311197255</v>
      </c>
      <c r="AG60" s="114">
        <v>52.459667928562801</v>
      </c>
      <c r="AP60" s="114">
        <v>53.440516645140185</v>
      </c>
      <c r="AY60" s="114">
        <v>58.947486914887392</v>
      </c>
      <c r="BH60" s="114">
        <v>54.307452055117949</v>
      </c>
      <c r="BQ60" s="114">
        <v>51.062846252652562</v>
      </c>
      <c r="BZ60" s="114">
        <v>53.517761061836204</v>
      </c>
      <c r="CI60" s="114">
        <v>59.376940300965416</v>
      </c>
      <c r="CR60" s="114">
        <v>52.307947552753632</v>
      </c>
    </row>
    <row r="61" spans="1:96">
      <c r="A61" s="739">
        <v>1973</v>
      </c>
      <c r="F61" s="114">
        <v>55.501680323228989</v>
      </c>
      <c r="O61" s="114">
        <v>53.341534173547359</v>
      </c>
      <c r="X61" s="114">
        <v>51.108259260781153</v>
      </c>
      <c r="AG61" s="114">
        <v>51.616642968879681</v>
      </c>
      <c r="AP61" s="114">
        <v>52.64782363939468</v>
      </c>
      <c r="AY61" s="114">
        <v>57.853613316705534</v>
      </c>
      <c r="BH61" s="114">
        <v>53.687242877129329</v>
      </c>
      <c r="BQ61" s="114">
        <v>50.105575629556633</v>
      </c>
      <c r="BZ61" s="114">
        <v>53.344853462255365</v>
      </c>
      <c r="CI61" s="114">
        <v>57.601349953116291</v>
      </c>
      <c r="CR61" s="114">
        <v>51.775922548779256</v>
      </c>
    </row>
    <row r="62" spans="1:96">
      <c r="A62" s="739">
        <v>1974</v>
      </c>
      <c r="F62" s="114">
        <v>55.501680323228989</v>
      </c>
      <c r="O62" s="114">
        <v>52.965949816976384</v>
      </c>
      <c r="X62" s="114">
        <v>50.377662446285875</v>
      </c>
      <c r="AG62" s="114">
        <v>51.009717755160075</v>
      </c>
      <c r="AP62" s="114">
        <v>51.852850131413042</v>
      </c>
      <c r="AY62" s="114">
        <v>56.642107217565247</v>
      </c>
      <c r="BH62" s="114">
        <v>52.978693770282248</v>
      </c>
      <c r="BQ62" s="114">
        <v>48.880924204358955</v>
      </c>
      <c r="BZ62" s="114">
        <v>52.823877297293926</v>
      </c>
      <c r="CI62" s="114">
        <v>55.918412189277525</v>
      </c>
      <c r="CR62" s="114">
        <v>51.060911331585125</v>
      </c>
    </row>
    <row r="63" spans="1:96">
      <c r="A63" s="739">
        <v>1975</v>
      </c>
      <c r="F63" s="114">
        <v>52.761797789842824</v>
      </c>
      <c r="O63" s="114">
        <v>52.308572943754051</v>
      </c>
      <c r="X63" s="114">
        <v>49.470636168417919</v>
      </c>
      <c r="AG63" s="114">
        <v>50.306620361990504</v>
      </c>
      <c r="AP63" s="114">
        <v>50.742040456211605</v>
      </c>
      <c r="AY63" s="114">
        <v>55.396330236253078</v>
      </c>
      <c r="BH63" s="114">
        <v>52.374787665484206</v>
      </c>
      <c r="BQ63" s="114">
        <v>47.840730696835685</v>
      </c>
      <c r="BZ63" s="114">
        <v>51.558711260184182</v>
      </c>
      <c r="CI63" s="114">
        <v>53.516792160649828</v>
      </c>
      <c r="CR63" s="114">
        <v>50.756360535167616</v>
      </c>
    </row>
    <row r="64" spans="1:96">
      <c r="A64" s="739">
        <v>1976</v>
      </c>
      <c r="F64" s="114">
        <v>50.795847772574227</v>
      </c>
      <c r="O64" s="114">
        <v>51.664606914922395</v>
      </c>
      <c r="X64" s="114">
        <v>48.915286442703504</v>
      </c>
      <c r="AG64" s="114">
        <v>49.547505712694495</v>
      </c>
      <c r="AP64" s="114">
        <v>49.638118901120741</v>
      </c>
      <c r="AY64" s="114">
        <v>53.666654013795849</v>
      </c>
      <c r="BH64" s="114">
        <v>50.342519318749375</v>
      </c>
      <c r="BQ64" s="114">
        <v>46.77978016757622</v>
      </c>
      <c r="BZ64" s="114">
        <v>50.000736006625203</v>
      </c>
      <c r="CI64" s="114">
        <v>51.039587367233729</v>
      </c>
      <c r="CR64" s="114">
        <v>47.199681329521511</v>
      </c>
    </row>
    <row r="65" spans="1:96">
      <c r="A65" s="739">
        <v>1977</v>
      </c>
      <c r="F65" s="114">
        <v>48.93133312616677</v>
      </c>
      <c r="O65" s="114">
        <v>51.34191527865439</v>
      </c>
      <c r="X65" s="114">
        <v>48.146391220621396</v>
      </c>
      <c r="AG65" s="114">
        <v>49.01091341236647</v>
      </c>
      <c r="AP65" s="114">
        <v>48.990422445881087</v>
      </c>
      <c r="AY65" s="114">
        <v>52.242845951267135</v>
      </c>
      <c r="BH65" s="114">
        <v>48.357718490747359</v>
      </c>
      <c r="BQ65" s="114">
        <v>45.722923115584528</v>
      </c>
      <c r="BZ65" s="114">
        <v>48.502920847859798</v>
      </c>
      <c r="CI65" s="114">
        <v>48.214512904833533</v>
      </c>
      <c r="CR65" s="114">
        <v>43.710431901675939</v>
      </c>
    </row>
    <row r="66" spans="1:96">
      <c r="A66" s="739">
        <v>1978</v>
      </c>
      <c r="F66" s="114">
        <v>47.732316740037781</v>
      </c>
      <c r="O66" s="114">
        <v>52.41312854154797</v>
      </c>
      <c r="X66" s="114">
        <v>48.010087102516252</v>
      </c>
      <c r="AG66" s="114">
        <v>48.557186454530878</v>
      </c>
      <c r="AP66" s="114">
        <v>49.42568586918059</v>
      </c>
      <c r="AY66" s="114">
        <v>49.204252649181775</v>
      </c>
      <c r="BH66" s="114">
        <v>47.447147222406855</v>
      </c>
      <c r="BQ66" s="114">
        <v>45.522180020412854</v>
      </c>
      <c r="BZ66" s="114">
        <v>49.040381837055108</v>
      </c>
      <c r="CI66" s="114">
        <v>47.237294664233048</v>
      </c>
      <c r="CR66" s="114">
        <v>43.651702331043374</v>
      </c>
    </row>
    <row r="67" spans="1:96">
      <c r="A67" s="739">
        <v>1979</v>
      </c>
      <c r="F67" s="114">
        <v>46.847773662067659</v>
      </c>
      <c r="O67" s="114">
        <v>52.426872685862534</v>
      </c>
      <c r="X67" s="114">
        <v>45.741334154834078</v>
      </c>
      <c r="AG67" s="114">
        <v>46.702359083837116</v>
      </c>
      <c r="AP67" s="114">
        <v>47.400420208447365</v>
      </c>
      <c r="AY67" s="114">
        <v>49.52805792426598</v>
      </c>
      <c r="BH67" s="114">
        <v>46.233917058981092</v>
      </c>
      <c r="BQ67" s="114">
        <v>44.925190843656068</v>
      </c>
      <c r="BZ67" s="114">
        <v>48.28445723435037</v>
      </c>
      <c r="CI67" s="114">
        <v>45.808965491224015</v>
      </c>
      <c r="CR67" s="114">
        <v>41.764193770183155</v>
      </c>
    </row>
    <row r="68" spans="1:96">
      <c r="A68" s="739">
        <v>1980</v>
      </c>
      <c r="F68" s="114">
        <v>45.926446998716571</v>
      </c>
      <c r="O68" s="114">
        <v>50.431437131031494</v>
      </c>
      <c r="X68" s="114">
        <v>48.042495701348493</v>
      </c>
      <c r="AG68" s="114">
        <v>47.76406400426059</v>
      </c>
      <c r="AP68" s="114">
        <v>47.613240620412697</v>
      </c>
      <c r="AY68" s="114">
        <v>47.811028772798487</v>
      </c>
      <c r="BH68" s="114">
        <v>45.977435026912843</v>
      </c>
      <c r="BQ68" s="114">
        <v>43.830722893332023</v>
      </c>
      <c r="BZ68" s="114">
        <v>44.549247476392708</v>
      </c>
      <c r="CI68" s="114">
        <v>45.088314574369434</v>
      </c>
      <c r="CR68" s="114">
        <v>40.820783194014133</v>
      </c>
    </row>
    <row r="69" spans="1:96">
      <c r="A69" s="739">
        <v>1981</v>
      </c>
      <c r="F69" s="114">
        <v>45.270148652400152</v>
      </c>
      <c r="O69" s="114">
        <v>49.756656834722762</v>
      </c>
      <c r="X69" s="114">
        <v>47.69952507293511</v>
      </c>
      <c r="AG69" s="114">
        <v>47.455922931853834</v>
      </c>
      <c r="AP69" s="114">
        <v>47.148932069586245</v>
      </c>
      <c r="AY69" s="114">
        <v>46.984485994451276</v>
      </c>
      <c r="BH69" s="114">
        <v>45.665496734309848</v>
      </c>
      <c r="BQ69" s="114">
        <v>43.693850511690385</v>
      </c>
      <c r="BZ69" s="114">
        <v>44.488596968056527</v>
      </c>
      <c r="CI69" s="114">
        <v>43.437814132789072</v>
      </c>
      <c r="CR69" s="114">
        <v>39.89446221094861</v>
      </c>
    </row>
    <row r="70" spans="1:96">
      <c r="A70" s="739">
        <v>1982</v>
      </c>
      <c r="F70" s="114">
        <v>44.641456670539121</v>
      </c>
      <c r="O70" s="114">
        <v>49.298084506820729</v>
      </c>
      <c r="X70" s="114">
        <v>47.316760907647918</v>
      </c>
      <c r="AG70" s="114">
        <v>46.948864160156084</v>
      </c>
      <c r="AP70" s="114">
        <v>46.570675681571373</v>
      </c>
      <c r="AY70" s="114">
        <v>46.217550871520068</v>
      </c>
      <c r="BH70" s="114">
        <v>45.125717383941925</v>
      </c>
      <c r="BQ70" s="114">
        <v>43.200317973745868</v>
      </c>
      <c r="BZ70" s="114">
        <v>44.289406348628098</v>
      </c>
      <c r="CI70" s="114">
        <v>42.437896418969977</v>
      </c>
      <c r="CR70" s="114">
        <v>39.441085381536794</v>
      </c>
    </row>
    <row r="71" spans="1:96">
      <c r="A71" s="739">
        <v>1983</v>
      </c>
      <c r="F71" s="114">
        <v>44.106666294844707</v>
      </c>
      <c r="O71" s="114">
        <v>48.405287105597345</v>
      </c>
      <c r="X71" s="114">
        <v>46.388624924929239</v>
      </c>
      <c r="AG71" s="114">
        <v>46.241705073697936</v>
      </c>
      <c r="AP71" s="114">
        <v>45.660819754811754</v>
      </c>
      <c r="AY71" s="114">
        <v>45.516837059444889</v>
      </c>
      <c r="BH71" s="114">
        <v>44.558079046883357</v>
      </c>
      <c r="BQ71" s="114">
        <v>42.557782082200902</v>
      </c>
      <c r="BZ71" s="114">
        <v>43.954320861457006</v>
      </c>
      <c r="CI71" s="114">
        <v>42.396119018011525</v>
      </c>
      <c r="CR71" s="114">
        <v>39.222573933523265</v>
      </c>
    </row>
    <row r="72" spans="1:96">
      <c r="A72" s="739">
        <v>1984</v>
      </c>
      <c r="F72" s="114">
        <v>43.599666771218274</v>
      </c>
      <c r="O72" s="114">
        <v>47.885641040647698</v>
      </c>
      <c r="X72" s="114">
        <v>45.633394870205464</v>
      </c>
      <c r="AG72" s="114">
        <v>45.611575446664091</v>
      </c>
      <c r="AP72" s="114">
        <v>44.859881378755141</v>
      </c>
      <c r="AY72" s="114">
        <v>44.781736465344409</v>
      </c>
      <c r="BH72" s="114">
        <v>43.953929442377763</v>
      </c>
      <c r="BQ72" s="114">
        <v>42.068607134043617</v>
      </c>
      <c r="BZ72" s="114">
        <v>43.670289431377689</v>
      </c>
      <c r="CI72" s="114">
        <v>42.751345862849334</v>
      </c>
      <c r="CR72" s="114">
        <v>38.908992042602463</v>
      </c>
    </row>
    <row r="73" spans="1:96">
      <c r="A73" s="739">
        <v>1985</v>
      </c>
      <c r="F73" s="114">
        <v>43.112280275933792</v>
      </c>
      <c r="O73" s="114">
        <v>47.487868394577852</v>
      </c>
      <c r="X73" s="114">
        <v>44.934000455044071</v>
      </c>
      <c r="AG73" s="114">
        <v>44.995726206108962</v>
      </c>
      <c r="AP73" s="114">
        <v>44.252874947687317</v>
      </c>
      <c r="AY73" s="114">
        <v>44.01622166500718</v>
      </c>
      <c r="BH73" s="114">
        <v>43.388427228256113</v>
      </c>
      <c r="BQ73" s="114">
        <v>41.604180112185681</v>
      </c>
      <c r="BZ73" s="114">
        <v>43.547847981112874</v>
      </c>
      <c r="CI73" s="114">
        <v>42.871310830864566</v>
      </c>
      <c r="CR73" s="114">
        <v>38.752831751797821</v>
      </c>
    </row>
    <row r="74" spans="1:96">
      <c r="A74" s="739">
        <v>1986</v>
      </c>
      <c r="F74" s="114">
        <v>42.594310591355793</v>
      </c>
      <c r="O74" s="114">
        <v>47.246803546182129</v>
      </c>
      <c r="X74" s="114">
        <v>44.350013269235347</v>
      </c>
      <c r="AG74" s="114">
        <v>44.576581244755651</v>
      </c>
      <c r="AP74" s="114">
        <v>43.724018449782228</v>
      </c>
      <c r="AY74" s="114">
        <v>43.208121758878804</v>
      </c>
      <c r="BH74" s="114">
        <v>42.77229782141471</v>
      </c>
      <c r="BQ74" s="114">
        <v>41.185869316640165</v>
      </c>
      <c r="BZ74" s="114">
        <v>43.688501102717659</v>
      </c>
      <c r="CI74" s="114">
        <v>42.723675314391556</v>
      </c>
      <c r="CR74" s="114">
        <v>38.587318203012785</v>
      </c>
    </row>
    <row r="75" spans="1:96">
      <c r="A75" s="739">
        <v>1987</v>
      </c>
      <c r="F75" s="114">
        <v>41.955036682113189</v>
      </c>
      <c r="O75" s="114">
        <v>46.89794272598099</v>
      </c>
      <c r="X75" s="114">
        <v>43.973200774564887</v>
      </c>
      <c r="AG75" s="114">
        <v>44.175762241370322</v>
      </c>
      <c r="AP75" s="114">
        <v>43.122054778817827</v>
      </c>
      <c r="AY75" s="114">
        <v>42.231612702063387</v>
      </c>
      <c r="BH75" s="114">
        <v>41.89188225061578</v>
      </c>
      <c r="BQ75" s="114">
        <v>40.886267425823384</v>
      </c>
      <c r="BZ75" s="114">
        <v>43.848779098503364</v>
      </c>
      <c r="CI75" s="114">
        <v>42.976998124495758</v>
      </c>
      <c r="CR75" s="114">
        <v>38.252070339763954</v>
      </c>
    </row>
    <row r="76" spans="1:96">
      <c r="A76" s="739">
        <v>1988</v>
      </c>
      <c r="F76" s="114">
        <v>41.76306869189461</v>
      </c>
      <c r="O76" s="114">
        <v>46.302007642870009</v>
      </c>
      <c r="X76" s="114">
        <v>43.408408903670981</v>
      </c>
      <c r="AG76" s="114">
        <v>43.659025429481957</v>
      </c>
      <c r="AP76" s="114">
        <v>42.647797533403939</v>
      </c>
      <c r="AY76" s="114">
        <v>41.942336452351938</v>
      </c>
      <c r="BH76" s="114">
        <v>41.686593012685996</v>
      </c>
      <c r="BQ76" s="114">
        <v>40.637939662046627</v>
      </c>
      <c r="BZ76" s="114">
        <v>43.486544612505938</v>
      </c>
      <c r="CI76" s="114">
        <v>43.106055476300895</v>
      </c>
      <c r="CR76" s="114">
        <v>38.494552776889243</v>
      </c>
    </row>
    <row r="77" spans="1:96">
      <c r="A77" s="739">
        <v>1989</v>
      </c>
      <c r="F77" s="114">
        <v>41.363856123843227</v>
      </c>
      <c r="O77" s="114">
        <v>45.581899291024712</v>
      </c>
      <c r="X77" s="114">
        <v>42.817732036902022</v>
      </c>
      <c r="AG77" s="114">
        <v>43.026474144657406</v>
      </c>
      <c r="AP77" s="114">
        <v>42.042743164885884</v>
      </c>
      <c r="AY77" s="114">
        <v>41.459044083863958</v>
      </c>
      <c r="BH77" s="114">
        <v>41.215133773887295</v>
      </c>
      <c r="BQ77" s="114">
        <v>40.486770672366852</v>
      </c>
      <c r="BZ77" s="114">
        <v>43.292131085749475</v>
      </c>
      <c r="CI77" s="114">
        <v>42.856915742771811</v>
      </c>
      <c r="CR77" s="114">
        <v>38.51787215284272</v>
      </c>
    </row>
    <row r="78" spans="1:96">
      <c r="A78" s="739">
        <v>1990</v>
      </c>
      <c r="F78" s="114">
        <v>41.088057046452619</v>
      </c>
      <c r="O78" s="114">
        <v>44.846704335269564</v>
      </c>
      <c r="X78" s="114">
        <v>42.348230140544153</v>
      </c>
      <c r="AG78" s="114">
        <v>42.435861109372269</v>
      </c>
      <c r="AP78" s="114">
        <v>41.444219284635672</v>
      </c>
      <c r="AY78" s="114">
        <v>41.075242443963141</v>
      </c>
      <c r="BH78" s="114">
        <v>41.068321165476334</v>
      </c>
      <c r="BQ78" s="114">
        <v>40.313095115831054</v>
      </c>
      <c r="BZ78" s="114">
        <v>43.237602323579075</v>
      </c>
      <c r="CI78" s="114">
        <v>42.436659214784662</v>
      </c>
      <c r="CR78" s="114">
        <v>38.423960992303599</v>
      </c>
    </row>
    <row r="79" spans="1:96">
      <c r="A79" s="739">
        <v>1991</v>
      </c>
      <c r="F79" s="114">
        <v>40.940110365892593</v>
      </c>
      <c r="O79" s="114">
        <v>44.116422270058827</v>
      </c>
      <c r="X79" s="114">
        <v>42.100096670316169</v>
      </c>
      <c r="AG79" s="114">
        <v>41.86846110075065</v>
      </c>
      <c r="AP79" s="114">
        <v>40.819306358343439</v>
      </c>
      <c r="AY79" s="114">
        <v>40.772126608254993</v>
      </c>
      <c r="BH79" s="114">
        <v>41.162493440537062</v>
      </c>
      <c r="BQ79" s="114">
        <v>40.070820915162393</v>
      </c>
      <c r="BZ79" s="114">
        <v>42.854767285700234</v>
      </c>
      <c r="CI79" s="114">
        <v>42.149361122859105</v>
      </c>
      <c r="CR79" s="114">
        <v>38.462687752158757</v>
      </c>
    </row>
    <row r="80" spans="1:96">
      <c r="A80" s="739">
        <v>1992</v>
      </c>
      <c r="F80" s="114">
        <v>40.661996725919799</v>
      </c>
      <c r="O80" s="114">
        <v>43.257337201058128</v>
      </c>
      <c r="X80" s="114">
        <v>41.585946237714396</v>
      </c>
      <c r="AG80" s="114">
        <v>41.247214252556155</v>
      </c>
      <c r="AP80" s="114">
        <v>40.257039464897908</v>
      </c>
      <c r="AY80" s="114">
        <v>40.360996690288303</v>
      </c>
      <c r="BH80" s="114">
        <v>41.079212873775283</v>
      </c>
      <c r="BQ80" s="114">
        <v>39.803941575670457</v>
      </c>
      <c r="BZ80" s="114">
        <v>42.218159995460915</v>
      </c>
      <c r="CI80" s="114">
        <v>41.85282873466749</v>
      </c>
      <c r="CR80" s="114">
        <v>38.310377425600407</v>
      </c>
    </row>
    <row r="81" spans="1:98">
      <c r="A81" s="739">
        <v>1993</v>
      </c>
      <c r="F81" s="114">
        <v>40.399149509701139</v>
      </c>
      <c r="O81" s="114">
        <v>42.795390116490459</v>
      </c>
      <c r="X81" s="114">
        <v>41.33247496327629</v>
      </c>
      <c r="AG81" s="114">
        <v>40.631751417792486</v>
      </c>
      <c r="AP81" s="114">
        <v>39.734943184458629</v>
      </c>
      <c r="AY81" s="114">
        <v>39.874619817913377</v>
      </c>
      <c r="BH81" s="114">
        <v>40.767478808123798</v>
      </c>
      <c r="BQ81" s="114">
        <v>39.639565534370298</v>
      </c>
      <c r="BZ81" s="114">
        <v>42.649983936817897</v>
      </c>
      <c r="CI81" s="114">
        <v>41.953618445666919</v>
      </c>
      <c r="CR81" s="114">
        <v>38.398562932151364</v>
      </c>
    </row>
    <row r="82" spans="1:98">
      <c r="A82" s="739">
        <v>1994</v>
      </c>
      <c r="F82" s="114">
        <v>39.78881432938271</v>
      </c>
      <c r="O82" s="114">
        <v>42.156410223671955</v>
      </c>
      <c r="X82" s="114">
        <v>40.94714798691281</v>
      </c>
      <c r="AG82" s="114">
        <v>39.91497521742879</v>
      </c>
      <c r="AP82" s="114">
        <v>39.064062532473393</v>
      </c>
      <c r="AY82" s="114">
        <v>39.22816972395416</v>
      </c>
      <c r="BH82" s="114">
        <v>40.137310286981432</v>
      </c>
      <c r="BQ82" s="114">
        <v>39.170303699025929</v>
      </c>
      <c r="BZ82" s="114">
        <v>41.311146093329903</v>
      </c>
      <c r="CI82" s="114">
        <v>41.540160702676602</v>
      </c>
      <c r="CR82" s="114">
        <v>38.028344228071866</v>
      </c>
    </row>
    <row r="83" spans="1:98">
      <c r="A83" s="739">
        <v>1995</v>
      </c>
      <c r="F83" s="114">
        <v>39.219941342846766</v>
      </c>
      <c r="O83" s="114">
        <v>41.569549792542347</v>
      </c>
      <c r="X83" s="114">
        <v>40.697844726671065</v>
      </c>
      <c r="AG83" s="114">
        <v>39.163426620861799</v>
      </c>
      <c r="AP83" s="114">
        <v>38.403974305769431</v>
      </c>
      <c r="AY83" s="114">
        <v>38.552189879198963</v>
      </c>
      <c r="BH83" s="114">
        <v>39.537112358944775</v>
      </c>
      <c r="BQ83" s="114">
        <v>38.768123063839148</v>
      </c>
      <c r="BZ83" s="114">
        <v>40.834923727850779</v>
      </c>
      <c r="CI83" s="114">
        <v>41.121817641080696</v>
      </c>
      <c r="CR83" s="114">
        <v>37.68044109219025</v>
      </c>
    </row>
    <row r="84" spans="1:98">
      <c r="A84" s="739">
        <v>1996</v>
      </c>
      <c r="F84" s="114">
        <v>38.58193</v>
      </c>
      <c r="H84" s="481"/>
      <c r="O84" s="114">
        <v>41.064010000000003</v>
      </c>
      <c r="Q84" s="481"/>
      <c r="X84" s="114">
        <v>40.371960000000001</v>
      </c>
      <c r="Z84" s="481"/>
      <c r="AG84" s="114">
        <v>38.204320000000003</v>
      </c>
      <c r="AI84" s="481"/>
      <c r="AP84" s="114">
        <v>38.003270000000001</v>
      </c>
      <c r="AR84" s="481"/>
      <c r="AY84" s="114">
        <v>37.739789999999999</v>
      </c>
      <c r="BA84" s="481"/>
      <c r="BH84" s="114">
        <v>39.047979999999995</v>
      </c>
      <c r="BJ84" s="481"/>
      <c r="BQ84" s="114">
        <v>38.195659999999997</v>
      </c>
      <c r="BS84" s="481"/>
      <c r="BZ84" s="114">
        <v>40.412999999999997</v>
      </c>
      <c r="CB84" s="481"/>
      <c r="CI84" s="114">
        <v>40.686679999999996</v>
      </c>
      <c r="CK84" s="481"/>
      <c r="CR84" s="114">
        <v>36.740469999999995</v>
      </c>
      <c r="CT84" s="481"/>
    </row>
    <row r="85" spans="1:98">
      <c r="A85" s="739">
        <v>1997</v>
      </c>
      <c r="F85" s="114">
        <v>38.082230000000003</v>
      </c>
      <c r="O85" s="114">
        <v>39.471679999999999</v>
      </c>
      <c r="X85" s="114">
        <v>40.409329999999997</v>
      </c>
      <c r="AG85" s="114">
        <v>36.742069999999998</v>
      </c>
      <c r="AP85" s="114">
        <v>37.302639999999997</v>
      </c>
      <c r="AY85" s="114">
        <v>36.72052</v>
      </c>
      <c r="BH85" s="114">
        <v>38.830010000000001</v>
      </c>
      <c r="BQ85" s="114">
        <v>37.538319999999999</v>
      </c>
      <c r="BZ85" s="114">
        <v>39.932369999999999</v>
      </c>
      <c r="CI85" s="114">
        <v>40.03725</v>
      </c>
      <c r="CR85" s="114">
        <v>36.916939999999997</v>
      </c>
    </row>
    <row r="86" spans="1:98">
      <c r="A86" s="739">
        <v>1998</v>
      </c>
      <c r="F86" s="114">
        <v>37.521819999999998</v>
      </c>
      <c r="O86" s="114">
        <v>38.846000000000004</v>
      </c>
      <c r="X86" s="114">
        <v>39.642899999999997</v>
      </c>
      <c r="AG86" s="114">
        <v>36.402079999999998</v>
      </c>
      <c r="AP86" s="114">
        <v>36.685790000000004</v>
      </c>
      <c r="AY86" s="114">
        <v>35.470839999999995</v>
      </c>
      <c r="BH86" s="114">
        <v>38.431939999999997</v>
      </c>
      <c r="BQ86" s="114">
        <v>37.299720000000001</v>
      </c>
      <c r="BZ86" s="114">
        <v>40.020580000000002</v>
      </c>
      <c r="CI86" s="114">
        <v>39.353660000000005</v>
      </c>
      <c r="CR86" s="114">
        <v>36.9452</v>
      </c>
    </row>
    <row r="87" spans="1:98">
      <c r="A87" s="739">
        <v>1999</v>
      </c>
      <c r="F87" s="114">
        <v>37.661909999999999</v>
      </c>
      <c r="H87" s="481"/>
      <c r="O87" s="114">
        <v>38.006129999999999</v>
      </c>
      <c r="Q87" s="481"/>
      <c r="X87" s="114">
        <v>38.870349999999995</v>
      </c>
      <c r="Z87" s="481"/>
      <c r="AG87" s="114">
        <v>35.953790000000005</v>
      </c>
      <c r="AI87" s="481"/>
      <c r="AP87" s="114">
        <v>36.969059999999999</v>
      </c>
      <c r="AR87" s="481"/>
      <c r="AY87" s="114">
        <v>35.468290000000003</v>
      </c>
      <c r="BA87" s="481"/>
      <c r="BH87" s="114">
        <v>38.723910000000004</v>
      </c>
      <c r="BJ87" s="481"/>
      <c r="BQ87" s="114">
        <v>38.658340000000003</v>
      </c>
      <c r="BS87" s="481"/>
      <c r="BZ87" s="114">
        <v>40.170499999999997</v>
      </c>
      <c r="CB87" s="481"/>
      <c r="CI87" s="114">
        <v>40.000229999999995</v>
      </c>
      <c r="CK87" s="481"/>
      <c r="CR87" s="114">
        <v>36.146450000000002</v>
      </c>
      <c r="CT87" s="481"/>
    </row>
    <row r="88" spans="1:98">
      <c r="A88" s="739">
        <v>2000</v>
      </c>
      <c r="F88" s="114">
        <v>36.99335</v>
      </c>
      <c r="O88" s="114">
        <v>37.543500000000002</v>
      </c>
      <c r="X88" s="114">
        <v>38.400950000000002</v>
      </c>
      <c r="AG88" s="114">
        <v>35.2166</v>
      </c>
      <c r="AP88" s="114">
        <v>36.322049999999997</v>
      </c>
      <c r="AY88" s="114">
        <v>34.933680000000003</v>
      </c>
      <c r="BH88" s="114">
        <v>37.708439999999996</v>
      </c>
      <c r="BQ88" s="114">
        <v>39.205550000000002</v>
      </c>
      <c r="BZ88" s="114">
        <v>39.730399999999996</v>
      </c>
      <c r="CI88" s="114">
        <v>39.21622</v>
      </c>
      <c r="CR88" s="114">
        <v>36.088700000000003</v>
      </c>
    </row>
    <row r="89" spans="1:98">
      <c r="A89" s="739">
        <v>2001</v>
      </c>
      <c r="F89" s="114">
        <v>36.427599999999998</v>
      </c>
      <c r="H89" s="481"/>
      <c r="O89" s="114">
        <v>36.210500000000003</v>
      </c>
      <c r="Q89" s="481"/>
      <c r="X89" s="114">
        <v>37.326450000000001</v>
      </c>
      <c r="Z89" s="481"/>
      <c r="AG89" s="114">
        <v>34.521429999999995</v>
      </c>
      <c r="AI89" s="481"/>
      <c r="AP89" s="114">
        <v>34.972270000000002</v>
      </c>
      <c r="AR89" s="481"/>
      <c r="AY89" s="114">
        <v>33.891399999999997</v>
      </c>
      <c r="BA89" s="481"/>
      <c r="BH89" s="114">
        <v>37.483980000000003</v>
      </c>
      <c r="BJ89" s="481"/>
      <c r="BQ89" s="114">
        <v>38.209209999999999</v>
      </c>
      <c r="BS89" s="481"/>
      <c r="BZ89" s="114">
        <v>38.28792</v>
      </c>
      <c r="CB89" s="481"/>
      <c r="CI89" s="114">
        <v>39.202550000000002</v>
      </c>
      <c r="CK89" s="481"/>
      <c r="CR89" s="114">
        <v>35.045429999999996</v>
      </c>
      <c r="CT89" s="481"/>
    </row>
    <row r="90" spans="1:98">
      <c r="A90" s="739">
        <v>2002</v>
      </c>
      <c r="F90" s="114">
        <v>35.709350000000001</v>
      </c>
      <c r="O90" s="114">
        <v>35.165459999999996</v>
      </c>
      <c r="X90" s="114">
        <v>36.529939999999996</v>
      </c>
      <c r="AG90" s="114">
        <v>34.761399999999995</v>
      </c>
      <c r="AP90" s="114">
        <v>34.100140000000003</v>
      </c>
      <c r="AY90" s="114">
        <v>33.23265</v>
      </c>
      <c r="BH90" s="114">
        <v>37.073499999999996</v>
      </c>
      <c r="BQ90" s="114">
        <v>37.956159999999997</v>
      </c>
      <c r="BZ90" s="114">
        <v>37.268630000000002</v>
      </c>
      <c r="CI90" s="114">
        <v>37.709769999999999</v>
      </c>
      <c r="CR90" s="114">
        <v>34.127130000000001</v>
      </c>
    </row>
    <row r="91" spans="1:98">
      <c r="A91" s="739">
        <v>2003</v>
      </c>
      <c r="F91" s="114">
        <v>35.454120000000003</v>
      </c>
      <c r="O91" s="114">
        <v>34.201500000000003</v>
      </c>
      <c r="X91" s="114">
        <v>36.823540000000001</v>
      </c>
      <c r="AG91" s="114">
        <v>34.45073</v>
      </c>
      <c r="AP91" s="114">
        <v>33.01126</v>
      </c>
      <c r="AY91" s="114">
        <v>33.164320000000004</v>
      </c>
      <c r="BH91" s="114">
        <v>37.177329999999998</v>
      </c>
      <c r="BQ91" s="114">
        <v>37.453879999999998</v>
      </c>
      <c r="BZ91" s="114">
        <v>36.599029999999999</v>
      </c>
      <c r="CI91" s="114">
        <v>36.639800000000001</v>
      </c>
      <c r="CR91" s="114">
        <v>33.167540000000002</v>
      </c>
    </row>
    <row r="147" spans="2:13">
      <c r="B147" s="739" t="s">
        <v>1538</v>
      </c>
    </row>
    <row r="148" spans="2:13">
      <c r="B148" s="739" t="s">
        <v>163</v>
      </c>
      <c r="C148" s="739" t="s">
        <v>1539</v>
      </c>
      <c r="D148" s="739" t="s">
        <v>1540</v>
      </c>
      <c r="E148" s="739" t="s">
        <v>1541</v>
      </c>
      <c r="F148" s="739" t="s">
        <v>1542</v>
      </c>
      <c r="G148" s="739" t="s">
        <v>1543</v>
      </c>
      <c r="H148" s="739" t="s">
        <v>1544</v>
      </c>
      <c r="I148" s="739" t="s">
        <v>1545</v>
      </c>
      <c r="J148" s="739" t="s">
        <v>1546</v>
      </c>
      <c r="K148" s="739" t="s">
        <v>1547</v>
      </c>
      <c r="L148" s="739" t="s">
        <v>1548</v>
      </c>
      <c r="M148" s="739" t="s">
        <v>1549</v>
      </c>
    </row>
    <row r="149" spans="2:13">
      <c r="B149" s="739">
        <v>1971</v>
      </c>
      <c r="C149" s="739">
        <v>7770002</v>
      </c>
      <c r="D149" s="739">
        <v>234296</v>
      </c>
      <c r="E149" s="739">
        <v>42938</v>
      </c>
      <c r="F149" s="739">
        <v>292048</v>
      </c>
      <c r="G149" s="739">
        <v>248198</v>
      </c>
      <c r="H149" s="739">
        <v>2191892</v>
      </c>
      <c r="I149" s="739">
        <v>2676002</v>
      </c>
      <c r="J149" s="739">
        <v>347932</v>
      </c>
      <c r="K149" s="739">
        <v>342078</v>
      </c>
      <c r="L149" s="739">
        <v>623165</v>
      </c>
      <c r="M149" s="739">
        <v>746943</v>
      </c>
    </row>
    <row r="150" spans="2:13">
      <c r="B150" s="739">
        <v>1972</v>
      </c>
      <c r="C150" s="739">
        <v>7699798</v>
      </c>
      <c r="D150" s="739">
        <v>233398</v>
      </c>
      <c r="E150" s="739">
        <v>42571</v>
      </c>
      <c r="F150" s="739">
        <v>288966</v>
      </c>
      <c r="G150" s="739">
        <v>245859</v>
      </c>
      <c r="H150" s="739">
        <v>2146780</v>
      </c>
      <c r="I150" s="739">
        <v>2666493</v>
      </c>
      <c r="J150" s="739">
        <v>343140</v>
      </c>
      <c r="K150" s="739">
        <v>330748</v>
      </c>
      <c r="L150" s="739">
        <v>623115</v>
      </c>
      <c r="M150" s="739">
        <v>752829</v>
      </c>
    </row>
    <row r="151" spans="2:13">
      <c r="B151" s="739">
        <v>1973</v>
      </c>
      <c r="C151" s="739">
        <v>7614853</v>
      </c>
      <c r="D151" s="739">
        <v>232236</v>
      </c>
      <c r="E151" s="739">
        <v>42193</v>
      </c>
      <c r="F151" s="739">
        <v>286926</v>
      </c>
      <c r="G151" s="739">
        <v>243603</v>
      </c>
      <c r="H151" s="739">
        <v>2096947</v>
      </c>
      <c r="I151" s="739">
        <v>2648488</v>
      </c>
      <c r="J151" s="739">
        <v>338710</v>
      </c>
      <c r="K151" s="739">
        <v>320962</v>
      </c>
      <c r="L151" s="739">
        <v>621304</v>
      </c>
      <c r="M151" s="739">
        <v>756754</v>
      </c>
    </row>
    <row r="152" spans="2:13">
      <c r="B152" s="739">
        <v>1974</v>
      </c>
      <c r="C152" s="739">
        <v>7537655</v>
      </c>
      <c r="D152" s="739">
        <v>230430</v>
      </c>
      <c r="E152" s="739">
        <v>41883</v>
      </c>
      <c r="F152" s="739">
        <v>283332</v>
      </c>
      <c r="G152" s="739">
        <v>241447</v>
      </c>
      <c r="H152" s="739">
        <v>2055073</v>
      </c>
      <c r="I152" s="739">
        <v>2631891</v>
      </c>
      <c r="J152" s="739">
        <v>335568</v>
      </c>
      <c r="K152" s="739">
        <v>313605</v>
      </c>
      <c r="L152" s="739">
        <v>616458</v>
      </c>
      <c r="M152" s="739">
        <v>761359</v>
      </c>
    </row>
    <row r="153" spans="2:13">
      <c r="B153" s="739">
        <v>1975</v>
      </c>
      <c r="C153" s="739">
        <v>7478778</v>
      </c>
      <c r="D153" s="739">
        <v>229300</v>
      </c>
      <c r="E153" s="739">
        <v>41758</v>
      </c>
      <c r="F153" s="739">
        <v>280370</v>
      </c>
      <c r="G153" s="739">
        <v>240984</v>
      </c>
      <c r="H153" s="739">
        <v>2017182</v>
      </c>
      <c r="I153" s="739">
        <v>2617016</v>
      </c>
      <c r="J153" s="739">
        <v>331681</v>
      </c>
      <c r="K153" s="739">
        <v>310658</v>
      </c>
      <c r="L153" s="739">
        <v>620157</v>
      </c>
      <c r="M153" s="739">
        <v>762586</v>
      </c>
    </row>
    <row r="154" spans="2:13">
      <c r="B154" s="739">
        <v>1976</v>
      </c>
      <c r="C154" s="739">
        <v>7408665</v>
      </c>
      <c r="D154" s="739">
        <v>227822</v>
      </c>
      <c r="E154" s="739">
        <v>41317</v>
      </c>
      <c r="F154" s="739">
        <v>277448</v>
      </c>
      <c r="G154" s="739">
        <v>240264</v>
      </c>
      <c r="H154" s="739">
        <v>1985275</v>
      </c>
      <c r="I154" s="739">
        <v>2591409</v>
      </c>
      <c r="J154" s="739">
        <v>327676</v>
      </c>
      <c r="K154" s="739">
        <v>309654</v>
      </c>
      <c r="L154" s="739">
        <v>625782</v>
      </c>
      <c r="M154" s="739">
        <v>754725</v>
      </c>
    </row>
    <row r="155" spans="2:13">
      <c r="B155" s="739">
        <v>1977</v>
      </c>
      <c r="C155" s="739">
        <v>7319277</v>
      </c>
      <c r="D155" s="739">
        <v>224076</v>
      </c>
      <c r="E155" s="739">
        <v>40967</v>
      </c>
      <c r="F155" s="739">
        <v>272651</v>
      </c>
      <c r="G155" s="739">
        <v>237323</v>
      </c>
      <c r="H155" s="739">
        <v>1941370</v>
      </c>
      <c r="I155" s="739">
        <v>2562160</v>
      </c>
      <c r="J155" s="739">
        <v>323583</v>
      </c>
      <c r="K155" s="739">
        <v>308026</v>
      </c>
      <c r="L155" s="739">
        <v>635149</v>
      </c>
      <c r="M155" s="739">
        <v>746721</v>
      </c>
    </row>
    <row r="156" spans="2:13">
      <c r="B156" s="739">
        <v>1978</v>
      </c>
      <c r="C156" s="739">
        <v>7205937</v>
      </c>
      <c r="D156" s="739">
        <v>220032</v>
      </c>
      <c r="E156" s="739">
        <v>40622</v>
      </c>
      <c r="F156" s="739">
        <v>267489</v>
      </c>
      <c r="G156" s="739">
        <v>233099</v>
      </c>
      <c r="H156" s="739">
        <v>1889820</v>
      </c>
      <c r="I156" s="739">
        <v>2525531</v>
      </c>
      <c r="J156" s="739">
        <v>317662</v>
      </c>
      <c r="K156" s="739">
        <v>304261</v>
      </c>
      <c r="L156" s="739">
        <v>641087</v>
      </c>
      <c r="M156" s="739">
        <v>738951</v>
      </c>
    </row>
    <row r="157" spans="2:13">
      <c r="B157" s="739">
        <v>1979</v>
      </c>
      <c r="C157" s="739">
        <v>7086025</v>
      </c>
      <c r="D157" s="739">
        <v>215940</v>
      </c>
      <c r="E157" s="739">
        <v>40100</v>
      </c>
      <c r="F157" s="739">
        <v>262197</v>
      </c>
      <c r="G157" s="739">
        <v>228551</v>
      </c>
      <c r="H157" s="739">
        <v>1844535</v>
      </c>
      <c r="I157" s="739">
        <v>2476793</v>
      </c>
      <c r="J157" s="739">
        <v>309243</v>
      </c>
      <c r="K157" s="739">
        <v>301406</v>
      </c>
      <c r="L157" s="739">
        <v>646830</v>
      </c>
      <c r="M157" s="739">
        <v>733200</v>
      </c>
    </row>
    <row r="158" spans="2:13">
      <c r="B158" s="739">
        <v>1980</v>
      </c>
      <c r="C158" s="739">
        <v>7006395</v>
      </c>
      <c r="D158" s="739">
        <v>212343</v>
      </c>
      <c r="E158" s="739">
        <v>39494</v>
      </c>
      <c r="F158" s="739">
        <v>256494</v>
      </c>
      <c r="G158" s="739">
        <v>224211</v>
      </c>
      <c r="H158" s="739">
        <v>1810915</v>
      </c>
      <c r="I158" s="739">
        <v>2437063</v>
      </c>
      <c r="J158" s="739">
        <v>301974</v>
      </c>
      <c r="K158" s="739">
        <v>299031</v>
      </c>
      <c r="L158" s="739">
        <v>659158</v>
      </c>
      <c r="M158" s="739">
        <v>738571</v>
      </c>
    </row>
    <row r="159" spans="2:13">
      <c r="B159" s="739">
        <v>1981</v>
      </c>
      <c r="C159" s="739">
        <v>6914159</v>
      </c>
      <c r="D159" s="739">
        <v>208096</v>
      </c>
      <c r="E159" s="739">
        <v>38463</v>
      </c>
      <c r="F159" s="739">
        <v>250068</v>
      </c>
      <c r="G159" s="739">
        <v>218582</v>
      </c>
      <c r="H159" s="739">
        <v>1775056</v>
      </c>
      <c r="I159" s="739">
        <v>2390745</v>
      </c>
      <c r="J159" s="739">
        <v>296309</v>
      </c>
      <c r="K159" s="739">
        <v>296273</v>
      </c>
      <c r="L159" s="739">
        <v>671898</v>
      </c>
      <c r="M159" s="739">
        <v>741700</v>
      </c>
    </row>
    <row r="160" spans="2:13">
      <c r="B160" s="739">
        <v>1982</v>
      </c>
      <c r="C160" s="739">
        <v>6827375</v>
      </c>
      <c r="D160" s="739">
        <v>202366</v>
      </c>
      <c r="E160" s="739">
        <v>37524</v>
      </c>
      <c r="F160" s="739">
        <v>244810</v>
      </c>
      <c r="G160" s="739">
        <v>212881</v>
      </c>
      <c r="H160" s="739">
        <v>1736815</v>
      </c>
      <c r="I160" s="739">
        <v>2358447</v>
      </c>
      <c r="J160" s="739">
        <v>293210</v>
      </c>
      <c r="K160" s="739">
        <v>294204</v>
      </c>
      <c r="L160" s="739">
        <v>681379</v>
      </c>
      <c r="M160" s="739">
        <v>738434</v>
      </c>
    </row>
    <row r="161" spans="2:13">
      <c r="B161" s="739">
        <v>1983</v>
      </c>
      <c r="C161" s="739">
        <v>6745815</v>
      </c>
      <c r="D161" s="739">
        <v>198213</v>
      </c>
      <c r="E161" s="739">
        <v>36953</v>
      </c>
      <c r="F161" s="739">
        <v>240631</v>
      </c>
      <c r="G161" s="739">
        <v>209142</v>
      </c>
      <c r="H161" s="739">
        <v>1698048</v>
      </c>
      <c r="I161" s="739">
        <v>2334714</v>
      </c>
      <c r="J161" s="739">
        <v>291566</v>
      </c>
      <c r="K161" s="739">
        <v>294158</v>
      </c>
      <c r="L161" s="739">
        <v>681006</v>
      </c>
      <c r="M161" s="739">
        <v>734203</v>
      </c>
    </row>
    <row r="162" spans="2:13">
      <c r="B162" s="739">
        <v>1984</v>
      </c>
      <c r="C162" s="739">
        <v>6696617</v>
      </c>
      <c r="D162" s="739">
        <v>193258</v>
      </c>
      <c r="E162" s="739">
        <v>36505</v>
      </c>
      <c r="F162" s="739">
        <v>237545</v>
      </c>
      <c r="G162" s="739">
        <v>205705</v>
      </c>
      <c r="H162" s="739">
        <v>1670920</v>
      </c>
      <c r="I162" s="739">
        <v>2326077</v>
      </c>
      <c r="J162" s="739">
        <v>290451</v>
      </c>
      <c r="K162" s="739">
        <v>295264</v>
      </c>
      <c r="L162" s="739">
        <v>677046</v>
      </c>
      <c r="M162" s="739">
        <v>736376</v>
      </c>
    </row>
    <row r="163" spans="2:13">
      <c r="B163" s="739">
        <v>1985</v>
      </c>
      <c r="C163" s="739">
        <v>6673857</v>
      </c>
      <c r="D163" s="739">
        <v>188320</v>
      </c>
      <c r="E163" s="739">
        <v>36306</v>
      </c>
      <c r="F163" s="739">
        <v>235309</v>
      </c>
      <c r="G163" s="739">
        <v>202434</v>
      </c>
      <c r="H163" s="739">
        <v>1652711</v>
      </c>
      <c r="I163" s="739">
        <v>2329142</v>
      </c>
      <c r="J163" s="739">
        <v>290357</v>
      </c>
      <c r="K163" s="739">
        <v>296688</v>
      </c>
      <c r="L163" s="739">
        <v>676833</v>
      </c>
      <c r="M163" s="739">
        <v>737641</v>
      </c>
    </row>
    <row r="164" spans="2:13">
      <c r="B164" s="739">
        <v>1986</v>
      </c>
      <c r="C164" s="739">
        <v>6665475</v>
      </c>
      <c r="D164" s="739">
        <v>183182</v>
      </c>
      <c r="E164" s="739">
        <v>36019</v>
      </c>
      <c r="F164" s="739">
        <v>232528</v>
      </c>
      <c r="G164" s="739">
        <v>199232</v>
      </c>
      <c r="H164" s="739">
        <v>1641524</v>
      </c>
      <c r="I164" s="739">
        <v>2339264</v>
      </c>
      <c r="J164" s="739">
        <v>290439</v>
      </c>
      <c r="K164" s="739">
        <v>296772</v>
      </c>
      <c r="L164" s="739">
        <v>681031</v>
      </c>
      <c r="M164" s="739">
        <v>737476</v>
      </c>
    </row>
    <row r="165" spans="2:13">
      <c r="B165" s="739">
        <v>1987</v>
      </c>
      <c r="C165" s="739">
        <v>6692806</v>
      </c>
      <c r="D165" s="739">
        <v>177987</v>
      </c>
      <c r="E165" s="739">
        <v>35736</v>
      </c>
      <c r="F165" s="739">
        <v>230982</v>
      </c>
      <c r="G165" s="739">
        <v>197053</v>
      </c>
      <c r="H165" s="739">
        <v>1641405</v>
      </c>
      <c r="I165" s="739">
        <v>2371873</v>
      </c>
      <c r="J165" s="739">
        <v>291233</v>
      </c>
      <c r="K165" s="739">
        <v>296592</v>
      </c>
      <c r="L165" s="739">
        <v>680281</v>
      </c>
      <c r="M165" s="739">
        <v>741400</v>
      </c>
    </row>
    <row r="166" spans="2:13">
      <c r="B166" s="739">
        <v>1988</v>
      </c>
      <c r="C166" s="739">
        <v>6720917</v>
      </c>
      <c r="D166" s="739">
        <v>173518</v>
      </c>
      <c r="E166" s="739">
        <v>35667</v>
      </c>
      <c r="F166" s="739">
        <v>229026</v>
      </c>
      <c r="G166" s="739">
        <v>194499</v>
      </c>
      <c r="H166" s="739">
        <v>1638994</v>
      </c>
      <c r="I166" s="739">
        <v>2402880</v>
      </c>
      <c r="J166" s="739">
        <v>290917</v>
      </c>
      <c r="K166" s="739">
        <v>293614</v>
      </c>
      <c r="L166" s="739">
        <v>682475</v>
      </c>
      <c r="M166" s="739">
        <v>750873</v>
      </c>
    </row>
    <row r="167" spans="2:13">
      <c r="B167" s="739">
        <v>1989</v>
      </c>
      <c r="C167" s="739">
        <v>6780049</v>
      </c>
      <c r="D167" s="739">
        <v>169106</v>
      </c>
      <c r="E167" s="739">
        <v>35729</v>
      </c>
      <c r="F167" s="739">
        <v>227254</v>
      </c>
      <c r="G167" s="739">
        <v>192464</v>
      </c>
      <c r="H167" s="739">
        <v>1646485</v>
      </c>
      <c r="I167" s="739">
        <v>2442498</v>
      </c>
      <c r="J167" s="739">
        <v>290192</v>
      </c>
      <c r="K167" s="739">
        <v>290257</v>
      </c>
      <c r="L167" s="739">
        <v>691745</v>
      </c>
      <c r="M167" s="739">
        <v>765411</v>
      </c>
    </row>
    <row r="168" spans="2:13">
      <c r="B168" s="739">
        <v>1990</v>
      </c>
      <c r="C168" s="739">
        <v>6866773</v>
      </c>
      <c r="D168" s="739">
        <v>165196</v>
      </c>
      <c r="E168" s="739">
        <v>35650</v>
      </c>
      <c r="F168" s="739">
        <v>226569</v>
      </c>
      <c r="G168" s="739">
        <v>190954</v>
      </c>
      <c r="H168" s="739">
        <v>1663029</v>
      </c>
      <c r="I168" s="739">
        <v>2484463</v>
      </c>
      <c r="J168" s="739">
        <v>290838</v>
      </c>
      <c r="K168" s="739">
        <v>286683</v>
      </c>
      <c r="L168" s="739">
        <v>706724</v>
      </c>
      <c r="M168" s="739">
        <v>786965</v>
      </c>
    </row>
    <row r="169" spans="2:13">
      <c r="B169" s="739">
        <v>1991</v>
      </c>
      <c r="C169" s="739">
        <v>6937062</v>
      </c>
      <c r="D169" s="739">
        <v>160877</v>
      </c>
      <c r="E169" s="739">
        <v>35343</v>
      </c>
      <c r="F169" s="739">
        <v>225758</v>
      </c>
      <c r="G169" s="739">
        <v>189278</v>
      </c>
      <c r="H169" s="739">
        <v>1679338</v>
      </c>
      <c r="I169" s="739">
        <v>2514523</v>
      </c>
      <c r="J169" s="739">
        <v>291505</v>
      </c>
      <c r="K169" s="739">
        <v>284777</v>
      </c>
      <c r="L169" s="739">
        <v>719455</v>
      </c>
      <c r="M169" s="739">
        <v>805577</v>
      </c>
    </row>
    <row r="170" spans="2:13">
      <c r="B170" s="739">
        <v>1992</v>
      </c>
      <c r="C170" s="739">
        <v>7023447</v>
      </c>
      <c r="D170" s="739">
        <v>156966</v>
      </c>
      <c r="E170" s="739">
        <v>35189</v>
      </c>
      <c r="F170" s="739">
        <v>224956</v>
      </c>
      <c r="G170" s="739">
        <v>187063</v>
      </c>
      <c r="H170" s="739">
        <v>1693082</v>
      </c>
      <c r="I170" s="739">
        <v>2559827</v>
      </c>
      <c r="J170" s="739">
        <v>291739</v>
      </c>
      <c r="K170" s="739">
        <v>283925</v>
      </c>
      <c r="L170" s="739">
        <v>730533</v>
      </c>
      <c r="M170" s="739">
        <v>828391</v>
      </c>
    </row>
    <row r="171" spans="2:13">
      <c r="B171" s="739">
        <v>1993</v>
      </c>
      <c r="C171" s="739">
        <v>7077670</v>
      </c>
      <c r="D171" s="739">
        <v>152971</v>
      </c>
      <c r="E171" s="739">
        <v>35247</v>
      </c>
      <c r="F171" s="739">
        <v>223812</v>
      </c>
      <c r="G171" s="739">
        <v>184402</v>
      </c>
      <c r="H171" s="739">
        <v>1698267</v>
      </c>
      <c r="I171" s="739">
        <v>2589858</v>
      </c>
      <c r="J171" s="739">
        <v>291908</v>
      </c>
      <c r="K171" s="739">
        <v>283395</v>
      </c>
      <c r="L171" s="739">
        <v>736483</v>
      </c>
      <c r="M171" s="739">
        <v>849181</v>
      </c>
    </row>
    <row r="172" spans="2:13">
      <c r="B172" s="739">
        <v>1994</v>
      </c>
      <c r="C172" s="739">
        <v>7124812</v>
      </c>
      <c r="D172" s="739">
        <v>147756</v>
      </c>
      <c r="E172" s="739">
        <v>35328</v>
      </c>
      <c r="F172" s="739">
        <v>222293</v>
      </c>
      <c r="G172" s="739">
        <v>182059</v>
      </c>
      <c r="H172" s="739">
        <v>1697831</v>
      </c>
      <c r="I172" s="739">
        <v>2621643</v>
      </c>
      <c r="J172" s="739">
        <v>292654</v>
      </c>
      <c r="K172" s="739">
        <v>282699</v>
      </c>
      <c r="L172" s="739">
        <v>739351</v>
      </c>
      <c r="M172" s="739">
        <v>870677</v>
      </c>
    </row>
    <row r="173" spans="2:13">
      <c r="B173" s="739">
        <v>1995</v>
      </c>
      <c r="C173" s="739">
        <v>7160626</v>
      </c>
      <c r="D173" s="739">
        <v>142602</v>
      </c>
      <c r="E173" s="739">
        <v>35249</v>
      </c>
      <c r="F173" s="739">
        <v>220961</v>
      </c>
      <c r="G173" s="739">
        <v>179589</v>
      </c>
      <c r="H173" s="739">
        <v>1690171</v>
      </c>
      <c r="I173" s="739">
        <v>2652689</v>
      </c>
      <c r="J173" s="739">
        <v>293954</v>
      </c>
      <c r="K173" s="739">
        <v>281640</v>
      </c>
      <c r="L173" s="739">
        <v>742162</v>
      </c>
      <c r="M173" s="739">
        <v>888411</v>
      </c>
    </row>
    <row r="174" spans="2:13">
      <c r="B174" s="739">
        <v>1996</v>
      </c>
      <c r="C174" s="739">
        <v>7198047</v>
      </c>
      <c r="D174" s="739">
        <v>137203</v>
      </c>
      <c r="E174" s="739">
        <v>35306</v>
      </c>
      <c r="F174" s="739">
        <v>220079</v>
      </c>
      <c r="G174" s="739">
        <v>177305</v>
      </c>
      <c r="H174" s="739">
        <v>1683129</v>
      </c>
      <c r="I174" s="739">
        <v>2687527</v>
      </c>
      <c r="J174" s="739">
        <v>294295</v>
      </c>
      <c r="K174" s="739">
        <v>280587</v>
      </c>
      <c r="L174" s="739">
        <v>745388</v>
      </c>
      <c r="M174" s="739">
        <v>903557</v>
      </c>
    </row>
    <row r="175" spans="2:13">
      <c r="B175" s="739">
        <v>1997</v>
      </c>
      <c r="C175" s="739">
        <v>7201692</v>
      </c>
      <c r="D175" s="739">
        <v>131533</v>
      </c>
      <c r="E175" s="739">
        <v>34843</v>
      </c>
      <c r="F175" s="739">
        <v>217401</v>
      </c>
      <c r="G175" s="739">
        <v>174592</v>
      </c>
      <c r="H175" s="739">
        <v>1664663</v>
      </c>
      <c r="I175" s="739">
        <v>2709476</v>
      </c>
      <c r="J175" s="739">
        <v>293056</v>
      </c>
      <c r="K175" s="739">
        <v>277114</v>
      </c>
      <c r="L175" s="739">
        <v>751973</v>
      </c>
      <c r="M175" s="739">
        <v>913386</v>
      </c>
    </row>
    <row r="176" spans="2:13">
      <c r="B176" s="739">
        <v>1998</v>
      </c>
      <c r="C176" s="739">
        <v>7189595</v>
      </c>
      <c r="D176" s="739">
        <v>125831</v>
      </c>
      <c r="E176" s="739">
        <v>34287</v>
      </c>
      <c r="F176" s="739">
        <v>214035</v>
      </c>
      <c r="G176" s="739">
        <v>171255</v>
      </c>
      <c r="H176" s="739">
        <v>1642069</v>
      </c>
      <c r="I176" s="739">
        <v>2731584</v>
      </c>
      <c r="J176" s="739">
        <v>291355</v>
      </c>
      <c r="K176" s="739">
        <v>273975</v>
      </c>
      <c r="L176" s="739">
        <v>760499</v>
      </c>
      <c r="M176" s="739">
        <v>911636</v>
      </c>
    </row>
    <row r="177" spans="2:13">
      <c r="B177" s="739">
        <v>1999</v>
      </c>
      <c r="C177" s="739">
        <v>7157941</v>
      </c>
      <c r="D177" s="739">
        <v>121353</v>
      </c>
      <c r="E177" s="739">
        <v>33918</v>
      </c>
      <c r="F177" s="739">
        <v>211106</v>
      </c>
      <c r="G177" s="739">
        <v>168464</v>
      </c>
      <c r="H177" s="739">
        <v>1616863</v>
      </c>
      <c r="I177" s="739">
        <v>2744445</v>
      </c>
      <c r="J177" s="739">
        <v>290694</v>
      </c>
      <c r="K177" s="739">
        <v>269649</v>
      </c>
      <c r="L177" s="739">
        <v>762460</v>
      </c>
      <c r="M177" s="739">
        <v>906141</v>
      </c>
    </row>
    <row r="178" spans="2:13">
      <c r="B178" s="739">
        <v>2000</v>
      </c>
      <c r="C178" s="739">
        <v>7137778</v>
      </c>
      <c r="D178" s="739">
        <v>117367</v>
      </c>
      <c r="E178" s="739">
        <v>33428</v>
      </c>
      <c r="F178" s="739">
        <v>208310</v>
      </c>
      <c r="G178" s="739">
        <v>165611</v>
      </c>
      <c r="H178" s="739">
        <v>1596734</v>
      </c>
      <c r="I178" s="739">
        <v>2766649</v>
      </c>
      <c r="J178" s="739">
        <v>289809</v>
      </c>
      <c r="K178" s="739">
        <v>264349</v>
      </c>
      <c r="L178" s="739">
        <v>763577</v>
      </c>
      <c r="M178" s="739">
        <v>899323</v>
      </c>
    </row>
    <row r="179" spans="2:13">
      <c r="B179" s="739">
        <v>2001</v>
      </c>
      <c r="C179" s="739">
        <v>7121952</v>
      </c>
      <c r="D179" s="739">
        <v>112995</v>
      </c>
      <c r="E179" s="739">
        <v>32902</v>
      </c>
      <c r="F179" s="739">
        <v>204633</v>
      </c>
      <c r="G179" s="739">
        <v>162339</v>
      </c>
      <c r="H179" s="739">
        <v>1580565</v>
      </c>
      <c r="I179" s="739">
        <v>2793673</v>
      </c>
      <c r="J179" s="739">
        <v>288338</v>
      </c>
      <c r="K179" s="739">
        <v>258241</v>
      </c>
      <c r="L179" s="739">
        <v>763161</v>
      </c>
      <c r="M179" s="739">
        <v>892698</v>
      </c>
    </row>
    <row r="180" spans="2:13">
      <c r="B180" s="739">
        <v>2002</v>
      </c>
      <c r="C180" s="739">
        <v>7089944</v>
      </c>
      <c r="D180" s="739">
        <v>109391</v>
      </c>
      <c r="E180" s="739">
        <v>32338</v>
      </c>
      <c r="F180" s="739">
        <v>200657</v>
      </c>
      <c r="G180" s="739">
        <v>159150</v>
      </c>
      <c r="H180" s="739">
        <v>1567195</v>
      </c>
      <c r="I180" s="739">
        <v>2803605</v>
      </c>
      <c r="J180" s="739">
        <v>286318</v>
      </c>
      <c r="K180" s="739">
        <v>253184</v>
      </c>
      <c r="L180" s="739">
        <v>764265</v>
      </c>
      <c r="M180" s="739">
        <v>881560</v>
      </c>
    </row>
    <row r="181" spans="2:13">
      <c r="B181" s="739">
        <v>2003</v>
      </c>
      <c r="C181" s="739">
        <v>7038734</v>
      </c>
      <c r="D181" s="739">
        <v>106356</v>
      </c>
      <c r="E181" s="739">
        <v>31724</v>
      </c>
      <c r="F181" s="739">
        <v>197009</v>
      </c>
      <c r="G181" s="739">
        <v>156089</v>
      </c>
      <c r="H181" s="739">
        <v>1554087</v>
      </c>
      <c r="I181" s="739">
        <v>2794162</v>
      </c>
      <c r="J181" s="739">
        <v>284428</v>
      </c>
      <c r="K181" s="739">
        <v>248392</v>
      </c>
      <c r="L181" s="739">
        <v>762420</v>
      </c>
      <c r="M181" s="739">
        <v>871752</v>
      </c>
    </row>
    <row r="182" spans="2:13">
      <c r="B182" s="739">
        <v>2004</v>
      </c>
      <c r="C182" s="739">
        <v>6997515</v>
      </c>
      <c r="D182" s="739">
        <v>103636</v>
      </c>
      <c r="E182" s="739">
        <v>31122</v>
      </c>
      <c r="F182" s="739">
        <v>193116</v>
      </c>
      <c r="G182" s="739">
        <v>153333</v>
      </c>
      <c r="H182" s="739">
        <v>1545073</v>
      </c>
      <c r="I182" s="739">
        <v>2785138</v>
      </c>
      <c r="J182" s="739">
        <v>283420</v>
      </c>
      <c r="K182" s="739">
        <v>244239</v>
      </c>
      <c r="L182" s="739">
        <v>761431</v>
      </c>
      <c r="M182" s="739">
        <v>864781</v>
      </c>
    </row>
    <row r="183" spans="2:13">
      <c r="B183" s="739">
        <v>2005</v>
      </c>
      <c r="C183" s="739">
        <v>6967853</v>
      </c>
      <c r="D183" s="739">
        <v>101458</v>
      </c>
      <c r="E183" s="739">
        <v>30529</v>
      </c>
      <c r="F183" s="739">
        <v>189490</v>
      </c>
      <c r="G183" s="739">
        <v>150784</v>
      </c>
      <c r="H183" s="739">
        <v>1538081</v>
      </c>
      <c r="I183" s="739">
        <v>2777653</v>
      </c>
      <c r="J183" s="739">
        <v>282600</v>
      </c>
      <c r="K183" s="739">
        <v>240950</v>
      </c>
      <c r="L183" s="739">
        <v>763440</v>
      </c>
      <c r="M183" s="739">
        <v>860899</v>
      </c>
    </row>
    <row r="185" spans="2:13">
      <c r="B185" s="739" t="s">
        <v>1550</v>
      </c>
    </row>
    <row r="187" spans="2:13">
      <c r="B187" s="739">
        <v>1971</v>
      </c>
    </row>
    <row r="188" spans="2:13">
      <c r="B188" s="739">
        <v>1972</v>
      </c>
    </row>
    <row r="189" spans="2:13">
      <c r="B189" s="739">
        <v>1973</v>
      </c>
    </row>
    <row r="190" spans="2:13">
      <c r="B190" s="739">
        <v>1974</v>
      </c>
    </row>
    <row r="191" spans="2:13">
      <c r="B191" s="739">
        <v>1975</v>
      </c>
    </row>
    <row r="192" spans="2:13">
      <c r="B192" s="739">
        <v>1976</v>
      </c>
    </row>
    <row r="193" spans="2:2">
      <c r="B193" s="739">
        <v>1977</v>
      </c>
    </row>
    <row r="194" spans="2:2">
      <c r="B194" s="739">
        <v>1978</v>
      </c>
    </row>
    <row r="195" spans="2:2">
      <c r="B195" s="739">
        <v>1979</v>
      </c>
    </row>
    <row r="196" spans="2:2">
      <c r="B196" s="739">
        <v>1980</v>
      </c>
    </row>
    <row r="197" spans="2:2">
      <c r="B197" s="739">
        <v>1981</v>
      </c>
    </row>
    <row r="198" spans="2:2">
      <c r="B198" s="739">
        <v>1982</v>
      </c>
    </row>
    <row r="199" spans="2:2">
      <c r="B199" s="739">
        <v>1983</v>
      </c>
    </row>
    <row r="200" spans="2:2">
      <c r="B200" s="739">
        <v>1984</v>
      </c>
    </row>
    <row r="201" spans="2:2">
      <c r="B201" s="739">
        <v>1985</v>
      </c>
    </row>
    <row r="202" spans="2:2">
      <c r="B202" s="739">
        <v>1986</v>
      </c>
    </row>
    <row r="203" spans="2:2">
      <c r="B203" s="739">
        <v>1987</v>
      </c>
    </row>
    <row r="204" spans="2:2">
      <c r="B204" s="739">
        <v>1988</v>
      </c>
    </row>
    <row r="205" spans="2:2">
      <c r="B205" s="739">
        <v>1989</v>
      </c>
    </row>
    <row r="206" spans="2:2">
      <c r="B206" s="739">
        <v>1990</v>
      </c>
    </row>
    <row r="207" spans="2:2">
      <c r="B207" s="739">
        <v>1991</v>
      </c>
    </row>
    <row r="208" spans="2:2">
      <c r="B208" s="739">
        <v>1992</v>
      </c>
    </row>
    <row r="209" spans="2:2">
      <c r="B209" s="739">
        <v>1993</v>
      </c>
    </row>
    <row r="210" spans="2:2">
      <c r="B210" s="739">
        <v>1994</v>
      </c>
    </row>
    <row r="211" spans="2:2">
      <c r="B211" s="739">
        <v>1995</v>
      </c>
    </row>
    <row r="212" spans="2:2">
      <c r="B212" s="739">
        <v>1996</v>
      </c>
    </row>
    <row r="213" spans="2:2">
      <c r="B213" s="739">
        <v>1997</v>
      </c>
    </row>
    <row r="214" spans="2:2">
      <c r="B214" s="739">
        <v>1998</v>
      </c>
    </row>
    <row r="215" spans="2:2">
      <c r="B215" s="739">
        <v>1999</v>
      </c>
    </row>
    <row r="216" spans="2:2">
      <c r="B216" s="739">
        <v>2000</v>
      </c>
    </row>
    <row r="217" spans="2:2">
      <c r="B217" s="739">
        <v>2001</v>
      </c>
    </row>
    <row r="218" spans="2:2">
      <c r="B218" s="739">
        <v>2002</v>
      </c>
    </row>
    <row r="219" spans="2:2">
      <c r="B219" s="739">
        <v>2003</v>
      </c>
    </row>
    <row r="220" spans="2:2">
      <c r="B220" s="739">
        <v>2004</v>
      </c>
    </row>
    <row r="221" spans="2:2">
      <c r="B221" s="739">
        <v>2005</v>
      </c>
    </row>
  </sheetData>
  <pageMargins left="0.70866141732283472" right="0.70866141732283472" top="0.74803149606299213" bottom="0.74803149606299213" header="0.31496062992125984" footer="0.31496062992125984"/>
  <pageSetup scale="83" orientation="landscape" verticalDpi="0" r:id="rId1"/>
  <colBreaks count="10" manualBreakCount="10">
    <brk id="10" max="50" man="1"/>
    <brk id="19" max="50" man="1"/>
    <brk id="28" max="50" man="1"/>
    <brk id="37" max="50" man="1"/>
    <brk id="46" max="50" man="1"/>
    <brk id="55" max="50" man="1"/>
    <brk id="64" max="50" man="1"/>
    <brk id="73" max="50" man="1"/>
    <brk id="82" max="50" man="1"/>
    <brk id="91" max="50" man="1"/>
  </colBreaks>
</worksheet>
</file>

<file path=xl/worksheets/sheet21.xml><?xml version="1.0" encoding="utf-8"?>
<worksheet xmlns="http://schemas.openxmlformats.org/spreadsheetml/2006/main" xmlns:r="http://schemas.openxmlformats.org/officeDocument/2006/relationships">
  <sheetPr codeName="Sheet16"/>
  <dimension ref="A1:AC112"/>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1" customWidth="1"/>
    <col min="2" max="2" width="10.42578125" style="1" bestFit="1" customWidth="1"/>
    <col min="3" max="6" width="9.28515625" style="1" bestFit="1" customWidth="1"/>
    <col min="7" max="8" width="9.7109375" style="1" bestFit="1" customWidth="1"/>
    <col min="9" max="11" width="9.28515625" style="1" bestFit="1" customWidth="1"/>
    <col min="12" max="13" width="9.28515625" style="1" customWidth="1"/>
    <col min="14" max="15" width="8.85546875" style="1" hidden="1" customWidth="1"/>
    <col min="16" max="17" width="9.42578125" style="1" hidden="1" customWidth="1"/>
    <col min="18" max="18" width="8.85546875" style="1" customWidth="1"/>
    <col min="19" max="19" width="9" style="1" customWidth="1"/>
    <col min="20" max="24" width="6.5703125" style="1" bestFit="1" customWidth="1"/>
    <col min="25" max="16384" width="9.140625" style="1"/>
  </cols>
  <sheetData>
    <row r="1" spans="1:29" ht="15.75">
      <c r="A1" s="3" t="s">
        <v>2106</v>
      </c>
    </row>
    <row r="2" spans="1:29">
      <c r="A2" s="4"/>
      <c r="B2" s="4"/>
    </row>
    <row r="3" spans="1:29" ht="25.5">
      <c r="A3" s="4"/>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29" s="4" customFormat="1" ht="25.5">
      <c r="A4" s="667"/>
      <c r="B4" s="1167"/>
      <c r="C4" s="1165"/>
      <c r="D4" s="1165"/>
      <c r="E4" s="1165"/>
      <c r="F4" s="1165"/>
      <c r="G4" s="1165"/>
      <c r="H4" s="1165"/>
      <c r="I4" s="1165"/>
      <c r="J4" s="1165"/>
      <c r="K4" s="1165"/>
      <c r="L4" s="1165"/>
      <c r="N4" s="645" t="s">
        <v>282</v>
      </c>
      <c r="O4" s="645" t="s">
        <v>282</v>
      </c>
      <c r="P4" s="645" t="s">
        <v>281</v>
      </c>
      <c r="Q4" s="645" t="s">
        <v>281</v>
      </c>
    </row>
    <row r="5" spans="1:29">
      <c r="A5" s="120">
        <v>1981</v>
      </c>
      <c r="B5" s="413">
        <f>(S5/'1'!B15)/1000</f>
        <v>11715.954708144647</v>
      </c>
      <c r="C5" s="413">
        <f>(T5/'1'!C15)/1000</f>
        <v>7855.0048496268046</v>
      </c>
      <c r="D5" s="413">
        <f>(U5/'1'!D15)/1000</f>
        <v>8401.3889001303105</v>
      </c>
      <c r="E5" s="413">
        <f>(V5/'1'!E15)/1000</f>
        <v>9498.5091317871356</v>
      </c>
      <c r="F5" s="413">
        <f>(W5/'1'!F15)/1000</f>
        <v>8782.0870338232089</v>
      </c>
      <c r="G5" s="413">
        <f>(X5/'1'!G15)/1000</f>
        <v>10687.4580259949</v>
      </c>
      <c r="H5" s="413">
        <f>(Y5/'1'!H15)/1000</f>
        <v>12378.51336191313</v>
      </c>
      <c r="I5" s="413">
        <f>(Z5/'1'!I15)/1000</f>
        <v>10810.732512831406</v>
      </c>
      <c r="J5" s="413">
        <f>(AA5/'1'!J15)/1000</f>
        <v>10925.853617542856</v>
      </c>
      <c r="K5" s="413">
        <f>(AB5/'1'!K15)/1000</f>
        <v>13815.610290933979</v>
      </c>
      <c r="L5" s="413">
        <f>(AC5/'1'!L15)/1000</f>
        <v>13167.959051255981</v>
      </c>
      <c r="N5" s="19">
        <f>SUM(C85:L85)/10</f>
        <v>4887527.1250069458</v>
      </c>
      <c r="O5" s="19">
        <f>SQRT(N5)</f>
        <v>2210.775231679364</v>
      </c>
      <c r="P5" s="19">
        <f>Q5^2</f>
        <v>3713244.9073241996</v>
      </c>
      <c r="Q5" s="19">
        <f>STDEVP(C5:L5)</f>
        <v>1926.9781802927089</v>
      </c>
      <c r="S5" s="1">
        <v>290789000000</v>
      </c>
      <c r="T5" s="1">
        <v>4519000000</v>
      </c>
      <c r="U5" s="1">
        <v>1038000000</v>
      </c>
      <c r="V5" s="1">
        <v>8120000000</v>
      </c>
      <c r="W5" s="1">
        <v>6204000000</v>
      </c>
      <c r="X5" s="1">
        <v>69973000000</v>
      </c>
      <c r="Y5" s="1">
        <v>109083000000</v>
      </c>
      <c r="Z5" s="1">
        <v>11195000000</v>
      </c>
      <c r="AA5" s="1">
        <v>10661000000</v>
      </c>
      <c r="AB5" s="1">
        <v>31653000000</v>
      </c>
      <c r="AC5" s="1">
        <v>37220000000</v>
      </c>
    </row>
    <row r="6" spans="1:29">
      <c r="A6" s="120">
        <v>1982</v>
      </c>
      <c r="B6" s="413">
        <f>(S6/'1'!B16)/1000</f>
        <v>12810.158179287908</v>
      </c>
      <c r="C6" s="413">
        <f>(T6/'1'!C16)/1000</f>
        <v>8745.2835943150421</v>
      </c>
      <c r="D6" s="413">
        <f>(U6/'1'!D16)/1000</f>
        <v>9523.5783409392498</v>
      </c>
      <c r="E6" s="413">
        <f>(V6/'1'!E16)/1000</f>
        <v>10549.009473387674</v>
      </c>
      <c r="F6" s="413">
        <f>(W6/'1'!F16)/1000</f>
        <v>9852.1888962862758</v>
      </c>
      <c r="G6" s="413">
        <f>(X6/'1'!G16)/1000</f>
        <v>11542.510133146805</v>
      </c>
      <c r="H6" s="413">
        <f>(Y6/'1'!H16)/1000</f>
        <v>13719.287987114316</v>
      </c>
      <c r="I6" s="413">
        <f>(Z6/'1'!I16)/1000</f>
        <v>11999.341767888989</v>
      </c>
      <c r="J6" s="413">
        <f>(AA6/'1'!J16)/1000</f>
        <v>12179.423504584516</v>
      </c>
      <c r="K6" s="413">
        <f>(AB6/'1'!K16)/1000</f>
        <v>14750.443808767473</v>
      </c>
      <c r="L6" s="413">
        <f>(AC6/'1'!L16)/1000</f>
        <v>14053.473771889785</v>
      </c>
      <c r="N6" s="19">
        <f t="shared" ref="N6:N29" si="0">SUM(C86:L86)/10</f>
        <v>4998642.8220776441</v>
      </c>
      <c r="O6" s="19">
        <f t="shared" ref="O6:O29" si="1">SQRT(N6)</f>
        <v>2235.7644826943747</v>
      </c>
      <c r="P6" s="19">
        <f t="shared" ref="P6:P29" si="2">Q6^2</f>
        <v>3747144.0673338319</v>
      </c>
      <c r="Q6" s="19">
        <f t="shared" ref="Q6:Q29" si="3">STDEVP(C6:L6)</f>
        <v>1935.7541340092321</v>
      </c>
      <c r="S6" s="1">
        <v>321752000000</v>
      </c>
      <c r="T6" s="1">
        <v>5018000000</v>
      </c>
      <c r="U6" s="1">
        <v>1177000000</v>
      </c>
      <c r="V6" s="1">
        <v>9062000000</v>
      </c>
      <c r="W6" s="1">
        <v>6970000000</v>
      </c>
      <c r="X6" s="1">
        <v>75957000000</v>
      </c>
      <c r="Y6" s="1">
        <v>122380000000</v>
      </c>
      <c r="Z6" s="1">
        <v>12542000000</v>
      </c>
      <c r="AA6" s="1">
        <v>12016000000</v>
      </c>
      <c r="AB6" s="1">
        <v>34956000000</v>
      </c>
      <c r="AC6" s="1">
        <v>40425000000</v>
      </c>
    </row>
    <row r="7" spans="1:29">
      <c r="A7" s="120">
        <v>1983</v>
      </c>
      <c r="B7" s="413">
        <f>(S7/'1'!B17)/1000</f>
        <v>13364.620852952587</v>
      </c>
      <c r="C7" s="413">
        <f>(T7/'1'!C17)/1000</f>
        <v>9071.6964452210414</v>
      </c>
      <c r="D7" s="413">
        <f>(U7/'1'!D17)/1000</f>
        <v>10231.65097280619</v>
      </c>
      <c r="E7" s="413">
        <f>(V7/'1'!E17)/1000</f>
        <v>11233.586973922276</v>
      </c>
      <c r="F7" s="413">
        <f>(W7/'1'!F17)/1000</f>
        <v>10440.069274049372</v>
      </c>
      <c r="G7" s="413">
        <f>(X7/'1'!G17)/1000</f>
        <v>12047.900825324825</v>
      </c>
      <c r="H7" s="413">
        <f>(Y7/'1'!H17)/1000</f>
        <v>14601.589191691102</v>
      </c>
      <c r="I7" s="413">
        <f>(Z7/'1'!I17)/1000</f>
        <v>12165.110327699311</v>
      </c>
      <c r="J7" s="413">
        <f>(AA7/'1'!J17)/1000</f>
        <v>12142.833600832559</v>
      </c>
      <c r="K7" s="413">
        <f>(AB7/'1'!K17)/1000</f>
        <v>14918.195996218228</v>
      </c>
      <c r="L7" s="413">
        <f>(AC7/'1'!L17)/1000</f>
        <v>14319.508636623466</v>
      </c>
      <c r="N7" s="19">
        <f t="shared" si="0"/>
        <v>5085984.5868652742</v>
      </c>
      <c r="O7" s="19">
        <f t="shared" si="1"/>
        <v>2255.2127586694064</v>
      </c>
      <c r="P7" s="19">
        <f t="shared" si="2"/>
        <v>3529961.2900052648</v>
      </c>
      <c r="Q7" s="19">
        <f t="shared" si="3"/>
        <v>1878.8191211517048</v>
      </c>
      <c r="S7" s="1">
        <v>339013000000</v>
      </c>
      <c r="T7" s="1">
        <v>5254000000</v>
      </c>
      <c r="U7" s="1">
        <v>1280000000</v>
      </c>
      <c r="V7" s="1">
        <v>9754000000</v>
      </c>
      <c r="W7" s="1">
        <v>7463000000</v>
      </c>
      <c r="X7" s="1">
        <v>79552000000</v>
      </c>
      <c r="Y7" s="1">
        <v>131992000000</v>
      </c>
      <c r="Z7" s="1">
        <v>12892000000</v>
      </c>
      <c r="AA7" s="1">
        <v>12158000000</v>
      </c>
      <c r="AB7" s="1">
        <v>35708000000</v>
      </c>
      <c r="AC7" s="1">
        <v>41634000000</v>
      </c>
    </row>
    <row r="8" spans="1:29" ht="12.75" customHeight="1">
      <c r="A8" s="120">
        <v>1984</v>
      </c>
      <c r="B8" s="413">
        <f>(S8/'1'!B18)/1000</f>
        <v>14344.993154815589</v>
      </c>
      <c r="C8" s="413">
        <f>(T8/'1'!C18)/1000</f>
        <v>9488.5917957470265</v>
      </c>
      <c r="D8" s="413">
        <f>(U8/'1'!D18)/1000</f>
        <v>10753.537763801427</v>
      </c>
      <c r="E8" s="413">
        <f>(V8/'1'!E18)/1000</f>
        <v>12113.220835788306</v>
      </c>
      <c r="F8" s="413">
        <f>(W8/'1'!F18)/1000</f>
        <v>11232.664527375888</v>
      </c>
      <c r="G8" s="413">
        <f>(X8/'1'!G18)/1000</f>
        <v>13131.972698839729</v>
      </c>
      <c r="H8" s="413">
        <f>(Y8/'1'!H18)/1000</f>
        <v>15810.444828701093</v>
      </c>
      <c r="I8" s="413">
        <f>(Z8/'1'!I18)/1000</f>
        <v>13565.837228613282</v>
      </c>
      <c r="J8" s="413">
        <f>(AA8/'1'!J18)/1000</f>
        <v>12788.101890865008</v>
      </c>
      <c r="K8" s="413">
        <f>(AB8/'1'!K18)/1000</f>
        <v>15449.221711620376</v>
      </c>
      <c r="L8" s="413">
        <f>(AC8/'1'!L18)/1000</f>
        <v>14839.265046836281</v>
      </c>
      <c r="N8" s="19">
        <f t="shared" si="0"/>
        <v>5926417.0164281204</v>
      </c>
      <c r="O8" s="19">
        <f t="shared" si="1"/>
        <v>2434.4233437157391</v>
      </c>
      <c r="P8" s="19">
        <f t="shared" si="2"/>
        <v>3888068.8191449731</v>
      </c>
      <c r="Q8" s="19">
        <f t="shared" si="3"/>
        <v>1971.8186577738261</v>
      </c>
      <c r="S8" s="1">
        <v>367333000000</v>
      </c>
      <c r="T8" s="1">
        <v>5504000000</v>
      </c>
      <c r="U8" s="1">
        <v>1361000000</v>
      </c>
      <c r="V8" s="1">
        <v>10629000000</v>
      </c>
      <c r="W8" s="1">
        <v>8093000000</v>
      </c>
      <c r="X8" s="1">
        <v>87081000000</v>
      </c>
      <c r="Y8" s="1">
        <v>144942000000</v>
      </c>
      <c r="Z8" s="1">
        <v>14540000000</v>
      </c>
      <c r="AA8" s="1">
        <v>12975000000</v>
      </c>
      <c r="AB8" s="1">
        <v>36984000000</v>
      </c>
      <c r="AC8" s="1">
        <v>43734000000</v>
      </c>
    </row>
    <row r="9" spans="1:29" ht="12.75" customHeight="1">
      <c r="A9" s="120">
        <v>1985</v>
      </c>
      <c r="B9" s="413">
        <f>(S9/'1'!B19)/1000</f>
        <v>15395.720690983662</v>
      </c>
      <c r="C9" s="413">
        <f>(T9/'1'!C19)/1000</f>
        <v>10171.334858227958</v>
      </c>
      <c r="D9" s="413">
        <f>(U9/'1'!D19)/1000</f>
        <v>11346.272890400331</v>
      </c>
      <c r="E9" s="413">
        <f>(V9/'1'!E19)/1000</f>
        <v>13153.498117058458</v>
      </c>
      <c r="F9" s="413">
        <f>(W9/'1'!F19)/1000</f>
        <v>11944.083054167986</v>
      </c>
      <c r="G9" s="413">
        <f>(X9/'1'!G19)/1000</f>
        <v>14047.221924683632</v>
      </c>
      <c r="H9" s="413">
        <f>(Y9/'1'!H19)/1000</f>
        <v>17000.196994897175</v>
      </c>
      <c r="I9" s="413">
        <f>(Z9/'1'!I19)/1000</f>
        <v>14624.54791938993</v>
      </c>
      <c r="J9" s="413">
        <f>(AA9/'1'!J19)/1000</f>
        <v>13568.758000561989</v>
      </c>
      <c r="K9" s="413">
        <f>(AB9/'1'!K19)/1000</f>
        <v>16890.484052751315</v>
      </c>
      <c r="L9" s="413">
        <f>(AC9/'1'!L19)/1000</f>
        <v>15659.142404149599</v>
      </c>
      <c r="N9" s="19">
        <f t="shared" si="0"/>
        <v>7126260.1021073209</v>
      </c>
      <c r="O9" s="19">
        <f t="shared" si="1"/>
        <v>2669.5055913234796</v>
      </c>
      <c r="P9" s="19">
        <f t="shared" si="2"/>
        <v>4707716.7326351162</v>
      </c>
      <c r="Q9" s="19">
        <f t="shared" si="3"/>
        <v>2169.7273406202717</v>
      </c>
      <c r="S9" s="1">
        <v>397858000000</v>
      </c>
      <c r="T9" s="1">
        <v>5892000000</v>
      </c>
      <c r="U9" s="1">
        <v>1448000000</v>
      </c>
      <c r="V9" s="1">
        <v>11652000000</v>
      </c>
      <c r="W9" s="1">
        <v>8639000000</v>
      </c>
      <c r="X9" s="1">
        <v>93636000000</v>
      </c>
      <c r="Y9" s="1">
        <v>158011000000</v>
      </c>
      <c r="Z9" s="1">
        <v>15831000000</v>
      </c>
      <c r="AA9" s="1">
        <v>13907000000</v>
      </c>
      <c r="AB9" s="1">
        <v>40613000000</v>
      </c>
      <c r="AC9" s="1">
        <v>46588000000</v>
      </c>
    </row>
    <row r="10" spans="1:29" ht="12.75" customHeight="1">
      <c r="A10" s="120">
        <v>1986</v>
      </c>
      <c r="B10" s="413">
        <f>(S10/'1'!B20)/1000</f>
        <v>16312.354987176766</v>
      </c>
      <c r="C10" s="413">
        <f>(T10/'1'!C20)/1000</f>
        <v>11025.392760096198</v>
      </c>
      <c r="D10" s="413">
        <f>(U10/'1'!D20)/1000</f>
        <v>12730.075679715967</v>
      </c>
      <c r="E10" s="413">
        <f>(V10/'1'!E20)/1000</f>
        <v>13903.026362999346</v>
      </c>
      <c r="F10" s="413">
        <f>(W10/'1'!F20)/1000</f>
        <v>12981.728754694705</v>
      </c>
      <c r="G10" s="413">
        <f>(X10/'1'!G20)/1000</f>
        <v>14939.991085497237</v>
      </c>
      <c r="H10" s="413">
        <f>(Y10/'1'!H20)/1000</f>
        <v>18136.959715106736</v>
      </c>
      <c r="I10" s="413">
        <f>(Z10/'1'!I20)/1000</f>
        <v>15304.813696461553</v>
      </c>
      <c r="J10" s="413">
        <f>(AA10/'1'!J20)/1000</f>
        <v>14962.326859573623</v>
      </c>
      <c r="K10" s="413">
        <f>(AB10/'1'!K20)/1000</f>
        <v>17198.193125161841</v>
      </c>
      <c r="L10" s="413">
        <f>(AC10/'1'!L20)/1000</f>
        <v>16284.011864346399</v>
      </c>
      <c r="N10" s="19">
        <f t="shared" si="0"/>
        <v>6651842.3175970698</v>
      </c>
      <c r="O10" s="19">
        <f t="shared" si="1"/>
        <v>2579.1165769691506</v>
      </c>
      <c r="P10" s="19">
        <f t="shared" si="2"/>
        <v>4200416.4433729183</v>
      </c>
      <c r="Q10" s="19">
        <f t="shared" si="3"/>
        <v>2049.4917524530119</v>
      </c>
      <c r="S10" s="1">
        <v>425757000000</v>
      </c>
      <c r="T10" s="1">
        <v>6354000000</v>
      </c>
      <c r="U10" s="1">
        <v>1635000000</v>
      </c>
      <c r="V10" s="1">
        <v>12361000000</v>
      </c>
      <c r="W10" s="1">
        <v>9412000000</v>
      </c>
      <c r="X10" s="1">
        <v>100220000000</v>
      </c>
      <c r="Y10" s="1">
        <v>171165000000</v>
      </c>
      <c r="Z10" s="1">
        <v>16706000000</v>
      </c>
      <c r="AA10" s="1">
        <v>15392000000</v>
      </c>
      <c r="AB10" s="1">
        <v>41842000000</v>
      </c>
      <c r="AC10" s="1">
        <v>48911000000</v>
      </c>
    </row>
    <row r="11" spans="1:29" ht="12.75" customHeight="1">
      <c r="A11" s="120">
        <v>1987</v>
      </c>
      <c r="B11" s="413">
        <f>(S11/'1'!B21)/1000</f>
        <v>17306.647459157419</v>
      </c>
      <c r="C11" s="413">
        <f>(T11/'1'!C21)/1000</f>
        <v>12205.297944169584</v>
      </c>
      <c r="D11" s="413">
        <f>(U11/'1'!D21)/1000</f>
        <v>13526.01425672997</v>
      </c>
      <c r="E11" s="413">
        <f>(V11/'1'!E21)/1000</f>
        <v>14895.82657233725</v>
      </c>
      <c r="F11" s="413">
        <f>(W11/'1'!F21)/1000</f>
        <v>13904.156269580415</v>
      </c>
      <c r="G11" s="413">
        <f>(X11/'1'!G21)/1000</f>
        <v>15970.400402006255</v>
      </c>
      <c r="H11" s="413">
        <f>(Y11/'1'!H21)/1000</f>
        <v>19459.127438473657</v>
      </c>
      <c r="I11" s="413">
        <f>(Z11/'1'!I21)/1000</f>
        <v>15860.732192069541</v>
      </c>
      <c r="J11" s="413">
        <f>(AA11/'1'!J21)/1000</f>
        <v>14158.611695015197</v>
      </c>
      <c r="K11" s="413">
        <f>(AB11/'1'!K21)/1000</f>
        <v>17542.874958467797</v>
      </c>
      <c r="L11" s="413">
        <f>(AC11/'1'!L21)/1000</f>
        <v>17352.921013261279</v>
      </c>
      <c r="N11" s="19">
        <f t="shared" si="0"/>
        <v>7618342.8993099481</v>
      </c>
      <c r="O11" s="19">
        <f t="shared" si="1"/>
        <v>2760.1345799272085</v>
      </c>
      <c r="P11" s="19">
        <f t="shared" si="2"/>
        <v>4309395.6858553318</v>
      </c>
      <c r="Q11" s="19">
        <f t="shared" si="3"/>
        <v>2075.9084001601159</v>
      </c>
      <c r="S11" s="1">
        <v>457702000000</v>
      </c>
      <c r="T11" s="1">
        <v>7021000000</v>
      </c>
      <c r="U11" s="1">
        <v>1740000000</v>
      </c>
      <c r="V11" s="1">
        <v>13311000000</v>
      </c>
      <c r="W11" s="1">
        <v>10119000000</v>
      </c>
      <c r="X11" s="1">
        <v>108311000000</v>
      </c>
      <c r="Y11" s="1">
        <v>187546000000</v>
      </c>
      <c r="Z11" s="1">
        <v>17421000000</v>
      </c>
      <c r="AA11" s="1">
        <v>14623000000</v>
      </c>
      <c r="AB11" s="1">
        <v>42820000000</v>
      </c>
      <c r="AC11" s="1">
        <v>52903000000</v>
      </c>
    </row>
    <row r="12" spans="1:29" ht="12.75" customHeight="1">
      <c r="A12" s="120">
        <v>1988</v>
      </c>
      <c r="B12" s="413">
        <f>(S12/'1'!B22)/1000</f>
        <v>18757.343446099279</v>
      </c>
      <c r="C12" s="413">
        <f>(T12/'1'!C22)/1000</f>
        <v>13250.849591813309</v>
      </c>
      <c r="D12" s="413">
        <f>(U12/'1'!D22)/1000</f>
        <v>14889.124364795151</v>
      </c>
      <c r="E12" s="413">
        <f>(V12/'1'!E22)/1000</f>
        <v>15999.491761181254</v>
      </c>
      <c r="F12" s="413">
        <f>(W12/'1'!F22)/1000</f>
        <v>15020.216362314453</v>
      </c>
      <c r="G12" s="413">
        <f>(X12/'1'!G22)/1000</f>
        <v>17125.739552150724</v>
      </c>
      <c r="H12" s="413">
        <f>(Y12/'1'!H22)/1000</f>
        <v>21219.134390798707</v>
      </c>
      <c r="I12" s="413">
        <f>(Z12/'1'!I22)/1000</f>
        <v>16945.031175373268</v>
      </c>
      <c r="J12" s="413">
        <f>(AA12/'1'!J22)/1000</f>
        <v>15226.239393128937</v>
      </c>
      <c r="K12" s="413">
        <f>(AB12/'1'!K22)/1000</f>
        <v>19159.298123351899</v>
      </c>
      <c r="L12" s="413">
        <f>(AC12/'1'!L22)/1000</f>
        <v>18716.684843556213</v>
      </c>
      <c r="N12" s="19">
        <f t="shared" si="0"/>
        <v>9149539.6390823647</v>
      </c>
      <c r="O12" s="19">
        <f t="shared" si="1"/>
        <v>3024.8205961812619</v>
      </c>
      <c r="P12" s="19">
        <f t="shared" si="2"/>
        <v>5140885.0017066579</v>
      </c>
      <c r="Q12" s="19">
        <f t="shared" si="3"/>
        <v>2267.3519801095413</v>
      </c>
      <c r="S12" s="1">
        <v>502542000000</v>
      </c>
      <c r="T12" s="1">
        <v>7619000000</v>
      </c>
      <c r="U12" s="1">
        <v>1925000000</v>
      </c>
      <c r="V12" s="1">
        <v>14355000000</v>
      </c>
      <c r="W12" s="1">
        <v>10970000000</v>
      </c>
      <c r="X12" s="1">
        <v>117090000000</v>
      </c>
      <c r="Y12" s="1">
        <v>208767000000</v>
      </c>
      <c r="Z12" s="1">
        <v>18676000000</v>
      </c>
      <c r="AA12" s="1">
        <v>15656000000</v>
      </c>
      <c r="AB12" s="1">
        <v>47067000000</v>
      </c>
      <c r="AC12" s="1">
        <v>58298000000</v>
      </c>
    </row>
    <row r="13" spans="1:29" ht="12.75" customHeight="1">
      <c r="A13" s="120">
        <v>1989</v>
      </c>
      <c r="B13" s="413">
        <f>(S13/'1'!B23)/1000</f>
        <v>20028.902970625455</v>
      </c>
      <c r="C13" s="413">
        <f>(T13/'1'!C23)/1000</f>
        <v>14210.364737898293</v>
      </c>
      <c r="D13" s="413">
        <f>(U13/'1'!D23)/1000</f>
        <v>15789.109740075142</v>
      </c>
      <c r="E13" s="413">
        <f>(V13/'1'!E23)/1000</f>
        <v>17076.012263218861</v>
      </c>
      <c r="F13" s="413">
        <f>(W13/'1'!F23)/1000</f>
        <v>16012.155689681675</v>
      </c>
      <c r="G13" s="413">
        <f>(X13/'1'!G23)/1000</f>
        <v>18205.439668407573</v>
      </c>
      <c r="H13" s="413">
        <f>(Y13/'1'!H23)/1000</f>
        <v>22667.53304982874</v>
      </c>
      <c r="I13" s="413">
        <f>(Z13/'1'!I23)/1000</f>
        <v>17915.513067679422</v>
      </c>
      <c r="J13" s="413">
        <f>(AA13/'1'!J23)/1000</f>
        <v>16005.862047655623</v>
      </c>
      <c r="K13" s="413">
        <f>(AB13/'1'!K23)/1000</f>
        <v>20164.310087758797</v>
      </c>
      <c r="L13" s="413">
        <f>(AC13/'1'!L23)/1000</f>
        <v>20336.125253188809</v>
      </c>
      <c r="N13" s="19">
        <f t="shared" si="0"/>
        <v>10773643.892983515</v>
      </c>
      <c r="O13" s="19">
        <f t="shared" si="1"/>
        <v>3282.3229416045451</v>
      </c>
      <c r="P13" s="19">
        <f t="shared" si="2"/>
        <v>5974650.8606647486</v>
      </c>
      <c r="Q13" s="19">
        <f t="shared" si="3"/>
        <v>2444.309894564261</v>
      </c>
      <c r="S13" s="1">
        <v>546324000000</v>
      </c>
      <c r="T13" s="1">
        <v>8193000000</v>
      </c>
      <c r="U13" s="1">
        <v>2055000000</v>
      </c>
      <c r="V13" s="1">
        <v>15434000000</v>
      </c>
      <c r="W13" s="1">
        <v>11771000000</v>
      </c>
      <c r="X13" s="1">
        <v>126075000000</v>
      </c>
      <c r="Y13" s="1">
        <v>229017000000</v>
      </c>
      <c r="Z13" s="1">
        <v>19775000000</v>
      </c>
      <c r="AA13" s="1">
        <v>16317000000</v>
      </c>
      <c r="AB13" s="1">
        <v>50377000000</v>
      </c>
      <c r="AC13" s="1">
        <v>65009000000</v>
      </c>
    </row>
    <row r="14" spans="1:29" ht="12.75" customHeight="1">
      <c r="A14" s="120">
        <v>1990</v>
      </c>
      <c r="B14" s="413">
        <f>(S14/'1'!B24)/1000</f>
        <v>21182.444722929049</v>
      </c>
      <c r="C14" s="413">
        <f>(T14/'1'!C24)/1000</f>
        <v>15444.222748749497</v>
      </c>
      <c r="D14" s="413">
        <f>(U14/'1'!D24)/1000</f>
        <v>16870.648139627621</v>
      </c>
      <c r="E14" s="413">
        <f>(V14/'1'!E24)/1000</f>
        <v>18231.623667830558</v>
      </c>
      <c r="F14" s="413">
        <f>(W14/'1'!F24)/1000</f>
        <v>16995.065905025429</v>
      </c>
      <c r="G14" s="413">
        <f>(X14/'1'!G24)/1000</f>
        <v>19414.073431045883</v>
      </c>
      <c r="H14" s="413">
        <f>(Y14/'1'!H24)/1000</f>
        <v>23470.75981814777</v>
      </c>
      <c r="I14" s="413">
        <f>(Z14/'1'!I24)/1000</f>
        <v>19349.189132466272</v>
      </c>
      <c r="J14" s="413">
        <f>(AA14/'1'!J24)/1000</f>
        <v>17627.790066158792</v>
      </c>
      <c r="K14" s="413">
        <f>(AB14/'1'!K24)/1000</f>
        <v>21591.278395219695</v>
      </c>
      <c r="L14" s="413">
        <f>(AC14/'1'!L24)/1000</f>
        <v>21882.008231192693</v>
      </c>
      <c r="N14" s="19">
        <f t="shared" si="0"/>
        <v>10277672.032808416</v>
      </c>
      <c r="O14" s="19">
        <f t="shared" si="1"/>
        <v>3205.8808513119161</v>
      </c>
      <c r="P14" s="19">
        <f t="shared" si="2"/>
        <v>5889573.9401521292</v>
      </c>
      <c r="Q14" s="19">
        <f t="shared" si="3"/>
        <v>2426.8444408639234</v>
      </c>
      <c r="S14" s="1">
        <v>586566000000</v>
      </c>
      <c r="T14" s="1">
        <v>8917000000</v>
      </c>
      <c r="U14" s="1">
        <v>2200000000</v>
      </c>
      <c r="V14" s="1">
        <v>16599000000</v>
      </c>
      <c r="W14" s="1">
        <v>12579000000</v>
      </c>
      <c r="X14" s="1">
        <v>135840000000</v>
      </c>
      <c r="Y14" s="1">
        <v>241651000000</v>
      </c>
      <c r="Z14" s="1">
        <v>21389000000</v>
      </c>
      <c r="AA14" s="1">
        <v>17764000000</v>
      </c>
      <c r="AB14" s="1">
        <v>55010000000</v>
      </c>
      <c r="AC14" s="1">
        <v>72038000000</v>
      </c>
    </row>
    <row r="15" spans="1:29" ht="12.75" customHeight="1">
      <c r="A15" s="120">
        <v>1991</v>
      </c>
      <c r="B15" s="413">
        <f>(S15/'1'!B25)/1000</f>
        <v>21589.789645409597</v>
      </c>
      <c r="C15" s="413">
        <f>(T15/'1'!C25)/1000</f>
        <v>16092.636169786972</v>
      </c>
      <c r="D15" s="413">
        <f>(U15/'1'!D25)/1000</f>
        <v>17557.855011544158</v>
      </c>
      <c r="E15" s="413">
        <f>(V15/'1'!E25)/1000</f>
        <v>18811.566293502838</v>
      </c>
      <c r="F15" s="413">
        <f>(W15/'1'!F25)/1000</f>
        <v>17591.980331747516</v>
      </c>
      <c r="G15" s="413">
        <f>(X15/'1'!G25)/1000</f>
        <v>19853.139685394734</v>
      </c>
      <c r="H15" s="413">
        <f>(Y15/'1'!H25)/1000</f>
        <v>23746.380610078344</v>
      </c>
      <c r="I15" s="413">
        <f>(Z15/'1'!I25)/1000</f>
        <v>19496.14457049542</v>
      </c>
      <c r="J15" s="413">
        <f>(AA15/'1'!J25)/1000</f>
        <v>18087.927452820499</v>
      </c>
      <c r="K15" s="413">
        <f>(AB15/'1'!K25)/1000</f>
        <v>22188.352763909817</v>
      </c>
      <c r="L15" s="413">
        <f>(AC15/'1'!L25)/1000</f>
        <v>22329.803274480579</v>
      </c>
      <c r="N15" s="19">
        <f t="shared" si="0"/>
        <v>9539532.1693944205</v>
      </c>
      <c r="O15" s="19">
        <f t="shared" si="1"/>
        <v>3088.6133084920843</v>
      </c>
      <c r="P15" s="19">
        <f t="shared" si="2"/>
        <v>5482486.099914168</v>
      </c>
      <c r="Q15" s="19">
        <f t="shared" si="3"/>
        <v>2341.4709265575279</v>
      </c>
      <c r="S15" s="1">
        <v>605322000000</v>
      </c>
      <c r="T15" s="1">
        <v>9328000000</v>
      </c>
      <c r="U15" s="1">
        <v>2289000000</v>
      </c>
      <c r="V15" s="1">
        <v>17212000000</v>
      </c>
      <c r="W15" s="1">
        <v>13116000000</v>
      </c>
      <c r="X15" s="1">
        <v>140310000000</v>
      </c>
      <c r="Y15" s="1">
        <v>247706000000</v>
      </c>
      <c r="Z15" s="1">
        <v>21633000000</v>
      </c>
      <c r="AA15" s="1">
        <v>18137000000</v>
      </c>
      <c r="AB15" s="1">
        <v>57519000000</v>
      </c>
      <c r="AC15" s="1">
        <v>75336000000</v>
      </c>
    </row>
    <row r="16" spans="1:29" ht="12.75" customHeight="1">
      <c r="A16" s="120">
        <v>1992</v>
      </c>
      <c r="B16" s="413">
        <f>(S16/'1'!B26)/1000</f>
        <v>21876.113803036766</v>
      </c>
      <c r="C16" s="413">
        <f>(T16/'1'!C26)/1000</f>
        <v>16426.223347681211</v>
      </c>
      <c r="D16" s="413">
        <f>(U16/'1'!D26)/1000</f>
        <v>17909.147194386478</v>
      </c>
      <c r="E16" s="413">
        <f>(V16/'1'!E26)/1000</f>
        <v>19203.850993690801</v>
      </c>
      <c r="F16" s="413">
        <f>(W16/'1'!F26)/1000</f>
        <v>18121.400147837048</v>
      </c>
      <c r="G16" s="413">
        <f>(X16/'1'!G26)/1000</f>
        <v>20175.920990265837</v>
      </c>
      <c r="H16" s="413">
        <f>(Y16/'1'!H26)/1000</f>
        <v>24004.831537035087</v>
      </c>
      <c r="I16" s="413">
        <f>(Z16/'1'!I26)/1000</f>
        <v>19868.98405574244</v>
      </c>
      <c r="J16" s="413">
        <f>(AA16/'1'!J26)/1000</f>
        <v>17847.698444713369</v>
      </c>
      <c r="K16" s="413">
        <f>(AB16/'1'!K26)/1000</f>
        <v>22401.195439462263</v>
      </c>
      <c r="L16" s="413">
        <f>(AC16/'1'!L26)/1000</f>
        <v>22662.002616465281</v>
      </c>
      <c r="N16" s="19">
        <f t="shared" si="0"/>
        <v>9524912.0069548562</v>
      </c>
      <c r="O16" s="19">
        <f t="shared" si="1"/>
        <v>3086.245616757496</v>
      </c>
      <c r="P16" s="19">
        <f t="shared" si="2"/>
        <v>5468763.0284469612</v>
      </c>
      <c r="Q16" s="19">
        <f t="shared" si="3"/>
        <v>2338.5386523311863</v>
      </c>
      <c r="S16" s="1">
        <v>620653000000</v>
      </c>
      <c r="T16" s="1">
        <v>9529000000</v>
      </c>
      <c r="U16" s="1">
        <v>2343000000</v>
      </c>
      <c r="V16" s="1">
        <v>17657000000</v>
      </c>
      <c r="W16" s="1">
        <v>13557000000</v>
      </c>
      <c r="X16" s="1">
        <v>143451000000</v>
      </c>
      <c r="Y16" s="1">
        <v>253784000000</v>
      </c>
      <c r="Z16" s="1">
        <v>22108000000</v>
      </c>
      <c r="AA16" s="1">
        <v>17919000000</v>
      </c>
      <c r="AB16" s="1">
        <v>58975000000</v>
      </c>
      <c r="AC16" s="1">
        <v>78610000000</v>
      </c>
    </row>
    <row r="17" spans="1:29" ht="12.75" customHeight="1">
      <c r="A17" s="120">
        <v>1993</v>
      </c>
      <c r="B17" s="413">
        <f>(S17/'1'!B27)/1000</f>
        <v>22069.520948472855</v>
      </c>
      <c r="C17" s="413">
        <f>(T17/'1'!C27)/1000</f>
        <v>16776.52734504989</v>
      </c>
      <c r="D17" s="413">
        <f>(U17/'1'!D27)/1000</f>
        <v>18482.792013739152</v>
      </c>
      <c r="E17" s="413">
        <f>(V17/'1'!E27)/1000</f>
        <v>19379.278621100199</v>
      </c>
      <c r="F17" s="413">
        <f>(W17/'1'!F27)/1000</f>
        <v>18427.856391190311</v>
      </c>
      <c r="G17" s="413">
        <f>(X17/'1'!G27)/1000</f>
        <v>20534.512711944339</v>
      </c>
      <c r="H17" s="413">
        <f>(Y17/'1'!H27)/1000</f>
        <v>23956.042064583868</v>
      </c>
      <c r="I17" s="413">
        <f>(Z17/'1'!I27)/1000</f>
        <v>19846.673908258457</v>
      </c>
      <c r="J17" s="413">
        <f>(AA17/'1'!J27)/1000</f>
        <v>18151.752904955803</v>
      </c>
      <c r="K17" s="413">
        <f>(AB17/'1'!K27)/1000</f>
        <v>22874.510927187577</v>
      </c>
      <c r="L17" s="413">
        <f>(AC17/'1'!L27)/1000</f>
        <v>22959.426779513935</v>
      </c>
      <c r="N17" s="19">
        <f t="shared" si="0"/>
        <v>8902463.9133576211</v>
      </c>
      <c r="O17" s="19">
        <f t="shared" si="1"/>
        <v>2983.6997022752844</v>
      </c>
      <c r="P17" s="19">
        <f t="shared" si="2"/>
        <v>5175310.947348862</v>
      </c>
      <c r="Q17" s="19">
        <f t="shared" si="3"/>
        <v>2274.9309763922206</v>
      </c>
      <c r="S17" s="1">
        <v>633059000000</v>
      </c>
      <c r="T17" s="1">
        <v>9730000000</v>
      </c>
      <c r="U17" s="1">
        <v>2443000000</v>
      </c>
      <c r="V17" s="1">
        <v>17905000000</v>
      </c>
      <c r="W17" s="1">
        <v>13799000000</v>
      </c>
      <c r="X17" s="1">
        <v>146956000000</v>
      </c>
      <c r="Y17" s="1">
        <v>256091000000</v>
      </c>
      <c r="Z17" s="1">
        <v>22181000000</v>
      </c>
      <c r="AA17" s="1">
        <v>18277000000</v>
      </c>
      <c r="AB17" s="1">
        <v>61013000000</v>
      </c>
      <c r="AC17" s="1">
        <v>81914000000</v>
      </c>
    </row>
    <row r="18" spans="1:29" ht="12.75" customHeight="1">
      <c r="A18" s="120">
        <v>1994</v>
      </c>
      <c r="B18" s="413">
        <f>(S18/'1'!B28)/1000</f>
        <v>22287.352533974827</v>
      </c>
      <c r="C18" s="413">
        <f>(T18/'1'!C28)/1000</f>
        <v>17294.322031242929</v>
      </c>
      <c r="D18" s="413">
        <f>(U18/'1'!D28)/1000</f>
        <v>18293.276977150264</v>
      </c>
      <c r="E18" s="413">
        <f>(V18/'1'!E28)/1000</f>
        <v>19500.016722931239</v>
      </c>
      <c r="F18" s="413">
        <f>(W18/'1'!F28)/1000</f>
        <v>18807.360850990091</v>
      </c>
      <c r="G18" s="413">
        <f>(X18/'1'!G28)/1000</f>
        <v>20757.874663029863</v>
      </c>
      <c r="H18" s="413">
        <f>(Y18/'1'!H28)/1000</f>
        <v>24093.491297741984</v>
      </c>
      <c r="I18" s="413">
        <f>(Z18/'1'!I28)/1000</f>
        <v>20301.274004433642</v>
      </c>
      <c r="J18" s="413">
        <f>(AA18/'1'!J28)/1000</f>
        <v>18428.546665676149</v>
      </c>
      <c r="K18" s="413">
        <f>(AB18/'1'!K28)/1000</f>
        <v>22990.395489012466</v>
      </c>
      <c r="L18" s="413">
        <f>(AC18/'1'!L28)/1000</f>
        <v>23313.724556762307</v>
      </c>
      <c r="N18" s="19">
        <f t="shared" si="0"/>
        <v>8674661.5564205907</v>
      </c>
      <c r="O18" s="19">
        <f t="shared" si="1"/>
        <v>2945.2778402759545</v>
      </c>
      <c r="P18" s="19">
        <f t="shared" si="2"/>
        <v>5029142.6248689257</v>
      </c>
      <c r="Q18" s="19">
        <f t="shared" si="3"/>
        <v>2242.5749987166373</v>
      </c>
      <c r="S18" s="1">
        <v>646348000000</v>
      </c>
      <c r="T18" s="1">
        <v>9935000000</v>
      </c>
      <c r="U18" s="1">
        <v>2441000000</v>
      </c>
      <c r="V18" s="1">
        <v>18074000000</v>
      </c>
      <c r="W18" s="1">
        <v>14109000000</v>
      </c>
      <c r="X18" s="1">
        <v>149299000000</v>
      </c>
      <c r="Y18" s="1">
        <v>260671000000</v>
      </c>
      <c r="Z18" s="1">
        <v>22803000000</v>
      </c>
      <c r="AA18" s="1">
        <v>18605000000</v>
      </c>
      <c r="AB18" s="1">
        <v>62088000000</v>
      </c>
      <c r="AC18" s="1">
        <v>85703000000</v>
      </c>
    </row>
    <row r="19" spans="1:29" ht="12.75" customHeight="1">
      <c r="A19" s="120">
        <v>1995</v>
      </c>
      <c r="B19" s="413">
        <f>(S19/'1'!B29)/1000</f>
        <v>22937.132842525629</v>
      </c>
      <c r="C19" s="413">
        <f>(T19/'1'!C29)/1000</f>
        <v>17853.460628096374</v>
      </c>
      <c r="D19" s="413">
        <f>(U19/'1'!D29)/1000</f>
        <v>18874.38157943682</v>
      </c>
      <c r="E19" s="413">
        <f>(V19/'1'!E29)/1000</f>
        <v>19918.760505107097</v>
      </c>
      <c r="F19" s="413">
        <f>(W19/'1'!F29)/1000</f>
        <v>19512.799240421708</v>
      </c>
      <c r="G19" s="413">
        <f>(X19/'1'!G29)/1000</f>
        <v>21330.146654368014</v>
      </c>
      <c r="H19" s="413">
        <f>(Y19/'1'!H29)/1000</f>
        <v>24784.844803969707</v>
      </c>
      <c r="I19" s="413">
        <f>(Z19/'1'!I29)/1000</f>
        <v>20995.439047070806</v>
      </c>
      <c r="J19" s="413">
        <f>(AA19/'1'!J29)/1000</f>
        <v>19645.292239005234</v>
      </c>
      <c r="K19" s="413">
        <f>(AB19/'1'!K29)/1000</f>
        <v>23597.568713181368</v>
      </c>
      <c r="L19" s="413">
        <f>(AC19/'1'!L29)/1000</f>
        <v>23840.800129189734</v>
      </c>
      <c r="N19" s="19">
        <f t="shared" si="0"/>
        <v>8504192.675520299</v>
      </c>
      <c r="O19" s="19">
        <f t="shared" si="1"/>
        <v>2916.1948966967725</v>
      </c>
      <c r="P19" s="19">
        <f t="shared" si="2"/>
        <v>4887412.2382332608</v>
      </c>
      <c r="Q19" s="19">
        <f t="shared" si="3"/>
        <v>2210.7492481584745</v>
      </c>
      <c r="S19" s="1">
        <v>672111000000</v>
      </c>
      <c r="T19" s="1">
        <v>10130000000</v>
      </c>
      <c r="U19" s="1">
        <v>2537000000</v>
      </c>
      <c r="V19" s="1">
        <v>18487000000</v>
      </c>
      <c r="W19" s="1">
        <v>14653000000</v>
      </c>
      <c r="X19" s="1">
        <v>153987000000</v>
      </c>
      <c r="Y19" s="1">
        <v>271397000000</v>
      </c>
      <c r="Z19" s="1">
        <v>23707000000</v>
      </c>
      <c r="AA19" s="1">
        <v>19924000000</v>
      </c>
      <c r="AB19" s="1">
        <v>64528000000</v>
      </c>
      <c r="AC19" s="1">
        <v>90056000000</v>
      </c>
    </row>
    <row r="20" spans="1:29" ht="12.75" customHeight="1">
      <c r="A20" s="120">
        <v>1996</v>
      </c>
      <c r="B20" s="413">
        <f>(S20/'1'!B30)/1000</f>
        <v>23208.305997612042</v>
      </c>
      <c r="C20" s="413">
        <f>(T20/'1'!C30)/1000</f>
        <v>17816.751176527345</v>
      </c>
      <c r="D20" s="413">
        <f>(U20/'1'!D30)/1000</f>
        <v>18963.141958345921</v>
      </c>
      <c r="E20" s="413">
        <f>(V20/'1'!E30)/1000</f>
        <v>19943.585872631204</v>
      </c>
      <c r="F20" s="413">
        <f>(W20/'1'!F30)/1000</f>
        <v>19705.743165999349</v>
      </c>
      <c r="G20" s="413">
        <f>(X20/'1'!G30)/1000</f>
        <v>21664.306806071621</v>
      </c>
      <c r="H20" s="413">
        <f>(Y20/'1'!H30)/1000</f>
        <v>24930.561965578872</v>
      </c>
      <c r="I20" s="413">
        <f>(Z20/'1'!I30)/1000</f>
        <v>21586.216139009488</v>
      </c>
      <c r="J20" s="413">
        <f>(AA20/'1'!J30)/1000</f>
        <v>20727.320905446319</v>
      </c>
      <c r="K20" s="413">
        <f>(AB20/'1'!K30)/1000</f>
        <v>24120.64574923076</v>
      </c>
      <c r="L20" s="413">
        <f>(AC20/'1'!L30)/1000</f>
        <v>23916.731645861706</v>
      </c>
      <c r="N20" s="19">
        <f t="shared" si="0"/>
        <v>8548741.7373975832</v>
      </c>
      <c r="O20" s="19">
        <f t="shared" si="1"/>
        <v>2923.8231371609299</v>
      </c>
      <c r="P20" s="19">
        <f t="shared" si="2"/>
        <v>5048828.6714430237</v>
      </c>
      <c r="Q20" s="19">
        <f t="shared" si="3"/>
        <v>2246.9598731270266</v>
      </c>
      <c r="S20" s="1">
        <v>687203000000</v>
      </c>
      <c r="T20" s="1">
        <v>9972000000</v>
      </c>
      <c r="U20" s="1">
        <v>2574000000</v>
      </c>
      <c r="V20" s="1">
        <v>18574000000</v>
      </c>
      <c r="W20" s="1">
        <v>14824000000</v>
      </c>
      <c r="X20" s="1">
        <v>156999000000</v>
      </c>
      <c r="Y20" s="1">
        <v>276303000000</v>
      </c>
      <c r="Z20" s="1">
        <v>24483000000</v>
      </c>
      <c r="AA20" s="1">
        <v>21120000000</v>
      </c>
      <c r="AB20" s="1">
        <v>66938000000</v>
      </c>
      <c r="AC20" s="1">
        <v>92661000000</v>
      </c>
    </row>
    <row r="21" spans="1:29" ht="12.75" customHeight="1">
      <c r="A21" s="120">
        <v>1997</v>
      </c>
      <c r="B21" s="413">
        <f>(S21/'1'!B31)/1000</f>
        <v>23924.839299526637</v>
      </c>
      <c r="C21" s="413">
        <f>(T21/'1'!C31)/1000</f>
        <v>18084.590795972494</v>
      </c>
      <c r="D21" s="413">
        <f>(U21/'1'!D31)/1000</f>
        <v>19324.736397369485</v>
      </c>
      <c r="E21" s="413">
        <f>(V21/'1'!E31)/1000</f>
        <v>20713.168783421745</v>
      </c>
      <c r="F21" s="413">
        <f>(W21/'1'!F31)/1000</f>
        <v>20090.071773037205</v>
      </c>
      <c r="G21" s="413">
        <f>(X21/'1'!G31)/1000</f>
        <v>22187.578139917034</v>
      </c>
      <c r="H21" s="413">
        <f>(Y21/'1'!H31)/1000</f>
        <v>25787.851795535862</v>
      </c>
      <c r="I21" s="413">
        <f>(Z21/'1'!I31)/1000</f>
        <v>22098.742395223075</v>
      </c>
      <c r="J21" s="413">
        <f>(AA21/'1'!J31)/1000</f>
        <v>20312.36798827392</v>
      </c>
      <c r="K21" s="413">
        <f>(AB21/'1'!K31)/1000</f>
        <v>25779.476494850605</v>
      </c>
      <c r="L21" s="413">
        <f>(AC21/'1'!L31)/1000</f>
        <v>24293.525044300703</v>
      </c>
      <c r="N21" s="19">
        <f t="shared" si="0"/>
        <v>10673879.786012076</v>
      </c>
      <c r="O21" s="19">
        <f t="shared" si="1"/>
        <v>3267.0904159530196</v>
      </c>
      <c r="P21" s="19">
        <f t="shared" si="2"/>
        <v>6440045.4056408685</v>
      </c>
      <c r="Q21" s="19">
        <f t="shared" si="3"/>
        <v>2537.7244542386529</v>
      </c>
      <c r="S21" s="1">
        <v>715495000000</v>
      </c>
      <c r="T21" s="1">
        <v>9963000000</v>
      </c>
      <c r="U21" s="1">
        <v>2630000000</v>
      </c>
      <c r="V21" s="1">
        <v>19313000000</v>
      </c>
      <c r="W21" s="1">
        <v>15118000000</v>
      </c>
      <c r="X21" s="1">
        <v>161406000000</v>
      </c>
      <c r="Y21" s="1">
        <v>289537000000</v>
      </c>
      <c r="Z21" s="1">
        <v>25107000000</v>
      </c>
      <c r="AA21" s="1">
        <v>20676000000</v>
      </c>
      <c r="AB21" s="1">
        <v>72952000000</v>
      </c>
      <c r="AC21" s="1">
        <v>95925000000</v>
      </c>
    </row>
    <row r="22" spans="1:29" ht="12.75" customHeight="1">
      <c r="A22" s="120">
        <v>1998</v>
      </c>
      <c r="B22" s="413">
        <f>(S22/'1'!B32)/1000</f>
        <v>24815.675904097781</v>
      </c>
      <c r="C22" s="413">
        <f>(T22/'1'!C32)/1000</f>
        <v>18966.625481853062</v>
      </c>
      <c r="D22" s="413">
        <f>(U22/'1'!D32)/1000</f>
        <v>20036.228682513032</v>
      </c>
      <c r="E22" s="413">
        <f>(V22/'1'!E32)/1000</f>
        <v>21790.315033975938</v>
      </c>
      <c r="F22" s="413">
        <f>(W22/'1'!F32)/1000</f>
        <v>21098.423780528425</v>
      </c>
      <c r="G22" s="413">
        <f>(X22/'1'!G32)/1000</f>
        <v>22948.669361774741</v>
      </c>
      <c r="H22" s="413">
        <f>(Y22/'1'!H32)/1000</f>
        <v>26804.03427761688</v>
      </c>
      <c r="I22" s="413">
        <f>(Z22/'1'!I32)/1000</f>
        <v>23063.080170445603</v>
      </c>
      <c r="J22" s="413">
        <f>(AA22/'1'!J32)/1000</f>
        <v>21195.637215776169</v>
      </c>
      <c r="K22" s="413">
        <f>(AB22/'1'!K32)/1000</f>
        <v>27001.454951353302</v>
      </c>
      <c r="L22" s="413">
        <f>(AC22/'1'!L32)/1000</f>
        <v>24637.764482202743</v>
      </c>
      <c r="N22" s="19">
        <f t="shared" si="0"/>
        <v>10845011.520916419</v>
      </c>
      <c r="O22" s="19">
        <f t="shared" si="1"/>
        <v>3293.1765092257688</v>
      </c>
      <c r="P22" s="19">
        <f t="shared" si="2"/>
        <v>6595424.8625745391</v>
      </c>
      <c r="Q22" s="19">
        <f t="shared" si="3"/>
        <v>2568.1559264527805</v>
      </c>
      <c r="S22" s="1">
        <v>748321000000</v>
      </c>
      <c r="T22" s="1">
        <v>10239000000</v>
      </c>
      <c r="U22" s="1">
        <v>2721000000</v>
      </c>
      <c r="V22" s="1">
        <v>20305000000</v>
      </c>
      <c r="W22" s="1">
        <v>15835000000</v>
      </c>
      <c r="X22" s="1">
        <v>167432000000</v>
      </c>
      <c r="Y22" s="1">
        <v>304652000000</v>
      </c>
      <c r="Z22" s="1">
        <v>26234000000</v>
      </c>
      <c r="AA22" s="1">
        <v>21563000000</v>
      </c>
      <c r="AB22" s="1">
        <v>78279000000</v>
      </c>
      <c r="AC22" s="1">
        <v>98135000000</v>
      </c>
    </row>
    <row r="23" spans="1:29" ht="12.75" customHeight="1">
      <c r="A23" s="120">
        <v>1999</v>
      </c>
      <c r="B23" s="413">
        <f>(S23/'1'!B33)/1000</f>
        <v>25757.463023110271</v>
      </c>
      <c r="C23" s="413">
        <f>(T23/'1'!C33)/1000</f>
        <v>19970.78726264651</v>
      </c>
      <c r="D23" s="413">
        <f>(U23/'1'!D33)/1000</f>
        <v>20905.33529985838</v>
      </c>
      <c r="E23" s="413">
        <f>(V23/'1'!E33)/1000</f>
        <v>22927.143750589003</v>
      </c>
      <c r="F23" s="413">
        <f>(W23/'1'!F33)/1000</f>
        <v>22162.240657819537</v>
      </c>
      <c r="G23" s="413">
        <f>(X23/'1'!G33)/1000</f>
        <v>23851.295531355616</v>
      </c>
      <c r="H23" s="413">
        <f>(Y23/'1'!H33)/1000</f>
        <v>27962.515338217861</v>
      </c>
      <c r="I23" s="413">
        <f>(Z23/'1'!I33)/1000</f>
        <v>23562.560396621986</v>
      </c>
      <c r="J23" s="413">
        <f>(AA23/'1'!J33)/1000</f>
        <v>22025.107340979612</v>
      </c>
      <c r="K23" s="413">
        <f>(AB23/'1'!K33)/1000</f>
        <v>27483.733487949299</v>
      </c>
      <c r="L23" s="413">
        <f>(AC23/'1'!L33)/1000</f>
        <v>25294.319279548781</v>
      </c>
      <c r="N23" s="19">
        <f t="shared" si="0"/>
        <v>10840340.938143793</v>
      </c>
      <c r="O23" s="19">
        <f t="shared" si="1"/>
        <v>3292.4673025170337</v>
      </c>
      <c r="P23" s="19">
        <f t="shared" si="2"/>
        <v>6248066.8543459326</v>
      </c>
      <c r="Q23" s="19">
        <f t="shared" si="3"/>
        <v>2499.6133409681452</v>
      </c>
      <c r="S23" s="1">
        <v>783060000000</v>
      </c>
      <c r="T23" s="1">
        <v>10651000000</v>
      </c>
      <c r="U23" s="1">
        <v>2849000000</v>
      </c>
      <c r="V23" s="1">
        <v>21409000000</v>
      </c>
      <c r="W23" s="1">
        <v>16635000000</v>
      </c>
      <c r="X23" s="1">
        <v>174669000000</v>
      </c>
      <c r="Y23" s="1">
        <v>321702000000</v>
      </c>
      <c r="Z23" s="1">
        <v>26919000000</v>
      </c>
      <c r="AA23" s="1">
        <v>22345000000</v>
      </c>
      <c r="AB23" s="1">
        <v>81151000000</v>
      </c>
      <c r="AC23" s="1">
        <v>101465000000</v>
      </c>
    </row>
    <row r="24" spans="1:29" ht="12.75" customHeight="1">
      <c r="A24" s="120">
        <v>2000</v>
      </c>
      <c r="B24" s="413">
        <f>(S24/'1'!B34)/1000</f>
        <v>27386.736440684319</v>
      </c>
      <c r="C24" s="413">
        <f>(T24/'1'!C34)/1000</f>
        <v>21065.75044605145</v>
      </c>
      <c r="D24" s="413">
        <f>(U24/'1'!D34)/1000</f>
        <v>22305.268557192056</v>
      </c>
      <c r="E24" s="413">
        <f>(V24/'1'!E34)/1000</f>
        <v>23937.135703737655</v>
      </c>
      <c r="F24" s="413">
        <f>(W24/'1'!F34)/1000</f>
        <v>23229.320588341103</v>
      </c>
      <c r="G24" s="413">
        <f>(X24/'1'!G34)/1000</f>
        <v>25430.235976833337</v>
      </c>
      <c r="H24" s="413">
        <f>(Y24/'1'!H34)/1000</f>
        <v>29756.429909725772</v>
      </c>
      <c r="I24" s="413">
        <f>(Z24/'1'!I34)/1000</f>
        <v>24713.395559886445</v>
      </c>
      <c r="J24" s="413">
        <f>(AA24/'1'!J34)/1000</f>
        <v>22985.117585465949</v>
      </c>
      <c r="K24" s="413">
        <f>(AB24/'1'!K34)/1000</f>
        <v>29656.50067006236</v>
      </c>
      <c r="L24" s="413">
        <f>(AC24/'1'!L34)/1000</f>
        <v>26644.682278553089</v>
      </c>
      <c r="N24" s="19">
        <f t="shared" si="0"/>
        <v>13662684.685929205</v>
      </c>
      <c r="O24" s="19">
        <f t="shared" si="1"/>
        <v>3696.3068982335876</v>
      </c>
      <c r="P24" s="19">
        <f t="shared" si="2"/>
        <v>7833585.6626789086</v>
      </c>
      <c r="Q24" s="19">
        <f t="shared" si="3"/>
        <v>2798.8543482430287</v>
      </c>
      <c r="S24" s="1">
        <v>840382000000</v>
      </c>
      <c r="T24" s="1">
        <v>11122000000</v>
      </c>
      <c r="U24" s="1">
        <v>3044000000</v>
      </c>
      <c r="V24" s="1">
        <v>22353000000</v>
      </c>
      <c r="W24" s="1">
        <v>17434000000</v>
      </c>
      <c r="X24" s="1">
        <v>187089000000</v>
      </c>
      <c r="Y24" s="1">
        <v>347653000000</v>
      </c>
      <c r="Z24" s="1">
        <v>28354000000</v>
      </c>
      <c r="AA24" s="1">
        <v>23159000000</v>
      </c>
      <c r="AB24" s="1">
        <v>89094000000</v>
      </c>
      <c r="AC24" s="1">
        <v>107624000000</v>
      </c>
    </row>
    <row r="25" spans="1:29" ht="12.75" customHeight="1">
      <c r="A25" s="120">
        <v>2001</v>
      </c>
      <c r="B25" s="413">
        <f>(S25/'1'!B35)/1000</f>
        <v>28255.921689337705</v>
      </c>
      <c r="C25" s="413">
        <f>(T25/'1'!C35)/1000</f>
        <v>22174.84335281486</v>
      </c>
      <c r="D25" s="413">
        <f>(U25/'1'!D35)/1000</f>
        <v>22734.756298339711</v>
      </c>
      <c r="E25" s="413">
        <f>(V25/'1'!E35)/1000</f>
        <v>24780.847098087415</v>
      </c>
      <c r="F25" s="413">
        <f>(W25/'1'!F35)/1000</f>
        <v>23808.983983750353</v>
      </c>
      <c r="G25" s="413">
        <f>(X25/'1'!G35)/1000</f>
        <v>26296.686830267601</v>
      </c>
      <c r="H25" s="413">
        <f>(Y25/'1'!H35)/1000</f>
        <v>30360.362397421864</v>
      </c>
      <c r="I25" s="413">
        <f>(Z25/'1'!I35)/1000</f>
        <v>25388.231595421032</v>
      </c>
      <c r="J25" s="413">
        <f>(AA25/'1'!J35)/1000</f>
        <v>23641.775167687942</v>
      </c>
      <c r="K25" s="413">
        <f>(AB25/'1'!K35)/1000</f>
        <v>32089.749664570212</v>
      </c>
      <c r="L25" s="413">
        <f>(AC25/'1'!L35)/1000</f>
        <v>27076.018628822862</v>
      </c>
      <c r="N25" s="19">
        <f t="shared" si="0"/>
        <v>15318585.408253467</v>
      </c>
      <c r="O25" s="19">
        <f t="shared" si="1"/>
        <v>3913.8964483304189</v>
      </c>
      <c r="P25" s="19">
        <f t="shared" si="2"/>
        <v>9458815.3754987344</v>
      </c>
      <c r="Q25" s="19">
        <f t="shared" si="3"/>
        <v>3075.5187164929976</v>
      </c>
      <c r="S25" s="1">
        <v>876471000000</v>
      </c>
      <c r="T25" s="1">
        <v>11576000000</v>
      </c>
      <c r="U25" s="1">
        <v>3107000000</v>
      </c>
      <c r="V25" s="1">
        <v>23107000000</v>
      </c>
      <c r="W25" s="1">
        <v>17852000000</v>
      </c>
      <c r="X25" s="1">
        <v>194499000000</v>
      </c>
      <c r="Y25" s="1">
        <v>361187000000</v>
      </c>
      <c r="Z25" s="1">
        <v>29233000000</v>
      </c>
      <c r="AA25" s="1">
        <v>23647000000</v>
      </c>
      <c r="AB25" s="1">
        <v>98131000000</v>
      </c>
      <c r="AC25" s="1">
        <v>110369000000</v>
      </c>
    </row>
    <row r="26" spans="1:29" ht="12.75" customHeight="1">
      <c r="A26" s="120">
        <v>2002</v>
      </c>
      <c r="B26" s="413">
        <f>(S26/'1'!B36)/1000</f>
        <v>28667.884855278124</v>
      </c>
      <c r="C26" s="413">
        <f>(T26/'1'!C36)/1000</f>
        <v>22957.244129801689</v>
      </c>
      <c r="D26" s="413">
        <f>(U26/'1'!D36)/1000</f>
        <v>23831.789356790086</v>
      </c>
      <c r="E26" s="413">
        <f>(V26/'1'!E36)/1000</f>
        <v>25425.260557317266</v>
      </c>
      <c r="F26" s="413">
        <f>(W26/'1'!F36)/1000</f>
        <v>24424.453278991528</v>
      </c>
      <c r="G26" s="413">
        <f>(X26/'1'!G36)/1000</f>
        <v>26808.219671456118</v>
      </c>
      <c r="H26" s="413">
        <f>(Y26/'1'!H36)/1000</f>
        <v>30553.230829237116</v>
      </c>
      <c r="I26" s="413">
        <f>(Z26/'1'!I36)/1000</f>
        <v>25974.11580191473</v>
      </c>
      <c r="J26" s="413">
        <f>(AA26/'1'!J36)/1000</f>
        <v>24237.535877271392</v>
      </c>
      <c r="K26" s="413">
        <f>(AB26/'1'!K36)/1000</f>
        <v>32308.260803410343</v>
      </c>
      <c r="L26" s="413">
        <f>(AC26/'1'!L36)/1000</f>
        <v>27683.277788324471</v>
      </c>
      <c r="N26" s="19">
        <f t="shared" si="0"/>
        <v>13263961.698357994</v>
      </c>
      <c r="O26" s="19">
        <f t="shared" si="1"/>
        <v>3641.9722264671368</v>
      </c>
      <c r="P26" s="19">
        <f t="shared" si="2"/>
        <v>8212498.4702470396</v>
      </c>
      <c r="Q26" s="19">
        <f t="shared" si="3"/>
        <v>2865.7457092783093</v>
      </c>
      <c r="S26" s="1">
        <v>898843000000</v>
      </c>
      <c r="T26" s="1">
        <v>11927000000</v>
      </c>
      <c r="U26" s="1">
        <v>3262000000</v>
      </c>
      <c r="V26" s="1">
        <v>23773000000</v>
      </c>
      <c r="W26" s="1">
        <v>18302000000</v>
      </c>
      <c r="X26" s="1">
        <v>199482000000</v>
      </c>
      <c r="Y26" s="1">
        <v>369420000000</v>
      </c>
      <c r="Z26" s="1">
        <v>30042000000</v>
      </c>
      <c r="AA26" s="1">
        <v>24160000000</v>
      </c>
      <c r="AB26" s="1">
        <v>101072000000</v>
      </c>
      <c r="AC26" s="1">
        <v>113451000000</v>
      </c>
    </row>
    <row r="27" spans="1:29" ht="12.75" customHeight="1">
      <c r="A27" s="120">
        <v>2003</v>
      </c>
      <c r="B27" s="413">
        <f>(S27/'1'!B37)/1000</f>
        <v>29449.51701455799</v>
      </c>
      <c r="C27" s="413">
        <f>(T27/'1'!C37)/1000</f>
        <v>23983.645761012111</v>
      </c>
      <c r="D27" s="413">
        <f>(U27/'1'!D37)/1000</f>
        <v>24230.985053308166</v>
      </c>
      <c r="E27" s="413">
        <f>(V27/'1'!E37)/1000</f>
        <v>26066.383570615613</v>
      </c>
      <c r="F27" s="413">
        <f>(W27/'1'!F37)/1000</f>
        <v>25273.923156064473</v>
      </c>
      <c r="G27" s="413">
        <f>(X27/'1'!G37)/1000</f>
        <v>27812.918206351784</v>
      </c>
      <c r="H27" s="413">
        <f>(Y27/'1'!H37)/1000</f>
        <v>31132.045495146205</v>
      </c>
      <c r="I27" s="413">
        <f>(Z27/'1'!I37)/1000</f>
        <v>26612.385602915918</v>
      </c>
      <c r="J27" s="413">
        <f>(AA27/'1'!J37)/1000</f>
        <v>25516.742382960874</v>
      </c>
      <c r="K27" s="413">
        <f>(AB27/'1'!K37)/1000</f>
        <v>33192.226163505889</v>
      </c>
      <c r="L27" s="413">
        <f>(AC27/'1'!L37)/1000</f>
        <v>28412.117613155071</v>
      </c>
      <c r="N27" s="19">
        <f t="shared" si="0"/>
        <v>13009945.835005719</v>
      </c>
      <c r="O27" s="19">
        <f t="shared" si="1"/>
        <v>3606.9302509205413</v>
      </c>
      <c r="P27" s="19">
        <f t="shared" si="2"/>
        <v>8054069.7157385247</v>
      </c>
      <c r="Q27" s="19">
        <f t="shared" si="3"/>
        <v>2837.9692943614673</v>
      </c>
      <c r="S27" s="1">
        <v>931773000000</v>
      </c>
      <c r="T27" s="1">
        <v>12436000000</v>
      </c>
      <c r="U27" s="1">
        <v>3325000000</v>
      </c>
      <c r="V27" s="1">
        <v>24437000000</v>
      </c>
      <c r="W27" s="1">
        <v>18940000000</v>
      </c>
      <c r="X27" s="1">
        <v>208203000000</v>
      </c>
      <c r="Y27" s="1">
        <v>381127000000</v>
      </c>
      <c r="Z27" s="1">
        <v>30972000000</v>
      </c>
      <c r="AA27" s="1">
        <v>25427000000</v>
      </c>
      <c r="AB27" s="1">
        <v>105664000000</v>
      </c>
      <c r="AC27" s="1">
        <v>117126000000</v>
      </c>
    </row>
    <row r="28" spans="1:29" ht="12.75" customHeight="1">
      <c r="A28" s="119">
        <v>2004</v>
      </c>
      <c r="B28" s="413">
        <f>(S28/'1'!B38)/1000</f>
        <v>30812.247054508174</v>
      </c>
      <c r="C28" s="413">
        <f>(T28/'1'!C38)/1000</f>
        <v>24843.124030093906</v>
      </c>
      <c r="D28" s="413">
        <f>(U28/'1'!D38)/1000</f>
        <v>24979.298923544022</v>
      </c>
      <c r="E28" s="413">
        <f>(V28/'1'!E38)/1000</f>
        <v>27032.838820663928</v>
      </c>
      <c r="F28" s="413">
        <f>(W28/'1'!F38)/1000</f>
        <v>26496.959441877098</v>
      </c>
      <c r="G28" s="413">
        <f>(X28/'1'!G38)/1000</f>
        <v>28918.133384749246</v>
      </c>
      <c r="H28" s="413">
        <f>(Y28/'1'!H38)/1000</f>
        <v>32362.761477471751</v>
      </c>
      <c r="I28" s="413">
        <f>(Z28/'1'!I38)/1000</f>
        <v>27762.392571018587</v>
      </c>
      <c r="J28" s="413">
        <f>(AA28/'1'!J38)/1000</f>
        <v>27318.744755360436</v>
      </c>
      <c r="K28" s="413">
        <f>(AB28/'1'!K38)/1000</f>
        <v>35582.661490101316</v>
      </c>
      <c r="L28" s="413">
        <f>(AC28/'1'!L38)/1000</f>
        <v>29905.635629829827</v>
      </c>
      <c r="N28" s="19">
        <f t="shared" si="0"/>
        <v>15363607.777395815</v>
      </c>
      <c r="O28" s="19">
        <f t="shared" si="1"/>
        <v>3919.6438329771513</v>
      </c>
      <c r="P28" s="19">
        <f t="shared" si="2"/>
        <v>10110380.439993592</v>
      </c>
      <c r="Q28" s="19">
        <f t="shared" si="3"/>
        <v>3179.6824432627845</v>
      </c>
      <c r="S28" s="1">
        <v>984164000000</v>
      </c>
      <c r="T28" s="1">
        <v>12855000000</v>
      </c>
      <c r="U28" s="1">
        <v>3439000000</v>
      </c>
      <c r="V28" s="1">
        <v>25394000000</v>
      </c>
      <c r="W28" s="1">
        <v>19856000000</v>
      </c>
      <c r="X28" s="1">
        <v>217925000000</v>
      </c>
      <c r="Y28" s="1">
        <v>400994000000</v>
      </c>
      <c r="Z28" s="1">
        <v>32581000000</v>
      </c>
      <c r="AA28" s="1">
        <v>27249000000</v>
      </c>
      <c r="AB28" s="1">
        <v>115269000000</v>
      </c>
      <c r="AC28" s="1">
        <v>124263000000</v>
      </c>
    </row>
    <row r="29" spans="1:29" ht="12.75" customHeight="1">
      <c r="A29" s="119">
        <v>2005</v>
      </c>
      <c r="B29" s="413">
        <f>(S29/'1'!B39)/1000</f>
        <v>32093.418901394001</v>
      </c>
      <c r="C29" s="413">
        <f>(T29/'1'!C39)/1000</f>
        <v>25760.017730668806</v>
      </c>
      <c r="D29" s="413">
        <f>(U29/'1'!D39)/1000</f>
        <v>25786.824091847451</v>
      </c>
      <c r="E29" s="413">
        <f>(V29/'1'!E39)/1000</f>
        <v>28386.646921288226</v>
      </c>
      <c r="F29" s="413">
        <f>(W29/'1'!F39)/1000</f>
        <v>27453.339750788811</v>
      </c>
      <c r="G29" s="413">
        <f>(X29/'1'!G39)/1000</f>
        <v>29800.402563417058</v>
      </c>
      <c r="H29" s="413">
        <f>(Y29/'1'!H39)/1000</f>
        <v>33450.02745744097</v>
      </c>
      <c r="I29" s="413">
        <f>(Z29/'1'!I39)/1000</f>
        <v>28620.870219069664</v>
      </c>
      <c r="J29" s="413">
        <f>(AA29/'1'!J39)/1000</f>
        <v>28008.844792412081</v>
      </c>
      <c r="K29" s="413">
        <f>(AB29/'1'!K39)/1000</f>
        <v>38589.789898260191</v>
      </c>
      <c r="L29" s="413">
        <f>(AC29/'1'!L39)/1000</f>
        <v>31322.525702990002</v>
      </c>
      <c r="N29" s="19">
        <f t="shared" si="0"/>
        <v>19379336.467323773</v>
      </c>
      <c r="O29" s="19">
        <f t="shared" si="1"/>
        <v>4402.1967774423456</v>
      </c>
      <c r="P29" s="19">
        <f t="shared" si="2"/>
        <v>13736383.781500246</v>
      </c>
      <c r="Q29" s="19">
        <f t="shared" si="3"/>
        <v>3706.2627782579375</v>
      </c>
      <c r="S29" s="1">
        <v>1034859000000</v>
      </c>
      <c r="T29" s="1">
        <v>13250000000</v>
      </c>
      <c r="U29" s="1">
        <v>3560000000</v>
      </c>
      <c r="V29" s="1">
        <v>26625000000</v>
      </c>
      <c r="W29" s="1">
        <v>20534000000</v>
      </c>
      <c r="X29" s="1">
        <v>225944000000</v>
      </c>
      <c r="Y29" s="1">
        <v>419078000000</v>
      </c>
      <c r="Z29" s="1">
        <v>33724000000</v>
      </c>
      <c r="AA29" s="1">
        <v>27829000000</v>
      </c>
      <c r="AB29" s="1">
        <v>128203000000</v>
      </c>
      <c r="AC29" s="1">
        <v>131454000000</v>
      </c>
    </row>
    <row r="30" spans="1:29" ht="12.75" customHeight="1">
      <c r="A30" s="119">
        <v>2006</v>
      </c>
      <c r="B30" s="413">
        <f>(S30/'1'!B40)/1000</f>
        <v>33865.376165341477</v>
      </c>
      <c r="C30" s="413">
        <f>(T30/'1'!C40)/1000</f>
        <v>31086.803589169784</v>
      </c>
      <c r="D30" s="413">
        <f>(U30/'1'!D40)/1000</f>
        <v>27030.162412993042</v>
      </c>
      <c r="E30" s="413">
        <f>(V30/'1'!E40)/1000</f>
        <v>29436.786388204815</v>
      </c>
      <c r="F30" s="413">
        <f>(W30/'1'!F40)/1000</f>
        <v>28567.443681823424</v>
      </c>
      <c r="G30" s="413">
        <f>(X30/'1'!G40)/1000</f>
        <v>30936.171305653163</v>
      </c>
      <c r="H30" s="413">
        <f>(Y30/'1'!H40)/1000</f>
        <v>34846.106849350981</v>
      </c>
      <c r="I30" s="413">
        <f>(Z30/'1'!I40)/1000</f>
        <v>30038.064881747185</v>
      </c>
      <c r="J30" s="413">
        <f>(AA30/'1'!J40)/1000</f>
        <v>29569.952082505981</v>
      </c>
      <c r="K30" s="413">
        <f>(AB30/'1'!K40)/1000</f>
        <v>42477.712113076705</v>
      </c>
      <c r="L30" s="413">
        <f>(AC30/'1'!L40)/1000</f>
        <v>33508.264248582564</v>
      </c>
      <c r="N30" s="19"/>
      <c r="O30" s="19"/>
      <c r="P30" s="19"/>
      <c r="Q30" s="19"/>
      <c r="S30" s="1">
        <v>1103201000000</v>
      </c>
      <c r="T30" s="1">
        <v>15864000000</v>
      </c>
      <c r="U30" s="1">
        <v>3728000000</v>
      </c>
      <c r="V30" s="1">
        <v>27612000000</v>
      </c>
      <c r="W30" s="1">
        <v>21302000000</v>
      </c>
      <c r="X30" s="1">
        <v>236091000000</v>
      </c>
      <c r="Y30" s="1">
        <v>441338000000</v>
      </c>
      <c r="Z30" s="1">
        <v>35566000000</v>
      </c>
      <c r="AA30" s="1">
        <v>29337000000</v>
      </c>
      <c r="AB30" s="1">
        <v>145327000000</v>
      </c>
      <c r="AC30" s="1">
        <v>142195000000</v>
      </c>
    </row>
    <row r="31" spans="1:29" ht="12.75" customHeight="1">
      <c r="A31" s="119">
        <v>2007</v>
      </c>
      <c r="B31" s="413">
        <f>(S31/'1'!B41)/1000</f>
        <v>35585.621591665433</v>
      </c>
      <c r="C31" s="413">
        <f>(T31/'1'!C41)/1000</f>
        <v>31029.165243385942</v>
      </c>
      <c r="D31" s="413">
        <f>(U31/'1'!D41)/1000</f>
        <v>28352.568093948656</v>
      </c>
      <c r="E31" s="413">
        <f>(V31/'1'!E41)/1000</f>
        <v>30892.943563248966</v>
      </c>
      <c r="F31" s="413">
        <f>(W31/'1'!F41)/1000</f>
        <v>29987.79129828139</v>
      </c>
      <c r="G31" s="413">
        <f>(X31/'1'!G41)/1000</f>
        <v>32536.529223508918</v>
      </c>
      <c r="H31" s="413">
        <f>(Y31/'1'!H41)/1000</f>
        <v>36288.301656488118</v>
      </c>
      <c r="I31" s="413">
        <f>(Z31/'1'!I41)/1000</f>
        <v>31922.541335920654</v>
      </c>
      <c r="J31" s="413">
        <f>(AA31/'1'!J41)/1000</f>
        <v>32012.699848053962</v>
      </c>
      <c r="K31" s="413">
        <f>(AB31/'1'!K41)/1000</f>
        <v>45392.737799966504</v>
      </c>
      <c r="L31" s="413">
        <f>(AC31/'1'!L41)/1000</f>
        <v>35226.277490804008</v>
      </c>
      <c r="N31" s="19"/>
      <c r="O31" s="19"/>
      <c r="P31" s="19"/>
      <c r="Q31" s="19"/>
      <c r="S31" s="1">
        <v>1171741000000</v>
      </c>
      <c r="T31" s="1">
        <v>15715000000</v>
      </c>
      <c r="U31" s="1">
        <v>3916000000</v>
      </c>
      <c r="V31" s="1">
        <v>28917000000</v>
      </c>
      <c r="W31" s="1">
        <v>22352000000</v>
      </c>
      <c r="X31" s="1">
        <v>250077000000</v>
      </c>
      <c r="Y31" s="1">
        <v>464257000000</v>
      </c>
      <c r="Z31" s="1">
        <v>38100000000</v>
      </c>
      <c r="AA31" s="1">
        <v>32003000000</v>
      </c>
      <c r="AB31" s="1">
        <v>159369000000</v>
      </c>
      <c r="AC31" s="1">
        <v>151836000000</v>
      </c>
    </row>
    <row r="32" spans="1:29" ht="12.75" customHeight="1">
      <c r="A32" s="119">
        <v>2008</v>
      </c>
      <c r="B32" s="413">
        <f>(S32/'1'!B42)/1000</f>
        <v>36862.167470710992</v>
      </c>
      <c r="C32" s="413">
        <f>(T32/'1'!C42)/1000</f>
        <v>30504.336526250503</v>
      </c>
      <c r="D32" s="413">
        <f>(U32/'1'!D42)/1000</f>
        <v>28959.075369408802</v>
      </c>
      <c r="E32" s="413">
        <f>(V32/'1'!E42)/1000</f>
        <v>31937.206253796721</v>
      </c>
      <c r="F32" s="413">
        <f>(W32/'1'!F42)/1000</f>
        <v>31079.804416420669</v>
      </c>
      <c r="G32" s="413">
        <f>(X32/'1'!G42)/1000</f>
        <v>33406.214615204379</v>
      </c>
      <c r="H32" s="413">
        <f>(Y32/'1'!H42)/1000</f>
        <v>37309.393552291302</v>
      </c>
      <c r="I32" s="413">
        <f>(Z32/'1'!I42)/1000</f>
        <v>33329.773609865893</v>
      </c>
      <c r="J32" s="413">
        <f>(AA32/'1'!J42)/1000</f>
        <v>35400.128938911497</v>
      </c>
      <c r="K32" s="413">
        <f>(AB32/'1'!K42)/1000</f>
        <v>48109.3914829594</v>
      </c>
      <c r="L32" s="413">
        <f>(AC32/'1'!L42)/1000</f>
        <v>36456.748820009474</v>
      </c>
      <c r="N32" s="19"/>
      <c r="O32" s="19"/>
      <c r="P32" s="19"/>
      <c r="Q32" s="19"/>
      <c r="S32" s="1">
        <v>1227930000000</v>
      </c>
      <c r="T32" s="1">
        <v>15493000000</v>
      </c>
      <c r="U32" s="1">
        <v>4049000000</v>
      </c>
      <c r="V32" s="1">
        <v>29967000000</v>
      </c>
      <c r="W32" s="1">
        <v>23226000000</v>
      </c>
      <c r="X32" s="1">
        <v>258915000000</v>
      </c>
      <c r="Y32" s="1">
        <v>482373000000</v>
      </c>
      <c r="Z32" s="1">
        <v>40261000000</v>
      </c>
      <c r="AA32" s="1">
        <v>35966000000</v>
      </c>
      <c r="AB32" s="1">
        <v>172479000000</v>
      </c>
      <c r="AC32" s="1">
        <v>159739000000</v>
      </c>
    </row>
    <row r="33" spans="1:18" ht="12.75" customHeight="1">
      <c r="A33" s="120"/>
      <c r="B33" s="23"/>
      <c r="C33" s="644"/>
      <c r="D33" s="666" t="s">
        <v>802</v>
      </c>
      <c r="E33" s="644"/>
      <c r="F33" s="644"/>
      <c r="G33" s="644"/>
      <c r="H33" s="644"/>
      <c r="I33" s="644"/>
      <c r="J33" s="644"/>
      <c r="K33" s="644"/>
      <c r="L33" s="644"/>
    </row>
    <row r="34" spans="1:18" ht="12.75" customHeight="1">
      <c r="A34" s="448" t="s">
        <v>603</v>
      </c>
      <c r="B34" s="23">
        <f>((((B13/B5))^(1/8))-1)*100</f>
        <v>6.9325527900558459</v>
      </c>
      <c r="C34" s="23">
        <f t="shared" ref="C34:L34" si="4">((((C13/C5))^(1/8))-1)*100</f>
        <v>7.6917280822968337</v>
      </c>
      <c r="D34" s="23">
        <f t="shared" si="4"/>
        <v>8.2058695304074512</v>
      </c>
      <c r="E34" s="23">
        <f t="shared" si="4"/>
        <v>7.6072113291983046</v>
      </c>
      <c r="F34" s="23">
        <f t="shared" si="4"/>
        <v>7.7969587614366898</v>
      </c>
      <c r="G34" s="23">
        <f t="shared" si="4"/>
        <v>6.8847741027673104</v>
      </c>
      <c r="H34" s="23">
        <f t="shared" si="4"/>
        <v>7.8554191617657532</v>
      </c>
      <c r="I34" s="23">
        <f t="shared" si="4"/>
        <v>6.5176965007599508</v>
      </c>
      <c r="J34" s="23">
        <f t="shared" si="4"/>
        <v>4.8885209693432463</v>
      </c>
      <c r="K34" s="23">
        <f t="shared" si="4"/>
        <v>4.8399153586160093</v>
      </c>
      <c r="L34" s="23">
        <f t="shared" si="4"/>
        <v>5.5829318935837424</v>
      </c>
      <c r="M34" s="23"/>
      <c r="N34" s="23">
        <f>((((N13/N5))^(1/8))-1)*100</f>
        <v>10.384775692819614</v>
      </c>
      <c r="O34" s="23">
        <f>((((O13/O5))^(1/8))-1)*100</f>
        <v>5.064159299363169</v>
      </c>
      <c r="P34" s="23">
        <f>((((P13/P5))^(1/8))-1)*100</f>
        <v>6.1255287845480177</v>
      </c>
      <c r="Q34" s="23">
        <f>((((Q13/Q5))^(1/8))-1)*100</f>
        <v>3.0172455390591546</v>
      </c>
      <c r="R34" s="23"/>
    </row>
    <row r="35" spans="1:18" ht="12.75" customHeight="1">
      <c r="A35" s="448" t="s">
        <v>604</v>
      </c>
      <c r="B35" s="23">
        <f>((((B24/B13))^(1/11))-1)*100</f>
        <v>2.8852248121855606</v>
      </c>
      <c r="C35" s="23">
        <f t="shared" ref="C35:L35" si="5">((((C24/C13))^(1/11))-1)*100</f>
        <v>3.6436938314041489</v>
      </c>
      <c r="D35" s="23">
        <f t="shared" si="5"/>
        <v>3.1907792635017529</v>
      </c>
      <c r="E35" s="23">
        <f t="shared" si="5"/>
        <v>3.1181388138560973</v>
      </c>
      <c r="F35" s="23">
        <f t="shared" si="5"/>
        <v>3.4402830645362537</v>
      </c>
      <c r="G35" s="23">
        <f t="shared" si="5"/>
        <v>3.0849782169511286</v>
      </c>
      <c r="H35" s="23">
        <f t="shared" si="5"/>
        <v>2.504592689932128</v>
      </c>
      <c r="I35" s="23">
        <f t="shared" si="5"/>
        <v>2.9675284047417927</v>
      </c>
      <c r="J35" s="23">
        <f t="shared" si="5"/>
        <v>3.3446429477944406</v>
      </c>
      <c r="K35" s="23">
        <f t="shared" si="5"/>
        <v>3.5691934862938757</v>
      </c>
      <c r="L35" s="23">
        <f t="shared" si="5"/>
        <v>2.4866943074260295</v>
      </c>
      <c r="M35" s="23"/>
      <c r="N35" s="23">
        <f>((((N28/N5))^(1/23))-1)*100</f>
        <v>5.1056983690772384</v>
      </c>
      <c r="O35" s="23">
        <f>((((O28/O5))^(1/23))-1)*100</f>
        <v>2.5210702095316728</v>
      </c>
      <c r="P35" s="23">
        <f>((((P28/P5))^(1/23))-1)*100</f>
        <v>4.4512515165929356</v>
      </c>
      <c r="Q35" s="23">
        <f>((((Q28/Q5))^(1/23))-1)*100</f>
        <v>2.2013950573048335</v>
      </c>
      <c r="R35" s="23"/>
    </row>
    <row r="36" spans="1:18" ht="12.75" customHeight="1">
      <c r="A36" s="448" t="s">
        <v>808</v>
      </c>
      <c r="B36" s="23">
        <f t="shared" ref="B36:L36" si="6">((((B29/B5))^(1/24))-1)*100</f>
        <v>4.2881417766485797</v>
      </c>
      <c r="C36" s="23">
        <f t="shared" si="6"/>
        <v>5.0731262788663578</v>
      </c>
      <c r="D36" s="23">
        <f t="shared" si="6"/>
        <v>4.7836724205234216</v>
      </c>
      <c r="E36" s="23">
        <f t="shared" si="6"/>
        <v>4.6672411701716987</v>
      </c>
      <c r="F36" s="23">
        <f t="shared" si="6"/>
        <v>4.8636315260357499</v>
      </c>
      <c r="G36" s="23">
        <f t="shared" si="6"/>
        <v>4.3653068960052277</v>
      </c>
      <c r="H36" s="23">
        <f t="shared" si="6"/>
        <v>4.2290228349323167</v>
      </c>
      <c r="I36" s="23">
        <f t="shared" si="6"/>
        <v>4.1400594719801731</v>
      </c>
      <c r="J36" s="23">
        <f t="shared" si="6"/>
        <v>4.000395884554564</v>
      </c>
      <c r="K36" s="23">
        <f t="shared" si="6"/>
        <v>4.3728632278242419</v>
      </c>
      <c r="L36" s="23">
        <f t="shared" si="6"/>
        <v>3.6766039167147158</v>
      </c>
      <c r="M36" s="23"/>
      <c r="N36" s="23">
        <f>((((N29/N5))^(1/24))-1)*100</f>
        <v>5.9075866557749102</v>
      </c>
      <c r="O36" s="23">
        <f>((((O29/O5))^(1/24))-1)*100</f>
        <v>2.9114117363933989</v>
      </c>
      <c r="P36" s="23">
        <f>((((P29/P5))^(1/24))-1)*100</f>
        <v>5.6018721452171905</v>
      </c>
      <c r="Q36" s="23">
        <f>((((Q29/Q5))^(1/24))-1)*100</f>
        <v>2.7627715397055663</v>
      </c>
      <c r="R36" s="23"/>
    </row>
    <row r="37" spans="1:18" ht="12.75" customHeight="1">
      <c r="A37" s="448" t="s">
        <v>819</v>
      </c>
      <c r="B37" s="644">
        <f t="shared" ref="B37:L37" si="7">((((B30/B5))^(1/25))-1)*100</f>
        <v>4.3371882297123188</v>
      </c>
      <c r="C37" s="23">
        <f t="shared" si="7"/>
        <v>5.6567346257941242</v>
      </c>
      <c r="D37" s="23">
        <f t="shared" si="7"/>
        <v>4.7851893858971151</v>
      </c>
      <c r="E37" s="23">
        <f t="shared" si="7"/>
        <v>4.6283551957484681</v>
      </c>
      <c r="F37" s="23">
        <f t="shared" si="7"/>
        <v>4.8312937869303019</v>
      </c>
      <c r="G37" s="23">
        <f t="shared" si="7"/>
        <v>4.3430880701908148</v>
      </c>
      <c r="H37" s="23">
        <f t="shared" si="7"/>
        <v>4.226806437782038</v>
      </c>
      <c r="I37" s="23">
        <f t="shared" si="7"/>
        <v>4.1724007906905669</v>
      </c>
      <c r="J37" s="23">
        <f t="shared" si="7"/>
        <v>4.0628724880624745</v>
      </c>
      <c r="K37" s="23">
        <f t="shared" si="7"/>
        <v>4.5951727924091523</v>
      </c>
      <c r="L37" s="23">
        <f t="shared" si="7"/>
        <v>3.8066888781983943</v>
      </c>
      <c r="M37" s="23"/>
      <c r="N37" s="23">
        <f>((((N24/N13))^(1/11))-1)*100</f>
        <v>2.1831773161320012</v>
      </c>
      <c r="O37" s="23">
        <f>((((O24/O13))^(1/11))-1)*100</f>
        <v>1.0856949900093449</v>
      </c>
      <c r="P37" s="23">
        <f>((((P24/P13))^(1/11))-1)*100</f>
        <v>2.4932533270622281</v>
      </c>
      <c r="Q37" s="23">
        <f>((((Q24/Q13))^(1/11))-1)*100</f>
        <v>1.2389516574832005</v>
      </c>
      <c r="R37" s="23"/>
    </row>
    <row r="38" spans="1:18" ht="12.75" customHeight="1">
      <c r="A38" s="448" t="s">
        <v>447</v>
      </c>
      <c r="B38" s="644">
        <f>((((B31/B5))^(1/26))-1)*100</f>
        <v>4.365647529829042</v>
      </c>
      <c r="C38" s="644">
        <f t="shared" ref="C38:L38" si="8">((((C31/C5))^(1/26))-1)*100</f>
        <v>5.4258382644343239</v>
      </c>
      <c r="D38" s="644">
        <f t="shared" si="8"/>
        <v>4.7893082874953086</v>
      </c>
      <c r="E38" s="644">
        <f t="shared" si="8"/>
        <v>4.6405823499441778</v>
      </c>
      <c r="F38" s="644">
        <f t="shared" si="8"/>
        <v>4.8366986218113306</v>
      </c>
      <c r="G38" s="644">
        <f t="shared" si="8"/>
        <v>4.3748900074205066</v>
      </c>
      <c r="H38" s="644">
        <f t="shared" si="8"/>
        <v>4.223418447624594</v>
      </c>
      <c r="I38" s="644">
        <f t="shared" si="8"/>
        <v>4.2524436942045218</v>
      </c>
      <c r="J38" s="644">
        <f t="shared" si="8"/>
        <v>4.2212842037201215</v>
      </c>
      <c r="K38" s="644">
        <f t="shared" si="8"/>
        <v>4.6814808903157923</v>
      </c>
      <c r="L38" s="644">
        <f t="shared" si="8"/>
        <v>3.8571671627745774</v>
      </c>
      <c r="M38" s="644"/>
      <c r="N38" s="644">
        <f>((((N28/N24))^(1/4))-1)*100</f>
        <v>2.976776154035421</v>
      </c>
      <c r="O38" s="644">
        <f>((((O28/O24))^(1/4))-1)*100</f>
        <v>1.4774734382145605</v>
      </c>
      <c r="P38" s="644">
        <f>((((P28/P24))^(1/4))-1)*100</f>
        <v>6.5863831248051952</v>
      </c>
      <c r="Q38" s="644">
        <f>((((Q28/Q24))^(1/4))-1)*100</f>
        <v>3.2406814801244854</v>
      </c>
      <c r="R38" s="644"/>
    </row>
    <row r="39" spans="1:18" ht="12.75" customHeight="1">
      <c r="A39" s="448" t="s">
        <v>1408</v>
      </c>
      <c r="B39" s="644">
        <f>((((B32/B5))^(1/27))-1)*100</f>
        <v>4.3367140249284564</v>
      </c>
      <c r="C39" s="644">
        <f t="shared" ref="C39:L39" si="9">((((C32/C5))^(1/27))-1)*100</f>
        <v>5.1532699403400883</v>
      </c>
      <c r="D39" s="644">
        <f t="shared" si="9"/>
        <v>4.6899393591314675</v>
      </c>
      <c r="E39" s="644">
        <f t="shared" si="9"/>
        <v>4.5936310039870865</v>
      </c>
      <c r="F39" s="644">
        <f t="shared" si="9"/>
        <v>4.792188152678567</v>
      </c>
      <c r="G39" s="644">
        <f t="shared" si="9"/>
        <v>4.3113549850407829</v>
      </c>
      <c r="H39" s="644">
        <f t="shared" si="9"/>
        <v>4.1708685437199966</v>
      </c>
      <c r="I39" s="644">
        <f t="shared" si="9"/>
        <v>4.2582109428594306</v>
      </c>
      <c r="J39" s="644">
        <f t="shared" si="9"/>
        <v>4.4501912435833679</v>
      </c>
      <c r="K39" s="644">
        <f t="shared" si="9"/>
        <v>4.7294640603284588</v>
      </c>
      <c r="L39" s="644">
        <f t="shared" si="9"/>
        <v>3.8436585083573505</v>
      </c>
      <c r="M39" s="644"/>
      <c r="N39" s="644"/>
      <c r="O39" s="644"/>
      <c r="P39" s="644"/>
      <c r="Q39" s="644"/>
      <c r="R39" s="644"/>
    </row>
    <row r="40" spans="1:18" ht="12.75" customHeight="1">
      <c r="A40" s="448" t="s">
        <v>809</v>
      </c>
      <c r="B40" s="644">
        <f t="shared" ref="B40:L40" si="10">((((B29/B24))^(1/5))-1)*100</f>
        <v>3.2226823535467464</v>
      </c>
      <c r="C40" s="644">
        <f t="shared" si="10"/>
        <v>4.1055407933354271</v>
      </c>
      <c r="D40" s="644">
        <f t="shared" si="10"/>
        <v>2.9432986097167602</v>
      </c>
      <c r="E40" s="644">
        <f t="shared" si="10"/>
        <v>3.4685547296377406</v>
      </c>
      <c r="F40" s="644">
        <f t="shared" si="10"/>
        <v>3.3979040542321925</v>
      </c>
      <c r="G40" s="644">
        <f t="shared" si="10"/>
        <v>3.2224940263961388</v>
      </c>
      <c r="H40" s="644">
        <f t="shared" si="10"/>
        <v>2.3677436395471485</v>
      </c>
      <c r="I40" s="644">
        <f t="shared" si="10"/>
        <v>2.9793349471755715</v>
      </c>
      <c r="J40" s="644">
        <f t="shared" si="10"/>
        <v>4.0326576939881065</v>
      </c>
      <c r="K40" s="644">
        <f t="shared" si="10"/>
        <v>5.4072545560694074</v>
      </c>
      <c r="L40" s="644">
        <f t="shared" si="10"/>
        <v>3.2878519651119875</v>
      </c>
      <c r="M40" s="644"/>
      <c r="N40" s="644"/>
      <c r="O40" s="644"/>
      <c r="P40" s="644"/>
      <c r="Q40" s="644"/>
      <c r="R40" s="644"/>
    </row>
    <row r="41" spans="1:18" ht="12.75" customHeight="1">
      <c r="A41" s="448" t="s">
        <v>818</v>
      </c>
      <c r="B41" s="644">
        <f t="shared" ref="B41:L41" si="11">((((B30/B24))^(1/6))-1)*100</f>
        <v>3.6022697745874188</v>
      </c>
      <c r="C41" s="644">
        <f t="shared" si="11"/>
        <v>6.7005166652680082</v>
      </c>
      <c r="D41" s="644">
        <f t="shared" si="11"/>
        <v>3.2539955948767574</v>
      </c>
      <c r="E41" s="644">
        <f t="shared" si="11"/>
        <v>3.506995480668107</v>
      </c>
      <c r="F41" s="644">
        <f t="shared" si="11"/>
        <v>3.5076571638398724</v>
      </c>
      <c r="G41" s="644">
        <f t="shared" si="11"/>
        <v>3.3203881294690429</v>
      </c>
      <c r="H41" s="644">
        <f t="shared" si="11"/>
        <v>2.666535413650184</v>
      </c>
      <c r="I41" s="644">
        <f t="shared" si="11"/>
        <v>3.3054550547778172</v>
      </c>
      <c r="J41" s="644">
        <f t="shared" si="11"/>
        <v>4.2879142820962945</v>
      </c>
      <c r="K41" s="644">
        <f t="shared" si="11"/>
        <v>6.1712348878901091</v>
      </c>
      <c r="L41" s="644">
        <f t="shared" si="11"/>
        <v>3.8939434690159924</v>
      </c>
      <c r="M41" s="644"/>
      <c r="N41" s="644"/>
      <c r="O41" s="644"/>
      <c r="P41" s="644"/>
      <c r="Q41" s="644"/>
      <c r="R41" s="644"/>
    </row>
    <row r="42" spans="1:18" ht="12.75" customHeight="1">
      <c r="A42" s="448" t="s">
        <v>449</v>
      </c>
      <c r="B42" s="644">
        <f>((((B31/B24))^(1/7))-1)*100</f>
        <v>3.8120466965167576</v>
      </c>
      <c r="C42" s="644">
        <f t="shared" ref="C42:L42" si="12">((((C31/C24))^(1/7))-1)*100</f>
        <v>5.6884658636115137</v>
      </c>
      <c r="D42" s="644">
        <f t="shared" si="12"/>
        <v>3.486467751726674</v>
      </c>
      <c r="E42" s="644">
        <f t="shared" si="12"/>
        <v>3.7114556496807172</v>
      </c>
      <c r="F42" s="644">
        <f t="shared" si="12"/>
        <v>3.7155789572634212</v>
      </c>
      <c r="G42" s="644">
        <f t="shared" si="12"/>
        <v>3.583049001255989</v>
      </c>
      <c r="H42" s="644">
        <f t="shared" si="12"/>
        <v>2.875571248721176</v>
      </c>
      <c r="I42" s="644">
        <f t="shared" si="12"/>
        <v>3.7243494476982164</v>
      </c>
      <c r="J42" s="644">
        <f t="shared" si="12"/>
        <v>4.8464314132016906</v>
      </c>
      <c r="K42" s="644">
        <f t="shared" si="12"/>
        <v>6.2697101539575417</v>
      </c>
      <c r="L42" s="644">
        <f t="shared" si="12"/>
        <v>4.0692237396404929</v>
      </c>
      <c r="M42" s="644"/>
      <c r="N42" s="644"/>
      <c r="O42" s="644"/>
      <c r="P42" s="644"/>
      <c r="Q42" s="644"/>
      <c r="R42" s="644"/>
    </row>
    <row r="43" spans="1:18" ht="12.75" customHeight="1">
      <c r="A43" s="448" t="s">
        <v>1410</v>
      </c>
      <c r="B43" s="644">
        <f>((((B32/B24))^(1/8))-1)*100</f>
        <v>3.7839206878914622</v>
      </c>
      <c r="C43" s="644">
        <f t="shared" ref="C43:L43" si="13">((((C32/C24))^(1/8))-1)*100</f>
        <v>4.736505823676751</v>
      </c>
      <c r="D43" s="644">
        <f t="shared" si="13"/>
        <v>3.3170873534956735</v>
      </c>
      <c r="E43" s="644">
        <f t="shared" si="13"/>
        <v>3.6699985930835677</v>
      </c>
      <c r="F43" s="644">
        <f t="shared" si="13"/>
        <v>3.7063194035618308</v>
      </c>
      <c r="G43" s="644">
        <f t="shared" si="13"/>
        <v>3.4688470028397589</v>
      </c>
      <c r="H43" s="644">
        <f t="shared" si="13"/>
        <v>2.8678518333569381</v>
      </c>
      <c r="I43" s="644">
        <f t="shared" si="13"/>
        <v>3.8095940931966998</v>
      </c>
      <c r="J43" s="644">
        <f t="shared" si="13"/>
        <v>5.5467255076009137</v>
      </c>
      <c r="K43" s="644">
        <f t="shared" si="13"/>
        <v>6.2340515361348769</v>
      </c>
      <c r="L43" s="644">
        <f t="shared" si="13"/>
        <v>3.9970269095700672</v>
      </c>
      <c r="M43" s="644"/>
      <c r="N43" s="644"/>
      <c r="O43" s="644"/>
      <c r="P43" s="644"/>
      <c r="Q43" s="644"/>
      <c r="R43" s="644"/>
    </row>
    <row r="44" spans="1:18" ht="12.75" customHeight="1">
      <c r="A44" s="448"/>
      <c r="D44" s="27" t="s">
        <v>276</v>
      </c>
      <c r="M44" s="644"/>
      <c r="N44" s="644">
        <f>((((N29/N24))^(1/5))-1)*100</f>
        <v>7.2409299856412312</v>
      </c>
      <c r="O44" s="644">
        <f>((((O29/O24))^(1/5))-1)*100</f>
        <v>3.5571967492560308</v>
      </c>
      <c r="P44" s="644">
        <f>((((P29/P24))^(1/5))-1)*100</f>
        <v>11.887704480626414</v>
      </c>
      <c r="Q44" s="644">
        <f>((((Q29/Q24))^(1/5))-1)*100</f>
        <v>5.7769844912523682</v>
      </c>
      <c r="R44" s="644"/>
    </row>
    <row r="45" spans="1:18" ht="12.75" customHeight="1">
      <c r="A45" s="448" t="s">
        <v>808</v>
      </c>
      <c r="B45" s="10">
        <f t="shared" ref="B45:L45" si="14">(B29/B5-1)*100</f>
        <v>173.92918205021255</v>
      </c>
      <c r="C45" s="10">
        <f t="shared" si="14"/>
        <v>227.94400797719021</v>
      </c>
      <c r="D45" s="10">
        <f t="shared" si="14"/>
        <v>206.93525080653609</v>
      </c>
      <c r="E45" s="10">
        <f t="shared" si="14"/>
        <v>198.85370985527814</v>
      </c>
      <c r="F45" s="10">
        <f t="shared" si="14"/>
        <v>212.60609972385146</v>
      </c>
      <c r="G45" s="10">
        <f t="shared" si="14"/>
        <v>178.83527112746651</v>
      </c>
      <c r="H45" s="10">
        <f t="shared" si="14"/>
        <v>170.22653269787469</v>
      </c>
      <c r="I45" s="10">
        <f t="shared" si="14"/>
        <v>164.74496695852164</v>
      </c>
      <c r="J45" s="10">
        <f t="shared" si="14"/>
        <v>156.3538353418931</v>
      </c>
      <c r="K45" s="10">
        <f t="shared" si="14"/>
        <v>179.32019712211641</v>
      </c>
      <c r="L45" s="10">
        <f t="shared" si="14"/>
        <v>137.86925203114455</v>
      </c>
      <c r="N45" s="10"/>
      <c r="O45" s="10"/>
      <c r="P45" s="10"/>
      <c r="Q45" s="10"/>
    </row>
    <row r="46" spans="1:18">
      <c r="A46" s="448" t="s">
        <v>819</v>
      </c>
      <c r="B46" s="10">
        <f t="shared" ref="B46:L46" si="15">(B30/B5-1)*100</f>
        <v>189.05349166123941</v>
      </c>
      <c r="C46" s="10">
        <f t="shared" si="15"/>
        <v>295.75791720417249</v>
      </c>
      <c r="D46" s="10">
        <f t="shared" si="15"/>
        <v>221.73445050941268</v>
      </c>
      <c r="E46" s="10">
        <f t="shared" si="15"/>
        <v>209.90954453782064</v>
      </c>
      <c r="F46" s="10">
        <f t="shared" si="15"/>
        <v>225.29219503062504</v>
      </c>
      <c r="G46" s="10">
        <f t="shared" si="15"/>
        <v>189.46238881507375</v>
      </c>
      <c r="H46" s="10">
        <f t="shared" si="15"/>
        <v>181.50478034436136</v>
      </c>
      <c r="I46" s="10">
        <f t="shared" si="15"/>
        <v>177.85411253210265</v>
      </c>
      <c r="J46" s="10">
        <f t="shared" si="15"/>
        <v>170.64203052315875</v>
      </c>
      <c r="K46" s="10">
        <f t="shared" si="15"/>
        <v>207.46171337035503</v>
      </c>
      <c r="L46" s="10">
        <f t="shared" si="15"/>
        <v>154.46816866723543</v>
      </c>
      <c r="M46" s="10"/>
      <c r="N46" s="10">
        <f>(N28/N5-1)*100</f>
        <v>214.34317159669948</v>
      </c>
      <c r="O46" s="10">
        <f>(O28/O5-1)*100</f>
        <v>77.297256492225358</v>
      </c>
      <c r="P46" s="10">
        <f>(P28/P5-1)*100</f>
        <v>172.27884753982551</v>
      </c>
      <c r="Q46" s="10">
        <f>(Q28/Q5-1)*100</f>
        <v>65.008741447180739</v>
      </c>
      <c r="R46" s="10"/>
    </row>
    <row r="47" spans="1:18" ht="13.5" customHeight="1">
      <c r="A47" s="448" t="s">
        <v>447</v>
      </c>
      <c r="B47" s="10">
        <f>(B31/B5-1)*100</f>
        <v>203.7364216415686</v>
      </c>
      <c r="C47" s="10">
        <f t="shared" ref="C47:L47" si="16">(C31/C5-1)*100</f>
        <v>295.02413858929896</v>
      </c>
      <c r="D47" s="10">
        <f t="shared" si="16"/>
        <v>237.4747726951301</v>
      </c>
      <c r="E47" s="10">
        <f t="shared" si="16"/>
        <v>225.23992065096311</v>
      </c>
      <c r="F47" s="10">
        <f t="shared" si="16"/>
        <v>241.46543051539825</v>
      </c>
      <c r="G47" s="10">
        <f t="shared" si="16"/>
        <v>204.436556797425</v>
      </c>
      <c r="H47" s="10">
        <f t="shared" si="16"/>
        <v>193.15557204261617</v>
      </c>
      <c r="I47" s="10">
        <f t="shared" si="16"/>
        <v>195.28564598218813</v>
      </c>
      <c r="J47" s="10">
        <f t="shared" si="16"/>
        <v>192.99953091677412</v>
      </c>
      <c r="K47" s="10">
        <f t="shared" si="16"/>
        <v>228.56122056188815</v>
      </c>
      <c r="L47" s="10">
        <f t="shared" si="16"/>
        <v>167.51508987601289</v>
      </c>
      <c r="M47" s="10"/>
      <c r="N47" s="10">
        <f>(N29/N5-1)*100</f>
        <v>296.50596245634608</v>
      </c>
      <c r="O47" s="10">
        <f>(O29/O5-1)*100</f>
        <v>99.124574690404827</v>
      </c>
      <c r="P47" s="10">
        <f>(P29/P5-1)*100</f>
        <v>269.92937779045707</v>
      </c>
      <c r="Q47" s="10">
        <f>(Q29/Q5-1)*100</f>
        <v>92.335482371417115</v>
      </c>
      <c r="R47" s="10"/>
    </row>
    <row r="48" spans="1:18">
      <c r="A48" s="448" t="s">
        <v>1408</v>
      </c>
      <c r="B48" s="10">
        <f>(B32/B5-1)*100</f>
        <v>214.63221213278766</v>
      </c>
      <c r="C48" s="10">
        <f t="shared" ref="C48:L48" si="17">(C32/C5-1)*100</f>
        <v>288.34268227981784</v>
      </c>
      <c r="D48" s="10">
        <f t="shared" si="17"/>
        <v>244.6939037539332</v>
      </c>
      <c r="E48" s="10">
        <f t="shared" si="17"/>
        <v>236.23388482006717</v>
      </c>
      <c r="F48" s="10">
        <f t="shared" si="17"/>
        <v>253.8999818234588</v>
      </c>
      <c r="G48" s="10">
        <f t="shared" si="17"/>
        <v>212.57399593009941</v>
      </c>
      <c r="H48" s="10">
        <f t="shared" si="17"/>
        <v>201.40447775487183</v>
      </c>
      <c r="I48" s="10">
        <f t="shared" si="17"/>
        <v>208.3026387925733</v>
      </c>
      <c r="J48" s="10">
        <f t="shared" si="17"/>
        <v>224.00332439080145</v>
      </c>
      <c r="K48" s="10">
        <f t="shared" si="17"/>
        <v>248.22487367445171</v>
      </c>
      <c r="L48" s="10">
        <f t="shared" si="17"/>
        <v>176.85952453301539</v>
      </c>
      <c r="M48" s="10"/>
      <c r="N48" s="10"/>
      <c r="O48" s="10"/>
      <c r="P48" s="10"/>
      <c r="Q48" s="10"/>
      <c r="R48" s="10"/>
    </row>
    <row r="50" spans="1:12" ht="12.75" customHeight="1">
      <c r="A50" s="1170" t="s">
        <v>1723</v>
      </c>
      <c r="B50" s="1170"/>
      <c r="C50" s="1170"/>
      <c r="D50" s="1170"/>
      <c r="E50" s="1170"/>
      <c r="F50" s="1170"/>
      <c r="G50" s="1170"/>
      <c r="H50" s="1170"/>
      <c r="I50" s="1170"/>
      <c r="J50" s="1170"/>
      <c r="K50" s="1170"/>
      <c r="L50" s="1170"/>
    </row>
    <row r="51" spans="1:12" ht="12.75" customHeight="1">
      <c r="A51" s="4" t="s">
        <v>1718</v>
      </c>
    </row>
    <row r="52" spans="1:12" ht="12.75" customHeight="1">
      <c r="A52" s="1" t="s">
        <v>388</v>
      </c>
    </row>
    <row r="53" spans="1:12" ht="12.75" customHeight="1">
      <c r="B53" s="1" t="s">
        <v>278</v>
      </c>
    </row>
    <row r="54" spans="1:12" ht="12.75" customHeight="1">
      <c r="B54" s="1" t="s">
        <v>279</v>
      </c>
    </row>
    <row r="55" spans="1:12" ht="12.75" customHeight="1">
      <c r="B55" s="1">
        <v>1981</v>
      </c>
      <c r="C55" s="300">
        <f>C5-$B5</f>
        <v>-3860.9498585178426</v>
      </c>
      <c r="D55" s="300">
        <f t="shared" ref="D55:L55" si="18">D5-$B5</f>
        <v>-3314.5658080143367</v>
      </c>
      <c r="E55" s="300">
        <f t="shared" si="18"/>
        <v>-2217.4455763575115</v>
      </c>
      <c r="F55" s="300">
        <f t="shared" si="18"/>
        <v>-2933.8676743214382</v>
      </c>
      <c r="G55" s="300">
        <f t="shared" si="18"/>
        <v>-1028.4966821497474</v>
      </c>
      <c r="H55" s="300">
        <f t="shared" si="18"/>
        <v>662.55865376848305</v>
      </c>
      <c r="I55" s="300">
        <f t="shared" si="18"/>
        <v>-905.22219531324117</v>
      </c>
      <c r="J55" s="300">
        <f t="shared" si="18"/>
        <v>-790.10109060179093</v>
      </c>
      <c r="K55" s="300">
        <f t="shared" si="18"/>
        <v>2099.6555827893317</v>
      </c>
      <c r="L55" s="300">
        <f t="shared" si="18"/>
        <v>1452.0043431113336</v>
      </c>
    </row>
    <row r="56" spans="1:12" ht="12.75" customHeight="1">
      <c r="B56" s="1">
        <v>1982</v>
      </c>
      <c r="C56" s="300">
        <f t="shared" ref="C56:L71" si="19">C6-$B6</f>
        <v>-4064.8745849728657</v>
      </c>
      <c r="D56" s="300">
        <f t="shared" si="19"/>
        <v>-3286.5798383486581</v>
      </c>
      <c r="E56" s="300">
        <f t="shared" si="19"/>
        <v>-2261.1487059002338</v>
      </c>
      <c r="F56" s="300">
        <f t="shared" si="19"/>
        <v>-2957.969283001632</v>
      </c>
      <c r="G56" s="300">
        <f t="shared" si="19"/>
        <v>-1267.6480461411029</v>
      </c>
      <c r="H56" s="300">
        <f t="shared" si="19"/>
        <v>909.12980782640807</v>
      </c>
      <c r="I56" s="300">
        <f t="shared" si="19"/>
        <v>-810.81641139891872</v>
      </c>
      <c r="J56" s="300">
        <f t="shared" si="19"/>
        <v>-630.73467470339165</v>
      </c>
      <c r="K56" s="300">
        <f t="shared" si="19"/>
        <v>1940.2856294795656</v>
      </c>
      <c r="L56" s="300">
        <f t="shared" si="19"/>
        <v>1243.3155926018771</v>
      </c>
    </row>
    <row r="57" spans="1:12" ht="12.75" customHeight="1">
      <c r="B57" s="1">
        <v>1983</v>
      </c>
      <c r="C57" s="300">
        <f t="shared" si="19"/>
        <v>-4292.9244077315452</v>
      </c>
      <c r="D57" s="300">
        <f t="shared" si="19"/>
        <v>-3132.9698801463965</v>
      </c>
      <c r="E57" s="300">
        <f t="shared" si="19"/>
        <v>-2131.0338790303103</v>
      </c>
      <c r="F57" s="300">
        <f t="shared" si="19"/>
        <v>-2924.5515789032142</v>
      </c>
      <c r="G57" s="300">
        <f t="shared" si="19"/>
        <v>-1316.7200276277617</v>
      </c>
      <c r="H57" s="300">
        <f t="shared" si="19"/>
        <v>1236.9683387385157</v>
      </c>
      <c r="I57" s="300">
        <f t="shared" si="19"/>
        <v>-1199.5105252532758</v>
      </c>
      <c r="J57" s="300">
        <f t="shared" si="19"/>
        <v>-1221.7872521200279</v>
      </c>
      <c r="K57" s="300">
        <f t="shared" si="19"/>
        <v>1553.5751432656416</v>
      </c>
      <c r="L57" s="300">
        <f t="shared" si="19"/>
        <v>954.8877836708798</v>
      </c>
    </row>
    <row r="58" spans="1:12" ht="12.75" customHeight="1">
      <c r="B58" s="1">
        <v>1984</v>
      </c>
      <c r="C58" s="300">
        <f t="shared" si="19"/>
        <v>-4856.4013590685627</v>
      </c>
      <c r="D58" s="300">
        <f t="shared" si="19"/>
        <v>-3591.4553910141622</v>
      </c>
      <c r="E58" s="300">
        <f t="shared" si="19"/>
        <v>-2231.7723190272827</v>
      </c>
      <c r="F58" s="300">
        <f t="shared" si="19"/>
        <v>-3112.3286274397014</v>
      </c>
      <c r="G58" s="300">
        <f t="shared" si="19"/>
        <v>-1213.0204559758604</v>
      </c>
      <c r="H58" s="300">
        <f t="shared" si="19"/>
        <v>1465.4516738855036</v>
      </c>
      <c r="I58" s="300">
        <f t="shared" si="19"/>
        <v>-779.15592620230746</v>
      </c>
      <c r="J58" s="300">
        <f t="shared" si="19"/>
        <v>-1556.8912639505816</v>
      </c>
      <c r="K58" s="300">
        <f t="shared" si="19"/>
        <v>1104.2285568047864</v>
      </c>
      <c r="L58" s="300">
        <f t="shared" si="19"/>
        <v>494.27189202069167</v>
      </c>
    </row>
    <row r="59" spans="1:12" ht="12.75" customHeight="1">
      <c r="B59" s="1">
        <v>1985</v>
      </c>
      <c r="C59" s="300">
        <f t="shared" si="19"/>
        <v>-5224.3858327557045</v>
      </c>
      <c r="D59" s="300">
        <f t="shared" si="19"/>
        <v>-4049.4478005833316</v>
      </c>
      <c r="E59" s="300">
        <f t="shared" si="19"/>
        <v>-2242.2225739252044</v>
      </c>
      <c r="F59" s="300">
        <f t="shared" si="19"/>
        <v>-3451.6376368156762</v>
      </c>
      <c r="G59" s="300">
        <f t="shared" si="19"/>
        <v>-1348.4987663000302</v>
      </c>
      <c r="H59" s="300">
        <f t="shared" si="19"/>
        <v>1604.4763039135123</v>
      </c>
      <c r="I59" s="300">
        <f t="shared" si="19"/>
        <v>-771.17277159373225</v>
      </c>
      <c r="J59" s="300">
        <f t="shared" si="19"/>
        <v>-1826.962690421673</v>
      </c>
      <c r="K59" s="300">
        <f t="shared" si="19"/>
        <v>1494.7633617676529</v>
      </c>
      <c r="L59" s="300">
        <f t="shared" si="19"/>
        <v>263.42171316593704</v>
      </c>
    </row>
    <row r="60" spans="1:12" ht="12.75" customHeight="1">
      <c r="B60" s="1">
        <v>1986</v>
      </c>
      <c r="C60" s="300">
        <f t="shared" si="19"/>
        <v>-5286.9622270805685</v>
      </c>
      <c r="D60" s="300">
        <f t="shared" si="19"/>
        <v>-3582.2793074607998</v>
      </c>
      <c r="E60" s="300">
        <f t="shared" si="19"/>
        <v>-2409.3286241774204</v>
      </c>
      <c r="F60" s="300">
        <f t="shared" si="19"/>
        <v>-3330.6262324820618</v>
      </c>
      <c r="G60" s="300">
        <f t="shared" si="19"/>
        <v>-1372.3639016795296</v>
      </c>
      <c r="H60" s="300">
        <f t="shared" si="19"/>
        <v>1824.6047279299692</v>
      </c>
      <c r="I60" s="300">
        <f t="shared" si="19"/>
        <v>-1007.5412907152131</v>
      </c>
      <c r="J60" s="300">
        <f t="shared" si="19"/>
        <v>-1350.0281276031437</v>
      </c>
      <c r="K60" s="300">
        <f t="shared" si="19"/>
        <v>885.83813798507435</v>
      </c>
      <c r="L60" s="300">
        <f t="shared" si="19"/>
        <v>-28.343122830367065</v>
      </c>
    </row>
    <row r="61" spans="1:12" ht="12.75" customHeight="1">
      <c r="B61" s="1">
        <v>1987</v>
      </c>
      <c r="C61" s="300">
        <f t="shared" si="19"/>
        <v>-5101.3495149878345</v>
      </c>
      <c r="D61" s="300">
        <f t="shared" si="19"/>
        <v>-3780.6332024274489</v>
      </c>
      <c r="E61" s="300">
        <f t="shared" si="19"/>
        <v>-2410.8208868201691</v>
      </c>
      <c r="F61" s="300">
        <f t="shared" si="19"/>
        <v>-3402.4911895770038</v>
      </c>
      <c r="G61" s="300">
        <f t="shared" si="19"/>
        <v>-1336.247057151164</v>
      </c>
      <c r="H61" s="300">
        <f t="shared" si="19"/>
        <v>2152.4799793162383</v>
      </c>
      <c r="I61" s="300">
        <f t="shared" si="19"/>
        <v>-1445.9152670878775</v>
      </c>
      <c r="J61" s="300">
        <f t="shared" si="19"/>
        <v>-3148.0357641422215</v>
      </c>
      <c r="K61" s="300">
        <f t="shared" si="19"/>
        <v>236.22749931037833</v>
      </c>
      <c r="L61" s="300">
        <f t="shared" si="19"/>
        <v>46.273554103860079</v>
      </c>
    </row>
    <row r="62" spans="1:12" ht="12.75" customHeight="1">
      <c r="B62" s="1">
        <v>1988</v>
      </c>
      <c r="C62" s="300">
        <f t="shared" si="19"/>
        <v>-5506.4938542859709</v>
      </c>
      <c r="D62" s="300">
        <f t="shared" si="19"/>
        <v>-3868.2190813041288</v>
      </c>
      <c r="E62" s="300">
        <f t="shared" si="19"/>
        <v>-2757.8516849180251</v>
      </c>
      <c r="F62" s="300">
        <f t="shared" si="19"/>
        <v>-3737.127083784826</v>
      </c>
      <c r="G62" s="300">
        <f t="shared" si="19"/>
        <v>-1631.6038939485552</v>
      </c>
      <c r="H62" s="300">
        <f t="shared" si="19"/>
        <v>2461.7909446994272</v>
      </c>
      <c r="I62" s="300">
        <f t="shared" si="19"/>
        <v>-1812.3122707260118</v>
      </c>
      <c r="J62" s="300">
        <f t="shared" si="19"/>
        <v>-3531.1040529703423</v>
      </c>
      <c r="K62" s="300">
        <f t="shared" si="19"/>
        <v>401.95467725261915</v>
      </c>
      <c r="L62" s="300">
        <f t="shared" si="19"/>
        <v>-40.658602543066081</v>
      </c>
    </row>
    <row r="63" spans="1:12" ht="12.75" customHeight="1">
      <c r="B63" s="1">
        <v>1989</v>
      </c>
      <c r="C63" s="300">
        <f t="shared" si="19"/>
        <v>-5818.5382327271618</v>
      </c>
      <c r="D63" s="300">
        <f t="shared" si="19"/>
        <v>-4239.7932305503127</v>
      </c>
      <c r="E63" s="300">
        <f t="shared" si="19"/>
        <v>-2952.8907074065937</v>
      </c>
      <c r="F63" s="300">
        <f t="shared" si="19"/>
        <v>-4016.7472809437804</v>
      </c>
      <c r="G63" s="300">
        <f t="shared" si="19"/>
        <v>-1823.4633022178823</v>
      </c>
      <c r="H63" s="300">
        <f t="shared" si="19"/>
        <v>2638.6300792032853</v>
      </c>
      <c r="I63" s="300">
        <f t="shared" si="19"/>
        <v>-2113.3899029460335</v>
      </c>
      <c r="J63" s="300">
        <f t="shared" si="19"/>
        <v>-4023.0409229698325</v>
      </c>
      <c r="K63" s="300">
        <f t="shared" si="19"/>
        <v>135.40711713334167</v>
      </c>
      <c r="L63" s="300">
        <f t="shared" si="19"/>
        <v>307.22228256335438</v>
      </c>
    </row>
    <row r="64" spans="1:12" ht="12.75" customHeight="1">
      <c r="B64" s="1">
        <v>1990</v>
      </c>
      <c r="C64" s="300">
        <f t="shared" si="19"/>
        <v>-5738.2219741795525</v>
      </c>
      <c r="D64" s="300">
        <f t="shared" si="19"/>
        <v>-4311.7965833014277</v>
      </c>
      <c r="E64" s="300">
        <f t="shared" si="19"/>
        <v>-2950.8210550984913</v>
      </c>
      <c r="F64" s="300">
        <f t="shared" si="19"/>
        <v>-4187.3788179036201</v>
      </c>
      <c r="G64" s="300">
        <f t="shared" si="19"/>
        <v>-1768.3712918831661</v>
      </c>
      <c r="H64" s="300">
        <f t="shared" si="19"/>
        <v>2288.3150952187207</v>
      </c>
      <c r="I64" s="300">
        <f t="shared" si="19"/>
        <v>-1833.255590462777</v>
      </c>
      <c r="J64" s="300">
        <f t="shared" si="19"/>
        <v>-3554.6546567702571</v>
      </c>
      <c r="K64" s="300">
        <f t="shared" si="19"/>
        <v>408.83367229064606</v>
      </c>
      <c r="L64" s="300">
        <f t="shared" si="19"/>
        <v>699.5635082636436</v>
      </c>
    </row>
    <row r="65" spans="2:12" ht="12.75" customHeight="1">
      <c r="B65" s="1">
        <v>1991</v>
      </c>
      <c r="C65" s="300">
        <f t="shared" si="19"/>
        <v>-5497.1534756226247</v>
      </c>
      <c r="D65" s="300">
        <f t="shared" si="19"/>
        <v>-4031.9346338654395</v>
      </c>
      <c r="E65" s="300">
        <f t="shared" si="19"/>
        <v>-2778.2233519067595</v>
      </c>
      <c r="F65" s="300">
        <f t="shared" si="19"/>
        <v>-3997.809313662081</v>
      </c>
      <c r="G65" s="300">
        <f t="shared" si="19"/>
        <v>-1736.6499600148636</v>
      </c>
      <c r="H65" s="300">
        <f t="shared" si="19"/>
        <v>2156.5909646687469</v>
      </c>
      <c r="I65" s="300">
        <f t="shared" si="19"/>
        <v>-2093.6450749141768</v>
      </c>
      <c r="J65" s="300">
        <f t="shared" si="19"/>
        <v>-3501.8621925890984</v>
      </c>
      <c r="K65" s="300">
        <f t="shared" si="19"/>
        <v>598.5631185002203</v>
      </c>
      <c r="L65" s="300">
        <f t="shared" si="19"/>
        <v>740.01362907098155</v>
      </c>
    </row>
    <row r="66" spans="2:12" ht="12.75" customHeight="1">
      <c r="B66" s="1">
        <v>1992</v>
      </c>
      <c r="C66" s="300">
        <f t="shared" si="19"/>
        <v>-5449.8904553555549</v>
      </c>
      <c r="D66" s="300">
        <f t="shared" si="19"/>
        <v>-3966.9666086502875</v>
      </c>
      <c r="E66" s="300">
        <f t="shared" si="19"/>
        <v>-2672.2628093459643</v>
      </c>
      <c r="F66" s="300">
        <f t="shared" si="19"/>
        <v>-3754.7136551997173</v>
      </c>
      <c r="G66" s="300">
        <f t="shared" si="19"/>
        <v>-1700.1928127709289</v>
      </c>
      <c r="H66" s="300">
        <f t="shared" si="19"/>
        <v>2128.7177339983209</v>
      </c>
      <c r="I66" s="300">
        <f t="shared" si="19"/>
        <v>-2007.1297472943261</v>
      </c>
      <c r="J66" s="300">
        <f t="shared" si="19"/>
        <v>-4028.4153583233965</v>
      </c>
      <c r="K66" s="300">
        <f t="shared" si="19"/>
        <v>525.08163642549698</v>
      </c>
      <c r="L66" s="300">
        <f t="shared" si="19"/>
        <v>785.88881342851528</v>
      </c>
    </row>
    <row r="67" spans="2:12" ht="12.75" customHeight="1">
      <c r="B67" s="1">
        <v>1993</v>
      </c>
      <c r="C67" s="300">
        <f t="shared" si="19"/>
        <v>-5292.993603422965</v>
      </c>
      <c r="D67" s="300">
        <f t="shared" si="19"/>
        <v>-3586.7289347337028</v>
      </c>
      <c r="E67" s="300">
        <f t="shared" si="19"/>
        <v>-2690.2423273726563</v>
      </c>
      <c r="F67" s="300">
        <f t="shared" si="19"/>
        <v>-3641.6645572825437</v>
      </c>
      <c r="G67" s="300">
        <f t="shared" si="19"/>
        <v>-1535.0082365285161</v>
      </c>
      <c r="H67" s="300">
        <f t="shared" si="19"/>
        <v>1886.5211161110128</v>
      </c>
      <c r="I67" s="300">
        <f t="shared" si="19"/>
        <v>-2222.8470402143976</v>
      </c>
      <c r="J67" s="300">
        <f t="shared" si="19"/>
        <v>-3917.7680435170514</v>
      </c>
      <c r="K67" s="300">
        <f t="shared" si="19"/>
        <v>804.98997871472238</v>
      </c>
      <c r="L67" s="300">
        <f t="shared" si="19"/>
        <v>889.90583104108009</v>
      </c>
    </row>
    <row r="68" spans="2:12" ht="12.75" customHeight="1">
      <c r="B68" s="1">
        <v>1994</v>
      </c>
      <c r="C68" s="300">
        <f t="shared" si="19"/>
        <v>-4993.0305027318973</v>
      </c>
      <c r="D68" s="300">
        <f t="shared" si="19"/>
        <v>-3994.0755568245622</v>
      </c>
      <c r="E68" s="300">
        <f t="shared" si="19"/>
        <v>-2787.3358110435875</v>
      </c>
      <c r="F68" s="300">
        <f t="shared" si="19"/>
        <v>-3479.9916829847352</v>
      </c>
      <c r="G68" s="300">
        <f t="shared" si="19"/>
        <v>-1529.4778709449638</v>
      </c>
      <c r="H68" s="300">
        <f t="shared" si="19"/>
        <v>1806.1387637671578</v>
      </c>
      <c r="I68" s="300">
        <f t="shared" si="19"/>
        <v>-1986.0785295411843</v>
      </c>
      <c r="J68" s="300">
        <f t="shared" si="19"/>
        <v>-3858.8058682986775</v>
      </c>
      <c r="K68" s="300">
        <f t="shared" si="19"/>
        <v>703.04295503763933</v>
      </c>
      <c r="L68" s="300">
        <f t="shared" si="19"/>
        <v>1026.3720227874801</v>
      </c>
    </row>
    <row r="69" spans="2:12" ht="12.75" customHeight="1">
      <c r="B69" s="1">
        <v>1995</v>
      </c>
      <c r="C69" s="300">
        <f t="shared" si="19"/>
        <v>-5083.6722144292544</v>
      </c>
      <c r="D69" s="300">
        <f t="shared" si="19"/>
        <v>-4062.7512630888086</v>
      </c>
      <c r="E69" s="300">
        <f t="shared" si="19"/>
        <v>-3018.372337418532</v>
      </c>
      <c r="F69" s="300">
        <f t="shared" si="19"/>
        <v>-3424.3336021039213</v>
      </c>
      <c r="G69" s="300">
        <f t="shared" si="19"/>
        <v>-1606.9861881576144</v>
      </c>
      <c r="H69" s="300">
        <f t="shared" si="19"/>
        <v>1847.711961444078</v>
      </c>
      <c r="I69" s="300">
        <f t="shared" si="19"/>
        <v>-1941.693795454823</v>
      </c>
      <c r="J69" s="300">
        <f t="shared" si="19"/>
        <v>-3291.8406035203952</v>
      </c>
      <c r="K69" s="300">
        <f t="shared" si="19"/>
        <v>660.43587065573956</v>
      </c>
      <c r="L69" s="300">
        <f t="shared" si="19"/>
        <v>903.66728666410563</v>
      </c>
    </row>
    <row r="70" spans="2:12" ht="12.75" customHeight="1">
      <c r="B70" s="1">
        <v>1996</v>
      </c>
      <c r="C70" s="300">
        <f t="shared" si="19"/>
        <v>-5391.5548210846973</v>
      </c>
      <c r="D70" s="300">
        <f t="shared" si="19"/>
        <v>-4245.1640392661211</v>
      </c>
      <c r="E70" s="300">
        <f t="shared" si="19"/>
        <v>-3264.7201249808386</v>
      </c>
      <c r="F70" s="300">
        <f t="shared" si="19"/>
        <v>-3502.5628316126931</v>
      </c>
      <c r="G70" s="300">
        <f t="shared" si="19"/>
        <v>-1543.9991915404207</v>
      </c>
      <c r="H70" s="300">
        <f t="shared" si="19"/>
        <v>1722.2559679668302</v>
      </c>
      <c r="I70" s="300">
        <f t="shared" si="19"/>
        <v>-1622.0898586025542</v>
      </c>
      <c r="J70" s="300">
        <f t="shared" si="19"/>
        <v>-2480.9850921657235</v>
      </c>
      <c r="K70" s="300">
        <f t="shared" si="19"/>
        <v>912.33975161871786</v>
      </c>
      <c r="L70" s="300">
        <f t="shared" si="19"/>
        <v>708.42564824966394</v>
      </c>
    </row>
    <row r="71" spans="2:12" ht="12.75" customHeight="1">
      <c r="B71" s="1">
        <v>1997</v>
      </c>
      <c r="C71" s="300">
        <f t="shared" si="19"/>
        <v>-5840.2485035541431</v>
      </c>
      <c r="D71" s="300">
        <f t="shared" si="19"/>
        <v>-4600.1029021571521</v>
      </c>
      <c r="E71" s="300">
        <f t="shared" si="19"/>
        <v>-3211.6705161048922</v>
      </c>
      <c r="F71" s="300">
        <f t="shared" si="19"/>
        <v>-3834.7675264894315</v>
      </c>
      <c r="G71" s="300">
        <f t="shared" si="19"/>
        <v>-1737.2611596096031</v>
      </c>
      <c r="H71" s="300">
        <f t="shared" si="19"/>
        <v>1863.0124960092253</v>
      </c>
      <c r="I71" s="300">
        <f t="shared" si="19"/>
        <v>-1826.096904303562</v>
      </c>
      <c r="J71" s="300">
        <f t="shared" si="19"/>
        <v>-3612.471311252717</v>
      </c>
      <c r="K71" s="300">
        <f t="shared" si="19"/>
        <v>1854.6371953239686</v>
      </c>
      <c r="L71" s="300">
        <f t="shared" si="19"/>
        <v>368.68574477406582</v>
      </c>
    </row>
    <row r="72" spans="2:12" ht="12.75" customHeight="1">
      <c r="B72" s="1">
        <v>1998</v>
      </c>
      <c r="C72" s="300">
        <f t="shared" ref="C72:L79" si="20">C22-$B22</f>
        <v>-5849.0504222447198</v>
      </c>
      <c r="D72" s="300">
        <f t="shared" si="20"/>
        <v>-4779.4472215847491</v>
      </c>
      <c r="E72" s="300">
        <f t="shared" si="20"/>
        <v>-3025.3608701218436</v>
      </c>
      <c r="F72" s="300">
        <f t="shared" si="20"/>
        <v>-3717.2521235693566</v>
      </c>
      <c r="G72" s="300">
        <f t="shared" si="20"/>
        <v>-1867.0065423230408</v>
      </c>
      <c r="H72" s="300">
        <f t="shared" si="20"/>
        <v>1988.3583735190987</v>
      </c>
      <c r="I72" s="300">
        <f t="shared" si="20"/>
        <v>-1752.5957336521788</v>
      </c>
      <c r="J72" s="300">
        <f t="shared" si="20"/>
        <v>-3620.0386883216124</v>
      </c>
      <c r="K72" s="300">
        <f t="shared" si="20"/>
        <v>2185.7790472555207</v>
      </c>
      <c r="L72" s="300">
        <f t="shared" si="20"/>
        <v>-177.91142189503807</v>
      </c>
    </row>
    <row r="73" spans="2:12" ht="12.75" customHeight="1">
      <c r="B73" s="1">
        <v>1999</v>
      </c>
      <c r="C73" s="300">
        <f t="shared" si="20"/>
        <v>-5786.6757604637605</v>
      </c>
      <c r="D73" s="300">
        <f t="shared" si="20"/>
        <v>-4852.1277232518914</v>
      </c>
      <c r="E73" s="300">
        <f t="shared" si="20"/>
        <v>-2830.3192725212684</v>
      </c>
      <c r="F73" s="300">
        <f t="shared" si="20"/>
        <v>-3595.2223652907342</v>
      </c>
      <c r="G73" s="300">
        <f t="shared" si="20"/>
        <v>-1906.1674917546552</v>
      </c>
      <c r="H73" s="300">
        <f t="shared" si="20"/>
        <v>2205.0523151075904</v>
      </c>
      <c r="I73" s="300">
        <f t="shared" si="20"/>
        <v>-2194.902626488285</v>
      </c>
      <c r="J73" s="300">
        <f t="shared" si="20"/>
        <v>-3732.3556821306593</v>
      </c>
      <c r="K73" s="300">
        <f t="shared" si="20"/>
        <v>1726.2704648390281</v>
      </c>
      <c r="L73" s="300">
        <f t="shared" si="20"/>
        <v>-463.14374356148983</v>
      </c>
    </row>
    <row r="74" spans="2:12" ht="12.75" customHeight="1">
      <c r="B74" s="1">
        <v>2000</v>
      </c>
      <c r="C74" s="300">
        <f t="shared" si="20"/>
        <v>-6320.9859946328688</v>
      </c>
      <c r="D74" s="300">
        <f t="shared" si="20"/>
        <v>-5081.4678834922634</v>
      </c>
      <c r="E74" s="300">
        <f t="shared" si="20"/>
        <v>-3449.6007369466643</v>
      </c>
      <c r="F74" s="300">
        <f t="shared" si="20"/>
        <v>-4157.4158523432161</v>
      </c>
      <c r="G74" s="300">
        <f t="shared" si="20"/>
        <v>-1956.5004638509818</v>
      </c>
      <c r="H74" s="300">
        <f t="shared" si="20"/>
        <v>2369.6934690414528</v>
      </c>
      <c r="I74" s="300">
        <f t="shared" si="20"/>
        <v>-2673.340880797874</v>
      </c>
      <c r="J74" s="300">
        <f t="shared" si="20"/>
        <v>-4401.6188552183703</v>
      </c>
      <c r="K74" s="300">
        <f t="shared" si="20"/>
        <v>2269.7642293780409</v>
      </c>
      <c r="L74" s="300">
        <f t="shared" si="20"/>
        <v>-742.05416213122953</v>
      </c>
    </row>
    <row r="75" spans="2:12" ht="12.75" customHeight="1">
      <c r="B75" s="1">
        <v>2001</v>
      </c>
      <c r="C75" s="300">
        <f t="shared" si="20"/>
        <v>-6081.0783365228453</v>
      </c>
      <c r="D75" s="300">
        <f t="shared" si="20"/>
        <v>-5521.1653909979941</v>
      </c>
      <c r="E75" s="300">
        <f t="shared" si="20"/>
        <v>-3475.0745912502898</v>
      </c>
      <c r="F75" s="300">
        <f t="shared" si="20"/>
        <v>-4446.937705587352</v>
      </c>
      <c r="G75" s="300">
        <f t="shared" si="20"/>
        <v>-1959.234859070104</v>
      </c>
      <c r="H75" s="300">
        <f t="shared" si="20"/>
        <v>2104.4407080841593</v>
      </c>
      <c r="I75" s="300">
        <f t="shared" si="20"/>
        <v>-2867.6900939166735</v>
      </c>
      <c r="J75" s="300">
        <f t="shared" si="20"/>
        <v>-4614.1465216497636</v>
      </c>
      <c r="K75" s="300">
        <f t="shared" si="20"/>
        <v>3833.827975232507</v>
      </c>
      <c r="L75" s="300">
        <f t="shared" si="20"/>
        <v>-1179.9030605148437</v>
      </c>
    </row>
    <row r="76" spans="2:12" ht="12.75" customHeight="1">
      <c r="B76" s="1">
        <v>2002</v>
      </c>
      <c r="C76" s="300">
        <f t="shared" si="20"/>
        <v>-5710.6407254764345</v>
      </c>
      <c r="D76" s="300">
        <f t="shared" si="20"/>
        <v>-4836.0954984880373</v>
      </c>
      <c r="E76" s="300">
        <f t="shared" si="20"/>
        <v>-3242.6242979608578</v>
      </c>
      <c r="F76" s="300">
        <f t="shared" si="20"/>
        <v>-4243.4315762865954</v>
      </c>
      <c r="G76" s="300">
        <f t="shared" si="20"/>
        <v>-1859.6651838220059</v>
      </c>
      <c r="H76" s="300">
        <f t="shared" si="20"/>
        <v>1885.3459739589925</v>
      </c>
      <c r="I76" s="300">
        <f t="shared" si="20"/>
        <v>-2693.7690533633941</v>
      </c>
      <c r="J76" s="300">
        <f t="shared" si="20"/>
        <v>-4430.3489780067321</v>
      </c>
      <c r="K76" s="300">
        <f t="shared" si="20"/>
        <v>3640.3759481322195</v>
      </c>
      <c r="L76" s="300">
        <f t="shared" si="20"/>
        <v>-984.60706695365297</v>
      </c>
    </row>
    <row r="77" spans="2:12" ht="12.75" customHeight="1">
      <c r="B77" s="1">
        <v>2003</v>
      </c>
      <c r="C77" s="300">
        <f t="shared" si="20"/>
        <v>-5465.8712535458799</v>
      </c>
      <c r="D77" s="300">
        <f t="shared" si="20"/>
        <v>-5218.5319612498242</v>
      </c>
      <c r="E77" s="300">
        <f t="shared" si="20"/>
        <v>-3383.1334439423772</v>
      </c>
      <c r="F77" s="300">
        <f t="shared" si="20"/>
        <v>-4175.5938584935175</v>
      </c>
      <c r="G77" s="300">
        <f t="shared" si="20"/>
        <v>-1636.5988082062067</v>
      </c>
      <c r="H77" s="300">
        <f t="shared" si="20"/>
        <v>1682.5284805882147</v>
      </c>
      <c r="I77" s="300">
        <f t="shared" si="20"/>
        <v>-2837.1314116420726</v>
      </c>
      <c r="J77" s="300">
        <f t="shared" si="20"/>
        <v>-3932.7746315971162</v>
      </c>
      <c r="K77" s="300">
        <f t="shared" si="20"/>
        <v>3742.7091489478989</v>
      </c>
      <c r="L77" s="300">
        <f t="shared" si="20"/>
        <v>-1037.3994014029195</v>
      </c>
    </row>
    <row r="78" spans="2:12" ht="12.75" customHeight="1">
      <c r="B78" s="1">
        <v>2004</v>
      </c>
      <c r="C78" s="300">
        <f t="shared" si="20"/>
        <v>-5969.123024414268</v>
      </c>
      <c r="D78" s="300">
        <f t="shared" si="20"/>
        <v>-5832.9481309641524</v>
      </c>
      <c r="E78" s="300">
        <f t="shared" si="20"/>
        <v>-3779.4082338442458</v>
      </c>
      <c r="F78" s="300">
        <f t="shared" si="20"/>
        <v>-4315.2876126310766</v>
      </c>
      <c r="G78" s="300">
        <f t="shared" si="20"/>
        <v>-1894.1136697589282</v>
      </c>
      <c r="H78" s="300">
        <f t="shared" si="20"/>
        <v>1550.5144229635771</v>
      </c>
      <c r="I78" s="300">
        <f t="shared" si="20"/>
        <v>-3049.8544834895874</v>
      </c>
      <c r="J78" s="300">
        <f t="shared" si="20"/>
        <v>-3493.5022991477381</v>
      </c>
      <c r="K78" s="300">
        <f t="shared" si="20"/>
        <v>4770.4144355931421</v>
      </c>
      <c r="L78" s="300">
        <f t="shared" si="20"/>
        <v>-906.61142467834725</v>
      </c>
    </row>
    <row r="79" spans="2:12" ht="12.75" customHeight="1">
      <c r="B79" s="1">
        <v>2005</v>
      </c>
      <c r="C79" s="300">
        <f t="shared" si="20"/>
        <v>-6333.4011707251957</v>
      </c>
      <c r="D79" s="300">
        <f t="shared" si="20"/>
        <v>-6306.5948095465501</v>
      </c>
      <c r="E79" s="300">
        <f t="shared" si="20"/>
        <v>-3706.7719801057756</v>
      </c>
      <c r="F79" s="300">
        <f t="shared" si="20"/>
        <v>-4640.0791506051901</v>
      </c>
      <c r="G79" s="300">
        <f t="shared" si="20"/>
        <v>-2293.0163379769438</v>
      </c>
      <c r="H79" s="300">
        <f t="shared" si="20"/>
        <v>1356.6085560469692</v>
      </c>
      <c r="I79" s="300">
        <f t="shared" si="20"/>
        <v>-3472.5486823243373</v>
      </c>
      <c r="J79" s="300">
        <f t="shared" si="20"/>
        <v>-4084.5741089819203</v>
      </c>
      <c r="K79" s="300">
        <f t="shared" si="20"/>
        <v>6496.3709968661897</v>
      </c>
      <c r="L79" s="300">
        <f t="shared" si="20"/>
        <v>-770.89319840399912</v>
      </c>
    </row>
    <row r="80" spans="2:12" s="972" customFormat="1" ht="12.75" customHeight="1">
      <c r="C80" s="300">
        <f t="shared" ref="C80:L80" si="21">C30-$B30</f>
        <v>-2778.5725761716931</v>
      </c>
      <c r="D80" s="300">
        <f t="shared" si="21"/>
        <v>-6835.2137523484344</v>
      </c>
      <c r="E80" s="300">
        <f t="shared" si="21"/>
        <v>-4428.5897771366617</v>
      </c>
      <c r="F80" s="300">
        <f t="shared" si="21"/>
        <v>-5297.9324835180523</v>
      </c>
      <c r="G80" s="300">
        <f t="shared" si="21"/>
        <v>-2929.2048596883142</v>
      </c>
      <c r="H80" s="300">
        <f t="shared" si="21"/>
        <v>980.73068400950433</v>
      </c>
      <c r="I80" s="300">
        <f t="shared" si="21"/>
        <v>-3827.311283594292</v>
      </c>
      <c r="J80" s="300">
        <f t="shared" si="21"/>
        <v>-4295.4240828354959</v>
      </c>
      <c r="K80" s="300">
        <f t="shared" si="21"/>
        <v>8612.3359477352278</v>
      </c>
      <c r="L80" s="300">
        <f t="shared" si="21"/>
        <v>-357.11191675891314</v>
      </c>
    </row>
    <row r="81" spans="2:12" s="972" customFormat="1" ht="12.75" customHeight="1">
      <c r="C81" s="300">
        <f t="shared" ref="C81:L81" si="22">C31-$B31</f>
        <v>-4556.4563482794911</v>
      </c>
      <c r="D81" s="300">
        <f t="shared" si="22"/>
        <v>-7233.0534977167772</v>
      </c>
      <c r="E81" s="300">
        <f t="shared" si="22"/>
        <v>-4692.678028416467</v>
      </c>
      <c r="F81" s="300">
        <f t="shared" si="22"/>
        <v>-5597.8302933840423</v>
      </c>
      <c r="G81" s="300">
        <f t="shared" si="22"/>
        <v>-3049.0923681565146</v>
      </c>
      <c r="H81" s="300">
        <f t="shared" si="22"/>
        <v>702.68006482268538</v>
      </c>
      <c r="I81" s="300">
        <f t="shared" si="22"/>
        <v>-3663.0802557447787</v>
      </c>
      <c r="J81" s="300">
        <f t="shared" si="22"/>
        <v>-3572.9217436114704</v>
      </c>
      <c r="K81" s="300">
        <f t="shared" si="22"/>
        <v>9807.1162083010713</v>
      </c>
      <c r="L81" s="300">
        <f t="shared" si="22"/>
        <v>-359.34410086142452</v>
      </c>
    </row>
    <row r="82" spans="2:12" s="972" customFormat="1" ht="12.75" customHeight="1">
      <c r="C82" s="300">
        <f t="shared" ref="C82:L82" si="23">C32-$B32</f>
        <v>-6357.8309444604893</v>
      </c>
      <c r="D82" s="300">
        <f t="shared" si="23"/>
        <v>-7903.0921013021907</v>
      </c>
      <c r="E82" s="300">
        <f t="shared" si="23"/>
        <v>-4924.9612169142711</v>
      </c>
      <c r="F82" s="300">
        <f t="shared" si="23"/>
        <v>-5782.3630542903229</v>
      </c>
      <c r="G82" s="300">
        <f t="shared" si="23"/>
        <v>-3455.9528555066136</v>
      </c>
      <c r="H82" s="300">
        <f t="shared" si="23"/>
        <v>447.22608158030926</v>
      </c>
      <c r="I82" s="300">
        <f t="shared" si="23"/>
        <v>-3532.393860845099</v>
      </c>
      <c r="J82" s="300">
        <f t="shared" si="23"/>
        <v>-1462.0385317994951</v>
      </c>
      <c r="K82" s="300">
        <f t="shared" si="23"/>
        <v>11247.224012248407</v>
      </c>
      <c r="L82" s="300">
        <f t="shared" si="23"/>
        <v>-405.41865070151835</v>
      </c>
    </row>
    <row r="83" spans="2:12" ht="12.75" customHeight="1"/>
    <row r="84" spans="2:12" ht="12.75" customHeight="1">
      <c r="B84" s="1" t="s">
        <v>280</v>
      </c>
    </row>
    <row r="85" spans="2:12" ht="12.75" customHeight="1">
      <c r="B85" s="1">
        <v>1981</v>
      </c>
      <c r="C85" s="300">
        <f>C55^2</f>
        <v>14906933.809988949</v>
      </c>
      <c r="D85" s="300">
        <f t="shared" ref="D85:L85" si="24">D55^2</f>
        <v>10986346.495657733</v>
      </c>
      <c r="E85" s="300">
        <f t="shared" si="24"/>
        <v>4917064.8841074966</v>
      </c>
      <c r="F85" s="300">
        <f t="shared" si="24"/>
        <v>8607579.5304282848</v>
      </c>
      <c r="G85" s="300">
        <f t="shared" si="24"/>
        <v>1057805.4251930385</v>
      </c>
      <c r="H85" s="300">
        <f t="shared" si="24"/>
        <v>438983.96968350461</v>
      </c>
      <c r="I85" s="300">
        <f t="shared" si="24"/>
        <v>819427.22288772371</v>
      </c>
      <c r="J85" s="300">
        <f t="shared" si="24"/>
        <v>624259.7333701395</v>
      </c>
      <c r="K85" s="300">
        <f t="shared" si="24"/>
        <v>4408553.5663384078</v>
      </c>
      <c r="L85" s="300">
        <f t="shared" si="24"/>
        <v>2108316.6124141752</v>
      </c>
    </row>
    <row r="86" spans="2:12" ht="12.75" customHeight="1">
      <c r="B86" s="1">
        <v>1982</v>
      </c>
      <c r="C86" s="300">
        <f t="shared" ref="C86:L101" si="25">C56^2</f>
        <v>16523205.391558327</v>
      </c>
      <c r="D86" s="300">
        <f t="shared" si="25"/>
        <v>10801607.033839891</v>
      </c>
      <c r="E86" s="300">
        <f t="shared" si="25"/>
        <v>5112793.4701943025</v>
      </c>
      <c r="F86" s="300">
        <f t="shared" si="25"/>
        <v>8749582.279181188</v>
      </c>
      <c r="G86" s="300">
        <f t="shared" si="25"/>
        <v>1606931.5688853557</v>
      </c>
      <c r="H86" s="300">
        <f t="shared" si="25"/>
        <v>826517.00747848162</v>
      </c>
      <c r="I86" s="300">
        <f t="shared" si="25"/>
        <v>657423.25299382058</v>
      </c>
      <c r="J86" s="300">
        <f t="shared" si="25"/>
        <v>397826.22987319325</v>
      </c>
      <c r="K86" s="300">
        <f t="shared" si="25"/>
        <v>3764708.3239649143</v>
      </c>
      <c r="L86" s="300">
        <f t="shared" si="25"/>
        <v>1545833.662806957</v>
      </c>
    </row>
    <row r="87" spans="2:12" ht="12.75" customHeight="1">
      <c r="B87" s="1">
        <v>1983</v>
      </c>
      <c r="C87" s="300">
        <f t="shared" si="25"/>
        <v>18429199.970497239</v>
      </c>
      <c r="D87" s="300">
        <f t="shared" si="25"/>
        <v>9815500.269904526</v>
      </c>
      <c r="E87" s="300">
        <f t="shared" si="25"/>
        <v>4541305.3935749717</v>
      </c>
      <c r="F87" s="300">
        <f t="shared" si="25"/>
        <v>8553001.9376652837</v>
      </c>
      <c r="G87" s="300">
        <f t="shared" si="25"/>
        <v>1733751.6311560536</v>
      </c>
      <c r="H87" s="300">
        <f t="shared" si="25"/>
        <v>1530090.6710415233</v>
      </c>
      <c r="I87" s="300">
        <f t="shared" si="25"/>
        <v>1438825.5001933896</v>
      </c>
      <c r="J87" s="300">
        <f t="shared" si="25"/>
        <v>1492764.0894430086</v>
      </c>
      <c r="K87" s="300">
        <f t="shared" si="25"/>
        <v>2413595.7257728586</v>
      </c>
      <c r="L87" s="300">
        <f t="shared" si="25"/>
        <v>911810.67940388492</v>
      </c>
    </row>
    <row r="88" spans="2:12" ht="12.75" customHeight="1">
      <c r="B88" s="1">
        <v>1984</v>
      </c>
      <c r="C88" s="300">
        <f t="shared" si="25"/>
        <v>23584634.160362981</v>
      </c>
      <c r="D88" s="300">
        <f t="shared" si="25"/>
        <v>12898551.825644689</v>
      </c>
      <c r="E88" s="300">
        <f t="shared" si="25"/>
        <v>4980807.6839764155</v>
      </c>
      <c r="F88" s="300">
        <f t="shared" si="25"/>
        <v>9686589.4851806965</v>
      </c>
      <c r="G88" s="300">
        <f t="shared" si="25"/>
        <v>1471418.6266158842</v>
      </c>
      <c r="H88" s="300">
        <f t="shared" si="25"/>
        <v>2147548.6084938245</v>
      </c>
      <c r="I88" s="300">
        <f t="shared" si="25"/>
        <v>607083.9573361756</v>
      </c>
      <c r="J88" s="300">
        <f t="shared" si="25"/>
        <v>2423910.4077656395</v>
      </c>
      <c r="K88" s="300">
        <f t="shared" si="25"/>
        <v>1219320.7056631814</v>
      </c>
      <c r="L88" s="300">
        <f t="shared" si="25"/>
        <v>244304.70324171428</v>
      </c>
    </row>
    <row r="89" spans="2:12" ht="12.75" customHeight="1">
      <c r="B89" s="1">
        <v>1985</v>
      </c>
      <c r="C89" s="300">
        <f t="shared" si="25"/>
        <v>27294207.329498518</v>
      </c>
      <c r="D89" s="300">
        <f t="shared" si="25"/>
        <v>16398027.489649182</v>
      </c>
      <c r="E89" s="300">
        <f t="shared" si="25"/>
        <v>5027562.0710197687</v>
      </c>
      <c r="F89" s="300">
        <f t="shared" si="25"/>
        <v>11913802.375882506</v>
      </c>
      <c r="G89" s="300">
        <f t="shared" si="25"/>
        <v>1818448.9227127035</v>
      </c>
      <c r="H89" s="300">
        <f t="shared" si="25"/>
        <v>2574344.2098199655</v>
      </c>
      <c r="I89" s="300">
        <f t="shared" si="25"/>
        <v>594707.44364755868</v>
      </c>
      <c r="J89" s="300">
        <f t="shared" si="25"/>
        <v>3337792.6721927975</v>
      </c>
      <c r="K89" s="300">
        <f t="shared" si="25"/>
        <v>2234317.5076829353</v>
      </c>
      <c r="L89" s="300">
        <f t="shared" si="25"/>
        <v>69390.998967277206</v>
      </c>
    </row>
    <row r="90" spans="2:12" ht="12.75" customHeight="1">
      <c r="B90" s="1">
        <v>1986</v>
      </c>
      <c r="C90" s="300">
        <f t="shared" si="25"/>
        <v>27951969.590576723</v>
      </c>
      <c r="D90" s="300">
        <f t="shared" si="25"/>
        <v>12832725.036661828</v>
      </c>
      <c r="E90" s="300">
        <f t="shared" si="25"/>
        <v>5804864.4192806613</v>
      </c>
      <c r="F90" s="300">
        <f t="shared" si="25"/>
        <v>11093071.100497654</v>
      </c>
      <c r="G90" s="300">
        <f t="shared" si="25"/>
        <v>1883382.6786330615</v>
      </c>
      <c r="H90" s="300">
        <f t="shared" si="25"/>
        <v>3329182.4131843969</v>
      </c>
      <c r="I90" s="300">
        <f t="shared" si="25"/>
        <v>1015139.4524960776</v>
      </c>
      <c r="J90" s="300">
        <f t="shared" si="25"/>
        <v>1822575.9453196502</v>
      </c>
      <c r="K90" s="300">
        <f t="shared" si="25"/>
        <v>784709.20670886361</v>
      </c>
      <c r="L90" s="300">
        <f t="shared" si="25"/>
        <v>803.33261177727479</v>
      </c>
    </row>
    <row r="91" spans="2:12" ht="12.75" customHeight="1">
      <c r="B91" s="1">
        <v>1987</v>
      </c>
      <c r="C91" s="300">
        <f t="shared" si="25"/>
        <v>26023766.874066614</v>
      </c>
      <c r="D91" s="300">
        <f t="shared" si="25"/>
        <v>14293187.411296828</v>
      </c>
      <c r="E91" s="300">
        <f t="shared" si="25"/>
        <v>5812057.3483283864</v>
      </c>
      <c r="F91" s="300">
        <f t="shared" si="25"/>
        <v>11576946.295149134</v>
      </c>
      <c r="G91" s="300">
        <f t="shared" si="25"/>
        <v>1785556.197745146</v>
      </c>
      <c r="H91" s="300">
        <f t="shared" si="25"/>
        <v>4633170.0613572337</v>
      </c>
      <c r="I91" s="300">
        <f t="shared" si="25"/>
        <v>2090670.9595978081</v>
      </c>
      <c r="J91" s="300">
        <f t="shared" si="25"/>
        <v>9910129.1723185014</v>
      </c>
      <c r="K91" s="300">
        <f t="shared" si="25"/>
        <v>55803.431430434794</v>
      </c>
      <c r="L91" s="300">
        <f t="shared" si="25"/>
        <v>2141.2418094028658</v>
      </c>
    </row>
    <row r="92" spans="2:12" ht="12.75" customHeight="1">
      <c r="B92" s="1">
        <v>1988</v>
      </c>
      <c r="C92" s="300">
        <f t="shared" si="25"/>
        <v>30321474.567289166</v>
      </c>
      <c r="D92" s="300">
        <f t="shared" si="25"/>
        <v>14963118.860965358</v>
      </c>
      <c r="E92" s="300">
        <f t="shared" si="25"/>
        <v>7605745.9160051895</v>
      </c>
      <c r="F92" s="300">
        <f t="shared" si="25"/>
        <v>13966118.840358078</v>
      </c>
      <c r="G92" s="300">
        <f t="shared" si="25"/>
        <v>2662131.2667480879</v>
      </c>
      <c r="H92" s="300">
        <f t="shared" si="25"/>
        <v>6060414.6554040983</v>
      </c>
      <c r="I92" s="300">
        <f t="shared" si="25"/>
        <v>3284475.766624073</v>
      </c>
      <c r="J92" s="300">
        <f t="shared" si="25"/>
        <v>12468695.832903579</v>
      </c>
      <c r="K92" s="300">
        <f t="shared" si="25"/>
        <v>161567.56256525722</v>
      </c>
      <c r="L92" s="300">
        <f t="shared" si="25"/>
        <v>1653.1219607550197</v>
      </c>
    </row>
    <row r="93" spans="2:12" ht="12.75" customHeight="1">
      <c r="B93" s="1">
        <v>1989</v>
      </c>
      <c r="C93" s="300">
        <f t="shared" si="25"/>
        <v>33855387.165707722</v>
      </c>
      <c r="D93" s="300">
        <f t="shared" si="25"/>
        <v>17975846.637820259</v>
      </c>
      <c r="E93" s="300">
        <f t="shared" si="25"/>
        <v>8719563.5298882127</v>
      </c>
      <c r="F93" s="300">
        <f t="shared" si="25"/>
        <v>16134258.718969254</v>
      </c>
      <c r="G93" s="300">
        <f t="shared" si="25"/>
        <v>3325018.4145353441</v>
      </c>
      <c r="H93" s="300">
        <f t="shared" si="25"/>
        <v>6962368.6948763356</v>
      </c>
      <c r="I93" s="300">
        <f t="shared" si="25"/>
        <v>4466416.8818742447</v>
      </c>
      <c r="J93" s="300">
        <f t="shared" si="25"/>
        <v>16184858.267889962</v>
      </c>
      <c r="K93" s="300">
        <f t="shared" si="25"/>
        <v>18335.087370362511</v>
      </c>
      <c r="L93" s="300">
        <f t="shared" si="25"/>
        <v>94385.530903437568</v>
      </c>
    </row>
    <row r="94" spans="2:12" ht="12.75" customHeight="1">
      <c r="B94" s="1">
        <v>1990</v>
      </c>
      <c r="C94" s="300">
        <f t="shared" si="25"/>
        <v>32927191.424957082</v>
      </c>
      <c r="D94" s="300">
        <f t="shared" si="25"/>
        <v>18591589.775769867</v>
      </c>
      <c r="E94" s="300">
        <f t="shared" si="25"/>
        <v>8707344.8992125746</v>
      </c>
      <c r="F94" s="300">
        <f t="shared" si="25"/>
        <v>17534141.36462792</v>
      </c>
      <c r="G94" s="300">
        <f t="shared" si="25"/>
        <v>3127137.025956538</v>
      </c>
      <c r="H94" s="300">
        <f t="shared" si="25"/>
        <v>5236385.9750058623</v>
      </c>
      <c r="I94" s="300">
        <f t="shared" si="25"/>
        <v>3360826.0599630252</v>
      </c>
      <c r="J94" s="300">
        <f t="shared" si="25"/>
        <v>12635569.728898475</v>
      </c>
      <c r="K94" s="300">
        <f t="shared" si="25"/>
        <v>167144.97159865539</v>
      </c>
      <c r="L94" s="300">
        <f t="shared" si="25"/>
        <v>489389.10209413694</v>
      </c>
    </row>
    <row r="95" spans="2:12" ht="12.75" customHeight="1">
      <c r="B95" s="1">
        <v>1991</v>
      </c>
      <c r="C95" s="300">
        <f t="shared" si="25"/>
        <v>30218696.334549904</v>
      </c>
      <c r="D95" s="300">
        <f t="shared" si="25"/>
        <v>16256496.891763637</v>
      </c>
      <c r="E95" s="300">
        <f t="shared" si="25"/>
        <v>7718524.9930800302</v>
      </c>
      <c r="F95" s="300">
        <f t="shared" si="25"/>
        <v>15982479.30840328</v>
      </c>
      <c r="G95" s="300">
        <f t="shared" si="25"/>
        <v>3015953.0836196272</v>
      </c>
      <c r="H95" s="300">
        <f t="shared" si="25"/>
        <v>4650884.5888908766</v>
      </c>
      <c r="I95" s="300">
        <f t="shared" si="25"/>
        <v>4383349.6997123891</v>
      </c>
      <c r="J95" s="300">
        <f t="shared" si="25"/>
        <v>12263038.815884927</v>
      </c>
      <c r="K95" s="300">
        <f t="shared" si="25"/>
        <v>358277.8068287088</v>
      </c>
      <c r="L95" s="300">
        <f t="shared" si="25"/>
        <v>547620.17121080426</v>
      </c>
    </row>
    <row r="96" spans="2:12" ht="12.75" customHeight="1">
      <c r="B96" s="1">
        <v>1992</v>
      </c>
      <c r="C96" s="300">
        <f t="shared" si="25"/>
        <v>29701305.975375578</v>
      </c>
      <c r="D96" s="300">
        <f t="shared" si="25"/>
        <v>15736824.074146364</v>
      </c>
      <c r="E96" s="300">
        <f t="shared" si="25"/>
        <v>7140988.5222135857</v>
      </c>
      <c r="F96" s="300">
        <f t="shared" si="25"/>
        <v>14097874.632543221</v>
      </c>
      <c r="G96" s="300">
        <f t="shared" si="25"/>
        <v>2890655.6005979227</v>
      </c>
      <c r="H96" s="300">
        <f t="shared" si="25"/>
        <v>4531439.1910389457</v>
      </c>
      <c r="I96" s="300">
        <f t="shared" si="25"/>
        <v>4028569.8224737854</v>
      </c>
      <c r="J96" s="300">
        <f t="shared" si="25"/>
        <v>16228130.299175819</v>
      </c>
      <c r="K96" s="300">
        <f t="shared" si="25"/>
        <v>275710.72491127782</v>
      </c>
      <c r="L96" s="300">
        <f t="shared" si="25"/>
        <v>617621.22707207967</v>
      </c>
    </row>
    <row r="97" spans="2:12" ht="12.75" customHeight="1">
      <c r="B97" s="1">
        <v>1993</v>
      </c>
      <c r="C97" s="300">
        <f t="shared" si="25"/>
        <v>28015781.285876423</v>
      </c>
      <c r="D97" s="300">
        <f t="shared" si="25"/>
        <v>12864624.451255962</v>
      </c>
      <c r="E97" s="300">
        <f t="shared" si="25"/>
        <v>7237403.779987446</v>
      </c>
      <c r="F97" s="300">
        <f t="shared" si="25"/>
        <v>13261720.747767866</v>
      </c>
      <c r="G97" s="300">
        <f t="shared" si="25"/>
        <v>2356250.2862103852</v>
      </c>
      <c r="H97" s="300">
        <f t="shared" si="25"/>
        <v>3558961.9215327413</v>
      </c>
      <c r="I97" s="300">
        <f t="shared" si="25"/>
        <v>4941048.9641899075</v>
      </c>
      <c r="J97" s="300">
        <f t="shared" si="25"/>
        <v>15348906.442803426</v>
      </c>
      <c r="K97" s="300">
        <f t="shared" si="25"/>
        <v>648008.86583112925</v>
      </c>
      <c r="L97" s="300">
        <f t="shared" si="25"/>
        <v>791932.38812091539</v>
      </c>
    </row>
    <row r="98" spans="2:12" ht="12.75" customHeight="1">
      <c r="B98" s="1">
        <v>1994</v>
      </c>
      <c r="C98" s="300">
        <f t="shared" si="25"/>
        <v>24930353.601211142</v>
      </c>
      <c r="D98" s="300">
        <f t="shared" si="25"/>
        <v>15952639.553623436</v>
      </c>
      <c r="E98" s="300">
        <f t="shared" si="25"/>
        <v>7769240.9235260133</v>
      </c>
      <c r="F98" s="300">
        <f t="shared" si="25"/>
        <v>12110342.113642929</v>
      </c>
      <c r="G98" s="300">
        <f t="shared" si="25"/>
        <v>2339302.5577103393</v>
      </c>
      <c r="H98" s="300">
        <f t="shared" si="25"/>
        <v>3262137.2339823572</v>
      </c>
      <c r="I98" s="300">
        <f t="shared" si="25"/>
        <v>3944507.9255044726</v>
      </c>
      <c r="J98" s="300">
        <f t="shared" si="25"/>
        <v>14890382.729216311</v>
      </c>
      <c r="K98" s="300">
        <f t="shared" si="25"/>
        <v>494269.39662805613</v>
      </c>
      <c r="L98" s="300">
        <f t="shared" si="25"/>
        <v>1053439.5291608635</v>
      </c>
    </row>
    <row r="99" spans="2:12" ht="12.75" customHeight="1">
      <c r="B99" s="1">
        <v>1995</v>
      </c>
      <c r="C99" s="300">
        <f t="shared" si="25"/>
        <v>25843723.18376004</v>
      </c>
      <c r="D99" s="300">
        <f t="shared" si="25"/>
        <v>16505947.825729709</v>
      </c>
      <c r="E99" s="300">
        <f t="shared" si="25"/>
        <v>9110571.567293413</v>
      </c>
      <c r="F99" s="300">
        <f t="shared" si="25"/>
        <v>11726060.618498016</v>
      </c>
      <c r="G99" s="300">
        <f t="shared" si="25"/>
        <v>2582404.6089293398</v>
      </c>
      <c r="H99" s="300">
        <f t="shared" si="25"/>
        <v>3414039.4924635221</v>
      </c>
      <c r="I99" s="300">
        <f t="shared" si="25"/>
        <v>3770174.7953077559</v>
      </c>
      <c r="J99" s="300">
        <f t="shared" si="25"/>
        <v>10836214.55898552</v>
      </c>
      <c r="K99" s="300">
        <f t="shared" si="25"/>
        <v>436175.53924880474</v>
      </c>
      <c r="L99" s="300">
        <f t="shared" si="25"/>
        <v>816614.5649868669</v>
      </c>
    </row>
    <row r="100" spans="2:12" ht="12.75" customHeight="1">
      <c r="B100" s="1">
        <v>1996</v>
      </c>
      <c r="C100" s="300">
        <f t="shared" si="25"/>
        <v>29068863.388761643</v>
      </c>
      <c r="D100" s="300">
        <f t="shared" si="25"/>
        <v>18021417.720278248</v>
      </c>
      <c r="E100" s="300">
        <f t="shared" si="25"/>
        <v>10658397.494454902</v>
      </c>
      <c r="F100" s="300">
        <f t="shared" si="25"/>
        <v>12267946.389394727</v>
      </c>
      <c r="G100" s="300">
        <f t="shared" si="25"/>
        <v>2383933.5034774728</v>
      </c>
      <c r="H100" s="300">
        <f t="shared" si="25"/>
        <v>2966165.6191973635</v>
      </c>
      <c r="I100" s="300">
        <f t="shared" si="25"/>
        <v>2631175.5093812542</v>
      </c>
      <c r="J100" s="300">
        <f t="shared" si="25"/>
        <v>6155287.0275485637</v>
      </c>
      <c r="K100" s="300">
        <f t="shared" si="25"/>
        <v>832363.82238370378</v>
      </c>
      <c r="L100" s="300">
        <f t="shared" si="25"/>
        <v>501866.8990979566</v>
      </c>
    </row>
    <row r="101" spans="2:12" ht="12.75" customHeight="1">
      <c r="B101" s="1">
        <v>1997</v>
      </c>
      <c r="C101" s="300">
        <f t="shared" si="25"/>
        <v>34108502.583266407</v>
      </c>
      <c r="D101" s="300">
        <f t="shared" si="25"/>
        <v>21160946.710434653</v>
      </c>
      <c r="E101" s="300">
        <f t="shared" si="25"/>
        <v>10314827.504017465</v>
      </c>
      <c r="F101" s="300">
        <f t="shared" si="25"/>
        <v>14705441.982217873</v>
      </c>
      <c r="G101" s="300">
        <f t="shared" si="25"/>
        <v>3018076.3366881027</v>
      </c>
      <c r="H101" s="300">
        <f t="shared" si="25"/>
        <v>3470815.5602865238</v>
      </c>
      <c r="I101" s="300">
        <f t="shared" si="25"/>
        <v>3334629.9039070527</v>
      </c>
      <c r="J101" s="300">
        <f t="shared" si="25"/>
        <v>13049948.974623924</v>
      </c>
      <c r="K101" s="300">
        <f t="shared" si="25"/>
        <v>3439679.1262791567</v>
      </c>
      <c r="L101" s="300">
        <f t="shared" si="25"/>
        <v>135929.1783996076</v>
      </c>
    </row>
    <row r="102" spans="2:12" ht="12.75" customHeight="1">
      <c r="B102" s="1">
        <v>1998</v>
      </c>
      <c r="C102" s="300">
        <f t="shared" ref="C102:L102" si="26">C72^2</f>
        <v>34211390.841961138</v>
      </c>
      <c r="D102" s="300">
        <f t="shared" si="26"/>
        <v>22843115.743914176</v>
      </c>
      <c r="E102" s="300">
        <f t="shared" si="26"/>
        <v>9152808.3944643978</v>
      </c>
      <c r="F102" s="300">
        <f t="shared" si="26"/>
        <v>13817963.350180892</v>
      </c>
      <c r="G102" s="300">
        <f t="shared" si="26"/>
        <v>3485713.4290770362</v>
      </c>
      <c r="H102" s="300">
        <f t="shared" si="26"/>
        <v>3953569.0215435154</v>
      </c>
      <c r="I102" s="300">
        <f t="shared" si="26"/>
        <v>3071591.8056158186</v>
      </c>
      <c r="J102" s="300">
        <f t="shared" si="26"/>
        <v>13104680.104945261</v>
      </c>
      <c r="K102" s="300">
        <f t="shared" si="26"/>
        <v>4777630.0434212517</v>
      </c>
      <c r="L102" s="300">
        <f t="shared" si="26"/>
        <v>31652.474040714234</v>
      </c>
    </row>
    <row r="103" spans="2:12" ht="12.75" customHeight="1">
      <c r="B103" s="1">
        <v>1999</v>
      </c>
      <c r="C103" s="300">
        <f t="shared" ref="C103:L103" si="27">C73^2</f>
        <v>33485616.356738843</v>
      </c>
      <c r="D103" s="300">
        <f t="shared" si="27"/>
        <v>23543143.442749582</v>
      </c>
      <c r="E103" s="300">
        <f t="shared" si="27"/>
        <v>8010707.1844053222</v>
      </c>
      <c r="F103" s="300">
        <f t="shared" si="27"/>
        <v>12925623.855886701</v>
      </c>
      <c r="G103" s="300">
        <f t="shared" si="27"/>
        <v>3633474.5066222334</v>
      </c>
      <c r="H103" s="300">
        <f t="shared" si="27"/>
        <v>4862255.7123613441</v>
      </c>
      <c r="I103" s="300">
        <f t="shared" si="27"/>
        <v>4817597.5397651717</v>
      </c>
      <c r="J103" s="300">
        <f t="shared" si="27"/>
        <v>13930478.937933018</v>
      </c>
      <c r="K103" s="300">
        <f t="shared" si="27"/>
        <v>2980009.7177755544</v>
      </c>
      <c r="L103" s="300">
        <f t="shared" si="27"/>
        <v>214502.12720015104</v>
      </c>
    </row>
    <row r="104" spans="2:12" ht="12.75" customHeight="1">
      <c r="B104" s="1">
        <v>2000</v>
      </c>
      <c r="C104" s="300">
        <f t="shared" ref="C104:L104" si="28">C74^2</f>
        <v>39954863.944344878</v>
      </c>
      <c r="D104" s="300">
        <f t="shared" si="28"/>
        <v>25821315.850963343</v>
      </c>
      <c r="E104" s="300">
        <f t="shared" si="28"/>
        <v>11899745.24434297</v>
      </c>
      <c r="F104" s="300">
        <f t="shared" si="28"/>
        <v>17284106.56931467</v>
      </c>
      <c r="G104" s="300">
        <f t="shared" si="28"/>
        <v>3827894.0650491067</v>
      </c>
      <c r="H104" s="300">
        <f t="shared" si="28"/>
        <v>5615447.1372177145</v>
      </c>
      <c r="I104" s="300">
        <f t="shared" si="28"/>
        <v>7146751.4649451524</v>
      </c>
      <c r="J104" s="300">
        <f t="shared" si="28"/>
        <v>19374248.546613876</v>
      </c>
      <c r="K104" s="300">
        <f t="shared" si="28"/>
        <v>5151829.6569640916</v>
      </c>
      <c r="L104" s="300">
        <f t="shared" si="28"/>
        <v>550644.37953628111</v>
      </c>
    </row>
    <row r="105" spans="2:12" ht="12.75" customHeight="1">
      <c r="B105" s="1">
        <v>2001</v>
      </c>
      <c r="C105" s="300">
        <f t="shared" ref="C105:L105" si="29">C75^2</f>
        <v>36979513.734927453</v>
      </c>
      <c r="D105" s="300">
        <f t="shared" si="29"/>
        <v>30483267.274754032</v>
      </c>
      <c r="E105" s="300">
        <f t="shared" si="29"/>
        <v>12076143.414753368</v>
      </c>
      <c r="F105" s="300">
        <f t="shared" si="29"/>
        <v>19775254.957374502</v>
      </c>
      <c r="G105" s="300">
        <f t="shared" si="29"/>
        <v>3838601.23299545</v>
      </c>
      <c r="H105" s="300">
        <f t="shared" si="29"/>
        <v>4428670.6938417573</v>
      </c>
      <c r="I105" s="300">
        <f t="shared" si="29"/>
        <v>8223646.4747478198</v>
      </c>
      <c r="J105" s="300">
        <f t="shared" si="29"/>
        <v>21290348.123252612</v>
      </c>
      <c r="K105" s="300">
        <f t="shared" si="29"/>
        <v>14698236.943675384</v>
      </c>
      <c r="L105" s="300">
        <f t="shared" si="29"/>
        <v>1392171.2322122948</v>
      </c>
    </row>
    <row r="106" spans="2:12" ht="12.75" customHeight="1">
      <c r="B106" s="1">
        <v>2002</v>
      </c>
      <c r="C106" s="300">
        <f t="shared" ref="C106:L106" si="30">C76^2</f>
        <v>32611417.495470017</v>
      </c>
      <c r="D106" s="300">
        <f t="shared" si="30"/>
        <v>23387819.670496259</v>
      </c>
      <c r="E106" s="300">
        <f t="shared" si="30"/>
        <v>10514612.337726146</v>
      </c>
      <c r="F106" s="300">
        <f t="shared" si="30"/>
        <v>18006711.542626139</v>
      </c>
      <c r="G106" s="300">
        <f t="shared" si="30"/>
        <v>3458354.5959197353</v>
      </c>
      <c r="H106" s="300">
        <f t="shared" si="30"/>
        <v>3554529.441523382</v>
      </c>
      <c r="I106" s="300">
        <f t="shared" si="30"/>
        <v>7256391.7128583165</v>
      </c>
      <c r="J106" s="300">
        <f t="shared" si="30"/>
        <v>19627992.066925295</v>
      </c>
      <c r="K106" s="300">
        <f t="shared" si="30"/>
        <v>13252337.043739555</v>
      </c>
      <c r="L106" s="300">
        <f t="shared" si="30"/>
        <v>969451.07629507524</v>
      </c>
    </row>
    <row r="107" spans="2:12">
      <c r="B107" s="1">
        <v>2003</v>
      </c>
      <c r="C107" s="300">
        <f t="shared" ref="C107:L107" si="31">C77^2</f>
        <v>29875748.560339209</v>
      </c>
      <c r="D107" s="300">
        <f t="shared" si="31"/>
        <v>27233075.830585938</v>
      </c>
      <c r="E107" s="300">
        <f t="shared" si="31"/>
        <v>11445591.89952141</v>
      </c>
      <c r="F107" s="300">
        <f t="shared" si="31"/>
        <v>17435584.07108878</v>
      </c>
      <c r="G107" s="300">
        <f t="shared" si="31"/>
        <v>2678455.6590219764</v>
      </c>
      <c r="H107" s="300">
        <f t="shared" si="31"/>
        <v>2830902.0879904865</v>
      </c>
      <c r="I107" s="300">
        <f t="shared" si="31"/>
        <v>8049314.6469261395</v>
      </c>
      <c r="J107" s="300">
        <f t="shared" si="31"/>
        <v>15466716.302933833</v>
      </c>
      <c r="K107" s="300">
        <f t="shared" si="31"/>
        <v>14007871.773618305</v>
      </c>
      <c r="L107" s="300">
        <f t="shared" si="31"/>
        <v>1076197.5180311357</v>
      </c>
    </row>
    <row r="108" spans="2:12">
      <c r="B108" s="1">
        <v>2004</v>
      </c>
      <c r="C108" s="300">
        <f t="shared" ref="C108:L108" si="32">C78^2</f>
        <v>35630429.680592537</v>
      </c>
      <c r="D108" s="300">
        <f t="shared" si="32"/>
        <v>34023283.898518197</v>
      </c>
      <c r="E108" s="300">
        <f t="shared" si="32"/>
        <v>14283926.598049682</v>
      </c>
      <c r="F108" s="300">
        <f t="shared" si="32"/>
        <v>18621707.179727215</v>
      </c>
      <c r="G108" s="300">
        <f t="shared" si="32"/>
        <v>3587666.5939676338</v>
      </c>
      <c r="H108" s="300">
        <f t="shared" si="32"/>
        <v>2404094.9758180743</v>
      </c>
      <c r="I108" s="300">
        <f t="shared" si="32"/>
        <v>9301612.3704615384</v>
      </c>
      <c r="J108" s="300">
        <f t="shared" si="32"/>
        <v>12204558.314150533</v>
      </c>
      <c r="K108" s="300">
        <f t="shared" si="32"/>
        <v>22756853.887315437</v>
      </c>
      <c r="L108" s="300">
        <f t="shared" si="32"/>
        <v>821944.27535730251</v>
      </c>
    </row>
    <row r="109" spans="2:12">
      <c r="B109" s="1">
        <v>2005</v>
      </c>
      <c r="C109" s="300">
        <f t="shared" ref="C109:L109" si="33">C79^2</f>
        <v>40111970.389343277</v>
      </c>
      <c r="D109" s="300">
        <f t="shared" si="33"/>
        <v>39773138.09179949</v>
      </c>
      <c r="E109" s="300">
        <f t="shared" si="33"/>
        <v>13740158.512497293</v>
      </c>
      <c r="F109" s="300">
        <f t="shared" si="33"/>
        <v>21530334.523880981</v>
      </c>
      <c r="G109" s="300">
        <f t="shared" si="33"/>
        <v>5257923.9262291938</v>
      </c>
      <c r="H109" s="300">
        <f t="shared" si="33"/>
        <v>1840386.7743398426</v>
      </c>
      <c r="I109" s="300">
        <f t="shared" si="33"/>
        <v>12058594.351112491</v>
      </c>
      <c r="J109" s="300">
        <f t="shared" si="33"/>
        <v>16683745.651765449</v>
      </c>
      <c r="K109" s="300">
        <f t="shared" si="33"/>
        <v>42202836.128924213</v>
      </c>
      <c r="L109" s="300">
        <f t="shared" si="33"/>
        <v>594276.32334554754</v>
      </c>
    </row>
    <row r="110" spans="2:12">
      <c r="C110" s="300">
        <f t="shared" ref="C110:L110" si="34">C80^2</f>
        <v>7720465.561053399</v>
      </c>
      <c r="D110" s="300">
        <f t="shared" si="34"/>
        <v>46720147.040293165</v>
      </c>
      <c r="E110" s="300">
        <f t="shared" si="34"/>
        <v>19612407.414159346</v>
      </c>
      <c r="F110" s="300">
        <f t="shared" si="34"/>
        <v>28068088.599915758</v>
      </c>
      <c r="G110" s="300">
        <f t="shared" si="34"/>
        <v>8580241.1100216359</v>
      </c>
      <c r="H110" s="300">
        <f t="shared" si="34"/>
        <v>961832.67455775023</v>
      </c>
      <c r="I110" s="300">
        <f t="shared" si="34"/>
        <v>14648311.661528187</v>
      </c>
      <c r="J110" s="300">
        <f t="shared" si="34"/>
        <v>18450668.051403161</v>
      </c>
      <c r="K110" s="300">
        <f t="shared" si="34"/>
        <v>74172330.476652443</v>
      </c>
      <c r="L110" s="300">
        <f t="shared" si="34"/>
        <v>127528.92109122491</v>
      </c>
    </row>
    <row r="111" spans="2:12">
      <c r="C111" s="300">
        <f t="shared" ref="C111:L111" si="35">C81^2</f>
        <v>20761294.453776475</v>
      </c>
      <c r="D111" s="300">
        <f t="shared" si="35"/>
        <v>52317062.900832906</v>
      </c>
      <c r="E111" s="300">
        <f t="shared" si="35"/>
        <v>22021227.07838266</v>
      </c>
      <c r="F111" s="300">
        <f t="shared" si="35"/>
        <v>31335703.993528072</v>
      </c>
      <c r="G111" s="300">
        <f t="shared" si="35"/>
        <v>9296964.269550303</v>
      </c>
      <c r="H111" s="300">
        <f t="shared" si="35"/>
        <v>493759.27349921333</v>
      </c>
      <c r="I111" s="300">
        <f t="shared" si="35"/>
        <v>13418156.960027233</v>
      </c>
      <c r="J111" s="300">
        <f t="shared" si="35"/>
        <v>12765769.78597163</v>
      </c>
      <c r="K111" s="300">
        <f t="shared" si="35"/>
        <v>96179528.323121578</v>
      </c>
      <c r="L111" s="300">
        <f t="shared" si="35"/>
        <v>129128.18282390563</v>
      </c>
    </row>
    <row r="112" spans="2:12">
      <c r="C112" s="300">
        <f t="shared" ref="C112:L112" si="36">C82^2</f>
        <v>40422014.318339355</v>
      </c>
      <c r="D112" s="300">
        <f t="shared" si="36"/>
        <v>62458864.761665076</v>
      </c>
      <c r="E112" s="300">
        <f t="shared" si="36"/>
        <v>24255242.988109697</v>
      </c>
      <c r="F112" s="300">
        <f t="shared" si="36"/>
        <v>33435722.49162171</v>
      </c>
      <c r="G112" s="300">
        <f t="shared" si="36"/>
        <v>11943610.139484316</v>
      </c>
      <c r="H112" s="300">
        <f t="shared" si="36"/>
        <v>200011.16804567742</v>
      </c>
      <c r="I112" s="300">
        <f t="shared" si="36"/>
        <v>12477806.388136145</v>
      </c>
      <c r="J112" s="300">
        <f t="shared" si="36"/>
        <v>2137556.6684664232</v>
      </c>
      <c r="K112" s="300">
        <f t="shared" si="36"/>
        <v>126500047.98169716</v>
      </c>
      <c r="L112" s="300">
        <f t="shared" si="36"/>
        <v>164364.28233663974</v>
      </c>
    </row>
  </sheetData>
  <mergeCells count="12">
    <mergeCell ref="A50:L50"/>
    <mergeCell ref="F3:F4"/>
    <mergeCell ref="G3:G4"/>
    <mergeCell ref="H3:H4"/>
    <mergeCell ref="I3:I4"/>
    <mergeCell ref="B3:B4"/>
    <mergeCell ref="C3:C4"/>
    <mergeCell ref="D3:D4"/>
    <mergeCell ref="E3:E4"/>
    <mergeCell ref="J3:J4"/>
    <mergeCell ref="K3:K4"/>
    <mergeCell ref="L3:L4"/>
  </mergeCells>
  <phoneticPr fontId="35" type="noConversion"/>
  <pageMargins left="0.74803149606299213" right="0.74803149606299213" top="0.98425196850393704" bottom="0.98425196850393704" header="0.51181102362204722" footer="0.51181102362204722"/>
  <pageSetup scale="68" orientation="landscape" horizontalDpi="300" verticalDpi="300" r:id="rId1"/>
  <headerFooter alignWithMargins="0"/>
</worksheet>
</file>

<file path=xl/worksheets/sheet210.xml><?xml version="1.0" encoding="utf-8"?>
<worksheet xmlns="http://schemas.openxmlformats.org/spreadsheetml/2006/main" xmlns:r="http://schemas.openxmlformats.org/officeDocument/2006/relationships">
  <sheetPr codeName="Sheet205">
    <pageSetUpPr fitToPage="1"/>
  </sheetPr>
  <dimension ref="A1:L41"/>
  <sheetViews>
    <sheetView view="pageBreakPreview" zoomScaleNormal="100" zoomScaleSheetLayoutView="10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1"/>
    <col min="2" max="11" width="12.42578125" style="1" customWidth="1"/>
    <col min="12" max="16384" width="9.140625" style="1"/>
  </cols>
  <sheetData>
    <row r="1" spans="1:12" ht="15.75">
      <c r="A1" s="1320" t="s">
        <v>2256</v>
      </c>
      <c r="B1" s="1320"/>
      <c r="C1" s="1320"/>
      <c r="D1" s="1320"/>
      <c r="E1" s="1320"/>
      <c r="F1" s="1320"/>
      <c r="G1" s="1320"/>
      <c r="H1" s="1320"/>
      <c r="I1" s="1320"/>
      <c r="J1" s="1320"/>
      <c r="K1" s="1320"/>
      <c r="L1" s="1320"/>
    </row>
    <row r="3" spans="1:12" ht="63.75">
      <c r="A3" s="7"/>
      <c r="B3" s="646" t="s">
        <v>1591</v>
      </c>
      <c r="C3" s="511" t="s">
        <v>1592</v>
      </c>
      <c r="D3" s="646" t="s">
        <v>1596</v>
      </c>
      <c r="E3" s="646" t="s">
        <v>1597</v>
      </c>
      <c r="F3" s="649" t="s">
        <v>1593</v>
      </c>
      <c r="G3" s="511" t="s">
        <v>1594</v>
      </c>
      <c r="H3" s="646" t="s">
        <v>1598</v>
      </c>
      <c r="I3" s="646" t="s">
        <v>1599</v>
      </c>
      <c r="J3" s="649" t="s">
        <v>1595</v>
      </c>
      <c r="K3" s="513" t="s">
        <v>1601</v>
      </c>
    </row>
    <row r="4" spans="1:12">
      <c r="A4" s="2"/>
      <c r="B4" s="514" t="s">
        <v>1603</v>
      </c>
      <c r="C4" s="515" t="s">
        <v>585</v>
      </c>
      <c r="D4" s="516" t="s">
        <v>587</v>
      </c>
      <c r="E4" s="516" t="s">
        <v>588</v>
      </c>
      <c r="F4" s="514" t="s">
        <v>1604</v>
      </c>
      <c r="G4" s="515" t="s">
        <v>593</v>
      </c>
      <c r="H4" s="516" t="s">
        <v>595</v>
      </c>
      <c r="I4" s="516" t="s">
        <v>596</v>
      </c>
      <c r="J4" s="514" t="s">
        <v>1605</v>
      </c>
      <c r="K4" s="517" t="s">
        <v>1252</v>
      </c>
    </row>
    <row r="5" spans="1:12">
      <c r="A5" s="2">
        <v>1981</v>
      </c>
      <c r="B5" s="19">
        <v>130766</v>
      </c>
      <c r="C5" s="512">
        <v>35662</v>
      </c>
      <c r="D5" s="19">
        <v>9970</v>
      </c>
      <c r="E5" s="19">
        <v>85134</v>
      </c>
      <c r="F5" s="20">
        <v>266503</v>
      </c>
      <c r="G5" s="512">
        <v>70327</v>
      </c>
      <c r="H5" s="19">
        <v>85347</v>
      </c>
      <c r="I5" s="19">
        <v>110829</v>
      </c>
      <c r="J5" s="20">
        <v>-135738</v>
      </c>
      <c r="K5" s="20">
        <v>-12136</v>
      </c>
    </row>
    <row r="6" spans="1:12">
      <c r="A6" s="2">
        <v>1982</v>
      </c>
      <c r="B6" s="19">
        <v>140248</v>
      </c>
      <c r="C6" s="512">
        <v>37464</v>
      </c>
      <c r="D6" s="19">
        <v>10646</v>
      </c>
      <c r="E6" s="19">
        <v>92137</v>
      </c>
      <c r="F6" s="20">
        <v>276849</v>
      </c>
      <c r="G6" s="512">
        <v>72814</v>
      </c>
      <c r="H6" s="19">
        <v>97285</v>
      </c>
      <c r="I6" s="19">
        <v>106750</v>
      </c>
      <c r="J6" s="20">
        <v>-136601</v>
      </c>
      <c r="K6" s="20">
        <v>-13249</v>
      </c>
    </row>
    <row r="7" spans="1:12">
      <c r="A7" s="2">
        <v>1983</v>
      </c>
      <c r="B7" s="19">
        <v>146170</v>
      </c>
      <c r="C7" s="512">
        <v>44587</v>
      </c>
      <c r="D7" s="19">
        <v>12731</v>
      </c>
      <c r="E7" s="19">
        <v>88852</v>
      </c>
      <c r="F7" s="20">
        <v>290487</v>
      </c>
      <c r="G7" s="512">
        <v>79669</v>
      </c>
      <c r="H7" s="19">
        <v>103632</v>
      </c>
      <c r="I7" s="19">
        <v>107187</v>
      </c>
      <c r="J7" s="20">
        <v>-144317</v>
      </c>
      <c r="K7" s="20">
        <v>-12236</v>
      </c>
    </row>
    <row r="8" spans="1:12">
      <c r="A8" s="2">
        <v>1984</v>
      </c>
      <c r="B8" s="19">
        <v>164998</v>
      </c>
      <c r="C8" s="512">
        <v>52778</v>
      </c>
      <c r="D8" s="19">
        <v>15832</v>
      </c>
      <c r="E8" s="19">
        <v>96388</v>
      </c>
      <c r="F8" s="20">
        <v>319403</v>
      </c>
      <c r="G8" s="512">
        <v>85984</v>
      </c>
      <c r="H8" s="19">
        <v>116945</v>
      </c>
      <c r="I8" s="19">
        <v>116474</v>
      </c>
      <c r="J8" s="20">
        <v>-154405</v>
      </c>
      <c r="K8" s="20">
        <v>-14172</v>
      </c>
    </row>
    <row r="9" spans="1:12">
      <c r="A9" s="2">
        <v>1985</v>
      </c>
      <c r="B9" s="19">
        <v>181357</v>
      </c>
      <c r="C9" s="512">
        <v>60292</v>
      </c>
      <c r="D9" s="19">
        <v>19194</v>
      </c>
      <c r="E9" s="19">
        <v>101871</v>
      </c>
      <c r="F9" s="20">
        <v>359190</v>
      </c>
      <c r="G9" s="512">
        <v>90358</v>
      </c>
      <c r="H9" s="19">
        <v>138346</v>
      </c>
      <c r="I9" s="19">
        <v>130486</v>
      </c>
      <c r="J9" s="20">
        <v>-177833</v>
      </c>
      <c r="K9" s="20">
        <v>-15076</v>
      </c>
    </row>
    <row r="10" spans="1:12">
      <c r="A10" s="2">
        <v>1986</v>
      </c>
      <c r="B10" s="19">
        <v>201794</v>
      </c>
      <c r="C10" s="512">
        <v>64794</v>
      </c>
      <c r="D10" s="19">
        <v>22285</v>
      </c>
      <c r="E10" s="19">
        <v>114715</v>
      </c>
      <c r="F10" s="20">
        <v>398610</v>
      </c>
      <c r="G10" s="512">
        <v>96054</v>
      </c>
      <c r="H10" s="19">
        <v>167542</v>
      </c>
      <c r="I10" s="19">
        <v>135014</v>
      </c>
      <c r="J10" s="20">
        <v>-196816</v>
      </c>
      <c r="K10" s="20">
        <v>-17446</v>
      </c>
    </row>
    <row r="11" spans="1:12">
      <c r="A11" s="2">
        <v>1987</v>
      </c>
      <c r="B11" s="19">
        <v>212863</v>
      </c>
      <c r="C11" s="512">
        <v>74137</v>
      </c>
      <c r="D11" s="19">
        <v>26776</v>
      </c>
      <c r="E11" s="19">
        <v>111950</v>
      </c>
      <c r="F11" s="20">
        <v>425436</v>
      </c>
      <c r="G11" s="512">
        <v>105937</v>
      </c>
      <c r="H11" s="19">
        <v>180674</v>
      </c>
      <c r="I11" s="19">
        <v>138825</v>
      </c>
      <c r="J11" s="20">
        <v>-212572</v>
      </c>
      <c r="K11" s="20">
        <v>-17305</v>
      </c>
    </row>
    <row r="12" spans="1:12">
      <c r="A12" s="2">
        <v>1988</v>
      </c>
      <c r="B12" s="19">
        <v>220272</v>
      </c>
      <c r="C12" s="512">
        <v>79763</v>
      </c>
      <c r="D12" s="19">
        <v>30911</v>
      </c>
      <c r="E12" s="19">
        <v>109598</v>
      </c>
      <c r="F12" s="20">
        <v>436178</v>
      </c>
      <c r="G12" s="512">
        <v>114175</v>
      </c>
      <c r="H12" s="19">
        <v>193641</v>
      </c>
      <c r="I12" s="19">
        <v>128362</v>
      </c>
      <c r="J12" s="20">
        <v>-215905</v>
      </c>
      <c r="K12" s="20">
        <v>-19801</v>
      </c>
    </row>
    <row r="13" spans="1:12">
      <c r="A13" s="2">
        <v>1989</v>
      </c>
      <c r="B13" s="19">
        <v>237995</v>
      </c>
      <c r="C13" s="512">
        <v>89851</v>
      </c>
      <c r="D13" s="19">
        <v>36045</v>
      </c>
      <c r="E13" s="19">
        <v>112099</v>
      </c>
      <c r="F13" s="20">
        <v>470056</v>
      </c>
      <c r="G13" s="512">
        <v>122664</v>
      </c>
      <c r="H13" s="19">
        <v>211153</v>
      </c>
      <c r="I13" s="19">
        <v>136239</v>
      </c>
      <c r="J13" s="20">
        <v>-232061</v>
      </c>
      <c r="K13" s="20">
        <v>-22543</v>
      </c>
    </row>
    <row r="14" spans="1:12">
      <c r="A14" s="2">
        <v>1990</v>
      </c>
      <c r="B14" s="19">
        <v>263922</v>
      </c>
      <c r="C14" s="512">
        <v>98402</v>
      </c>
      <c r="D14" s="19">
        <v>40194</v>
      </c>
      <c r="E14" s="19">
        <v>125326</v>
      </c>
      <c r="F14" s="20">
        <v>516428</v>
      </c>
      <c r="G14" s="512">
        <v>130932</v>
      </c>
      <c r="H14" s="19">
        <v>235198</v>
      </c>
      <c r="I14" s="19">
        <v>150298</v>
      </c>
      <c r="J14" s="20">
        <v>-252506</v>
      </c>
      <c r="K14" s="20">
        <v>-24444</v>
      </c>
    </row>
    <row r="15" spans="1:12">
      <c r="A15" s="2">
        <v>1991</v>
      </c>
      <c r="B15" s="19">
        <v>281902</v>
      </c>
      <c r="C15" s="512">
        <v>109068</v>
      </c>
      <c r="D15" s="19">
        <v>50584</v>
      </c>
      <c r="E15" s="19">
        <v>122249</v>
      </c>
      <c r="F15" s="20">
        <v>549310</v>
      </c>
      <c r="G15" s="512">
        <v>135234</v>
      </c>
      <c r="H15" s="19">
        <v>263733</v>
      </c>
      <c r="I15" s="19">
        <v>150342</v>
      </c>
      <c r="J15" s="20">
        <v>-267408</v>
      </c>
      <c r="K15" s="20">
        <v>-22854</v>
      </c>
    </row>
    <row r="16" spans="1:12">
      <c r="A16" s="2">
        <v>1992</v>
      </c>
      <c r="B16" s="19">
        <v>298521</v>
      </c>
      <c r="C16" s="512">
        <v>111691</v>
      </c>
      <c r="D16" s="19">
        <v>57682</v>
      </c>
      <c r="E16" s="19">
        <v>129147</v>
      </c>
      <c r="F16" s="20">
        <v>596636</v>
      </c>
      <c r="G16" s="512">
        <v>137918</v>
      </c>
      <c r="H16" s="19">
        <v>298181</v>
      </c>
      <c r="I16" s="19">
        <v>160537</v>
      </c>
      <c r="J16" s="20">
        <v>-298114</v>
      </c>
      <c r="K16" s="20">
        <v>-25397</v>
      </c>
    </row>
    <row r="17" spans="1:11">
      <c r="A17" s="2">
        <v>1993</v>
      </c>
      <c r="B17" s="19">
        <v>326268</v>
      </c>
      <c r="C17" s="512">
        <v>122427</v>
      </c>
      <c r="D17" s="19">
        <v>70437</v>
      </c>
      <c r="E17" s="19">
        <v>133403</v>
      </c>
      <c r="F17" s="20">
        <v>650007</v>
      </c>
      <c r="G17" s="512">
        <v>141493</v>
      </c>
      <c r="H17" s="19">
        <v>353456</v>
      </c>
      <c r="I17" s="19">
        <v>155058</v>
      </c>
      <c r="J17" s="20">
        <v>-323739</v>
      </c>
      <c r="K17" s="20">
        <v>-25169</v>
      </c>
    </row>
    <row r="18" spans="1:11">
      <c r="A18" s="2">
        <v>1994</v>
      </c>
      <c r="B18" s="19">
        <v>396900</v>
      </c>
      <c r="C18" s="512">
        <v>146315</v>
      </c>
      <c r="D18" s="19">
        <v>83608</v>
      </c>
      <c r="E18" s="19">
        <v>166976</v>
      </c>
      <c r="F18" s="20">
        <v>729981</v>
      </c>
      <c r="G18" s="512">
        <v>154594</v>
      </c>
      <c r="H18" s="19">
        <v>395262</v>
      </c>
      <c r="I18" s="19">
        <v>180124</v>
      </c>
      <c r="J18" s="20">
        <v>-333081</v>
      </c>
      <c r="K18" s="20">
        <v>-27994</v>
      </c>
    </row>
    <row r="19" spans="1:11">
      <c r="A19" s="2">
        <v>1995</v>
      </c>
      <c r="B19" s="19">
        <v>443266</v>
      </c>
      <c r="C19" s="512">
        <v>161237</v>
      </c>
      <c r="D19" s="19">
        <v>90768</v>
      </c>
      <c r="E19" s="19">
        <v>191262</v>
      </c>
      <c r="F19" s="20">
        <v>767455</v>
      </c>
      <c r="G19" s="512">
        <v>168167</v>
      </c>
      <c r="H19" s="19">
        <v>422903</v>
      </c>
      <c r="I19" s="19">
        <v>176386</v>
      </c>
      <c r="J19" s="20">
        <v>-324189</v>
      </c>
      <c r="K19" s="20">
        <v>-28550</v>
      </c>
    </row>
    <row r="20" spans="1:11">
      <c r="A20" s="2">
        <v>1996</v>
      </c>
      <c r="B20" s="19">
        <v>509132</v>
      </c>
      <c r="C20" s="512">
        <v>181238</v>
      </c>
      <c r="D20" s="19">
        <v>108273</v>
      </c>
      <c r="E20" s="19">
        <v>219620</v>
      </c>
      <c r="F20" s="20">
        <v>820501</v>
      </c>
      <c r="G20" s="512">
        <v>182126</v>
      </c>
      <c r="H20" s="19">
        <v>443287</v>
      </c>
      <c r="I20" s="19">
        <v>195088</v>
      </c>
      <c r="J20" s="20">
        <v>-311370</v>
      </c>
      <c r="K20" s="20">
        <v>-28330</v>
      </c>
    </row>
    <row r="21" spans="1:11">
      <c r="A21" s="2">
        <v>1997</v>
      </c>
      <c r="B21" s="19">
        <v>599483</v>
      </c>
      <c r="C21" s="512">
        <v>218607</v>
      </c>
      <c r="D21" s="19">
        <v>130366</v>
      </c>
      <c r="E21" s="19">
        <v>250510</v>
      </c>
      <c r="F21" s="20">
        <v>889707</v>
      </c>
      <c r="G21" s="512">
        <v>194277</v>
      </c>
      <c r="H21" s="19">
        <v>459801</v>
      </c>
      <c r="I21" s="19">
        <v>235629</v>
      </c>
      <c r="J21" s="20">
        <v>-290224</v>
      </c>
      <c r="K21" s="20">
        <v>-27704</v>
      </c>
    </row>
    <row r="22" spans="1:11">
      <c r="A22" s="2">
        <v>1998</v>
      </c>
      <c r="B22" s="19">
        <v>686347</v>
      </c>
      <c r="C22" s="512">
        <v>262909</v>
      </c>
      <c r="D22" s="19">
        <v>157405</v>
      </c>
      <c r="E22" s="19">
        <v>266033</v>
      </c>
      <c r="F22" s="20">
        <v>986008</v>
      </c>
      <c r="G22" s="512">
        <v>219389</v>
      </c>
      <c r="H22" s="19">
        <v>511384</v>
      </c>
      <c r="I22" s="19">
        <v>255235</v>
      </c>
      <c r="J22" s="20">
        <v>-299661</v>
      </c>
      <c r="K22" s="20">
        <v>-30420</v>
      </c>
    </row>
    <row r="23" spans="1:11">
      <c r="A23" s="2">
        <v>1999</v>
      </c>
      <c r="B23" s="19">
        <v>717346</v>
      </c>
      <c r="C23" s="512">
        <v>290730</v>
      </c>
      <c r="D23" s="19">
        <v>179774</v>
      </c>
      <c r="E23" s="19">
        <v>246842</v>
      </c>
      <c r="F23" s="20">
        <v>961024</v>
      </c>
      <c r="G23" s="512">
        <v>252563</v>
      </c>
      <c r="H23" s="19">
        <v>486138</v>
      </c>
      <c r="I23" s="19">
        <v>222323</v>
      </c>
      <c r="J23" s="20">
        <v>-243677</v>
      </c>
      <c r="K23" s="20">
        <v>-33232</v>
      </c>
    </row>
    <row r="24" spans="1:11">
      <c r="A24" s="2">
        <v>2000</v>
      </c>
      <c r="B24" s="19">
        <v>827578</v>
      </c>
      <c r="C24" s="512">
        <v>356506</v>
      </c>
      <c r="D24" s="19">
        <v>209212</v>
      </c>
      <c r="E24" s="19">
        <v>261860</v>
      </c>
      <c r="F24" s="20">
        <v>1036415</v>
      </c>
      <c r="G24" s="512">
        <v>319116</v>
      </c>
      <c r="H24" s="19">
        <v>487517</v>
      </c>
      <c r="I24" s="19">
        <v>229781</v>
      </c>
      <c r="J24" s="20">
        <v>-208837</v>
      </c>
      <c r="K24" s="20">
        <v>-28032</v>
      </c>
    </row>
    <row r="25" spans="1:11">
      <c r="A25" s="2">
        <v>2001</v>
      </c>
      <c r="B25" s="19">
        <v>921976</v>
      </c>
      <c r="C25" s="512">
        <v>399253</v>
      </c>
      <c r="D25" s="19">
        <v>239762</v>
      </c>
      <c r="E25" s="19">
        <v>282962</v>
      </c>
      <c r="F25" s="20">
        <v>1125414</v>
      </c>
      <c r="G25" s="512">
        <v>340429</v>
      </c>
      <c r="H25" s="19">
        <v>526178</v>
      </c>
      <c r="I25" s="19">
        <v>258806</v>
      </c>
      <c r="J25" s="20">
        <v>-203437</v>
      </c>
      <c r="K25" s="20">
        <v>-31353</v>
      </c>
    </row>
    <row r="26" spans="1:11">
      <c r="A26" s="2">
        <v>2002</v>
      </c>
      <c r="B26" s="19">
        <v>979184</v>
      </c>
      <c r="C26" s="512">
        <v>435494</v>
      </c>
      <c r="D26" s="19">
        <v>270775</v>
      </c>
      <c r="E26" s="19">
        <v>272915</v>
      </c>
      <c r="F26" s="20">
        <v>1187876</v>
      </c>
      <c r="G26" s="512">
        <v>356819</v>
      </c>
      <c r="H26" s="19">
        <v>554975</v>
      </c>
      <c r="I26" s="19">
        <v>276082</v>
      </c>
      <c r="J26" s="20">
        <v>-208692</v>
      </c>
      <c r="K26" s="20">
        <v>-28868</v>
      </c>
    </row>
    <row r="27" spans="1:11">
      <c r="A27" s="2">
        <v>2003</v>
      </c>
      <c r="B27" s="19">
        <v>921148</v>
      </c>
      <c r="C27" s="512">
        <v>412217</v>
      </c>
      <c r="D27" s="19">
        <v>253788</v>
      </c>
      <c r="E27" s="19">
        <v>255143</v>
      </c>
      <c r="F27" s="20">
        <v>1137847</v>
      </c>
      <c r="G27" s="512">
        <v>373685</v>
      </c>
      <c r="H27" s="19">
        <v>507150</v>
      </c>
      <c r="I27" s="19">
        <v>257012</v>
      </c>
      <c r="J27" s="20">
        <v>-216699</v>
      </c>
      <c r="K27" s="20">
        <v>-28590</v>
      </c>
    </row>
    <row r="28" spans="1:11">
      <c r="A28" s="2">
        <v>2004</v>
      </c>
      <c r="B28" s="19">
        <v>952790</v>
      </c>
      <c r="C28" s="512">
        <v>448546</v>
      </c>
      <c r="D28" s="19">
        <v>265411</v>
      </c>
      <c r="E28" s="19">
        <v>238832</v>
      </c>
      <c r="F28" s="20">
        <v>1143215</v>
      </c>
      <c r="G28" s="512">
        <v>379450</v>
      </c>
      <c r="H28" s="19">
        <v>521898</v>
      </c>
      <c r="I28" s="19">
        <v>241867</v>
      </c>
      <c r="J28" s="20">
        <v>-190425</v>
      </c>
      <c r="K28" s="20">
        <v>-26306</v>
      </c>
    </row>
    <row r="29" spans="1:11">
      <c r="A29" s="2">
        <v>2005</v>
      </c>
      <c r="B29" s="19">
        <v>999784</v>
      </c>
      <c r="C29" s="512">
        <v>455211</v>
      </c>
      <c r="D29" s="19">
        <v>292631</v>
      </c>
      <c r="E29" s="19">
        <v>251941</v>
      </c>
      <c r="F29" s="20">
        <v>1159245</v>
      </c>
      <c r="G29" s="512">
        <v>395238</v>
      </c>
      <c r="H29" s="19">
        <v>498473</v>
      </c>
      <c r="I29" s="19">
        <v>265534</v>
      </c>
      <c r="J29" s="20">
        <v>-159461</v>
      </c>
      <c r="K29" s="20">
        <v>-24538</v>
      </c>
    </row>
    <row r="30" spans="1:11">
      <c r="A30" s="2">
        <v>2006</v>
      </c>
      <c r="B30" s="19">
        <v>1191911</v>
      </c>
      <c r="C30" s="512">
        <v>529969</v>
      </c>
      <c r="D30" s="19">
        <v>372220</v>
      </c>
      <c r="E30" s="19">
        <v>289722</v>
      </c>
      <c r="F30" s="20">
        <v>1269214</v>
      </c>
      <c r="G30" s="512">
        <v>437801</v>
      </c>
      <c r="H30" s="19">
        <v>529563</v>
      </c>
      <c r="I30" s="19">
        <v>301850</v>
      </c>
      <c r="J30" s="20">
        <v>-77303</v>
      </c>
      <c r="K30" s="20">
        <v>-12572</v>
      </c>
    </row>
    <row r="31" spans="1:11">
      <c r="A31" s="2">
        <v>2007</v>
      </c>
      <c r="B31" s="19">
        <v>1184382</v>
      </c>
      <c r="C31" s="512">
        <v>514540</v>
      </c>
      <c r="D31" s="19">
        <v>354277</v>
      </c>
      <c r="E31" s="19">
        <v>315565</v>
      </c>
      <c r="F31" s="20">
        <v>1309392</v>
      </c>
      <c r="G31" s="512">
        <v>500851</v>
      </c>
      <c r="H31" s="19">
        <v>486738</v>
      </c>
      <c r="I31" s="19">
        <v>321804</v>
      </c>
      <c r="J31" s="20">
        <v>-125010</v>
      </c>
      <c r="K31" s="20">
        <v>-21168</v>
      </c>
    </row>
    <row r="32" spans="1:11" ht="12.75" customHeight="1">
      <c r="A32" s="120"/>
      <c r="C32" s="644"/>
      <c r="D32" s="644"/>
      <c r="E32" s="13" t="s">
        <v>802</v>
      </c>
      <c r="G32" s="644"/>
      <c r="H32" s="644"/>
      <c r="I32" s="644"/>
      <c r="J32" s="644"/>
      <c r="K32" s="23"/>
    </row>
    <row r="33" spans="1:11" ht="12.75" customHeight="1">
      <c r="A33" s="448" t="s">
        <v>603</v>
      </c>
      <c r="B33" s="23">
        <f>((((B13/B5))^(1/8))-1)*100</f>
        <v>7.7727895775091094</v>
      </c>
      <c r="C33" s="23">
        <f t="shared" ref="C33:K33" si="0">((((C13/C5))^(1/8))-1)*100</f>
        <v>12.244392153125961</v>
      </c>
      <c r="D33" s="23">
        <f t="shared" si="0"/>
        <v>17.427207705912373</v>
      </c>
      <c r="E33" s="23">
        <f t="shared" si="0"/>
        <v>3.499282099836365</v>
      </c>
      <c r="F33" s="23">
        <f t="shared" si="0"/>
        <v>7.3509611795809615</v>
      </c>
      <c r="G33" s="23">
        <f t="shared" si="0"/>
        <v>7.2011338548370052</v>
      </c>
      <c r="H33" s="23">
        <f t="shared" si="0"/>
        <v>11.989195426108523</v>
      </c>
      <c r="I33" s="23">
        <f t="shared" si="0"/>
        <v>2.6138551343756866</v>
      </c>
      <c r="J33" s="23">
        <f t="shared" si="0"/>
        <v>6.9332063545471279</v>
      </c>
      <c r="K33" s="23">
        <f t="shared" si="0"/>
        <v>8.0480710371345623</v>
      </c>
    </row>
    <row r="34" spans="1:11" ht="12.75" customHeight="1">
      <c r="A34" s="448" t="s">
        <v>604</v>
      </c>
      <c r="B34" s="23">
        <f>((((B24/B13))^(1/11))-1)*100</f>
        <v>11.996315863391738</v>
      </c>
      <c r="C34" s="23">
        <f t="shared" ref="C34:K34" si="1">((((C24/C13))^(1/11))-1)*100</f>
        <v>13.347797183266685</v>
      </c>
      <c r="D34" s="23">
        <f t="shared" si="1"/>
        <v>17.335938415105147</v>
      </c>
      <c r="E34" s="23">
        <f t="shared" si="1"/>
        <v>8.0182255349253708</v>
      </c>
      <c r="F34" s="23">
        <f t="shared" si="1"/>
        <v>7.4525522326485349</v>
      </c>
      <c r="G34" s="23">
        <f t="shared" si="1"/>
        <v>9.0807999662261061</v>
      </c>
      <c r="H34" s="23">
        <f t="shared" si="1"/>
        <v>7.903537445706843</v>
      </c>
      <c r="I34" s="23">
        <f t="shared" si="1"/>
        <v>4.8666791497821382</v>
      </c>
      <c r="J34" s="23">
        <f t="shared" si="1"/>
        <v>-0.95402210009472022</v>
      </c>
      <c r="K34" s="23">
        <f t="shared" si="1"/>
        <v>2.0008643889761091</v>
      </c>
    </row>
    <row r="35" spans="1:11" ht="12.75" customHeight="1">
      <c r="A35" s="448" t="s">
        <v>447</v>
      </c>
      <c r="B35" s="23">
        <f>((((B31/B5))^(1/26))-1)*100</f>
        <v>8.8447723453247917</v>
      </c>
      <c r="C35" s="23">
        <f t="shared" ref="C35:K35" si="2">((((C31/C5))^(1/26))-1)*100</f>
        <v>10.811576243229837</v>
      </c>
      <c r="D35" s="23">
        <f t="shared" si="2"/>
        <v>14.720306861450826</v>
      </c>
      <c r="E35" s="23">
        <f t="shared" si="2"/>
        <v>5.1681099141033249</v>
      </c>
      <c r="F35" s="23">
        <f t="shared" si="2"/>
        <v>6.3141474368820338</v>
      </c>
      <c r="G35" s="23">
        <f t="shared" si="2"/>
        <v>7.842956796526046</v>
      </c>
      <c r="H35" s="23">
        <f t="shared" si="2"/>
        <v>6.9254380650179748</v>
      </c>
      <c r="I35" s="23">
        <f t="shared" si="2"/>
        <v>4.1850269949655017</v>
      </c>
      <c r="J35" s="23">
        <f t="shared" si="2"/>
        <v>-0.3161638500425723</v>
      </c>
      <c r="K35" s="23">
        <f t="shared" si="2"/>
        <v>2.1627257287579305</v>
      </c>
    </row>
    <row r="36" spans="1:11" ht="12.75" customHeight="1">
      <c r="A36" s="448" t="s">
        <v>449</v>
      </c>
      <c r="B36" s="644">
        <f>((((B31/B24))^(1/7)-1)*100)</f>
        <v>5.2544360786902278</v>
      </c>
      <c r="C36" s="644">
        <f t="shared" ref="C36:K36" si="3">((((C31/C24))^(1/7)-1)*100)</f>
        <v>5.3815577699469319</v>
      </c>
      <c r="D36" s="644">
        <f t="shared" si="3"/>
        <v>7.8150729366089688</v>
      </c>
      <c r="E36" s="644">
        <f t="shared" si="3"/>
        <v>2.7008972574939394</v>
      </c>
      <c r="F36" s="644">
        <f t="shared" si="3"/>
        <v>3.3963342684521614</v>
      </c>
      <c r="G36" s="644">
        <f t="shared" si="3"/>
        <v>6.651190923135597</v>
      </c>
      <c r="H36" s="644">
        <f t="shared" si="3"/>
        <v>-2.284269050499832E-2</v>
      </c>
      <c r="I36" s="644">
        <f t="shared" si="3"/>
        <v>4.9292963250674227</v>
      </c>
      <c r="J36" s="644">
        <f t="shared" si="3"/>
        <v>-7.0686015037050414</v>
      </c>
      <c r="K36" s="644">
        <f t="shared" si="3"/>
        <v>-3.9328059223987188</v>
      </c>
    </row>
    <row r="37" spans="1:11" ht="12.75" customHeight="1">
      <c r="A37" s="2"/>
      <c r="C37" s="27"/>
      <c r="D37" s="27"/>
      <c r="E37" s="1131" t="s">
        <v>276</v>
      </c>
      <c r="F37" s="27"/>
      <c r="G37" s="27"/>
      <c r="H37" s="27"/>
      <c r="I37" s="27"/>
      <c r="J37" s="27"/>
      <c r="K37" s="27"/>
    </row>
    <row r="38" spans="1:11" ht="12.75" customHeight="1">
      <c r="A38" s="448" t="s">
        <v>447</v>
      </c>
      <c r="B38" s="10">
        <f>(B31/B5-1)*100</f>
        <v>805.72625911934301</v>
      </c>
      <c r="C38" s="10">
        <f t="shared" ref="C38:K38" si="4">(C31/C5-1)*100</f>
        <v>1342.8242947675396</v>
      </c>
      <c r="D38" s="10">
        <f t="shared" si="4"/>
        <v>3453.4302908726177</v>
      </c>
      <c r="E38" s="10">
        <f t="shared" si="4"/>
        <v>270.66859304155804</v>
      </c>
      <c r="F38" s="10">
        <f t="shared" si="4"/>
        <v>391.32354982870743</v>
      </c>
      <c r="G38" s="10">
        <f t="shared" si="4"/>
        <v>612.17455600267328</v>
      </c>
      <c r="H38" s="10">
        <f t="shared" si="4"/>
        <v>470.30475587894125</v>
      </c>
      <c r="I38" s="10">
        <f t="shared" si="4"/>
        <v>190.36082613756329</v>
      </c>
      <c r="J38" s="10">
        <f t="shared" si="4"/>
        <v>-7.9034610794324394</v>
      </c>
      <c r="K38" s="10">
        <f t="shared" si="4"/>
        <v>74.423203691496383</v>
      </c>
    </row>
    <row r="40" spans="1:11" s="603" customFormat="1" ht="25.5" customHeight="1">
      <c r="A40" s="1267" t="s">
        <v>1602</v>
      </c>
      <c r="B40" s="1267"/>
      <c r="C40" s="1267"/>
      <c r="D40" s="1267"/>
      <c r="E40" s="1267"/>
      <c r="F40" s="1267"/>
      <c r="G40" s="1267"/>
      <c r="H40" s="1267"/>
      <c r="I40" s="1267"/>
      <c r="J40" s="1267"/>
      <c r="K40" s="1267"/>
    </row>
    <row r="41" spans="1:11" s="603" customFormat="1" ht="25.5" customHeight="1">
      <c r="A41" s="1267" t="s">
        <v>1600</v>
      </c>
      <c r="B41" s="1267"/>
      <c r="C41" s="1267"/>
      <c r="D41" s="1267"/>
      <c r="E41" s="1267"/>
      <c r="F41" s="1267"/>
      <c r="G41" s="1267"/>
      <c r="H41" s="1267"/>
      <c r="I41" s="1267"/>
      <c r="J41" s="1267"/>
      <c r="K41" s="1267"/>
    </row>
  </sheetData>
  <mergeCells count="3">
    <mergeCell ref="A41:K41"/>
    <mergeCell ref="A40:K40"/>
    <mergeCell ref="A1:L1"/>
  </mergeCells>
  <pageMargins left="0.7" right="0.7" top="0.75" bottom="0.75" header="0.3" footer="0.3"/>
  <pageSetup scale="84" orientation="landscape" verticalDpi="0" r:id="rId1"/>
</worksheet>
</file>

<file path=xl/worksheets/sheet211.xml><?xml version="1.0" encoding="utf-8"?>
<worksheet xmlns="http://schemas.openxmlformats.org/spreadsheetml/2006/main" xmlns:r="http://schemas.openxmlformats.org/officeDocument/2006/relationships">
  <sheetPr codeName="Sheet206">
    <pageSetUpPr fitToPage="1"/>
  </sheetPr>
  <dimension ref="A1:R33"/>
  <sheetViews>
    <sheetView view="pageBreakPreview" zoomScale="85" zoomScaleNormal="100"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30" style="518" customWidth="1"/>
    <col min="2" max="2" width="10.5703125" style="518" customWidth="1"/>
    <col min="3" max="3" width="12" style="518" customWidth="1"/>
    <col min="4" max="5" width="10.42578125" style="518" customWidth="1"/>
    <col min="6" max="6" width="12.42578125" style="518" customWidth="1"/>
    <col min="7" max="16" width="12.140625" style="518" customWidth="1"/>
    <col min="17" max="17" width="9.85546875" style="518" hidden="1" customWidth="1"/>
    <col min="18" max="18" width="9.140625" style="518" hidden="1" customWidth="1"/>
    <col min="19" max="16384" width="9.140625" style="518"/>
  </cols>
  <sheetData>
    <row r="1" spans="1:17" ht="15.75">
      <c r="A1" s="582" t="s">
        <v>2048</v>
      </c>
      <c r="C1" s="559"/>
      <c r="D1" s="559"/>
      <c r="E1" s="559"/>
      <c r="F1" s="559"/>
      <c r="G1" s="559"/>
      <c r="H1" s="559"/>
      <c r="I1" s="559"/>
      <c r="J1" s="559"/>
      <c r="K1" s="559"/>
      <c r="L1" s="559"/>
      <c r="M1" s="559"/>
    </row>
    <row r="2" spans="1:17">
      <c r="B2" s="558"/>
    </row>
    <row r="3" spans="1:17" ht="15">
      <c r="A3" s="920"/>
      <c r="B3" s="530"/>
      <c r="C3" s="531"/>
      <c r="D3" s="531"/>
      <c r="E3" s="530"/>
      <c r="F3" s="530"/>
      <c r="G3" s="530"/>
      <c r="H3" s="531"/>
      <c r="I3" s="531"/>
      <c r="J3" s="531"/>
      <c r="K3" s="530"/>
      <c r="L3" s="530"/>
      <c r="M3" s="530"/>
      <c r="N3" s="530"/>
      <c r="O3" s="530"/>
      <c r="P3" s="530"/>
      <c r="Q3" s="520"/>
    </row>
    <row r="4" spans="1:17" ht="38.25">
      <c r="A4" s="557"/>
      <c r="B4" s="556" t="s">
        <v>375</v>
      </c>
      <c r="C4" s="555" t="s">
        <v>790</v>
      </c>
      <c r="D4" s="555" t="s">
        <v>1040</v>
      </c>
      <c r="E4" s="555" t="s">
        <v>791</v>
      </c>
      <c r="F4" s="555" t="s">
        <v>792</v>
      </c>
      <c r="G4" s="555" t="s">
        <v>1041</v>
      </c>
      <c r="H4" s="555" t="s">
        <v>738</v>
      </c>
      <c r="I4" s="555" t="s">
        <v>739</v>
      </c>
      <c r="J4" s="555" t="s">
        <v>740</v>
      </c>
      <c r="K4" s="555" t="s">
        <v>741</v>
      </c>
      <c r="L4" s="554" t="s">
        <v>742</v>
      </c>
      <c r="N4" s="530"/>
      <c r="O4" s="530"/>
      <c r="P4" s="530"/>
      <c r="Q4" s="520"/>
    </row>
    <row r="5" spans="1:17" ht="15">
      <c r="A5" s="553">
        <v>1996</v>
      </c>
      <c r="B5" s="548"/>
      <c r="C5" s="525"/>
      <c r="D5" s="525"/>
      <c r="E5" s="525"/>
      <c r="F5" s="525"/>
      <c r="G5" s="525"/>
      <c r="H5" s="525"/>
      <c r="I5" s="525"/>
      <c r="J5" s="525"/>
      <c r="K5" s="525"/>
      <c r="L5" s="534"/>
      <c r="M5" s="530"/>
      <c r="N5" s="530"/>
      <c r="O5" s="530"/>
      <c r="P5" s="530"/>
      <c r="Q5" s="520"/>
    </row>
    <row r="6" spans="1:17" ht="15">
      <c r="A6" s="547" t="s">
        <v>1613</v>
      </c>
      <c r="B6" s="552">
        <v>9.9</v>
      </c>
      <c r="C6" s="551">
        <v>25.4</v>
      </c>
      <c r="D6" s="551">
        <v>13.9</v>
      </c>
      <c r="E6" s="551">
        <v>13.5</v>
      </c>
      <c r="F6" s="551">
        <v>15.6</v>
      </c>
      <c r="G6" s="551">
        <v>11.2</v>
      </c>
      <c r="H6" s="551">
        <v>8.6</v>
      </c>
      <c r="I6" s="551">
        <v>7.9</v>
      </c>
      <c r="J6" s="551">
        <v>7.2</v>
      </c>
      <c r="K6" s="551">
        <v>7.2</v>
      </c>
      <c r="L6" s="550">
        <v>9.4</v>
      </c>
      <c r="M6" s="530"/>
      <c r="N6" s="530"/>
      <c r="O6" s="530"/>
      <c r="P6" s="520"/>
    </row>
    <row r="7" spans="1:17" ht="15">
      <c r="A7" s="547" t="s">
        <v>1611</v>
      </c>
      <c r="B7" s="552">
        <v>13.4</v>
      </c>
      <c r="C7" s="551">
        <v>12.4</v>
      </c>
      <c r="D7" s="551">
        <v>11.9</v>
      </c>
      <c r="E7" s="551">
        <v>11</v>
      </c>
      <c r="F7" s="551">
        <v>16.3</v>
      </c>
      <c r="G7" s="551">
        <v>21.1</v>
      </c>
      <c r="H7" s="551">
        <v>12.8</v>
      </c>
      <c r="I7" s="551">
        <v>9.1999999999999993</v>
      </c>
      <c r="J7" s="551">
        <v>9</v>
      </c>
      <c r="K7" s="551">
        <v>8.9</v>
      </c>
      <c r="L7" s="550">
        <v>12.8</v>
      </c>
      <c r="M7" s="530"/>
      <c r="N7" s="530"/>
      <c r="O7" s="530"/>
      <c r="P7" s="520"/>
    </row>
    <row r="8" spans="1:17" ht="15">
      <c r="A8" s="547" t="s">
        <v>1610</v>
      </c>
      <c r="B8" s="552">
        <v>18</v>
      </c>
      <c r="C8" s="551">
        <v>15.9</v>
      </c>
      <c r="D8" s="551">
        <v>16.7</v>
      </c>
      <c r="E8" s="551">
        <v>13.8</v>
      </c>
      <c r="F8" s="551">
        <v>18.3</v>
      </c>
      <c r="G8" s="551">
        <v>26.5</v>
      </c>
      <c r="H8" s="551">
        <v>17.899999999999999</v>
      </c>
      <c r="I8" s="551">
        <v>11.8</v>
      </c>
      <c r="J8" s="551">
        <v>11</v>
      </c>
      <c r="K8" s="551">
        <v>11</v>
      </c>
      <c r="L8" s="550">
        <v>16.2</v>
      </c>
      <c r="M8" s="530"/>
      <c r="N8" s="530"/>
      <c r="O8" s="530"/>
      <c r="P8" s="520"/>
    </row>
    <row r="9" spans="1:17" ht="15">
      <c r="A9" s="549">
        <v>2001</v>
      </c>
      <c r="B9" s="548"/>
      <c r="C9" s="525"/>
      <c r="D9" s="525"/>
      <c r="E9" s="525"/>
      <c r="F9" s="525"/>
      <c r="G9" s="525"/>
      <c r="H9" s="525"/>
      <c r="I9" s="525"/>
      <c r="J9" s="525"/>
      <c r="K9" s="525"/>
      <c r="L9" s="534"/>
      <c r="M9" s="530"/>
      <c r="N9" s="530"/>
      <c r="O9" s="530"/>
      <c r="P9" s="530"/>
      <c r="Q9" s="520"/>
    </row>
    <row r="10" spans="1:17" ht="15">
      <c r="A10" s="547" t="s">
        <v>1613</v>
      </c>
      <c r="B10" s="548">
        <v>7.4</v>
      </c>
      <c r="C10" s="525">
        <v>22.1</v>
      </c>
      <c r="D10" s="525">
        <v>13.3</v>
      </c>
      <c r="E10" s="525">
        <v>11.1</v>
      </c>
      <c r="F10" s="525">
        <v>12.6</v>
      </c>
      <c r="G10" s="525">
        <v>7.8</v>
      </c>
      <c r="H10" s="525">
        <v>5.9</v>
      </c>
      <c r="I10" s="525">
        <v>6.3</v>
      </c>
      <c r="J10" s="525">
        <v>6.4</v>
      </c>
      <c r="K10" s="525">
        <v>5.2</v>
      </c>
      <c r="L10" s="534">
        <v>8.6</v>
      </c>
      <c r="M10" s="921"/>
      <c r="N10" s="530"/>
      <c r="O10" s="530"/>
      <c r="P10" s="520"/>
    </row>
    <row r="11" spans="1:17" ht="15">
      <c r="A11" s="547" t="s">
        <v>1611</v>
      </c>
      <c r="B11" s="548">
        <v>9.1999999999999993</v>
      </c>
      <c r="C11" s="525">
        <v>11</v>
      </c>
      <c r="D11" s="525">
        <v>11.1</v>
      </c>
      <c r="E11" s="525">
        <v>9.1999999999999993</v>
      </c>
      <c r="F11" s="525">
        <v>9.9</v>
      </c>
      <c r="G11" s="525">
        <v>13.7</v>
      </c>
      <c r="H11" s="525">
        <v>8.5</v>
      </c>
      <c r="I11" s="525">
        <v>5.6</v>
      </c>
      <c r="J11" s="525">
        <v>5.5</v>
      </c>
      <c r="K11" s="525">
        <v>6.1</v>
      </c>
      <c r="L11" s="534">
        <v>10</v>
      </c>
      <c r="M11" s="530"/>
      <c r="N11" s="530"/>
      <c r="O11" s="530"/>
      <c r="P11" s="520"/>
    </row>
    <row r="12" spans="1:17" ht="15">
      <c r="A12" s="547" t="s">
        <v>1610</v>
      </c>
      <c r="B12" s="548">
        <v>12.7</v>
      </c>
      <c r="C12" s="525">
        <v>16.3</v>
      </c>
      <c r="D12" s="525">
        <v>8.8000000000000007</v>
      </c>
      <c r="E12" s="525">
        <v>11.7</v>
      </c>
      <c r="F12" s="525">
        <v>13</v>
      </c>
      <c r="G12" s="525">
        <v>20.5</v>
      </c>
      <c r="H12" s="525">
        <v>11.8</v>
      </c>
      <c r="I12" s="525">
        <v>6.4</v>
      </c>
      <c r="J12" s="525">
        <v>10</v>
      </c>
      <c r="K12" s="525">
        <v>6.4</v>
      </c>
      <c r="L12" s="534">
        <v>13.3</v>
      </c>
      <c r="M12" s="530"/>
      <c r="N12" s="530"/>
      <c r="O12" s="530"/>
      <c r="P12" s="520"/>
    </row>
    <row r="13" spans="1:17" ht="15">
      <c r="A13" s="549">
        <v>2006</v>
      </c>
      <c r="B13" s="548"/>
      <c r="C13" s="525"/>
      <c r="D13" s="525"/>
      <c r="E13" s="525"/>
      <c r="F13" s="525"/>
      <c r="G13" s="525"/>
      <c r="H13" s="525"/>
      <c r="I13" s="525"/>
      <c r="J13" s="525"/>
      <c r="K13" s="525"/>
      <c r="L13" s="534"/>
      <c r="M13" s="530"/>
      <c r="N13" s="530"/>
      <c r="O13" s="530"/>
      <c r="P13" s="530"/>
      <c r="Q13" s="520"/>
    </row>
    <row r="14" spans="1:17" ht="15">
      <c r="A14" s="547" t="s">
        <v>1613</v>
      </c>
      <c r="B14" s="546">
        <v>6.4</v>
      </c>
      <c r="C14" s="545">
        <v>18.8</v>
      </c>
      <c r="D14" s="545">
        <v>11.1</v>
      </c>
      <c r="E14" s="545">
        <v>9.1999999999999993</v>
      </c>
      <c r="F14" s="545">
        <v>10.1</v>
      </c>
      <c r="G14" s="545">
        <v>6.4</v>
      </c>
      <c r="H14" s="545">
        <v>6.2</v>
      </c>
      <c r="I14" s="545">
        <v>5.6</v>
      </c>
      <c r="J14" s="545">
        <v>5.7</v>
      </c>
      <c r="K14" s="545">
        <v>4.3</v>
      </c>
      <c r="L14" s="544">
        <v>5.9</v>
      </c>
      <c r="M14" s="530"/>
      <c r="N14" s="530"/>
      <c r="O14" s="530"/>
      <c r="P14" s="520"/>
    </row>
    <row r="15" spans="1:17" ht="15">
      <c r="A15" s="547" t="s">
        <v>1611</v>
      </c>
      <c r="B15" s="546">
        <v>8.4</v>
      </c>
      <c r="C15" s="545">
        <v>10.5</v>
      </c>
      <c r="D15" s="545">
        <v>11.1</v>
      </c>
      <c r="E15" s="545">
        <v>8.8000000000000007</v>
      </c>
      <c r="F15" s="545">
        <v>8.9</v>
      </c>
      <c r="G15" s="545">
        <v>11.9</v>
      </c>
      <c r="H15" s="545">
        <v>8.6</v>
      </c>
      <c r="I15" s="545">
        <v>4.7</v>
      </c>
      <c r="J15" s="545">
        <v>3.9</v>
      </c>
      <c r="K15" s="545">
        <v>4.8</v>
      </c>
      <c r="L15" s="544">
        <v>7.5</v>
      </c>
      <c r="M15" s="530"/>
      <c r="N15" s="530"/>
      <c r="O15" s="530"/>
      <c r="P15" s="520"/>
    </row>
    <row r="16" spans="1:17" ht="15">
      <c r="A16" s="543" t="s">
        <v>1610</v>
      </c>
      <c r="B16" s="542">
        <v>12.3</v>
      </c>
      <c r="C16" s="541">
        <v>14.1</v>
      </c>
      <c r="D16" s="541">
        <v>11.7</v>
      </c>
      <c r="E16" s="541">
        <v>12.1</v>
      </c>
      <c r="F16" s="541">
        <v>10</v>
      </c>
      <c r="G16" s="541">
        <v>19.5</v>
      </c>
      <c r="H16" s="541">
        <v>11.9</v>
      </c>
      <c r="I16" s="541">
        <v>9.1</v>
      </c>
      <c r="J16" s="541">
        <v>6.4</v>
      </c>
      <c r="K16" s="541">
        <v>6.7</v>
      </c>
      <c r="L16" s="540">
        <v>10.6</v>
      </c>
      <c r="M16" s="530"/>
      <c r="N16" s="530"/>
      <c r="O16" s="530"/>
      <c r="P16" s="520"/>
    </row>
    <row r="17" spans="1:18" ht="15">
      <c r="A17" s="1321" t="s">
        <v>1612</v>
      </c>
      <c r="B17" s="1322"/>
      <c r="C17" s="1322"/>
      <c r="D17" s="1322"/>
      <c r="E17" s="1322"/>
      <c r="F17" s="1322"/>
      <c r="G17" s="539"/>
      <c r="H17" s="539"/>
      <c r="I17" s="539"/>
      <c r="J17" s="539"/>
      <c r="K17" s="539"/>
      <c r="L17" s="538"/>
      <c r="M17" s="530"/>
      <c r="N17" s="530"/>
      <c r="O17" s="530"/>
      <c r="P17" s="530"/>
      <c r="Q17" s="520"/>
    </row>
    <row r="18" spans="1:18" ht="15">
      <c r="A18" s="553">
        <v>1996</v>
      </c>
      <c r="B18" s="537"/>
      <c r="C18" s="537"/>
      <c r="D18" s="537"/>
      <c r="E18" s="537"/>
      <c r="F18" s="537"/>
      <c r="G18" s="536"/>
      <c r="H18" s="536"/>
      <c r="I18" s="536"/>
      <c r="J18" s="536"/>
      <c r="K18" s="536"/>
      <c r="L18" s="535"/>
      <c r="M18" s="530"/>
      <c r="N18" s="530"/>
      <c r="O18" s="530"/>
      <c r="P18" s="530"/>
      <c r="Q18" s="520"/>
    </row>
    <row r="19" spans="1:18" ht="15">
      <c r="A19" s="547" t="s">
        <v>1611</v>
      </c>
      <c r="B19" s="525">
        <f t="shared" ref="B19:L19" si="0">B7/B6*100</f>
        <v>135.35353535353536</v>
      </c>
      <c r="C19" s="525">
        <f t="shared" si="0"/>
        <v>48.818897637795274</v>
      </c>
      <c r="D19" s="525">
        <f t="shared" si="0"/>
        <v>85.611510791366911</v>
      </c>
      <c r="E19" s="525">
        <f t="shared" si="0"/>
        <v>81.481481481481481</v>
      </c>
      <c r="F19" s="525">
        <f t="shared" si="0"/>
        <v>104.48717948717949</v>
      </c>
      <c r="G19" s="525">
        <f t="shared" si="0"/>
        <v>188.39285714285717</v>
      </c>
      <c r="H19" s="525">
        <f t="shared" si="0"/>
        <v>148.83720930232559</v>
      </c>
      <c r="I19" s="525">
        <f t="shared" si="0"/>
        <v>116.45569620253163</v>
      </c>
      <c r="J19" s="525">
        <f t="shared" si="0"/>
        <v>125</v>
      </c>
      <c r="K19" s="525">
        <f t="shared" si="0"/>
        <v>123.61111111111111</v>
      </c>
      <c r="L19" s="534">
        <f t="shared" si="0"/>
        <v>136.17021276595744</v>
      </c>
      <c r="M19" s="530"/>
      <c r="N19" s="530"/>
      <c r="O19" s="530"/>
      <c r="P19" s="520"/>
    </row>
    <row r="20" spans="1:18" ht="15">
      <c r="A20" s="547" t="s">
        <v>1610</v>
      </c>
      <c r="B20" s="525">
        <f t="shared" ref="B20:L20" si="1">B8/B6*100</f>
        <v>181.81818181818181</v>
      </c>
      <c r="C20" s="525">
        <f t="shared" si="1"/>
        <v>62.598425196850393</v>
      </c>
      <c r="D20" s="525">
        <f t="shared" si="1"/>
        <v>120.14388489208632</v>
      </c>
      <c r="E20" s="525">
        <f t="shared" si="1"/>
        <v>102.22222222222224</v>
      </c>
      <c r="F20" s="525">
        <f t="shared" si="1"/>
        <v>117.30769230769231</v>
      </c>
      <c r="G20" s="525">
        <f t="shared" si="1"/>
        <v>236.60714285714289</v>
      </c>
      <c r="H20" s="525">
        <f t="shared" si="1"/>
        <v>208.1395348837209</v>
      </c>
      <c r="I20" s="525">
        <f t="shared" si="1"/>
        <v>149.36708860759492</v>
      </c>
      <c r="J20" s="525">
        <f t="shared" si="1"/>
        <v>152.77777777777777</v>
      </c>
      <c r="K20" s="525">
        <f t="shared" si="1"/>
        <v>152.77777777777777</v>
      </c>
      <c r="L20" s="534">
        <f t="shared" si="1"/>
        <v>172.34042553191489</v>
      </c>
      <c r="M20" s="530"/>
      <c r="N20" s="530"/>
      <c r="O20" s="530"/>
      <c r="P20" s="520"/>
    </row>
    <row r="21" spans="1:18" ht="15">
      <c r="A21" s="549">
        <v>2001</v>
      </c>
      <c r="B21" s="525"/>
      <c r="C21" s="525"/>
      <c r="D21" s="525"/>
      <c r="E21" s="525"/>
      <c r="F21" s="525"/>
      <c r="G21" s="525"/>
      <c r="H21" s="525"/>
      <c r="I21" s="525"/>
      <c r="J21" s="525"/>
      <c r="K21" s="525"/>
      <c r="L21" s="534"/>
      <c r="M21" s="530"/>
      <c r="N21" s="530"/>
      <c r="O21" s="530"/>
      <c r="P21" s="530"/>
      <c r="Q21" s="520"/>
    </row>
    <row r="22" spans="1:18" ht="15">
      <c r="A22" s="547" t="s">
        <v>1611</v>
      </c>
      <c r="B22" s="525">
        <f t="shared" ref="B22:L22" si="2">B11/B10*100</f>
        <v>124.32432432432429</v>
      </c>
      <c r="C22" s="525">
        <f t="shared" si="2"/>
        <v>49.773755656108591</v>
      </c>
      <c r="D22" s="525">
        <f t="shared" si="2"/>
        <v>83.458646616541344</v>
      </c>
      <c r="E22" s="525">
        <f t="shared" si="2"/>
        <v>82.882882882882882</v>
      </c>
      <c r="F22" s="525">
        <f t="shared" si="2"/>
        <v>78.571428571428584</v>
      </c>
      <c r="G22" s="525">
        <f t="shared" si="2"/>
        <v>175.64102564102564</v>
      </c>
      <c r="H22" s="525">
        <f t="shared" si="2"/>
        <v>144.06779661016949</v>
      </c>
      <c r="I22" s="525">
        <f t="shared" si="2"/>
        <v>88.888888888888886</v>
      </c>
      <c r="J22" s="525">
        <f t="shared" si="2"/>
        <v>85.9375</v>
      </c>
      <c r="K22" s="525">
        <f t="shared" si="2"/>
        <v>117.30769230769229</v>
      </c>
      <c r="L22" s="534">
        <f t="shared" si="2"/>
        <v>116.27906976744187</v>
      </c>
      <c r="M22" s="530"/>
      <c r="N22" s="530"/>
      <c r="O22" s="530"/>
      <c r="P22" s="520"/>
    </row>
    <row r="23" spans="1:18" ht="15">
      <c r="A23" s="547" t="s">
        <v>1610</v>
      </c>
      <c r="B23" s="525">
        <f t="shared" ref="B23:L23" si="3">B12/B10*100</f>
        <v>171.62162162162161</v>
      </c>
      <c r="C23" s="525">
        <f t="shared" si="3"/>
        <v>73.755656108597279</v>
      </c>
      <c r="D23" s="525">
        <f t="shared" si="3"/>
        <v>66.165413533834581</v>
      </c>
      <c r="E23" s="525">
        <f t="shared" si="3"/>
        <v>105.40540540540539</v>
      </c>
      <c r="F23" s="525">
        <f t="shared" si="3"/>
        <v>103.17460317460319</v>
      </c>
      <c r="G23" s="525">
        <f t="shared" si="3"/>
        <v>262.82051282051282</v>
      </c>
      <c r="H23" s="525">
        <f t="shared" si="3"/>
        <v>200</v>
      </c>
      <c r="I23" s="525">
        <f t="shared" si="3"/>
        <v>101.58730158730161</v>
      </c>
      <c r="J23" s="525">
        <f t="shared" si="3"/>
        <v>156.25</v>
      </c>
      <c r="K23" s="525">
        <f t="shared" si="3"/>
        <v>123.07692307692308</v>
      </c>
      <c r="L23" s="534">
        <f t="shared" si="3"/>
        <v>154.6511627906977</v>
      </c>
      <c r="M23" s="530"/>
      <c r="N23" s="530"/>
      <c r="O23" s="530"/>
      <c r="P23" s="520"/>
    </row>
    <row r="24" spans="1:18" ht="15">
      <c r="A24" s="549">
        <v>2006</v>
      </c>
      <c r="B24" s="525"/>
      <c r="C24" s="525"/>
      <c r="D24" s="525"/>
      <c r="E24" s="525"/>
      <c r="F24" s="525"/>
      <c r="G24" s="525"/>
      <c r="H24" s="525"/>
      <c r="I24" s="525"/>
      <c r="J24" s="525"/>
      <c r="K24" s="525"/>
      <c r="L24" s="534"/>
      <c r="M24" s="530"/>
      <c r="N24" s="530"/>
      <c r="O24" s="530"/>
      <c r="P24" s="530"/>
      <c r="Q24" s="520"/>
    </row>
    <row r="25" spans="1:18" ht="15">
      <c r="A25" s="547" t="s">
        <v>1611</v>
      </c>
      <c r="B25" s="525">
        <f t="shared" ref="B25:L25" si="4">B15/B14*100</f>
        <v>131.25</v>
      </c>
      <c r="C25" s="525">
        <f t="shared" si="4"/>
        <v>55.851063829787229</v>
      </c>
      <c r="D25" s="525">
        <f t="shared" si="4"/>
        <v>100</v>
      </c>
      <c r="E25" s="525">
        <f t="shared" si="4"/>
        <v>95.652173913043498</v>
      </c>
      <c r="F25" s="525">
        <f t="shared" si="4"/>
        <v>88.118811881188137</v>
      </c>
      <c r="G25" s="525">
        <f t="shared" si="4"/>
        <v>185.9375</v>
      </c>
      <c r="H25" s="525">
        <f t="shared" si="4"/>
        <v>138.70967741935482</v>
      </c>
      <c r="I25" s="525">
        <f t="shared" si="4"/>
        <v>83.928571428571445</v>
      </c>
      <c r="J25" s="525">
        <f t="shared" si="4"/>
        <v>68.421052631578945</v>
      </c>
      <c r="K25" s="525">
        <f t="shared" si="4"/>
        <v>111.62790697674419</v>
      </c>
      <c r="L25" s="534">
        <f t="shared" si="4"/>
        <v>127.11864406779661</v>
      </c>
      <c r="M25" s="530"/>
      <c r="N25" s="530"/>
      <c r="O25" s="530"/>
      <c r="P25" s="520"/>
    </row>
    <row r="26" spans="1:18" ht="15">
      <c r="A26" s="543" t="s">
        <v>1610</v>
      </c>
      <c r="B26" s="533">
        <f t="shared" ref="B26:L26" si="5">B16/B14*100</f>
        <v>192.1875</v>
      </c>
      <c r="C26" s="533">
        <f t="shared" si="5"/>
        <v>75</v>
      </c>
      <c r="D26" s="533">
        <f t="shared" si="5"/>
        <v>105.40540540540539</v>
      </c>
      <c r="E26" s="533">
        <f t="shared" si="5"/>
        <v>131.52173913043478</v>
      </c>
      <c r="F26" s="533">
        <f t="shared" si="5"/>
        <v>99.009900990099013</v>
      </c>
      <c r="G26" s="533">
        <f t="shared" si="5"/>
        <v>304.6875</v>
      </c>
      <c r="H26" s="533">
        <f t="shared" si="5"/>
        <v>191.93548387096774</v>
      </c>
      <c r="I26" s="533">
        <f t="shared" si="5"/>
        <v>162.5</v>
      </c>
      <c r="J26" s="533">
        <f t="shared" si="5"/>
        <v>112.28070175438596</v>
      </c>
      <c r="K26" s="533">
        <f t="shared" si="5"/>
        <v>155.81395348837211</v>
      </c>
      <c r="L26" s="532">
        <f t="shared" si="5"/>
        <v>179.66101694915253</v>
      </c>
      <c r="M26" s="530"/>
      <c r="N26" s="530"/>
      <c r="O26" s="530"/>
      <c r="P26" s="520"/>
    </row>
    <row r="27" spans="1:18" ht="15">
      <c r="A27" s="920"/>
      <c r="B27" s="530"/>
      <c r="C27" s="531"/>
      <c r="D27" s="531"/>
      <c r="E27" s="530"/>
      <c r="F27" s="530"/>
      <c r="G27" s="530"/>
      <c r="H27" s="531"/>
      <c r="I27" s="531"/>
      <c r="J27" s="531"/>
      <c r="K27" s="530"/>
      <c r="L27" s="530"/>
      <c r="M27" s="530"/>
      <c r="N27" s="530"/>
      <c r="O27" s="530"/>
      <c r="P27" s="530"/>
      <c r="Q27" s="520"/>
    </row>
    <row r="28" spans="1:18">
      <c r="A28" s="518" t="s">
        <v>1625</v>
      </c>
      <c r="C28" s="524"/>
      <c r="D28" s="524"/>
      <c r="E28" s="524"/>
      <c r="F28" s="524"/>
      <c r="G28" s="524"/>
      <c r="H28" s="524"/>
      <c r="I28" s="524"/>
      <c r="J28" s="524"/>
      <c r="K28" s="524"/>
      <c r="L28" s="524"/>
      <c r="M28" s="524"/>
      <c r="N28" s="524"/>
      <c r="O28" s="524"/>
      <c r="P28" s="524"/>
      <c r="Q28" s="524"/>
    </row>
    <row r="29" spans="1:18">
      <c r="A29" s="528" t="s">
        <v>1609</v>
      </c>
      <c r="B29" s="528"/>
      <c r="C29" s="529"/>
      <c r="D29" s="529"/>
      <c r="E29" s="529"/>
      <c r="F29" s="529"/>
      <c r="G29" s="529"/>
      <c r="H29" s="529"/>
      <c r="I29" s="529"/>
      <c r="J29" s="529"/>
      <c r="K29" s="529"/>
      <c r="L29" s="529"/>
      <c r="M29" s="524"/>
      <c r="N29" s="524"/>
      <c r="O29" s="524"/>
      <c r="P29" s="524"/>
      <c r="Q29" s="524"/>
    </row>
    <row r="30" spans="1:18" ht="26.25" customHeight="1">
      <c r="A30" s="1323" t="s">
        <v>1608</v>
      </c>
      <c r="B30" s="1323"/>
      <c r="C30" s="1323"/>
      <c r="D30" s="1323"/>
      <c r="E30" s="1323"/>
      <c r="F30" s="1323"/>
      <c r="G30" s="1323"/>
      <c r="H30" s="1323"/>
      <c r="I30" s="1323"/>
      <c r="J30" s="1323"/>
      <c r="K30" s="1323"/>
      <c r="L30" s="1323"/>
      <c r="M30" s="523"/>
      <c r="N30" s="523"/>
      <c r="O30" s="523"/>
      <c r="P30" s="523"/>
      <c r="Q30" s="524"/>
    </row>
    <row r="31" spans="1:18">
      <c r="A31" s="528" t="s">
        <v>1607</v>
      </c>
      <c r="B31" s="527"/>
      <c r="C31" s="527"/>
      <c r="D31" s="527"/>
      <c r="E31" s="527"/>
      <c r="F31" s="527"/>
      <c r="G31" s="527"/>
      <c r="H31" s="527"/>
      <c r="I31" s="527"/>
      <c r="J31" s="527"/>
      <c r="K31" s="527"/>
      <c r="L31" s="527"/>
      <c r="M31" s="526"/>
      <c r="N31" s="525"/>
      <c r="O31" s="525"/>
      <c r="P31" s="525"/>
      <c r="Q31" s="524"/>
    </row>
    <row r="32" spans="1:18" ht="30.75" customHeight="1">
      <c r="A32" s="1323" t="s">
        <v>1606</v>
      </c>
      <c r="B32" s="1323"/>
      <c r="C32" s="1323"/>
      <c r="D32" s="1323"/>
      <c r="E32" s="1323"/>
      <c r="F32" s="1323"/>
      <c r="G32" s="1323"/>
      <c r="H32" s="1323"/>
      <c r="I32" s="1323"/>
      <c r="J32" s="1323"/>
      <c r="K32" s="1323"/>
      <c r="L32" s="1323"/>
      <c r="M32" s="523"/>
      <c r="N32" s="523"/>
      <c r="O32" s="523"/>
      <c r="P32" s="523"/>
      <c r="Q32" s="522"/>
      <c r="R32" s="520"/>
    </row>
    <row r="33" spans="1:16">
      <c r="A33" s="521"/>
      <c r="B33" s="521"/>
      <c r="D33" s="519"/>
      <c r="E33" s="519"/>
      <c r="G33" s="519"/>
      <c r="H33" s="519"/>
      <c r="I33" s="519"/>
      <c r="J33" s="519"/>
      <c r="K33" s="520"/>
      <c r="L33" s="520"/>
      <c r="M33" s="520"/>
      <c r="N33" s="519"/>
      <c r="O33" s="519"/>
      <c r="P33" s="519"/>
    </row>
  </sheetData>
  <mergeCells count="3">
    <mergeCell ref="A17:F17"/>
    <mergeCell ref="A32:L32"/>
    <mergeCell ref="A30:L30"/>
  </mergeCells>
  <hyperlinks>
    <hyperlink ref="A30" display="http://www12.statcan.ca/english/census01/products/standard/themes/RetrieveProductTable.cfm?Temporal=2001&amp;PID=60337&amp;APATH=3&amp;GID=431515&amp;METH=1&amp;PTYPE=55440&amp;THEME=46&amp;FOCUS=0&amp;AID=0&amp;PLACENAME=0&amp;PROVINCE=0&amp;SEARCH=0&amp;GC=99&amp;GK=NA&amp;VID=0&amp;VNAMEE=&amp;VNAMEF=&amp;FL=0&amp;RL=0&amp;FRE"/>
    <hyperlink ref="A32" display="http://www12.statcan.ca/english/census06/data/topics/RetrieveProductTable.cfm?TPL=RETR&amp;ALEVEL=3&amp;APATH=3&amp;CATNO=&amp;DETAIL=0&amp;DIM=&amp;DS=99&amp;FL=0&amp;FREE=0&amp;GAL=0&amp;GC=99&amp;GK=NA&amp;GRP=1&amp;IPS=&amp;METH=0&amp;ORDER=1&amp;PID=93716&amp;PTYPE=88971&amp;RL=0&amp;S=1&amp;ShowAll=No&amp;StartRow=1&amp;SUB=0&amp;Temporal="/>
  </hyperlinks>
  <pageMargins left="0.75" right="0.75" top="1" bottom="1" header="0.5" footer="0.5"/>
  <pageSetup scale="76" orientation="landscape" verticalDpi="0" r:id="rId1"/>
  <headerFooter alignWithMargins="0"/>
</worksheet>
</file>

<file path=xl/worksheets/sheet212.xml><?xml version="1.0" encoding="utf-8"?>
<worksheet xmlns="http://schemas.openxmlformats.org/spreadsheetml/2006/main" xmlns:r="http://schemas.openxmlformats.org/officeDocument/2006/relationships">
  <sheetPr codeName="Sheet207"/>
  <dimension ref="A1:M18"/>
  <sheetViews>
    <sheetView view="pageBreakPreview" zoomScale="115" zoomScaleSheetLayoutView="11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5"/>
  <cols>
    <col min="1" max="1" width="26.85546875" style="560" customWidth="1"/>
    <col min="2" max="4" width="11.140625" style="561" customWidth="1"/>
    <col min="5" max="6" width="13.5703125" style="561" customWidth="1"/>
    <col min="7" max="9" width="11.140625" style="561" customWidth="1"/>
    <col min="10" max="11" width="13.5703125" style="561" customWidth="1"/>
    <col min="12" max="16384" width="9.140625" style="560"/>
  </cols>
  <sheetData>
    <row r="1" spans="1:13" ht="15.75">
      <c r="A1" s="581" t="s">
        <v>2257</v>
      </c>
    </row>
    <row r="2" spans="1:13">
      <c r="A2" s="576"/>
    </row>
    <row r="3" spans="1:13">
      <c r="B3" s="1324">
        <v>2000</v>
      </c>
      <c r="C3" s="1325"/>
      <c r="D3" s="1325"/>
      <c r="E3" s="1325"/>
      <c r="F3" s="1326"/>
      <c r="G3" s="1324">
        <v>2005</v>
      </c>
      <c r="H3" s="1325"/>
      <c r="I3" s="1325"/>
      <c r="J3" s="1325"/>
      <c r="K3" s="1326"/>
    </row>
    <row r="4" spans="1:13" ht="90">
      <c r="A4" s="575"/>
      <c r="B4" s="574" t="s">
        <v>182</v>
      </c>
      <c r="C4" s="573" t="s">
        <v>1619</v>
      </c>
      <c r="D4" s="573" t="s">
        <v>1618</v>
      </c>
      <c r="E4" s="573" t="s">
        <v>1620</v>
      </c>
      <c r="F4" s="572" t="s">
        <v>1616</v>
      </c>
      <c r="G4" s="574" t="s">
        <v>182</v>
      </c>
      <c r="H4" s="573" t="s">
        <v>1619</v>
      </c>
      <c r="I4" s="573" t="s">
        <v>1618</v>
      </c>
      <c r="J4" s="573" t="s">
        <v>1617</v>
      </c>
      <c r="K4" s="572" t="s">
        <v>1616</v>
      </c>
    </row>
    <row r="5" spans="1:13" s="562" customFormat="1">
      <c r="A5" s="925" t="s">
        <v>375</v>
      </c>
      <c r="B5" s="571">
        <v>76569</v>
      </c>
      <c r="C5" s="570">
        <v>76485</v>
      </c>
      <c r="D5" s="570">
        <v>77145</v>
      </c>
      <c r="E5" s="570">
        <v>55615</v>
      </c>
      <c r="F5" s="569">
        <f>E5/C5*100</f>
        <v>72.713603974635561</v>
      </c>
      <c r="G5" s="571">
        <v>82325</v>
      </c>
      <c r="H5" s="570">
        <v>83538</v>
      </c>
      <c r="I5" s="570">
        <v>79372</v>
      </c>
      <c r="J5" s="570">
        <v>53556</v>
      </c>
      <c r="K5" s="569">
        <f>J5/H5*100</f>
        <v>64.109746462687639</v>
      </c>
      <c r="M5" s="562">
        <f>I5/H5</f>
        <v>0.95013047954224428</v>
      </c>
    </row>
    <row r="6" spans="1:13" s="562" customFormat="1">
      <c r="A6" s="926" t="s">
        <v>790</v>
      </c>
      <c r="B6" s="568">
        <v>57677</v>
      </c>
      <c r="C6" s="567">
        <v>56792</v>
      </c>
      <c r="D6" s="567">
        <v>93178</v>
      </c>
      <c r="E6" s="567" t="s">
        <v>374</v>
      </c>
      <c r="F6" s="566" t="s">
        <v>374</v>
      </c>
      <c r="G6" s="568">
        <v>63041</v>
      </c>
      <c r="H6" s="567">
        <v>62081</v>
      </c>
      <c r="I6" s="567">
        <v>100974</v>
      </c>
      <c r="J6" s="567">
        <v>85549</v>
      </c>
      <c r="K6" s="566">
        <f>J6/H6*100</f>
        <v>137.80222612393487</v>
      </c>
    </row>
    <row r="7" spans="1:13" s="562" customFormat="1">
      <c r="A7" s="926" t="s">
        <v>1040</v>
      </c>
      <c r="B7" s="568">
        <v>62022</v>
      </c>
      <c r="C7" s="567">
        <v>61918</v>
      </c>
      <c r="D7" s="567">
        <v>63556</v>
      </c>
      <c r="E7" s="567" t="s">
        <v>374</v>
      </c>
      <c r="F7" s="566" t="s">
        <v>374</v>
      </c>
      <c r="G7" s="568">
        <v>64139</v>
      </c>
      <c r="H7" s="567">
        <v>64396</v>
      </c>
      <c r="I7" s="567">
        <v>59467</v>
      </c>
      <c r="J7" s="567" t="s">
        <v>374</v>
      </c>
      <c r="K7" s="566" t="s">
        <v>374</v>
      </c>
    </row>
    <row r="8" spans="1:13" s="562" customFormat="1">
      <c r="A8" s="926" t="s">
        <v>791</v>
      </c>
      <c r="B8" s="568">
        <v>63063</v>
      </c>
      <c r="C8" s="567">
        <v>62294</v>
      </c>
      <c r="D8" s="567">
        <v>75031</v>
      </c>
      <c r="E8" s="567">
        <v>54251</v>
      </c>
      <c r="F8" s="566">
        <f t="shared" ref="F8:F15" si="0">E8/C8*100</f>
        <v>87.088644171188236</v>
      </c>
      <c r="G8" s="568">
        <v>67672</v>
      </c>
      <c r="H8" s="567">
        <v>67082</v>
      </c>
      <c r="I8" s="567">
        <v>77496</v>
      </c>
      <c r="J8" s="567">
        <v>58493</v>
      </c>
      <c r="K8" s="566">
        <f t="shared" ref="K8:K15" si="1">J8/H8*100</f>
        <v>87.196267255001331</v>
      </c>
    </row>
    <row r="9" spans="1:13" s="562" customFormat="1">
      <c r="A9" s="926" t="s">
        <v>792</v>
      </c>
      <c r="B9" s="568">
        <v>60662</v>
      </c>
      <c r="C9" s="567">
        <v>60300</v>
      </c>
      <c r="D9" s="567">
        <v>69907</v>
      </c>
      <c r="E9" s="567">
        <v>62146</v>
      </c>
      <c r="F9" s="566">
        <f t="shared" si="0"/>
        <v>103.06135986733003</v>
      </c>
      <c r="G9" s="568">
        <v>63913</v>
      </c>
      <c r="H9" s="567">
        <v>63718</v>
      </c>
      <c r="I9" s="567">
        <v>69355</v>
      </c>
      <c r="J9" s="567">
        <v>60483</v>
      </c>
      <c r="K9" s="566">
        <f t="shared" si="1"/>
        <v>94.922941711918142</v>
      </c>
    </row>
    <row r="10" spans="1:13" s="562" customFormat="1">
      <c r="A10" s="926" t="s">
        <v>1041</v>
      </c>
      <c r="B10" s="568">
        <v>67551</v>
      </c>
      <c r="C10" s="567">
        <v>68074</v>
      </c>
      <c r="D10" s="567">
        <v>64671</v>
      </c>
      <c r="E10" s="567">
        <v>44877</v>
      </c>
      <c r="F10" s="566">
        <f t="shared" si="0"/>
        <v>65.923847577636096</v>
      </c>
      <c r="G10" s="568">
        <v>71838</v>
      </c>
      <c r="H10" s="567">
        <v>73269</v>
      </c>
      <c r="I10" s="567">
        <v>64258</v>
      </c>
      <c r="J10" s="567">
        <v>43509</v>
      </c>
      <c r="K10" s="566">
        <f t="shared" si="1"/>
        <v>59.382549236375546</v>
      </c>
    </row>
    <row r="11" spans="1:13" s="562" customFormat="1">
      <c r="A11" s="926" t="s">
        <v>738</v>
      </c>
      <c r="B11" s="568">
        <v>86241</v>
      </c>
      <c r="C11" s="567">
        <v>88752</v>
      </c>
      <c r="D11" s="567">
        <v>82023</v>
      </c>
      <c r="E11" s="567">
        <v>59137</v>
      </c>
      <c r="F11" s="566">
        <f t="shared" si="0"/>
        <v>66.631737876329538</v>
      </c>
      <c r="G11" s="568">
        <v>90526</v>
      </c>
      <c r="H11" s="567">
        <v>95069</v>
      </c>
      <c r="I11" s="567">
        <v>83394</v>
      </c>
      <c r="J11" s="567">
        <v>55031</v>
      </c>
      <c r="K11" s="566">
        <f t="shared" si="1"/>
        <v>57.885325395239249</v>
      </c>
    </row>
    <row r="12" spans="1:13" s="562" customFormat="1">
      <c r="A12" s="926" t="s">
        <v>739</v>
      </c>
      <c r="B12" s="568">
        <v>67843</v>
      </c>
      <c r="C12" s="567">
        <v>67541</v>
      </c>
      <c r="D12" s="567">
        <v>69470</v>
      </c>
      <c r="E12" s="567">
        <v>54653</v>
      </c>
      <c r="F12" s="566">
        <f t="shared" si="0"/>
        <v>80.918257058675465</v>
      </c>
      <c r="G12" s="568">
        <v>72240</v>
      </c>
      <c r="H12" s="567">
        <v>72344</v>
      </c>
      <c r="I12" s="567">
        <v>72348</v>
      </c>
      <c r="J12" s="567">
        <v>52815</v>
      </c>
      <c r="K12" s="566">
        <f t="shared" si="1"/>
        <v>73.005363264403414</v>
      </c>
    </row>
    <row r="13" spans="1:13" s="562" customFormat="1">
      <c r="A13" s="926" t="s">
        <v>740</v>
      </c>
      <c r="B13" s="568">
        <v>65139</v>
      </c>
      <c r="C13" s="567">
        <v>64792</v>
      </c>
      <c r="D13" s="567">
        <v>70172</v>
      </c>
      <c r="E13" s="567">
        <v>59217</v>
      </c>
      <c r="F13" s="566">
        <f t="shared" si="0"/>
        <v>91.395542659587605</v>
      </c>
      <c r="G13" s="568">
        <v>71339</v>
      </c>
      <c r="H13" s="567">
        <v>70779</v>
      </c>
      <c r="I13" s="567">
        <v>79788</v>
      </c>
      <c r="J13" s="567">
        <v>71904</v>
      </c>
      <c r="K13" s="566">
        <f t="shared" si="1"/>
        <v>101.58945449921586</v>
      </c>
    </row>
    <row r="14" spans="1:13" s="562" customFormat="1">
      <c r="A14" s="926" t="s">
        <v>741</v>
      </c>
      <c r="B14" s="568">
        <v>82430</v>
      </c>
      <c r="C14" s="567">
        <v>83446</v>
      </c>
      <c r="D14" s="567">
        <v>78425</v>
      </c>
      <c r="E14" s="567">
        <v>61104</v>
      </c>
      <c r="F14" s="566">
        <f t="shared" si="0"/>
        <v>73.225798720130385</v>
      </c>
      <c r="G14" s="568">
        <v>98240</v>
      </c>
      <c r="H14" s="567">
        <v>100720</v>
      </c>
      <c r="I14" s="567">
        <v>89666</v>
      </c>
      <c r="J14" s="567">
        <v>67022</v>
      </c>
      <c r="K14" s="566">
        <f t="shared" si="1"/>
        <v>66.542891183478943</v>
      </c>
    </row>
    <row r="15" spans="1:13" s="562" customFormat="1">
      <c r="A15" s="927" t="s">
        <v>742</v>
      </c>
      <c r="B15" s="565">
        <v>75831</v>
      </c>
      <c r="C15" s="564">
        <v>77858</v>
      </c>
      <c r="D15" s="564">
        <v>72043</v>
      </c>
      <c r="E15" s="564">
        <v>51119</v>
      </c>
      <c r="F15" s="563">
        <f t="shared" si="0"/>
        <v>65.656708366513399</v>
      </c>
      <c r="G15" s="565">
        <v>80511</v>
      </c>
      <c r="H15" s="564">
        <v>83827</v>
      </c>
      <c r="I15" s="564">
        <v>74956</v>
      </c>
      <c r="J15" s="564">
        <v>51012</v>
      </c>
      <c r="K15" s="563">
        <f t="shared" si="1"/>
        <v>60.853901487587535</v>
      </c>
    </row>
    <row r="17" spans="1:1" s="560" customFormat="1">
      <c r="A17" s="560" t="s">
        <v>1615</v>
      </c>
    </row>
    <row r="18" spans="1:1" s="560" customFormat="1">
      <c r="A18" s="928" t="s">
        <v>1614</v>
      </c>
    </row>
  </sheetData>
  <mergeCells count="2">
    <mergeCell ref="B3:F3"/>
    <mergeCell ref="G3:K3"/>
  </mergeCells>
  <hyperlinks>
    <hyperlink ref="A18" r:id="rId1"/>
  </hyperlinks>
  <pageMargins left="0.7" right="0.7" top="0.75" bottom="0.75" header="0.3" footer="0.3"/>
  <pageSetup scale="82" orientation="landscape" verticalDpi="0" r:id="rId2"/>
</worksheet>
</file>

<file path=xl/worksheets/sheet213.xml><?xml version="1.0" encoding="utf-8"?>
<worksheet xmlns="http://schemas.openxmlformats.org/spreadsheetml/2006/main" xmlns:r="http://schemas.openxmlformats.org/officeDocument/2006/relationships">
  <sheetPr codeName="Sheet208"/>
  <dimension ref="A1:V19"/>
  <sheetViews>
    <sheetView view="pageBreakPreview" zoomScaleNormal="100"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5"/>
  <cols>
    <col min="1" max="1" width="26.85546875" style="560" customWidth="1"/>
    <col min="2" max="4" width="11.140625" style="561" customWidth="1"/>
    <col min="5" max="6" width="13.5703125" style="561" customWidth="1"/>
    <col min="7" max="9" width="11.140625" style="561" customWidth="1"/>
    <col min="10" max="11" width="13.5703125" style="561" customWidth="1"/>
    <col min="12" max="16384" width="9.140625" style="560"/>
  </cols>
  <sheetData>
    <row r="1" spans="1:22" ht="15.75">
      <c r="A1" s="581" t="s">
        <v>2258</v>
      </c>
    </row>
    <row r="2" spans="1:22">
      <c r="A2" s="576"/>
    </row>
    <row r="3" spans="1:22">
      <c r="B3" s="1324">
        <v>2000</v>
      </c>
      <c r="C3" s="1325"/>
      <c r="D3" s="1325"/>
      <c r="E3" s="1325"/>
      <c r="F3" s="1326"/>
      <c r="G3" s="1324">
        <v>2005</v>
      </c>
      <c r="H3" s="1325"/>
      <c r="I3" s="1325"/>
      <c r="J3" s="1325"/>
      <c r="K3" s="1326"/>
    </row>
    <row r="4" spans="1:22" ht="90">
      <c r="A4" s="575"/>
      <c r="B4" s="574" t="s">
        <v>182</v>
      </c>
      <c r="C4" s="573" t="s">
        <v>1619</v>
      </c>
      <c r="D4" s="573" t="s">
        <v>1618</v>
      </c>
      <c r="E4" s="573" t="s">
        <v>1620</v>
      </c>
      <c r="F4" s="572" t="s">
        <v>1616</v>
      </c>
      <c r="G4" s="574" t="s">
        <v>182</v>
      </c>
      <c r="H4" s="573" t="s">
        <v>1619</v>
      </c>
      <c r="I4" s="573" t="s">
        <v>1618</v>
      </c>
      <c r="J4" s="573" t="s">
        <v>1617</v>
      </c>
      <c r="K4" s="572" t="s">
        <v>1616</v>
      </c>
    </row>
    <row r="5" spans="1:22" s="562" customFormat="1">
      <c r="A5" s="925" t="s">
        <v>375</v>
      </c>
      <c r="B5" s="571">
        <v>64004</v>
      </c>
      <c r="C5" s="570">
        <v>64483</v>
      </c>
      <c r="D5" s="570">
        <v>62889</v>
      </c>
      <c r="E5" s="570">
        <v>45380</v>
      </c>
      <c r="F5" s="569">
        <f>E5/C5*100</f>
        <v>70.375137633174631</v>
      </c>
      <c r="G5" s="570">
        <v>66343</v>
      </c>
      <c r="H5" s="570">
        <v>67874</v>
      </c>
      <c r="I5" s="570">
        <v>62242</v>
      </c>
      <c r="J5" s="570">
        <v>43932</v>
      </c>
      <c r="K5" s="569">
        <f>J5/H5*100</f>
        <v>64.72581548162772</v>
      </c>
    </row>
    <row r="6" spans="1:22">
      <c r="A6" s="926" t="s">
        <v>790</v>
      </c>
      <c r="B6" s="568">
        <v>48370</v>
      </c>
      <c r="C6" s="567">
        <v>47912</v>
      </c>
      <c r="D6" s="567">
        <v>75710</v>
      </c>
      <c r="E6" s="567" t="s">
        <v>374</v>
      </c>
      <c r="F6" s="580" t="s">
        <v>374</v>
      </c>
      <c r="G6" s="567">
        <v>51791</v>
      </c>
      <c r="H6" s="567">
        <v>51448</v>
      </c>
      <c r="I6" s="567">
        <v>74658</v>
      </c>
      <c r="J6" s="567">
        <v>60916</v>
      </c>
      <c r="K6" s="579">
        <f>J6/H6*100</f>
        <v>118.40304773752138</v>
      </c>
    </row>
    <row r="7" spans="1:22">
      <c r="A7" s="926" t="s">
        <v>1040</v>
      </c>
      <c r="B7" s="568">
        <v>53908</v>
      </c>
      <c r="C7" s="567">
        <v>53914</v>
      </c>
      <c r="D7" s="567">
        <v>54338</v>
      </c>
      <c r="E7" s="567" t="s">
        <v>374</v>
      </c>
      <c r="F7" s="580" t="s">
        <v>374</v>
      </c>
      <c r="G7" s="567">
        <v>56207</v>
      </c>
      <c r="H7" s="567">
        <v>56383</v>
      </c>
      <c r="I7" s="567">
        <v>51419</v>
      </c>
      <c r="J7" s="567" t="s">
        <v>374</v>
      </c>
      <c r="K7" s="579" t="s">
        <v>374</v>
      </c>
    </row>
    <row r="8" spans="1:22">
      <c r="A8" s="926" t="s">
        <v>791</v>
      </c>
      <c r="B8" s="568">
        <v>53820</v>
      </c>
      <c r="C8" s="567">
        <v>53431</v>
      </c>
      <c r="D8" s="567">
        <v>60272</v>
      </c>
      <c r="E8" s="567">
        <v>39867</v>
      </c>
      <c r="F8" s="579">
        <f t="shared" ref="F8:F15" si="0">E8/C8*100</f>
        <v>74.613988134229189</v>
      </c>
      <c r="G8" s="567">
        <v>57078</v>
      </c>
      <c r="H8" s="567">
        <v>56997</v>
      </c>
      <c r="I8" s="567">
        <v>60506</v>
      </c>
      <c r="J8" s="567">
        <v>44038</v>
      </c>
      <c r="K8" s="579">
        <f t="shared" ref="K8:K15" si="1">J8/H8*100</f>
        <v>77.263715634156185</v>
      </c>
    </row>
    <row r="9" spans="1:22">
      <c r="A9" s="926" t="s">
        <v>792</v>
      </c>
      <c r="B9" s="568">
        <v>52602</v>
      </c>
      <c r="C9" s="567">
        <v>52439</v>
      </c>
      <c r="D9" s="567">
        <v>58147</v>
      </c>
      <c r="E9" s="567">
        <v>50367</v>
      </c>
      <c r="F9" s="579">
        <f t="shared" si="0"/>
        <v>96.048742348252262</v>
      </c>
      <c r="G9" s="567">
        <v>54520</v>
      </c>
      <c r="H9" s="567">
        <v>54542</v>
      </c>
      <c r="I9" s="567">
        <v>55745</v>
      </c>
      <c r="J9" s="567">
        <v>45592</v>
      </c>
      <c r="K9" s="579">
        <f t="shared" si="1"/>
        <v>83.590627406402405</v>
      </c>
    </row>
    <row r="10" spans="1:22">
      <c r="A10" s="926" t="s">
        <v>1041</v>
      </c>
      <c r="B10" s="568">
        <v>57416</v>
      </c>
      <c r="C10" s="567">
        <v>58359</v>
      </c>
      <c r="D10" s="567">
        <v>50863</v>
      </c>
      <c r="E10" s="567">
        <v>35679</v>
      </c>
      <c r="F10" s="579">
        <f t="shared" si="0"/>
        <v>61.137099676142491</v>
      </c>
      <c r="G10" s="567">
        <v>59734</v>
      </c>
      <c r="H10" s="567">
        <v>61550</v>
      </c>
      <c r="I10" s="567">
        <v>49524</v>
      </c>
      <c r="J10" s="567">
        <v>35363</v>
      </c>
      <c r="K10" s="579">
        <f t="shared" si="1"/>
        <v>57.454102355808288</v>
      </c>
    </row>
    <row r="11" spans="1:22">
      <c r="A11" s="926" t="s">
        <v>738</v>
      </c>
      <c r="B11" s="568">
        <v>71717</v>
      </c>
      <c r="C11" s="567">
        <v>74068</v>
      </c>
      <c r="D11" s="567">
        <v>67395</v>
      </c>
      <c r="E11" s="567">
        <v>49342</v>
      </c>
      <c r="F11" s="579">
        <f t="shared" si="0"/>
        <v>66.617162607333796</v>
      </c>
      <c r="G11" s="567">
        <v>72734</v>
      </c>
      <c r="H11" s="567">
        <v>76761</v>
      </c>
      <c r="I11" s="567">
        <v>66204</v>
      </c>
      <c r="J11" s="567">
        <v>46222</v>
      </c>
      <c r="K11" s="579">
        <f t="shared" si="1"/>
        <v>60.215474003725852</v>
      </c>
    </row>
    <row r="12" spans="1:22">
      <c r="A12" s="926" t="s">
        <v>739</v>
      </c>
      <c r="B12" s="568">
        <v>58588</v>
      </c>
      <c r="C12" s="567">
        <v>58692</v>
      </c>
      <c r="D12" s="567">
        <v>58400</v>
      </c>
      <c r="E12" s="567">
        <v>45292</v>
      </c>
      <c r="F12" s="579">
        <f t="shared" si="0"/>
        <v>77.168949771689498</v>
      </c>
      <c r="G12" s="567">
        <v>60754</v>
      </c>
      <c r="H12" s="567">
        <v>61451</v>
      </c>
      <c r="I12" s="567">
        <v>58510</v>
      </c>
      <c r="J12" s="567">
        <v>44746</v>
      </c>
      <c r="K12" s="579">
        <f t="shared" si="1"/>
        <v>72.815739369579006</v>
      </c>
      <c r="N12" s="920"/>
      <c r="O12" s="920"/>
      <c r="P12" s="920"/>
      <c r="Q12" s="920"/>
      <c r="R12" s="920"/>
      <c r="S12" s="920"/>
      <c r="T12" s="920"/>
      <c r="U12" s="920"/>
      <c r="V12" s="920"/>
    </row>
    <row r="13" spans="1:22">
      <c r="A13" s="926" t="s">
        <v>740</v>
      </c>
      <c r="B13" s="568">
        <v>56340</v>
      </c>
      <c r="C13" s="567">
        <v>56402</v>
      </c>
      <c r="D13" s="567">
        <v>55937</v>
      </c>
      <c r="E13" s="567">
        <v>42489</v>
      </c>
      <c r="F13" s="579">
        <f t="shared" si="0"/>
        <v>75.332435020034751</v>
      </c>
      <c r="G13" s="567">
        <v>59998</v>
      </c>
      <c r="H13" s="567">
        <v>59930</v>
      </c>
      <c r="I13" s="567">
        <v>61682</v>
      </c>
      <c r="J13" s="567">
        <v>49853</v>
      </c>
      <c r="K13" s="579">
        <f t="shared" si="1"/>
        <v>83.185382946771242</v>
      </c>
    </row>
    <row r="14" spans="1:22">
      <c r="A14" s="926" t="s">
        <v>741</v>
      </c>
      <c r="B14" s="568">
        <v>69561</v>
      </c>
      <c r="C14" s="567">
        <v>70482</v>
      </c>
      <c r="D14" s="567">
        <v>65502</v>
      </c>
      <c r="E14" s="567">
        <v>50422</v>
      </c>
      <c r="F14" s="579">
        <f t="shared" si="0"/>
        <v>71.538832609744333</v>
      </c>
      <c r="G14" s="567">
        <v>76526</v>
      </c>
      <c r="H14" s="567">
        <v>78573</v>
      </c>
      <c r="I14" s="567">
        <v>69415</v>
      </c>
      <c r="J14" s="567">
        <v>55672</v>
      </c>
      <c r="K14" s="579">
        <f t="shared" si="1"/>
        <v>70.85385565015973</v>
      </c>
    </row>
    <row r="15" spans="1:22">
      <c r="A15" s="927" t="s">
        <v>742</v>
      </c>
      <c r="B15" s="565">
        <v>64607</v>
      </c>
      <c r="C15" s="564">
        <v>67257</v>
      </c>
      <c r="D15" s="564">
        <v>59292</v>
      </c>
      <c r="E15" s="564">
        <v>40215</v>
      </c>
      <c r="F15" s="578">
        <f t="shared" si="0"/>
        <v>59.793032695481507</v>
      </c>
      <c r="G15" s="564">
        <v>65787</v>
      </c>
      <c r="H15" s="564">
        <v>69462</v>
      </c>
      <c r="I15" s="564">
        <v>59342</v>
      </c>
      <c r="J15" s="564">
        <v>42641</v>
      </c>
      <c r="K15" s="578">
        <f t="shared" si="1"/>
        <v>61.387521234631883</v>
      </c>
    </row>
    <row r="16" spans="1:22">
      <c r="B16" s="560"/>
      <c r="C16" s="560"/>
      <c r="D16" s="560"/>
      <c r="E16" s="560"/>
      <c r="F16" s="560"/>
      <c r="G16" s="577"/>
      <c r="H16" s="577"/>
      <c r="I16" s="577"/>
      <c r="J16" s="577"/>
      <c r="K16" s="560"/>
    </row>
    <row r="17" spans="1:1" s="560" customFormat="1">
      <c r="A17" s="560" t="s">
        <v>1615</v>
      </c>
    </row>
    <row r="18" spans="1:1" s="560" customFormat="1">
      <c r="A18" s="928" t="s">
        <v>1614</v>
      </c>
    </row>
    <row r="19" spans="1:1" s="560" customFormat="1"/>
  </sheetData>
  <mergeCells count="2">
    <mergeCell ref="B3:F3"/>
    <mergeCell ref="G3:K3"/>
  </mergeCells>
  <hyperlinks>
    <hyperlink ref="A18" r:id="rId1"/>
  </hyperlinks>
  <pageMargins left="0.7" right="0.7" top="0.75" bottom="0.75" header="0.3" footer="0.3"/>
  <pageSetup scale="82" orientation="landscape" verticalDpi="0" r:id="rId2"/>
</worksheet>
</file>

<file path=xl/worksheets/sheet214.xml><?xml version="1.0" encoding="utf-8"?>
<worksheet xmlns="http://schemas.openxmlformats.org/spreadsheetml/2006/main" xmlns:r="http://schemas.openxmlformats.org/officeDocument/2006/relationships">
  <sheetPr codeName="Sheet209">
    <pageSetUpPr fitToPage="1"/>
  </sheetPr>
  <dimension ref="A1:R34"/>
  <sheetViews>
    <sheetView view="pageBreakPreview" zoomScale="130" zoomScaleNormal="100" zoomScaleSheetLayoutView="130" workbookViewId="0">
      <selection activeCell="H62" sqref="H62"/>
    </sheetView>
  </sheetViews>
  <sheetFormatPr defaultRowHeight="12.75"/>
  <cols>
    <col min="1" max="1" width="30" style="518" customWidth="1"/>
    <col min="2" max="2" width="9.28515625" style="518" customWidth="1"/>
    <col min="3" max="3" width="12.28515625" style="518" customWidth="1"/>
    <col min="4" max="5" width="8.5703125" style="518" customWidth="1"/>
    <col min="6" max="6" width="9" style="518" customWidth="1"/>
    <col min="7" max="9" width="8.5703125" style="518" customWidth="1"/>
    <col min="10" max="10" width="11.5703125" style="518" customWidth="1"/>
    <col min="11" max="12" width="8.5703125" style="518" customWidth="1"/>
    <col min="13" max="16" width="12.140625" style="518" customWidth="1"/>
    <col min="17" max="17" width="9.85546875" style="518" hidden="1" customWidth="1"/>
    <col min="18" max="18" width="9.140625" style="518" hidden="1" customWidth="1"/>
    <col min="19" max="16384" width="9.140625" style="518"/>
  </cols>
  <sheetData>
    <row r="1" spans="1:17" ht="15.75">
      <c r="A1" s="582" t="s">
        <v>1628</v>
      </c>
      <c r="C1" s="559"/>
      <c r="D1" s="559"/>
      <c r="E1" s="559"/>
      <c r="F1" s="559"/>
      <c r="G1" s="559"/>
      <c r="H1" s="559"/>
      <c r="I1" s="559"/>
      <c r="J1" s="559"/>
      <c r="K1" s="559"/>
      <c r="L1" s="559"/>
      <c r="M1" s="559"/>
    </row>
    <row r="2" spans="1:17">
      <c r="B2" s="558"/>
    </row>
    <row r="3" spans="1:17" ht="15">
      <c r="A3" s="920"/>
      <c r="B3" s="530"/>
      <c r="C3" s="531"/>
      <c r="D3" s="531"/>
      <c r="E3" s="530"/>
      <c r="F3" s="530"/>
      <c r="G3" s="530"/>
      <c r="H3" s="531"/>
      <c r="I3" s="531"/>
      <c r="J3" s="531"/>
      <c r="K3" s="530"/>
      <c r="L3" s="530"/>
      <c r="M3" s="530"/>
      <c r="N3" s="530"/>
      <c r="O3" s="530"/>
      <c r="P3" s="530"/>
      <c r="Q3" s="520"/>
    </row>
    <row r="4" spans="1:17" ht="38.25">
      <c r="A4" s="557"/>
      <c r="B4" s="556" t="s">
        <v>375</v>
      </c>
      <c r="C4" s="555" t="s">
        <v>790</v>
      </c>
      <c r="D4" s="555" t="s">
        <v>1040</v>
      </c>
      <c r="E4" s="555" t="s">
        <v>791</v>
      </c>
      <c r="F4" s="555" t="s">
        <v>792</v>
      </c>
      <c r="G4" s="555" t="s">
        <v>1041</v>
      </c>
      <c r="H4" s="555" t="s">
        <v>738</v>
      </c>
      <c r="I4" s="555" t="s">
        <v>739</v>
      </c>
      <c r="J4" s="555" t="s">
        <v>740</v>
      </c>
      <c r="K4" s="555" t="s">
        <v>741</v>
      </c>
      <c r="L4" s="554" t="s">
        <v>742</v>
      </c>
      <c r="N4" s="530"/>
      <c r="O4" s="530"/>
      <c r="P4" s="530"/>
      <c r="Q4" s="520"/>
    </row>
    <row r="5" spans="1:17" ht="15">
      <c r="A5" s="553">
        <v>2001</v>
      </c>
      <c r="B5" s="586"/>
      <c r="C5" s="587"/>
      <c r="D5" s="587"/>
      <c r="E5" s="587"/>
      <c r="F5" s="587"/>
      <c r="G5" s="587"/>
      <c r="H5" s="587"/>
      <c r="I5" s="587"/>
      <c r="J5" s="587"/>
      <c r="K5" s="587"/>
      <c r="L5" s="588"/>
      <c r="M5" s="530"/>
      <c r="N5" s="530"/>
      <c r="O5" s="530"/>
      <c r="P5" s="530"/>
      <c r="Q5" s="520"/>
    </row>
    <row r="6" spans="1:17" ht="15">
      <c r="A6" s="547" t="s">
        <v>1621</v>
      </c>
      <c r="B6" s="592">
        <v>7.1</v>
      </c>
      <c r="C6" s="593">
        <v>21.4</v>
      </c>
      <c r="D6" s="593">
        <v>13.1</v>
      </c>
      <c r="E6" s="593">
        <v>10.7</v>
      </c>
      <c r="F6" s="593">
        <v>12.2</v>
      </c>
      <c r="G6" s="593">
        <v>8.1</v>
      </c>
      <c r="H6" s="593">
        <v>6</v>
      </c>
      <c r="I6" s="593">
        <v>4.7</v>
      </c>
      <c r="J6" s="593">
        <v>4.8</v>
      </c>
      <c r="K6" s="593">
        <v>4.8</v>
      </c>
      <c r="L6" s="594">
        <v>8</v>
      </c>
      <c r="M6" s="921"/>
      <c r="N6" s="530"/>
      <c r="O6" s="530"/>
      <c r="P6" s="520"/>
    </row>
    <row r="7" spans="1:17" ht="15">
      <c r="A7" s="547" t="s">
        <v>1622</v>
      </c>
      <c r="B7" s="592">
        <v>19.100000000000001</v>
      </c>
      <c r="C7" s="593">
        <v>33.5</v>
      </c>
      <c r="D7" s="593">
        <v>24.6</v>
      </c>
      <c r="E7" s="593">
        <v>21.9</v>
      </c>
      <c r="F7" s="593">
        <v>28.1</v>
      </c>
      <c r="G7" s="593">
        <v>18.5</v>
      </c>
      <c r="H7" s="593">
        <v>14.7</v>
      </c>
      <c r="I7" s="593">
        <v>19</v>
      </c>
      <c r="J7" s="593">
        <v>23</v>
      </c>
      <c r="K7" s="593">
        <v>14.9</v>
      </c>
      <c r="L7" s="594">
        <v>22.5</v>
      </c>
      <c r="M7" s="530"/>
      <c r="N7" s="530"/>
      <c r="O7" s="530"/>
      <c r="P7" s="520"/>
    </row>
    <row r="8" spans="1:17" ht="15">
      <c r="A8" s="549">
        <v>2006</v>
      </c>
      <c r="B8" s="589"/>
      <c r="C8" s="590"/>
      <c r="D8" s="590"/>
      <c r="E8" s="590"/>
      <c r="F8" s="590"/>
      <c r="G8" s="590"/>
      <c r="H8" s="590"/>
      <c r="I8" s="590"/>
      <c r="J8" s="590"/>
      <c r="K8" s="590"/>
      <c r="L8" s="591"/>
      <c r="M8" s="530"/>
      <c r="N8" s="530"/>
      <c r="O8" s="530"/>
      <c r="P8" s="530"/>
      <c r="Q8" s="520"/>
    </row>
    <row r="9" spans="1:17" ht="15">
      <c r="A9" s="547" t="s">
        <v>1621</v>
      </c>
      <c r="B9" s="595">
        <v>6.3</v>
      </c>
      <c r="C9" s="596">
        <v>18</v>
      </c>
      <c r="D9" s="596">
        <v>11</v>
      </c>
      <c r="E9" s="596">
        <v>9</v>
      </c>
      <c r="F9" s="596">
        <v>9.6999999999999993</v>
      </c>
      <c r="G9" s="596">
        <v>6.9</v>
      </c>
      <c r="H9" s="596">
        <v>6.3</v>
      </c>
      <c r="I9" s="596">
        <v>4.2</v>
      </c>
      <c r="J9" s="596">
        <v>4.2</v>
      </c>
      <c r="K9" s="596">
        <v>3.9</v>
      </c>
      <c r="L9" s="597">
        <v>5.6</v>
      </c>
      <c r="M9" s="530"/>
      <c r="N9" s="530"/>
      <c r="O9" s="530"/>
      <c r="P9" s="520"/>
    </row>
    <row r="10" spans="1:17" ht="15">
      <c r="A10" s="543" t="s">
        <v>1622</v>
      </c>
      <c r="B10" s="598">
        <v>14.8</v>
      </c>
      <c r="C10" s="599">
        <v>30.1</v>
      </c>
      <c r="D10" s="599">
        <v>17.2</v>
      </c>
      <c r="E10" s="599">
        <v>15.5</v>
      </c>
      <c r="F10" s="599">
        <v>20.8</v>
      </c>
      <c r="G10" s="599">
        <v>15.6</v>
      </c>
      <c r="H10" s="599">
        <v>12.3</v>
      </c>
      <c r="I10" s="599">
        <v>15.4</v>
      </c>
      <c r="J10" s="599">
        <v>18.2</v>
      </c>
      <c r="K10" s="599">
        <v>11.1</v>
      </c>
      <c r="L10" s="600">
        <v>15</v>
      </c>
      <c r="M10" s="530"/>
      <c r="N10" s="530"/>
      <c r="O10" s="530"/>
      <c r="P10" s="520"/>
    </row>
    <row r="11" spans="1:17" ht="15" customHeight="1">
      <c r="A11" s="1321" t="s">
        <v>1623</v>
      </c>
      <c r="B11" s="1322"/>
      <c r="C11" s="1322"/>
      <c r="D11" s="1322"/>
      <c r="E11" s="1322"/>
      <c r="F11" s="1322"/>
      <c r="G11" s="539"/>
      <c r="H11" s="539"/>
      <c r="I11" s="539"/>
      <c r="J11" s="539"/>
      <c r="K11" s="539"/>
      <c r="L11" s="538"/>
      <c r="M11" s="530"/>
      <c r="N11" s="530"/>
      <c r="O11" s="530"/>
      <c r="P11" s="530"/>
      <c r="Q11" s="520"/>
    </row>
    <row r="12" spans="1:17" ht="15">
      <c r="A12" s="553">
        <v>2001</v>
      </c>
      <c r="B12" s="584">
        <f>B7/B6*100</f>
        <v>269.0140845070423</v>
      </c>
      <c r="C12" s="536">
        <f t="shared" ref="C12:L12" si="0">C7/C6*100</f>
        <v>156.54205607476638</v>
      </c>
      <c r="D12" s="536">
        <f t="shared" si="0"/>
        <v>187.78625954198475</v>
      </c>
      <c r="E12" s="536">
        <f t="shared" si="0"/>
        <v>204.67289719626169</v>
      </c>
      <c r="F12" s="536">
        <f t="shared" si="0"/>
        <v>230.32786885245903</v>
      </c>
      <c r="G12" s="536">
        <f t="shared" si="0"/>
        <v>228.39506172839506</v>
      </c>
      <c r="H12" s="536">
        <f t="shared" si="0"/>
        <v>244.99999999999997</v>
      </c>
      <c r="I12" s="536">
        <f t="shared" si="0"/>
        <v>404.25531914893622</v>
      </c>
      <c r="J12" s="536">
        <f t="shared" si="0"/>
        <v>479.16666666666669</v>
      </c>
      <c r="K12" s="536">
        <f t="shared" si="0"/>
        <v>310.41666666666669</v>
      </c>
      <c r="L12" s="535">
        <f t="shared" si="0"/>
        <v>281.25</v>
      </c>
      <c r="M12" s="530"/>
      <c r="N12" s="530"/>
      <c r="O12" s="530"/>
      <c r="P12" s="530"/>
      <c r="Q12" s="520"/>
    </row>
    <row r="13" spans="1:17" ht="15">
      <c r="A13" s="583">
        <v>2006</v>
      </c>
      <c r="B13" s="585">
        <f>B10/B9*100</f>
        <v>234.92063492063494</v>
      </c>
      <c r="C13" s="533">
        <f t="shared" ref="C13:L13" si="1">C10/C9*100</f>
        <v>167.22222222222223</v>
      </c>
      <c r="D13" s="533">
        <f t="shared" si="1"/>
        <v>156.36363636363635</v>
      </c>
      <c r="E13" s="533">
        <f t="shared" si="1"/>
        <v>172.22222222222223</v>
      </c>
      <c r="F13" s="533">
        <f t="shared" si="1"/>
        <v>214.43298969072168</v>
      </c>
      <c r="G13" s="533">
        <f t="shared" si="1"/>
        <v>226.08695652173913</v>
      </c>
      <c r="H13" s="533">
        <f t="shared" si="1"/>
        <v>195.23809523809524</v>
      </c>
      <c r="I13" s="533">
        <f t="shared" si="1"/>
        <v>366.66666666666663</v>
      </c>
      <c r="J13" s="533">
        <f t="shared" si="1"/>
        <v>433.33333333333331</v>
      </c>
      <c r="K13" s="533">
        <f t="shared" si="1"/>
        <v>284.61538461538464</v>
      </c>
      <c r="L13" s="532">
        <f t="shared" si="1"/>
        <v>267.85714285714289</v>
      </c>
      <c r="M13" s="530"/>
      <c r="N13" s="530"/>
      <c r="O13" s="530"/>
      <c r="P13" s="530"/>
      <c r="Q13" s="520"/>
    </row>
    <row r="14" spans="1:17" ht="15">
      <c r="A14" s="920"/>
      <c r="B14" s="530"/>
      <c r="C14" s="531"/>
      <c r="D14" s="531"/>
      <c r="E14" s="530"/>
      <c r="F14" s="530"/>
      <c r="G14" s="530"/>
      <c r="H14" s="531"/>
      <c r="I14" s="531"/>
      <c r="J14" s="531"/>
      <c r="K14" s="530"/>
      <c r="L14" s="530"/>
      <c r="M14" s="530"/>
      <c r="N14" s="530"/>
      <c r="O14" s="530"/>
      <c r="P14" s="530"/>
      <c r="Q14" s="520"/>
    </row>
    <row r="15" spans="1:17">
      <c r="A15" s="518" t="s">
        <v>1624</v>
      </c>
      <c r="C15" s="524"/>
      <c r="D15" s="524"/>
      <c r="E15" s="524"/>
      <c r="F15" s="524"/>
      <c r="G15" s="524"/>
      <c r="H15" s="524"/>
      <c r="I15" s="524"/>
      <c r="J15" s="524"/>
      <c r="K15" s="524"/>
      <c r="L15" s="524"/>
      <c r="M15" s="524"/>
      <c r="N15" s="524"/>
      <c r="O15" s="524"/>
      <c r="P15" s="524"/>
      <c r="Q15" s="524"/>
    </row>
    <row r="16" spans="1:17">
      <c r="A16" s="528" t="s">
        <v>1626</v>
      </c>
      <c r="B16" s="528"/>
      <c r="C16" s="529"/>
      <c r="D16" s="529"/>
      <c r="E16" s="529"/>
      <c r="F16" s="529"/>
      <c r="G16" s="529"/>
      <c r="H16" s="529"/>
      <c r="I16" s="529"/>
      <c r="J16" s="529"/>
      <c r="K16" s="529"/>
      <c r="L16" s="529"/>
      <c r="M16" s="524"/>
      <c r="N16" s="524"/>
      <c r="O16" s="524"/>
      <c r="P16" s="524"/>
      <c r="Q16" s="524"/>
    </row>
    <row r="17" spans="1:18">
      <c r="A17" s="528" t="s">
        <v>1627</v>
      </c>
      <c r="B17" s="924"/>
      <c r="C17" s="924"/>
      <c r="D17" s="924"/>
      <c r="E17" s="924"/>
      <c r="F17" s="924"/>
      <c r="G17" s="924"/>
      <c r="H17" s="924"/>
      <c r="I17" s="924"/>
      <c r="J17" s="924"/>
      <c r="K17" s="924"/>
      <c r="L17" s="924"/>
      <c r="M17" s="523"/>
      <c r="N17" s="523"/>
      <c r="O17" s="523"/>
      <c r="P17" s="523"/>
      <c r="Q17" s="524"/>
    </row>
    <row r="18" spans="1:18">
      <c r="A18" s="528"/>
      <c r="B18" s="527"/>
      <c r="C18" s="527"/>
      <c r="D18" s="527"/>
      <c r="E18" s="527"/>
      <c r="F18" s="527"/>
      <c r="G18" s="527"/>
      <c r="H18" s="527"/>
      <c r="I18" s="527"/>
      <c r="J18" s="527"/>
      <c r="K18" s="527"/>
      <c r="L18" s="527"/>
      <c r="M18" s="526"/>
      <c r="N18" s="525"/>
      <c r="O18" s="525"/>
      <c r="P18" s="525"/>
      <c r="Q18" s="524"/>
    </row>
    <row r="19" spans="1:18">
      <c r="A19" s="924"/>
      <c r="B19" s="924"/>
      <c r="C19" s="924"/>
      <c r="D19" s="924"/>
      <c r="E19" s="924"/>
      <c r="F19" s="924"/>
      <c r="G19" s="924"/>
      <c r="H19" s="924"/>
      <c r="I19" s="924"/>
      <c r="J19" s="924"/>
      <c r="K19" s="924"/>
      <c r="L19" s="924"/>
      <c r="M19" s="523"/>
      <c r="N19" s="523"/>
      <c r="O19" s="523"/>
      <c r="P19" s="523"/>
      <c r="Q19" s="522"/>
      <c r="R19" s="520"/>
    </row>
    <row r="20" spans="1:18">
      <c r="A20" s="521"/>
      <c r="B20" s="521"/>
      <c r="D20" s="519"/>
      <c r="E20" s="519"/>
      <c r="G20" s="519"/>
      <c r="H20" s="519"/>
      <c r="I20" s="519"/>
      <c r="J20" s="519"/>
      <c r="K20" s="520"/>
      <c r="L20" s="520"/>
      <c r="M20" s="520"/>
      <c r="N20" s="519"/>
      <c r="O20" s="519"/>
      <c r="P20" s="519"/>
    </row>
    <row r="24" spans="1:18" ht="15">
      <c r="C24" s="923"/>
      <c r="D24" s="923"/>
    </row>
    <row r="25" spans="1:18" ht="15">
      <c r="C25" s="923"/>
      <c r="D25" s="923"/>
    </row>
    <row r="26" spans="1:18" ht="15">
      <c r="C26" s="923"/>
      <c r="D26" s="923"/>
    </row>
    <row r="27" spans="1:18" ht="15">
      <c r="C27" s="923"/>
      <c r="D27" s="923"/>
    </row>
    <row r="28" spans="1:18" ht="15">
      <c r="C28" s="923"/>
      <c r="D28" s="923"/>
    </row>
    <row r="29" spans="1:18" ht="15">
      <c r="C29" s="923"/>
      <c r="D29" s="923"/>
    </row>
    <row r="30" spans="1:18" ht="15">
      <c r="C30" s="923"/>
      <c r="D30" s="923"/>
    </row>
    <row r="31" spans="1:18" ht="15">
      <c r="C31" s="923"/>
      <c r="D31" s="923"/>
    </row>
    <row r="32" spans="1:18" ht="15">
      <c r="C32" s="923"/>
      <c r="D32" s="923"/>
    </row>
    <row r="33" spans="3:4" ht="15">
      <c r="C33" s="923"/>
      <c r="D33" s="923"/>
    </row>
    <row r="34" spans="3:4" ht="15">
      <c r="C34" s="923"/>
      <c r="D34" s="923"/>
    </row>
  </sheetData>
  <mergeCells count="1">
    <mergeCell ref="A11:F11"/>
  </mergeCells>
  <pageMargins left="0.75" right="0.75" top="1" bottom="1" header="0.5" footer="0.5"/>
  <pageSetup scale="94" orientation="landscape" verticalDpi="0" r:id="rId1"/>
  <headerFooter alignWithMargins="0"/>
</worksheet>
</file>

<file path=xl/worksheets/sheet215.xml><?xml version="1.0" encoding="utf-8"?>
<worksheet xmlns="http://schemas.openxmlformats.org/spreadsheetml/2006/main" xmlns:r="http://schemas.openxmlformats.org/officeDocument/2006/relationships">
  <sheetPr codeName="Sheet212">
    <pageSetUpPr fitToPage="1"/>
  </sheetPr>
  <dimension ref="A1:R34"/>
  <sheetViews>
    <sheetView view="pageBreakPreview" zoomScale="115" zoomScaleNormal="100" zoomScaleSheetLayoutView="115" workbookViewId="0">
      <selection activeCell="H62" sqref="H62"/>
    </sheetView>
  </sheetViews>
  <sheetFormatPr defaultRowHeight="12.75"/>
  <cols>
    <col min="1" max="1" width="30" style="518" customWidth="1"/>
    <col min="2" max="2" width="9.28515625" style="518" customWidth="1"/>
    <col min="3" max="3" width="12.28515625" style="518" customWidth="1"/>
    <col min="4" max="5" width="8.5703125" style="518" customWidth="1"/>
    <col min="6" max="6" width="9" style="518" customWidth="1"/>
    <col min="7" max="9" width="8.5703125" style="518" customWidth="1"/>
    <col min="10" max="10" width="11.5703125" style="518" customWidth="1"/>
    <col min="11" max="12" width="8.5703125" style="518" customWidth="1"/>
    <col min="13" max="16" width="12.140625" style="518" customWidth="1"/>
    <col min="17" max="17" width="9.85546875" style="518" hidden="1" customWidth="1"/>
    <col min="18" max="18" width="9.140625" style="518" hidden="1" customWidth="1"/>
    <col min="19" max="16384" width="9.140625" style="518"/>
  </cols>
  <sheetData>
    <row r="1" spans="1:17" ht="15.75">
      <c r="A1" s="582" t="s">
        <v>1629</v>
      </c>
      <c r="C1" s="559"/>
      <c r="D1" s="559"/>
      <c r="E1" s="559"/>
      <c r="F1" s="559"/>
      <c r="G1" s="559"/>
      <c r="H1" s="559"/>
      <c r="I1" s="559"/>
      <c r="J1" s="559"/>
      <c r="K1" s="559"/>
      <c r="L1" s="559"/>
      <c r="M1" s="559"/>
    </row>
    <row r="2" spans="1:17">
      <c r="B2" s="558"/>
    </row>
    <row r="3" spans="1:17" ht="15">
      <c r="A3" s="920"/>
      <c r="B3" s="530"/>
      <c r="C3" s="531"/>
      <c r="D3" s="531"/>
      <c r="E3" s="530"/>
      <c r="F3" s="530"/>
      <c r="G3" s="530"/>
      <c r="H3" s="531"/>
      <c r="I3" s="531"/>
      <c r="J3" s="531"/>
      <c r="K3" s="530"/>
      <c r="L3" s="530"/>
      <c r="M3" s="530"/>
      <c r="N3" s="530"/>
      <c r="O3" s="530"/>
      <c r="P3" s="530"/>
      <c r="Q3" s="520"/>
    </row>
    <row r="4" spans="1:17" ht="38.25">
      <c r="A4" s="557"/>
      <c r="B4" s="556" t="s">
        <v>375</v>
      </c>
      <c r="C4" s="555" t="s">
        <v>790</v>
      </c>
      <c r="D4" s="555" t="s">
        <v>1040</v>
      </c>
      <c r="E4" s="555" t="s">
        <v>791</v>
      </c>
      <c r="F4" s="555" t="s">
        <v>792</v>
      </c>
      <c r="G4" s="555" t="s">
        <v>1041</v>
      </c>
      <c r="H4" s="555" t="s">
        <v>738</v>
      </c>
      <c r="I4" s="555" t="s">
        <v>739</v>
      </c>
      <c r="J4" s="555" t="s">
        <v>740</v>
      </c>
      <c r="K4" s="555" t="s">
        <v>741</v>
      </c>
      <c r="L4" s="554" t="s">
        <v>742</v>
      </c>
      <c r="N4" s="530"/>
      <c r="O4" s="530"/>
      <c r="P4" s="530"/>
      <c r="Q4" s="520"/>
    </row>
    <row r="5" spans="1:17" ht="15">
      <c r="A5" s="553">
        <v>2001</v>
      </c>
      <c r="B5" s="586"/>
      <c r="C5" s="587"/>
      <c r="D5" s="587"/>
      <c r="E5" s="587"/>
      <c r="F5" s="587"/>
      <c r="G5" s="587"/>
      <c r="H5" s="587"/>
      <c r="I5" s="587"/>
      <c r="J5" s="587"/>
      <c r="K5" s="587"/>
      <c r="L5" s="588"/>
      <c r="M5" s="530"/>
      <c r="N5" s="530"/>
      <c r="O5" s="530"/>
      <c r="P5" s="530"/>
      <c r="Q5" s="520"/>
    </row>
    <row r="6" spans="1:17" ht="15">
      <c r="A6" s="547" t="s">
        <v>1621</v>
      </c>
      <c r="B6" s="592">
        <v>61.8</v>
      </c>
      <c r="C6" s="593">
        <v>45.2</v>
      </c>
      <c r="D6" s="593">
        <v>60</v>
      </c>
      <c r="E6" s="593">
        <v>55.1</v>
      </c>
      <c r="F6" s="593">
        <v>55.4</v>
      </c>
      <c r="G6" s="593">
        <v>59</v>
      </c>
      <c r="H6" s="593">
        <v>63.3</v>
      </c>
      <c r="I6" s="593">
        <v>65.2</v>
      </c>
      <c r="J6" s="593">
        <v>66</v>
      </c>
      <c r="K6" s="593">
        <v>70</v>
      </c>
      <c r="L6" s="594">
        <v>60</v>
      </c>
      <c r="M6" s="921"/>
      <c r="N6" s="530"/>
      <c r="O6" s="530"/>
      <c r="P6" s="520"/>
    </row>
    <row r="7" spans="1:17" ht="15">
      <c r="A7" s="547" t="s">
        <v>1622</v>
      </c>
      <c r="B7" s="592">
        <v>49.7</v>
      </c>
      <c r="C7" s="593">
        <v>40.200000000000003</v>
      </c>
      <c r="D7" s="593">
        <v>48.3</v>
      </c>
      <c r="E7" s="593">
        <v>47.4</v>
      </c>
      <c r="F7" s="593">
        <v>44.6</v>
      </c>
      <c r="G7" s="593">
        <v>47.1</v>
      </c>
      <c r="H7" s="593">
        <v>55.1</v>
      </c>
      <c r="I7" s="593">
        <v>47.8</v>
      </c>
      <c r="J7" s="593">
        <v>42</v>
      </c>
      <c r="K7" s="593">
        <v>54.6</v>
      </c>
      <c r="L7" s="594">
        <v>48.7</v>
      </c>
      <c r="M7" s="530"/>
      <c r="N7" s="530"/>
      <c r="O7" s="530"/>
      <c r="P7" s="520"/>
    </row>
    <row r="8" spans="1:17" ht="15">
      <c r="A8" s="549">
        <v>2006</v>
      </c>
      <c r="B8" s="589"/>
      <c r="C8" s="590"/>
      <c r="D8" s="590"/>
      <c r="E8" s="590"/>
      <c r="F8" s="590"/>
      <c r="G8" s="590"/>
      <c r="H8" s="590"/>
      <c r="I8" s="590"/>
      <c r="J8" s="590"/>
      <c r="K8" s="590"/>
      <c r="L8" s="591"/>
      <c r="M8" s="530"/>
      <c r="N8" s="530"/>
      <c r="O8" s="530"/>
      <c r="P8" s="530"/>
      <c r="Q8" s="520"/>
    </row>
    <row r="9" spans="1:17" ht="15">
      <c r="A9" s="547" t="s">
        <v>1621</v>
      </c>
      <c r="B9" s="595">
        <v>62.7</v>
      </c>
      <c r="C9" s="596">
        <v>48.2</v>
      </c>
      <c r="D9" s="596">
        <v>60.7</v>
      </c>
      <c r="E9" s="596">
        <v>57.3</v>
      </c>
      <c r="F9" s="596">
        <v>57.5</v>
      </c>
      <c r="G9" s="596">
        <v>60.5</v>
      </c>
      <c r="H9" s="596">
        <v>62.9</v>
      </c>
      <c r="I9" s="596">
        <v>65.599999999999994</v>
      </c>
      <c r="J9" s="596">
        <v>67.099999999999994</v>
      </c>
      <c r="K9" s="596">
        <v>71.400000000000006</v>
      </c>
      <c r="L9" s="597">
        <v>61.9</v>
      </c>
      <c r="M9" s="530"/>
      <c r="N9" s="530"/>
      <c r="O9" s="530"/>
      <c r="P9" s="520"/>
    </row>
    <row r="10" spans="1:17" ht="15">
      <c r="A10" s="543" t="s">
        <v>1622</v>
      </c>
      <c r="B10" s="598">
        <v>53.7</v>
      </c>
      <c r="C10" s="599">
        <v>42.5</v>
      </c>
      <c r="D10" s="599">
        <v>59.7</v>
      </c>
      <c r="E10" s="599">
        <v>53.2</v>
      </c>
      <c r="F10" s="599">
        <v>49.7</v>
      </c>
      <c r="G10" s="599">
        <v>51.3</v>
      </c>
      <c r="H10" s="599">
        <v>56.7</v>
      </c>
      <c r="I10" s="599">
        <v>50.1</v>
      </c>
      <c r="J10" s="599">
        <v>46.1</v>
      </c>
      <c r="K10" s="599">
        <v>60.8</v>
      </c>
      <c r="L10" s="600">
        <v>55.3</v>
      </c>
      <c r="M10" s="530"/>
      <c r="N10" s="530"/>
      <c r="O10" s="530"/>
      <c r="P10" s="520"/>
    </row>
    <row r="11" spans="1:17" ht="15">
      <c r="A11" s="1321" t="s">
        <v>1623</v>
      </c>
      <c r="B11" s="1322"/>
      <c r="C11" s="1322"/>
      <c r="D11" s="1322"/>
      <c r="E11" s="1322"/>
      <c r="F11" s="1322"/>
      <c r="G11" s="539"/>
      <c r="H11" s="539"/>
      <c r="I11" s="539"/>
      <c r="J11" s="539"/>
      <c r="K11" s="539"/>
      <c r="L11" s="538"/>
      <c r="M11" s="530"/>
      <c r="N11" s="530"/>
      <c r="O11" s="530"/>
      <c r="P11" s="530"/>
      <c r="Q11" s="520"/>
    </row>
    <row r="12" spans="1:17" ht="15">
      <c r="A12" s="553">
        <v>2001</v>
      </c>
      <c r="B12" s="584">
        <f>B7/B6*100</f>
        <v>80.420711974110034</v>
      </c>
      <c r="C12" s="536">
        <f t="shared" ref="C12:L12" si="0">C7/C6*100</f>
        <v>88.938053097345133</v>
      </c>
      <c r="D12" s="536">
        <f t="shared" si="0"/>
        <v>80.5</v>
      </c>
      <c r="E12" s="536">
        <f t="shared" si="0"/>
        <v>86.025408348457347</v>
      </c>
      <c r="F12" s="536">
        <f t="shared" si="0"/>
        <v>80.505415162454881</v>
      </c>
      <c r="G12" s="536">
        <f t="shared" si="0"/>
        <v>79.830508474576277</v>
      </c>
      <c r="H12" s="536">
        <f t="shared" si="0"/>
        <v>87.04581358609795</v>
      </c>
      <c r="I12" s="536">
        <f t="shared" si="0"/>
        <v>73.312883435582805</v>
      </c>
      <c r="J12" s="536">
        <f t="shared" si="0"/>
        <v>63.636363636363633</v>
      </c>
      <c r="K12" s="536">
        <f t="shared" si="0"/>
        <v>78</v>
      </c>
      <c r="L12" s="535">
        <f t="shared" si="0"/>
        <v>81.166666666666671</v>
      </c>
      <c r="M12" s="530"/>
      <c r="N12" s="530"/>
      <c r="O12" s="530"/>
      <c r="P12" s="530"/>
      <c r="Q12" s="520"/>
    </row>
    <row r="13" spans="1:17" ht="15">
      <c r="A13" s="583">
        <v>2006</v>
      </c>
      <c r="B13" s="585">
        <f>B10/B9*100</f>
        <v>85.645933014354071</v>
      </c>
      <c r="C13" s="533">
        <f t="shared" ref="C13:L13" si="1">C10/C9*100</f>
        <v>88.174273858921154</v>
      </c>
      <c r="D13" s="533">
        <f t="shared" si="1"/>
        <v>98.352553542009886</v>
      </c>
      <c r="E13" s="533">
        <f t="shared" si="1"/>
        <v>92.844677137870875</v>
      </c>
      <c r="F13" s="533">
        <f t="shared" si="1"/>
        <v>86.434782608695656</v>
      </c>
      <c r="G13" s="533">
        <f t="shared" si="1"/>
        <v>84.793388429752056</v>
      </c>
      <c r="H13" s="533">
        <f t="shared" si="1"/>
        <v>90.143084260731314</v>
      </c>
      <c r="I13" s="533">
        <f t="shared" si="1"/>
        <v>76.371951219512198</v>
      </c>
      <c r="J13" s="533">
        <f t="shared" si="1"/>
        <v>68.703427719821178</v>
      </c>
      <c r="K13" s="533">
        <f t="shared" si="1"/>
        <v>85.154061624649842</v>
      </c>
      <c r="L13" s="532">
        <f t="shared" si="1"/>
        <v>89.337641357027465</v>
      </c>
      <c r="M13" s="530"/>
      <c r="N13" s="530"/>
      <c r="O13" s="530"/>
      <c r="P13" s="530"/>
      <c r="Q13" s="520"/>
    </row>
    <row r="14" spans="1:17" ht="15">
      <c r="A14" s="920"/>
      <c r="B14" s="530"/>
      <c r="C14" s="531"/>
      <c r="D14" s="531"/>
      <c r="E14" s="530"/>
      <c r="F14" s="530"/>
      <c r="G14" s="530"/>
      <c r="H14" s="531"/>
      <c r="I14" s="531"/>
      <c r="J14" s="531"/>
      <c r="K14" s="530"/>
      <c r="L14" s="530"/>
      <c r="M14" s="530"/>
      <c r="N14" s="530"/>
      <c r="O14" s="530"/>
      <c r="P14" s="530"/>
      <c r="Q14" s="520"/>
    </row>
    <row r="15" spans="1:17">
      <c r="A15" s="518" t="s">
        <v>1624</v>
      </c>
      <c r="B15" s="601"/>
      <c r="C15" s="602"/>
      <c r="D15" s="602"/>
      <c r="E15" s="602"/>
      <c r="F15" s="602"/>
      <c r="G15" s="602"/>
      <c r="H15" s="602"/>
      <c r="I15" s="602"/>
      <c r="J15" s="602"/>
      <c r="K15" s="602"/>
      <c r="L15" s="602"/>
      <c r="M15" s="524"/>
      <c r="N15" s="524"/>
      <c r="O15" s="524"/>
      <c r="P15" s="524"/>
      <c r="Q15" s="524"/>
    </row>
    <row r="16" spans="1:17">
      <c r="A16" s="528" t="s">
        <v>1626</v>
      </c>
      <c r="B16" s="528"/>
      <c r="C16" s="529"/>
      <c r="D16" s="529"/>
      <c r="E16" s="529"/>
      <c r="F16" s="529"/>
      <c r="G16" s="529"/>
      <c r="H16" s="529"/>
      <c r="I16" s="529"/>
      <c r="J16" s="529"/>
      <c r="K16" s="529"/>
      <c r="L16" s="529"/>
      <c r="M16" s="524"/>
      <c r="N16" s="524"/>
      <c r="O16" s="524"/>
      <c r="P16" s="524"/>
      <c r="Q16" s="524"/>
    </row>
    <row r="17" spans="1:18">
      <c r="A17" s="528" t="s">
        <v>1627</v>
      </c>
      <c r="B17" s="922"/>
      <c r="C17" s="922"/>
      <c r="D17" s="922"/>
      <c r="E17" s="922"/>
      <c r="F17" s="922"/>
      <c r="G17" s="922"/>
      <c r="H17" s="922"/>
      <c r="I17" s="922"/>
      <c r="J17" s="922"/>
      <c r="K17" s="922"/>
      <c r="L17" s="922"/>
      <c r="M17" s="523"/>
      <c r="N17" s="523"/>
      <c r="O17" s="523"/>
      <c r="P17" s="523"/>
      <c r="Q17" s="524"/>
    </row>
    <row r="18" spans="1:18">
      <c r="A18" s="528"/>
      <c r="B18" s="527"/>
      <c r="C18" s="527"/>
      <c r="D18" s="527"/>
      <c r="E18" s="527"/>
      <c r="F18" s="527"/>
      <c r="G18" s="527"/>
      <c r="H18" s="527"/>
      <c r="I18" s="527"/>
      <c r="J18" s="527"/>
      <c r="K18" s="527"/>
      <c r="L18" s="527"/>
      <c r="M18" s="526"/>
      <c r="N18" s="525"/>
      <c r="O18" s="525"/>
      <c r="P18" s="525"/>
      <c r="Q18" s="524"/>
    </row>
    <row r="19" spans="1:18">
      <c r="A19" s="922"/>
      <c r="B19" s="922"/>
      <c r="C19" s="922"/>
      <c r="D19" s="922"/>
      <c r="E19" s="922"/>
      <c r="F19" s="922"/>
      <c r="G19" s="922"/>
      <c r="H19" s="922"/>
      <c r="I19" s="922"/>
      <c r="J19" s="922"/>
      <c r="K19" s="922"/>
      <c r="L19" s="922"/>
      <c r="M19" s="523"/>
      <c r="N19" s="523"/>
      <c r="O19" s="523"/>
      <c r="P19" s="523"/>
      <c r="Q19" s="522"/>
      <c r="R19" s="520"/>
    </row>
    <row r="20" spans="1:18">
      <c r="A20" s="521"/>
      <c r="B20" s="521"/>
      <c r="D20" s="519"/>
      <c r="E20" s="519"/>
      <c r="G20" s="519"/>
      <c r="H20" s="519"/>
      <c r="I20" s="519"/>
      <c r="J20" s="519"/>
      <c r="K20" s="520"/>
      <c r="L20" s="520"/>
      <c r="M20" s="520"/>
      <c r="N20" s="519"/>
      <c r="O20" s="519"/>
      <c r="P20" s="519"/>
    </row>
    <row r="24" spans="1:18" ht="15">
      <c r="C24" s="923"/>
      <c r="D24" s="923"/>
    </row>
    <row r="25" spans="1:18" ht="15">
      <c r="C25" s="923"/>
      <c r="D25" s="923"/>
    </row>
    <row r="26" spans="1:18" ht="15">
      <c r="C26" s="923"/>
      <c r="D26" s="923"/>
    </row>
    <row r="27" spans="1:18" ht="15">
      <c r="C27" s="923"/>
      <c r="D27" s="923"/>
    </row>
    <row r="28" spans="1:18" ht="15">
      <c r="C28" s="923"/>
      <c r="D28" s="923"/>
    </row>
    <row r="29" spans="1:18" ht="15">
      <c r="C29" s="923"/>
      <c r="D29" s="923"/>
    </row>
    <row r="30" spans="1:18" ht="15">
      <c r="C30" s="923"/>
      <c r="D30" s="923"/>
    </row>
    <row r="31" spans="1:18" ht="15">
      <c r="C31" s="923"/>
      <c r="D31" s="923"/>
    </row>
    <row r="32" spans="1:18" ht="15">
      <c r="C32" s="923"/>
      <c r="D32" s="923"/>
    </row>
    <row r="33" spans="3:4" ht="15">
      <c r="C33" s="923"/>
      <c r="D33" s="923"/>
    </row>
    <row r="34" spans="3:4" ht="15">
      <c r="C34" s="923"/>
      <c r="D34" s="923"/>
    </row>
  </sheetData>
  <mergeCells count="1">
    <mergeCell ref="A11:F11"/>
  </mergeCells>
  <pageMargins left="0.75" right="0.75" top="1" bottom="1" header="0.5" footer="0.5"/>
  <pageSetup scale="94" orientation="landscape" verticalDpi="0" r:id="rId1"/>
  <headerFooter alignWithMargins="0"/>
</worksheet>
</file>

<file path=xl/worksheets/sheet216.xml><?xml version="1.0" encoding="utf-8"?>
<worksheet xmlns="http://schemas.openxmlformats.org/spreadsheetml/2006/main" xmlns:r="http://schemas.openxmlformats.org/officeDocument/2006/relationships">
  <sheetPr codeName="Sheet214"/>
  <dimension ref="A1:L23"/>
  <sheetViews>
    <sheetView view="pageBreakPreview" zoomScaleNormal="100" zoomScaleSheetLayoutView="100" workbookViewId="0">
      <selection activeCell="H62" sqref="H62"/>
    </sheetView>
  </sheetViews>
  <sheetFormatPr defaultRowHeight="15"/>
  <cols>
    <col min="1" max="1" width="9.140625" style="1030"/>
    <col min="2" max="9" width="11.42578125" style="1030" customWidth="1"/>
    <col min="11" max="257" width="9.140625" style="1030"/>
    <col min="258" max="265" width="11.42578125" style="1030" customWidth="1"/>
    <col min="266" max="266" width="15.140625" style="1030" customWidth="1"/>
    <col min="267" max="513" width="9.140625" style="1030"/>
    <col min="514" max="521" width="11.42578125" style="1030" customWidth="1"/>
    <col min="522" max="522" width="15.140625" style="1030" customWidth="1"/>
    <col min="523" max="769" width="9.140625" style="1030"/>
    <col min="770" max="777" width="11.42578125" style="1030" customWidth="1"/>
    <col min="778" max="778" width="15.140625" style="1030" customWidth="1"/>
    <col min="779" max="1025" width="9.140625" style="1030"/>
    <col min="1026" max="1033" width="11.42578125" style="1030" customWidth="1"/>
    <col min="1034" max="1034" width="15.140625" style="1030" customWidth="1"/>
    <col min="1035" max="1281" width="9.140625" style="1030"/>
    <col min="1282" max="1289" width="11.42578125" style="1030" customWidth="1"/>
    <col min="1290" max="1290" width="15.140625" style="1030" customWidth="1"/>
    <col min="1291" max="1537" width="9.140625" style="1030"/>
    <col min="1538" max="1545" width="11.42578125" style="1030" customWidth="1"/>
    <col min="1546" max="1546" width="15.140625" style="1030" customWidth="1"/>
    <col min="1547" max="1793" width="9.140625" style="1030"/>
    <col min="1794" max="1801" width="11.42578125" style="1030" customWidth="1"/>
    <col min="1802" max="1802" width="15.140625" style="1030" customWidth="1"/>
    <col min="1803" max="2049" width="9.140625" style="1030"/>
    <col min="2050" max="2057" width="11.42578125" style="1030" customWidth="1"/>
    <col min="2058" max="2058" width="15.140625" style="1030" customWidth="1"/>
    <col min="2059" max="2305" width="9.140625" style="1030"/>
    <col min="2306" max="2313" width="11.42578125" style="1030" customWidth="1"/>
    <col min="2314" max="2314" width="15.140625" style="1030" customWidth="1"/>
    <col min="2315" max="2561" width="9.140625" style="1030"/>
    <col min="2562" max="2569" width="11.42578125" style="1030" customWidth="1"/>
    <col min="2570" max="2570" width="15.140625" style="1030" customWidth="1"/>
    <col min="2571" max="2817" width="9.140625" style="1030"/>
    <col min="2818" max="2825" width="11.42578125" style="1030" customWidth="1"/>
    <col min="2826" max="2826" width="15.140625" style="1030" customWidth="1"/>
    <col min="2827" max="3073" width="9.140625" style="1030"/>
    <col min="3074" max="3081" width="11.42578125" style="1030" customWidth="1"/>
    <col min="3082" max="3082" width="15.140625" style="1030" customWidth="1"/>
    <col min="3083" max="3329" width="9.140625" style="1030"/>
    <col min="3330" max="3337" width="11.42578125" style="1030" customWidth="1"/>
    <col min="3338" max="3338" width="15.140625" style="1030" customWidth="1"/>
    <col min="3339" max="3585" width="9.140625" style="1030"/>
    <col min="3586" max="3593" width="11.42578125" style="1030" customWidth="1"/>
    <col min="3594" max="3594" width="15.140625" style="1030" customWidth="1"/>
    <col min="3595" max="3841" width="9.140625" style="1030"/>
    <col min="3842" max="3849" width="11.42578125" style="1030" customWidth="1"/>
    <col min="3850" max="3850" width="15.140625" style="1030" customWidth="1"/>
    <col min="3851" max="4097" width="9.140625" style="1030"/>
    <col min="4098" max="4105" width="11.42578125" style="1030" customWidth="1"/>
    <col min="4106" max="4106" width="15.140625" style="1030" customWidth="1"/>
    <col min="4107" max="4353" width="9.140625" style="1030"/>
    <col min="4354" max="4361" width="11.42578125" style="1030" customWidth="1"/>
    <col min="4362" max="4362" width="15.140625" style="1030" customWidth="1"/>
    <col min="4363" max="4609" width="9.140625" style="1030"/>
    <col min="4610" max="4617" width="11.42578125" style="1030" customWidth="1"/>
    <col min="4618" max="4618" width="15.140625" style="1030" customWidth="1"/>
    <col min="4619" max="4865" width="9.140625" style="1030"/>
    <col min="4866" max="4873" width="11.42578125" style="1030" customWidth="1"/>
    <col min="4874" max="4874" width="15.140625" style="1030" customWidth="1"/>
    <col min="4875" max="5121" width="9.140625" style="1030"/>
    <col min="5122" max="5129" width="11.42578125" style="1030" customWidth="1"/>
    <col min="5130" max="5130" width="15.140625" style="1030" customWidth="1"/>
    <col min="5131" max="5377" width="9.140625" style="1030"/>
    <col min="5378" max="5385" width="11.42578125" style="1030" customWidth="1"/>
    <col min="5386" max="5386" width="15.140625" style="1030" customWidth="1"/>
    <col min="5387" max="5633" width="9.140625" style="1030"/>
    <col min="5634" max="5641" width="11.42578125" style="1030" customWidth="1"/>
    <col min="5642" max="5642" width="15.140625" style="1030" customWidth="1"/>
    <col min="5643" max="5889" width="9.140625" style="1030"/>
    <col min="5890" max="5897" width="11.42578125" style="1030" customWidth="1"/>
    <col min="5898" max="5898" width="15.140625" style="1030" customWidth="1"/>
    <col min="5899" max="6145" width="9.140625" style="1030"/>
    <col min="6146" max="6153" width="11.42578125" style="1030" customWidth="1"/>
    <col min="6154" max="6154" width="15.140625" style="1030" customWidth="1"/>
    <col min="6155" max="6401" width="9.140625" style="1030"/>
    <col min="6402" max="6409" width="11.42578125" style="1030" customWidth="1"/>
    <col min="6410" max="6410" width="15.140625" style="1030" customWidth="1"/>
    <col min="6411" max="6657" width="9.140625" style="1030"/>
    <col min="6658" max="6665" width="11.42578125" style="1030" customWidth="1"/>
    <col min="6666" max="6666" width="15.140625" style="1030" customWidth="1"/>
    <col min="6667" max="6913" width="9.140625" style="1030"/>
    <col min="6914" max="6921" width="11.42578125" style="1030" customWidth="1"/>
    <col min="6922" max="6922" width="15.140625" style="1030" customWidth="1"/>
    <col min="6923" max="7169" width="9.140625" style="1030"/>
    <col min="7170" max="7177" width="11.42578125" style="1030" customWidth="1"/>
    <col min="7178" max="7178" width="15.140625" style="1030" customWidth="1"/>
    <col min="7179" max="7425" width="9.140625" style="1030"/>
    <col min="7426" max="7433" width="11.42578125" style="1030" customWidth="1"/>
    <col min="7434" max="7434" width="15.140625" style="1030" customWidth="1"/>
    <col min="7435" max="7681" width="9.140625" style="1030"/>
    <col min="7682" max="7689" width="11.42578125" style="1030" customWidth="1"/>
    <col min="7690" max="7690" width="15.140625" style="1030" customWidth="1"/>
    <col min="7691" max="7937" width="9.140625" style="1030"/>
    <col min="7938" max="7945" width="11.42578125" style="1030" customWidth="1"/>
    <col min="7946" max="7946" width="15.140625" style="1030" customWidth="1"/>
    <col min="7947" max="8193" width="9.140625" style="1030"/>
    <col min="8194" max="8201" width="11.42578125" style="1030" customWidth="1"/>
    <col min="8202" max="8202" width="15.140625" style="1030" customWidth="1"/>
    <col min="8203" max="8449" width="9.140625" style="1030"/>
    <col min="8450" max="8457" width="11.42578125" style="1030" customWidth="1"/>
    <col min="8458" max="8458" width="15.140625" style="1030" customWidth="1"/>
    <col min="8459" max="8705" width="9.140625" style="1030"/>
    <col min="8706" max="8713" width="11.42578125" style="1030" customWidth="1"/>
    <col min="8714" max="8714" width="15.140625" style="1030" customWidth="1"/>
    <col min="8715" max="8961" width="9.140625" style="1030"/>
    <col min="8962" max="8969" width="11.42578125" style="1030" customWidth="1"/>
    <col min="8970" max="8970" width="15.140625" style="1030" customWidth="1"/>
    <col min="8971" max="9217" width="9.140625" style="1030"/>
    <col min="9218" max="9225" width="11.42578125" style="1030" customWidth="1"/>
    <col min="9226" max="9226" width="15.140625" style="1030" customWidth="1"/>
    <col min="9227" max="9473" width="9.140625" style="1030"/>
    <col min="9474" max="9481" width="11.42578125" style="1030" customWidth="1"/>
    <col min="9482" max="9482" width="15.140625" style="1030" customWidth="1"/>
    <col min="9483" max="9729" width="9.140625" style="1030"/>
    <col min="9730" max="9737" width="11.42578125" style="1030" customWidth="1"/>
    <col min="9738" max="9738" width="15.140625" style="1030" customWidth="1"/>
    <col min="9739" max="9985" width="9.140625" style="1030"/>
    <col min="9986" max="9993" width="11.42578125" style="1030" customWidth="1"/>
    <col min="9994" max="9994" width="15.140625" style="1030" customWidth="1"/>
    <col min="9995" max="10241" width="9.140625" style="1030"/>
    <col min="10242" max="10249" width="11.42578125" style="1030" customWidth="1"/>
    <col min="10250" max="10250" width="15.140625" style="1030" customWidth="1"/>
    <col min="10251" max="10497" width="9.140625" style="1030"/>
    <col min="10498" max="10505" width="11.42578125" style="1030" customWidth="1"/>
    <col min="10506" max="10506" width="15.140625" style="1030" customWidth="1"/>
    <col min="10507" max="10753" width="9.140625" style="1030"/>
    <col min="10754" max="10761" width="11.42578125" style="1030" customWidth="1"/>
    <col min="10762" max="10762" width="15.140625" style="1030" customWidth="1"/>
    <col min="10763" max="11009" width="9.140625" style="1030"/>
    <col min="11010" max="11017" width="11.42578125" style="1030" customWidth="1"/>
    <col min="11018" max="11018" width="15.140625" style="1030" customWidth="1"/>
    <col min="11019" max="11265" width="9.140625" style="1030"/>
    <col min="11266" max="11273" width="11.42578125" style="1030" customWidth="1"/>
    <col min="11274" max="11274" width="15.140625" style="1030" customWidth="1"/>
    <col min="11275" max="11521" width="9.140625" style="1030"/>
    <col min="11522" max="11529" width="11.42578125" style="1030" customWidth="1"/>
    <col min="11530" max="11530" width="15.140625" style="1030" customWidth="1"/>
    <col min="11531" max="11777" width="9.140625" style="1030"/>
    <col min="11778" max="11785" width="11.42578125" style="1030" customWidth="1"/>
    <col min="11786" max="11786" width="15.140625" style="1030" customWidth="1"/>
    <col min="11787" max="12033" width="9.140625" style="1030"/>
    <col min="12034" max="12041" width="11.42578125" style="1030" customWidth="1"/>
    <col min="12042" max="12042" width="15.140625" style="1030" customWidth="1"/>
    <col min="12043" max="12289" width="9.140625" style="1030"/>
    <col min="12290" max="12297" width="11.42578125" style="1030" customWidth="1"/>
    <col min="12298" max="12298" width="15.140625" style="1030" customWidth="1"/>
    <col min="12299" max="12545" width="9.140625" style="1030"/>
    <col min="12546" max="12553" width="11.42578125" style="1030" customWidth="1"/>
    <col min="12554" max="12554" width="15.140625" style="1030" customWidth="1"/>
    <col min="12555" max="12801" width="9.140625" style="1030"/>
    <col min="12802" max="12809" width="11.42578125" style="1030" customWidth="1"/>
    <col min="12810" max="12810" width="15.140625" style="1030" customWidth="1"/>
    <col min="12811" max="13057" width="9.140625" style="1030"/>
    <col min="13058" max="13065" width="11.42578125" style="1030" customWidth="1"/>
    <col min="13066" max="13066" width="15.140625" style="1030" customWidth="1"/>
    <col min="13067" max="13313" width="9.140625" style="1030"/>
    <col min="13314" max="13321" width="11.42578125" style="1030" customWidth="1"/>
    <col min="13322" max="13322" width="15.140625" style="1030" customWidth="1"/>
    <col min="13323" max="13569" width="9.140625" style="1030"/>
    <col min="13570" max="13577" width="11.42578125" style="1030" customWidth="1"/>
    <col min="13578" max="13578" width="15.140625" style="1030" customWidth="1"/>
    <col min="13579" max="13825" width="9.140625" style="1030"/>
    <col min="13826" max="13833" width="11.42578125" style="1030" customWidth="1"/>
    <col min="13834" max="13834" width="15.140625" style="1030" customWidth="1"/>
    <col min="13835" max="14081" width="9.140625" style="1030"/>
    <col min="14082" max="14089" width="11.42578125" style="1030" customWidth="1"/>
    <col min="14090" max="14090" width="15.140625" style="1030" customWidth="1"/>
    <col min="14091" max="14337" width="9.140625" style="1030"/>
    <col min="14338" max="14345" width="11.42578125" style="1030" customWidth="1"/>
    <col min="14346" max="14346" width="15.140625" style="1030" customWidth="1"/>
    <col min="14347" max="14593" width="9.140625" style="1030"/>
    <col min="14594" max="14601" width="11.42578125" style="1030" customWidth="1"/>
    <col min="14602" max="14602" width="15.140625" style="1030" customWidth="1"/>
    <col min="14603" max="14849" width="9.140625" style="1030"/>
    <col min="14850" max="14857" width="11.42578125" style="1030" customWidth="1"/>
    <col min="14858" max="14858" width="15.140625" style="1030" customWidth="1"/>
    <col min="14859" max="15105" width="9.140625" style="1030"/>
    <col min="15106" max="15113" width="11.42578125" style="1030" customWidth="1"/>
    <col min="15114" max="15114" width="15.140625" style="1030" customWidth="1"/>
    <col min="15115" max="15361" width="9.140625" style="1030"/>
    <col min="15362" max="15369" width="11.42578125" style="1030" customWidth="1"/>
    <col min="15370" max="15370" width="15.140625" style="1030" customWidth="1"/>
    <col min="15371" max="15617" width="9.140625" style="1030"/>
    <col min="15618" max="15625" width="11.42578125" style="1030" customWidth="1"/>
    <col min="15626" max="15626" width="15.140625" style="1030" customWidth="1"/>
    <col min="15627" max="15873" width="9.140625" style="1030"/>
    <col min="15874" max="15881" width="11.42578125" style="1030" customWidth="1"/>
    <col min="15882" max="15882" width="15.140625" style="1030" customWidth="1"/>
    <col min="15883" max="16129" width="9.140625" style="1030"/>
    <col min="16130" max="16137" width="11.42578125" style="1030" customWidth="1"/>
    <col min="16138" max="16138" width="15.140625" style="1030" customWidth="1"/>
    <col min="16139" max="16384" width="9.140625" style="1030"/>
  </cols>
  <sheetData>
    <row r="1" spans="1:9" ht="15.75">
      <c r="A1" s="582" t="s">
        <v>1780</v>
      </c>
    </row>
    <row r="2" spans="1:9" ht="15.75" thickBot="1"/>
    <row r="3" spans="1:9" ht="15.75" thickBot="1">
      <c r="A3" s="615"/>
      <c r="B3" s="1327" t="s">
        <v>1648</v>
      </c>
      <c r="C3" s="1328"/>
      <c r="D3" s="1328"/>
      <c r="E3" s="1329"/>
      <c r="F3" s="1327" t="s">
        <v>1649</v>
      </c>
      <c r="G3" s="1328"/>
      <c r="H3" s="1328"/>
      <c r="I3" s="1329"/>
    </row>
    <row r="4" spans="1:9" ht="15.75" thickBot="1">
      <c r="A4" s="616"/>
      <c r="B4" s="617" t="s">
        <v>1651</v>
      </c>
      <c r="C4" s="618" t="s">
        <v>1652</v>
      </c>
      <c r="D4" s="619" t="s">
        <v>1653</v>
      </c>
      <c r="E4" s="620" t="s">
        <v>1654</v>
      </c>
      <c r="F4" s="617" t="s">
        <v>1651</v>
      </c>
      <c r="G4" s="618" t="s">
        <v>1652</v>
      </c>
      <c r="H4" s="619" t="s">
        <v>1653</v>
      </c>
      <c r="I4" s="620" t="s">
        <v>1654</v>
      </c>
    </row>
    <row r="5" spans="1:9">
      <c r="A5" s="621">
        <v>1997</v>
      </c>
      <c r="B5" s="622">
        <v>15.59</v>
      </c>
      <c r="C5" s="623">
        <v>8.92</v>
      </c>
      <c r="D5" s="624">
        <v>16.899999999999999</v>
      </c>
      <c r="E5" s="625">
        <v>17.05</v>
      </c>
      <c r="F5" s="622">
        <v>14</v>
      </c>
      <c r="G5" s="626">
        <v>7.8</v>
      </c>
      <c r="H5" s="624">
        <v>15.5</v>
      </c>
      <c r="I5" s="625">
        <v>15</v>
      </c>
    </row>
    <row r="6" spans="1:9">
      <c r="A6" s="621">
        <v>1998</v>
      </c>
      <c r="B6" s="622">
        <v>15.78</v>
      </c>
      <c r="C6" s="626">
        <v>9.1</v>
      </c>
      <c r="D6" s="624">
        <v>17.100000000000001</v>
      </c>
      <c r="E6" s="625">
        <v>17.22</v>
      </c>
      <c r="F6" s="622">
        <v>14.29</v>
      </c>
      <c r="G6" s="626">
        <v>8</v>
      </c>
      <c r="H6" s="624">
        <v>15.87</v>
      </c>
      <c r="I6" s="625">
        <v>15.16</v>
      </c>
    </row>
    <row r="7" spans="1:9">
      <c r="A7" s="621">
        <v>1999</v>
      </c>
      <c r="B7" s="622">
        <v>16.170000000000002</v>
      </c>
      <c r="C7" s="626">
        <v>9.32</v>
      </c>
      <c r="D7" s="624">
        <v>17.579999999999998</v>
      </c>
      <c r="E7" s="625">
        <v>17.7</v>
      </c>
      <c r="F7" s="622">
        <v>14.5</v>
      </c>
      <c r="G7" s="626">
        <v>8</v>
      </c>
      <c r="H7" s="624">
        <v>16.100000000000001</v>
      </c>
      <c r="I7" s="625">
        <v>15.67</v>
      </c>
    </row>
    <row r="8" spans="1:9">
      <c r="A8" s="621">
        <v>2000</v>
      </c>
      <c r="B8" s="622">
        <v>16.66</v>
      </c>
      <c r="C8" s="626">
        <v>9.6300000000000008</v>
      </c>
      <c r="D8" s="624">
        <v>18.16</v>
      </c>
      <c r="E8" s="625">
        <v>18.190000000000001</v>
      </c>
      <c r="F8" s="622">
        <v>15</v>
      </c>
      <c r="G8" s="626">
        <v>8</v>
      </c>
      <c r="H8" s="624">
        <v>16.829999999999998</v>
      </c>
      <c r="I8" s="625">
        <v>16</v>
      </c>
    </row>
    <row r="9" spans="1:9">
      <c r="A9" s="621">
        <v>2001</v>
      </c>
      <c r="B9" s="622">
        <v>17.22</v>
      </c>
      <c r="C9" s="626">
        <v>9.94</v>
      </c>
      <c r="D9" s="624">
        <v>18.77</v>
      </c>
      <c r="E9" s="625">
        <v>18.809999999999999</v>
      </c>
      <c r="F9" s="622">
        <v>15.38</v>
      </c>
      <c r="G9" s="626">
        <v>8.5</v>
      </c>
      <c r="H9" s="624">
        <v>17.03</v>
      </c>
      <c r="I9" s="625">
        <v>16.829999999999998</v>
      </c>
    </row>
    <row r="10" spans="1:9">
      <c r="A10" s="621">
        <v>2002</v>
      </c>
      <c r="B10" s="622">
        <v>17.66</v>
      </c>
      <c r="C10" s="626">
        <v>10.1</v>
      </c>
      <c r="D10" s="624">
        <v>19.28</v>
      </c>
      <c r="E10" s="625">
        <v>19.27</v>
      </c>
      <c r="F10" s="622">
        <v>15.66</v>
      </c>
      <c r="G10" s="626">
        <v>8.8699999999999992</v>
      </c>
      <c r="H10" s="624">
        <v>17.579999999999998</v>
      </c>
      <c r="I10" s="625">
        <v>17</v>
      </c>
    </row>
    <row r="11" spans="1:9">
      <c r="A11" s="621">
        <v>2003</v>
      </c>
      <c r="B11" s="622">
        <v>18.04</v>
      </c>
      <c r="C11" s="626">
        <v>10.36</v>
      </c>
      <c r="D11" s="624">
        <v>19.670000000000002</v>
      </c>
      <c r="E11" s="625">
        <v>19.84</v>
      </c>
      <c r="F11" s="622">
        <v>16</v>
      </c>
      <c r="G11" s="626">
        <v>9</v>
      </c>
      <c r="H11" s="624">
        <v>18</v>
      </c>
      <c r="I11" s="625">
        <v>17.309999999999999</v>
      </c>
    </row>
    <row r="12" spans="1:9">
      <c r="A12" s="621">
        <v>2004</v>
      </c>
      <c r="B12" s="622">
        <v>18.5</v>
      </c>
      <c r="C12" s="626">
        <v>10.49</v>
      </c>
      <c r="D12" s="624">
        <v>20.18</v>
      </c>
      <c r="E12" s="625">
        <v>20.3</v>
      </c>
      <c r="F12" s="622">
        <v>16.350000000000001</v>
      </c>
      <c r="G12" s="626">
        <v>9</v>
      </c>
      <c r="H12" s="624">
        <v>18.27</v>
      </c>
      <c r="I12" s="625">
        <v>17.829999999999998</v>
      </c>
    </row>
    <row r="13" spans="1:9">
      <c r="A13" s="621">
        <v>2005</v>
      </c>
      <c r="B13" s="622">
        <v>19.09</v>
      </c>
      <c r="C13" s="626">
        <v>10.87</v>
      </c>
      <c r="D13" s="624">
        <v>20.8</v>
      </c>
      <c r="E13" s="625">
        <v>20.95</v>
      </c>
      <c r="F13" s="622">
        <v>17</v>
      </c>
      <c r="G13" s="626">
        <v>9.5</v>
      </c>
      <c r="H13" s="624">
        <v>19</v>
      </c>
      <c r="I13" s="625">
        <v>18.25</v>
      </c>
    </row>
    <row r="14" spans="1:9">
      <c r="A14" s="621">
        <v>2006</v>
      </c>
      <c r="B14" s="622">
        <v>19.72</v>
      </c>
      <c r="C14" s="626">
        <v>11.36</v>
      </c>
      <c r="D14" s="624">
        <v>21.49</v>
      </c>
      <c r="E14" s="625">
        <v>21.5</v>
      </c>
      <c r="F14" s="622">
        <v>17.309999999999999</v>
      </c>
      <c r="G14" s="626">
        <v>10</v>
      </c>
      <c r="H14" s="624">
        <v>19.23</v>
      </c>
      <c r="I14" s="625">
        <v>18.5</v>
      </c>
    </row>
    <row r="15" spans="1:9">
      <c r="A15" s="621">
        <v>2007</v>
      </c>
      <c r="B15" s="622">
        <v>20.41</v>
      </c>
      <c r="C15" s="626">
        <v>11.81</v>
      </c>
      <c r="D15" s="624">
        <v>22.28</v>
      </c>
      <c r="E15" s="625">
        <v>22.03</v>
      </c>
      <c r="F15" s="622">
        <v>18</v>
      </c>
      <c r="G15" s="626">
        <v>10</v>
      </c>
      <c r="H15" s="624">
        <v>20</v>
      </c>
      <c r="I15" s="625">
        <v>19.23</v>
      </c>
    </row>
    <row r="16" spans="1:9" ht="15.75" thickBot="1">
      <c r="A16" s="934">
        <v>2008</v>
      </c>
      <c r="B16" s="935">
        <v>21.32</v>
      </c>
      <c r="C16" s="627">
        <v>12.39</v>
      </c>
      <c r="D16" s="627">
        <v>23.22</v>
      </c>
      <c r="E16" s="628">
        <v>23.09</v>
      </c>
      <c r="F16" s="935">
        <v>18.760000000000002</v>
      </c>
      <c r="G16" s="627">
        <v>10.25</v>
      </c>
      <c r="H16" s="627">
        <v>20.82</v>
      </c>
      <c r="I16" s="628">
        <v>20</v>
      </c>
    </row>
    <row r="17" spans="1:12">
      <c r="A17" s="629" t="s">
        <v>1655</v>
      </c>
      <c r="B17" s="630"/>
      <c r="C17" s="630"/>
      <c r="D17" s="630"/>
      <c r="E17" s="630"/>
      <c r="F17" s="630"/>
      <c r="G17" s="630"/>
      <c r="H17" s="630"/>
      <c r="I17" s="631"/>
    </row>
    <row r="18" spans="1:12">
      <c r="A18" s="632" t="s">
        <v>1656</v>
      </c>
      <c r="B18" s="624">
        <f t="shared" ref="B18:I18" si="0">((B8/B5)^(1/3)-1)*100</f>
        <v>2.2373601886106709</v>
      </c>
      <c r="C18" s="624">
        <f t="shared" si="0"/>
        <v>2.5857751190442979</v>
      </c>
      <c r="D18" s="624">
        <f t="shared" si="0"/>
        <v>2.4258821872373382</v>
      </c>
      <c r="E18" s="624">
        <f t="shared" si="0"/>
        <v>2.1808329426303397</v>
      </c>
      <c r="F18" s="624">
        <f t="shared" si="0"/>
        <v>2.3264108093813185</v>
      </c>
      <c r="G18" s="624">
        <f t="shared" si="0"/>
        <v>0.84749803491115383</v>
      </c>
      <c r="H18" s="624">
        <f t="shared" si="0"/>
        <v>2.7820966494320309</v>
      </c>
      <c r="I18" s="625">
        <f t="shared" si="0"/>
        <v>2.1745909858070789</v>
      </c>
      <c r="L18" s="1031"/>
    </row>
    <row r="19" spans="1:12">
      <c r="A19" s="632" t="s">
        <v>1657</v>
      </c>
      <c r="B19" s="624">
        <f t="shared" ref="B19:I19" si="1">((B12/B8)^(1/4)-1)*100</f>
        <v>2.6535996249197336</v>
      </c>
      <c r="C19" s="624">
        <f t="shared" si="1"/>
        <v>2.1615092630563382</v>
      </c>
      <c r="D19" s="624">
        <f t="shared" si="1"/>
        <v>2.6718362812085283</v>
      </c>
      <c r="E19" s="624">
        <f t="shared" si="1"/>
        <v>2.7817090198456906</v>
      </c>
      <c r="F19" s="624">
        <f t="shared" si="1"/>
        <v>2.1778180864641117</v>
      </c>
      <c r="G19" s="624">
        <f t="shared" si="1"/>
        <v>2.9883571953558841</v>
      </c>
      <c r="H19" s="624">
        <f t="shared" si="1"/>
        <v>2.0736413223258809</v>
      </c>
      <c r="I19" s="625">
        <f t="shared" si="1"/>
        <v>2.7443242488786046</v>
      </c>
    </row>
    <row r="20" spans="1:12">
      <c r="A20" s="632" t="s">
        <v>1778</v>
      </c>
      <c r="B20" s="624">
        <f t="shared" ref="B20:I20" si="2">((B16/B12)^(1/4)-1)*100</f>
        <v>3.6105234937249486</v>
      </c>
      <c r="C20" s="624">
        <f t="shared" si="2"/>
        <v>4.2494937233424457</v>
      </c>
      <c r="D20" s="624">
        <f t="shared" si="2"/>
        <v>3.5703069532847742</v>
      </c>
      <c r="E20" s="624">
        <f t="shared" si="2"/>
        <v>3.2718539852009787</v>
      </c>
      <c r="F20" s="624">
        <f t="shared" si="2"/>
        <v>3.497240192877471</v>
      </c>
      <c r="G20" s="624">
        <f t="shared" si="2"/>
        <v>3.3047614055361274</v>
      </c>
      <c r="H20" s="624">
        <f t="shared" si="2"/>
        <v>3.3202728643142887</v>
      </c>
      <c r="I20" s="625">
        <f t="shared" si="2"/>
        <v>2.9128636711146294</v>
      </c>
    </row>
    <row r="21" spans="1:12" ht="15.75" thickBot="1">
      <c r="A21" s="616" t="s">
        <v>1779</v>
      </c>
      <c r="B21" s="627">
        <f t="shared" ref="B21:I21" si="3">((B16/B5)^(1/11)-1)*100</f>
        <v>2.8864731954553857</v>
      </c>
      <c r="C21" s="627">
        <f t="shared" si="3"/>
        <v>3.0322808040209814</v>
      </c>
      <c r="D21" s="627">
        <f t="shared" si="3"/>
        <v>2.9302975550270949</v>
      </c>
      <c r="E21" s="627">
        <f t="shared" si="3"/>
        <v>2.7951646098866245</v>
      </c>
      <c r="F21" s="627">
        <f t="shared" si="3"/>
        <v>2.6963436981605637</v>
      </c>
      <c r="G21" s="627">
        <f t="shared" si="3"/>
        <v>2.5143065822437638</v>
      </c>
      <c r="H21" s="627">
        <f t="shared" si="3"/>
        <v>2.7187939414210494</v>
      </c>
      <c r="I21" s="628">
        <f t="shared" si="3"/>
        <v>2.6497904095038605</v>
      </c>
    </row>
    <row r="22" spans="1:12">
      <c r="A22" s="614"/>
      <c r="B22" s="614"/>
      <c r="C22" s="614"/>
      <c r="D22" s="614"/>
      <c r="E22" s="614"/>
      <c r="F22" s="614"/>
      <c r="G22" s="614"/>
      <c r="H22" s="614"/>
      <c r="I22" s="614"/>
    </row>
    <row r="23" spans="1:12">
      <c r="A23" s="614" t="s">
        <v>1658</v>
      </c>
      <c r="B23" s="614"/>
      <c r="C23" s="614"/>
      <c r="D23" s="614"/>
      <c r="E23" s="614"/>
      <c r="F23" s="614"/>
      <c r="G23" s="614"/>
      <c r="H23" s="614"/>
      <c r="I23" s="614"/>
    </row>
  </sheetData>
  <mergeCells count="2">
    <mergeCell ref="B3:E3"/>
    <mergeCell ref="F3:I3"/>
  </mergeCells>
  <pageMargins left="0.7" right="0.7" top="0.75" bottom="0.75" header="0.3" footer="0.3"/>
  <pageSetup orientation="landscape" verticalDpi="0" r:id="rId1"/>
</worksheet>
</file>

<file path=xl/worksheets/sheet217.xml><?xml version="1.0" encoding="utf-8"?>
<worksheet xmlns="http://schemas.openxmlformats.org/spreadsheetml/2006/main" xmlns:r="http://schemas.openxmlformats.org/officeDocument/2006/relationships">
  <sheetPr codeName="Sheet215"/>
  <dimension ref="A1:K24"/>
  <sheetViews>
    <sheetView view="pageBreakPreview" zoomScale="115" zoomScaleNormal="100" zoomScaleSheetLayoutView="115" workbookViewId="0">
      <selection activeCell="C32" sqref="C32"/>
    </sheetView>
  </sheetViews>
  <sheetFormatPr defaultRowHeight="15"/>
  <cols>
    <col min="1" max="1" width="9.140625" style="1030"/>
    <col min="2" max="9" width="11.42578125" style="1030" customWidth="1"/>
    <col min="10" max="10" width="15.140625" style="1030" customWidth="1"/>
    <col min="11" max="257" width="9.140625" style="1030"/>
    <col min="258" max="265" width="11.42578125" style="1030" customWidth="1"/>
    <col min="266" max="266" width="15.140625" style="1030" customWidth="1"/>
    <col min="267" max="513" width="9.140625" style="1030"/>
    <col min="514" max="521" width="11.42578125" style="1030" customWidth="1"/>
    <col min="522" max="522" width="15.140625" style="1030" customWidth="1"/>
    <col min="523" max="769" width="9.140625" style="1030"/>
    <col min="770" max="777" width="11.42578125" style="1030" customWidth="1"/>
    <col min="778" max="778" width="15.140625" style="1030" customWidth="1"/>
    <col min="779" max="1025" width="9.140625" style="1030"/>
    <col min="1026" max="1033" width="11.42578125" style="1030" customWidth="1"/>
    <col min="1034" max="1034" width="15.140625" style="1030" customWidth="1"/>
    <col min="1035" max="1281" width="9.140625" style="1030"/>
    <col min="1282" max="1289" width="11.42578125" style="1030" customWidth="1"/>
    <col min="1290" max="1290" width="15.140625" style="1030" customWidth="1"/>
    <col min="1291" max="1537" width="9.140625" style="1030"/>
    <col min="1538" max="1545" width="11.42578125" style="1030" customWidth="1"/>
    <col min="1546" max="1546" width="15.140625" style="1030" customWidth="1"/>
    <col min="1547" max="1793" width="9.140625" style="1030"/>
    <col min="1794" max="1801" width="11.42578125" style="1030" customWidth="1"/>
    <col min="1802" max="1802" width="15.140625" style="1030" customWidth="1"/>
    <col min="1803" max="2049" width="9.140625" style="1030"/>
    <col min="2050" max="2057" width="11.42578125" style="1030" customWidth="1"/>
    <col min="2058" max="2058" width="15.140625" style="1030" customWidth="1"/>
    <col min="2059" max="2305" width="9.140625" style="1030"/>
    <col min="2306" max="2313" width="11.42578125" style="1030" customWidth="1"/>
    <col min="2314" max="2314" width="15.140625" style="1030" customWidth="1"/>
    <col min="2315" max="2561" width="9.140625" style="1030"/>
    <col min="2562" max="2569" width="11.42578125" style="1030" customWidth="1"/>
    <col min="2570" max="2570" width="15.140625" style="1030" customWidth="1"/>
    <col min="2571" max="2817" width="9.140625" style="1030"/>
    <col min="2818" max="2825" width="11.42578125" style="1030" customWidth="1"/>
    <col min="2826" max="2826" width="15.140625" style="1030" customWidth="1"/>
    <col min="2827" max="3073" width="9.140625" style="1030"/>
    <col min="3074" max="3081" width="11.42578125" style="1030" customWidth="1"/>
    <col min="3082" max="3082" width="15.140625" style="1030" customWidth="1"/>
    <col min="3083" max="3329" width="9.140625" style="1030"/>
    <col min="3330" max="3337" width="11.42578125" style="1030" customWidth="1"/>
    <col min="3338" max="3338" width="15.140625" style="1030" customWidth="1"/>
    <col min="3339" max="3585" width="9.140625" style="1030"/>
    <col min="3586" max="3593" width="11.42578125" style="1030" customWidth="1"/>
    <col min="3594" max="3594" width="15.140625" style="1030" customWidth="1"/>
    <col min="3595" max="3841" width="9.140625" style="1030"/>
    <col min="3842" max="3849" width="11.42578125" style="1030" customWidth="1"/>
    <col min="3850" max="3850" width="15.140625" style="1030" customWidth="1"/>
    <col min="3851" max="4097" width="9.140625" style="1030"/>
    <col min="4098" max="4105" width="11.42578125" style="1030" customWidth="1"/>
    <col min="4106" max="4106" width="15.140625" style="1030" customWidth="1"/>
    <col min="4107" max="4353" width="9.140625" style="1030"/>
    <col min="4354" max="4361" width="11.42578125" style="1030" customWidth="1"/>
    <col min="4362" max="4362" width="15.140625" style="1030" customWidth="1"/>
    <col min="4363" max="4609" width="9.140625" style="1030"/>
    <col min="4610" max="4617" width="11.42578125" style="1030" customWidth="1"/>
    <col min="4618" max="4618" width="15.140625" style="1030" customWidth="1"/>
    <col min="4619" max="4865" width="9.140625" style="1030"/>
    <col min="4866" max="4873" width="11.42578125" style="1030" customWidth="1"/>
    <col min="4874" max="4874" width="15.140625" style="1030" customWidth="1"/>
    <col min="4875" max="5121" width="9.140625" style="1030"/>
    <col min="5122" max="5129" width="11.42578125" style="1030" customWidth="1"/>
    <col min="5130" max="5130" width="15.140625" style="1030" customWidth="1"/>
    <col min="5131" max="5377" width="9.140625" style="1030"/>
    <col min="5378" max="5385" width="11.42578125" style="1030" customWidth="1"/>
    <col min="5386" max="5386" width="15.140625" style="1030" customWidth="1"/>
    <col min="5387" max="5633" width="9.140625" style="1030"/>
    <col min="5634" max="5641" width="11.42578125" style="1030" customWidth="1"/>
    <col min="5642" max="5642" width="15.140625" style="1030" customWidth="1"/>
    <col min="5643" max="5889" width="9.140625" style="1030"/>
    <col min="5890" max="5897" width="11.42578125" style="1030" customWidth="1"/>
    <col min="5898" max="5898" width="15.140625" style="1030" customWidth="1"/>
    <col min="5899" max="6145" width="9.140625" style="1030"/>
    <col min="6146" max="6153" width="11.42578125" style="1030" customWidth="1"/>
    <col min="6154" max="6154" width="15.140625" style="1030" customWidth="1"/>
    <col min="6155" max="6401" width="9.140625" style="1030"/>
    <col min="6402" max="6409" width="11.42578125" style="1030" customWidth="1"/>
    <col min="6410" max="6410" width="15.140625" style="1030" customWidth="1"/>
    <col min="6411" max="6657" width="9.140625" style="1030"/>
    <col min="6658" max="6665" width="11.42578125" style="1030" customWidth="1"/>
    <col min="6666" max="6666" width="15.140625" style="1030" customWidth="1"/>
    <col min="6667" max="6913" width="9.140625" style="1030"/>
    <col min="6914" max="6921" width="11.42578125" style="1030" customWidth="1"/>
    <col min="6922" max="6922" width="15.140625" style="1030" customWidth="1"/>
    <col min="6923" max="7169" width="9.140625" style="1030"/>
    <col min="7170" max="7177" width="11.42578125" style="1030" customWidth="1"/>
    <col min="7178" max="7178" width="15.140625" style="1030" customWidth="1"/>
    <col min="7179" max="7425" width="9.140625" style="1030"/>
    <col min="7426" max="7433" width="11.42578125" style="1030" customWidth="1"/>
    <col min="7434" max="7434" width="15.140625" style="1030" customWidth="1"/>
    <col min="7435" max="7681" width="9.140625" style="1030"/>
    <col min="7682" max="7689" width="11.42578125" style="1030" customWidth="1"/>
    <col min="7690" max="7690" width="15.140625" style="1030" customWidth="1"/>
    <col min="7691" max="7937" width="9.140625" style="1030"/>
    <col min="7938" max="7945" width="11.42578125" style="1030" customWidth="1"/>
    <col min="7946" max="7946" width="15.140625" style="1030" customWidth="1"/>
    <col min="7947" max="8193" width="9.140625" style="1030"/>
    <col min="8194" max="8201" width="11.42578125" style="1030" customWidth="1"/>
    <col min="8202" max="8202" width="15.140625" style="1030" customWidth="1"/>
    <col min="8203" max="8449" width="9.140625" style="1030"/>
    <col min="8450" max="8457" width="11.42578125" style="1030" customWidth="1"/>
    <col min="8458" max="8458" width="15.140625" style="1030" customWidth="1"/>
    <col min="8459" max="8705" width="9.140625" style="1030"/>
    <col min="8706" max="8713" width="11.42578125" style="1030" customWidth="1"/>
    <col min="8714" max="8714" width="15.140625" style="1030" customWidth="1"/>
    <col min="8715" max="8961" width="9.140625" style="1030"/>
    <col min="8962" max="8969" width="11.42578125" style="1030" customWidth="1"/>
    <col min="8970" max="8970" width="15.140625" style="1030" customWidth="1"/>
    <col min="8971" max="9217" width="9.140625" style="1030"/>
    <col min="9218" max="9225" width="11.42578125" style="1030" customWidth="1"/>
    <col min="9226" max="9226" width="15.140625" style="1030" customWidth="1"/>
    <col min="9227" max="9473" width="9.140625" style="1030"/>
    <col min="9474" max="9481" width="11.42578125" style="1030" customWidth="1"/>
    <col min="9482" max="9482" width="15.140625" style="1030" customWidth="1"/>
    <col min="9483" max="9729" width="9.140625" style="1030"/>
    <col min="9730" max="9737" width="11.42578125" style="1030" customWidth="1"/>
    <col min="9738" max="9738" width="15.140625" style="1030" customWidth="1"/>
    <col min="9739" max="9985" width="9.140625" style="1030"/>
    <col min="9986" max="9993" width="11.42578125" style="1030" customWidth="1"/>
    <col min="9994" max="9994" width="15.140625" style="1030" customWidth="1"/>
    <col min="9995" max="10241" width="9.140625" style="1030"/>
    <col min="10242" max="10249" width="11.42578125" style="1030" customWidth="1"/>
    <col min="10250" max="10250" width="15.140625" style="1030" customWidth="1"/>
    <col min="10251" max="10497" width="9.140625" style="1030"/>
    <col min="10498" max="10505" width="11.42578125" style="1030" customWidth="1"/>
    <col min="10506" max="10506" width="15.140625" style="1030" customWidth="1"/>
    <col min="10507" max="10753" width="9.140625" style="1030"/>
    <col min="10754" max="10761" width="11.42578125" style="1030" customWidth="1"/>
    <col min="10762" max="10762" width="15.140625" style="1030" customWidth="1"/>
    <col min="10763" max="11009" width="9.140625" style="1030"/>
    <col min="11010" max="11017" width="11.42578125" style="1030" customWidth="1"/>
    <col min="11018" max="11018" width="15.140625" style="1030" customWidth="1"/>
    <col min="11019" max="11265" width="9.140625" style="1030"/>
    <col min="11266" max="11273" width="11.42578125" style="1030" customWidth="1"/>
    <col min="11274" max="11274" width="15.140625" style="1030" customWidth="1"/>
    <col min="11275" max="11521" width="9.140625" style="1030"/>
    <col min="11522" max="11529" width="11.42578125" style="1030" customWidth="1"/>
    <col min="11530" max="11530" width="15.140625" style="1030" customWidth="1"/>
    <col min="11531" max="11777" width="9.140625" style="1030"/>
    <col min="11778" max="11785" width="11.42578125" style="1030" customWidth="1"/>
    <col min="11786" max="11786" width="15.140625" style="1030" customWidth="1"/>
    <col min="11787" max="12033" width="9.140625" style="1030"/>
    <col min="12034" max="12041" width="11.42578125" style="1030" customWidth="1"/>
    <col min="12042" max="12042" width="15.140625" style="1030" customWidth="1"/>
    <col min="12043" max="12289" width="9.140625" style="1030"/>
    <col min="12290" max="12297" width="11.42578125" style="1030" customWidth="1"/>
    <col min="12298" max="12298" width="15.140625" style="1030" customWidth="1"/>
    <col min="12299" max="12545" width="9.140625" style="1030"/>
    <col min="12546" max="12553" width="11.42578125" style="1030" customWidth="1"/>
    <col min="12554" max="12554" width="15.140625" style="1030" customWidth="1"/>
    <col min="12555" max="12801" width="9.140625" style="1030"/>
    <col min="12802" max="12809" width="11.42578125" style="1030" customWidth="1"/>
    <col min="12810" max="12810" width="15.140625" style="1030" customWidth="1"/>
    <col min="12811" max="13057" width="9.140625" style="1030"/>
    <col min="13058" max="13065" width="11.42578125" style="1030" customWidth="1"/>
    <col min="13066" max="13066" width="15.140625" style="1030" customWidth="1"/>
    <col min="13067" max="13313" width="9.140625" style="1030"/>
    <col min="13314" max="13321" width="11.42578125" style="1030" customWidth="1"/>
    <col min="13322" max="13322" width="15.140625" style="1030" customWidth="1"/>
    <col min="13323" max="13569" width="9.140625" style="1030"/>
    <col min="13570" max="13577" width="11.42578125" style="1030" customWidth="1"/>
    <col min="13578" max="13578" width="15.140625" style="1030" customWidth="1"/>
    <col min="13579" max="13825" width="9.140625" style="1030"/>
    <col min="13826" max="13833" width="11.42578125" style="1030" customWidth="1"/>
    <col min="13834" max="13834" width="15.140625" style="1030" customWidth="1"/>
    <col min="13835" max="14081" width="9.140625" style="1030"/>
    <col min="14082" max="14089" width="11.42578125" style="1030" customWidth="1"/>
    <col min="14090" max="14090" width="15.140625" style="1030" customWidth="1"/>
    <col min="14091" max="14337" width="9.140625" style="1030"/>
    <col min="14338" max="14345" width="11.42578125" style="1030" customWidth="1"/>
    <col min="14346" max="14346" width="15.140625" style="1030" customWidth="1"/>
    <col min="14347" max="14593" width="9.140625" style="1030"/>
    <col min="14594" max="14601" width="11.42578125" style="1030" customWidth="1"/>
    <col min="14602" max="14602" width="15.140625" style="1030" customWidth="1"/>
    <col min="14603" max="14849" width="9.140625" style="1030"/>
    <col min="14850" max="14857" width="11.42578125" style="1030" customWidth="1"/>
    <col min="14858" max="14858" width="15.140625" style="1030" customWidth="1"/>
    <col min="14859" max="15105" width="9.140625" style="1030"/>
    <col min="15106" max="15113" width="11.42578125" style="1030" customWidth="1"/>
    <col min="15114" max="15114" width="15.140625" style="1030" customWidth="1"/>
    <col min="15115" max="15361" width="9.140625" style="1030"/>
    <col min="15362" max="15369" width="11.42578125" style="1030" customWidth="1"/>
    <col min="15370" max="15370" width="15.140625" style="1030" customWidth="1"/>
    <col min="15371" max="15617" width="9.140625" style="1030"/>
    <col min="15618" max="15625" width="11.42578125" style="1030" customWidth="1"/>
    <col min="15626" max="15626" width="15.140625" style="1030" customWidth="1"/>
    <col min="15627" max="15873" width="9.140625" style="1030"/>
    <col min="15874" max="15881" width="11.42578125" style="1030" customWidth="1"/>
    <col min="15882" max="15882" width="15.140625" style="1030" customWidth="1"/>
    <col min="15883" max="16129" width="9.140625" style="1030"/>
    <col min="16130" max="16137" width="11.42578125" style="1030" customWidth="1"/>
    <col min="16138" max="16138" width="15.140625" style="1030" customWidth="1"/>
    <col min="16139" max="16384" width="9.140625" style="1030"/>
  </cols>
  <sheetData>
    <row r="1" spans="1:11" ht="15.75">
      <c r="A1" s="582" t="s">
        <v>1662</v>
      </c>
      <c r="K1" s="1032"/>
    </row>
    <row r="2" spans="1:11" ht="15.75" thickBot="1">
      <c r="K2" s="1032"/>
    </row>
    <row r="3" spans="1:11" ht="15.75" thickBot="1">
      <c r="A3" s="615"/>
      <c r="B3" s="1327" t="s">
        <v>1659</v>
      </c>
      <c r="C3" s="1328"/>
      <c r="D3" s="1328"/>
      <c r="E3" s="1329"/>
      <c r="F3" s="1327" t="s">
        <v>1660</v>
      </c>
      <c r="G3" s="1328"/>
      <c r="H3" s="1328"/>
      <c r="I3" s="1328"/>
      <c r="J3" s="1330" t="s">
        <v>1650</v>
      </c>
      <c r="K3" s="1032"/>
    </row>
    <row r="4" spans="1:11" ht="15.75" thickBot="1">
      <c r="A4" s="616"/>
      <c r="B4" s="617" t="s">
        <v>1651</v>
      </c>
      <c r="C4" s="618" t="s">
        <v>1652</v>
      </c>
      <c r="D4" s="619" t="s">
        <v>1653</v>
      </c>
      <c r="E4" s="620" t="s">
        <v>1654</v>
      </c>
      <c r="F4" s="617" t="s">
        <v>1651</v>
      </c>
      <c r="G4" s="618" t="s">
        <v>1652</v>
      </c>
      <c r="H4" s="619" t="s">
        <v>1653</v>
      </c>
      <c r="I4" s="619" t="s">
        <v>1654</v>
      </c>
      <c r="J4" s="1331"/>
      <c r="K4" s="1032"/>
    </row>
    <row r="5" spans="1:11">
      <c r="A5" s="621">
        <v>1997</v>
      </c>
      <c r="B5" s="622">
        <f>'[10]73a'!B5/'[10]73a'!$J5*'[10]73a'!$J$10</f>
        <v>17.245575221238937</v>
      </c>
      <c r="C5" s="623">
        <f>'[10]73a'!C5/'[10]73a'!$J5*'[10]73a'!$J$10</f>
        <v>9.8672566371681416</v>
      </c>
      <c r="D5" s="624">
        <f>'[10]73a'!D5/'[10]73a'!$J5*'[10]73a'!$J$10</f>
        <v>18.694690265486724</v>
      </c>
      <c r="E5" s="625">
        <f>'[10]73a'!E5/'[10]73a'!$J5*'[10]73a'!$J$10</f>
        <v>18.860619469026549</v>
      </c>
      <c r="F5" s="622">
        <f>'[10]73a'!F5/'[10]73a'!$J5*'[10]73a'!$J$10</f>
        <v>15.486725663716813</v>
      </c>
      <c r="G5" s="626">
        <f>'[10]73a'!G5/'[10]73a'!$J5*'[10]73a'!$J$10</f>
        <v>8.6283185840707954</v>
      </c>
      <c r="H5" s="624">
        <f>'[10]73a'!H5/'[10]73a'!$J5*'[10]73a'!$J$10</f>
        <v>17.146017699115042</v>
      </c>
      <c r="I5" s="624">
        <f>'[10]73a'!I5/'[10]73a'!$J5*'[10]73a'!$J$10</f>
        <v>16.592920353982301</v>
      </c>
      <c r="J5" s="1033">
        <v>90.4</v>
      </c>
      <c r="K5" s="1032"/>
    </row>
    <row r="6" spans="1:11">
      <c r="A6" s="621">
        <v>1998</v>
      </c>
      <c r="B6" s="622">
        <f>'[10]73a'!B6/'[10]73a'!$J6*'[10]73a'!$J$10</f>
        <v>17.283680175246442</v>
      </c>
      <c r="C6" s="626">
        <f>'[10]73a'!C6/'[10]73a'!$J6*'[10]73a'!$J$10</f>
        <v>9.9671412924424967</v>
      </c>
      <c r="D6" s="624">
        <f>'[10]73a'!D6/'[10]73a'!$J6*'[10]73a'!$J$10</f>
        <v>18.729463307776562</v>
      </c>
      <c r="E6" s="625">
        <f>'[10]73a'!E6/'[10]73a'!$J6*'[10]73a'!$J$10</f>
        <v>18.860898138006572</v>
      </c>
      <c r="F6" s="622">
        <f>'[10]73a'!F6/'[10]73a'!$J6*'[10]73a'!$J$10</f>
        <v>15.651697699890471</v>
      </c>
      <c r="G6" s="626">
        <f>'[10]73a'!G6/'[10]73a'!$J6*'[10]73a'!$J$10</f>
        <v>8.762322015334064</v>
      </c>
      <c r="H6" s="624">
        <f>'[10]73a'!H6/'[10]73a'!$J6*'[10]73a'!$J$10</f>
        <v>17.38225629791895</v>
      </c>
      <c r="I6" s="624">
        <f>'[10]73a'!I6/'[10]73a'!$J6*'[10]73a'!$J$10</f>
        <v>16.604600219058053</v>
      </c>
      <c r="J6" s="1034">
        <v>91.3</v>
      </c>
      <c r="K6" s="1032"/>
    </row>
    <row r="7" spans="1:11">
      <c r="A7" s="621">
        <v>1999</v>
      </c>
      <c r="B7" s="622">
        <f>'[10]73a'!B7/'[10]73a'!$J7*'[10]73a'!$J$10</f>
        <v>17.405812701829927</v>
      </c>
      <c r="C7" s="626">
        <f>'[10]73a'!C7/'[10]73a'!$J7*'[10]73a'!$J$10</f>
        <v>10.032292787944025</v>
      </c>
      <c r="D7" s="624">
        <f>'[10]73a'!D7/'[10]73a'!$J7*'[10]73a'!$J$10</f>
        <v>18.923573735199138</v>
      </c>
      <c r="E7" s="625">
        <f>'[10]73a'!E7/'[10]73a'!$J7*'[10]73a'!$J$10</f>
        <v>19.05274488697524</v>
      </c>
      <c r="F7" s="622">
        <f>'[10]73a'!F7/'[10]73a'!$J7*'[10]73a'!$J$10</f>
        <v>15.608180839612483</v>
      </c>
      <c r="G7" s="626">
        <f>'[10]73a'!G7/'[10]73a'!$J7*'[10]73a'!$J$10</f>
        <v>8.611410118406889</v>
      </c>
      <c r="H7" s="624">
        <f>'[10]73a'!H7/'[10]73a'!$J7*'[10]73a'!$J$10</f>
        <v>17.330462863293867</v>
      </c>
      <c r="I7" s="624">
        <f>'[10]73a'!I7/'[10]73a'!$J7*'[10]73a'!$J$10</f>
        <v>16.867599569429494</v>
      </c>
      <c r="J7" s="1034">
        <v>92.9</v>
      </c>
      <c r="K7" s="1032"/>
    </row>
    <row r="8" spans="1:11">
      <c r="A8" s="621">
        <v>2000</v>
      </c>
      <c r="B8" s="622">
        <f>'[10]73a'!B8/'[10]73a'!$J8*'[10]73a'!$J$10</f>
        <v>17.463312368972744</v>
      </c>
      <c r="C8" s="626">
        <f>'[10]73a'!C8/'[10]73a'!$J8*'[10]73a'!$J$10</f>
        <v>10.09433962264151</v>
      </c>
      <c r="D8" s="624">
        <f>'[10]73a'!D8/'[10]73a'!$J8*'[10]73a'!$J$10</f>
        <v>19.035639412997902</v>
      </c>
      <c r="E8" s="625">
        <f>'[10]73a'!E8/'[10]73a'!$J8*'[10]73a'!$J$10</f>
        <v>19.067085953878408</v>
      </c>
      <c r="F8" s="622">
        <f>'[10]73a'!F8/'[10]73a'!$J8*'[10]73a'!$J$10</f>
        <v>15.723270440251572</v>
      </c>
      <c r="G8" s="626">
        <f>'[10]73a'!G8/'[10]73a'!$J8*'[10]73a'!$J$10</f>
        <v>8.3857442348008373</v>
      </c>
      <c r="H8" s="624">
        <f>'[10]73a'!H8/'[10]73a'!$J8*'[10]73a'!$J$10</f>
        <v>17.641509433962259</v>
      </c>
      <c r="I8" s="624">
        <f>'[10]73a'!I8/'[10]73a'!$J8*'[10]73a'!$J$10</f>
        <v>16.771488469601675</v>
      </c>
      <c r="J8" s="1034">
        <v>95.4</v>
      </c>
      <c r="K8" s="1032"/>
    </row>
    <row r="9" spans="1:11">
      <c r="A9" s="621">
        <v>2001</v>
      </c>
      <c r="B9" s="622">
        <f>'[10]73a'!B9/'[10]73a'!$J9*'[10]73a'!$J$10</f>
        <v>17.607361963190183</v>
      </c>
      <c r="C9" s="626">
        <f>'[10]73a'!C9/'[10]73a'!$J9*'[10]73a'!$J$10</f>
        <v>10.16359918200409</v>
      </c>
      <c r="D9" s="624">
        <f>'[10]73a'!D9/'[10]73a'!$J9*'[10]73a'!$J$10</f>
        <v>19.192229038854805</v>
      </c>
      <c r="E9" s="625">
        <f>'[10]73a'!E9/'[10]73a'!$J9*'[10]73a'!$J$10</f>
        <v>19.233128834355828</v>
      </c>
      <c r="F9" s="622">
        <f>'[10]73a'!F9/'[10]73a'!$J9*'[10]73a'!$J$10</f>
        <v>15.725971370143149</v>
      </c>
      <c r="G9" s="626">
        <f>'[10]73a'!G9/'[10]73a'!$J9*'[10]73a'!$J$10</f>
        <v>8.6912065439672812</v>
      </c>
      <c r="H9" s="624">
        <f>'[10]73a'!H9/'[10]73a'!$J9*'[10]73a'!$J$10</f>
        <v>17.413087934560327</v>
      </c>
      <c r="I9" s="624">
        <f>'[10]73a'!I9/'[10]73a'!$J9*'[10]73a'!$J$10</f>
        <v>17.208588957055213</v>
      </c>
      <c r="J9" s="1034">
        <v>97.8</v>
      </c>
      <c r="K9" s="1032"/>
    </row>
    <row r="10" spans="1:11">
      <c r="A10" s="621">
        <v>2002</v>
      </c>
      <c r="B10" s="622">
        <f>'[10]73a'!B10/'[10]73a'!$J10*'[10]73a'!$J$10</f>
        <v>17.66</v>
      </c>
      <c r="C10" s="626">
        <f>'[10]73a'!C10/'[10]73a'!$J10*'[10]73a'!$J$10</f>
        <v>10.1</v>
      </c>
      <c r="D10" s="624">
        <f>'[10]73a'!D10/'[10]73a'!$J10*'[10]73a'!$J$10</f>
        <v>19.28</v>
      </c>
      <c r="E10" s="625">
        <f>'[10]73a'!E10/'[10]73a'!$J10*'[10]73a'!$J$10</f>
        <v>19.27</v>
      </c>
      <c r="F10" s="622">
        <f>'[10]73a'!F10/'[10]73a'!$J10*'[10]73a'!$J$10</f>
        <v>15.659999999999998</v>
      </c>
      <c r="G10" s="626">
        <f>'[10]73a'!G10/'[10]73a'!$J10*'[10]73a'!$J$10</f>
        <v>8.8699999999999992</v>
      </c>
      <c r="H10" s="624">
        <f>'[10]73a'!H10/'[10]73a'!$J10*'[10]73a'!$J$10</f>
        <v>17.579999999999998</v>
      </c>
      <c r="I10" s="624">
        <f>'[10]73a'!I10/'[10]73a'!$J10*'[10]73a'!$J$10</f>
        <v>17</v>
      </c>
      <c r="J10" s="1034">
        <v>100</v>
      </c>
      <c r="K10" s="1032"/>
    </row>
    <row r="11" spans="1:11">
      <c r="A11" s="621">
        <v>2003</v>
      </c>
      <c r="B11" s="622">
        <f>'[10]73a'!B11/'[10]73a'!$J11*'[10]73a'!$J$10</f>
        <v>17.548638132295718</v>
      </c>
      <c r="C11" s="626">
        <f>'[10]73a'!C11/'[10]73a'!$J11*'[10]73a'!$J$10</f>
        <v>10.077821011673151</v>
      </c>
      <c r="D11" s="624">
        <f>'[10]73a'!D11/'[10]73a'!$J11*'[10]73a'!$J$10</f>
        <v>19.134241245136188</v>
      </c>
      <c r="E11" s="625">
        <f>'[10]73a'!E11/'[10]73a'!$J11*'[10]73a'!$J$10</f>
        <v>19.299610894941637</v>
      </c>
      <c r="F11" s="622">
        <f>'[10]73a'!F11/'[10]73a'!$J11*'[10]73a'!$J$10</f>
        <v>15.56420233463035</v>
      </c>
      <c r="G11" s="626">
        <f>'[10]73a'!G11/'[10]73a'!$J11*'[10]73a'!$J$10</f>
        <v>8.7548638132295729</v>
      </c>
      <c r="H11" s="624">
        <f>'[10]73a'!H11/'[10]73a'!$J11*'[10]73a'!$J$10</f>
        <v>17.509727626459146</v>
      </c>
      <c r="I11" s="624">
        <f>'[10]73a'!I11/'[10]73a'!$J11*'[10]73a'!$J$10</f>
        <v>16.838521400778209</v>
      </c>
      <c r="J11" s="1034">
        <v>102.8</v>
      </c>
      <c r="K11" s="1032"/>
    </row>
    <row r="12" spans="1:11">
      <c r="A12" s="621">
        <v>2004</v>
      </c>
      <c r="B12" s="622">
        <f>'[10]73a'!B12/'[10]73a'!$J12*'[10]73a'!$J$10</f>
        <v>17.669531996179561</v>
      </c>
      <c r="C12" s="626">
        <f>'[10]73a'!C12/'[10]73a'!$J12*'[10]73a'!$J$10</f>
        <v>10.019102196752625</v>
      </c>
      <c r="D12" s="624">
        <f>'[10]73a'!D12/'[10]73a'!$J12*'[10]73a'!$J$10</f>
        <v>19.274116523400188</v>
      </c>
      <c r="E12" s="625">
        <f>'[10]73a'!E12/'[10]73a'!$J12*'[10]73a'!$J$10</f>
        <v>19.388729703915949</v>
      </c>
      <c r="F12" s="622">
        <f>'[10]73a'!F12/'[10]73a'!$J12*'[10]73a'!$J$10</f>
        <v>15.616045845272208</v>
      </c>
      <c r="G12" s="626">
        <f>'[10]73a'!G12/'[10]73a'!$J12*'[10]73a'!$J$10</f>
        <v>8.5959885386819472</v>
      </c>
      <c r="H12" s="624">
        <f>'[10]73a'!H12/'[10]73a'!$J12*'[10]73a'!$J$10</f>
        <v>17.449856733524356</v>
      </c>
      <c r="I12" s="624">
        <f>'[10]73a'!I12/'[10]73a'!$J12*'[10]73a'!$J$10</f>
        <v>17.02960840496657</v>
      </c>
      <c r="J12" s="1034">
        <v>104.7</v>
      </c>
      <c r="K12" s="1032"/>
    </row>
    <row r="13" spans="1:11">
      <c r="A13" s="621">
        <v>2005</v>
      </c>
      <c r="B13" s="622">
        <f>'[10]73a'!B13/'[10]73a'!$J13*'[10]73a'!$J$10</f>
        <v>17.841121495327101</v>
      </c>
      <c r="C13" s="626">
        <f>'[10]73a'!C13/'[10]73a'!$J13*'[10]73a'!$J$10</f>
        <v>10.158878504672897</v>
      </c>
      <c r="D13" s="624">
        <f>'[10]73a'!D13/'[10]73a'!$J13*'[10]73a'!$J$10</f>
        <v>19.439252336448597</v>
      </c>
      <c r="E13" s="625">
        <f>'[10]73a'!E13/'[10]73a'!$J13*'[10]73a'!$J$10</f>
        <v>19.579439252336446</v>
      </c>
      <c r="F13" s="622">
        <f>'[10]73a'!F13/'[10]73a'!$J13*'[10]73a'!$J$10</f>
        <v>15.887850467289718</v>
      </c>
      <c r="G13" s="626">
        <f>'[10]73a'!G13/'[10]73a'!$J13*'[10]73a'!$J$10</f>
        <v>8.8785046728971952</v>
      </c>
      <c r="H13" s="624">
        <f>'[10]73a'!H13/'[10]73a'!$J13*'[10]73a'!$J$10</f>
        <v>17.75700934579439</v>
      </c>
      <c r="I13" s="624">
        <f>'[10]73a'!I13/'[10]73a'!$J13*'[10]73a'!$J$10</f>
        <v>17.056074766355138</v>
      </c>
      <c r="J13" s="1034">
        <v>107</v>
      </c>
      <c r="K13" s="1032"/>
    </row>
    <row r="14" spans="1:11">
      <c r="A14" s="621">
        <v>2006</v>
      </c>
      <c r="B14" s="622">
        <f>'[10]73a'!B14/'[10]73a'!$J14*'[10]73a'!$J$10</f>
        <v>18.075160403299726</v>
      </c>
      <c r="C14" s="626">
        <f>'[10]73a'!C14/'[10]73a'!$J14*'[10]73a'!$J$10</f>
        <v>10.412465627864345</v>
      </c>
      <c r="D14" s="624">
        <f>'[10]73a'!D14/'[10]73a'!$J14*'[10]73a'!$J$10</f>
        <v>19.697525206232815</v>
      </c>
      <c r="E14" s="625">
        <f>'[10]73a'!E14/'[10]73a'!$J14*'[10]73a'!$J$10</f>
        <v>19.706691109074246</v>
      </c>
      <c r="F14" s="622">
        <f>'[10]73a'!F14/'[10]73a'!$J14*'[10]73a'!$J$10</f>
        <v>15.866177818515123</v>
      </c>
      <c r="G14" s="626">
        <f>'[10]73a'!G14/'[10]73a'!$J14*'[10]73a'!$J$10</f>
        <v>9.1659028414298813</v>
      </c>
      <c r="H14" s="624">
        <f>'[10]73a'!H14/'[10]73a'!$J14*'[10]73a'!$J$10</f>
        <v>17.626031164069662</v>
      </c>
      <c r="I14" s="624">
        <f>'[10]73a'!I14/'[10]73a'!$J14*'[10]73a'!$J$10</f>
        <v>16.956920256645279</v>
      </c>
      <c r="J14" s="1034">
        <v>109.1</v>
      </c>
      <c r="K14" s="1032"/>
    </row>
    <row r="15" spans="1:11">
      <c r="A15" s="621">
        <v>2007</v>
      </c>
      <c r="B15" s="622">
        <f>'[10]73a'!B15/'[10]73a'!$J15*'[10]73a'!$J$10</f>
        <v>18.304932735426007</v>
      </c>
      <c r="C15" s="626">
        <f>'[10]73a'!C15/'[10]73a'!$J15*'[10]73a'!$J$10</f>
        <v>10.591928251121077</v>
      </c>
      <c r="D15" s="624">
        <f>'[10]73a'!D15/'[10]73a'!$J15*'[10]73a'!$J$10</f>
        <v>19.982062780269057</v>
      </c>
      <c r="E15" s="625">
        <f>'[10]73a'!E15/'[10]73a'!$J15*'[10]73a'!$J$10</f>
        <v>19.75784753363229</v>
      </c>
      <c r="F15" s="622">
        <f>'[10]73a'!F15/'[10]73a'!$J15*'[10]73a'!$J$10</f>
        <v>16.143497757847534</v>
      </c>
      <c r="G15" s="626">
        <f>'[10]73a'!G15/'[10]73a'!$J15*'[10]73a'!$J$10</f>
        <v>8.9686098654708513</v>
      </c>
      <c r="H15" s="624">
        <f>'[10]73a'!H15/'[10]73a'!$J15*'[10]73a'!$J$10</f>
        <v>17.937219730941703</v>
      </c>
      <c r="I15" s="624">
        <f>'[10]73a'!I15/'[10]73a'!$J15*'[10]73a'!$J$10</f>
        <v>17.246636771300452</v>
      </c>
      <c r="J15" s="1034">
        <v>111.5</v>
      </c>
      <c r="K15" s="1032"/>
    </row>
    <row r="16" spans="1:11" ht="15.75" thickBot="1">
      <c r="A16" s="621">
        <v>2008</v>
      </c>
      <c r="B16" s="622">
        <f>'[10]73a'!B16/'[10]73a'!$J16*'[10]73a'!$J$10</f>
        <v>18.685363716038562</v>
      </c>
      <c r="C16" s="626">
        <f>'[10]73a'!C16/'[10]73a'!$J16*'[10]73a'!$J$10</f>
        <v>10.858895705521473</v>
      </c>
      <c r="D16" s="624">
        <f>'[10]73a'!D16/'[10]73a'!$J16*'[10]73a'!$J$10</f>
        <v>20.350569675723047</v>
      </c>
      <c r="E16" s="625">
        <f>'[10]73a'!E16/'[10]73a'!$J16*'[10]73a'!$J$10</f>
        <v>20.236634531113058</v>
      </c>
      <c r="F16" s="622">
        <f>'[10]73a'!F16/'[10]73a'!$J16*'[10]73a'!$J$10</f>
        <v>16.441717791411044</v>
      </c>
      <c r="G16" s="626">
        <f>'[10]73a'!G16/'[10]73a'!$J16*'[10]73a'!$J$10</f>
        <v>8.9833479404031547</v>
      </c>
      <c r="H16" s="624">
        <f>'[10]73a'!H16/'[10]73a'!$J16*'[10]73a'!$J$10</f>
        <v>18.247151621384752</v>
      </c>
      <c r="I16" s="624">
        <f>'[10]73a'!I16/'[10]73a'!$J16*'[10]73a'!$J$10</f>
        <v>17.528483786152499</v>
      </c>
      <c r="J16" s="1035">
        <v>114.1</v>
      </c>
      <c r="K16" s="1032"/>
    </row>
    <row r="17" spans="1:11">
      <c r="A17" s="629" t="s">
        <v>1655</v>
      </c>
      <c r="B17" s="630"/>
      <c r="C17" s="630"/>
      <c r="D17" s="630"/>
      <c r="E17" s="630"/>
      <c r="F17" s="630"/>
      <c r="G17" s="630"/>
      <c r="H17" s="630"/>
      <c r="I17" s="630"/>
      <c r="J17" s="631"/>
      <c r="K17" s="1032"/>
    </row>
    <row r="18" spans="1:11">
      <c r="A18" s="1132" t="s">
        <v>1656</v>
      </c>
      <c r="B18" s="624">
        <f>((B8/B5)^(1/3)-1)*100</f>
        <v>0.41909718666761631</v>
      </c>
      <c r="C18" s="624">
        <f t="shared" ref="C18:I18" si="0">((C8/C5)^(1/3)-1)*100</f>
        <v>0.76131565451493799</v>
      </c>
      <c r="D18" s="624">
        <f t="shared" si="0"/>
        <v>0.60426637400767813</v>
      </c>
      <c r="E18" s="624">
        <f t="shared" si="0"/>
        <v>0.36357526202754897</v>
      </c>
      <c r="F18" s="624">
        <f t="shared" si="0"/>
        <v>0.50656406692748401</v>
      </c>
      <c r="G18" s="624">
        <f t="shared" si="0"/>
        <v>-0.94604665537740829</v>
      </c>
      <c r="H18" s="624">
        <f t="shared" si="0"/>
        <v>0.95414566111402532</v>
      </c>
      <c r="I18" s="624">
        <f t="shared" si="0"/>
        <v>0.35744431666946408</v>
      </c>
      <c r="J18" s="625">
        <f>((J8/J5)^(1/3)-1)*100</f>
        <v>1.8106745159868209</v>
      </c>
      <c r="K18" s="1032"/>
    </row>
    <row r="19" spans="1:11">
      <c r="A19" s="1132" t="s">
        <v>1657</v>
      </c>
      <c r="B19" s="624">
        <f>((B12/B8)^(1/4)-1)*100</f>
        <v>0.29391999839047944</v>
      </c>
      <c r="C19" s="624">
        <f t="shared" ref="C19:I19" si="1">((C12/C8)^(1/4)-1)*100</f>
        <v>-0.18685877181376931</v>
      </c>
      <c r="D19" s="624">
        <f t="shared" si="1"/>
        <v>0.31173745197758951</v>
      </c>
      <c r="E19" s="624">
        <f t="shared" si="1"/>
        <v>0.41908456595256549</v>
      </c>
      <c r="F19" s="624">
        <f t="shared" si="1"/>
        <v>-0.17092483636382827</v>
      </c>
      <c r="G19" s="624">
        <f t="shared" si="1"/>
        <v>0.62098255743228137</v>
      </c>
      <c r="H19" s="624">
        <f t="shared" si="1"/>
        <v>-0.27270690816983967</v>
      </c>
      <c r="I19" s="624">
        <f t="shared" si="1"/>
        <v>0.38255915191711676</v>
      </c>
      <c r="J19" s="625">
        <f>((J12/J8)^(1/4)-1)*100</f>
        <v>2.35276438149703</v>
      </c>
      <c r="K19" s="1032"/>
    </row>
    <row r="20" spans="1:11">
      <c r="A20" s="1132" t="s">
        <v>1778</v>
      </c>
      <c r="B20" s="624">
        <f>((B16/B12)^(1/4)-1)*100</f>
        <v>1.4072784374962177</v>
      </c>
      <c r="C20" s="624">
        <f t="shared" ref="C20:I20" si="2">((C16/C12)^(1/4)-1)*100</f>
        <v>2.0326611670026029</v>
      </c>
      <c r="D20" s="624">
        <f t="shared" si="2"/>
        <v>1.3679170890859238</v>
      </c>
      <c r="E20" s="624">
        <f t="shared" si="2"/>
        <v>1.0758106291006708</v>
      </c>
      <c r="F20" s="624">
        <f t="shared" si="2"/>
        <v>1.2964040702602153</v>
      </c>
      <c r="G20" s="624">
        <f t="shared" si="2"/>
        <v>1.1080182835363717</v>
      </c>
      <c r="H20" s="624">
        <f t="shared" si="2"/>
        <v>1.1231998960429701</v>
      </c>
      <c r="I20" s="624">
        <f t="shared" si="2"/>
        <v>0.72445413065460595</v>
      </c>
      <c r="J20" s="625">
        <f>((J16/J12)^(1/4)-1)*100</f>
        <v>2.1726695461872003</v>
      </c>
      <c r="K20" s="1032"/>
    </row>
    <row r="21" spans="1:11" ht="15.75" thickBot="1">
      <c r="A21" s="1133" t="s">
        <v>1779</v>
      </c>
      <c r="B21" s="627">
        <f>((B16/B5)^(1/11)-1)*100</f>
        <v>0.73161721597658769</v>
      </c>
      <c r="C21" s="627">
        <f t="shared" ref="C21:I21" si="3">((C16/C5)^(1/11)-1)*100</f>
        <v>0.8743710276006178</v>
      </c>
      <c r="D21" s="627">
        <f t="shared" si="3"/>
        <v>0.77452371744375359</v>
      </c>
      <c r="E21" s="627">
        <f t="shared" si="3"/>
        <v>0.64222099891924067</v>
      </c>
      <c r="F21" s="627">
        <f t="shared" si="3"/>
        <v>0.54546979398666373</v>
      </c>
      <c r="G21" s="627">
        <f t="shared" si="3"/>
        <v>0.36724526640667943</v>
      </c>
      <c r="H21" s="627">
        <f t="shared" si="3"/>
        <v>0.56744983898466828</v>
      </c>
      <c r="I21" s="627">
        <f t="shared" si="3"/>
        <v>0.49989151816995925</v>
      </c>
      <c r="J21" s="628">
        <f>((J16/J5)^(1/11)-1)*100</f>
        <v>2.1392051860525729</v>
      </c>
      <c r="K21" s="1032"/>
    </row>
    <row r="22" spans="1:11">
      <c r="A22" s="614"/>
      <c r="B22" s="614"/>
      <c r="C22" s="614"/>
      <c r="D22" s="614"/>
      <c r="E22" s="614"/>
      <c r="F22" s="614"/>
      <c r="G22" s="614"/>
      <c r="H22" s="614"/>
      <c r="I22" s="614"/>
      <c r="J22" s="614"/>
      <c r="K22" s="1032"/>
    </row>
    <row r="23" spans="1:11">
      <c r="A23" s="614" t="s">
        <v>1661</v>
      </c>
      <c r="B23" s="614"/>
      <c r="C23" s="614"/>
      <c r="D23" s="614"/>
      <c r="E23" s="614"/>
      <c r="F23" s="614"/>
      <c r="G23" s="614"/>
      <c r="H23" s="614"/>
      <c r="I23" s="614"/>
      <c r="J23" s="614"/>
      <c r="K23" s="1032"/>
    </row>
    <row r="24" spans="1:11">
      <c r="A24" s="614" t="s">
        <v>1658</v>
      </c>
      <c r="B24" s="614"/>
      <c r="C24" s="614"/>
      <c r="D24" s="614"/>
      <c r="E24" s="614"/>
      <c r="F24" s="614"/>
      <c r="G24" s="614"/>
      <c r="H24" s="614"/>
      <c r="I24" s="614"/>
      <c r="K24" s="1032"/>
    </row>
  </sheetData>
  <mergeCells count="3">
    <mergeCell ref="B3:E3"/>
    <mergeCell ref="F3:I3"/>
    <mergeCell ref="J3:J4"/>
  </mergeCells>
  <pageMargins left="0.7" right="0.7" top="0.75" bottom="0.75" header="0.3" footer="0.3"/>
  <pageSetup orientation="landscape" verticalDpi="0" r:id="rId1"/>
</worksheet>
</file>

<file path=xl/worksheets/sheet22.xml><?xml version="1.0" encoding="utf-8"?>
<worksheet xmlns="http://schemas.openxmlformats.org/spreadsheetml/2006/main" xmlns:r="http://schemas.openxmlformats.org/officeDocument/2006/relationships">
  <sheetPr codeName="Sheet19">
    <pageSetUpPr fitToPage="1"/>
  </sheetPr>
  <dimension ref="A1:Q114"/>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12" width="10.85546875" style="1" customWidth="1"/>
    <col min="13" max="13" width="2.7109375" style="1" customWidth="1"/>
    <col min="14" max="15" width="8.85546875" style="1" hidden="1" customWidth="1"/>
    <col min="16" max="17" width="9.42578125" style="1" hidden="1" customWidth="1"/>
    <col min="18" max="16384" width="8.85546875" style="1"/>
  </cols>
  <sheetData>
    <row r="1" spans="1:17" ht="15.75">
      <c r="A1" s="3" t="s">
        <v>2107</v>
      </c>
    </row>
    <row r="2" spans="1:17">
      <c r="A2" s="4"/>
      <c r="B2" s="4"/>
    </row>
    <row r="3" spans="1:17" ht="25.5">
      <c r="A3" s="4"/>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667"/>
      <c r="B4" s="1167"/>
      <c r="C4" s="1165"/>
      <c r="D4" s="1165"/>
      <c r="E4" s="1165"/>
      <c r="F4" s="1165"/>
      <c r="G4" s="1165"/>
      <c r="H4" s="1165"/>
      <c r="I4" s="1165"/>
      <c r="J4" s="1165"/>
      <c r="K4" s="1165"/>
      <c r="L4" s="1165"/>
      <c r="N4" s="645" t="s">
        <v>282</v>
      </c>
      <c r="O4" s="645" t="s">
        <v>282</v>
      </c>
      <c r="P4" s="645" t="s">
        <v>281</v>
      </c>
      <c r="Q4" s="645" t="s">
        <v>281</v>
      </c>
    </row>
    <row r="5" spans="1:17">
      <c r="A5" s="120">
        <v>1981</v>
      </c>
      <c r="B5" s="18">
        <f>'8a'!B5/'4'!B5*100</f>
        <v>23668.595369989187</v>
      </c>
      <c r="C5" s="19">
        <f>'8a'!C5/'4'!C5*100</f>
        <v>14792.85282415594</v>
      </c>
      <c r="D5" s="19">
        <f>'8a'!D5/'4'!D5*100</f>
        <v>15941.914421499641</v>
      </c>
      <c r="E5" s="19">
        <f>'8a'!E5/'4'!E5*100</f>
        <v>18697.852621628219</v>
      </c>
      <c r="F5" s="19">
        <f>'8a'!F5/'4'!F5*100</f>
        <v>17253.609103778406</v>
      </c>
      <c r="G5" s="19">
        <f>'8a'!G5/'4'!G5*100</f>
        <v>21289.757023894221</v>
      </c>
      <c r="H5" s="19">
        <f>'8a'!H5/'4'!H5*100</f>
        <v>25681.562991521016</v>
      </c>
      <c r="I5" s="19">
        <f>'8a'!I5/'4'!I5*100</f>
        <v>22062.719413941646</v>
      </c>
      <c r="J5" s="19">
        <f>'8a'!J5/'4'!J5*100</f>
        <v>22072.431550591627</v>
      </c>
      <c r="K5" s="19">
        <f>'8a'!K5/'4'!K5*100</f>
        <v>27742.18933922486</v>
      </c>
      <c r="L5" s="19">
        <f>'8a'!L5/'4'!L5*100</f>
        <v>25420.770369220041</v>
      </c>
      <c r="N5" s="19">
        <f>SUM(C85:L85)/10</f>
        <v>23884250.858659748</v>
      </c>
      <c r="O5" s="19">
        <f>SQRT(N5)</f>
        <v>4887.1516099523396</v>
      </c>
      <c r="P5" s="19">
        <f>Q5^2</f>
        <v>17263770.54458664</v>
      </c>
      <c r="Q5" s="19">
        <f>STDEVP(C5:L5)</f>
        <v>4154.9693795004841</v>
      </c>
    </row>
    <row r="6" spans="1:17">
      <c r="A6" s="120">
        <v>1982</v>
      </c>
      <c r="B6" s="20">
        <f>'8a'!B6/'4'!B6*100</f>
        <v>23333.621455897828</v>
      </c>
      <c r="C6" s="19">
        <f>'8a'!C6/'4'!C6*100</f>
        <v>14949.202725324858</v>
      </c>
      <c r="D6" s="19">
        <f>'8a'!D6/'4'!D6*100</f>
        <v>16476.779136573095</v>
      </c>
      <c r="E6" s="19">
        <f>'8a'!E6/'4'!E6*100</f>
        <v>18973.038621200853</v>
      </c>
      <c r="F6" s="19">
        <f>'8a'!F6/'4'!F6*100</f>
        <v>17719.764201953734</v>
      </c>
      <c r="G6" s="19">
        <f>'8a'!G6/'4'!G6*100</f>
        <v>20611.625237762153</v>
      </c>
      <c r="H6" s="19">
        <f>'8a'!H6/'4'!H6*100</f>
        <v>25739.752321039992</v>
      </c>
      <c r="I6" s="19">
        <f>'8a'!I6/'4'!I6*100</f>
        <v>22512.836337502795</v>
      </c>
      <c r="J6" s="19">
        <f>'8a'!J6/'4'!J6*100</f>
        <v>22554.487971452807</v>
      </c>
      <c r="K6" s="19">
        <f>'8a'!K6/'4'!K6*100</f>
        <v>26625.34983532035</v>
      </c>
      <c r="L6" s="19">
        <f>'8a'!L6/'4'!L6*100</f>
        <v>24526.132237154947</v>
      </c>
      <c r="N6" s="19">
        <f t="shared" ref="N6:N29" si="0">SUM(C86:L86)/10</f>
        <v>19458186.400378708</v>
      </c>
      <c r="O6" s="19">
        <f t="shared" ref="O6:O29" si="1">SQRT(N6)</f>
        <v>4411.1434345732523</v>
      </c>
      <c r="P6" s="19">
        <f t="shared" ref="P6:P29" si="2">Q6^2</f>
        <v>14329208.916567078</v>
      </c>
      <c r="Q6" s="19">
        <f t="shared" ref="Q6:Q29" si="3">STDEVP(C6:L6)</f>
        <v>3785.3941560380576</v>
      </c>
    </row>
    <row r="7" spans="1:17">
      <c r="A7" s="120">
        <v>1983</v>
      </c>
      <c r="B7" s="20">
        <f>'8a'!B7/'4'!B7*100</f>
        <v>23002.78976411805</v>
      </c>
      <c r="C7" s="19">
        <f>'8a'!C7/'4'!C7*100</f>
        <v>14537.975072469619</v>
      </c>
      <c r="D7" s="19">
        <f>'8a'!D7/'4'!D7*100</f>
        <v>16856.097154540676</v>
      </c>
      <c r="E7" s="19">
        <f>'8a'!E7/'4'!E7*100</f>
        <v>19007.761377195053</v>
      </c>
      <c r="F7" s="19">
        <f>'8a'!F7/'4'!F7*100</f>
        <v>17605.513109695399</v>
      </c>
      <c r="G7" s="19">
        <f>'8a'!G7/'4'!G7*100</f>
        <v>20385.618993781431</v>
      </c>
      <c r="H7" s="19">
        <f>'8a'!H7/'4'!H7*100</f>
        <v>25797.860762705124</v>
      </c>
      <c r="I7" s="19">
        <f>'8a'!I7/'4'!I7*100</f>
        <v>21417.447760034</v>
      </c>
      <c r="J7" s="19">
        <f>'8a'!J7/'4'!J7*100</f>
        <v>21154.76237078843</v>
      </c>
      <c r="K7" s="19">
        <f>'8a'!K7/'4'!K7*100</f>
        <v>25588.672377732812</v>
      </c>
      <c r="L7" s="19">
        <f>'8a'!L7/'4'!L7*100</f>
        <v>23707.795755999119</v>
      </c>
      <c r="N7" s="19">
        <f t="shared" si="0"/>
        <v>18230010.648191668</v>
      </c>
      <c r="O7" s="19">
        <f t="shared" si="1"/>
        <v>4269.6616550016779</v>
      </c>
      <c r="P7" s="19">
        <f t="shared" si="2"/>
        <v>12485172.063113326</v>
      </c>
      <c r="Q7" s="19">
        <f t="shared" si="3"/>
        <v>3533.4362967391003</v>
      </c>
    </row>
    <row r="8" spans="1:17">
      <c r="A8" s="120">
        <v>1984</v>
      </c>
      <c r="B8" s="20">
        <f>'8a'!B8/'4'!B8*100</f>
        <v>23671.605866032325</v>
      </c>
      <c r="C8" s="19">
        <f>'8a'!C8/'4'!C8*100</f>
        <v>14553.054901452495</v>
      </c>
      <c r="D8" s="19">
        <f>'8a'!D8/'4'!D8*100</f>
        <v>16988.211317221845</v>
      </c>
      <c r="E8" s="19">
        <f>'8a'!E8/'4'!E8*100</f>
        <v>19632.448680370027</v>
      </c>
      <c r="F8" s="19">
        <f>'8a'!F8/'4'!F8*100</f>
        <v>18029.959112962901</v>
      </c>
      <c r="G8" s="19">
        <f>'8a'!G8/'4'!G8*100</f>
        <v>21352.801136324764</v>
      </c>
      <c r="H8" s="19">
        <f>'8a'!H8/'4'!H8*100</f>
        <v>26616.910486028773</v>
      </c>
      <c r="I8" s="19">
        <f>'8a'!I8/'4'!I8*100</f>
        <v>23031.98171241644</v>
      </c>
      <c r="J8" s="19">
        <f>'8a'!J8/'4'!J8*100</f>
        <v>21384.78577067727</v>
      </c>
      <c r="K8" s="19">
        <f>'8a'!K8/'4'!K8*100</f>
        <v>25834.818915753134</v>
      </c>
      <c r="L8" s="19">
        <f>'8a'!L8/'4'!L8*100</f>
        <v>23629.402940822103</v>
      </c>
      <c r="N8" s="19">
        <f t="shared" si="0"/>
        <v>20033031.491648935</v>
      </c>
      <c r="O8" s="19">
        <f t="shared" si="1"/>
        <v>4475.8274644638541</v>
      </c>
      <c r="P8" s="19">
        <f t="shared" si="2"/>
        <v>13447811.395495148</v>
      </c>
      <c r="Q8" s="19">
        <f t="shared" si="3"/>
        <v>3667.1257676135338</v>
      </c>
    </row>
    <row r="9" spans="1:17">
      <c r="A9" s="120">
        <v>1985</v>
      </c>
      <c r="B9" s="20">
        <f>'8a'!B9/'4'!B9*100</f>
        <v>24437.651890450259</v>
      </c>
      <c r="C9" s="19">
        <f>'8a'!C9/'4'!C9*100</f>
        <v>14979.874607110392</v>
      </c>
      <c r="D9" s="19">
        <f>'8a'!D9/'4'!D9*100</f>
        <v>17296.147698780995</v>
      </c>
      <c r="E9" s="19">
        <f>'8a'!E9/'4'!E9*100</f>
        <v>20393.020336524743</v>
      </c>
      <c r="F9" s="19">
        <f>'8a'!F9/'4'!F9*100</f>
        <v>18319.145788601203</v>
      </c>
      <c r="G9" s="19">
        <f>'8a'!G9/'4'!G9*100</f>
        <v>21880.407982373257</v>
      </c>
      <c r="H9" s="19">
        <f>'8a'!H9/'4'!H9*100</f>
        <v>27508.409376856271</v>
      </c>
      <c r="I9" s="19">
        <f>'8a'!I9/'4'!I9*100</f>
        <v>23818.481953403796</v>
      </c>
      <c r="J9" s="19">
        <f>'8a'!J9/'4'!J9*100</f>
        <v>21885.093549293531</v>
      </c>
      <c r="K9" s="19">
        <f>'8a'!K9/'4'!K9*100</f>
        <v>27419.616968752132</v>
      </c>
      <c r="L9" s="19">
        <f>'8a'!L9/'4'!L9*100</f>
        <v>24165.343216280246</v>
      </c>
      <c r="N9" s="19">
        <f t="shared" si="0"/>
        <v>22608003.577016991</v>
      </c>
      <c r="O9" s="19">
        <f t="shared" si="1"/>
        <v>4754.7874376271529</v>
      </c>
      <c r="P9" s="19">
        <f t="shared" si="2"/>
        <v>15473240.426213151</v>
      </c>
      <c r="Q9" s="19">
        <f t="shared" si="3"/>
        <v>3933.603999669152</v>
      </c>
    </row>
    <row r="10" spans="1:17">
      <c r="A10" s="120">
        <v>1986</v>
      </c>
      <c r="B10" s="20">
        <f>'8a'!B10/'4'!B10*100</f>
        <v>24866.394797525561</v>
      </c>
      <c r="C10" s="19">
        <f>'8a'!C10/'4'!C10*100</f>
        <v>15773.094077390841</v>
      </c>
      <c r="D10" s="19">
        <f>'8a'!D10/'4'!D10*100</f>
        <v>19000.112954799952</v>
      </c>
      <c r="E10" s="19">
        <f>'8a'!E10/'4'!E10*100</f>
        <v>20906.806560901274</v>
      </c>
      <c r="F10" s="19">
        <f>'8a'!F10/'4'!F10*100</f>
        <v>19232.190747695859</v>
      </c>
      <c r="G10" s="19">
        <f>'8a'!G10/'4'!G10*100</f>
        <v>22199.095223621451</v>
      </c>
      <c r="H10" s="19">
        <f>'8a'!H10/'4'!H10*100</f>
        <v>28075.789032672968</v>
      </c>
      <c r="I10" s="19">
        <f>'8a'!I10/'4'!I10*100</f>
        <v>23876.464425057027</v>
      </c>
      <c r="J10" s="19">
        <f>'8a'!J10/'4'!J10*100</f>
        <v>23488.739183004116</v>
      </c>
      <c r="K10" s="19">
        <f>'8a'!K10/'4'!K10*100</f>
        <v>26998.733320505242</v>
      </c>
      <c r="L10" s="19">
        <f>'8a'!L10/'4'!L10*100</f>
        <v>24413.810891074063</v>
      </c>
      <c r="N10" s="19">
        <f t="shared" si="0"/>
        <v>18956827.020089239</v>
      </c>
      <c r="O10" s="19">
        <f t="shared" si="1"/>
        <v>4353.9438466853517</v>
      </c>
      <c r="P10" s="19">
        <f t="shared" si="2"/>
        <v>12856365.902280731</v>
      </c>
      <c r="Q10" s="19">
        <f t="shared" si="3"/>
        <v>3585.5774851871115</v>
      </c>
    </row>
    <row r="11" spans="1:17">
      <c r="A11" s="120">
        <v>1987</v>
      </c>
      <c r="B11" s="20">
        <f>'8a'!B11/'4'!B11*100</f>
        <v>25265.178772492582</v>
      </c>
      <c r="C11" s="19">
        <f>'8a'!C11/'4'!C11*100</f>
        <v>16975.379616369377</v>
      </c>
      <c r="D11" s="19">
        <f>'8a'!D11/'4'!D11*100</f>
        <v>19489.934087507161</v>
      </c>
      <c r="E11" s="19">
        <f>'8a'!E11/'4'!E11*100</f>
        <v>21650.910715606467</v>
      </c>
      <c r="F11" s="19">
        <f>'8a'!F11/'4'!F11*100</f>
        <v>20034.807304870912</v>
      </c>
      <c r="G11" s="19">
        <f>'8a'!G11/'4'!G11*100</f>
        <v>22749.858122516031</v>
      </c>
      <c r="H11" s="19">
        <f>'8a'!H11/'4'!H11*100</f>
        <v>28700.777932852005</v>
      </c>
      <c r="I11" s="19">
        <f>'8a'!I11/'4'!I11*100</f>
        <v>23743.611065972367</v>
      </c>
      <c r="J11" s="19">
        <f>'8a'!J11/'4'!J11*100</f>
        <v>21195.52648954371</v>
      </c>
      <c r="K11" s="19">
        <f>'8a'!K11/'4'!K11*100</f>
        <v>26459.841566316434</v>
      </c>
      <c r="L11" s="19">
        <f>'8a'!L11/'4'!L11*100</f>
        <v>25258.982552054262</v>
      </c>
      <c r="N11" s="19">
        <f t="shared" si="0"/>
        <v>18092861.563324321</v>
      </c>
      <c r="O11" s="19">
        <f t="shared" si="1"/>
        <v>4253.5704488493338</v>
      </c>
      <c r="P11" s="19">
        <f t="shared" si="2"/>
        <v>11127401.381141968</v>
      </c>
      <c r="Q11" s="19">
        <f t="shared" si="3"/>
        <v>3335.7759788603862</v>
      </c>
    </row>
    <row r="12" spans="1:17">
      <c r="A12" s="120">
        <v>1988</v>
      </c>
      <c r="B12" s="20">
        <f>'8a'!B12/'4'!B12*100</f>
        <v>26344.583491712474</v>
      </c>
      <c r="C12" s="19">
        <f>'8a'!C12/'4'!C12*100</f>
        <v>18028.366791582732</v>
      </c>
      <c r="D12" s="19">
        <f>'8a'!D12/'4'!D12*100</f>
        <v>20708.100646446663</v>
      </c>
      <c r="E12" s="19">
        <f>'8a'!E12/'4'!E12*100</f>
        <v>22471.196293793895</v>
      </c>
      <c r="F12" s="19">
        <f>'8a'!F12/'4'!F12*100</f>
        <v>20919.521395981134</v>
      </c>
      <c r="G12" s="19">
        <f>'8a'!G12/'4'!G12*100</f>
        <v>23524.367516690556</v>
      </c>
      <c r="H12" s="19">
        <f>'8a'!H12/'4'!H12*100</f>
        <v>29886.104775772827</v>
      </c>
      <c r="I12" s="19">
        <f>'8a'!I12/'4'!I12*100</f>
        <v>24346.309160019064</v>
      </c>
      <c r="J12" s="19">
        <f>'8a'!J12/'4'!J12*100</f>
        <v>21814.096551760656</v>
      </c>
      <c r="K12" s="19">
        <f>'8a'!K12/'4'!K12*100</f>
        <v>28134.064791999856</v>
      </c>
      <c r="L12" s="19">
        <f>'8a'!L12/'4'!L12*100</f>
        <v>26287.478712859847</v>
      </c>
      <c r="N12" s="19">
        <f t="shared" si="0"/>
        <v>19358373.384487916</v>
      </c>
      <c r="O12" s="19">
        <f t="shared" si="1"/>
        <v>4399.8151534454164</v>
      </c>
      <c r="P12" s="19">
        <f t="shared" si="2"/>
        <v>11891145.864262315</v>
      </c>
      <c r="Q12" s="19">
        <f t="shared" si="3"/>
        <v>3448.3540804653912</v>
      </c>
    </row>
    <row r="13" spans="1:17">
      <c r="A13" s="120">
        <v>1989</v>
      </c>
      <c r="B13" s="20">
        <f>'8a'!B13/'4'!B13*100</f>
        <v>26776.60824949927</v>
      </c>
      <c r="C13" s="19">
        <f>'8a'!C13/'4'!C13*100</f>
        <v>18648.772621913769</v>
      </c>
      <c r="D13" s="19">
        <f>'8a'!D13/'4'!D13*100</f>
        <v>21165.026461226735</v>
      </c>
      <c r="E13" s="19">
        <f>'8a'!E13/'4'!E13*100</f>
        <v>22951.629386046854</v>
      </c>
      <c r="F13" s="19">
        <f>'8a'!F13/'4'!F13*100</f>
        <v>21292.760225640523</v>
      </c>
      <c r="G13" s="19">
        <f>'8a'!G13/'4'!G13*100</f>
        <v>23986.086519641067</v>
      </c>
      <c r="H13" s="19">
        <f>'8a'!H13/'4'!H13*100</f>
        <v>30183.133222142136</v>
      </c>
      <c r="I13" s="19">
        <f>'8a'!I13/'4'!I13*100</f>
        <v>24575.463741672727</v>
      </c>
      <c r="J13" s="19">
        <f>'8a'!J13/'4'!J13*100</f>
        <v>21955.91501736025</v>
      </c>
      <c r="K13" s="19">
        <f>'8a'!K13/'4'!K13*100</f>
        <v>28440.493776810712</v>
      </c>
      <c r="L13" s="19">
        <f>'8a'!L13/'4'!L13*100</f>
        <v>27333.501684393559</v>
      </c>
      <c r="N13" s="19">
        <f t="shared" si="0"/>
        <v>19280880.42527584</v>
      </c>
      <c r="O13" s="19">
        <f t="shared" si="1"/>
        <v>4390.9999345565739</v>
      </c>
      <c r="P13" s="19">
        <f t="shared" si="2"/>
        <v>11864354.224533159</v>
      </c>
      <c r="Q13" s="19">
        <f t="shared" si="3"/>
        <v>3444.4671902245141</v>
      </c>
    </row>
    <row r="14" spans="1:17">
      <c r="A14" s="120">
        <v>1990</v>
      </c>
      <c r="B14" s="20">
        <f>'8a'!B14/'4'!B14*100</f>
        <v>27018.424391491128</v>
      </c>
      <c r="C14" s="19">
        <f>'8a'!C14/'4'!C14*100</f>
        <v>19426.695281445907</v>
      </c>
      <c r="D14" s="19">
        <f>'8a'!D14/'4'!D14*100</f>
        <v>21518.683851565842</v>
      </c>
      <c r="E14" s="19">
        <f>'8a'!E14/'4'!E14*100</f>
        <v>23314.096761931658</v>
      </c>
      <c r="F14" s="19">
        <f>'8a'!F14/'4'!F14*100</f>
        <v>21594.747020362676</v>
      </c>
      <c r="G14" s="19">
        <f>'8a'!G14/'4'!G14*100</f>
        <v>24512.718978593286</v>
      </c>
      <c r="H14" s="19">
        <f>'8a'!H14/'4'!H14*100</f>
        <v>29823.074737163621</v>
      </c>
      <c r="I14" s="19">
        <f>'8a'!I14/'4'!I14*100</f>
        <v>25392.636656779883</v>
      </c>
      <c r="J14" s="19">
        <f>'8a'!J14/'4'!J14*100</f>
        <v>23194.460613366831</v>
      </c>
      <c r="K14" s="19">
        <f>'8a'!K14/'4'!K14*100</f>
        <v>28788.371193626263</v>
      </c>
      <c r="L14" s="19">
        <f>'8a'!L14/'4'!L14*100</f>
        <v>27910.724784684557</v>
      </c>
      <c r="N14" s="19">
        <f t="shared" si="0"/>
        <v>16635923.588654626</v>
      </c>
      <c r="O14" s="19">
        <f t="shared" si="1"/>
        <v>4078.7159239955199</v>
      </c>
      <c r="P14" s="19">
        <f t="shared" si="2"/>
        <v>10531054.129714355</v>
      </c>
      <c r="Q14" s="19">
        <f t="shared" si="3"/>
        <v>3245.1585677304515</v>
      </c>
    </row>
    <row r="15" spans="1:17">
      <c r="A15" s="120">
        <v>1991</v>
      </c>
      <c r="B15" s="20">
        <f>'8a'!B15/'4'!B15*100</f>
        <v>26074.625175615456</v>
      </c>
      <c r="C15" s="19">
        <f>'8a'!C15/'4'!C15*100</f>
        <v>19067.10446657224</v>
      </c>
      <c r="D15" s="19">
        <f>'8a'!D15/'4'!D15*100</f>
        <v>20827.823263990696</v>
      </c>
      <c r="E15" s="19">
        <f>'8a'!E15/'4'!E15*100</f>
        <v>22691.877314237438</v>
      </c>
      <c r="F15" s="19">
        <f>'8a'!F15/'4'!F15*100</f>
        <v>20992.816624997035</v>
      </c>
      <c r="G15" s="19">
        <f>'8a'!G15/'4'!G15*100</f>
        <v>23356.634923993803</v>
      </c>
      <c r="H15" s="19">
        <f>'8a'!H15/'4'!H15*100</f>
        <v>28818.423070483426</v>
      </c>
      <c r="I15" s="19">
        <f>'8a'!I15/'4'!I15*100</f>
        <v>24339.756018096657</v>
      </c>
      <c r="J15" s="19">
        <f>'8a'!J15/'4'!J15*100</f>
        <v>22609.909316025623</v>
      </c>
      <c r="K15" s="19">
        <f>'8a'!K15/'4'!K15*100</f>
        <v>27945.028669911608</v>
      </c>
      <c r="L15" s="19">
        <f>'8a'!L15/'4'!L15*100</f>
        <v>27033.660138596344</v>
      </c>
      <c r="N15" s="19">
        <f t="shared" si="0"/>
        <v>14825012.019518539</v>
      </c>
      <c r="O15" s="19">
        <f t="shared" si="1"/>
        <v>3850.3262224801861</v>
      </c>
      <c r="P15" s="19">
        <f t="shared" si="2"/>
        <v>9505891.7977725212</v>
      </c>
      <c r="Q15" s="19">
        <f t="shared" si="3"/>
        <v>3083.1626291476291</v>
      </c>
    </row>
    <row r="16" spans="1:17">
      <c r="A16" s="120">
        <v>1992</v>
      </c>
      <c r="B16" s="20">
        <f>'8a'!B16/'4'!B16*100</f>
        <v>26042.992622662816</v>
      </c>
      <c r="C16" s="19">
        <f>'8a'!C16/'4'!C16*100</f>
        <v>19257.002752264023</v>
      </c>
      <c r="D16" s="19">
        <f>'8a'!D16/'4'!D16*100</f>
        <v>21069.584934572329</v>
      </c>
      <c r="E16" s="19">
        <f>'8a'!E16/'4'!E16*100</f>
        <v>22998.623944539882</v>
      </c>
      <c r="F16" s="19">
        <f>'8a'!F16/'4'!F16*100</f>
        <v>21496.322832546914</v>
      </c>
      <c r="G16" s="19">
        <f>'8a'!G16/'4'!G16*100</f>
        <v>23297.830242801199</v>
      </c>
      <c r="H16" s="19">
        <f>'8a'!H16/'4'!H16*100</f>
        <v>28851.960982013326</v>
      </c>
      <c r="I16" s="19">
        <f>'8a'!I16/'4'!I16*100</f>
        <v>24469.192186874923</v>
      </c>
      <c r="J16" s="19">
        <f>'8a'!J16/'4'!J16*100</f>
        <v>22088.735698902685</v>
      </c>
      <c r="K16" s="19">
        <f>'8a'!K16/'4'!K16*100</f>
        <v>27793.046450945734</v>
      </c>
      <c r="L16" s="19">
        <f>'8a'!L16/'4'!L16*100</f>
        <v>26724.059689227925</v>
      </c>
      <c r="N16" s="19">
        <f t="shared" si="0"/>
        <v>13779058.549927931</v>
      </c>
      <c r="O16" s="19">
        <f t="shared" si="1"/>
        <v>3712.0154296457245</v>
      </c>
      <c r="P16" s="19">
        <f t="shared" si="2"/>
        <v>8768818.0519838724</v>
      </c>
      <c r="Q16" s="19">
        <f t="shared" si="3"/>
        <v>2961.2190145249087</v>
      </c>
    </row>
    <row r="17" spans="1:17">
      <c r="A17" s="120">
        <v>1993</v>
      </c>
      <c r="B17" s="20">
        <f>'8a'!B17/'4'!B17*100</f>
        <v>25782.150640739321</v>
      </c>
      <c r="C17" s="19">
        <f>'8a'!C17/'4'!C17*100</f>
        <v>19350.089209976803</v>
      </c>
      <c r="D17" s="19">
        <f>'8a'!D17/'4'!D17*100</f>
        <v>21342.715951199945</v>
      </c>
      <c r="E17" s="19">
        <f>'8a'!E17/'4'!E17*100</f>
        <v>22934.057539763548</v>
      </c>
      <c r="F17" s="19">
        <f>'8a'!F17/'4'!F17*100</f>
        <v>21578.286172353994</v>
      </c>
      <c r="G17" s="19">
        <f>'8a'!G17/'4'!G17*100</f>
        <v>23414.495680666292</v>
      </c>
      <c r="H17" s="19">
        <f>'8a'!H17/'4'!H17*100</f>
        <v>28283.402673652734</v>
      </c>
      <c r="I17" s="19">
        <f>'8a'!I17/'4'!I17*100</f>
        <v>23796.971113019732</v>
      </c>
      <c r="J17" s="19">
        <f>'8a'!J17/'4'!J17*100</f>
        <v>21790.819813872513</v>
      </c>
      <c r="K17" s="19">
        <f>'8a'!K17/'4'!K17*100</f>
        <v>28101.364775414713</v>
      </c>
      <c r="L17" s="19">
        <f>'8a'!L17/'4'!L17*100</f>
        <v>26149.688814936144</v>
      </c>
      <c r="N17" s="19">
        <f t="shared" si="0"/>
        <v>12411165.517302299</v>
      </c>
      <c r="O17" s="19">
        <f t="shared" si="1"/>
        <v>3522.948412523564</v>
      </c>
      <c r="P17" s="19">
        <f t="shared" si="2"/>
        <v>7967663.9740918744</v>
      </c>
      <c r="Q17" s="19">
        <f t="shared" si="3"/>
        <v>2822.7050809625639</v>
      </c>
    </row>
    <row r="18" spans="1:17">
      <c r="A18" s="120">
        <v>1994</v>
      </c>
      <c r="B18" s="20">
        <f>'8a'!B18/'4'!B18*100</f>
        <v>26006.245663914615</v>
      </c>
      <c r="C18" s="19">
        <f>'8a'!C18/'4'!C18*100</f>
        <v>19697.405502554589</v>
      </c>
      <c r="D18" s="19">
        <f>'8a'!D18/'4'!D18*100</f>
        <v>21172.7742791091</v>
      </c>
      <c r="E18" s="19">
        <f>'8a'!E18/'4'!E18*100</f>
        <v>22807.037102843555</v>
      </c>
      <c r="F18" s="19">
        <f>'8a'!F18/'4'!F18*100</f>
        <v>21894.482946437824</v>
      </c>
      <c r="G18" s="19">
        <f>'8a'!G18/'4'!G18*100</f>
        <v>23969.83217439938</v>
      </c>
      <c r="H18" s="19">
        <f>'8a'!H18/'4'!H18*100</f>
        <v>28445.680398750865</v>
      </c>
      <c r="I18" s="19">
        <f>'8a'!I18/'4'!I18*100</f>
        <v>23996.777783018493</v>
      </c>
      <c r="J18" s="19">
        <f>'8a'!J18/'4'!J18*100</f>
        <v>21731.776728391684</v>
      </c>
      <c r="K18" s="19">
        <f>'8a'!K18/'4'!K18*100</f>
        <v>27833.408582339547</v>
      </c>
      <c r="L18" s="19">
        <f>'8a'!L18/'4'!L18*100</f>
        <v>26048.854253365706</v>
      </c>
      <c r="N18" s="19">
        <f t="shared" si="0"/>
        <v>12605264.526465645</v>
      </c>
      <c r="O18" s="19">
        <f t="shared" si="1"/>
        <v>3550.389348573709</v>
      </c>
      <c r="P18" s="19">
        <f t="shared" si="2"/>
        <v>7558759.7724315645</v>
      </c>
      <c r="Q18" s="19">
        <f t="shared" si="3"/>
        <v>2749.319874520163</v>
      </c>
    </row>
    <row r="19" spans="1:17">
      <c r="A19" s="120">
        <v>1995</v>
      </c>
      <c r="B19" s="20">
        <f>'8a'!B19/'4'!B19*100</f>
        <v>26183.941601056653</v>
      </c>
      <c r="C19" s="19">
        <f>'8a'!C19/'4'!C19*100</f>
        <v>20060.068121456599</v>
      </c>
      <c r="D19" s="19">
        <f>'8a'!D19/'4'!D19*100</f>
        <v>21497.017744233282</v>
      </c>
      <c r="E19" s="19">
        <f>'8a'!E19/'4'!E19*100</f>
        <v>23000.878181416974</v>
      </c>
      <c r="F19" s="19">
        <f>'8a'!F19/'4'!F19*100</f>
        <v>22377.063349107462</v>
      </c>
      <c r="G19" s="19">
        <f>'8a'!G19/'4'!G19*100</f>
        <v>24211.290186569826</v>
      </c>
      <c r="H19" s="19">
        <f>'8a'!H19/'4'!H19*100</f>
        <v>28553.968668167865</v>
      </c>
      <c r="I19" s="19">
        <f>'8a'!I19/'4'!I19*100</f>
        <v>24160.459202613121</v>
      </c>
      <c r="J19" s="19">
        <f>'8a'!J19/'4'!J19*100</f>
        <v>22737.606758107908</v>
      </c>
      <c r="K19" s="19">
        <f>'8a'!K19/'4'!K19*100</f>
        <v>27926.11682033298</v>
      </c>
      <c r="L19" s="19">
        <f>'8a'!L19/'4'!L19*100</f>
        <v>26027.074376844688</v>
      </c>
      <c r="N19" s="19">
        <f t="shared" si="0"/>
        <v>11263316.498156337</v>
      </c>
      <c r="O19" s="19">
        <f t="shared" si="1"/>
        <v>3356.0864855000887</v>
      </c>
      <c r="P19" s="19">
        <f t="shared" si="2"/>
        <v>6731581.2990876772</v>
      </c>
      <c r="Q19" s="19">
        <f t="shared" si="3"/>
        <v>2594.5291093159231</v>
      </c>
    </row>
    <row r="20" spans="1:17">
      <c r="A20" s="120">
        <v>1996</v>
      </c>
      <c r="B20" s="20">
        <f>'8a'!B20/'4'!B20*100</f>
        <v>26106.080987190147</v>
      </c>
      <c r="C20" s="19">
        <f>'8a'!C20/'4'!C20*100</f>
        <v>19708.795549255912</v>
      </c>
      <c r="D20" s="19">
        <f>'8a'!D20/'4'!D20*100</f>
        <v>21211.56818606926</v>
      </c>
      <c r="E20" s="19">
        <f>'8a'!E20/'4'!E20*100</f>
        <v>22611.775365795016</v>
      </c>
      <c r="F20" s="19">
        <f>'8a'!F20/'4'!F20*100</f>
        <v>22266.376458756327</v>
      </c>
      <c r="G20" s="19">
        <f>'8a'!G20/'4'!G20*100</f>
        <v>24205.929392258797</v>
      </c>
      <c r="H20" s="19">
        <f>'8a'!H20/'4'!H20*100</f>
        <v>28265.943271631375</v>
      </c>
      <c r="I20" s="19">
        <f>'8a'!I20/'4'!I20*100</f>
        <v>24308.801958344018</v>
      </c>
      <c r="J20" s="19">
        <f>'8a'!J20/'4'!J20*100</f>
        <v>23527.038485183111</v>
      </c>
      <c r="K20" s="19">
        <f>'8a'!K20/'4'!K20*100</f>
        <v>27917.414061609674</v>
      </c>
      <c r="L20" s="19">
        <f>'8a'!L20/'4'!L20*100</f>
        <v>25883.908707642535</v>
      </c>
      <c r="N20" s="19">
        <f t="shared" si="0"/>
        <v>11332256.051057655</v>
      </c>
      <c r="O20" s="19">
        <f t="shared" si="1"/>
        <v>3366.34164205858</v>
      </c>
      <c r="P20" s="19">
        <f t="shared" si="2"/>
        <v>6857652.6267282879</v>
      </c>
      <c r="Q20" s="19">
        <f t="shared" si="3"/>
        <v>2618.7120167609664</v>
      </c>
    </row>
    <row r="21" spans="1:17">
      <c r="A21" s="120">
        <v>1997</v>
      </c>
      <c r="B21" s="20">
        <f>'8a'!B21/'4'!B21*100</f>
        <v>26465.530198591408</v>
      </c>
      <c r="C21" s="19">
        <f>'8a'!C21/'4'!C21*100</f>
        <v>19593.272801703675</v>
      </c>
      <c r="D21" s="19">
        <f>'8a'!D21/'4'!D21*100</f>
        <v>21353.299886596116</v>
      </c>
      <c r="E21" s="19">
        <f>'8a'!E21/'4'!E21*100</f>
        <v>23014.631981579718</v>
      </c>
      <c r="F21" s="19">
        <f>'8a'!F21/'4'!F21*100</f>
        <v>22297.526940107888</v>
      </c>
      <c r="G21" s="19">
        <f>'8a'!G21/'4'!G21*100</f>
        <v>24435.658744402019</v>
      </c>
      <c r="H21" s="19">
        <f>'8a'!H21/'4'!H21*100</f>
        <v>28716.984182111206</v>
      </c>
      <c r="I21" s="19">
        <f>'8a'!I21/'4'!I21*100</f>
        <v>24391.547897597215</v>
      </c>
      <c r="J21" s="19">
        <f>'8a'!J21/'4'!J21*100</f>
        <v>22771.712991338474</v>
      </c>
      <c r="K21" s="19">
        <f>'8a'!K21/'4'!K21*100</f>
        <v>29261.607826164141</v>
      </c>
      <c r="L21" s="19">
        <f>'8a'!L21/'4'!L21*100</f>
        <v>26094.011862836418</v>
      </c>
      <c r="N21" s="19">
        <f t="shared" si="0"/>
        <v>13773495.743795544</v>
      </c>
      <c r="O21" s="19">
        <f t="shared" si="1"/>
        <v>3711.2660567245166</v>
      </c>
      <c r="P21" s="19">
        <f t="shared" si="2"/>
        <v>8609218.1906871796</v>
      </c>
      <c r="Q21" s="19">
        <f t="shared" si="3"/>
        <v>2934.1469272494141</v>
      </c>
    </row>
    <row r="22" spans="1:17">
      <c r="A22" s="120">
        <v>1998</v>
      </c>
      <c r="B22" s="20">
        <f>'8a'!B22/'4'!B22*100</f>
        <v>27180.367912483882</v>
      </c>
      <c r="C22" s="19">
        <f>'8a'!C22/'4'!C22*100</f>
        <v>20504.459980381689</v>
      </c>
      <c r="D22" s="19">
        <f>'8a'!D22/'4'!D22*100</f>
        <v>22237.76768314432</v>
      </c>
      <c r="E22" s="19">
        <f>'8a'!E22/'4'!E22*100</f>
        <v>24051.120346551808</v>
      </c>
      <c r="F22" s="19">
        <f>'8a'!F22/'4'!F22*100</f>
        <v>23287.443466366916</v>
      </c>
      <c r="G22" s="19">
        <f>'8a'!G22/'4'!G22*100</f>
        <v>24917.121999755422</v>
      </c>
      <c r="H22" s="19">
        <f>'8a'!H22/'4'!H22*100</f>
        <v>29585.026796486625</v>
      </c>
      <c r="I22" s="19">
        <f>'8a'!I22/'4'!I22*100</f>
        <v>25123.181013557303</v>
      </c>
      <c r="J22" s="19">
        <f>'8a'!J22/'4'!J22*100</f>
        <v>23446.501344885142</v>
      </c>
      <c r="K22" s="19">
        <f>'8a'!K22/'4'!K22*100</f>
        <v>30270.689407346748</v>
      </c>
      <c r="L22" s="19">
        <f>'8a'!L22/'4'!L22*100</f>
        <v>26378.762828910858</v>
      </c>
      <c r="N22" s="19">
        <f t="shared" si="0"/>
        <v>13321519.636030311</v>
      </c>
      <c r="O22" s="19">
        <f t="shared" si="1"/>
        <v>3649.8657010950842</v>
      </c>
      <c r="P22" s="19">
        <f t="shared" si="2"/>
        <v>8480813.7370149996</v>
      </c>
      <c r="Q22" s="19">
        <f t="shared" si="3"/>
        <v>2912.1836715796276</v>
      </c>
    </row>
    <row r="23" spans="1:17">
      <c r="A23" s="120">
        <v>1999</v>
      </c>
      <c r="B23" s="20">
        <f>'8a'!B23/'4'!B23*100</f>
        <v>27726.009712712887</v>
      </c>
      <c r="C23" s="19">
        <f>'8a'!C23/'4'!C23*100</f>
        <v>21290.817977235089</v>
      </c>
      <c r="D23" s="19">
        <f>'8a'!D23/'4'!D23*100</f>
        <v>22922.516776160504</v>
      </c>
      <c r="E23" s="19">
        <f>'8a'!E23/'4'!E23*100</f>
        <v>24893.750000639524</v>
      </c>
      <c r="F23" s="19">
        <f>'8a'!F23/'4'!F23*100</f>
        <v>24063.236327708513</v>
      </c>
      <c r="G23" s="19">
        <f>'8a'!G23/'4'!G23*100</f>
        <v>25509.406985407077</v>
      </c>
      <c r="H23" s="19">
        <f>'8a'!H23/'4'!H23*100</f>
        <v>30262.462487248769</v>
      </c>
      <c r="I23" s="19">
        <f>'8a'!I23/'4'!I23*100</f>
        <v>25173.675637416654</v>
      </c>
      <c r="J23" s="19">
        <f>'8a'!J23/'4'!J23*100</f>
        <v>23940.334066282187</v>
      </c>
      <c r="K23" s="19">
        <f>'8a'!K23/'4'!K23*100</f>
        <v>30069.730293161156</v>
      </c>
      <c r="L23" s="19">
        <f>'8a'!L23/'4'!L23*100</f>
        <v>26794.829745284722</v>
      </c>
      <c r="N23" s="19">
        <f t="shared" si="0"/>
        <v>12447563.296140406</v>
      </c>
      <c r="O23" s="19">
        <f t="shared" si="1"/>
        <v>3528.1104427356586</v>
      </c>
      <c r="P23" s="19">
        <f t="shared" si="2"/>
        <v>7457103.5958374012</v>
      </c>
      <c r="Q23" s="19">
        <f t="shared" si="3"/>
        <v>2730.7697808195771</v>
      </c>
    </row>
    <row r="24" spans="1:17">
      <c r="A24" s="120">
        <v>2000</v>
      </c>
      <c r="B24" s="20">
        <f>'8a'!B24/'4'!B24*100</f>
        <v>28707.27090218482</v>
      </c>
      <c r="C24" s="19">
        <f>'8a'!C24/'4'!C24*100</f>
        <v>21807.195078728211</v>
      </c>
      <c r="D24" s="19">
        <f>'8a'!D24/'4'!D24*100</f>
        <v>23503.971082394157</v>
      </c>
      <c r="E24" s="19">
        <f>'8a'!E24/'4'!E24*100</f>
        <v>25117.666006020623</v>
      </c>
      <c r="F24" s="19">
        <f>'8a'!F24/'4'!F24*100</f>
        <v>24426.204614449111</v>
      </c>
      <c r="G24" s="19">
        <f>'8a'!G24/'4'!G24*100</f>
        <v>26545.131499826031</v>
      </c>
      <c r="H24" s="19">
        <f>'8a'!H24/'4'!H24*100</f>
        <v>31289.621356178519</v>
      </c>
      <c r="I24" s="19">
        <f>'8a'!I24/'4'!I24*100</f>
        <v>25769.964087472828</v>
      </c>
      <c r="J24" s="19">
        <f>'8a'!J24/'4'!J24*100</f>
        <v>24348.641510027486</v>
      </c>
      <c r="K24" s="19">
        <f>'8a'!K24/'4'!K24*100</f>
        <v>31382.540391600385</v>
      </c>
      <c r="L24" s="19">
        <f>'8a'!L24/'4'!L24*100</f>
        <v>27725.996127526629</v>
      </c>
      <c r="N24" s="19">
        <f t="shared" si="0"/>
        <v>15298693.644342065</v>
      </c>
      <c r="O24" s="19">
        <f t="shared" si="1"/>
        <v>3911.3544513815241</v>
      </c>
      <c r="P24" s="19">
        <f t="shared" si="2"/>
        <v>8970562.3449590299</v>
      </c>
      <c r="Q24" s="19">
        <f t="shared" si="3"/>
        <v>2995.0897056614231</v>
      </c>
    </row>
    <row r="25" spans="1:17">
      <c r="A25" s="120">
        <v>2001</v>
      </c>
      <c r="B25" s="20">
        <f>'8a'!B25/'4'!B25*100</f>
        <v>28891.53546967046</v>
      </c>
      <c r="C25" s="19">
        <f>'8a'!C25/'4'!C25*100</f>
        <v>22696.871394897502</v>
      </c>
      <c r="D25" s="19">
        <f>'8a'!D25/'4'!D25*100</f>
        <v>23341.638909999703</v>
      </c>
      <c r="E25" s="19">
        <f>'8a'!E25/'4'!E25*100</f>
        <v>25520.954786907743</v>
      </c>
      <c r="F25" s="19">
        <f>'8a'!F25/'4'!F25*100</f>
        <v>24596.057834452844</v>
      </c>
      <c r="G25" s="19">
        <f>'8a'!G25/'4'!G25*100</f>
        <v>26833.353908436329</v>
      </c>
      <c r="H25" s="19">
        <f>'8a'!H25/'4'!H25*100</f>
        <v>30979.961630022306</v>
      </c>
      <c r="I25" s="19">
        <f>'8a'!I25/'4'!I25*100</f>
        <v>25774.854411594959</v>
      </c>
      <c r="J25" s="19">
        <f>'8a'!J25/'4'!J25*100</f>
        <v>24322.813958526687</v>
      </c>
      <c r="K25" s="19">
        <f>'8a'!K25/'4'!K25*100</f>
        <v>33184.84970482959</v>
      </c>
      <c r="L25" s="19">
        <f>'8a'!L25/'4'!L25*100</f>
        <v>27713.427460412346</v>
      </c>
      <c r="N25" s="19">
        <f t="shared" si="0"/>
        <v>15799219.490969464</v>
      </c>
      <c r="O25" s="19">
        <f t="shared" si="1"/>
        <v>3974.8232024795097</v>
      </c>
      <c r="P25" s="19">
        <f t="shared" si="2"/>
        <v>10062921.124029541</v>
      </c>
      <c r="Q25" s="19">
        <f t="shared" si="3"/>
        <v>3172.210762863896</v>
      </c>
    </row>
    <row r="26" spans="1:17">
      <c r="A26" s="120">
        <v>2002</v>
      </c>
      <c r="B26" s="20">
        <f>'8a'!B26/'4'!B26*100</f>
        <v>28667.884855278124</v>
      </c>
      <c r="C26" s="19">
        <f>'8a'!C26/'4'!C26*100</f>
        <v>22957.244129801689</v>
      </c>
      <c r="D26" s="19">
        <f>'8a'!D26/'4'!D26*100</f>
        <v>23831.789356790086</v>
      </c>
      <c r="E26" s="19">
        <f>'8a'!E26/'4'!E26*100</f>
        <v>25425.260557317266</v>
      </c>
      <c r="F26" s="19">
        <f>'8a'!F26/'4'!F26*100</f>
        <v>24424.453278991528</v>
      </c>
      <c r="G26" s="19">
        <f>'8a'!G26/'4'!G26*100</f>
        <v>26808.219671456118</v>
      </c>
      <c r="H26" s="19">
        <f>'8a'!H26/'4'!H26*100</f>
        <v>30553.230829237116</v>
      </c>
      <c r="I26" s="19">
        <f>'8a'!I26/'4'!I26*100</f>
        <v>25974.11580191473</v>
      </c>
      <c r="J26" s="19">
        <f>'8a'!J26/'4'!J26*100</f>
        <v>24237.535877271392</v>
      </c>
      <c r="K26" s="19">
        <f>'8a'!K26/'4'!K26*100</f>
        <v>32308.260803410343</v>
      </c>
      <c r="L26" s="19">
        <f>'8a'!L26/'4'!L26*100</f>
        <v>27683.277788324471</v>
      </c>
      <c r="N26" s="19">
        <f t="shared" si="0"/>
        <v>13263961.698357994</v>
      </c>
      <c r="O26" s="19">
        <f t="shared" si="1"/>
        <v>3641.9722264671368</v>
      </c>
      <c r="P26" s="19">
        <f t="shared" si="2"/>
        <v>8212498.4702470396</v>
      </c>
      <c r="Q26" s="19">
        <f t="shared" si="3"/>
        <v>2865.7457092783093</v>
      </c>
    </row>
    <row r="27" spans="1:17">
      <c r="A27" s="120">
        <v>2003</v>
      </c>
      <c r="B27" s="20">
        <f>'8a'!B27/'4'!B27*100</f>
        <v>28647.390091982481</v>
      </c>
      <c r="C27" s="19">
        <f>'8a'!C27/'4'!C27*100</f>
        <v>23307.721828000107</v>
      </c>
      <c r="D27" s="19">
        <f>'8a'!D27/'4'!D27*100</f>
        <v>23411.579761650402</v>
      </c>
      <c r="E27" s="19">
        <f>'8a'!E27/'4'!E27*100</f>
        <v>25209.268443535406</v>
      </c>
      <c r="F27" s="19">
        <f>'8a'!F27/'4'!F27*100</f>
        <v>24442.865721532369</v>
      </c>
      <c r="G27" s="19">
        <f>'8a'!G27/'4'!G27*100</f>
        <v>27134.554347660276</v>
      </c>
      <c r="H27" s="19">
        <f>'8a'!H27/'4'!H27*100</f>
        <v>30313.578865770403</v>
      </c>
      <c r="I27" s="19">
        <f>'8a'!I27/'4'!I27*100</f>
        <v>26141.832615830965</v>
      </c>
      <c r="J27" s="19">
        <f>'8a'!J27/'4'!J27*100</f>
        <v>24943.052182757452</v>
      </c>
      <c r="K27" s="19">
        <f>'8a'!K27/'4'!K27*100</f>
        <v>31793.320079986483</v>
      </c>
      <c r="L27" s="19">
        <f>'8a'!L27/'4'!L27*100</f>
        <v>27800.506470797525</v>
      </c>
      <c r="N27" s="19">
        <f t="shared" si="0"/>
        <v>12110335.462429244</v>
      </c>
      <c r="O27" s="19">
        <f t="shared" si="1"/>
        <v>3479.9907273481699</v>
      </c>
      <c r="P27" s="19">
        <f t="shared" si="2"/>
        <v>7281056.4538655095</v>
      </c>
      <c r="Q27" s="19">
        <f t="shared" si="3"/>
        <v>2698.3432794708515</v>
      </c>
    </row>
    <row r="28" spans="1:17">
      <c r="A28" s="119">
        <v>2004</v>
      </c>
      <c r="B28" s="20">
        <f>'8a'!B28/'4'!B28*100</f>
        <v>29429.080281287657</v>
      </c>
      <c r="C28" s="19">
        <f>'8a'!C28/'4'!C28*100</f>
        <v>23705.271021081971</v>
      </c>
      <c r="D28" s="19">
        <f>'8a'!D28/'4'!D28*100</f>
        <v>23609.923368189058</v>
      </c>
      <c r="E28" s="19">
        <f>'8a'!E28/'4'!E28*100</f>
        <v>25672.21160556878</v>
      </c>
      <c r="F28" s="19">
        <f>'8a'!F28/'4'!F28*100</f>
        <v>25259.255902647375</v>
      </c>
      <c r="G28" s="19">
        <f>'8a'!G28/'4'!G28*100</f>
        <v>27672.854913635645</v>
      </c>
      <c r="H28" s="19">
        <f>'8a'!H28/'4'!H28*100</f>
        <v>30939.542521483516</v>
      </c>
      <c r="I28" s="19">
        <f>'8a'!I28/'4'!I28*100</f>
        <v>26746.042939324263</v>
      </c>
      <c r="J28" s="19">
        <f>'8a'!J28/'4'!J28*100</f>
        <v>26117.346802447839</v>
      </c>
      <c r="K28" s="19">
        <f>'8a'!K28/'4'!K28*100</f>
        <v>33600.246921719845</v>
      </c>
      <c r="L28" s="19">
        <f>'8a'!L28/'4'!L28*100</f>
        <v>28700.226132274303</v>
      </c>
      <c r="N28" s="19">
        <f t="shared" si="0"/>
        <v>13958802.846884882</v>
      </c>
      <c r="O28" s="19">
        <f t="shared" si="1"/>
        <v>3736.1481296764564</v>
      </c>
      <c r="P28" s="19">
        <f t="shared" si="2"/>
        <v>9000217.7450917047</v>
      </c>
      <c r="Q28" s="19">
        <f t="shared" si="3"/>
        <v>3000.0362906291157</v>
      </c>
    </row>
    <row r="29" spans="1:17">
      <c r="A29" s="119">
        <v>2005</v>
      </c>
      <c r="B29" s="20">
        <f>'8a'!B29/'4'!B29*100</f>
        <v>29993.849440555139</v>
      </c>
      <c r="C29" s="19">
        <f>'8a'!C29/'4'!C29*100</f>
        <v>23940.536924413387</v>
      </c>
      <c r="D29" s="19">
        <f>'8a'!D29/'4'!D29*100</f>
        <v>23635.952421491707</v>
      </c>
      <c r="E29" s="19">
        <f>'8a'!E29/'4'!E29*100</f>
        <v>26235.348356088936</v>
      </c>
      <c r="F29" s="19">
        <f>'8a'!F29/'4'!F29*100</f>
        <v>25561.768855483064</v>
      </c>
      <c r="G29" s="19">
        <f>'8a'!G29/'4'!G29*100</f>
        <v>27876.896691690417</v>
      </c>
      <c r="H29" s="19">
        <f>'8a'!H29/'4'!H29*100</f>
        <v>31290.951784322704</v>
      </c>
      <c r="I29" s="19">
        <f>'8a'!I29/'4'!I29*100</f>
        <v>26848.846359352403</v>
      </c>
      <c r="J29" s="19">
        <f>'8a'!J29/'4'!J29*100</f>
        <v>26200.97735492243</v>
      </c>
      <c r="K29" s="19">
        <f>'8a'!K29/'4'!K29*100</f>
        <v>35698.233023367429</v>
      </c>
      <c r="L29" s="19">
        <f>'8a'!L29/'4'!L29*100</f>
        <v>29466.15776386642</v>
      </c>
      <c r="N29" s="19">
        <f t="shared" si="0"/>
        <v>17409445.26729852</v>
      </c>
      <c r="O29" s="19">
        <f t="shared" si="1"/>
        <v>4172.4627340814586</v>
      </c>
      <c r="P29" s="19">
        <f t="shared" si="2"/>
        <v>12035011.577511445</v>
      </c>
      <c r="Q29" s="19">
        <f t="shared" si="3"/>
        <v>3469.151420378108</v>
      </c>
    </row>
    <row r="30" spans="1:17">
      <c r="A30" s="119">
        <v>2006</v>
      </c>
      <c r="B30" s="39">
        <f>'8a'!B30/'4'!B30*100</f>
        <v>31040.674761999519</v>
      </c>
      <c r="C30" s="19">
        <f>'8a'!C30/'4'!C30*100</f>
        <v>28389.774967278339</v>
      </c>
      <c r="D30" s="19">
        <f>'8a'!D30/'4'!D30*100</f>
        <v>24220.575638882656</v>
      </c>
      <c r="E30" s="19">
        <f>'8a'!E30/'4'!E30*100</f>
        <v>26663.755786417401</v>
      </c>
      <c r="F30" s="19">
        <f>'8a'!F30/'4'!F30*100</f>
        <v>26160.662712292513</v>
      </c>
      <c r="G30" s="19">
        <f>'8a'!G30/'4'!G30*100</f>
        <v>28460.139195633081</v>
      </c>
      <c r="H30" s="19">
        <f>'8a'!H30/'4'!H30*100</f>
        <v>32027.671736535831</v>
      </c>
      <c r="I30" s="19">
        <f>'8a'!I30/'4'!I30*100</f>
        <v>27633.914334634021</v>
      </c>
      <c r="J30" s="19">
        <f>'8a'!J30/'4'!J30*100</f>
        <v>27103.530781398702</v>
      </c>
      <c r="K30" s="19">
        <f>'8a'!K30/'4'!K30*100</f>
        <v>37825.211142543812</v>
      </c>
      <c r="L30" s="19">
        <f>'8a'!L30/'4'!L30*100</f>
        <v>30997.469240131879</v>
      </c>
      <c r="N30" s="19"/>
      <c r="O30" s="19"/>
      <c r="P30" s="19"/>
      <c r="Q30" s="19"/>
    </row>
    <row r="31" spans="1:17">
      <c r="A31" s="119">
        <v>2007</v>
      </c>
      <c r="B31" s="39">
        <f>'8a'!B31/'4'!B31*100</f>
        <v>31915.355687592317</v>
      </c>
      <c r="C31" s="19">
        <f>'8a'!C31/'4'!C31*100</f>
        <v>27929.041623209669</v>
      </c>
      <c r="D31" s="19">
        <f>'8a'!D31/'4'!D31*100</f>
        <v>24958.24656157452</v>
      </c>
      <c r="E31" s="19">
        <f>'8a'!E31/'4'!E31*100</f>
        <v>27460.394278443528</v>
      </c>
      <c r="F31" s="19">
        <f>'8a'!F31/'4'!F31*100</f>
        <v>26943.208713640062</v>
      </c>
      <c r="G31" s="19">
        <f>'8a'!G31/'4'!G31*100</f>
        <v>29471.493861874016</v>
      </c>
      <c r="H31" s="19">
        <f>'8a'!H31/'4'!H31*100</f>
        <v>32751.174780223937</v>
      </c>
      <c r="I31" s="19">
        <f>'8a'!I31/'4'!I31*100</f>
        <v>28784.978661785983</v>
      </c>
      <c r="J31" s="19">
        <f>'8a'!J31/'4'!J31*100</f>
        <v>28531.818046393902</v>
      </c>
      <c r="K31" s="19">
        <f>'8a'!K31/'4'!K31*100</f>
        <v>38501.049872745127</v>
      </c>
      <c r="L31" s="19">
        <f>'8a'!L31/'4'!L31*100</f>
        <v>32023.888628003642</v>
      </c>
      <c r="N31" s="19"/>
      <c r="O31" s="19"/>
      <c r="P31" s="19"/>
      <c r="Q31" s="19"/>
    </row>
    <row r="32" spans="1:17">
      <c r="A32" s="119">
        <v>2008</v>
      </c>
      <c r="B32" s="39">
        <f>'8a'!B32/'4'!B32*100</f>
        <v>32306.895241639784</v>
      </c>
      <c r="C32" s="19">
        <f>'8a'!C32/'4'!C32*100</f>
        <v>26687.958465660984</v>
      </c>
      <c r="D32" s="19">
        <f>'8a'!D32/'4'!D32*100</f>
        <v>24646.021590986213</v>
      </c>
      <c r="E32" s="19">
        <f>'8a'!E32/'4'!E32*100</f>
        <v>27555.829382050666</v>
      </c>
      <c r="F32" s="19">
        <f>'8a'!F32/'4'!F32*100</f>
        <v>27455.657611679038</v>
      </c>
      <c r="G32" s="19">
        <f>'8a'!G32/'4'!G32*100</f>
        <v>29641.716606215068</v>
      </c>
      <c r="H32" s="19">
        <f>'8a'!H32/'4'!H32*100</f>
        <v>32929.738351536893</v>
      </c>
      <c r="I32" s="19">
        <f>'8a'!I32/'4'!I32*100</f>
        <v>29391.334752968156</v>
      </c>
      <c r="J32" s="19">
        <f>'8a'!J32/'4'!J32*100</f>
        <v>30543.683295005605</v>
      </c>
      <c r="K32" s="19">
        <f>'8a'!K32/'4'!K32*100</f>
        <v>39563.644311644239</v>
      </c>
      <c r="L32" s="19">
        <f>'8a'!L32/'4'!L32*100</f>
        <v>32463.712217283592</v>
      </c>
      <c r="N32" s="19"/>
      <c r="O32" s="19"/>
      <c r="P32" s="19"/>
      <c r="Q32" s="19"/>
    </row>
    <row r="33" spans="1:17">
      <c r="A33" s="120"/>
      <c r="B33" s="23"/>
      <c r="C33" s="644"/>
      <c r="D33" s="666" t="s">
        <v>802</v>
      </c>
      <c r="E33" s="644"/>
      <c r="F33" s="644"/>
      <c r="G33" s="644"/>
      <c r="H33" s="644"/>
      <c r="I33" s="644"/>
      <c r="J33" s="644"/>
      <c r="K33" s="644"/>
      <c r="L33" s="644"/>
    </row>
    <row r="34" spans="1:17">
      <c r="A34" s="448" t="s">
        <v>603</v>
      </c>
      <c r="B34" s="23">
        <f>((((B13/B5))^(1/8))-1)*100</f>
        <v>1.5541989762728248</v>
      </c>
      <c r="C34" s="23">
        <f t="shared" ref="C34:L34" si="4">((((C13/C5))^(1/8))-1)*100</f>
        <v>2.9377780645100771</v>
      </c>
      <c r="D34" s="23">
        <f t="shared" si="4"/>
        <v>3.6059727851170065</v>
      </c>
      <c r="E34" s="23">
        <f t="shared" si="4"/>
        <v>2.5953609562641589</v>
      </c>
      <c r="F34" s="23">
        <f t="shared" si="4"/>
        <v>2.6641938143483257</v>
      </c>
      <c r="G34" s="23">
        <f t="shared" si="4"/>
        <v>1.5017631691357947</v>
      </c>
      <c r="H34" s="23">
        <f t="shared" si="4"/>
        <v>2.0393911593978853</v>
      </c>
      <c r="I34" s="23">
        <f t="shared" si="4"/>
        <v>1.3573704563140554</v>
      </c>
      <c r="J34" s="23">
        <f t="shared" si="4"/>
        <v>-6.6138226275858081E-2</v>
      </c>
      <c r="K34" s="23">
        <f t="shared" si="4"/>
        <v>0.31122870796549407</v>
      </c>
      <c r="L34" s="23">
        <f t="shared" si="4"/>
        <v>0.91095601223671885</v>
      </c>
      <c r="N34" s="23">
        <f>((((N13/N5))^(1/8))-1)*100</f>
        <v>-2.6408206198548445</v>
      </c>
      <c r="O34" s="23">
        <f>((((O13/O5))^(1/8))-1)*100</f>
        <v>-1.3292447681963027</v>
      </c>
      <c r="P34" s="23">
        <f>((((P13/P5))^(1/8))-1)*100</f>
        <v>-4.5801880818046481</v>
      </c>
      <c r="Q34" s="23">
        <f>((((Q13/Q5))^(1/8))-1)*100</f>
        <v>-2.3169349793960681</v>
      </c>
    </row>
    <row r="35" spans="1:17">
      <c r="A35" s="448" t="s">
        <v>604</v>
      </c>
      <c r="B35" s="23">
        <f>((((B24/B13))^(1/11))-1)*100</f>
        <v>0.63493222422819073</v>
      </c>
      <c r="C35" s="23">
        <f t="shared" ref="C35:L35" si="5">((((C24/C13))^(1/11))-1)*100</f>
        <v>1.4325239662732026</v>
      </c>
      <c r="D35" s="23">
        <f t="shared" si="5"/>
        <v>0.95745697852247513</v>
      </c>
      <c r="E35" s="23">
        <f t="shared" si="5"/>
        <v>0.8232107371652031</v>
      </c>
      <c r="F35" s="23">
        <f t="shared" si="5"/>
        <v>1.2559065101489963</v>
      </c>
      <c r="G35" s="23">
        <f t="shared" si="5"/>
        <v>0.92582701693741942</v>
      </c>
      <c r="H35" s="23">
        <f t="shared" si="5"/>
        <v>0.32783795073190181</v>
      </c>
      <c r="I35" s="23">
        <f t="shared" si="5"/>
        <v>0.43239664607055417</v>
      </c>
      <c r="J35" s="23">
        <f t="shared" si="5"/>
        <v>0.94479415429367108</v>
      </c>
      <c r="K35" s="23">
        <f t="shared" si="5"/>
        <v>0.89890457921728562</v>
      </c>
      <c r="L35" s="23">
        <f t="shared" si="5"/>
        <v>0.1296962482470132</v>
      </c>
      <c r="N35" s="23">
        <f>((((N28/N5))^(1/23))-1)*100</f>
        <v>-2.3082001883143355</v>
      </c>
      <c r="O35" s="23">
        <f>((((O28/O5))^(1/23))-1)*100</f>
        <v>-1.1608378163363464</v>
      </c>
      <c r="P35" s="23">
        <f>((((P28/P5))^(1/23))-1)*100</f>
        <v>-2.7922804604300855</v>
      </c>
      <c r="Q35" s="23">
        <f>((((Q28/Q5))^(1/23))-1)*100</f>
        <v>-1.4060247583200902</v>
      </c>
    </row>
    <row r="36" spans="1:17">
      <c r="A36" s="448" t="s">
        <v>808</v>
      </c>
      <c r="B36" s="23">
        <f t="shared" ref="B36:L36" si="6">((((B29/B5))^(1/24))-1)*100</f>
        <v>0.99173231832014874</v>
      </c>
      <c r="C36" s="23">
        <f t="shared" si="6"/>
        <v>2.026208551381159</v>
      </c>
      <c r="D36" s="23">
        <f t="shared" si="6"/>
        <v>1.6544417554916313</v>
      </c>
      <c r="E36" s="23">
        <f t="shared" si="6"/>
        <v>1.4212508799755774</v>
      </c>
      <c r="F36" s="23">
        <f t="shared" si="6"/>
        <v>1.6513044662700427</v>
      </c>
      <c r="G36" s="23">
        <f t="shared" si="6"/>
        <v>1.1295492892014591</v>
      </c>
      <c r="H36" s="23">
        <f t="shared" si="6"/>
        <v>0.82654565802053881</v>
      </c>
      <c r="I36" s="23">
        <f t="shared" si="6"/>
        <v>0.82141178459120834</v>
      </c>
      <c r="J36" s="23">
        <f t="shared" si="6"/>
        <v>0.71700545036343932</v>
      </c>
      <c r="K36" s="23">
        <f t="shared" si="6"/>
        <v>1.0561502098104247</v>
      </c>
      <c r="L36" s="23">
        <f t="shared" si="6"/>
        <v>0.61721295528802678</v>
      </c>
      <c r="N36" s="23"/>
      <c r="O36" s="23"/>
      <c r="P36" s="23"/>
      <c r="Q36" s="23"/>
    </row>
    <row r="37" spans="1:17">
      <c r="A37" s="448" t="s">
        <v>819</v>
      </c>
      <c r="B37" s="644">
        <f t="shared" ref="B37:L37" si="7">((((B30/B5))^(1/25))-1)*100</f>
        <v>1.0905004959650855</v>
      </c>
      <c r="C37" s="23">
        <f t="shared" si="7"/>
        <v>2.6418333275139316</v>
      </c>
      <c r="D37" s="23">
        <f t="shared" si="7"/>
        <v>1.6870760139424235</v>
      </c>
      <c r="E37" s="23">
        <f t="shared" si="7"/>
        <v>1.4297099627262666</v>
      </c>
      <c r="F37" s="23">
        <f t="shared" si="7"/>
        <v>1.6788794599493118</v>
      </c>
      <c r="G37" s="23">
        <f t="shared" si="7"/>
        <v>1.1678807602850005</v>
      </c>
      <c r="H37" s="23">
        <f t="shared" si="7"/>
        <v>0.88722039353559268</v>
      </c>
      <c r="I37" s="23">
        <f t="shared" si="7"/>
        <v>0.90468584261711449</v>
      </c>
      <c r="J37" s="23">
        <f t="shared" si="7"/>
        <v>0.8247207094113973</v>
      </c>
      <c r="K37" s="23">
        <f t="shared" si="7"/>
        <v>1.247806974929988</v>
      </c>
      <c r="L37" s="23">
        <f t="shared" si="7"/>
        <v>0.79651137870857536</v>
      </c>
      <c r="N37" s="23"/>
      <c r="O37" s="23"/>
      <c r="P37" s="23"/>
      <c r="Q37" s="23"/>
    </row>
    <row r="38" spans="1:17">
      <c r="A38" s="448" t="s">
        <v>447</v>
      </c>
      <c r="B38" s="644">
        <f>((((B31/B5))^(1/26))-1)*100</f>
        <v>1.1563974171658664</v>
      </c>
      <c r="C38" s="644">
        <f t="shared" ref="C38:L38" si="8">((((C31/C5))^(1/26))-1)*100</f>
        <v>2.4744372898032996</v>
      </c>
      <c r="D38" s="644">
        <f t="shared" si="8"/>
        <v>1.738995653704456</v>
      </c>
      <c r="E38" s="644">
        <f t="shared" si="8"/>
        <v>1.4891953125266921</v>
      </c>
      <c r="F38" s="644">
        <f t="shared" si="8"/>
        <v>1.7290468552391802</v>
      </c>
      <c r="G38" s="644">
        <f t="shared" si="8"/>
        <v>1.2586140165526727</v>
      </c>
      <c r="H38" s="644">
        <f t="shared" si="8"/>
        <v>0.93963903703022655</v>
      </c>
      <c r="I38" s="644">
        <f t="shared" si="8"/>
        <v>1.0281899057661636</v>
      </c>
      <c r="J38" s="644">
        <f t="shared" si="8"/>
        <v>0.99216074781354191</v>
      </c>
      <c r="K38" s="644">
        <f t="shared" si="8"/>
        <v>1.2684823626553987</v>
      </c>
      <c r="L38" s="644">
        <f t="shared" si="8"/>
        <v>0.89209245602392961</v>
      </c>
      <c r="N38" s="23"/>
      <c r="O38" s="23"/>
      <c r="P38" s="23"/>
      <c r="Q38" s="23"/>
    </row>
    <row r="39" spans="1:17">
      <c r="A39" s="448" t="s">
        <v>1408</v>
      </c>
      <c r="B39" s="644">
        <f>((((B32/B5))^(1/27))-1)*100</f>
        <v>1.1590042753720331</v>
      </c>
      <c r="C39" s="644">
        <f t="shared" ref="C39:L39" si="9">((((C32/C5))^(1/27))-1)*100</f>
        <v>2.2094938554900967</v>
      </c>
      <c r="D39" s="644">
        <f t="shared" si="9"/>
        <v>1.6266576788432463</v>
      </c>
      <c r="E39" s="644">
        <f t="shared" si="9"/>
        <v>1.4466809641355383</v>
      </c>
      <c r="F39" s="644">
        <f t="shared" si="9"/>
        <v>1.7354457892631237</v>
      </c>
      <c r="G39" s="644">
        <f t="shared" si="9"/>
        <v>1.233308655305998</v>
      </c>
      <c r="H39" s="644">
        <f t="shared" si="9"/>
        <v>0.92500310012089138</v>
      </c>
      <c r="I39" s="644">
        <f t="shared" si="9"/>
        <v>1.0679235651203767</v>
      </c>
      <c r="J39" s="644">
        <f t="shared" si="9"/>
        <v>1.2103345322246328</v>
      </c>
      <c r="K39" s="644">
        <f t="shared" si="9"/>
        <v>1.323332474815575</v>
      </c>
      <c r="L39" s="644">
        <f t="shared" si="9"/>
        <v>0.90987870718886033</v>
      </c>
      <c r="N39" s="23"/>
      <c r="O39" s="23"/>
      <c r="P39" s="23"/>
      <c r="Q39" s="23"/>
    </row>
    <row r="40" spans="1:17">
      <c r="A40" s="448" t="s">
        <v>809</v>
      </c>
      <c r="B40" s="644">
        <f t="shared" ref="B40:L40" si="10">((((B29/B24))^(1/5))-1)*100</f>
        <v>0.8806936821643907</v>
      </c>
      <c r="C40" s="644">
        <f t="shared" si="10"/>
        <v>1.8841943302479569</v>
      </c>
      <c r="D40" s="644">
        <f t="shared" si="10"/>
        <v>0.11205416201220952</v>
      </c>
      <c r="E40" s="644">
        <f t="shared" si="10"/>
        <v>0.87452687367364224</v>
      </c>
      <c r="F40" s="644">
        <f t="shared" si="10"/>
        <v>0.91296867653196667</v>
      </c>
      <c r="G40" s="644">
        <f t="shared" si="10"/>
        <v>0.98384646476210591</v>
      </c>
      <c r="H40" s="644">
        <f t="shared" si="10"/>
        <v>8.5038134645110119E-4</v>
      </c>
      <c r="I40" s="644">
        <f t="shared" si="10"/>
        <v>0.82363784245027549</v>
      </c>
      <c r="J40" s="644">
        <f t="shared" si="10"/>
        <v>1.4772177031318057</v>
      </c>
      <c r="K40" s="644">
        <f t="shared" si="10"/>
        <v>2.6104813077679756</v>
      </c>
      <c r="L40" s="644">
        <f t="shared" si="10"/>
        <v>1.2248799324802828</v>
      </c>
      <c r="N40" s="23">
        <f>((((N29/N5))^(1/24))-1)*100</f>
        <v>-1.3088852414025909</v>
      </c>
      <c r="O40" s="23">
        <f>((((O29/O5))^(1/24))-1)*100</f>
        <v>-0.65659822685886216</v>
      </c>
      <c r="P40" s="23">
        <f>((((P29/P5))^(1/24))-1)*100</f>
        <v>-1.4920489921812718</v>
      </c>
      <c r="Q40" s="23">
        <f>((((Q29/Q5))^(1/24))-1)*100</f>
        <v>-0.74882821456527804</v>
      </c>
    </row>
    <row r="41" spans="1:17">
      <c r="A41" s="448" t="s">
        <v>818</v>
      </c>
      <c r="B41" s="644">
        <f t="shared" ref="B41:L41" si="11">((((B30/B24))^(1/6))-1)*100</f>
        <v>1.3109857318581497</v>
      </c>
      <c r="C41" s="644">
        <f t="shared" si="11"/>
        <v>4.4945620773274353</v>
      </c>
      <c r="D41" s="644">
        <f t="shared" si="11"/>
        <v>0.5018067844873908</v>
      </c>
      <c r="E41" s="644">
        <f t="shared" si="11"/>
        <v>1.0005348538021153</v>
      </c>
      <c r="F41" s="644">
        <f t="shared" si="11"/>
        <v>1.1499001637715889</v>
      </c>
      <c r="G41" s="644">
        <f t="shared" si="11"/>
        <v>1.1677341263558905</v>
      </c>
      <c r="H41" s="644">
        <f t="shared" si="11"/>
        <v>0.38931946026929953</v>
      </c>
      <c r="I41" s="644">
        <f t="shared" si="11"/>
        <v>1.1707024960319723</v>
      </c>
      <c r="J41" s="644">
        <f t="shared" si="11"/>
        <v>1.802518562066191</v>
      </c>
      <c r="K41" s="644">
        <f t="shared" si="11"/>
        <v>3.1610001722514713</v>
      </c>
      <c r="L41" s="644">
        <f t="shared" si="11"/>
        <v>1.8763038190786174</v>
      </c>
      <c r="N41" s="23">
        <f>((((N24/N13))^(1/11))-1)*100</f>
        <v>-2.0811881349862893</v>
      </c>
      <c r="O41" s="23">
        <f>((((O24/O13))^(1/11))-1)*100</f>
        <v>-1.0460653308754453</v>
      </c>
      <c r="P41" s="23">
        <f>((((P24/P13))^(1/11))-1)*100</f>
        <v>-2.5096981777069538</v>
      </c>
      <c r="Q41" s="23">
        <f>((((Q24/Q13))^(1/11))-1)*100</f>
        <v>-1.2628226946440169</v>
      </c>
    </row>
    <row r="42" spans="1:17">
      <c r="A42" s="448" t="s">
        <v>449</v>
      </c>
      <c r="B42" s="644">
        <f>((((B31/B24))^(1/7))-1)*100</f>
        <v>1.5248929372622344</v>
      </c>
      <c r="C42" s="644">
        <f t="shared" ref="C42:L42" si="12">((((C31/C24))^(1/7))-1)*100</f>
        <v>3.5978850151177744</v>
      </c>
      <c r="D42" s="644">
        <f t="shared" si="12"/>
        <v>0.8613297379207685</v>
      </c>
      <c r="E42" s="644">
        <f t="shared" si="12"/>
        <v>1.2820535184642878</v>
      </c>
      <c r="F42" s="644">
        <f t="shared" si="12"/>
        <v>1.4109288726124047</v>
      </c>
      <c r="G42" s="644">
        <f t="shared" si="12"/>
        <v>1.5051742984789174</v>
      </c>
      <c r="H42" s="644">
        <f t="shared" si="12"/>
        <v>0.65430810502951076</v>
      </c>
      <c r="I42" s="644">
        <f t="shared" si="12"/>
        <v>1.593187246697414</v>
      </c>
      <c r="J42" s="644">
        <f t="shared" si="12"/>
        <v>2.2907557216521823</v>
      </c>
      <c r="K42" s="644">
        <f t="shared" si="12"/>
        <v>2.9635473193655226</v>
      </c>
      <c r="L42" s="644">
        <f t="shared" si="12"/>
        <v>2.0800765193739412</v>
      </c>
      <c r="N42" s="644">
        <f>((((N28/N24))^(1/4))-1)*100</f>
        <v>-2.2653737866642709</v>
      </c>
      <c r="O42" s="644">
        <f>((((O28/O24))^(1/4))-1)*100</f>
        <v>-1.1391754974015345</v>
      </c>
      <c r="P42" s="644">
        <f>((((P28/P24))^(1/4))-1)*100</f>
        <v>8.2544176250975987E-2</v>
      </c>
      <c r="Q42" s="644">
        <f>((((Q28/Q24))^(1/4))-1)*100</f>
        <v>4.1263574712502304E-2</v>
      </c>
    </row>
    <row r="43" spans="1:17">
      <c r="A43" s="448" t="s">
        <v>1410</v>
      </c>
      <c r="B43" s="644">
        <f>((((B32/B24))^(1/8))-1)*100</f>
        <v>1.487584140734266</v>
      </c>
      <c r="C43" s="644">
        <f t="shared" ref="C43:L43" si="13">((((C32/C24))^(1/8))-1)*100</f>
        <v>2.5567956600938579</v>
      </c>
      <c r="D43" s="644">
        <f t="shared" si="13"/>
        <v>0.59483846004069196</v>
      </c>
      <c r="E43" s="644">
        <f t="shared" si="13"/>
        <v>1.1647646977740234</v>
      </c>
      <c r="F43" s="644">
        <f t="shared" si="13"/>
        <v>1.4721780609673996</v>
      </c>
      <c r="G43" s="644">
        <f t="shared" si="13"/>
        <v>1.3887593268082865</v>
      </c>
      <c r="H43" s="644">
        <f t="shared" si="13"/>
        <v>0.6406647112055408</v>
      </c>
      <c r="I43" s="644">
        <f t="shared" si="13"/>
        <v>1.6572101737259981</v>
      </c>
      <c r="J43" s="644">
        <f t="shared" si="13"/>
        <v>2.8740491335317531</v>
      </c>
      <c r="K43" s="644">
        <f t="shared" si="13"/>
        <v>2.938070638875101</v>
      </c>
      <c r="L43" s="644">
        <f t="shared" si="13"/>
        <v>1.9914761977592343</v>
      </c>
      <c r="N43" s="644"/>
      <c r="O43" s="644"/>
      <c r="P43" s="644"/>
      <c r="Q43" s="644"/>
    </row>
    <row r="44" spans="1:17">
      <c r="A44" s="448"/>
      <c r="D44" s="27" t="s">
        <v>276</v>
      </c>
      <c r="N44" s="644">
        <f>((((N29/N24))^(1/5))-1)*100</f>
        <v>2.6186074711487706</v>
      </c>
      <c r="O44" s="644">
        <f>((((O29/O24))^(1/5))-1)*100</f>
        <v>1.300842775935851</v>
      </c>
      <c r="P44" s="644">
        <f>((((P29/P24))^(1/5))-1)*100</f>
        <v>6.0535886284880158</v>
      </c>
      <c r="Q44" s="644">
        <f>((((Q29/Q24))^(1/5))-1)*100</f>
        <v>2.9823230600708461</v>
      </c>
    </row>
    <row r="45" spans="1:17" hidden="1">
      <c r="A45" s="448" t="s">
        <v>808</v>
      </c>
      <c r="B45" s="10">
        <f t="shared" ref="B45:L45" si="14">(B29/B5-1)*100</f>
        <v>26.724247770892706</v>
      </c>
      <c r="C45" s="10">
        <f t="shared" si="14"/>
        <v>61.838539252684008</v>
      </c>
      <c r="D45" s="10">
        <f t="shared" si="14"/>
        <v>48.262948831388201</v>
      </c>
      <c r="E45" s="10">
        <f t="shared" si="14"/>
        <v>40.312092981960568</v>
      </c>
      <c r="F45" s="10">
        <f t="shared" si="14"/>
        <v>48.153170167076723</v>
      </c>
      <c r="G45" s="10">
        <f t="shared" si="14"/>
        <v>30.94041731149504</v>
      </c>
      <c r="H45" s="10">
        <f t="shared" si="14"/>
        <v>21.842084902128711</v>
      </c>
      <c r="I45" s="10">
        <f t="shared" si="14"/>
        <v>21.693277495005248</v>
      </c>
      <c r="J45" s="10">
        <f t="shared" si="14"/>
        <v>18.704535541849452</v>
      </c>
      <c r="K45" s="10">
        <f t="shared" si="14"/>
        <v>28.678499691779802</v>
      </c>
      <c r="L45" s="10">
        <f t="shared" si="14"/>
        <v>15.913708891940637</v>
      </c>
      <c r="N45" s="10"/>
      <c r="O45" s="10"/>
      <c r="P45" s="10"/>
      <c r="Q45" s="10"/>
    </row>
    <row r="46" spans="1:17">
      <c r="A46" s="448" t="s">
        <v>819</v>
      </c>
      <c r="B46" s="10">
        <f t="shared" ref="B46:L46" si="15">(B30/B5-1)*100</f>
        <v>31.14709291687765</v>
      </c>
      <c r="C46" s="10">
        <f t="shared" si="15"/>
        <v>91.91548313736584</v>
      </c>
      <c r="D46" s="10">
        <f t="shared" si="15"/>
        <v>51.930157185000425</v>
      </c>
      <c r="E46" s="10">
        <f t="shared" si="15"/>
        <v>42.6033049141421</v>
      </c>
      <c r="F46" s="10">
        <f t="shared" si="15"/>
        <v>51.624292372333457</v>
      </c>
      <c r="G46" s="10">
        <f t="shared" si="15"/>
        <v>33.67996245185558</v>
      </c>
      <c r="H46" s="10">
        <f t="shared" si="15"/>
        <v>24.710757468733636</v>
      </c>
      <c r="I46" s="10">
        <f t="shared" si="15"/>
        <v>25.251623864517271</v>
      </c>
      <c r="J46" s="10">
        <f t="shared" si="15"/>
        <v>22.793588550837395</v>
      </c>
      <c r="K46" s="10">
        <f t="shared" si="15"/>
        <v>36.345443685161882</v>
      </c>
      <c r="L46" s="10">
        <f t="shared" si="15"/>
        <v>21.937568334530933</v>
      </c>
      <c r="M46" s="10"/>
      <c r="N46" s="10">
        <f>(N28/N5-1)*100</f>
        <v>-41.556455216078845</v>
      </c>
      <c r="O46" s="10">
        <f>(O28/O5-1)*100</f>
        <v>-23.551622133676918</v>
      </c>
      <c r="P46" s="10">
        <f>(P28/P5-1)*100</f>
        <v>-47.866442490954661</v>
      </c>
      <c r="Q46" s="10">
        <f>(Q28/Q5-1)*100</f>
        <v>-27.796428406175544</v>
      </c>
    </row>
    <row r="47" spans="1:17">
      <c r="A47" s="448" t="s">
        <v>447</v>
      </c>
      <c r="B47" s="10">
        <f>(B31/B5-1)*100</f>
        <v>34.842626648050626</v>
      </c>
      <c r="C47" s="10">
        <f t="shared" ref="C47:L47" si="16">(C31/C5-1)*100</f>
        <v>88.800915923418316</v>
      </c>
      <c r="D47" s="10">
        <f t="shared" si="16"/>
        <v>56.557398952758398</v>
      </c>
      <c r="E47" s="10">
        <f t="shared" si="16"/>
        <v>46.863893058390474</v>
      </c>
      <c r="F47" s="10">
        <f t="shared" si="16"/>
        <v>56.159841987724811</v>
      </c>
      <c r="G47" s="10">
        <f t="shared" si="16"/>
        <v>38.430390862597228</v>
      </c>
      <c r="H47" s="10">
        <f t="shared" si="16"/>
        <v>27.527965455361937</v>
      </c>
      <c r="I47" s="10">
        <f t="shared" si="16"/>
        <v>30.468860713500611</v>
      </c>
      <c r="J47" s="10">
        <f t="shared" si="16"/>
        <v>29.264498933870907</v>
      </c>
      <c r="K47" s="10">
        <f t="shared" si="16"/>
        <v>38.781584257693183</v>
      </c>
      <c r="L47" s="10">
        <f t="shared" si="16"/>
        <v>25.975287777976952</v>
      </c>
      <c r="M47" s="10"/>
      <c r="N47" s="10">
        <f>(N29/N5-1)*100</f>
        <v>-27.109100593848634</v>
      </c>
      <c r="O47" s="10">
        <f>(O29/O5-1)*100</f>
        <v>-14.62383271301565</v>
      </c>
      <c r="P47" s="10">
        <f>(P29/P5-1)*100</f>
        <v>-30.287467929274381</v>
      </c>
      <c r="Q47" s="10">
        <f>(Q29/Q5-1)*100</f>
        <v>-16.505969033274226</v>
      </c>
    </row>
    <row r="48" spans="1:17">
      <c r="A48" s="448" t="s">
        <v>1408</v>
      </c>
      <c r="B48" s="10">
        <f>(B32/B5-1)*100</f>
        <v>36.496884317028844</v>
      </c>
      <c r="C48" s="10">
        <f t="shared" ref="C48:L48" si="17">(C32/C5-1)*100</f>
        <v>80.411167358340577</v>
      </c>
      <c r="D48" s="10">
        <f t="shared" si="17"/>
        <v>54.59888279006195</v>
      </c>
      <c r="E48" s="10">
        <f t="shared" si="17"/>
        <v>47.374299817596331</v>
      </c>
      <c r="F48" s="10">
        <f t="shared" si="17"/>
        <v>59.129938823445706</v>
      </c>
      <c r="G48" s="10">
        <f t="shared" si="17"/>
        <v>39.229943173833128</v>
      </c>
      <c r="H48" s="10">
        <f t="shared" si="17"/>
        <v>28.223264146379723</v>
      </c>
      <c r="I48" s="10">
        <f t="shared" si="17"/>
        <v>33.217189601729189</v>
      </c>
      <c r="J48" s="10">
        <f t="shared" si="17"/>
        <v>38.379331814880693</v>
      </c>
      <c r="K48" s="10">
        <f t="shared" si="17"/>
        <v>42.611831488385633</v>
      </c>
      <c r="L48" s="10">
        <f t="shared" si="17"/>
        <v>27.705461895015105</v>
      </c>
      <c r="M48" s="10"/>
      <c r="N48" s="10"/>
      <c r="O48" s="10"/>
      <c r="P48" s="10"/>
      <c r="Q48" s="10"/>
    </row>
    <row r="49" spans="1:12">
      <c r="B49" s="114"/>
      <c r="C49" s="114"/>
      <c r="D49" s="114"/>
    </row>
    <row r="50" spans="1:12">
      <c r="A50" s="9" t="s">
        <v>289</v>
      </c>
    </row>
    <row r="51" spans="1:12">
      <c r="B51" s="9"/>
    </row>
    <row r="53" spans="1:12">
      <c r="B53" s="1" t="s">
        <v>278</v>
      </c>
    </row>
    <row r="54" spans="1:12">
      <c r="B54" s="1" t="s">
        <v>279</v>
      </c>
    </row>
    <row r="55" spans="1:12">
      <c r="B55" s="1">
        <v>1981</v>
      </c>
      <c r="C55" s="300">
        <f>C5-$B5</f>
        <v>-8875.7425458332473</v>
      </c>
      <c r="D55" s="300">
        <f t="shared" ref="D55:L55" si="18">D5-$B5</f>
        <v>-7726.6809484895457</v>
      </c>
      <c r="E55" s="300">
        <f t="shared" si="18"/>
        <v>-4970.7427483609681</v>
      </c>
      <c r="F55" s="300">
        <f t="shared" si="18"/>
        <v>-6414.9862662107807</v>
      </c>
      <c r="G55" s="300">
        <f t="shared" si="18"/>
        <v>-2378.8383460949663</v>
      </c>
      <c r="H55" s="300">
        <f t="shared" si="18"/>
        <v>2012.9676215318286</v>
      </c>
      <c r="I55" s="300">
        <f t="shared" si="18"/>
        <v>-1605.875956047541</v>
      </c>
      <c r="J55" s="300">
        <f t="shared" si="18"/>
        <v>-1596.1638193975596</v>
      </c>
      <c r="K55" s="300">
        <f t="shared" si="18"/>
        <v>4073.5939692356733</v>
      </c>
      <c r="L55" s="300">
        <f t="shared" si="18"/>
        <v>1752.1749992308542</v>
      </c>
    </row>
    <row r="56" spans="1:12">
      <c r="B56" s="1">
        <v>1982</v>
      </c>
      <c r="C56" s="300">
        <f t="shared" ref="C56:L71" si="19">C6-$B6</f>
        <v>-8384.4187305729702</v>
      </c>
      <c r="D56" s="300">
        <f t="shared" si="19"/>
        <v>-6856.8423193247327</v>
      </c>
      <c r="E56" s="300">
        <f t="shared" si="19"/>
        <v>-4360.5828346969756</v>
      </c>
      <c r="F56" s="300">
        <f t="shared" si="19"/>
        <v>-5613.8572539440938</v>
      </c>
      <c r="G56" s="300">
        <f t="shared" si="19"/>
        <v>-2721.996218135675</v>
      </c>
      <c r="H56" s="300">
        <f t="shared" si="19"/>
        <v>2406.1308651421641</v>
      </c>
      <c r="I56" s="300">
        <f t="shared" si="19"/>
        <v>-820.78511839503335</v>
      </c>
      <c r="J56" s="300">
        <f t="shared" si="19"/>
        <v>-779.13348444502117</v>
      </c>
      <c r="K56" s="300">
        <f t="shared" si="19"/>
        <v>3291.7283794225223</v>
      </c>
      <c r="L56" s="300">
        <f t="shared" si="19"/>
        <v>1192.5107812571187</v>
      </c>
    </row>
    <row r="57" spans="1:12">
      <c r="B57" s="1">
        <v>1983</v>
      </c>
      <c r="C57" s="300">
        <f t="shared" si="19"/>
        <v>-8464.8146916484311</v>
      </c>
      <c r="D57" s="300">
        <f t="shared" si="19"/>
        <v>-6146.6926095773742</v>
      </c>
      <c r="E57" s="300">
        <f t="shared" si="19"/>
        <v>-3995.028386922997</v>
      </c>
      <c r="F57" s="300">
        <f t="shared" si="19"/>
        <v>-5397.2766544226506</v>
      </c>
      <c r="G57" s="300">
        <f t="shared" si="19"/>
        <v>-2617.1707703366192</v>
      </c>
      <c r="H57" s="300">
        <f t="shared" si="19"/>
        <v>2795.0709985870744</v>
      </c>
      <c r="I57" s="300">
        <f t="shared" si="19"/>
        <v>-1585.3420040840501</v>
      </c>
      <c r="J57" s="300">
        <f t="shared" si="19"/>
        <v>-1848.0273933296194</v>
      </c>
      <c r="K57" s="300">
        <f t="shared" si="19"/>
        <v>2585.8826136147618</v>
      </c>
      <c r="L57" s="300">
        <f t="shared" si="19"/>
        <v>705.00599188106935</v>
      </c>
    </row>
    <row r="58" spans="1:12">
      <c r="B58" s="1">
        <v>1984</v>
      </c>
      <c r="C58" s="300">
        <f t="shared" si="19"/>
        <v>-9118.5509645798302</v>
      </c>
      <c r="D58" s="300">
        <f t="shared" si="19"/>
        <v>-6683.39454881048</v>
      </c>
      <c r="E58" s="300">
        <f t="shared" si="19"/>
        <v>-4039.1571856622977</v>
      </c>
      <c r="F58" s="300">
        <f t="shared" si="19"/>
        <v>-5641.6467530694244</v>
      </c>
      <c r="G58" s="300">
        <f t="shared" si="19"/>
        <v>-2318.8047297075609</v>
      </c>
      <c r="H58" s="300">
        <f t="shared" si="19"/>
        <v>2945.3046199964483</v>
      </c>
      <c r="I58" s="300">
        <f t="shared" si="19"/>
        <v>-639.62415361588501</v>
      </c>
      <c r="J58" s="300">
        <f t="shared" si="19"/>
        <v>-2286.8200953550549</v>
      </c>
      <c r="K58" s="300">
        <f t="shared" si="19"/>
        <v>2163.2130497208091</v>
      </c>
      <c r="L58" s="300">
        <f t="shared" si="19"/>
        <v>-42.20292521022202</v>
      </c>
    </row>
    <row r="59" spans="1:12">
      <c r="B59" s="1">
        <v>1985</v>
      </c>
      <c r="C59" s="300">
        <f t="shared" si="19"/>
        <v>-9457.7772833398667</v>
      </c>
      <c r="D59" s="300">
        <f t="shared" si="19"/>
        <v>-7141.5041916692644</v>
      </c>
      <c r="E59" s="300">
        <f t="shared" si="19"/>
        <v>-4044.6315539255156</v>
      </c>
      <c r="F59" s="300">
        <f t="shared" si="19"/>
        <v>-6118.506101849056</v>
      </c>
      <c r="G59" s="300">
        <f t="shared" si="19"/>
        <v>-2557.2439080770018</v>
      </c>
      <c r="H59" s="300">
        <f t="shared" si="19"/>
        <v>3070.7574864060116</v>
      </c>
      <c r="I59" s="300">
        <f t="shared" si="19"/>
        <v>-619.16993704646302</v>
      </c>
      <c r="J59" s="300">
        <f t="shared" si="19"/>
        <v>-2552.5583411567277</v>
      </c>
      <c r="K59" s="300">
        <f t="shared" si="19"/>
        <v>2981.9650783018733</v>
      </c>
      <c r="L59" s="300">
        <f t="shared" si="19"/>
        <v>-272.30867417001355</v>
      </c>
    </row>
    <row r="60" spans="1:12">
      <c r="B60" s="1">
        <v>1986</v>
      </c>
      <c r="C60" s="300">
        <f t="shared" si="19"/>
        <v>-9093.3007201347209</v>
      </c>
      <c r="D60" s="300">
        <f t="shared" si="19"/>
        <v>-5866.2818427256097</v>
      </c>
      <c r="E60" s="300">
        <f t="shared" si="19"/>
        <v>-3959.5882366242877</v>
      </c>
      <c r="F60" s="300">
        <f t="shared" si="19"/>
        <v>-5634.2040498297029</v>
      </c>
      <c r="G60" s="300">
        <f t="shared" si="19"/>
        <v>-2667.2995739041107</v>
      </c>
      <c r="H60" s="300">
        <f t="shared" si="19"/>
        <v>3209.394235147407</v>
      </c>
      <c r="I60" s="300">
        <f t="shared" si="19"/>
        <v>-989.93037246853419</v>
      </c>
      <c r="J60" s="300">
        <f t="shared" si="19"/>
        <v>-1377.6556145214454</v>
      </c>
      <c r="K60" s="300">
        <f t="shared" si="19"/>
        <v>2132.3385229796804</v>
      </c>
      <c r="L60" s="300">
        <f t="shared" si="19"/>
        <v>-452.58390645149848</v>
      </c>
    </row>
    <row r="61" spans="1:12">
      <c r="B61" s="1">
        <v>1987</v>
      </c>
      <c r="C61" s="300">
        <f t="shared" si="19"/>
        <v>-8289.7991561232047</v>
      </c>
      <c r="D61" s="300">
        <f t="shared" si="19"/>
        <v>-5775.2446849854205</v>
      </c>
      <c r="E61" s="300">
        <f t="shared" si="19"/>
        <v>-3614.2680568861142</v>
      </c>
      <c r="F61" s="300">
        <f t="shared" si="19"/>
        <v>-5230.3714676216696</v>
      </c>
      <c r="G61" s="300">
        <f t="shared" si="19"/>
        <v>-2515.3206499765511</v>
      </c>
      <c r="H61" s="300">
        <f t="shared" si="19"/>
        <v>3435.599160359423</v>
      </c>
      <c r="I61" s="300">
        <f t="shared" si="19"/>
        <v>-1521.5677065202144</v>
      </c>
      <c r="J61" s="300">
        <f t="shared" si="19"/>
        <v>-4069.6522829488713</v>
      </c>
      <c r="K61" s="300">
        <f t="shared" si="19"/>
        <v>1194.6627938238526</v>
      </c>
      <c r="L61" s="300">
        <f t="shared" si="19"/>
        <v>-6.1962204383198696</v>
      </c>
    </row>
    <row r="62" spans="1:12">
      <c r="B62" s="1">
        <v>1988</v>
      </c>
      <c r="C62" s="300">
        <f t="shared" si="19"/>
        <v>-8316.2167001297421</v>
      </c>
      <c r="D62" s="300">
        <f t="shared" si="19"/>
        <v>-5636.4828452658112</v>
      </c>
      <c r="E62" s="300">
        <f t="shared" si="19"/>
        <v>-3873.3871979185787</v>
      </c>
      <c r="F62" s="300">
        <f t="shared" si="19"/>
        <v>-5425.0620957313404</v>
      </c>
      <c r="G62" s="300">
        <f t="shared" si="19"/>
        <v>-2820.215975021918</v>
      </c>
      <c r="H62" s="300">
        <f t="shared" si="19"/>
        <v>3541.5212840603526</v>
      </c>
      <c r="I62" s="300">
        <f t="shared" si="19"/>
        <v>-1998.2743316934102</v>
      </c>
      <c r="J62" s="300">
        <f t="shared" si="19"/>
        <v>-4530.4869399518175</v>
      </c>
      <c r="K62" s="300">
        <f t="shared" si="19"/>
        <v>1789.4813002873816</v>
      </c>
      <c r="L62" s="300">
        <f t="shared" si="19"/>
        <v>-57.104778852626623</v>
      </c>
    </row>
    <row r="63" spans="1:12">
      <c r="B63" s="1">
        <v>1989</v>
      </c>
      <c r="C63" s="300">
        <f t="shared" si="19"/>
        <v>-8127.8356275855003</v>
      </c>
      <c r="D63" s="300">
        <f t="shared" si="19"/>
        <v>-5611.5817882725351</v>
      </c>
      <c r="E63" s="300">
        <f t="shared" si="19"/>
        <v>-3824.9788634524157</v>
      </c>
      <c r="F63" s="300">
        <f t="shared" si="19"/>
        <v>-5483.8480238587472</v>
      </c>
      <c r="G63" s="300">
        <f t="shared" si="19"/>
        <v>-2790.5217298582029</v>
      </c>
      <c r="H63" s="300">
        <f t="shared" si="19"/>
        <v>3406.5249726428665</v>
      </c>
      <c r="I63" s="300">
        <f t="shared" si="19"/>
        <v>-2201.1445078265424</v>
      </c>
      <c r="J63" s="300">
        <f t="shared" si="19"/>
        <v>-4820.6932321390195</v>
      </c>
      <c r="K63" s="300">
        <f t="shared" si="19"/>
        <v>1663.8855273114423</v>
      </c>
      <c r="L63" s="300">
        <f t="shared" si="19"/>
        <v>556.89343489428938</v>
      </c>
    </row>
    <row r="64" spans="1:12">
      <c r="B64" s="1">
        <v>1990</v>
      </c>
      <c r="C64" s="300">
        <f t="shared" si="19"/>
        <v>-7591.7291100452203</v>
      </c>
      <c r="D64" s="300">
        <f t="shared" si="19"/>
        <v>-5499.7405399252857</v>
      </c>
      <c r="E64" s="300">
        <f t="shared" si="19"/>
        <v>-3704.3276295594696</v>
      </c>
      <c r="F64" s="300">
        <f t="shared" si="19"/>
        <v>-5423.6773711284513</v>
      </c>
      <c r="G64" s="300">
        <f t="shared" si="19"/>
        <v>-2505.7054128978416</v>
      </c>
      <c r="H64" s="300">
        <f t="shared" si="19"/>
        <v>2804.6503456724931</v>
      </c>
      <c r="I64" s="300">
        <f t="shared" si="19"/>
        <v>-1625.7877347112444</v>
      </c>
      <c r="J64" s="300">
        <f t="shared" si="19"/>
        <v>-3823.9637781242964</v>
      </c>
      <c r="K64" s="300">
        <f t="shared" si="19"/>
        <v>1769.9468021351349</v>
      </c>
      <c r="L64" s="300">
        <f t="shared" si="19"/>
        <v>892.30039319342904</v>
      </c>
    </row>
    <row r="65" spans="2:12">
      <c r="B65" s="1">
        <v>1991</v>
      </c>
      <c r="C65" s="300">
        <f t="shared" si="19"/>
        <v>-7007.5207090432159</v>
      </c>
      <c r="D65" s="300">
        <f t="shared" si="19"/>
        <v>-5246.8019116247597</v>
      </c>
      <c r="E65" s="300">
        <f t="shared" si="19"/>
        <v>-3382.7478613780186</v>
      </c>
      <c r="F65" s="300">
        <f t="shared" si="19"/>
        <v>-5081.8085506184216</v>
      </c>
      <c r="G65" s="300">
        <f t="shared" si="19"/>
        <v>-2717.9902516216534</v>
      </c>
      <c r="H65" s="300">
        <f t="shared" si="19"/>
        <v>2743.7978948679702</v>
      </c>
      <c r="I65" s="300">
        <f t="shared" si="19"/>
        <v>-1734.8691575187986</v>
      </c>
      <c r="J65" s="300">
        <f t="shared" si="19"/>
        <v>-3464.7158595898327</v>
      </c>
      <c r="K65" s="300">
        <f t="shared" si="19"/>
        <v>1870.4034942961516</v>
      </c>
      <c r="L65" s="300">
        <f t="shared" si="19"/>
        <v>959.03496298088794</v>
      </c>
    </row>
    <row r="66" spans="2:12">
      <c r="B66" s="1">
        <v>1992</v>
      </c>
      <c r="C66" s="300">
        <f t="shared" si="19"/>
        <v>-6785.9898703987928</v>
      </c>
      <c r="D66" s="300">
        <f t="shared" si="19"/>
        <v>-4973.4076880904868</v>
      </c>
      <c r="E66" s="300">
        <f t="shared" si="19"/>
        <v>-3044.3686781229335</v>
      </c>
      <c r="F66" s="300">
        <f t="shared" si="19"/>
        <v>-4546.6697901159023</v>
      </c>
      <c r="G66" s="300">
        <f t="shared" si="19"/>
        <v>-2745.1623798616165</v>
      </c>
      <c r="H66" s="300">
        <f t="shared" si="19"/>
        <v>2808.9683593505106</v>
      </c>
      <c r="I66" s="300">
        <f t="shared" si="19"/>
        <v>-1573.8004357878926</v>
      </c>
      <c r="J66" s="300">
        <f t="shared" si="19"/>
        <v>-3954.256923760131</v>
      </c>
      <c r="K66" s="300">
        <f t="shared" si="19"/>
        <v>1750.0538282829184</v>
      </c>
      <c r="L66" s="300">
        <f t="shared" si="19"/>
        <v>681.06706656510869</v>
      </c>
    </row>
    <row r="67" spans="2:12">
      <c r="B67" s="1">
        <v>1993</v>
      </c>
      <c r="C67" s="300">
        <f t="shared" si="19"/>
        <v>-6432.0614307625183</v>
      </c>
      <c r="D67" s="300">
        <f t="shared" si="19"/>
        <v>-4439.4346895393755</v>
      </c>
      <c r="E67" s="300">
        <f t="shared" si="19"/>
        <v>-2848.0931009757733</v>
      </c>
      <c r="F67" s="300">
        <f t="shared" si="19"/>
        <v>-4203.8644683853272</v>
      </c>
      <c r="G67" s="300">
        <f t="shared" si="19"/>
        <v>-2367.6549600730286</v>
      </c>
      <c r="H67" s="300">
        <f t="shared" si="19"/>
        <v>2501.2520329134131</v>
      </c>
      <c r="I67" s="300">
        <f t="shared" si="19"/>
        <v>-1985.1795277195888</v>
      </c>
      <c r="J67" s="300">
        <f t="shared" si="19"/>
        <v>-3991.3308268668079</v>
      </c>
      <c r="K67" s="300">
        <f t="shared" si="19"/>
        <v>2319.2141346753924</v>
      </c>
      <c r="L67" s="300">
        <f t="shared" si="19"/>
        <v>367.53817419682309</v>
      </c>
    </row>
    <row r="68" spans="2:12">
      <c r="B68" s="1">
        <v>1994</v>
      </c>
      <c r="C68" s="300">
        <f t="shared" si="19"/>
        <v>-6308.8401613600254</v>
      </c>
      <c r="D68" s="300">
        <f t="shared" si="19"/>
        <v>-4833.4713848055144</v>
      </c>
      <c r="E68" s="300">
        <f t="shared" si="19"/>
        <v>-3199.2085610710601</v>
      </c>
      <c r="F68" s="300">
        <f t="shared" si="19"/>
        <v>-4111.7627174767913</v>
      </c>
      <c r="G68" s="300">
        <f t="shared" si="19"/>
        <v>-2036.4134895152347</v>
      </c>
      <c r="H68" s="300">
        <f t="shared" si="19"/>
        <v>2439.4347348362498</v>
      </c>
      <c r="I68" s="300">
        <f t="shared" si="19"/>
        <v>-2009.4678808961216</v>
      </c>
      <c r="J68" s="300">
        <f t="shared" si="19"/>
        <v>-4274.4689355229311</v>
      </c>
      <c r="K68" s="300">
        <f t="shared" si="19"/>
        <v>1827.1629184249323</v>
      </c>
      <c r="L68" s="300">
        <f t="shared" si="19"/>
        <v>42.608589451090666</v>
      </c>
    </row>
    <row r="69" spans="2:12">
      <c r="B69" s="1">
        <v>1995</v>
      </c>
      <c r="C69" s="300">
        <f t="shared" si="19"/>
        <v>-6123.8734796000535</v>
      </c>
      <c r="D69" s="300">
        <f t="shared" si="19"/>
        <v>-4686.9238568233704</v>
      </c>
      <c r="E69" s="300">
        <f t="shared" si="19"/>
        <v>-3183.0634196396786</v>
      </c>
      <c r="F69" s="300">
        <f t="shared" si="19"/>
        <v>-3806.8782519491906</v>
      </c>
      <c r="G69" s="300">
        <f t="shared" si="19"/>
        <v>-1972.651414486827</v>
      </c>
      <c r="H69" s="300">
        <f t="shared" si="19"/>
        <v>2370.0270671112121</v>
      </c>
      <c r="I69" s="300">
        <f t="shared" si="19"/>
        <v>-2023.4823984435316</v>
      </c>
      <c r="J69" s="300">
        <f t="shared" si="19"/>
        <v>-3446.3348429487451</v>
      </c>
      <c r="K69" s="300">
        <f t="shared" si="19"/>
        <v>1742.175219276327</v>
      </c>
      <c r="L69" s="300">
        <f t="shared" si="19"/>
        <v>-156.86722421196464</v>
      </c>
    </row>
    <row r="70" spans="2:12">
      <c r="B70" s="1">
        <v>1996</v>
      </c>
      <c r="C70" s="300">
        <f t="shared" si="19"/>
        <v>-6397.2854379342352</v>
      </c>
      <c r="D70" s="300">
        <f t="shared" si="19"/>
        <v>-4894.5128011208872</v>
      </c>
      <c r="E70" s="300">
        <f t="shared" si="19"/>
        <v>-3494.3056213951313</v>
      </c>
      <c r="F70" s="300">
        <f t="shared" si="19"/>
        <v>-3839.7045284338201</v>
      </c>
      <c r="G70" s="300">
        <f t="shared" si="19"/>
        <v>-1900.1515949313507</v>
      </c>
      <c r="H70" s="300">
        <f t="shared" si="19"/>
        <v>2159.8622844412275</v>
      </c>
      <c r="I70" s="300">
        <f t="shared" si="19"/>
        <v>-1797.2790288461292</v>
      </c>
      <c r="J70" s="300">
        <f t="shared" si="19"/>
        <v>-2579.0425020070361</v>
      </c>
      <c r="K70" s="300">
        <f t="shared" si="19"/>
        <v>1811.3330744195264</v>
      </c>
      <c r="L70" s="300">
        <f t="shared" si="19"/>
        <v>-222.17227954761256</v>
      </c>
    </row>
    <row r="71" spans="2:12">
      <c r="B71" s="1">
        <v>1997</v>
      </c>
      <c r="C71" s="300">
        <f t="shared" si="19"/>
        <v>-6872.2573968877332</v>
      </c>
      <c r="D71" s="300">
        <f t="shared" si="19"/>
        <v>-5112.2303119952921</v>
      </c>
      <c r="E71" s="300">
        <f t="shared" si="19"/>
        <v>-3450.8982170116906</v>
      </c>
      <c r="F71" s="300">
        <f t="shared" si="19"/>
        <v>-4168.0032584835208</v>
      </c>
      <c r="G71" s="300">
        <f t="shared" si="19"/>
        <v>-2029.8714541893896</v>
      </c>
      <c r="H71" s="300">
        <f t="shared" si="19"/>
        <v>2251.4539835197975</v>
      </c>
      <c r="I71" s="300">
        <f t="shared" si="19"/>
        <v>-2073.9823009941938</v>
      </c>
      <c r="J71" s="300">
        <f t="shared" si="19"/>
        <v>-3693.8172072529342</v>
      </c>
      <c r="K71" s="300">
        <f t="shared" si="19"/>
        <v>2796.077627572733</v>
      </c>
      <c r="L71" s="300">
        <f t="shared" si="19"/>
        <v>-371.5183357549904</v>
      </c>
    </row>
    <row r="72" spans="2:12">
      <c r="B72" s="1">
        <v>1998</v>
      </c>
      <c r="C72" s="300">
        <f t="shared" ref="C72:L79" si="20">C22-$B22</f>
        <v>-6675.9079321021927</v>
      </c>
      <c r="D72" s="300">
        <f t="shared" si="20"/>
        <v>-4942.6002293395613</v>
      </c>
      <c r="E72" s="300">
        <f t="shared" si="20"/>
        <v>-3129.2475659320735</v>
      </c>
      <c r="F72" s="300">
        <f t="shared" si="20"/>
        <v>-3892.9244461169656</v>
      </c>
      <c r="G72" s="300">
        <f t="shared" si="20"/>
        <v>-2263.2459127284601</v>
      </c>
      <c r="H72" s="300">
        <f t="shared" si="20"/>
        <v>2404.6588840027434</v>
      </c>
      <c r="I72" s="300">
        <f t="shared" si="20"/>
        <v>-2057.1868989265786</v>
      </c>
      <c r="J72" s="300">
        <f t="shared" si="20"/>
        <v>-3733.8665675987395</v>
      </c>
      <c r="K72" s="300">
        <f t="shared" si="20"/>
        <v>3090.3214948628665</v>
      </c>
      <c r="L72" s="300">
        <f t="shared" si="20"/>
        <v>-801.60508357302388</v>
      </c>
    </row>
    <row r="73" spans="2:12">
      <c r="B73" s="1">
        <v>1999</v>
      </c>
      <c r="C73" s="300">
        <f t="shared" si="20"/>
        <v>-6435.1917354777979</v>
      </c>
      <c r="D73" s="300">
        <f t="shared" si="20"/>
        <v>-4803.4929365523822</v>
      </c>
      <c r="E73" s="300">
        <f t="shared" si="20"/>
        <v>-2832.2597120733626</v>
      </c>
      <c r="F73" s="300">
        <f t="shared" si="20"/>
        <v>-3662.7733850043733</v>
      </c>
      <c r="G73" s="300">
        <f t="shared" si="20"/>
        <v>-2216.6027273058098</v>
      </c>
      <c r="H73" s="300">
        <f t="shared" si="20"/>
        <v>2536.4527745358828</v>
      </c>
      <c r="I73" s="300">
        <f t="shared" si="20"/>
        <v>-2552.3340752962322</v>
      </c>
      <c r="J73" s="300">
        <f t="shared" si="20"/>
        <v>-3785.6756464307</v>
      </c>
      <c r="K73" s="300">
        <f t="shared" si="20"/>
        <v>2343.7205804482692</v>
      </c>
      <c r="L73" s="300">
        <f t="shared" si="20"/>
        <v>-931.17996742816467</v>
      </c>
    </row>
    <row r="74" spans="2:12">
      <c r="B74" s="1">
        <v>2000</v>
      </c>
      <c r="C74" s="300">
        <f t="shared" si="20"/>
        <v>-6900.0758234566092</v>
      </c>
      <c r="D74" s="300">
        <f t="shared" si="20"/>
        <v>-5203.2998197906636</v>
      </c>
      <c r="E74" s="300">
        <f t="shared" si="20"/>
        <v>-3589.6048961641973</v>
      </c>
      <c r="F74" s="300">
        <f t="shared" si="20"/>
        <v>-4281.0662877357099</v>
      </c>
      <c r="G74" s="300">
        <f t="shared" si="20"/>
        <v>-2162.1394023587891</v>
      </c>
      <c r="H74" s="300">
        <f t="shared" si="20"/>
        <v>2582.3504539936985</v>
      </c>
      <c r="I74" s="300">
        <f t="shared" si="20"/>
        <v>-2937.306814711992</v>
      </c>
      <c r="J74" s="300">
        <f t="shared" si="20"/>
        <v>-4358.6293921573342</v>
      </c>
      <c r="K74" s="300">
        <f t="shared" si="20"/>
        <v>2675.2694894155647</v>
      </c>
      <c r="L74" s="300">
        <f t="shared" si="20"/>
        <v>-981.27477465819175</v>
      </c>
    </row>
    <row r="75" spans="2:12">
      <c r="B75" s="1">
        <v>2001</v>
      </c>
      <c r="C75" s="300">
        <f t="shared" si="20"/>
        <v>-6194.664074772958</v>
      </c>
      <c r="D75" s="300">
        <f t="shared" si="20"/>
        <v>-5549.8965596707567</v>
      </c>
      <c r="E75" s="300">
        <f t="shared" si="20"/>
        <v>-3370.5806827627166</v>
      </c>
      <c r="F75" s="300">
        <f t="shared" si="20"/>
        <v>-4295.4776352176159</v>
      </c>
      <c r="G75" s="300">
        <f t="shared" si="20"/>
        <v>-2058.1815612341306</v>
      </c>
      <c r="H75" s="300">
        <f t="shared" si="20"/>
        <v>2088.4261603518462</v>
      </c>
      <c r="I75" s="300">
        <f t="shared" si="20"/>
        <v>-3116.6810580755009</v>
      </c>
      <c r="J75" s="300">
        <f t="shared" si="20"/>
        <v>-4568.7215111437727</v>
      </c>
      <c r="K75" s="300">
        <f t="shared" si="20"/>
        <v>4293.3142351591305</v>
      </c>
      <c r="L75" s="300">
        <f t="shared" si="20"/>
        <v>-1178.1080092581142</v>
      </c>
    </row>
    <row r="76" spans="2:12">
      <c r="B76" s="1">
        <v>2002</v>
      </c>
      <c r="C76" s="300">
        <f t="shared" si="20"/>
        <v>-5710.6407254764345</v>
      </c>
      <c r="D76" s="300">
        <f t="shared" si="20"/>
        <v>-4836.0954984880373</v>
      </c>
      <c r="E76" s="300">
        <f t="shared" si="20"/>
        <v>-3242.6242979608578</v>
      </c>
      <c r="F76" s="300">
        <f t="shared" si="20"/>
        <v>-4243.4315762865954</v>
      </c>
      <c r="G76" s="300">
        <f t="shared" si="20"/>
        <v>-1859.6651838220059</v>
      </c>
      <c r="H76" s="300">
        <f t="shared" si="20"/>
        <v>1885.3459739589925</v>
      </c>
      <c r="I76" s="300">
        <f t="shared" si="20"/>
        <v>-2693.7690533633941</v>
      </c>
      <c r="J76" s="300">
        <f t="shared" si="20"/>
        <v>-4430.3489780067321</v>
      </c>
      <c r="K76" s="300">
        <f t="shared" si="20"/>
        <v>3640.3759481322195</v>
      </c>
      <c r="L76" s="300">
        <f t="shared" si="20"/>
        <v>-984.60706695365297</v>
      </c>
    </row>
    <row r="77" spans="2:12">
      <c r="B77" s="1">
        <v>2003</v>
      </c>
      <c r="C77" s="300">
        <f t="shared" si="20"/>
        <v>-5339.6682639823739</v>
      </c>
      <c r="D77" s="300">
        <f t="shared" si="20"/>
        <v>-5235.8103303320786</v>
      </c>
      <c r="E77" s="300">
        <f t="shared" si="20"/>
        <v>-3438.1216484470751</v>
      </c>
      <c r="F77" s="300">
        <f t="shared" si="20"/>
        <v>-4204.5243704501117</v>
      </c>
      <c r="G77" s="300">
        <f t="shared" si="20"/>
        <v>-1512.8357443222048</v>
      </c>
      <c r="H77" s="300">
        <f t="shared" si="20"/>
        <v>1666.1887737879224</v>
      </c>
      <c r="I77" s="300">
        <f t="shared" si="20"/>
        <v>-2505.5574761515163</v>
      </c>
      <c r="J77" s="300">
        <f t="shared" si="20"/>
        <v>-3704.3379092250289</v>
      </c>
      <c r="K77" s="300">
        <f t="shared" si="20"/>
        <v>3145.9299880040016</v>
      </c>
      <c r="L77" s="300">
        <f t="shared" si="20"/>
        <v>-846.8836211849557</v>
      </c>
    </row>
    <row r="78" spans="2:12">
      <c r="B78" s="1">
        <v>2004</v>
      </c>
      <c r="C78" s="300">
        <f t="shared" si="20"/>
        <v>-5723.8092602056859</v>
      </c>
      <c r="D78" s="300">
        <f t="shared" si="20"/>
        <v>-5819.156913098599</v>
      </c>
      <c r="E78" s="300">
        <f t="shared" si="20"/>
        <v>-3756.8686757188771</v>
      </c>
      <c r="F78" s="300">
        <f t="shared" si="20"/>
        <v>-4169.8243786402818</v>
      </c>
      <c r="G78" s="300">
        <f t="shared" si="20"/>
        <v>-1756.2253676520122</v>
      </c>
      <c r="H78" s="300">
        <f t="shared" si="20"/>
        <v>1510.4622401958586</v>
      </c>
      <c r="I78" s="300">
        <f t="shared" si="20"/>
        <v>-2683.0373419633943</v>
      </c>
      <c r="J78" s="300">
        <f t="shared" si="20"/>
        <v>-3311.7334788398184</v>
      </c>
      <c r="K78" s="300">
        <f t="shared" si="20"/>
        <v>4171.1666404321877</v>
      </c>
      <c r="L78" s="300">
        <f t="shared" si="20"/>
        <v>-728.85414901335389</v>
      </c>
    </row>
    <row r="79" spans="2:12">
      <c r="B79" s="1">
        <v>2005</v>
      </c>
      <c r="C79" s="300">
        <f t="shared" si="20"/>
        <v>-6053.312516141752</v>
      </c>
      <c r="D79" s="300">
        <f t="shared" si="20"/>
        <v>-6357.8970190634318</v>
      </c>
      <c r="E79" s="300">
        <f t="shared" si="20"/>
        <v>-3758.5010844662029</v>
      </c>
      <c r="F79" s="300">
        <f t="shared" si="20"/>
        <v>-4432.0805850720753</v>
      </c>
      <c r="G79" s="300">
        <f t="shared" si="20"/>
        <v>-2116.9527488647218</v>
      </c>
      <c r="H79" s="300">
        <f t="shared" si="20"/>
        <v>1297.1023437675649</v>
      </c>
      <c r="I79" s="300">
        <f t="shared" si="20"/>
        <v>-3145.0030812027362</v>
      </c>
      <c r="J79" s="300">
        <f t="shared" si="20"/>
        <v>-3792.8720856327091</v>
      </c>
      <c r="K79" s="300">
        <f t="shared" si="20"/>
        <v>5704.3835828122901</v>
      </c>
      <c r="L79" s="300">
        <f t="shared" si="20"/>
        <v>-527.69167668871887</v>
      </c>
    </row>
    <row r="80" spans="2:12" s="972" customFormat="1">
      <c r="C80" s="300">
        <f t="shared" ref="C80:L80" si="21">C30-$B30</f>
        <v>-2650.8997947211792</v>
      </c>
      <c r="D80" s="300">
        <f t="shared" si="21"/>
        <v>-6820.0991231168628</v>
      </c>
      <c r="E80" s="300">
        <f t="shared" si="21"/>
        <v>-4376.9189755821171</v>
      </c>
      <c r="F80" s="300">
        <f t="shared" si="21"/>
        <v>-4880.0120497070056</v>
      </c>
      <c r="G80" s="300">
        <f t="shared" si="21"/>
        <v>-2580.5355663664377</v>
      </c>
      <c r="H80" s="300">
        <f t="shared" si="21"/>
        <v>986.99697453631234</v>
      </c>
      <c r="I80" s="300">
        <f t="shared" si="21"/>
        <v>-3406.7604273654979</v>
      </c>
      <c r="J80" s="300">
        <f t="shared" si="21"/>
        <v>-3937.1439806008166</v>
      </c>
      <c r="K80" s="300">
        <f t="shared" si="21"/>
        <v>6784.5363805442939</v>
      </c>
      <c r="L80" s="300">
        <f t="shared" si="21"/>
        <v>-43.205521867639618</v>
      </c>
    </row>
    <row r="81" spans="2:12" s="972" customFormat="1">
      <c r="C81" s="300">
        <f t="shared" ref="C81:L81" si="22">C31-$B31</f>
        <v>-3986.3140643826482</v>
      </c>
      <c r="D81" s="300">
        <f t="shared" si="22"/>
        <v>-6957.1091260177964</v>
      </c>
      <c r="E81" s="300">
        <f t="shared" si="22"/>
        <v>-4454.9614091487892</v>
      </c>
      <c r="F81" s="300">
        <f t="shared" si="22"/>
        <v>-4972.1469739522545</v>
      </c>
      <c r="G81" s="300">
        <f t="shared" si="22"/>
        <v>-2443.8618257183007</v>
      </c>
      <c r="H81" s="300">
        <f t="shared" si="22"/>
        <v>835.81909263162015</v>
      </c>
      <c r="I81" s="300">
        <f t="shared" si="22"/>
        <v>-3130.3770258063341</v>
      </c>
      <c r="J81" s="300">
        <f t="shared" si="22"/>
        <v>-3383.5376411984143</v>
      </c>
      <c r="K81" s="300">
        <f t="shared" si="22"/>
        <v>6585.69418515281</v>
      </c>
      <c r="L81" s="300">
        <f t="shared" si="22"/>
        <v>108.5329404113254</v>
      </c>
    </row>
    <row r="82" spans="2:12" s="972" customFormat="1">
      <c r="C82" s="300">
        <f t="shared" ref="C82:L82" si="23">C32-$B32</f>
        <v>-5618.9367759788001</v>
      </c>
      <c r="D82" s="300">
        <f t="shared" si="23"/>
        <v>-7660.8736506535715</v>
      </c>
      <c r="E82" s="300">
        <f t="shared" si="23"/>
        <v>-4751.0658595891182</v>
      </c>
      <c r="F82" s="300">
        <f t="shared" si="23"/>
        <v>-4851.2376299607458</v>
      </c>
      <c r="G82" s="300">
        <f t="shared" si="23"/>
        <v>-2665.178635424716</v>
      </c>
      <c r="H82" s="300">
        <f t="shared" si="23"/>
        <v>622.84310989710866</v>
      </c>
      <c r="I82" s="300">
        <f t="shared" si="23"/>
        <v>-2915.5604886716283</v>
      </c>
      <c r="J82" s="300">
        <f t="shared" si="23"/>
        <v>-1763.2119466341792</v>
      </c>
      <c r="K82" s="300">
        <f t="shared" si="23"/>
        <v>7256.7490700044546</v>
      </c>
      <c r="L82" s="300">
        <f t="shared" si="23"/>
        <v>156.81697564380738</v>
      </c>
    </row>
    <row r="84" spans="2:12">
      <c r="B84" s="1" t="s">
        <v>280</v>
      </c>
    </row>
    <row r="85" spans="2:12">
      <c r="B85" s="1">
        <v>1981</v>
      </c>
      <c r="C85" s="300">
        <f>C55^2</f>
        <v>78778805.739914447</v>
      </c>
      <c r="D85" s="300">
        <f t="shared" ref="D85:L85" si="24">D55^2</f>
        <v>59701598.479751304</v>
      </c>
      <c r="E85" s="300">
        <f t="shared" si="24"/>
        <v>24708283.470383152</v>
      </c>
      <c r="F85" s="300">
        <f t="shared" si="24"/>
        <v>41152048.795672931</v>
      </c>
      <c r="G85" s="300">
        <f t="shared" si="24"/>
        <v>5658871.8768518344</v>
      </c>
      <c r="H85" s="300">
        <f t="shared" si="24"/>
        <v>4052038.6453355071</v>
      </c>
      <c r="I85" s="300">
        <f t="shared" si="24"/>
        <v>2578837.5862116036</v>
      </c>
      <c r="J85" s="300">
        <f t="shared" si="24"/>
        <v>2547738.9383538053</v>
      </c>
      <c r="K85" s="300">
        <f t="shared" si="24"/>
        <v>16594167.826193247</v>
      </c>
      <c r="L85" s="300">
        <f t="shared" si="24"/>
        <v>3070117.2279296438</v>
      </c>
    </row>
    <row r="86" spans="2:12">
      <c r="B86" s="1">
        <v>1982</v>
      </c>
      <c r="C86" s="300">
        <f t="shared" ref="C86:L101" si="25">C56^2</f>
        <v>70298477.44958286</v>
      </c>
      <c r="D86" s="300">
        <f t="shared" si="25"/>
        <v>47016286.592082582</v>
      </c>
      <c r="E86" s="300">
        <f t="shared" si="25"/>
        <v>19014682.658253912</v>
      </c>
      <c r="F86" s="300">
        <f t="shared" si="25"/>
        <v>31515393.267660722</v>
      </c>
      <c r="G86" s="300">
        <f t="shared" si="25"/>
        <v>7409263.4115449172</v>
      </c>
      <c r="H86" s="300">
        <f t="shared" si="25"/>
        <v>5789465.7401897795</v>
      </c>
      <c r="I86" s="300">
        <f t="shared" si="25"/>
        <v>673688.21057874896</v>
      </c>
      <c r="J86" s="300">
        <f t="shared" si="25"/>
        <v>607048.9865834401</v>
      </c>
      <c r="K86" s="300">
        <f t="shared" si="25"/>
        <v>10835475.723895624</v>
      </c>
      <c r="L86" s="300">
        <f t="shared" si="25"/>
        <v>1422081.9634144634</v>
      </c>
    </row>
    <row r="87" spans="2:12">
      <c r="B87" s="1">
        <v>1983</v>
      </c>
      <c r="C87" s="300">
        <f t="shared" si="25"/>
        <v>71653087.763947129</v>
      </c>
      <c r="D87" s="300">
        <f t="shared" si="25"/>
        <v>37781830.036633112</v>
      </c>
      <c r="E87" s="300">
        <f t="shared" si="25"/>
        <v>15960251.812320564</v>
      </c>
      <c r="F87" s="300">
        <f t="shared" si="25"/>
        <v>29130595.284375761</v>
      </c>
      <c r="G87" s="300">
        <f t="shared" si="25"/>
        <v>6849582.8411043724</v>
      </c>
      <c r="H87" s="300">
        <f t="shared" si="25"/>
        <v>7812421.8871425455</v>
      </c>
      <c r="I87" s="300">
        <f t="shared" si="25"/>
        <v>2513309.2699132324</v>
      </c>
      <c r="J87" s="300">
        <f t="shared" si="25"/>
        <v>3415205.2464966676</v>
      </c>
      <c r="K87" s="300">
        <f t="shared" si="25"/>
        <v>6686788.8913951116</v>
      </c>
      <c r="L87" s="300">
        <f t="shared" si="25"/>
        <v>497033.44858821045</v>
      </c>
    </row>
    <row r="88" spans="2:12">
      <c r="B88" s="1">
        <v>1984</v>
      </c>
      <c r="C88" s="300">
        <f t="shared" si="25"/>
        <v>83147971.693639755</v>
      </c>
      <c r="D88" s="300">
        <f t="shared" si="25"/>
        <v>44667762.695069641</v>
      </c>
      <c r="E88" s="300">
        <f t="shared" si="25"/>
        <v>16314790.770487374</v>
      </c>
      <c r="F88" s="300">
        <f t="shared" si="25"/>
        <v>31828178.086418778</v>
      </c>
      <c r="G88" s="300">
        <f t="shared" si="25"/>
        <v>5376855.3745141542</v>
      </c>
      <c r="H88" s="300">
        <f t="shared" si="25"/>
        <v>8674819.3045724221</v>
      </c>
      <c r="I88" s="300">
        <f t="shared" si="25"/>
        <v>409119.05788883724</v>
      </c>
      <c r="J88" s="300">
        <f t="shared" si="25"/>
        <v>5229546.1485197023</v>
      </c>
      <c r="K88" s="300">
        <f t="shared" si="25"/>
        <v>4679490.6984824035</v>
      </c>
      <c r="L88" s="300">
        <f t="shared" si="25"/>
        <v>1781.0868962995933</v>
      </c>
    </row>
    <row r="89" spans="2:12">
      <c r="B89" s="1">
        <v>1985</v>
      </c>
      <c r="C89" s="300">
        <f t="shared" si="25"/>
        <v>89449551.141259626</v>
      </c>
      <c r="D89" s="300">
        <f t="shared" si="25"/>
        <v>51001082.119629674</v>
      </c>
      <c r="E89" s="300">
        <f t="shared" si="25"/>
        <v>16359044.407009931</v>
      </c>
      <c r="F89" s="300">
        <f t="shared" si="25"/>
        <v>37436116.91836413</v>
      </c>
      <c r="G89" s="300">
        <f t="shared" si="25"/>
        <v>6539496.4053969374</v>
      </c>
      <c r="H89" s="300">
        <f t="shared" si="25"/>
        <v>9429551.5403185673</v>
      </c>
      <c r="I89" s="300">
        <f t="shared" si="25"/>
        <v>383371.410942121</v>
      </c>
      <c r="J89" s="300">
        <f t="shared" si="25"/>
        <v>6515554.0850087851</v>
      </c>
      <c r="K89" s="300">
        <f t="shared" si="25"/>
        <v>8892115.7282118965</v>
      </c>
      <c r="L89" s="300">
        <f t="shared" si="25"/>
        <v>74152.014028230609</v>
      </c>
    </row>
    <row r="90" spans="2:12">
      <c r="B90" s="1">
        <v>1986</v>
      </c>
      <c r="C90" s="300">
        <f t="shared" si="25"/>
        <v>82688117.986802638</v>
      </c>
      <c r="D90" s="300">
        <f t="shared" si="25"/>
        <v>34413262.658292174</v>
      </c>
      <c r="E90" s="300">
        <f t="shared" si="25"/>
        <v>15678339.003613437</v>
      </c>
      <c r="F90" s="300">
        <f t="shared" si="25"/>
        <v>31744255.275117423</v>
      </c>
      <c r="G90" s="300">
        <f t="shared" si="25"/>
        <v>7114487.0169490511</v>
      </c>
      <c r="H90" s="300">
        <f t="shared" si="25"/>
        <v>10300211.356597411</v>
      </c>
      <c r="I90" s="300">
        <f t="shared" si="25"/>
        <v>979962.14233569079</v>
      </c>
      <c r="J90" s="300">
        <f t="shared" si="25"/>
        <v>1897934.9922224614</v>
      </c>
      <c r="K90" s="300">
        <f t="shared" si="25"/>
        <v>4546867.5765831647</v>
      </c>
      <c r="L90" s="300">
        <f t="shared" si="25"/>
        <v>204832.19237889873</v>
      </c>
    </row>
    <row r="91" spans="2:12">
      <c r="B91" s="1">
        <v>1987</v>
      </c>
      <c r="C91" s="300">
        <f t="shared" si="25"/>
        <v>68720770.048860997</v>
      </c>
      <c r="D91" s="300">
        <f t="shared" si="25"/>
        <v>33353451.171452347</v>
      </c>
      <c r="E91" s="300">
        <f t="shared" si="25"/>
        <v>13062933.587027328</v>
      </c>
      <c r="F91" s="300">
        <f t="shared" si="25"/>
        <v>27356785.689310856</v>
      </c>
      <c r="G91" s="300">
        <f t="shared" si="25"/>
        <v>6326837.9721984593</v>
      </c>
      <c r="H91" s="300">
        <f t="shared" si="25"/>
        <v>11803341.590662371</v>
      </c>
      <c r="I91" s="300">
        <f t="shared" si="25"/>
        <v>2315168.2855251855</v>
      </c>
      <c r="J91" s="300">
        <f t="shared" si="25"/>
        <v>16562069.70411096</v>
      </c>
      <c r="K91" s="300">
        <f t="shared" si="25"/>
        <v>1427219.1909470127</v>
      </c>
      <c r="L91" s="300">
        <f t="shared" si="25"/>
        <v>38.393147720252877</v>
      </c>
    </row>
    <row r="92" spans="2:12">
      <c r="B92" s="1">
        <v>1988</v>
      </c>
      <c r="C92" s="300">
        <f t="shared" si="25"/>
        <v>69159460.203516811</v>
      </c>
      <c r="D92" s="300">
        <f t="shared" si="25"/>
        <v>31769938.864975773</v>
      </c>
      <c r="E92" s="300">
        <f t="shared" si="25"/>
        <v>15003128.38499954</v>
      </c>
      <c r="F92" s="300">
        <f t="shared" si="25"/>
        <v>29431298.742540922</v>
      </c>
      <c r="G92" s="300">
        <f t="shared" si="25"/>
        <v>7953618.1457688278</v>
      </c>
      <c r="H92" s="300">
        <f t="shared" si="25"/>
        <v>12542373.005452489</v>
      </c>
      <c r="I92" s="300">
        <f t="shared" si="25"/>
        <v>3993100.3047047453</v>
      </c>
      <c r="J92" s="300">
        <f t="shared" si="25"/>
        <v>20525311.913073983</v>
      </c>
      <c r="K92" s="300">
        <f t="shared" si="25"/>
        <v>3202243.3240782181</v>
      </c>
      <c r="L92" s="300">
        <f t="shared" si="25"/>
        <v>3260.9557678073929</v>
      </c>
    </row>
    <row r="93" spans="2:12">
      <c r="B93" s="1">
        <v>1989</v>
      </c>
      <c r="C93" s="300">
        <f t="shared" si="25"/>
        <v>66061711.989048183</v>
      </c>
      <c r="D93" s="300">
        <f t="shared" si="25"/>
        <v>31489850.166471984</v>
      </c>
      <c r="E93" s="300">
        <f t="shared" si="25"/>
        <v>14630463.305857733</v>
      </c>
      <c r="F93" s="300">
        <f t="shared" si="25"/>
        <v>30072589.148779485</v>
      </c>
      <c r="G93" s="300">
        <f t="shared" si="25"/>
        <v>7787011.5248108171</v>
      </c>
      <c r="H93" s="300">
        <f t="shared" si="25"/>
        <v>11604412.389239483</v>
      </c>
      <c r="I93" s="300">
        <f t="shared" si="25"/>
        <v>4845037.1443349514</v>
      </c>
      <c r="J93" s="300">
        <f t="shared" si="25"/>
        <v>23239083.238390949</v>
      </c>
      <c r="K93" s="300">
        <f t="shared" si="25"/>
        <v>2768515.0479964763</v>
      </c>
      <c r="L93" s="300">
        <f t="shared" si="25"/>
        <v>310130.29782836011</v>
      </c>
    </row>
    <row r="94" spans="2:12">
      <c r="B94" s="1">
        <v>1990</v>
      </c>
      <c r="C94" s="300">
        <f t="shared" si="25"/>
        <v>57634350.880307995</v>
      </c>
      <c r="D94" s="300">
        <f t="shared" si="25"/>
        <v>30247146.006497674</v>
      </c>
      <c r="E94" s="300">
        <f t="shared" si="25"/>
        <v>13722043.187117679</v>
      </c>
      <c r="F94" s="300">
        <f t="shared" si="25"/>
        <v>29416276.22609083</v>
      </c>
      <c r="G94" s="300">
        <f t="shared" si="25"/>
        <v>6278559.6162255425</v>
      </c>
      <c r="H94" s="300">
        <f t="shared" si="25"/>
        <v>7866063.5614808351</v>
      </c>
      <c r="I94" s="300">
        <f t="shared" si="25"/>
        <v>2643185.7583375196</v>
      </c>
      <c r="J94" s="300">
        <f t="shared" si="25"/>
        <v>14622698.976406643</v>
      </c>
      <c r="K94" s="300">
        <f t="shared" si="25"/>
        <v>3132711.6823883904</v>
      </c>
      <c r="L94" s="300">
        <f t="shared" si="25"/>
        <v>796199.99169314804</v>
      </c>
    </row>
    <row r="95" spans="2:12">
      <c r="B95" s="1">
        <v>1991</v>
      </c>
      <c r="C95" s="300">
        <f t="shared" si="25"/>
        <v>49105346.487669535</v>
      </c>
      <c r="D95" s="300">
        <f t="shared" si="25"/>
        <v>27528930.299829233</v>
      </c>
      <c r="E95" s="300">
        <f t="shared" si="25"/>
        <v>11442983.093657559</v>
      </c>
      <c r="F95" s="300">
        <f t="shared" si="25"/>
        <v>25824778.145138502</v>
      </c>
      <c r="G95" s="300">
        <f t="shared" si="25"/>
        <v>7387471.0079103392</v>
      </c>
      <c r="H95" s="300">
        <f t="shared" si="25"/>
        <v>7528426.8878819048</v>
      </c>
      <c r="I95" s="300">
        <f t="shared" si="25"/>
        <v>3009770.9937099861</v>
      </c>
      <c r="J95" s="300">
        <f t="shared" si="25"/>
        <v>12004255.987693314</v>
      </c>
      <c r="K95" s="300">
        <f t="shared" si="25"/>
        <v>3498409.2314752541</v>
      </c>
      <c r="L95" s="300">
        <f t="shared" si="25"/>
        <v>919748.06021975307</v>
      </c>
    </row>
    <row r="96" spans="2:12">
      <c r="B96" s="1">
        <v>1992</v>
      </c>
      <c r="C96" s="300">
        <f t="shared" si="25"/>
        <v>46049658.521155022</v>
      </c>
      <c r="D96" s="300">
        <f t="shared" si="25"/>
        <v>24734784.031957559</v>
      </c>
      <c r="E96" s="300">
        <f t="shared" si="25"/>
        <v>9268180.6483359765</v>
      </c>
      <c r="F96" s="300">
        <f t="shared" si="25"/>
        <v>20672206.180352584</v>
      </c>
      <c r="G96" s="300">
        <f t="shared" si="25"/>
        <v>7535916.4918074943</v>
      </c>
      <c r="H96" s="300">
        <f t="shared" si="25"/>
        <v>7890303.2438322995</v>
      </c>
      <c r="I96" s="300">
        <f t="shared" si="25"/>
        <v>2476847.811686161</v>
      </c>
      <c r="J96" s="300">
        <f t="shared" si="25"/>
        <v>15636147.819104934</v>
      </c>
      <c r="K96" s="300">
        <f t="shared" si="25"/>
        <v>3062688.4018876986</v>
      </c>
      <c r="L96" s="300">
        <f t="shared" si="25"/>
        <v>463852.34915960219</v>
      </c>
    </row>
    <row r="97" spans="2:12">
      <c r="B97" s="1">
        <v>1993</v>
      </c>
      <c r="C97" s="300">
        <f t="shared" si="25"/>
        <v>41371414.249102771</v>
      </c>
      <c r="D97" s="300">
        <f t="shared" si="25"/>
        <v>19708580.362685572</v>
      </c>
      <c r="E97" s="300">
        <f t="shared" si="25"/>
        <v>8111634.311825796</v>
      </c>
      <c r="F97" s="300">
        <f t="shared" si="25"/>
        <v>17672476.468552649</v>
      </c>
      <c r="G97" s="300">
        <f t="shared" si="25"/>
        <v>5605790.0099584144</v>
      </c>
      <c r="H97" s="300">
        <f t="shared" si="25"/>
        <v>6256261.7321534818</v>
      </c>
      <c r="I97" s="300">
        <f t="shared" si="25"/>
        <v>3940937.7572769695</v>
      </c>
      <c r="J97" s="300">
        <f t="shared" si="25"/>
        <v>15930721.769497277</v>
      </c>
      <c r="K97" s="300">
        <f t="shared" si="25"/>
        <v>5378754.2024781294</v>
      </c>
      <c r="L97" s="300">
        <f t="shared" si="25"/>
        <v>135084.30949193428</v>
      </c>
    </row>
    <row r="98" spans="2:12">
      <c r="B98" s="1">
        <v>1994</v>
      </c>
      <c r="C98" s="300">
        <f t="shared" si="25"/>
        <v>39801464.181589194</v>
      </c>
      <c r="D98" s="300">
        <f t="shared" si="25"/>
        <v>23362445.627733737</v>
      </c>
      <c r="E98" s="300">
        <f t="shared" si="25"/>
        <v>10234935.417230362</v>
      </c>
      <c r="F98" s="300">
        <f t="shared" si="25"/>
        <v>16906592.644832127</v>
      </c>
      <c r="G98" s="300">
        <f t="shared" si="25"/>
        <v>4146979.9002796151</v>
      </c>
      <c r="H98" s="300">
        <f t="shared" si="25"/>
        <v>5950841.8255256042</v>
      </c>
      <c r="I98" s="300">
        <f t="shared" si="25"/>
        <v>4037961.1643531499</v>
      </c>
      <c r="J98" s="300">
        <f t="shared" si="25"/>
        <v>18271084.680750541</v>
      </c>
      <c r="K98" s="300">
        <f t="shared" si="25"/>
        <v>3338524.3304671156</v>
      </c>
      <c r="L98" s="300">
        <f t="shared" si="25"/>
        <v>1815.4918950115948</v>
      </c>
    </row>
    <row r="99" spans="2:12">
      <c r="B99" s="1">
        <v>1995</v>
      </c>
      <c r="C99" s="300">
        <f t="shared" si="25"/>
        <v>37501826.394148864</v>
      </c>
      <c r="D99" s="300">
        <f t="shared" si="25"/>
        <v>21967255.239660058</v>
      </c>
      <c r="E99" s="300">
        <f t="shared" si="25"/>
        <v>10131892.733448245</v>
      </c>
      <c r="F99" s="300">
        <f t="shared" si="25"/>
        <v>14492322.025163725</v>
      </c>
      <c r="G99" s="300">
        <f t="shared" si="25"/>
        <v>3891353.6030768794</v>
      </c>
      <c r="H99" s="300">
        <f t="shared" si="25"/>
        <v>5617028.298839774</v>
      </c>
      <c r="I99" s="300">
        <f t="shared" si="25"/>
        <v>4094481.0168107869</v>
      </c>
      <c r="J99" s="300">
        <f t="shared" si="25"/>
        <v>11877223.849722551</v>
      </c>
      <c r="K99" s="300">
        <f t="shared" si="25"/>
        <v>3035174.4946605181</v>
      </c>
      <c r="L99" s="300">
        <f t="shared" si="25"/>
        <v>24607.326031966786</v>
      </c>
    </row>
    <row r="100" spans="2:12">
      <c r="B100" s="1">
        <v>1996</v>
      </c>
      <c r="C100" s="300">
        <f t="shared" si="25"/>
        <v>40925260.974405423</v>
      </c>
      <c r="D100" s="300">
        <f t="shared" si="25"/>
        <v>23956255.560336232</v>
      </c>
      <c r="E100" s="300">
        <f t="shared" si="25"/>
        <v>12210171.775713615</v>
      </c>
      <c r="F100" s="300">
        <f t="shared" si="25"/>
        <v>14743330.865675185</v>
      </c>
      <c r="G100" s="300">
        <f t="shared" si="25"/>
        <v>3610576.083720156</v>
      </c>
      <c r="H100" s="300">
        <f t="shared" si="25"/>
        <v>4665005.0877516782</v>
      </c>
      <c r="I100" s="300">
        <f t="shared" si="25"/>
        <v>3230211.9075300852</v>
      </c>
      <c r="J100" s="300">
        <f t="shared" si="25"/>
        <v>6651460.2271587132</v>
      </c>
      <c r="K100" s="300">
        <f t="shared" si="25"/>
        <v>3280927.5064860936</v>
      </c>
      <c r="L100" s="300">
        <f t="shared" si="25"/>
        <v>49360.521799382506</v>
      </c>
    </row>
    <row r="101" spans="2:12">
      <c r="B101" s="1">
        <v>1997</v>
      </c>
      <c r="C101" s="300">
        <f t="shared" si="25"/>
        <v>47227921.729078166</v>
      </c>
      <c r="D101" s="300">
        <f t="shared" si="25"/>
        <v>26134898.762883481</v>
      </c>
      <c r="E101" s="300">
        <f t="shared" si="25"/>
        <v>11908698.504174465</v>
      </c>
      <c r="F101" s="300">
        <f t="shared" si="25"/>
        <v>17372251.162729248</v>
      </c>
      <c r="G101" s="300">
        <f t="shared" si="25"/>
        <v>4120378.1205329471</v>
      </c>
      <c r="H101" s="300">
        <f t="shared" si="25"/>
        <v>5069045.0399071649</v>
      </c>
      <c r="I101" s="300">
        <f t="shared" si="25"/>
        <v>4301402.5848371703</v>
      </c>
      <c r="J101" s="300">
        <f t="shared" si="25"/>
        <v>13644285.560597867</v>
      </c>
      <c r="K101" s="300">
        <f t="shared" si="25"/>
        <v>7818050.0994127635</v>
      </c>
      <c r="L101" s="300">
        <f t="shared" si="25"/>
        <v>138025.87380215779</v>
      </c>
    </row>
    <row r="102" spans="2:12">
      <c r="B102" s="1">
        <v>1998</v>
      </c>
      <c r="C102" s="300">
        <f t="shared" ref="C102:L109" si="26">C72^2</f>
        <v>44567746.717904978</v>
      </c>
      <c r="D102" s="300">
        <f t="shared" si="26"/>
        <v>24429297.027067482</v>
      </c>
      <c r="E102" s="300">
        <f t="shared" si="26"/>
        <v>9792190.3288918063</v>
      </c>
      <c r="F102" s="300">
        <f t="shared" si="26"/>
        <v>15154860.743175084</v>
      </c>
      <c r="G102" s="300">
        <f t="shared" si="26"/>
        <v>5122282.0614820803</v>
      </c>
      <c r="H102" s="300">
        <f t="shared" si="26"/>
        <v>5782384.3484133193</v>
      </c>
      <c r="I102" s="300">
        <f t="shared" si="26"/>
        <v>4232017.9371151533</v>
      </c>
      <c r="J102" s="300">
        <f t="shared" si="26"/>
        <v>13941759.544631593</v>
      </c>
      <c r="K102" s="300">
        <f t="shared" si="26"/>
        <v>9550086.9416114613</v>
      </c>
      <c r="L102" s="300">
        <f t="shared" si="26"/>
        <v>642570.71001011459</v>
      </c>
    </row>
    <row r="103" spans="2:12">
      <c r="B103" s="1">
        <v>1999</v>
      </c>
      <c r="C103" s="300">
        <f t="shared" si="26"/>
        <v>41411692.672361754</v>
      </c>
      <c r="D103" s="300">
        <f t="shared" si="26"/>
        <v>23073544.391508628</v>
      </c>
      <c r="E103" s="300">
        <f t="shared" si="26"/>
        <v>8021695.0766338864</v>
      </c>
      <c r="F103" s="300">
        <f t="shared" si="26"/>
        <v>13415908.869896395</v>
      </c>
      <c r="G103" s="300">
        <f t="shared" si="26"/>
        <v>4913327.650699554</v>
      </c>
      <c r="H103" s="300">
        <f t="shared" si="26"/>
        <v>6433592.677450778</v>
      </c>
      <c r="I103" s="300">
        <f t="shared" si="26"/>
        <v>6514409.2319182726</v>
      </c>
      <c r="J103" s="300">
        <f t="shared" si="26"/>
        <v>14331340.099978499</v>
      </c>
      <c r="K103" s="300">
        <f t="shared" si="26"/>
        <v>5493026.1592167718</v>
      </c>
      <c r="L103" s="300">
        <f t="shared" si="26"/>
        <v>867096.13173951779</v>
      </c>
    </row>
    <row r="104" spans="2:12">
      <c r="B104" s="1">
        <v>2000</v>
      </c>
      <c r="C104" s="300">
        <f t="shared" si="26"/>
        <v>47611046.369450405</v>
      </c>
      <c r="D104" s="300">
        <f t="shared" si="26"/>
        <v>27074329.014633551</v>
      </c>
      <c r="E104" s="300">
        <f t="shared" si="26"/>
        <v>12885263.310565978</v>
      </c>
      <c r="F104" s="300">
        <f t="shared" si="26"/>
        <v>18327528.559987213</v>
      </c>
      <c r="G104" s="300">
        <f t="shared" si="26"/>
        <v>4674846.7952324217</v>
      </c>
      <c r="H104" s="300">
        <f t="shared" si="26"/>
        <v>6668533.8672414608</v>
      </c>
      <c r="I104" s="300">
        <f t="shared" si="26"/>
        <v>8627771.3237535097</v>
      </c>
      <c r="J104" s="300">
        <f t="shared" si="26"/>
        <v>18997650.178177811</v>
      </c>
      <c r="K104" s="300">
        <f t="shared" si="26"/>
        <v>7157066.8409978161</v>
      </c>
      <c r="L104" s="300">
        <f t="shared" si="26"/>
        <v>962900.18338048505</v>
      </c>
    </row>
    <row r="105" spans="2:12">
      <c r="B105" s="1">
        <v>2001</v>
      </c>
      <c r="C105" s="300">
        <f t="shared" si="26"/>
        <v>38373862.99928271</v>
      </c>
      <c r="D105" s="300">
        <f t="shared" si="26"/>
        <v>30801351.823045302</v>
      </c>
      <c r="E105" s="300">
        <f t="shared" si="26"/>
        <v>11360814.139013181</v>
      </c>
      <c r="F105" s="300">
        <f t="shared" si="26"/>
        <v>18451128.11465472</v>
      </c>
      <c r="G105" s="300">
        <f t="shared" si="26"/>
        <v>4236111.3390041636</v>
      </c>
      <c r="H105" s="300">
        <f t="shared" si="26"/>
        <v>4361523.8272419553</v>
      </c>
      <c r="I105" s="300">
        <f t="shared" si="26"/>
        <v>9713700.8177666236</v>
      </c>
      <c r="J105" s="300">
        <f t="shared" si="26"/>
        <v>20873216.246387839</v>
      </c>
      <c r="K105" s="300">
        <f t="shared" si="26"/>
        <v>18432547.121820029</v>
      </c>
      <c r="L105" s="300">
        <f t="shared" si="26"/>
        <v>1387938.4814781169</v>
      </c>
    </row>
    <row r="106" spans="2:12">
      <c r="B106" s="1">
        <v>2002</v>
      </c>
      <c r="C106" s="300">
        <f t="shared" si="26"/>
        <v>32611417.495470017</v>
      </c>
      <c r="D106" s="300">
        <f t="shared" si="26"/>
        <v>23387819.670496259</v>
      </c>
      <c r="E106" s="300">
        <f t="shared" si="26"/>
        <v>10514612.337726146</v>
      </c>
      <c r="F106" s="300">
        <f t="shared" si="26"/>
        <v>18006711.542626139</v>
      </c>
      <c r="G106" s="300">
        <f t="shared" si="26"/>
        <v>3458354.5959197353</v>
      </c>
      <c r="H106" s="300">
        <f t="shared" si="26"/>
        <v>3554529.441523382</v>
      </c>
      <c r="I106" s="300">
        <f t="shared" si="26"/>
        <v>7256391.7128583165</v>
      </c>
      <c r="J106" s="300">
        <f t="shared" si="26"/>
        <v>19627992.066925295</v>
      </c>
      <c r="K106" s="300">
        <f t="shared" si="26"/>
        <v>13252337.043739555</v>
      </c>
      <c r="L106" s="300">
        <f t="shared" si="26"/>
        <v>969451.07629507524</v>
      </c>
    </row>
    <row r="107" spans="2:12">
      <c r="B107" s="1">
        <v>2003</v>
      </c>
      <c r="C107" s="300">
        <f t="shared" si="26"/>
        <v>28512057.169380538</v>
      </c>
      <c r="D107" s="300">
        <f t="shared" si="26"/>
        <v>27413709.815212108</v>
      </c>
      <c r="E107" s="300">
        <f t="shared" si="26"/>
        <v>11820680.469520433</v>
      </c>
      <c r="F107" s="300">
        <f t="shared" si="26"/>
        <v>17678025.18170891</v>
      </c>
      <c r="G107" s="300">
        <f t="shared" si="26"/>
        <v>2288671.9892989197</v>
      </c>
      <c r="H107" s="300">
        <f t="shared" si="26"/>
        <v>2776185.0298969005</v>
      </c>
      <c r="I107" s="300">
        <f t="shared" si="26"/>
        <v>6277818.266298756</v>
      </c>
      <c r="J107" s="300">
        <f t="shared" si="26"/>
        <v>13722119.345721658</v>
      </c>
      <c r="K107" s="300">
        <f t="shared" si="26"/>
        <v>9896875.4894228578</v>
      </c>
      <c r="L107" s="300">
        <f t="shared" si="26"/>
        <v>717211.86783134355</v>
      </c>
    </row>
    <row r="108" spans="2:12">
      <c r="B108" s="1">
        <v>2004</v>
      </c>
      <c r="C108" s="300">
        <f t="shared" si="26"/>
        <v>32761992.447216362</v>
      </c>
      <c r="D108" s="300">
        <f t="shared" si="26"/>
        <v>33862587.179263219</v>
      </c>
      <c r="E108" s="300">
        <f t="shared" si="26"/>
        <v>14114062.246597709</v>
      </c>
      <c r="F108" s="300">
        <f t="shared" si="26"/>
        <v>17387435.348702811</v>
      </c>
      <c r="G108" s="300">
        <f t="shared" si="26"/>
        <v>3084327.5419844454</v>
      </c>
      <c r="H108" s="300">
        <f t="shared" si="26"/>
        <v>2281496.1790574915</v>
      </c>
      <c r="I108" s="300">
        <f t="shared" si="26"/>
        <v>7198689.3783699963</v>
      </c>
      <c r="J108" s="300">
        <f t="shared" si="26"/>
        <v>10967578.634868486</v>
      </c>
      <c r="K108" s="300">
        <f t="shared" si="26"/>
        <v>17398631.142254345</v>
      </c>
      <c r="L108" s="300">
        <f t="shared" si="26"/>
        <v>531228.37053398031</v>
      </c>
    </row>
    <row r="109" spans="2:12">
      <c r="B109" s="1">
        <v>2005</v>
      </c>
      <c r="C109" s="300">
        <f t="shared" si="26"/>
        <v>36642592.418078385</v>
      </c>
      <c r="D109" s="300">
        <f t="shared" si="26"/>
        <v>40422854.505015671</v>
      </c>
      <c r="E109" s="300">
        <f t="shared" si="26"/>
        <v>14126330.401933623</v>
      </c>
      <c r="F109" s="300">
        <f t="shared" si="26"/>
        <v>19643338.312572829</v>
      </c>
      <c r="G109" s="300">
        <f t="shared" si="26"/>
        <v>4481488.9409259018</v>
      </c>
      <c r="H109" s="300">
        <f t="shared" si="26"/>
        <v>1682474.4902073101</v>
      </c>
      <c r="I109" s="300">
        <f t="shared" si="26"/>
        <v>9891044.3807747047</v>
      </c>
      <c r="J109" s="300">
        <f t="shared" si="26"/>
        <v>14385878.657971816</v>
      </c>
      <c r="K109" s="300">
        <f t="shared" si="26"/>
        <v>32539992.059858378</v>
      </c>
      <c r="L109" s="300">
        <f t="shared" si="26"/>
        <v>278458.50564655144</v>
      </c>
    </row>
    <row r="110" spans="2:12">
      <c r="C110" s="300">
        <f t="shared" ref="C110:L110" si="27">C80^2</f>
        <v>7027269.72165279</v>
      </c>
      <c r="D110" s="300">
        <f t="shared" si="27"/>
        <v>46513752.049139403</v>
      </c>
      <c r="E110" s="300">
        <f t="shared" si="27"/>
        <v>19157419.718810808</v>
      </c>
      <c r="F110" s="300">
        <f t="shared" si="27"/>
        <v>23814517.60528557</v>
      </c>
      <c r="G110" s="300">
        <f t="shared" si="27"/>
        <v>6659163.8092821511</v>
      </c>
      <c r="H110" s="300">
        <f t="shared" si="27"/>
        <v>974163.02774383395</v>
      </c>
      <c r="I110" s="300">
        <f t="shared" si="27"/>
        <v>11606016.60946355</v>
      </c>
      <c r="J110" s="300">
        <f t="shared" si="27"/>
        <v>15501102.723981243</v>
      </c>
      <c r="K110" s="300">
        <f t="shared" si="27"/>
        <v>46029933.898929067</v>
      </c>
      <c r="L110" s="300">
        <f t="shared" si="27"/>
        <v>1866.7171198550852</v>
      </c>
    </row>
    <row r="111" spans="2:12">
      <c r="C111" s="300">
        <f t="shared" ref="C111:L111" si="28">C81^2</f>
        <v>15890699.819894908</v>
      </c>
      <c r="D111" s="300">
        <f t="shared" si="28"/>
        <v>48401367.391320109</v>
      </c>
      <c r="E111" s="300">
        <f t="shared" si="28"/>
        <v>19846681.157004967</v>
      </c>
      <c r="F111" s="300">
        <f t="shared" si="28"/>
        <v>24722245.530582562</v>
      </c>
      <c r="G111" s="300">
        <f t="shared" si="28"/>
        <v>5972460.6232031854</v>
      </c>
      <c r="H111" s="300">
        <f t="shared" si="28"/>
        <v>698593.55560754484</v>
      </c>
      <c r="I111" s="300">
        <f t="shared" si="28"/>
        <v>9799260.3236961104</v>
      </c>
      <c r="J111" s="300">
        <f t="shared" si="28"/>
        <v>11448326.96940653</v>
      </c>
      <c r="K111" s="300">
        <f t="shared" si="28"/>
        <v>43371367.900355533</v>
      </c>
      <c r="L111" s="300">
        <f t="shared" si="28"/>
        <v>11779.39915432831</v>
      </c>
    </row>
    <row r="112" spans="2:12">
      <c r="C112" s="300">
        <f t="shared" ref="C112:L112" si="29">C82^2</f>
        <v>31572450.492447034</v>
      </c>
      <c r="D112" s="300">
        <f t="shared" si="29"/>
        <v>58688985.09127818</v>
      </c>
      <c r="E112" s="300">
        <f t="shared" si="29"/>
        <v>22572626.802153286</v>
      </c>
      <c r="F112" s="300">
        <f t="shared" si="29"/>
        <v>23534506.542347156</v>
      </c>
      <c r="G112" s="300">
        <f t="shared" si="29"/>
        <v>7103177.1587243518</v>
      </c>
      <c r="H112" s="300">
        <f t="shared" si="29"/>
        <v>387933.53954630176</v>
      </c>
      <c r="I112" s="300">
        <f t="shared" si="29"/>
        <v>8500492.9631031435</v>
      </c>
      <c r="J112" s="300">
        <f t="shared" si="29"/>
        <v>3108916.3687534914</v>
      </c>
      <c r="K112" s="300">
        <f t="shared" si="29"/>
        <v>52660407.065010518</v>
      </c>
      <c r="L112" s="300">
        <f t="shared" si="29"/>
        <v>24591.563850070477</v>
      </c>
    </row>
    <row r="113" spans="3:12">
      <c r="C113" s="300"/>
      <c r="D113" s="300"/>
      <c r="E113" s="300"/>
      <c r="F113" s="300"/>
      <c r="G113" s="300"/>
      <c r="H113" s="300"/>
      <c r="I113" s="300"/>
      <c r="J113" s="300"/>
      <c r="K113" s="300"/>
      <c r="L113" s="300"/>
    </row>
    <row r="114" spans="3:12">
      <c r="C114" s="300"/>
      <c r="D114" s="300"/>
      <c r="E114" s="300"/>
      <c r="F114" s="300"/>
      <c r="G114" s="300"/>
      <c r="H114" s="300"/>
      <c r="I114" s="300"/>
      <c r="J114" s="300"/>
      <c r="K114" s="300"/>
      <c r="L114" s="300"/>
    </row>
  </sheetData>
  <mergeCells count="11">
    <mergeCell ref="K3:K4"/>
    <mergeCell ref="L3:L4"/>
    <mergeCell ref="F3:F4"/>
    <mergeCell ref="G3:G4"/>
    <mergeCell ref="H3:H4"/>
    <mergeCell ref="I3:I4"/>
    <mergeCell ref="B3:B4"/>
    <mergeCell ref="C3:C4"/>
    <mergeCell ref="D3:D4"/>
    <mergeCell ref="E3:E4"/>
    <mergeCell ref="J3:J4"/>
  </mergeCells>
  <phoneticPr fontId="35" type="noConversion"/>
  <pageMargins left="0.75" right="0.75" top="1" bottom="1" header="0.5" footer="0.5"/>
  <pageSetup scale="72" orientation="landscape" horizontalDpi="300" verticalDpi="300" r:id="rId1"/>
  <headerFooter alignWithMargins="0"/>
</worksheet>
</file>

<file path=xl/worksheets/sheet23.xml><?xml version="1.0" encoding="utf-8"?>
<worksheet xmlns="http://schemas.openxmlformats.org/spreadsheetml/2006/main" xmlns:r="http://schemas.openxmlformats.org/officeDocument/2006/relationships">
  <sheetPr codeName="Sheet57">
    <pageSetUpPr fitToPage="1"/>
  </sheetPr>
  <dimension ref="A1:R107"/>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2" width="8.85546875" style="1"/>
    <col min="13" max="13" width="3.28515625" style="1" customWidth="1"/>
    <col min="14" max="15" width="8.85546875" style="1" hidden="1" customWidth="1"/>
    <col min="16" max="17" width="9.42578125" style="1" hidden="1" customWidth="1"/>
    <col min="18" max="16384" width="8.85546875" style="1"/>
  </cols>
  <sheetData>
    <row r="1" spans="1:17" ht="15.75">
      <c r="A1" s="3" t="s">
        <v>2108</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ht="25.5">
      <c r="A4" s="7"/>
      <c r="B4" s="1165"/>
      <c r="C4" s="1165"/>
      <c r="D4" s="1165"/>
      <c r="E4" s="1165"/>
      <c r="F4" s="1165"/>
      <c r="G4" s="1165"/>
      <c r="H4" s="1165"/>
      <c r="I4" s="1165"/>
      <c r="J4" s="1165"/>
      <c r="K4" s="1165"/>
      <c r="L4" s="1165"/>
      <c r="N4" s="645" t="s">
        <v>282</v>
      </c>
      <c r="O4" s="645" t="s">
        <v>282</v>
      </c>
      <c r="P4" s="645" t="s">
        <v>281</v>
      </c>
      <c r="Q4" s="645" t="s">
        <v>281</v>
      </c>
    </row>
    <row r="5" spans="1:17">
      <c r="A5" s="120">
        <v>1981</v>
      </c>
      <c r="B5" s="39">
        <f>100*'8a'!B5/'5'!B5</f>
        <v>23154.060688032896</v>
      </c>
      <c r="C5" s="39">
        <f>100*'8a'!C5/'5'!C5</f>
        <v>14519.41746696267</v>
      </c>
      <c r="D5" s="39">
        <f>100*'8a'!D5/'5'!D5</f>
        <v>15762.45572257094</v>
      </c>
      <c r="E5" s="39">
        <f>100*'8a'!E5/'5'!E5</f>
        <v>18588.08049273412</v>
      </c>
      <c r="F5" s="39">
        <f>100*'8a'!F5/'5'!F5</f>
        <v>16538.770308518284</v>
      </c>
      <c r="G5" s="39">
        <f>100*'8a'!G5/'5'!G5</f>
        <v>20474.057521063023</v>
      </c>
      <c r="H5" s="39">
        <f>100*'8a'!H5/'5'!H5</f>
        <v>25210.821511024707</v>
      </c>
      <c r="I5" s="39">
        <f>100*'8a'!I5/'5'!I5</f>
        <v>21449.866096887712</v>
      </c>
      <c r="J5" s="39">
        <f>100*'8a'!J5/'5'!J5</f>
        <v>20930.75405659551</v>
      </c>
      <c r="K5" s="39">
        <f>100*'8a'!K5/'5'!K5</f>
        <v>26619.673007579921</v>
      </c>
      <c r="L5" s="39">
        <f>100*'8a'!L5/'5'!L5</f>
        <v>26075.166438130651</v>
      </c>
      <c r="N5" s="19">
        <f>SUM(C82:L82)/10</f>
        <v>23360651.066226982</v>
      </c>
      <c r="O5" s="19">
        <f>SQRT(N5)</f>
        <v>4833.2857422489496</v>
      </c>
      <c r="P5" s="19">
        <f>Q5^2</f>
        <v>16923498.485737685</v>
      </c>
      <c r="Q5" s="19">
        <f>STDEVP(C5:L5)</f>
        <v>4113.8179937544255</v>
      </c>
    </row>
    <row r="6" spans="1:17">
      <c r="A6" s="120">
        <v>1982</v>
      </c>
      <c r="B6" s="39">
        <f>100*'8a'!B6/'5'!B6</f>
        <v>23039.852840445878</v>
      </c>
      <c r="C6" s="39">
        <f>100*'8a'!C6/'5'!C6</f>
        <v>14722.699653729029</v>
      </c>
      <c r="D6" s="39">
        <f>100*'8a'!D6/'5'!D6</f>
        <v>16363.536668280496</v>
      </c>
      <c r="E6" s="39">
        <f>100*'8a'!E6/'5'!E6</f>
        <v>18837.516916763703</v>
      </c>
      <c r="F6" s="39">
        <f>100*'8a'!F6/'5'!F6</f>
        <v>17045.309509145805</v>
      </c>
      <c r="G6" s="39">
        <f>100*'8a'!G6/'5'!G6</f>
        <v>19969.740714786858</v>
      </c>
      <c r="H6" s="39">
        <f>100*'8a'!H6/'5'!H6</f>
        <v>25453.224465889271</v>
      </c>
      <c r="I6" s="39">
        <f>100*'8a'!I6/'5'!I6</f>
        <v>22017.140858511906</v>
      </c>
      <c r="J6" s="39">
        <f>100*'8a'!J6/'5'!J6</f>
        <v>21442.647015113584</v>
      </c>
      <c r="K6" s="39">
        <f>100*'8a'!K6/'5'!K6</f>
        <v>25742.484832054932</v>
      </c>
      <c r="L6" s="39">
        <f>100*'8a'!L6/'5'!L6</f>
        <v>25230.653091364064</v>
      </c>
      <c r="N6" s="19">
        <f t="shared" ref="N6:N29" si="0">SUM(C83:L83)/10</f>
        <v>19829319.446290761</v>
      </c>
      <c r="O6" s="19">
        <f t="shared" ref="O6:O29" si="1">SQRT(N6)</f>
        <v>4453.012401317872</v>
      </c>
      <c r="P6" s="19">
        <f t="shared" ref="P6:P29" si="2">Q6^2</f>
        <v>14272185.214912107</v>
      </c>
      <c r="Q6" s="19">
        <f t="shared" ref="Q6:Q29" si="3">STDEVP(C6:L6)</f>
        <v>3777.854578317184</v>
      </c>
    </row>
    <row r="7" spans="1:17">
      <c r="A7" s="120">
        <v>1983</v>
      </c>
      <c r="B7" s="39">
        <f>100*'8a'!B7/'5'!B7</f>
        <v>22461.547652021152</v>
      </c>
      <c r="C7" s="39">
        <f>100*'8a'!C7/'5'!C7</f>
        <v>14152.412551046868</v>
      </c>
      <c r="D7" s="39">
        <f>100*'8a'!D7/'5'!D7</f>
        <v>16502.662859364824</v>
      </c>
      <c r="E7" s="39">
        <f>100*'8a'!E7/'5'!E7</f>
        <v>18629.49746919117</v>
      </c>
      <c r="F7" s="39">
        <f>100*'8a'!F7/'5'!F7</f>
        <v>16838.821409757053</v>
      </c>
      <c r="G7" s="39">
        <f>100*'8a'!G7/'5'!G7</f>
        <v>19558.280560592248</v>
      </c>
      <c r="H7" s="39">
        <f>100*'8a'!H7/'5'!H7</f>
        <v>25218.634182540765</v>
      </c>
      <c r="I7" s="39">
        <f>100*'8a'!I7/'5'!I7</f>
        <v>20688.963142345765</v>
      </c>
      <c r="J7" s="39">
        <f>100*'8a'!J7/'5'!J7</f>
        <v>19906.284591528787</v>
      </c>
      <c r="K7" s="39">
        <f>100*'8a'!K7/'5'!K7</f>
        <v>24617.485142274305</v>
      </c>
      <c r="L7" s="39">
        <f>100*'8a'!L7/'5'!L7</f>
        <v>24106.916896672505</v>
      </c>
      <c r="N7" s="19">
        <f t="shared" si="0"/>
        <v>18390691.060389474</v>
      </c>
      <c r="O7" s="19">
        <f t="shared" si="1"/>
        <v>4288.4369017614654</v>
      </c>
      <c r="P7" s="19">
        <f t="shared" si="2"/>
        <v>12439278.214610748</v>
      </c>
      <c r="Q7" s="19">
        <f t="shared" si="3"/>
        <v>3526.9360944892023</v>
      </c>
    </row>
    <row r="8" spans="1:17">
      <c r="A8" s="120">
        <v>1984</v>
      </c>
      <c r="B8" s="39">
        <f>100*'8a'!B8/'5'!B8</f>
        <v>23062.689959510593</v>
      </c>
      <c r="C8" s="39">
        <f>100*'8a'!C8/'5'!C8</f>
        <v>14140.971379652798</v>
      </c>
      <c r="D8" s="39">
        <f>100*'8a'!D8/'5'!D8</f>
        <v>16569.395629894338</v>
      </c>
      <c r="E8" s="39">
        <f>100*'8a'!E8/'5'!E8</f>
        <v>19166.488664222001</v>
      </c>
      <c r="F8" s="39">
        <f>100*'8a'!F8/'5'!F8</f>
        <v>17281.022349809056</v>
      </c>
      <c r="G8" s="39">
        <f>100*'8a'!G8/'5'!G8</f>
        <v>20391.261954720074</v>
      </c>
      <c r="H8" s="39">
        <f>100*'8a'!H8/'5'!H8</f>
        <v>25961.321557801468</v>
      </c>
      <c r="I8" s="39">
        <f>100*'8a'!I8/'5'!I8</f>
        <v>22202.679588565108</v>
      </c>
      <c r="J8" s="39">
        <f>100*'8a'!J8/'5'!J8</f>
        <v>20107.078444756302</v>
      </c>
      <c r="K8" s="39">
        <f>100*'8a'!K8/'5'!K8</f>
        <v>24837.97702832858</v>
      </c>
      <c r="L8" s="39">
        <f>100*'8a'!L8/'5'!L8</f>
        <v>23857.339303595305</v>
      </c>
      <c r="N8" s="19">
        <f t="shared" si="0"/>
        <v>19916496.030012473</v>
      </c>
      <c r="O8" s="19">
        <f t="shared" si="1"/>
        <v>4462.7901619964696</v>
      </c>
      <c r="P8" s="19">
        <f t="shared" si="2"/>
        <v>13098462.890533753</v>
      </c>
      <c r="Q8" s="19">
        <f t="shared" si="3"/>
        <v>3619.1798643523857</v>
      </c>
    </row>
    <row r="9" spans="1:17">
      <c r="A9" s="120">
        <v>1985</v>
      </c>
      <c r="B9" s="39">
        <f>100*'8a'!B9/'5'!B9</f>
        <v>23795.549754225132</v>
      </c>
      <c r="C9" s="39">
        <f>100*'8a'!C9/'5'!C9</f>
        <v>14551.265891599365</v>
      </c>
      <c r="D9" s="39">
        <f>100*'8a'!D9/'5'!D9</f>
        <v>16809.29317096345</v>
      </c>
      <c r="E9" s="39">
        <f>100*'8a'!E9/'5'!E9</f>
        <v>19899.392007652739</v>
      </c>
      <c r="F9" s="39">
        <f>100*'8a'!F9/'5'!F9</f>
        <v>17642.663300100423</v>
      </c>
      <c r="G9" s="39">
        <f>100*'8a'!G9/'5'!G9</f>
        <v>20934.756966741632</v>
      </c>
      <c r="H9" s="39">
        <f>100*'8a'!H9/'5'!H9</f>
        <v>26771.963771491613</v>
      </c>
      <c r="I9" s="39">
        <f>100*'8a'!I9/'5'!I9</f>
        <v>22958.473970784817</v>
      </c>
      <c r="J9" s="39">
        <f>100*'8a'!J9/'5'!J9</f>
        <v>20589.921093417281</v>
      </c>
      <c r="K9" s="39">
        <f>100*'8a'!K9/'5'!K9</f>
        <v>26350.20913065728</v>
      </c>
      <c r="L9" s="39">
        <f>100*'8a'!L9/'5'!L9</f>
        <v>24353.254127759876</v>
      </c>
      <c r="N9" s="19">
        <f t="shared" si="0"/>
        <v>22215986.753466319</v>
      </c>
      <c r="O9" s="19">
        <f t="shared" si="1"/>
        <v>4713.3837901730767</v>
      </c>
      <c r="P9" s="19">
        <f t="shared" si="2"/>
        <v>14874973.600827942</v>
      </c>
      <c r="Q9" s="19">
        <f t="shared" si="3"/>
        <v>3856.8087327255344</v>
      </c>
    </row>
    <row r="10" spans="1:17">
      <c r="A10" s="120">
        <v>1986</v>
      </c>
      <c r="B10" s="39">
        <f>100*'8a'!B10/'5'!B10</f>
        <v>24166.451832854469</v>
      </c>
      <c r="C10" s="39">
        <f>100*'8a'!C10/'5'!C10</f>
        <v>15207.438289787859</v>
      </c>
      <c r="D10" s="39">
        <f>100*'8a'!D10/'5'!D10</f>
        <v>18290.338620281564</v>
      </c>
      <c r="E10" s="39">
        <f>100*'8a'!E10/'5'!E10</f>
        <v>20266.802278424704</v>
      </c>
      <c r="F10" s="39">
        <f>100*'8a'!F10/'5'!F10</f>
        <v>18413.799652049227</v>
      </c>
      <c r="G10" s="39">
        <f>100*'8a'!G10/'5'!G10</f>
        <v>21221.578246444937</v>
      </c>
      <c r="H10" s="39">
        <f>100*'8a'!H10/'5'!H10</f>
        <v>27355.897006194173</v>
      </c>
      <c r="I10" s="39">
        <f>100*'8a'!I10/'5'!I10</f>
        <v>22980.200745437767</v>
      </c>
      <c r="J10" s="39">
        <f>100*'8a'!J10/'5'!J10</f>
        <v>22133.619614753879</v>
      </c>
      <c r="K10" s="39">
        <f>100*'8a'!K10/'5'!K10</f>
        <v>25900.893260785902</v>
      </c>
      <c r="L10" s="39">
        <f>100*'8a'!L10/'5'!L10</f>
        <v>24413.810891074059</v>
      </c>
      <c r="N10" s="19">
        <f t="shared" si="0"/>
        <v>19054681.690613803</v>
      </c>
      <c r="O10" s="19">
        <f t="shared" si="1"/>
        <v>4365.1668571331611</v>
      </c>
      <c r="P10" s="19">
        <f t="shared" si="2"/>
        <v>12562306.487419512</v>
      </c>
      <c r="Q10" s="19">
        <f t="shared" si="3"/>
        <v>3544.3344209342763</v>
      </c>
    </row>
    <row r="11" spans="1:17">
      <c r="A11" s="120">
        <v>1987</v>
      </c>
      <c r="B11" s="39">
        <f>100*'8a'!B11/'5'!B11</f>
        <v>24653.343958913701</v>
      </c>
      <c r="C11" s="39">
        <f>100*'8a'!C11/'5'!C11</f>
        <v>16339.086939986057</v>
      </c>
      <c r="D11" s="39">
        <f>100*'8a'!D11/'5'!D11</f>
        <v>18786.130912124958</v>
      </c>
      <c r="E11" s="39">
        <f>100*'8a'!E11/'5'!E11</f>
        <v>20980.037425827115</v>
      </c>
      <c r="F11" s="39">
        <f>100*'8a'!F11/'5'!F11</f>
        <v>19178.146578731605</v>
      </c>
      <c r="G11" s="39">
        <f>100*'8a'!G11/'5'!G11</f>
        <v>21787.722240117677</v>
      </c>
      <c r="H11" s="39">
        <f>100*'8a'!H11/'5'!H11</f>
        <v>28160.821184477074</v>
      </c>
      <c r="I11" s="39">
        <f>100*'8a'!I11/'5'!I11</f>
        <v>22887.059440215788</v>
      </c>
      <c r="J11" s="39">
        <f>100*'8a'!J11/'5'!J11</f>
        <v>20111.664339510222</v>
      </c>
      <c r="K11" s="39">
        <f>100*'8a'!K11/'5'!K11</f>
        <v>25424.456461547532</v>
      </c>
      <c r="L11" s="39">
        <f>100*'8a'!L11/'5'!L11</f>
        <v>25222.268914623954</v>
      </c>
      <c r="N11" s="19">
        <f t="shared" si="0"/>
        <v>19220111.51374913</v>
      </c>
      <c r="O11" s="19">
        <f t="shared" si="1"/>
        <v>4384.0747614233414</v>
      </c>
      <c r="P11" s="19">
        <f t="shared" si="2"/>
        <v>11571543.17926834</v>
      </c>
      <c r="Q11" s="19">
        <f t="shared" si="3"/>
        <v>3401.6971028103517</v>
      </c>
    </row>
    <row r="12" spans="1:17">
      <c r="A12" s="120">
        <v>1988</v>
      </c>
      <c r="B12" s="39">
        <f>100*'8a'!B12/'5'!B12</f>
        <v>25730.237923318626</v>
      </c>
      <c r="C12" s="39">
        <f>100*'8a'!C12/'5'!C12</f>
        <v>17298.75925824192</v>
      </c>
      <c r="D12" s="39">
        <f>100*'8a'!D12/'5'!D12</f>
        <v>19905.246476998866</v>
      </c>
      <c r="E12" s="39">
        <f>100*'8a'!E12/'5'!E12</f>
        <v>21708.944045022054</v>
      </c>
      <c r="F12" s="39">
        <f>100*'8a'!F12/'5'!F12</f>
        <v>20000.288098953999</v>
      </c>
      <c r="G12" s="39">
        <f>100*'8a'!G12/'5'!G12</f>
        <v>22563.556722201218</v>
      </c>
      <c r="H12" s="39">
        <f>100*'8a'!H12/'5'!H12</f>
        <v>29389.382812740587</v>
      </c>
      <c r="I12" s="39">
        <f>100*'8a'!I12/'5'!I12</f>
        <v>23502.123682903282</v>
      </c>
      <c r="J12" s="39">
        <f>100*'8a'!J12/'5'!J12</f>
        <v>20857.862182368408</v>
      </c>
      <c r="K12" s="39">
        <f>100*'8a'!K12/'5'!K12</f>
        <v>26909.12657774143</v>
      </c>
      <c r="L12" s="39">
        <f>100*'8a'!L12/'5'!L12</f>
        <v>26324.451256759796</v>
      </c>
      <c r="N12" s="19">
        <f t="shared" si="0"/>
        <v>20788810.480050489</v>
      </c>
      <c r="O12" s="19">
        <f t="shared" si="1"/>
        <v>4559.4748030941555</v>
      </c>
      <c r="P12" s="19">
        <f t="shared" si="2"/>
        <v>12469832.743267749</v>
      </c>
      <c r="Q12" s="19">
        <f t="shared" si="3"/>
        <v>3531.2650344129861</v>
      </c>
    </row>
    <row r="13" spans="1:17">
      <c r="A13" s="120">
        <v>1989</v>
      </c>
      <c r="B13" s="39">
        <f>100*'8a'!B13/'5'!B13</f>
        <v>26319.18918610441</v>
      </c>
      <c r="C13" s="39">
        <f>100*'8a'!C13/'5'!C13</f>
        <v>17897.184808436137</v>
      </c>
      <c r="D13" s="39">
        <f>100*'8a'!D13/'5'!D13</f>
        <v>20320.604556081264</v>
      </c>
      <c r="E13" s="39">
        <f>100*'8a'!E13/'5'!E13</f>
        <v>22263.379743440495</v>
      </c>
      <c r="F13" s="39">
        <f>100*'8a'!F13/'5'!F13</f>
        <v>20528.404730361122</v>
      </c>
      <c r="G13" s="39">
        <f>100*'8a'!G13/'5'!G13</f>
        <v>23015.72650873271</v>
      </c>
      <c r="H13" s="39">
        <f>100*'8a'!H13/'5'!H13</f>
        <v>29904.397163362457</v>
      </c>
      <c r="I13" s="39">
        <f>100*'8a'!I13/'5'!I13</f>
        <v>23792.182028790732</v>
      </c>
      <c r="J13" s="39">
        <f>100*'8a'!J13/'5'!J13</f>
        <v>21060.34479954687</v>
      </c>
      <c r="K13" s="39">
        <f>100*'8a'!K13/'5'!K13</f>
        <v>27249.067686160535</v>
      </c>
      <c r="L13" s="39">
        <f>100*'8a'!L13/'5'!L13</f>
        <v>27555.725275323592</v>
      </c>
      <c r="N13" s="19">
        <f t="shared" si="0"/>
        <v>21709743.703002628</v>
      </c>
      <c r="O13" s="19">
        <f t="shared" si="1"/>
        <v>4659.3715995832126</v>
      </c>
      <c r="P13" s="19">
        <f t="shared" si="2"/>
        <v>12945257.725390777</v>
      </c>
      <c r="Q13" s="19">
        <f t="shared" si="3"/>
        <v>3597.9518792489121</v>
      </c>
    </row>
    <row r="14" spans="1:17">
      <c r="A14" s="120">
        <v>1990</v>
      </c>
      <c r="B14" s="39">
        <f>100*'8a'!B14/'5'!B14</f>
        <v>26711.7840137819</v>
      </c>
      <c r="C14" s="39">
        <f>100*'8a'!C14/'5'!C14</f>
        <v>18788.592151763376</v>
      </c>
      <c r="D14" s="39">
        <f>100*'8a'!D14/'5'!D14</f>
        <v>20827.960666206942</v>
      </c>
      <c r="E14" s="39">
        <f>100*'8a'!E14/'5'!E14</f>
        <v>22761.078236991958</v>
      </c>
      <c r="F14" s="39">
        <f>100*'8a'!F14/'5'!F14</f>
        <v>20981.562845710407</v>
      </c>
      <c r="G14" s="39">
        <f>100*'8a'!G14/'5'!G14</f>
        <v>23618.094198352654</v>
      </c>
      <c r="H14" s="39">
        <f>100*'8a'!H14/'5'!H14</f>
        <v>29747.477589540897</v>
      </c>
      <c r="I14" s="39">
        <f>100*'8a'!I14/'5'!I14</f>
        <v>24743.208609291905</v>
      </c>
      <c r="J14" s="39">
        <f>100*'8a'!J14/'5'!J14</f>
        <v>22455.783523769162</v>
      </c>
      <c r="K14" s="39">
        <f>100*'8a'!K14/'5'!K14</f>
        <v>27823.812364973837</v>
      </c>
      <c r="L14" s="39">
        <f>100*'8a'!L14/'5'!L14</f>
        <v>28271.328464073245</v>
      </c>
      <c r="N14" s="19">
        <f t="shared" si="0"/>
        <v>19028382.463803671</v>
      </c>
      <c r="O14" s="19">
        <f t="shared" si="1"/>
        <v>4362.1534204798063</v>
      </c>
      <c r="P14" s="19">
        <f t="shared" si="2"/>
        <v>11684856.166566696</v>
      </c>
      <c r="Q14" s="19">
        <f t="shared" si="3"/>
        <v>3418.3118884277801</v>
      </c>
    </row>
    <row r="15" spans="1:17">
      <c r="A15" s="120">
        <v>1991</v>
      </c>
      <c r="B15" s="39">
        <f>100*'8a'!B15/'5'!B15</f>
        <v>25918.114820419687</v>
      </c>
      <c r="C15" s="39">
        <f>100*'8a'!C15/'5'!C15</f>
        <v>18625.736307623811</v>
      </c>
      <c r="D15" s="39">
        <f>100*'8a'!D15/'5'!D15</f>
        <v>20463.700479655196</v>
      </c>
      <c r="E15" s="39">
        <f>100*'8a'!E15/'5'!E15</f>
        <v>22288.585655809045</v>
      </c>
      <c r="F15" s="39">
        <f>100*'8a'!F15/'5'!F15</f>
        <v>20647.864239140275</v>
      </c>
      <c r="G15" s="39">
        <f>100*'8a'!G15/'5'!G15</f>
        <v>22925.103562811473</v>
      </c>
      <c r="H15" s="39">
        <f>100*'8a'!H15/'5'!H15</f>
        <v>28713.882237095942</v>
      </c>
      <c r="I15" s="39">
        <f>100*'8a'!I15/'5'!I15</f>
        <v>23892.33403246988</v>
      </c>
      <c r="J15" s="39">
        <f>100*'8a'!J15/'5'!J15</f>
        <v>22085.381505275331</v>
      </c>
      <c r="K15" s="39">
        <f>100*'8a'!K15/'5'!K15</f>
        <v>27325.557591021941</v>
      </c>
      <c r="L15" s="39">
        <f>100*'8a'!L15/'5'!L15</f>
        <v>27364.954993236006</v>
      </c>
      <c r="N15" s="19">
        <f t="shared" si="0"/>
        <v>16352074.926121736</v>
      </c>
      <c r="O15" s="19">
        <f t="shared" si="1"/>
        <v>4043.7698903525329</v>
      </c>
      <c r="P15" s="19">
        <f t="shared" si="2"/>
        <v>10177820.230774537</v>
      </c>
      <c r="Q15" s="19">
        <f t="shared" si="3"/>
        <v>3190.2696172540868</v>
      </c>
    </row>
    <row r="16" spans="1:17">
      <c r="A16" s="120">
        <v>1992</v>
      </c>
      <c r="B16" s="39">
        <f>100*'8a'!B16/'5'!B16</f>
        <v>25827.761278673868</v>
      </c>
      <c r="C16" s="39">
        <f>100*'8a'!C16/'5'!C16</f>
        <v>18815.834304331285</v>
      </c>
      <c r="D16" s="39">
        <f>100*'8a'!D16/'5'!D16</f>
        <v>20728.179623132495</v>
      </c>
      <c r="E16" s="39">
        <f>100*'8a'!E16/'5'!E16</f>
        <v>22539.731213252111</v>
      </c>
      <c r="F16" s="39">
        <f>100*'8a'!F16/'5'!F16</f>
        <v>21095.925666865016</v>
      </c>
      <c r="G16" s="39">
        <f>100*'8a'!G16/'5'!G16</f>
        <v>23005.61116335899</v>
      </c>
      <c r="H16" s="39">
        <f>100*'8a'!H16/'5'!H16</f>
        <v>28577.180401232243</v>
      </c>
      <c r="I16" s="39">
        <f>100*'8a'!I16/'5'!I16</f>
        <v>23938.535006918602</v>
      </c>
      <c r="J16" s="39">
        <f>100*'8a'!J16/'5'!J16</f>
        <v>21555.191358349479</v>
      </c>
      <c r="K16" s="39">
        <f>100*'8a'!K16/'5'!K16</f>
        <v>26989.392095737665</v>
      </c>
      <c r="L16" s="39">
        <f>100*'8a'!L16/'5'!L16</f>
        <v>27075.271943208223</v>
      </c>
      <c r="N16" s="19">
        <f t="shared" si="0"/>
        <v>14862779.835143883</v>
      </c>
      <c r="O16" s="19">
        <f t="shared" si="1"/>
        <v>3855.227598358349</v>
      </c>
      <c r="P16" s="19">
        <f t="shared" si="2"/>
        <v>9123516.3332077805</v>
      </c>
      <c r="Q16" s="19">
        <f t="shared" si="3"/>
        <v>3020.5159051406731</v>
      </c>
    </row>
    <row r="17" spans="1:17">
      <c r="A17" s="120">
        <v>1993</v>
      </c>
      <c r="B17" s="39">
        <f>100*'8a'!B17/'5'!B17</f>
        <v>25455.04146305981</v>
      </c>
      <c r="C17" s="39">
        <f>100*'8a'!C17/'5'!C17</f>
        <v>18892.485748930056</v>
      </c>
      <c r="D17" s="39">
        <f>100*'8a'!D17/'5'!D17</f>
        <v>21003.172742885399</v>
      </c>
      <c r="E17" s="39">
        <f>100*'8a'!E17/'5'!E17</f>
        <v>22403.790313410635</v>
      </c>
      <c r="F17" s="39">
        <f>100*'8a'!F17/'5'!F17</f>
        <v>21060.4073042175</v>
      </c>
      <c r="G17" s="39">
        <f>100*'8a'!G17/'5'!G17</f>
        <v>23098.439496000377</v>
      </c>
      <c r="H17" s="39">
        <f>100*'8a'!H17/'5'!H17</f>
        <v>27759.029043550254</v>
      </c>
      <c r="I17" s="39">
        <f>100*'8a'!I17/'5'!I17</f>
        <v>23294.218202181288</v>
      </c>
      <c r="J17" s="39">
        <f>100*'8a'!J17/'5'!J17</f>
        <v>21329.909406528561</v>
      </c>
      <c r="K17" s="39">
        <f>100*'8a'!K17/'5'!K17</f>
        <v>27134.651159178622</v>
      </c>
      <c r="L17" s="39">
        <f>100*'8a'!L17/'5'!L17</f>
        <v>26573.410624437423</v>
      </c>
      <c r="N17" s="19">
        <f t="shared" si="0"/>
        <v>12812885.713421831</v>
      </c>
      <c r="O17" s="19">
        <f t="shared" si="1"/>
        <v>3579.5091442014545</v>
      </c>
      <c r="P17" s="19">
        <f t="shared" si="2"/>
        <v>7972489.4460292039</v>
      </c>
      <c r="Q17" s="19">
        <f t="shared" si="3"/>
        <v>2823.5597117874458</v>
      </c>
    </row>
    <row r="18" spans="1:17">
      <c r="A18" s="120">
        <v>1994</v>
      </c>
      <c r="B18" s="39">
        <f>100*'8a'!B18/'5'!B18</f>
        <v>25442.18325796213</v>
      </c>
      <c r="C18" s="39">
        <f>100*'8a'!C18/'5'!C18</f>
        <v>19215.913368047699</v>
      </c>
      <c r="D18" s="39">
        <f>100*'8a'!D18/'5'!D18</f>
        <v>20740.676844841568</v>
      </c>
      <c r="E18" s="39">
        <f>100*'8a'!E18/'5'!E18</f>
        <v>22260.293062706896</v>
      </c>
      <c r="F18" s="39">
        <f>100*'8a'!F18/'5'!F18</f>
        <v>21275.295080305532</v>
      </c>
      <c r="G18" s="39">
        <f>100*'8a'!G18/'5'!G18</f>
        <v>23402.338966211795</v>
      </c>
      <c r="H18" s="39">
        <f>100*'8a'!H18/'5'!H18</f>
        <v>27661.872902114796</v>
      </c>
      <c r="I18" s="39">
        <f>100*'8a'!I18/'5'!I18</f>
        <v>23469.680929981088</v>
      </c>
      <c r="J18" s="39">
        <f>100*'8a'!J18/'5'!J18</f>
        <v>21304.678226215201</v>
      </c>
      <c r="K18" s="39">
        <f>100*'8a'!K18/'5'!K18</f>
        <v>26826.59917037627</v>
      </c>
      <c r="L18" s="39">
        <f>100*'8a'!L18/'5'!L18</f>
        <v>26462.797453759715</v>
      </c>
      <c r="N18" s="19">
        <f t="shared" si="0"/>
        <v>12141394.252220035</v>
      </c>
      <c r="O18" s="19">
        <f t="shared" si="1"/>
        <v>3484.4503515217484</v>
      </c>
      <c r="P18" s="19">
        <f t="shared" si="2"/>
        <v>7388258.8770481115</v>
      </c>
      <c r="Q18" s="19">
        <f t="shared" si="3"/>
        <v>2718.1351837331622</v>
      </c>
    </row>
    <row r="19" spans="1:17">
      <c r="A19" s="120">
        <v>1995</v>
      </c>
      <c r="B19" s="39">
        <f>100*'8a'!B19/'5'!B19</f>
        <v>25859.22530160725</v>
      </c>
      <c r="C19" s="39">
        <f>100*'8a'!C19/'5'!C19</f>
        <v>19705.806432777455</v>
      </c>
      <c r="D19" s="39">
        <f>100*'8a'!D19/'5'!D19</f>
        <v>21207.170313973955</v>
      </c>
      <c r="E19" s="39">
        <f>100*'8a'!E19/'5'!E19</f>
        <v>22609.262775376956</v>
      </c>
      <c r="F19" s="39">
        <f>100*'8a'!F19/'5'!F19</f>
        <v>21899.886914053546</v>
      </c>
      <c r="G19" s="39">
        <f>100*'8a'!G19/'5'!G19</f>
        <v>23912.720464538132</v>
      </c>
      <c r="H19" s="39">
        <f>100*'8a'!H19/'5'!H19</f>
        <v>27973.865467234435</v>
      </c>
      <c r="I19" s="39">
        <f>100*'8a'!I19/'5'!I19</f>
        <v>23804.35266107801</v>
      </c>
      <c r="J19" s="39">
        <f>100*'8a'!J19/'5'!J19</f>
        <v>22349.592990904701</v>
      </c>
      <c r="K19" s="39">
        <f>100*'8a'!K19/'5'!K19</f>
        <v>27186.139070485449</v>
      </c>
      <c r="L19" s="39">
        <f>100*'8a'!L19/'5'!L19</f>
        <v>26578.372496309625</v>
      </c>
      <c r="N19" s="19">
        <f t="shared" si="0"/>
        <v>11282327.374591893</v>
      </c>
      <c r="O19" s="19">
        <f t="shared" si="1"/>
        <v>3358.9175897291516</v>
      </c>
      <c r="P19" s="19">
        <f t="shared" si="2"/>
        <v>6717659.4751651762</v>
      </c>
      <c r="Q19" s="19">
        <f t="shared" si="3"/>
        <v>2591.8448015197932</v>
      </c>
    </row>
    <row r="20" spans="1:17">
      <c r="A20" s="120">
        <v>1996</v>
      </c>
      <c r="B20" s="39">
        <f>100*'8a'!B20/'5'!B20</f>
        <v>25758.386234863534</v>
      </c>
      <c r="C20" s="39">
        <f>100*'8a'!C20/'5'!C20</f>
        <v>19387.106829735956</v>
      </c>
      <c r="D20" s="39">
        <f>100*'8a'!D20/'5'!D20</f>
        <v>20953.748020271734</v>
      </c>
      <c r="E20" s="39">
        <f>100*'8a'!E20/'5'!E20</f>
        <v>22283.336170537659</v>
      </c>
      <c r="F20" s="39">
        <f>100*'8a'!F20/'5'!F20</f>
        <v>21798.38845796388</v>
      </c>
      <c r="G20" s="39">
        <f>100*'8a'!G20/'5'!G20</f>
        <v>23885.674538116447</v>
      </c>
      <c r="H20" s="39">
        <f>100*'8a'!H20/'5'!H20</f>
        <v>27669.880094982105</v>
      </c>
      <c r="I20" s="39">
        <f>100*'8a'!I20/'5'!I20</f>
        <v>24038.102604687625</v>
      </c>
      <c r="J20" s="39">
        <f>100*'8a'!J20/'5'!J20</f>
        <v>23184.922713027201</v>
      </c>
      <c r="K20" s="39">
        <f>100*'8a'!K20/'5'!K20</f>
        <v>27254.966948283345</v>
      </c>
      <c r="L20" s="39">
        <f>100*'8a'!L20/'5'!L20</f>
        <v>26282.122687760115</v>
      </c>
      <c r="N20" s="19">
        <f t="shared" si="0"/>
        <v>11069230.682069086</v>
      </c>
      <c r="O20" s="19">
        <f t="shared" si="1"/>
        <v>3327.0453381445054</v>
      </c>
      <c r="P20" s="19">
        <f t="shared" si="2"/>
        <v>6723834.7505130759</v>
      </c>
      <c r="Q20" s="19">
        <f t="shared" si="3"/>
        <v>2593.0358174373673</v>
      </c>
    </row>
    <row r="21" spans="1:17">
      <c r="A21" s="120">
        <v>1997</v>
      </c>
      <c r="B21" s="39">
        <f>100*'8a'!B21/'5'!B21</f>
        <v>26118.820195989781</v>
      </c>
      <c r="C21" s="39">
        <f>100*'8a'!C21/'5'!C21</f>
        <v>19341.808337938495</v>
      </c>
      <c r="D21" s="39">
        <f>100*'8a'!D21/'5'!D21</f>
        <v>21050.911108245626</v>
      </c>
      <c r="E21" s="39">
        <f>100*'8a'!E21/'5'!E21</f>
        <v>22686.93185478833</v>
      </c>
      <c r="F21" s="39">
        <f>100*'8a'!F21/'5'!F21</f>
        <v>21813.324400691865</v>
      </c>
      <c r="G21" s="39">
        <f>100*'8a'!G21/'5'!G21</f>
        <v>24090.7471660337</v>
      </c>
      <c r="H21" s="39">
        <f>100*'8a'!H21/'5'!H21</f>
        <v>28183.444585285095</v>
      </c>
      <c r="I21" s="39">
        <f>100*'8a'!I21/'5'!I21</f>
        <v>24178.055137005551</v>
      </c>
      <c r="J21" s="39">
        <f>100*'8a'!J21/'5'!J21</f>
        <v>22370.449326292866</v>
      </c>
      <c r="K21" s="39">
        <f>100*'8a'!K21/'5'!K21</f>
        <v>28548.700437265343</v>
      </c>
      <c r="L21" s="39">
        <f>100*'8a'!L21/'5'!L21</f>
        <v>26320.1788128935</v>
      </c>
      <c r="N21" s="19">
        <f t="shared" si="0"/>
        <v>13406421.442982757</v>
      </c>
      <c r="O21" s="19">
        <f t="shared" si="1"/>
        <v>3661.4780407620578</v>
      </c>
      <c r="P21" s="19">
        <f t="shared" si="2"/>
        <v>8297171.1510572042</v>
      </c>
      <c r="Q21" s="19">
        <f t="shared" si="3"/>
        <v>2880.4810624368292</v>
      </c>
    </row>
    <row r="22" spans="1:17">
      <c r="A22" s="120">
        <v>1998</v>
      </c>
      <c r="B22" s="39">
        <f>100*'8a'!B22/'5'!B22</f>
        <v>26769.876919199331</v>
      </c>
      <c r="C22" s="39">
        <f>100*'8a'!C22/'5'!C22</f>
        <v>20177.26115090751</v>
      </c>
      <c r="D22" s="39">
        <f>100*'8a'!D22/'5'!D22</f>
        <v>21802.207489132787</v>
      </c>
      <c r="E22" s="39">
        <f>100*'8a'!E22/'5'!E22</f>
        <v>23659.408288790379</v>
      </c>
      <c r="F22" s="39">
        <f>100*'8a'!F22/'5'!F22</f>
        <v>22710.897503259872</v>
      </c>
      <c r="G22" s="39">
        <f>100*'8a'!G22/'5'!G22</f>
        <v>24596.644546382358</v>
      </c>
      <c r="H22" s="39">
        <f>100*'8a'!H22/'5'!H22</f>
        <v>28914.815833459415</v>
      </c>
      <c r="I22" s="39">
        <f>100*'8a'!I22/'5'!I22</f>
        <v>24960.043474508224</v>
      </c>
      <c r="J22" s="39">
        <f>100*'8a'!J22/'5'!J22</f>
        <v>23038.73610410453</v>
      </c>
      <c r="K22" s="39">
        <f>100*'8a'!K22/'5'!K22</f>
        <v>29509.78683208011</v>
      </c>
      <c r="L22" s="39">
        <f>100*'8a'!L22/'5'!L22</f>
        <v>26435.369616097363</v>
      </c>
      <c r="N22" s="19">
        <f t="shared" si="0"/>
        <v>12843026.347281259</v>
      </c>
      <c r="O22" s="19">
        <f t="shared" si="1"/>
        <v>3583.716834137605</v>
      </c>
      <c r="P22" s="19">
        <f t="shared" si="2"/>
        <v>8049729.8587378701</v>
      </c>
      <c r="Q22" s="19">
        <f t="shared" si="3"/>
        <v>2837.2045852807073</v>
      </c>
    </row>
    <row r="23" spans="1:17">
      <c r="A23" s="120">
        <v>1999</v>
      </c>
      <c r="B23" s="39">
        <f>100*'8a'!B23/'5'!B23</f>
        <v>27314.382845291908</v>
      </c>
      <c r="C23" s="39">
        <f>100*'8a'!C23/'5'!C23</f>
        <v>20911.819123190064</v>
      </c>
      <c r="D23" s="39">
        <f>100*'8a'!D23/'5'!D23</f>
        <v>22454.710311340903</v>
      </c>
      <c r="E23" s="39">
        <f>100*'8a'!E23/'5'!E23</f>
        <v>24468.669957939168</v>
      </c>
      <c r="F23" s="39">
        <f>100*'8a'!F23/'5'!F23</f>
        <v>23501.845872555183</v>
      </c>
      <c r="G23" s="39">
        <f>100*'8a'!G23/'5'!G23</f>
        <v>25159.594442358248</v>
      </c>
      <c r="H23" s="39">
        <f>100*'8a'!H23/'5'!H23</f>
        <v>29621.308620993495</v>
      </c>
      <c r="I23" s="39">
        <f>100*'8a'!I23/'5'!I23</f>
        <v>25039.915405549404</v>
      </c>
      <c r="J23" s="39">
        <f>100*'8a'!J23/'5'!J23</f>
        <v>23606.760279720915</v>
      </c>
      <c r="K23" s="39">
        <f>100*'8a'!K23/'5'!K23</f>
        <v>29457.377800588743</v>
      </c>
      <c r="L23" s="39">
        <f>100*'8a'!L23/'5'!L23</f>
        <v>26794.829745284726</v>
      </c>
      <c r="N23" s="19">
        <f t="shared" si="0"/>
        <v>12098980.897989098</v>
      </c>
      <c r="O23" s="19">
        <f t="shared" si="1"/>
        <v>3478.3589374860521</v>
      </c>
      <c r="P23" s="19">
        <f t="shared" si="2"/>
        <v>7202940.9827847295</v>
      </c>
      <c r="Q23" s="19">
        <f t="shared" si="3"/>
        <v>2683.8295368343961</v>
      </c>
    </row>
    <row r="24" spans="1:17">
      <c r="A24" s="120">
        <v>2000</v>
      </c>
      <c r="B24" s="39">
        <f>100*'8a'!B24/'5'!B24</f>
        <v>28438.978650762536</v>
      </c>
      <c r="C24" s="39">
        <f>100*'8a'!C24/'5'!C24</f>
        <v>21539.622132976947</v>
      </c>
      <c r="D24" s="39">
        <f>100*'8a'!D24/'5'!D24</f>
        <v>23210.477166693086</v>
      </c>
      <c r="E24" s="39">
        <f>100*'8a'!E24/'5'!E24</f>
        <v>24831.053634582629</v>
      </c>
      <c r="F24" s="39">
        <f>100*'8a'!F24/'5'!F24</f>
        <v>24046.915722920399</v>
      </c>
      <c r="G24" s="39">
        <f>100*'8a'!G24/'5'!G24</f>
        <v>26298.072364874184</v>
      </c>
      <c r="H24" s="39">
        <f>100*'8a'!H24/'5'!H24</f>
        <v>30835.678662928261</v>
      </c>
      <c r="I24" s="39">
        <f>100*'8a'!I24/'5'!I24</f>
        <v>25769.964087472832</v>
      </c>
      <c r="J24" s="39">
        <f>100*'8a'!J24/'5'!J24</f>
        <v>24068.185953367487</v>
      </c>
      <c r="K24" s="39">
        <f>100*'8a'!K24/'5'!K24</f>
        <v>30989.028913335798</v>
      </c>
      <c r="L24" s="39">
        <f>100*'8a'!L24/'5'!L24</f>
        <v>27725.996127526629</v>
      </c>
      <c r="N24" s="19">
        <f t="shared" si="0"/>
        <v>15081190.644894462</v>
      </c>
      <c r="O24" s="19">
        <f t="shared" si="1"/>
        <v>3883.4508680932818</v>
      </c>
      <c r="P24" s="19">
        <f t="shared" si="2"/>
        <v>8793738.8363759611</v>
      </c>
      <c r="Q24" s="19">
        <f t="shared" si="3"/>
        <v>2965.4238881441488</v>
      </c>
    </row>
    <row r="25" spans="1:17">
      <c r="A25" s="120">
        <v>2001</v>
      </c>
      <c r="B25" s="39">
        <f>100*'8a'!B25/'5'!B25</f>
        <v>28803.182150191344</v>
      </c>
      <c r="C25" s="39">
        <f>100*'8a'!C25/'5'!C25</f>
        <v>22466.913224736436</v>
      </c>
      <c r="D25" s="39">
        <f>100*'8a'!D25/'5'!D25</f>
        <v>23198.730916673176</v>
      </c>
      <c r="E25" s="39">
        <f>100*'8a'!E25/'5'!E25</f>
        <v>25260.802342596759</v>
      </c>
      <c r="F25" s="39">
        <f>100*'8a'!F25/'5'!F25</f>
        <v>24294.881616071787</v>
      </c>
      <c r="G25" s="39">
        <f>100*'8a'!G25/'5'!G25</f>
        <v>26778.703493144192</v>
      </c>
      <c r="H25" s="39">
        <f>100*'8a'!H25/'5'!H25</f>
        <v>30885.414442952049</v>
      </c>
      <c r="I25" s="39">
        <f>100*'8a'!I25/'5'!I25</f>
        <v>25906.358770837789</v>
      </c>
      <c r="J25" s="39">
        <f>100*'8a'!J25/'5'!J25</f>
        <v>24247.97453096199</v>
      </c>
      <c r="K25" s="39">
        <f>100*'8a'!K25/'5'!K25</f>
        <v>32878.841869436699</v>
      </c>
      <c r="L25" s="39">
        <f>100*'8a'!L25/'5'!L25</f>
        <v>27741.822365597196</v>
      </c>
      <c r="N25" s="19">
        <f t="shared" si="0"/>
        <v>15974459.997050766</v>
      </c>
      <c r="O25" s="19">
        <f t="shared" si="1"/>
        <v>3996.8062246061877</v>
      </c>
      <c r="P25" s="19">
        <f t="shared" si="2"/>
        <v>10034819.375515137</v>
      </c>
      <c r="Q25" s="19">
        <f t="shared" si="3"/>
        <v>3167.778302772329</v>
      </c>
    </row>
    <row r="26" spans="1:17">
      <c r="A26" s="120">
        <v>2002</v>
      </c>
      <c r="B26" s="39">
        <f>100*'8a'!B26/'5'!B26</f>
        <v>28667.884855278124</v>
      </c>
      <c r="C26" s="39">
        <f>100*'8a'!C26/'5'!C26</f>
        <v>22957.244129801689</v>
      </c>
      <c r="D26" s="39">
        <f>100*'8a'!D26/'5'!D26</f>
        <v>23831.789356790086</v>
      </c>
      <c r="E26" s="39">
        <f>100*'8a'!E26/'5'!E26</f>
        <v>25425.26055731727</v>
      </c>
      <c r="F26" s="39">
        <f>100*'8a'!F26/'5'!F26</f>
        <v>24424.453278991528</v>
      </c>
      <c r="G26" s="39">
        <f>100*'8a'!G26/'5'!G26</f>
        <v>26808.219671456121</v>
      </c>
      <c r="H26" s="39">
        <f>100*'8a'!H26/'5'!H26</f>
        <v>30553.230829237116</v>
      </c>
      <c r="I26" s="39">
        <f>100*'8a'!I26/'5'!I26</f>
        <v>25974.11580191473</v>
      </c>
      <c r="J26" s="39">
        <f>100*'8a'!J26/'5'!J26</f>
        <v>24237.535877271392</v>
      </c>
      <c r="K26" s="39">
        <f>100*'8a'!K26/'5'!K26</f>
        <v>32308.26080341034</v>
      </c>
      <c r="L26" s="39">
        <f>100*'8a'!L26/'5'!L26</f>
        <v>27683.277788324471</v>
      </c>
      <c r="N26" s="19">
        <f t="shared" si="0"/>
        <v>13263961.698357988</v>
      </c>
      <c r="O26" s="19">
        <f t="shared" si="1"/>
        <v>3641.9722264671359</v>
      </c>
      <c r="P26" s="19">
        <f t="shared" si="2"/>
        <v>8212498.4702471914</v>
      </c>
      <c r="Q26" s="19">
        <f t="shared" si="3"/>
        <v>2865.7457092783357</v>
      </c>
    </row>
    <row r="27" spans="1:17">
      <c r="A27" s="120">
        <v>2003</v>
      </c>
      <c r="B27" s="39">
        <f>100*'8a'!B27/'5'!B27</f>
        <v>28985.74509306889</v>
      </c>
      <c r="C27" s="39">
        <f>100*'8a'!C27/'5'!C27</f>
        <v>23582.739194702172</v>
      </c>
      <c r="D27" s="39">
        <f>100*'8a'!D27/'5'!D27</f>
        <v>23686.202398150705</v>
      </c>
      <c r="E27" s="39">
        <f>100*'8a'!E27/'5'!E27</f>
        <v>25430.618117673766</v>
      </c>
      <c r="F27" s="39">
        <f>100*'8a'!F27/'5'!F27</f>
        <v>24778.356035357327</v>
      </c>
      <c r="G27" s="39">
        <f>100*'8a'!G27/'5'!G27</f>
        <v>27401.889858474668</v>
      </c>
      <c r="H27" s="39">
        <f>100*'8a'!H27/'5'!H27</f>
        <v>30702.214492254639</v>
      </c>
      <c r="I27" s="39">
        <f>100*'8a'!I27/'5'!I27</f>
        <v>26141.832615830957</v>
      </c>
      <c r="J27" s="39">
        <f>100*'8a'!J27/'5'!J27</f>
        <v>24991.912226210454</v>
      </c>
      <c r="K27" s="39">
        <f>100*'8a'!K27/'5'!K27</f>
        <v>32541.398199515577</v>
      </c>
      <c r="L27" s="39">
        <f>100*'8a'!L27/'5'!L27</f>
        <v>28019.839855182512</v>
      </c>
      <c r="N27" s="19">
        <f t="shared" si="0"/>
        <v>13068772.16982205</v>
      </c>
      <c r="O27" s="19">
        <f t="shared" si="1"/>
        <v>3615.0756796811393</v>
      </c>
      <c r="P27" s="19">
        <f t="shared" si="2"/>
        <v>7970005.879314729</v>
      </c>
      <c r="Q27" s="19">
        <f t="shared" si="3"/>
        <v>2823.1198839784911</v>
      </c>
    </row>
    <row r="28" spans="1:17">
      <c r="A28" s="120">
        <v>2004</v>
      </c>
      <c r="B28" s="39">
        <f>100*'8a'!B28/'5'!B28</f>
        <v>29856.828541190091</v>
      </c>
      <c r="C28" s="39">
        <f>100*'8a'!C28/'5'!C28</f>
        <v>24003.018386564159</v>
      </c>
      <c r="D28" s="39">
        <f>100*'8a'!D28/'5'!D28</f>
        <v>23949.471642899352</v>
      </c>
      <c r="E28" s="39">
        <f>100*'8a'!E28/'5'!E28</f>
        <v>25868.745282931988</v>
      </c>
      <c r="F28" s="39">
        <f>100*'8a'!F28/'5'!F28</f>
        <v>25526.935878494314</v>
      </c>
      <c r="G28" s="39">
        <f>100*'8a'!G28/'5'!G28</f>
        <v>27994.320798401983</v>
      </c>
      <c r="H28" s="39">
        <f>100*'8a'!H28/'5'!H28</f>
        <v>31450.691426114434</v>
      </c>
      <c r="I28" s="39">
        <f>100*'8a'!I28/'5'!I28</f>
        <v>26823.567701467233</v>
      </c>
      <c r="J28" s="39">
        <f>100*'8a'!J28/'5'!J28</f>
        <v>26318.63656585784</v>
      </c>
      <c r="K28" s="39">
        <f>100*'8a'!K28/'5'!K28</f>
        <v>34512.765751795654</v>
      </c>
      <c r="L28" s="39">
        <f>100*'8a'!L28/'5'!L28</f>
        <v>29034.597698863909</v>
      </c>
      <c r="N28" s="19">
        <f t="shared" si="0"/>
        <v>15389936.002661083</v>
      </c>
      <c r="O28" s="19">
        <f t="shared" si="1"/>
        <v>3923.0008925134193</v>
      </c>
      <c r="P28" s="19">
        <f t="shared" si="2"/>
        <v>10060517.073418578</v>
      </c>
      <c r="Q28" s="19">
        <f t="shared" si="3"/>
        <v>3171.831816698133</v>
      </c>
    </row>
    <row r="29" spans="1:17">
      <c r="A29" s="120">
        <v>2005</v>
      </c>
      <c r="B29" s="39">
        <f>100*'8a'!B29/'5'!B29</f>
        <v>30565.160858470477</v>
      </c>
      <c r="C29" s="39">
        <f>100*'8a'!C29/'5'!C29</f>
        <v>24370.87770167342</v>
      </c>
      <c r="D29" s="39">
        <f>100*'8a'!D29/'5'!D29</f>
        <v>24077.333419091927</v>
      </c>
      <c r="E29" s="39">
        <f>100*'8a'!E29/'5'!E29</f>
        <v>26480.081083291254</v>
      </c>
      <c r="F29" s="39">
        <f>100*'8a'!F29/'5'!F29</f>
        <v>25899.377123385671</v>
      </c>
      <c r="G29" s="39">
        <f>100*'8a'!G29/'5'!G29</f>
        <v>28354.331649302625</v>
      </c>
      <c r="H29" s="39">
        <f>100*'8a'!H29/'5'!H29</f>
        <v>31978.993745163454</v>
      </c>
      <c r="I29" s="39">
        <f>100*'8a'!I29/'5'!I29</f>
        <v>27103.096798361425</v>
      </c>
      <c r="J29" s="39">
        <f>100*'8a'!J29/'5'!J29</f>
        <v>26523.527265541747</v>
      </c>
      <c r="K29" s="39">
        <f>100*'8a'!K29/'5'!K29</f>
        <v>36857.487963954336</v>
      </c>
      <c r="L29" s="39">
        <f>100*'8a'!L29/'5'!L29</f>
        <v>29973.708806688996</v>
      </c>
      <c r="N29" s="19">
        <f t="shared" si="0"/>
        <v>19406903.81532497</v>
      </c>
      <c r="O29" s="19">
        <f t="shared" si="1"/>
        <v>4405.3267546602001</v>
      </c>
      <c r="P29" s="19">
        <f t="shared" si="2"/>
        <v>13631152.407937774</v>
      </c>
      <c r="Q29" s="19">
        <f t="shared" si="3"/>
        <v>3692.0390582898463</v>
      </c>
    </row>
    <row r="30" spans="1:17">
      <c r="A30" s="120">
        <v>2006</v>
      </c>
      <c r="B30" s="39">
        <f>100*'8a'!B30/'5'!B30</f>
        <v>31798.475272621108</v>
      </c>
      <c r="C30" s="39">
        <f>100*'8a'!C30/'5'!C30</f>
        <v>28891.081402574149</v>
      </c>
      <c r="D30" s="39">
        <f>100*'8a'!D30/'5'!D30</f>
        <v>24662.556946161534</v>
      </c>
      <c r="E30" s="39">
        <f>100*'8a'!E30/'5'!E30</f>
        <v>26956.764091762649</v>
      </c>
      <c r="F30" s="39">
        <f>100*'8a'!F30/'5'!F30</f>
        <v>26525.017346168454</v>
      </c>
      <c r="G30" s="39">
        <f>100*'8a'!G30/'5'!G30</f>
        <v>29048.048174322219</v>
      </c>
      <c r="H30" s="39">
        <f>100*'8a'!H30/'5'!H30</f>
        <v>32873.685706934884</v>
      </c>
      <c r="I30" s="39">
        <f>100*'8a'!I30/'5'!I30</f>
        <v>28020.582912077596</v>
      </c>
      <c r="J30" s="39">
        <f>100*'8a'!J30/'5'!J30</f>
        <v>27558.203245578734</v>
      </c>
      <c r="K30" s="39">
        <f>100*'8a'!K30/'5'!K30</f>
        <v>39773.138682656099</v>
      </c>
      <c r="L30" s="39">
        <f>100*'8a'!L30/'5'!L30</f>
        <v>31641.42044247645</v>
      </c>
      <c r="N30" s="19"/>
      <c r="O30" s="19"/>
      <c r="P30" s="19"/>
      <c r="Q30" s="19"/>
    </row>
    <row r="31" spans="1:17">
      <c r="A31" s="120">
        <v>2007</v>
      </c>
      <c r="B31" s="39">
        <f>100*'8a'!B31/'5'!B31</f>
        <v>32888.744539432009</v>
      </c>
      <c r="C31" s="39">
        <f>100*'8a'!C31/'5'!C31</f>
        <v>28441.031387154853</v>
      </c>
      <c r="D31" s="39">
        <f>100*'8a'!D31/'5'!D31</f>
        <v>25474.005475245875</v>
      </c>
      <c r="E31" s="39">
        <f>100*'8a'!E31/'5'!E31</f>
        <v>27831.480687611682</v>
      </c>
      <c r="F31" s="39">
        <f>100*'8a'!F31/'5'!F31</f>
        <v>27411.143782706939</v>
      </c>
      <c r="G31" s="39">
        <f>100*'8a'!G31/'5'!G31</f>
        <v>30210.333540862506</v>
      </c>
      <c r="H31" s="39">
        <f>100*'8a'!H31/'5'!H31</f>
        <v>33819.479642579798</v>
      </c>
      <c r="I31" s="39">
        <f>100*'8a'!I31/'5'!I31</f>
        <v>29313.628407640637</v>
      </c>
      <c r="J31" s="39">
        <f>100*'8a'!J31/'5'!J31</f>
        <v>29262.06567463799</v>
      </c>
      <c r="K31" s="39">
        <f>100*'8a'!K31/'5'!K31</f>
        <v>41153.887397975072</v>
      </c>
      <c r="L31" s="39">
        <f>100*'8a'!L31/'5'!L31</f>
        <v>32707.778542993507</v>
      </c>
      <c r="N31" s="19"/>
      <c r="O31" s="19"/>
      <c r="P31" s="19"/>
      <c r="Q31" s="19"/>
    </row>
    <row r="32" spans="1:17">
      <c r="A32" s="120">
        <v>2008</v>
      </c>
      <c r="B32" s="39">
        <f>100*'8a'!B32/'5'!B32</f>
        <v>33511.061337009996</v>
      </c>
      <c r="C32" s="39">
        <f>100*'8a'!C32/'5'!C32</f>
        <v>27555.859553975162</v>
      </c>
      <c r="D32" s="39">
        <f>100*'8a'!D32/'5'!D32</f>
        <v>25336.023945239547</v>
      </c>
      <c r="E32" s="39">
        <f>100*'8a'!E32/'5'!E32</f>
        <v>28188.178511735856</v>
      </c>
      <c r="F32" s="39">
        <f>100*'8a'!F32/'5'!F32</f>
        <v>28050.364996769556</v>
      </c>
      <c r="G32" s="39">
        <f>100*'8a'!G32/'5'!G32</f>
        <v>30563.782813544723</v>
      </c>
      <c r="H32" s="39">
        <f>100*'8a'!H32/'5'!H32</f>
        <v>34291.722014973624</v>
      </c>
      <c r="I32" s="39">
        <f>100*'8a'!I32/'5'!I32</f>
        <v>30190.012327777076</v>
      </c>
      <c r="J32" s="39">
        <f>100*'8a'!J32/'5'!J32</f>
        <v>31438.835647345913</v>
      </c>
      <c r="K32" s="39">
        <f>100*'8a'!K32/'5'!K32</f>
        <v>42537.039330644919</v>
      </c>
      <c r="L32" s="39">
        <f>100*'8a'!L32/'5'!L32</f>
        <v>33263.456952563392</v>
      </c>
      <c r="N32" s="19"/>
      <c r="O32" s="19"/>
      <c r="P32" s="19"/>
      <c r="Q32" s="19"/>
    </row>
    <row r="33" spans="1:18" ht="12.6" customHeight="1">
      <c r="A33" s="120"/>
      <c r="B33" s="23"/>
      <c r="C33" s="644"/>
      <c r="D33" s="666" t="s">
        <v>802</v>
      </c>
      <c r="E33" s="644"/>
      <c r="F33" s="644"/>
      <c r="G33" s="644"/>
      <c r="H33" s="644"/>
      <c r="I33" s="644"/>
      <c r="J33" s="644"/>
      <c r="K33" s="644"/>
      <c r="L33" s="644"/>
    </row>
    <row r="34" spans="1:18" ht="12.6" customHeight="1">
      <c r="A34" s="448" t="s">
        <v>603</v>
      </c>
      <c r="B34" s="23">
        <f>((((B13/B5))^(1/8))-1)*100</f>
        <v>1.6144959744592624</v>
      </c>
      <c r="C34" s="23">
        <f t="shared" ref="C34:L34" si="4">((((C13/C5))^(1/8))-1)*100</f>
        <v>2.6489334483643656</v>
      </c>
      <c r="D34" s="23">
        <f t="shared" si="4"/>
        <v>3.2259986488959225</v>
      </c>
      <c r="E34" s="23">
        <f t="shared" si="4"/>
        <v>2.2809065578489829</v>
      </c>
      <c r="F34" s="23">
        <f t="shared" si="4"/>
        <v>2.7380925337254558</v>
      </c>
      <c r="G34" s="23">
        <f t="shared" si="4"/>
        <v>1.4734897038002126</v>
      </c>
      <c r="H34" s="23">
        <f t="shared" si="4"/>
        <v>2.1570884640309096</v>
      </c>
      <c r="I34" s="23">
        <f t="shared" si="4"/>
        <v>1.303910706411493</v>
      </c>
      <c r="J34" s="23">
        <f t="shared" si="4"/>
        <v>7.7183714589712515E-2</v>
      </c>
      <c r="K34" s="23">
        <f t="shared" si="4"/>
        <v>0.29253678108971393</v>
      </c>
      <c r="L34" s="23">
        <f t="shared" si="4"/>
        <v>0.6927251180731453</v>
      </c>
      <c r="M34" s="23"/>
      <c r="N34" s="23">
        <f>((((N13/N5))^(1/8))-1)*100</f>
        <v>-0.91196427727086027</v>
      </c>
      <c r="O34" s="23">
        <f>((((O13/O5))^(1/8))-1)*100</f>
        <v>-0.45702650476572293</v>
      </c>
      <c r="P34" s="23">
        <f>((((P13/P5))^(1/8))-1)*100</f>
        <v>-3.2941894681833728</v>
      </c>
      <c r="Q34" s="23">
        <f>((((Q13/Q5))^(1/8))-1)*100</f>
        <v>-1.6608874700322351</v>
      </c>
    </row>
    <row r="35" spans="1:18" ht="12.6" customHeight="1">
      <c r="A35" s="448" t="s">
        <v>604</v>
      </c>
      <c r="B35" s="23">
        <f>((((B24/B13))^(1/11))-1)*100</f>
        <v>0.70668890642444637</v>
      </c>
      <c r="C35" s="23">
        <f t="shared" ref="C35:L35" si="5">((((C24/C13))^(1/11))-1)*100</f>
        <v>1.6983581505580769</v>
      </c>
      <c r="D35" s="23">
        <f t="shared" si="5"/>
        <v>1.2161392384697489</v>
      </c>
      <c r="E35" s="23">
        <f t="shared" si="5"/>
        <v>0.99722922699241323</v>
      </c>
      <c r="F35" s="23">
        <f t="shared" si="5"/>
        <v>1.4485477734113683</v>
      </c>
      <c r="G35" s="23">
        <f t="shared" si="5"/>
        <v>1.2193551486650023</v>
      </c>
      <c r="H35" s="23">
        <f t="shared" si="5"/>
        <v>0.27917885124000286</v>
      </c>
      <c r="I35" s="23">
        <f t="shared" si="5"/>
        <v>0.72857391984717523</v>
      </c>
      <c r="J35" s="23">
        <f t="shared" si="5"/>
        <v>1.2210216544864094</v>
      </c>
      <c r="K35" s="23">
        <f t="shared" si="5"/>
        <v>1.1760795994833817</v>
      </c>
      <c r="L35" s="23">
        <f t="shared" si="5"/>
        <v>5.6016896805699545E-2</v>
      </c>
      <c r="M35" s="23"/>
      <c r="N35" s="23">
        <f>((((N28/N5))^(1/23))-1)*100</f>
        <v>-1.7981551660916528</v>
      </c>
      <c r="O35" s="23">
        <f>((((O28/O5))^(1/23))-1)*100</f>
        <v>-0.90315603718332804</v>
      </c>
      <c r="P35" s="23">
        <f>((((P28/P5))^(1/23))-1)*100</f>
        <v>-2.2358627679650467</v>
      </c>
      <c r="Q35" s="23">
        <f>((((Q28/Q5))^(1/23))-1)*100</f>
        <v>-1.1242510865101196</v>
      </c>
    </row>
    <row r="36" spans="1:18" ht="12.6" customHeight="1">
      <c r="A36" s="448" t="s">
        <v>808</v>
      </c>
      <c r="B36" s="23">
        <f t="shared" ref="B36:L36" si="6">((((B29/B5))^(1/24))-1)*100</f>
        <v>1.1637640394430049</v>
      </c>
      <c r="C36" s="23">
        <f t="shared" si="6"/>
        <v>2.1813765589206113</v>
      </c>
      <c r="D36" s="23">
        <f t="shared" si="6"/>
        <v>1.7808377355668981</v>
      </c>
      <c r="E36" s="23">
        <f t="shared" si="6"/>
        <v>1.4853916137481216</v>
      </c>
      <c r="F36" s="23">
        <f t="shared" si="6"/>
        <v>1.8863695663151159</v>
      </c>
      <c r="G36" s="23">
        <f t="shared" si="6"/>
        <v>1.366000739488249</v>
      </c>
      <c r="H36" s="23">
        <f t="shared" si="6"/>
        <v>0.99578322829105836</v>
      </c>
      <c r="I36" s="23">
        <f t="shared" si="6"/>
        <v>0.97947236804465376</v>
      </c>
      <c r="J36" s="23">
        <f t="shared" si="6"/>
        <v>0.99160327899359135</v>
      </c>
      <c r="K36" s="23">
        <f t="shared" si="6"/>
        <v>1.3651013635163523</v>
      </c>
      <c r="L36" s="23">
        <f t="shared" si="6"/>
        <v>0.58226041947817553</v>
      </c>
      <c r="M36" s="23"/>
      <c r="N36" s="23"/>
      <c r="O36" s="23"/>
      <c r="P36" s="23"/>
      <c r="Q36" s="23"/>
    </row>
    <row r="37" spans="1:18" ht="12.6" customHeight="1">
      <c r="A37" s="448" t="s">
        <v>819</v>
      </c>
      <c r="B37" s="644">
        <f t="shared" ref="B37:L37" si="7">((((B30/B5))^(1/25))-1)*100</f>
        <v>1.2770785524751194</v>
      </c>
      <c r="C37" s="23">
        <f t="shared" si="7"/>
        <v>2.7904066600365374</v>
      </c>
      <c r="D37" s="23">
        <f t="shared" si="7"/>
        <v>1.8067488914335517</v>
      </c>
      <c r="E37" s="23">
        <f t="shared" si="7"/>
        <v>1.4979635189620533</v>
      </c>
      <c r="F37" s="23">
        <f t="shared" si="7"/>
        <v>1.9074884664716185</v>
      </c>
      <c r="G37" s="23">
        <f t="shared" si="7"/>
        <v>1.4090049849355468</v>
      </c>
      <c r="H37" s="23">
        <f t="shared" si="7"/>
        <v>1.0672516665656939</v>
      </c>
      <c r="I37" s="23">
        <f t="shared" si="7"/>
        <v>1.0746167359202863</v>
      </c>
      <c r="J37" s="23">
        <f t="shared" si="7"/>
        <v>1.1063985603179116</v>
      </c>
      <c r="K37" s="23">
        <f t="shared" si="7"/>
        <v>1.6191331580672319</v>
      </c>
      <c r="L37" s="23">
        <f t="shared" si="7"/>
        <v>0.77693722239640106</v>
      </c>
      <c r="M37" s="23"/>
      <c r="N37" s="23"/>
      <c r="O37" s="23"/>
      <c r="P37" s="23"/>
      <c r="Q37" s="23"/>
      <c r="R37" s="114">
        <f>B38-'8b'!B38</f>
        <v>0.20260151934061721</v>
      </c>
    </row>
    <row r="38" spans="1:18" ht="12.6" customHeight="1">
      <c r="A38" s="448" t="s">
        <v>447</v>
      </c>
      <c r="B38" s="644">
        <f>((((B31/B5))^(1/26))-1)*100</f>
        <v>1.3589989365064836</v>
      </c>
      <c r="C38" s="644">
        <f t="shared" ref="C38:L38" si="8">((((C31/C5))^(1/26))-1)*100</f>
        <v>2.6196717457591889</v>
      </c>
      <c r="D38" s="644">
        <f t="shared" si="8"/>
        <v>1.8634089377822072</v>
      </c>
      <c r="E38" s="644">
        <f t="shared" si="8"/>
        <v>1.5646030973332392</v>
      </c>
      <c r="F38" s="644">
        <f t="shared" si="8"/>
        <v>1.9622434046171033</v>
      </c>
      <c r="G38" s="644">
        <f t="shared" si="8"/>
        <v>1.5075015694286265</v>
      </c>
      <c r="H38" s="644">
        <f t="shared" si="8"/>
        <v>1.1362671417482595</v>
      </c>
      <c r="I38" s="644">
        <f t="shared" si="8"/>
        <v>1.2085295575787969</v>
      </c>
      <c r="J38" s="644">
        <f t="shared" si="8"/>
        <v>1.2970801476274829</v>
      </c>
      <c r="K38" s="644">
        <f t="shared" si="8"/>
        <v>1.6897633099937304</v>
      </c>
      <c r="L38" s="644">
        <f t="shared" si="8"/>
        <v>0.87546203173920478</v>
      </c>
      <c r="M38" s="23"/>
      <c r="N38" s="23"/>
      <c r="O38" s="23"/>
      <c r="P38" s="23"/>
      <c r="Q38" s="23"/>
      <c r="R38" s="6">
        <f>B47-'8b'!B47</f>
        <v>7.2004688700951505</v>
      </c>
    </row>
    <row r="39" spans="1:18" ht="12.6" customHeight="1">
      <c r="A39" s="448" t="s">
        <v>1408</v>
      </c>
      <c r="B39" s="644">
        <f>((((B32/B5))^(1/27))-1)*100</f>
        <v>1.378696825321879</v>
      </c>
      <c r="C39" s="644">
        <f t="shared" ref="C39:L39" si="9">((((C32/C5))^(1/27))-1)*100</f>
        <v>2.4014491335795807</v>
      </c>
      <c r="D39" s="644">
        <f t="shared" si="9"/>
        <v>1.7733038970678683</v>
      </c>
      <c r="E39" s="644">
        <f t="shared" si="9"/>
        <v>1.5541086898094969</v>
      </c>
      <c r="F39" s="644">
        <f t="shared" si="9"/>
        <v>1.9759133417350361</v>
      </c>
      <c r="G39" s="644">
        <f t="shared" si="9"/>
        <v>1.4949800262817892</v>
      </c>
      <c r="H39" s="644">
        <f t="shared" si="9"/>
        <v>1.1458883776479301</v>
      </c>
      <c r="I39" s="644">
        <f t="shared" si="9"/>
        <v>1.2739454910127401</v>
      </c>
      <c r="J39" s="644">
        <f t="shared" si="9"/>
        <v>1.5181657348356081</v>
      </c>
      <c r="K39" s="644">
        <f t="shared" si="9"/>
        <v>1.7511736961518976</v>
      </c>
      <c r="L39" s="644">
        <f t="shared" si="9"/>
        <v>0.9058411753435136</v>
      </c>
      <c r="M39" s="23"/>
      <c r="N39" s="23"/>
      <c r="O39" s="23"/>
      <c r="P39" s="23"/>
      <c r="Q39" s="23"/>
      <c r="R39" s="6"/>
    </row>
    <row r="40" spans="1:18" ht="12.6" customHeight="1">
      <c r="A40" s="448" t="s">
        <v>809</v>
      </c>
      <c r="B40" s="644">
        <f t="shared" ref="B40:L40" si="10">((((B29/B24))^(1/5))-1)*100</f>
        <v>1.4524497023647998</v>
      </c>
      <c r="C40" s="644">
        <f t="shared" si="10"/>
        <v>2.5006496613468654</v>
      </c>
      <c r="D40" s="644">
        <f t="shared" si="10"/>
        <v>0.73603748027644134</v>
      </c>
      <c r="E40" s="644">
        <f t="shared" si="10"/>
        <v>1.2942591722856722</v>
      </c>
      <c r="F40" s="644">
        <f t="shared" si="10"/>
        <v>1.4953130960027039</v>
      </c>
      <c r="G40" s="644">
        <f t="shared" si="10"/>
        <v>1.5170758780685523</v>
      </c>
      <c r="H40" s="644">
        <f t="shared" si="10"/>
        <v>0.73079384110459333</v>
      </c>
      <c r="I40" s="644">
        <f t="shared" si="10"/>
        <v>1.0138724745948124</v>
      </c>
      <c r="J40" s="644">
        <f t="shared" si="10"/>
        <v>1.9618212127254564</v>
      </c>
      <c r="K40" s="644">
        <f t="shared" si="10"/>
        <v>3.5293656614522773</v>
      </c>
      <c r="L40" s="644">
        <f t="shared" si="10"/>
        <v>1.5712191123933295</v>
      </c>
      <c r="M40" s="23"/>
      <c r="N40" s="23">
        <f>((((N29/N5))^(1/24))-1)*100</f>
        <v>-0.7696237750997037</v>
      </c>
      <c r="O40" s="23">
        <f>((((O29/O5))^(1/24))-1)*100</f>
        <v>-0.38555515142379981</v>
      </c>
      <c r="P40" s="23">
        <f>((((P29/P5))^(1/24))-1)*100</f>
        <v>-0.89738800316233602</v>
      </c>
      <c r="Q40" s="23">
        <f>((((Q29/Q5))^(1/24))-1)*100</f>
        <v>-0.44970517530464882</v>
      </c>
    </row>
    <row r="41" spans="1:18" ht="12.6" customHeight="1">
      <c r="A41" s="448" t="s">
        <v>818</v>
      </c>
      <c r="B41" s="644">
        <f t="shared" ref="B41:L41" si="11">((((B30/B24))^(1/6))-1)*100</f>
        <v>1.8783846141570137</v>
      </c>
      <c r="C41" s="644">
        <f t="shared" si="11"/>
        <v>5.0157132266282822</v>
      </c>
      <c r="D41" s="644">
        <f t="shared" si="11"/>
        <v>1.0165050262280539</v>
      </c>
      <c r="E41" s="644">
        <f t="shared" si="11"/>
        <v>1.3784005349494421</v>
      </c>
      <c r="F41" s="644">
        <f t="shared" si="11"/>
        <v>1.6481274544780211</v>
      </c>
      <c r="G41" s="644">
        <f t="shared" si="11"/>
        <v>1.6714084844085875</v>
      </c>
      <c r="H41" s="644">
        <f t="shared" si="11"/>
        <v>1.0723774118381435</v>
      </c>
      <c r="I41" s="644">
        <f t="shared" si="11"/>
        <v>1.4052777035313824</v>
      </c>
      <c r="J41" s="644">
        <f t="shared" si="11"/>
        <v>2.2824816776022994</v>
      </c>
      <c r="K41" s="644">
        <f t="shared" si="11"/>
        <v>4.2470201084253922</v>
      </c>
      <c r="L41" s="644">
        <f t="shared" si="11"/>
        <v>2.2260238354038453</v>
      </c>
      <c r="M41" s="23"/>
      <c r="N41" s="23">
        <f>((((N24/N13))^(1/11))-1)*100</f>
        <v>-3.257691044732014</v>
      </c>
      <c r="O41" s="23">
        <f>((((O24/O13))^(1/11))-1)*100</f>
        <v>-1.6423317909233903</v>
      </c>
      <c r="P41" s="23">
        <f>((((P24/P13))^(1/11))-1)*100</f>
        <v>-3.4542884945444108</v>
      </c>
      <c r="Q41" s="23">
        <f>((((Q24/Q13))^(1/11))-1)*100</f>
        <v>-1.7423226890358468</v>
      </c>
    </row>
    <row r="42" spans="1:18" ht="12.6" customHeight="1">
      <c r="A42" s="448" t="s">
        <v>449</v>
      </c>
      <c r="B42" s="644">
        <f>((((B31/B24))^(1/7))-1)*100</f>
        <v>2.0984250733669052</v>
      </c>
      <c r="C42" s="644">
        <f t="shared" ref="C42:L42" si="12">((((C31/C24))^(1/7))-1)*100</f>
        <v>4.050433632049133</v>
      </c>
      <c r="D42" s="644">
        <f t="shared" si="12"/>
        <v>1.3382289099212352</v>
      </c>
      <c r="E42" s="644">
        <f t="shared" si="12"/>
        <v>1.6429612381520409</v>
      </c>
      <c r="F42" s="644">
        <f t="shared" si="12"/>
        <v>1.8882183403099884</v>
      </c>
      <c r="G42" s="644">
        <f t="shared" si="12"/>
        <v>2.0010200433007608</v>
      </c>
      <c r="H42" s="644">
        <f t="shared" si="12"/>
        <v>1.3282371521403658</v>
      </c>
      <c r="I42" s="644">
        <f t="shared" si="12"/>
        <v>1.8576566923353965</v>
      </c>
      <c r="J42" s="644">
        <f t="shared" si="12"/>
        <v>2.8307702591376049</v>
      </c>
      <c r="K42" s="644">
        <f t="shared" si="12"/>
        <v>4.1358854143289436</v>
      </c>
      <c r="L42" s="644">
        <f t="shared" si="12"/>
        <v>2.3886894882135579</v>
      </c>
      <c r="M42" s="644"/>
      <c r="N42" s="644">
        <f>((((N28/N24))^(1/4))-1)*100</f>
        <v>0.50792244413053744</v>
      </c>
      <c r="O42" s="644">
        <f>((((O28/O24))^(1/4))-1)*100</f>
        <v>0.25363955694104323</v>
      </c>
      <c r="P42" s="644">
        <f>((((P28/P24))^(1/4))-1)*100</f>
        <v>3.4217029793077725</v>
      </c>
      <c r="Q42" s="644">
        <f>((((Q28/Q24))^(1/4))-1)*100</f>
        <v>1.6964615801886129</v>
      </c>
    </row>
    <row r="43" spans="1:18" ht="12.6" customHeight="1">
      <c r="A43" s="448" t="s">
        <v>1410</v>
      </c>
      <c r="B43" s="644">
        <f>((((B32/B24))^(1/8))-1)*100</f>
        <v>2.0726225973930701</v>
      </c>
      <c r="C43" s="644">
        <f t="shared" ref="C43:L43" si="13">((((C32/C24))^(1/8))-1)*100</f>
        <v>3.1269052859195678</v>
      </c>
      <c r="D43" s="644">
        <f t="shared" si="13"/>
        <v>1.1013137435529341</v>
      </c>
      <c r="E43" s="644">
        <f t="shared" si="13"/>
        <v>1.5977249797143545</v>
      </c>
      <c r="F43" s="644">
        <f t="shared" si="13"/>
        <v>1.943582602780336</v>
      </c>
      <c r="G43" s="644">
        <f t="shared" si="13"/>
        <v>1.8967655350705215</v>
      </c>
      <c r="H43" s="644">
        <f t="shared" si="13"/>
        <v>1.3367502581187907</v>
      </c>
      <c r="I43" s="644">
        <f t="shared" si="13"/>
        <v>1.9984764195868143</v>
      </c>
      <c r="J43" s="644">
        <f t="shared" si="13"/>
        <v>3.3957973998189228</v>
      </c>
      <c r="K43" s="644">
        <f t="shared" si="13"/>
        <v>4.0386986950916359</v>
      </c>
      <c r="L43" s="644">
        <f t="shared" si="13"/>
        <v>2.3022128803458664</v>
      </c>
      <c r="M43" s="644"/>
      <c r="N43" s="644"/>
      <c r="O43" s="644"/>
      <c r="P43" s="644"/>
      <c r="Q43" s="644"/>
    </row>
    <row r="44" spans="1:18" ht="12.6" customHeight="1">
      <c r="A44" s="448"/>
      <c r="D44" s="27" t="s">
        <v>276</v>
      </c>
      <c r="M44" s="644"/>
      <c r="N44" s="644">
        <f>((((N29/N24))^(1/5))-1)*100</f>
        <v>5.1729667217758957</v>
      </c>
      <c r="O44" s="644">
        <f>((((O29/O24))^(1/5))-1)*100</f>
        <v>2.5538720486827371</v>
      </c>
      <c r="P44" s="644">
        <f>((((P29/P24))^(1/5))-1)*100</f>
        <v>9.162079951430524</v>
      </c>
      <c r="Q44" s="644">
        <f>((((Q29/Q24))^(1/5))-1)*100</f>
        <v>4.4806584739158772</v>
      </c>
    </row>
    <row r="45" spans="1:18">
      <c r="A45" s="448" t="s">
        <v>808</v>
      </c>
      <c r="B45" s="10">
        <f t="shared" ref="B45:L45" si="14">(B29/B5-1)*100</f>
        <v>32.007777254673897</v>
      </c>
      <c r="C45" s="10">
        <f t="shared" si="14"/>
        <v>67.850244385676348</v>
      </c>
      <c r="D45" s="10">
        <f t="shared" si="14"/>
        <v>52.751156563850365</v>
      </c>
      <c r="E45" s="10">
        <f t="shared" si="14"/>
        <v>42.457318783626064</v>
      </c>
      <c r="F45" s="10">
        <f t="shared" si="14"/>
        <v>56.597961276759577</v>
      </c>
      <c r="G45" s="10">
        <f t="shared" si="14"/>
        <v>38.48906900907474</v>
      </c>
      <c r="H45" s="10">
        <f t="shared" si="14"/>
        <v>26.84629785340007</v>
      </c>
      <c r="I45" s="10">
        <f t="shared" si="14"/>
        <v>26.355552412021698</v>
      </c>
      <c r="J45" s="10">
        <f t="shared" si="14"/>
        <v>26.720361788322155</v>
      </c>
      <c r="K45" s="10">
        <f t="shared" si="14"/>
        <v>38.459581954516153</v>
      </c>
      <c r="L45" s="10">
        <f t="shared" si="14"/>
        <v>14.951169641844997</v>
      </c>
      <c r="N45" s="10"/>
      <c r="O45" s="10"/>
      <c r="P45" s="10"/>
      <c r="Q45" s="10"/>
    </row>
    <row r="46" spans="1:18">
      <c r="A46" s="448" t="s">
        <v>819</v>
      </c>
      <c r="B46" s="10">
        <f t="shared" ref="B46:L46" si="15">(B30/B5-1)*100</f>
        <v>37.334335005246189</v>
      </c>
      <c r="C46" s="10">
        <f t="shared" si="15"/>
        <v>98.982372869384136</v>
      </c>
      <c r="D46" s="10">
        <f t="shared" si="15"/>
        <v>56.463925293354869</v>
      </c>
      <c r="E46" s="10">
        <f t="shared" si="15"/>
        <v>45.02177404654428</v>
      </c>
      <c r="F46" s="10">
        <f t="shared" si="15"/>
        <v>60.380831533205104</v>
      </c>
      <c r="G46" s="10">
        <f t="shared" si="15"/>
        <v>41.877339869923503</v>
      </c>
      <c r="H46" s="10">
        <f t="shared" si="15"/>
        <v>30.395138819888135</v>
      </c>
      <c r="I46" s="10">
        <f t="shared" si="15"/>
        <v>30.63290365315272</v>
      </c>
      <c r="J46" s="10">
        <f t="shared" si="15"/>
        <v>31.663690524779931</v>
      </c>
      <c r="K46" s="10">
        <f t="shared" si="15"/>
        <v>49.412574194020877</v>
      </c>
      <c r="L46" s="10">
        <f t="shared" si="15"/>
        <v>21.346954841316233</v>
      </c>
      <c r="M46" s="10"/>
      <c r="N46" s="10">
        <f>(N28/N5-1)*100</f>
        <v>-34.120260779415268</v>
      </c>
      <c r="O46" s="10">
        <f>(O28/O5-1)*100</f>
        <v>-18.833665094089191</v>
      </c>
      <c r="P46" s="10">
        <f>(P28/P5-1)*100</f>
        <v>-40.552970877167624</v>
      </c>
      <c r="Q46" s="10">
        <f>(Q28/Q5-1)*100</f>
        <v>-22.898100462548665</v>
      </c>
    </row>
    <row r="47" spans="1:18">
      <c r="A47" s="448" t="s">
        <v>447</v>
      </c>
      <c r="B47" s="10">
        <f>(B31/B5-1)*100</f>
        <v>42.043095518145776</v>
      </c>
      <c r="C47" s="10">
        <f t="shared" ref="C47:L47" si="16">(C31/C5-1)*100</f>
        <v>95.882730501201422</v>
      </c>
      <c r="D47" s="10">
        <f t="shared" si="16"/>
        <v>61.611908217883517</v>
      </c>
      <c r="E47" s="10">
        <f t="shared" si="16"/>
        <v>49.727567074452409</v>
      </c>
      <c r="F47" s="10">
        <f t="shared" si="16"/>
        <v>65.738705305005936</v>
      </c>
      <c r="G47" s="10">
        <f t="shared" si="16"/>
        <v>47.554208587052813</v>
      </c>
      <c r="H47" s="10">
        <f t="shared" si="16"/>
        <v>34.146678353144978</v>
      </c>
      <c r="I47" s="10">
        <f t="shared" si="16"/>
        <v>36.661125413244065</v>
      </c>
      <c r="J47" s="10">
        <f t="shared" si="16"/>
        <v>39.804163746394948</v>
      </c>
      <c r="K47" s="10">
        <f t="shared" si="16"/>
        <v>54.599522639727958</v>
      </c>
      <c r="L47" s="10">
        <f t="shared" si="16"/>
        <v>25.436509180488876</v>
      </c>
      <c r="M47" s="10"/>
      <c r="N47" s="10">
        <f>(N29/N5-1)*100</f>
        <v>-16.924816177824908</v>
      </c>
      <c r="O47" s="10">
        <f>(O29/O5-1)*100</f>
        <v>-8.8544110654963699</v>
      </c>
      <c r="P47" s="10">
        <f>(P29/P5-1)*100</f>
        <v>-19.454287661469895</v>
      </c>
      <c r="Q47" s="10">
        <f>(Q29/Q5-1)*100</f>
        <v>-10.252736900488102</v>
      </c>
    </row>
    <row r="48" spans="1:18">
      <c r="A48" s="448" t="s">
        <v>1408</v>
      </c>
      <c r="B48" s="10">
        <f>(B32/B5-1)*100</f>
        <v>44.73081758108237</v>
      </c>
      <c r="C48" s="10">
        <f t="shared" ref="C48:L48" si="17">(C32/C5-1)*100</f>
        <v>89.786261168366252</v>
      </c>
      <c r="D48" s="10">
        <f t="shared" si="17"/>
        <v>60.736527297328436</v>
      </c>
      <c r="E48" s="10">
        <f t="shared" si="17"/>
        <v>51.646527045943834</v>
      </c>
      <c r="F48" s="10">
        <f t="shared" si="17"/>
        <v>69.603691650051118</v>
      </c>
      <c r="G48" s="10">
        <f t="shared" si="17"/>
        <v>49.280536025171017</v>
      </c>
      <c r="H48" s="10">
        <f t="shared" si="17"/>
        <v>36.01985163386221</v>
      </c>
      <c r="I48" s="10">
        <f t="shared" si="17"/>
        <v>40.746856840087808</v>
      </c>
      <c r="J48" s="10">
        <f t="shared" si="17"/>
        <v>50.20402782593105</v>
      </c>
      <c r="K48" s="10">
        <f t="shared" si="17"/>
        <v>59.79549906015955</v>
      </c>
      <c r="L48" s="10">
        <f t="shared" si="17"/>
        <v>27.567572891581026</v>
      </c>
      <c r="M48" s="10"/>
      <c r="N48" s="10"/>
      <c r="O48" s="10"/>
      <c r="P48" s="10"/>
      <c r="Q48" s="10"/>
    </row>
    <row r="49" spans="1:12">
      <c r="A49" s="140"/>
      <c r="C49" s="10"/>
      <c r="D49" s="10"/>
      <c r="E49" s="10"/>
      <c r="F49" s="10"/>
      <c r="G49" s="10"/>
      <c r="H49" s="10"/>
      <c r="I49" s="10"/>
      <c r="J49" s="10"/>
      <c r="K49" s="10"/>
      <c r="L49" s="10"/>
    </row>
    <row r="50" spans="1:12">
      <c r="A50" s="9" t="s">
        <v>1307</v>
      </c>
    </row>
    <row r="51" spans="1:12">
      <c r="B51" s="9"/>
      <c r="C51" s="9"/>
      <c r="D51" s="9"/>
      <c r="E51" s="9"/>
      <c r="F51" s="9"/>
      <c r="G51" s="9"/>
      <c r="H51" s="9"/>
      <c r="I51" s="9"/>
      <c r="J51" s="9"/>
      <c r="K51" s="9"/>
      <c r="L51" s="9"/>
    </row>
    <row r="53" spans="1:12" hidden="1">
      <c r="B53" s="1" t="s">
        <v>278</v>
      </c>
    </row>
    <row r="54" spans="1:12" hidden="1">
      <c r="B54" s="1" t="s">
        <v>279</v>
      </c>
    </row>
    <row r="55" spans="1:12" hidden="1">
      <c r="B55" s="1">
        <v>1981</v>
      </c>
      <c r="C55" s="300">
        <f>C5-$B5</f>
        <v>-8634.643221070226</v>
      </c>
      <c r="D55" s="300">
        <f t="shared" ref="D55:L55" si="18">D5-$B5</f>
        <v>-7391.6049654619565</v>
      </c>
      <c r="E55" s="300">
        <f t="shared" si="18"/>
        <v>-4565.9801952987764</v>
      </c>
      <c r="F55" s="300">
        <f t="shared" si="18"/>
        <v>-6615.2903795146121</v>
      </c>
      <c r="G55" s="300">
        <f t="shared" si="18"/>
        <v>-2680.0031669698728</v>
      </c>
      <c r="H55" s="300">
        <f t="shared" si="18"/>
        <v>2056.7608229918114</v>
      </c>
      <c r="I55" s="300">
        <f t="shared" si="18"/>
        <v>-1704.1945911451839</v>
      </c>
      <c r="J55" s="300">
        <f t="shared" si="18"/>
        <v>-2223.3066314373864</v>
      </c>
      <c r="K55" s="300">
        <f t="shared" si="18"/>
        <v>3465.6123195470245</v>
      </c>
      <c r="L55" s="300">
        <f t="shared" si="18"/>
        <v>2921.1057500977549</v>
      </c>
    </row>
    <row r="56" spans="1:12" hidden="1">
      <c r="B56" s="1">
        <v>1982</v>
      </c>
      <c r="C56" s="300">
        <f t="shared" ref="C56:L71" si="19">C6-$B6</f>
        <v>-8317.1531867168487</v>
      </c>
      <c r="D56" s="300">
        <f t="shared" si="19"/>
        <v>-6676.3161721653814</v>
      </c>
      <c r="E56" s="300">
        <f t="shared" si="19"/>
        <v>-4202.3359236821743</v>
      </c>
      <c r="F56" s="300">
        <f t="shared" si="19"/>
        <v>-5994.5433313000722</v>
      </c>
      <c r="G56" s="300">
        <f t="shared" si="19"/>
        <v>-3070.1121256590195</v>
      </c>
      <c r="H56" s="300">
        <f t="shared" si="19"/>
        <v>2413.371625443393</v>
      </c>
      <c r="I56" s="300">
        <f t="shared" si="19"/>
        <v>-1022.7119819339714</v>
      </c>
      <c r="J56" s="300">
        <f t="shared" si="19"/>
        <v>-1597.2058253322939</v>
      </c>
      <c r="K56" s="300">
        <f t="shared" si="19"/>
        <v>2702.6319916090542</v>
      </c>
      <c r="L56" s="300">
        <f t="shared" si="19"/>
        <v>2190.8002509181861</v>
      </c>
    </row>
    <row r="57" spans="1:12" hidden="1">
      <c r="B57" s="1">
        <v>1983</v>
      </c>
      <c r="C57" s="300">
        <f t="shared" si="19"/>
        <v>-8309.1351009742848</v>
      </c>
      <c r="D57" s="300">
        <f t="shared" si="19"/>
        <v>-5958.8847926563285</v>
      </c>
      <c r="E57" s="300">
        <f t="shared" si="19"/>
        <v>-3832.0501828299821</v>
      </c>
      <c r="F57" s="300">
        <f t="shared" si="19"/>
        <v>-5622.7262422640997</v>
      </c>
      <c r="G57" s="300">
        <f t="shared" si="19"/>
        <v>-2903.2670914289047</v>
      </c>
      <c r="H57" s="300">
        <f t="shared" si="19"/>
        <v>2757.086530519613</v>
      </c>
      <c r="I57" s="300">
        <f t="shared" si="19"/>
        <v>-1772.5845096753874</v>
      </c>
      <c r="J57" s="300">
        <f t="shared" si="19"/>
        <v>-2555.2630604923652</v>
      </c>
      <c r="K57" s="300">
        <f t="shared" si="19"/>
        <v>2155.9374902531526</v>
      </c>
      <c r="L57" s="300">
        <f t="shared" si="19"/>
        <v>1645.3692446513523</v>
      </c>
    </row>
    <row r="58" spans="1:12" hidden="1">
      <c r="B58" s="1">
        <v>1984</v>
      </c>
      <c r="C58" s="300">
        <f t="shared" si="19"/>
        <v>-8921.7185798577957</v>
      </c>
      <c r="D58" s="300">
        <f t="shared" si="19"/>
        <v>-6493.2943296162557</v>
      </c>
      <c r="E58" s="300">
        <f t="shared" si="19"/>
        <v>-3896.2012952885925</v>
      </c>
      <c r="F58" s="300">
        <f t="shared" si="19"/>
        <v>-5781.667609701537</v>
      </c>
      <c r="G58" s="300">
        <f t="shared" si="19"/>
        <v>-2671.4280047905195</v>
      </c>
      <c r="H58" s="300">
        <f t="shared" si="19"/>
        <v>2898.6315982908745</v>
      </c>
      <c r="I58" s="300">
        <f t="shared" si="19"/>
        <v>-860.01037094548519</v>
      </c>
      <c r="J58" s="300">
        <f t="shared" si="19"/>
        <v>-2955.6115147542914</v>
      </c>
      <c r="K58" s="300">
        <f t="shared" si="19"/>
        <v>1775.2870688179864</v>
      </c>
      <c r="L58" s="300">
        <f t="shared" si="19"/>
        <v>794.64934408471163</v>
      </c>
    </row>
    <row r="59" spans="1:12" hidden="1">
      <c r="B59" s="1">
        <v>1985</v>
      </c>
      <c r="C59" s="300">
        <f t="shared" si="19"/>
        <v>-9244.2838626257671</v>
      </c>
      <c r="D59" s="300">
        <f t="shared" si="19"/>
        <v>-6986.256583261682</v>
      </c>
      <c r="E59" s="300">
        <f t="shared" si="19"/>
        <v>-3896.1577465723931</v>
      </c>
      <c r="F59" s="300">
        <f t="shared" si="19"/>
        <v>-6152.8864541247094</v>
      </c>
      <c r="G59" s="300">
        <f t="shared" si="19"/>
        <v>-2860.7927874835004</v>
      </c>
      <c r="H59" s="300">
        <f t="shared" si="19"/>
        <v>2976.4140172664811</v>
      </c>
      <c r="I59" s="300">
        <f t="shared" si="19"/>
        <v>-837.07578344031572</v>
      </c>
      <c r="J59" s="300">
        <f t="shared" si="19"/>
        <v>-3205.6286608078517</v>
      </c>
      <c r="K59" s="300">
        <f t="shared" si="19"/>
        <v>2554.6593764321478</v>
      </c>
      <c r="L59" s="300">
        <f t="shared" si="19"/>
        <v>557.70437353474335</v>
      </c>
    </row>
    <row r="60" spans="1:12" hidden="1">
      <c r="B60" s="1">
        <v>1986</v>
      </c>
      <c r="C60" s="300">
        <f t="shared" si="19"/>
        <v>-8959.0135430666105</v>
      </c>
      <c r="D60" s="300">
        <f t="shared" si="19"/>
        <v>-5876.1132125729055</v>
      </c>
      <c r="E60" s="300">
        <f t="shared" si="19"/>
        <v>-3899.649554429765</v>
      </c>
      <c r="F60" s="300">
        <f t="shared" si="19"/>
        <v>-5752.6521808052421</v>
      </c>
      <c r="G60" s="300">
        <f t="shared" si="19"/>
        <v>-2944.8735864095324</v>
      </c>
      <c r="H60" s="300">
        <f t="shared" si="19"/>
        <v>3189.4451733397036</v>
      </c>
      <c r="I60" s="300">
        <f t="shared" si="19"/>
        <v>-1186.2510874167019</v>
      </c>
      <c r="J60" s="300">
        <f t="shared" si="19"/>
        <v>-2032.8322181005897</v>
      </c>
      <c r="K60" s="300">
        <f t="shared" si="19"/>
        <v>1734.4414279314333</v>
      </c>
      <c r="L60" s="300">
        <f t="shared" si="19"/>
        <v>247.35905821959022</v>
      </c>
    </row>
    <row r="61" spans="1:12" hidden="1">
      <c r="B61" s="1">
        <v>1987</v>
      </c>
      <c r="C61" s="300">
        <f t="shared" si="19"/>
        <v>-8314.2570189276448</v>
      </c>
      <c r="D61" s="300">
        <f t="shared" si="19"/>
        <v>-5867.2130467887437</v>
      </c>
      <c r="E61" s="300">
        <f t="shared" si="19"/>
        <v>-3673.3065330865866</v>
      </c>
      <c r="F61" s="300">
        <f t="shared" si="19"/>
        <v>-5475.1973801820968</v>
      </c>
      <c r="G61" s="300">
        <f t="shared" si="19"/>
        <v>-2865.6217187960247</v>
      </c>
      <c r="H61" s="300">
        <f t="shared" si="19"/>
        <v>3507.4772255633725</v>
      </c>
      <c r="I61" s="300">
        <f t="shared" si="19"/>
        <v>-1766.2845186979139</v>
      </c>
      <c r="J61" s="300">
        <f t="shared" si="19"/>
        <v>-4541.6796194034796</v>
      </c>
      <c r="K61" s="300">
        <f t="shared" si="19"/>
        <v>771.11250263383045</v>
      </c>
      <c r="L61" s="300">
        <f t="shared" si="19"/>
        <v>568.92495571025211</v>
      </c>
    </row>
    <row r="62" spans="1:12" hidden="1">
      <c r="B62" s="1">
        <v>1988</v>
      </c>
      <c r="C62" s="300">
        <f t="shared" si="19"/>
        <v>-8431.4786650767055</v>
      </c>
      <c r="D62" s="300">
        <f t="shared" si="19"/>
        <v>-5824.9914463197601</v>
      </c>
      <c r="E62" s="300">
        <f t="shared" si="19"/>
        <v>-4021.2938782965721</v>
      </c>
      <c r="F62" s="300">
        <f t="shared" si="19"/>
        <v>-5729.9498243646267</v>
      </c>
      <c r="G62" s="300">
        <f t="shared" si="19"/>
        <v>-3166.6812011174079</v>
      </c>
      <c r="H62" s="300">
        <f t="shared" si="19"/>
        <v>3659.1448894219611</v>
      </c>
      <c r="I62" s="300">
        <f t="shared" si="19"/>
        <v>-2228.1142404153434</v>
      </c>
      <c r="J62" s="300">
        <f t="shared" si="19"/>
        <v>-4872.3757409502177</v>
      </c>
      <c r="K62" s="300">
        <f t="shared" si="19"/>
        <v>1178.8886544228044</v>
      </c>
      <c r="L62" s="300">
        <f t="shared" si="19"/>
        <v>594.21333344117011</v>
      </c>
    </row>
    <row r="63" spans="1:12" hidden="1">
      <c r="B63" s="1">
        <v>1989</v>
      </c>
      <c r="C63" s="300">
        <f t="shared" si="19"/>
        <v>-8422.0043776682724</v>
      </c>
      <c r="D63" s="300">
        <f t="shared" si="19"/>
        <v>-5998.584630023146</v>
      </c>
      <c r="E63" s="300">
        <f t="shared" si="19"/>
        <v>-4055.8094426639145</v>
      </c>
      <c r="F63" s="300">
        <f t="shared" si="19"/>
        <v>-5790.7844557432873</v>
      </c>
      <c r="G63" s="300">
        <f t="shared" si="19"/>
        <v>-3303.4626773716991</v>
      </c>
      <c r="H63" s="300">
        <f t="shared" si="19"/>
        <v>3585.2079772580473</v>
      </c>
      <c r="I63" s="300">
        <f t="shared" si="19"/>
        <v>-2527.0071573136775</v>
      </c>
      <c r="J63" s="300">
        <f t="shared" si="19"/>
        <v>-5258.8443865575391</v>
      </c>
      <c r="K63" s="300">
        <f t="shared" si="19"/>
        <v>929.87850005612563</v>
      </c>
      <c r="L63" s="300">
        <f t="shared" si="19"/>
        <v>1236.536089219182</v>
      </c>
    </row>
    <row r="64" spans="1:12" hidden="1">
      <c r="B64" s="1">
        <v>1990</v>
      </c>
      <c r="C64" s="300">
        <f t="shared" si="19"/>
        <v>-7923.1918620185243</v>
      </c>
      <c r="D64" s="300">
        <f t="shared" si="19"/>
        <v>-5883.8233475749585</v>
      </c>
      <c r="E64" s="300">
        <f t="shared" si="19"/>
        <v>-3950.7057767899423</v>
      </c>
      <c r="F64" s="300">
        <f t="shared" si="19"/>
        <v>-5730.2211680714936</v>
      </c>
      <c r="G64" s="300">
        <f t="shared" si="19"/>
        <v>-3093.6898154292467</v>
      </c>
      <c r="H64" s="300">
        <f t="shared" si="19"/>
        <v>3035.6935757589963</v>
      </c>
      <c r="I64" s="300">
        <f t="shared" si="19"/>
        <v>-1968.575404489995</v>
      </c>
      <c r="J64" s="300">
        <f t="shared" si="19"/>
        <v>-4256.0004900127387</v>
      </c>
      <c r="K64" s="300">
        <f t="shared" si="19"/>
        <v>1112.028351191937</v>
      </c>
      <c r="L64" s="300">
        <f t="shared" si="19"/>
        <v>1559.5444502913451</v>
      </c>
    </row>
    <row r="65" spans="2:12" hidden="1">
      <c r="B65" s="1">
        <v>1991</v>
      </c>
      <c r="C65" s="300">
        <f t="shared" si="19"/>
        <v>-7292.3785127958763</v>
      </c>
      <c r="D65" s="300">
        <f t="shared" si="19"/>
        <v>-5454.4143407644915</v>
      </c>
      <c r="E65" s="300">
        <f t="shared" si="19"/>
        <v>-3629.5291646106416</v>
      </c>
      <c r="F65" s="300">
        <f t="shared" si="19"/>
        <v>-5270.2505812794116</v>
      </c>
      <c r="G65" s="300">
        <f t="shared" si="19"/>
        <v>-2993.0112576082138</v>
      </c>
      <c r="H65" s="300">
        <f t="shared" si="19"/>
        <v>2795.7674166762554</v>
      </c>
      <c r="I65" s="300">
        <f t="shared" si="19"/>
        <v>-2025.7807879498068</v>
      </c>
      <c r="J65" s="300">
        <f t="shared" si="19"/>
        <v>-3832.7333151443563</v>
      </c>
      <c r="K65" s="300">
        <f t="shared" si="19"/>
        <v>1407.4427706022543</v>
      </c>
      <c r="L65" s="300">
        <f t="shared" si="19"/>
        <v>1446.840172816319</v>
      </c>
    </row>
    <row r="66" spans="2:12" hidden="1">
      <c r="B66" s="1">
        <v>1992</v>
      </c>
      <c r="C66" s="300">
        <f t="shared" si="19"/>
        <v>-7011.926974342583</v>
      </c>
      <c r="D66" s="300">
        <f t="shared" si="19"/>
        <v>-5099.581655541373</v>
      </c>
      <c r="E66" s="300">
        <f t="shared" si="19"/>
        <v>-3288.0300654217572</v>
      </c>
      <c r="F66" s="300">
        <f t="shared" si="19"/>
        <v>-4731.8356118088523</v>
      </c>
      <c r="G66" s="300">
        <f t="shared" si="19"/>
        <v>-2822.1501153148783</v>
      </c>
      <c r="H66" s="300">
        <f t="shared" si="19"/>
        <v>2749.4191225583745</v>
      </c>
      <c r="I66" s="300">
        <f t="shared" si="19"/>
        <v>-1889.2262717552658</v>
      </c>
      <c r="J66" s="300">
        <f t="shared" si="19"/>
        <v>-4272.5699203243894</v>
      </c>
      <c r="K66" s="300">
        <f t="shared" si="19"/>
        <v>1161.6308170637967</v>
      </c>
      <c r="L66" s="300">
        <f t="shared" si="19"/>
        <v>1247.5106645343549</v>
      </c>
    </row>
    <row r="67" spans="2:12" hidden="1">
      <c r="B67" s="1">
        <v>1993</v>
      </c>
      <c r="C67" s="300">
        <f t="shared" si="19"/>
        <v>-6562.5557141297541</v>
      </c>
      <c r="D67" s="300">
        <f t="shared" si="19"/>
        <v>-4451.8687201744106</v>
      </c>
      <c r="E67" s="300">
        <f t="shared" si="19"/>
        <v>-3051.2511496491752</v>
      </c>
      <c r="F67" s="300">
        <f t="shared" si="19"/>
        <v>-4394.6341588423093</v>
      </c>
      <c r="G67" s="300">
        <f t="shared" si="19"/>
        <v>-2356.6019670594324</v>
      </c>
      <c r="H67" s="300">
        <f t="shared" si="19"/>
        <v>2303.9875804904441</v>
      </c>
      <c r="I67" s="300">
        <f t="shared" si="19"/>
        <v>-2160.823260878522</v>
      </c>
      <c r="J67" s="300">
        <f t="shared" si="19"/>
        <v>-4125.132056531249</v>
      </c>
      <c r="K67" s="300">
        <f t="shared" si="19"/>
        <v>1679.6096961188123</v>
      </c>
      <c r="L67" s="300">
        <f t="shared" si="19"/>
        <v>1118.3691613776136</v>
      </c>
    </row>
    <row r="68" spans="2:12" hidden="1">
      <c r="B68" s="1">
        <v>1994</v>
      </c>
      <c r="C68" s="300">
        <f t="shared" si="19"/>
        <v>-6226.2698899144307</v>
      </c>
      <c r="D68" s="300">
        <f t="shared" si="19"/>
        <v>-4701.5064131205618</v>
      </c>
      <c r="E68" s="300">
        <f t="shared" si="19"/>
        <v>-3181.8901952552333</v>
      </c>
      <c r="F68" s="300">
        <f t="shared" si="19"/>
        <v>-4166.8881776565977</v>
      </c>
      <c r="G68" s="300">
        <f t="shared" si="19"/>
        <v>-2039.8442917503344</v>
      </c>
      <c r="H68" s="300">
        <f t="shared" si="19"/>
        <v>2219.689644152666</v>
      </c>
      <c r="I68" s="300">
        <f t="shared" si="19"/>
        <v>-1972.5023279810412</v>
      </c>
      <c r="J68" s="300">
        <f t="shared" si="19"/>
        <v>-4137.5050317469286</v>
      </c>
      <c r="K68" s="300">
        <f t="shared" si="19"/>
        <v>1384.4159124141406</v>
      </c>
      <c r="L68" s="300">
        <f t="shared" si="19"/>
        <v>1020.6141957975851</v>
      </c>
    </row>
    <row r="69" spans="2:12" hidden="1">
      <c r="B69" s="1">
        <v>1995</v>
      </c>
      <c r="C69" s="300">
        <f t="shared" si="19"/>
        <v>-6153.4188688297945</v>
      </c>
      <c r="D69" s="300">
        <f t="shared" si="19"/>
        <v>-4652.0549876332952</v>
      </c>
      <c r="E69" s="300">
        <f t="shared" si="19"/>
        <v>-3249.9625262302943</v>
      </c>
      <c r="F69" s="300">
        <f t="shared" si="19"/>
        <v>-3959.3383875537038</v>
      </c>
      <c r="G69" s="300">
        <f t="shared" si="19"/>
        <v>-1946.5048370691184</v>
      </c>
      <c r="H69" s="300">
        <f t="shared" si="19"/>
        <v>2114.6401656271846</v>
      </c>
      <c r="I69" s="300">
        <f t="shared" si="19"/>
        <v>-2054.87264052924</v>
      </c>
      <c r="J69" s="300">
        <f t="shared" si="19"/>
        <v>-3509.6323107025491</v>
      </c>
      <c r="K69" s="300">
        <f t="shared" si="19"/>
        <v>1326.9137688781993</v>
      </c>
      <c r="L69" s="300">
        <f t="shared" si="19"/>
        <v>719.14719470237469</v>
      </c>
    </row>
    <row r="70" spans="2:12" hidden="1">
      <c r="B70" s="1">
        <v>1996</v>
      </c>
      <c r="C70" s="300">
        <f t="shared" si="19"/>
        <v>-6371.2794051275778</v>
      </c>
      <c r="D70" s="300">
        <f t="shared" si="19"/>
        <v>-4804.6382145917996</v>
      </c>
      <c r="E70" s="300">
        <f t="shared" si="19"/>
        <v>-3475.0500643258747</v>
      </c>
      <c r="F70" s="300">
        <f t="shared" si="19"/>
        <v>-3959.9977768996541</v>
      </c>
      <c r="G70" s="300">
        <f t="shared" si="19"/>
        <v>-1872.7116967470865</v>
      </c>
      <c r="H70" s="300">
        <f t="shared" si="19"/>
        <v>1911.4938601185713</v>
      </c>
      <c r="I70" s="300">
        <f t="shared" si="19"/>
        <v>-1720.2836301759089</v>
      </c>
      <c r="J70" s="300">
        <f t="shared" si="19"/>
        <v>-2573.4635218363328</v>
      </c>
      <c r="K70" s="300">
        <f t="shared" si="19"/>
        <v>1496.5807134198112</v>
      </c>
      <c r="L70" s="300">
        <f t="shared" si="19"/>
        <v>523.73645289658089</v>
      </c>
    </row>
    <row r="71" spans="2:12" hidden="1">
      <c r="B71" s="1">
        <v>1997</v>
      </c>
      <c r="C71" s="300">
        <f t="shared" si="19"/>
        <v>-6777.0118580512863</v>
      </c>
      <c r="D71" s="300">
        <f t="shared" si="19"/>
        <v>-5067.9090877441558</v>
      </c>
      <c r="E71" s="300">
        <f t="shared" si="19"/>
        <v>-3431.8883412014511</v>
      </c>
      <c r="F71" s="300">
        <f t="shared" si="19"/>
        <v>-4305.4957952979166</v>
      </c>
      <c r="G71" s="300">
        <f t="shared" si="19"/>
        <v>-2028.0730299560819</v>
      </c>
      <c r="H71" s="300">
        <f t="shared" si="19"/>
        <v>2064.6243892953134</v>
      </c>
      <c r="I71" s="300">
        <f t="shared" si="19"/>
        <v>-1940.7650589842306</v>
      </c>
      <c r="J71" s="300">
        <f t="shared" si="19"/>
        <v>-3748.3708696969152</v>
      </c>
      <c r="K71" s="300">
        <f t="shared" si="19"/>
        <v>2429.8802412755613</v>
      </c>
      <c r="L71" s="300">
        <f t="shared" si="19"/>
        <v>201.35861690371894</v>
      </c>
    </row>
    <row r="72" spans="2:12" hidden="1">
      <c r="B72" s="1">
        <v>1998</v>
      </c>
      <c r="C72" s="300">
        <f t="shared" ref="C72:L79" si="20">C22-$B22</f>
        <v>-6592.6157682918201</v>
      </c>
      <c r="D72" s="300">
        <f t="shared" si="20"/>
        <v>-4967.669430066544</v>
      </c>
      <c r="E72" s="300">
        <f t="shared" si="20"/>
        <v>-3110.4686304089519</v>
      </c>
      <c r="F72" s="300">
        <f t="shared" si="20"/>
        <v>-4058.9794159394587</v>
      </c>
      <c r="G72" s="300">
        <f t="shared" si="20"/>
        <v>-2173.2323728169722</v>
      </c>
      <c r="H72" s="300">
        <f t="shared" si="20"/>
        <v>2144.9389142600849</v>
      </c>
      <c r="I72" s="300">
        <f t="shared" si="20"/>
        <v>-1809.8334446911067</v>
      </c>
      <c r="J72" s="300">
        <f t="shared" si="20"/>
        <v>-3731.1408150948009</v>
      </c>
      <c r="K72" s="300">
        <f t="shared" si="20"/>
        <v>2739.9099128807793</v>
      </c>
      <c r="L72" s="300">
        <f t="shared" si="20"/>
        <v>-334.50730310196741</v>
      </c>
    </row>
    <row r="73" spans="2:12" hidden="1">
      <c r="B73" s="1">
        <v>1999</v>
      </c>
      <c r="C73" s="300">
        <f t="shared" si="20"/>
        <v>-6402.5637221018442</v>
      </c>
      <c r="D73" s="300">
        <f t="shared" si="20"/>
        <v>-4859.6725339510049</v>
      </c>
      <c r="E73" s="300">
        <f t="shared" si="20"/>
        <v>-2845.7128873527399</v>
      </c>
      <c r="F73" s="300">
        <f t="shared" si="20"/>
        <v>-3812.5369727367251</v>
      </c>
      <c r="G73" s="300">
        <f t="shared" si="20"/>
        <v>-2154.7884029336601</v>
      </c>
      <c r="H73" s="300">
        <f t="shared" si="20"/>
        <v>2306.9257757015876</v>
      </c>
      <c r="I73" s="300">
        <f t="shared" si="20"/>
        <v>-2274.4674397425042</v>
      </c>
      <c r="J73" s="300">
        <f t="shared" si="20"/>
        <v>-3707.6225655709932</v>
      </c>
      <c r="K73" s="300">
        <f t="shared" si="20"/>
        <v>2142.9949552968355</v>
      </c>
      <c r="L73" s="300">
        <f t="shared" si="20"/>
        <v>-519.55310000718237</v>
      </c>
    </row>
    <row r="74" spans="2:12" hidden="1">
      <c r="B74" s="1">
        <v>2000</v>
      </c>
      <c r="C74" s="300">
        <f t="shared" si="20"/>
        <v>-6899.3565177855889</v>
      </c>
      <c r="D74" s="300">
        <f t="shared" si="20"/>
        <v>-5228.5014840694494</v>
      </c>
      <c r="E74" s="300">
        <f t="shared" si="20"/>
        <v>-3607.9250161799064</v>
      </c>
      <c r="F74" s="300">
        <f t="shared" si="20"/>
        <v>-4392.0629278421366</v>
      </c>
      <c r="G74" s="300">
        <f t="shared" si="20"/>
        <v>-2140.9062858883517</v>
      </c>
      <c r="H74" s="300">
        <f t="shared" si="20"/>
        <v>2396.7000121657256</v>
      </c>
      <c r="I74" s="300">
        <f t="shared" si="20"/>
        <v>-2669.0145632897038</v>
      </c>
      <c r="J74" s="300">
        <f t="shared" si="20"/>
        <v>-4370.7926973950489</v>
      </c>
      <c r="K74" s="300">
        <f t="shared" si="20"/>
        <v>2550.0502625732624</v>
      </c>
      <c r="L74" s="300">
        <f t="shared" si="20"/>
        <v>-712.98252323590714</v>
      </c>
    </row>
    <row r="75" spans="2:12" hidden="1">
      <c r="B75" s="1">
        <v>2001</v>
      </c>
      <c r="C75" s="300">
        <f t="shared" si="20"/>
        <v>-6336.2689254549077</v>
      </c>
      <c r="D75" s="300">
        <f t="shared" si="20"/>
        <v>-5604.451233518168</v>
      </c>
      <c r="E75" s="300">
        <f t="shared" si="20"/>
        <v>-3542.3798075945851</v>
      </c>
      <c r="F75" s="300">
        <f t="shared" si="20"/>
        <v>-4508.3005341195567</v>
      </c>
      <c r="G75" s="300">
        <f t="shared" si="20"/>
        <v>-2024.4786570471515</v>
      </c>
      <c r="H75" s="300">
        <f t="shared" si="20"/>
        <v>2082.2322927607056</v>
      </c>
      <c r="I75" s="300">
        <f t="shared" si="20"/>
        <v>-2896.8233793535546</v>
      </c>
      <c r="J75" s="300">
        <f t="shared" si="20"/>
        <v>-4555.2076192293534</v>
      </c>
      <c r="K75" s="300">
        <f t="shared" si="20"/>
        <v>4075.6597192453555</v>
      </c>
      <c r="L75" s="300">
        <f t="shared" si="20"/>
        <v>-1061.3597845941476</v>
      </c>
    </row>
    <row r="76" spans="2:12" hidden="1">
      <c r="B76" s="1">
        <v>2002</v>
      </c>
      <c r="C76" s="300">
        <f t="shared" si="20"/>
        <v>-5710.6407254764345</v>
      </c>
      <c r="D76" s="300">
        <f t="shared" si="20"/>
        <v>-4836.0954984880373</v>
      </c>
      <c r="E76" s="300">
        <f t="shared" si="20"/>
        <v>-3242.6242979608542</v>
      </c>
      <c r="F76" s="300">
        <f t="shared" si="20"/>
        <v>-4243.4315762865954</v>
      </c>
      <c r="G76" s="300">
        <f t="shared" si="20"/>
        <v>-1859.6651838220023</v>
      </c>
      <c r="H76" s="300">
        <f t="shared" si="20"/>
        <v>1885.3459739589925</v>
      </c>
      <c r="I76" s="300">
        <f t="shared" si="20"/>
        <v>-2693.7690533633941</v>
      </c>
      <c r="J76" s="300">
        <f t="shared" si="20"/>
        <v>-4430.3489780067321</v>
      </c>
      <c r="K76" s="300">
        <f t="shared" si="20"/>
        <v>3640.3759481322159</v>
      </c>
      <c r="L76" s="300">
        <f t="shared" si="20"/>
        <v>-984.60706695365297</v>
      </c>
    </row>
    <row r="77" spans="2:12" hidden="1">
      <c r="B77" s="1">
        <v>2003</v>
      </c>
      <c r="C77" s="300">
        <f t="shared" si="20"/>
        <v>-5403.0058983667186</v>
      </c>
      <c r="D77" s="300">
        <f t="shared" si="20"/>
        <v>-5299.5426949181856</v>
      </c>
      <c r="E77" s="300">
        <f t="shared" si="20"/>
        <v>-3555.1269753951237</v>
      </c>
      <c r="F77" s="300">
        <f t="shared" si="20"/>
        <v>-4207.3890577115635</v>
      </c>
      <c r="G77" s="300">
        <f t="shared" si="20"/>
        <v>-1583.8552345942226</v>
      </c>
      <c r="H77" s="300">
        <f t="shared" si="20"/>
        <v>1716.4693991857494</v>
      </c>
      <c r="I77" s="300">
        <f t="shared" si="20"/>
        <v>-2843.9124772379328</v>
      </c>
      <c r="J77" s="300">
        <f t="shared" si="20"/>
        <v>-3993.8328668584363</v>
      </c>
      <c r="K77" s="300">
        <f t="shared" si="20"/>
        <v>3555.6531064466872</v>
      </c>
      <c r="L77" s="300">
        <f t="shared" si="20"/>
        <v>-965.90523788637802</v>
      </c>
    </row>
    <row r="78" spans="2:12" hidden="1">
      <c r="B78" s="1">
        <v>2004</v>
      </c>
      <c r="C78" s="300">
        <f t="shared" si="20"/>
        <v>-5853.8101546259313</v>
      </c>
      <c r="D78" s="300">
        <f t="shared" si="20"/>
        <v>-5907.3568982907382</v>
      </c>
      <c r="E78" s="300">
        <f t="shared" si="20"/>
        <v>-3988.0832582581024</v>
      </c>
      <c r="F78" s="300">
        <f t="shared" si="20"/>
        <v>-4329.8926626957764</v>
      </c>
      <c r="G78" s="300">
        <f t="shared" si="20"/>
        <v>-1862.5077427881079</v>
      </c>
      <c r="H78" s="300">
        <f t="shared" si="20"/>
        <v>1593.8628849243432</v>
      </c>
      <c r="I78" s="300">
        <f t="shared" si="20"/>
        <v>-3033.2608397228578</v>
      </c>
      <c r="J78" s="300">
        <f t="shared" si="20"/>
        <v>-3538.1919753322509</v>
      </c>
      <c r="K78" s="300">
        <f t="shared" si="20"/>
        <v>4655.9372106055635</v>
      </c>
      <c r="L78" s="300">
        <f t="shared" si="20"/>
        <v>-822.23084232618203</v>
      </c>
    </row>
    <row r="79" spans="2:12" hidden="1">
      <c r="B79" s="1">
        <v>2005</v>
      </c>
      <c r="C79" s="300">
        <f t="shared" si="20"/>
        <v>-6194.283156797057</v>
      </c>
      <c r="D79" s="300">
        <f t="shared" si="20"/>
        <v>-6487.8274393785505</v>
      </c>
      <c r="E79" s="300">
        <f t="shared" si="20"/>
        <v>-4085.0797751792234</v>
      </c>
      <c r="F79" s="300">
        <f t="shared" si="20"/>
        <v>-4665.7837350848058</v>
      </c>
      <c r="G79" s="300">
        <f t="shared" si="20"/>
        <v>-2210.8292091678522</v>
      </c>
      <c r="H79" s="300">
        <f t="shared" si="20"/>
        <v>1413.8328866929769</v>
      </c>
      <c r="I79" s="300">
        <f t="shared" si="20"/>
        <v>-3462.0640601090527</v>
      </c>
      <c r="J79" s="300">
        <f t="shared" si="20"/>
        <v>-4041.6335929287306</v>
      </c>
      <c r="K79" s="300">
        <f t="shared" si="20"/>
        <v>6292.3271054838588</v>
      </c>
      <c r="L79" s="300">
        <f t="shared" si="20"/>
        <v>-591.45205178148171</v>
      </c>
    </row>
    <row r="80" spans="2:12" hidden="1"/>
    <row r="81" spans="2:12" hidden="1">
      <c r="B81" s="1" t="s">
        <v>280</v>
      </c>
    </row>
    <row r="82" spans="2:12" hidden="1">
      <c r="B82" s="1">
        <v>1981</v>
      </c>
      <c r="C82" s="300">
        <f>C55^2</f>
        <v>74557063.555174008</v>
      </c>
      <c r="D82" s="300">
        <f t="shared" ref="D82:L82" si="21">D55^2</f>
        <v>54635823.965441853</v>
      </c>
      <c r="E82" s="300">
        <f t="shared" si="21"/>
        <v>20848175.143860653</v>
      </c>
      <c r="F82" s="300">
        <f t="shared" si="21"/>
        <v>43762066.805298582</v>
      </c>
      <c r="G82" s="300">
        <f t="shared" si="21"/>
        <v>7182416.9749685479</v>
      </c>
      <c r="H82" s="300">
        <f t="shared" si="21"/>
        <v>4230265.0829939535</v>
      </c>
      <c r="I82" s="300">
        <f t="shared" si="21"/>
        <v>2904279.2044885005</v>
      </c>
      <c r="J82" s="300">
        <f t="shared" si="21"/>
        <v>4943092.377393458</v>
      </c>
      <c r="K82" s="300">
        <f t="shared" si="21"/>
        <v>12010468.749396108</v>
      </c>
      <c r="L82" s="300">
        <f t="shared" si="21"/>
        <v>8532858.8032541666</v>
      </c>
    </row>
    <row r="83" spans="2:12" hidden="1">
      <c r="B83" s="1">
        <v>1982</v>
      </c>
      <c r="C83" s="300">
        <f t="shared" ref="C83:L98" si="22">C56^2</f>
        <v>69175037.131314233</v>
      </c>
      <c r="D83" s="300">
        <f t="shared" si="22"/>
        <v>44573197.630717009</v>
      </c>
      <c r="E83" s="300">
        <f t="shared" si="22"/>
        <v>17659627.215469714</v>
      </c>
      <c r="F83" s="300">
        <f t="shared" si="22"/>
        <v>35934549.750834167</v>
      </c>
      <c r="G83" s="300">
        <f t="shared" si="22"/>
        <v>9425588.464118544</v>
      </c>
      <c r="H83" s="300">
        <f t="shared" si="22"/>
        <v>5824362.6024952848</v>
      </c>
      <c r="I83" s="300">
        <f t="shared" si="22"/>
        <v>1045939.7979913119</v>
      </c>
      <c r="J83" s="300">
        <f t="shared" si="22"/>
        <v>2551066.448475414</v>
      </c>
      <c r="K83" s="300">
        <f t="shared" si="22"/>
        <v>7304219.6820687233</v>
      </c>
      <c r="L83" s="300">
        <f t="shared" si="22"/>
        <v>4799605.7394231874</v>
      </c>
    </row>
    <row r="84" spans="2:12" hidden="1">
      <c r="B84" s="1">
        <v>1983</v>
      </c>
      <c r="C84" s="300">
        <f t="shared" si="22"/>
        <v>69041726.126242936</v>
      </c>
      <c r="D84" s="300">
        <f t="shared" si="22"/>
        <v>35508307.972150855</v>
      </c>
      <c r="E84" s="300">
        <f t="shared" si="22"/>
        <v>14684608.6037273</v>
      </c>
      <c r="F84" s="300">
        <f t="shared" si="22"/>
        <v>31615050.395445362</v>
      </c>
      <c r="G84" s="300">
        <f t="shared" si="22"/>
        <v>8428959.8041740526</v>
      </c>
      <c r="H84" s="300">
        <f t="shared" si="22"/>
        <v>7601526.1367726773</v>
      </c>
      <c r="I84" s="300">
        <f t="shared" si="22"/>
        <v>3142055.8439411335</v>
      </c>
      <c r="J84" s="300">
        <f t="shared" si="22"/>
        <v>6529369.3083168091</v>
      </c>
      <c r="K84" s="300">
        <f t="shared" si="22"/>
        <v>4648066.4618790625</v>
      </c>
      <c r="L84" s="300">
        <f t="shared" si="22"/>
        <v>2707239.9512445619</v>
      </c>
    </row>
    <row r="85" spans="2:12" hidden="1">
      <c r="B85" s="1">
        <v>1984</v>
      </c>
      <c r="C85" s="300">
        <f t="shared" si="22"/>
        <v>79597062.41817981</v>
      </c>
      <c r="D85" s="300">
        <f t="shared" si="22"/>
        <v>42162871.251026623</v>
      </c>
      <c r="E85" s="300">
        <f t="shared" si="22"/>
        <v>15180384.533408506</v>
      </c>
      <c r="F85" s="300">
        <f t="shared" si="22"/>
        <v>33427680.349071883</v>
      </c>
      <c r="G85" s="300">
        <f t="shared" si="22"/>
        <v>7136527.5847790558</v>
      </c>
      <c r="H85" s="300">
        <f t="shared" si="22"/>
        <v>8402065.1426103096</v>
      </c>
      <c r="I85" s="300">
        <f t="shared" si="22"/>
        <v>739617.838133791</v>
      </c>
      <c r="J85" s="300">
        <f t="shared" si="22"/>
        <v>8735639.4261481576</v>
      </c>
      <c r="K85" s="300">
        <f t="shared" si="22"/>
        <v>3151644.1767123579</v>
      </c>
      <c r="L85" s="300">
        <f t="shared" si="22"/>
        <v>631467.58005426242</v>
      </c>
    </row>
    <row r="86" spans="2:12" hidden="1">
      <c r="B86" s="1">
        <v>1985</v>
      </c>
      <c r="C86" s="300">
        <f t="shared" si="22"/>
        <v>85456784.132803172</v>
      </c>
      <c r="D86" s="300">
        <f t="shared" si="22"/>
        <v>48807781.047167189</v>
      </c>
      <c r="E86" s="300">
        <f t="shared" si="22"/>
        <v>15180045.186176067</v>
      </c>
      <c r="F86" s="300">
        <f t="shared" si="22"/>
        <v>37858011.71735134</v>
      </c>
      <c r="G86" s="300">
        <f t="shared" si="22"/>
        <v>8184135.3729176167</v>
      </c>
      <c r="H86" s="300">
        <f t="shared" si="22"/>
        <v>8859040.4021803923</v>
      </c>
      <c r="I86" s="300">
        <f t="shared" si="22"/>
        <v>700695.86722221831</v>
      </c>
      <c r="J86" s="300">
        <f t="shared" si="22"/>
        <v>10276055.110992741</v>
      </c>
      <c r="K86" s="300">
        <f t="shared" si="22"/>
        <v>6526284.5295926901</v>
      </c>
      <c r="L86" s="300">
        <f t="shared" si="22"/>
        <v>311034.16825978056</v>
      </c>
    </row>
    <row r="87" spans="2:12" hidden="1">
      <c r="B87" s="1">
        <v>1986</v>
      </c>
      <c r="C87" s="300">
        <f t="shared" si="22"/>
        <v>80263923.664850935</v>
      </c>
      <c r="D87" s="300">
        <f t="shared" si="22"/>
        <v>34528706.486973874</v>
      </c>
      <c r="E87" s="300">
        <f t="shared" si="22"/>
        <v>15207266.647364264</v>
      </c>
      <c r="F87" s="300">
        <f t="shared" si="22"/>
        <v>33093007.113323309</v>
      </c>
      <c r="G87" s="300">
        <f t="shared" si="22"/>
        <v>8672280.4399325419</v>
      </c>
      <c r="H87" s="300">
        <f t="shared" si="22"/>
        <v>10172560.513739932</v>
      </c>
      <c r="I87" s="300">
        <f t="shared" si="22"/>
        <v>1407191.6423973078</v>
      </c>
      <c r="J87" s="300">
        <f t="shared" si="22"/>
        <v>4132406.8269477636</v>
      </c>
      <c r="K87" s="300">
        <f t="shared" si="22"/>
        <v>3008287.0669248295</v>
      </c>
      <c r="L87" s="300">
        <f t="shared" si="22"/>
        <v>61186.503683282623</v>
      </c>
    </row>
    <row r="88" spans="2:12" hidden="1">
      <c r="B88" s="1">
        <v>1987</v>
      </c>
      <c r="C88" s="300">
        <f t="shared" si="22"/>
        <v>69126869.776787609</v>
      </c>
      <c r="D88" s="300">
        <f t="shared" si="22"/>
        <v>34424188.93640805</v>
      </c>
      <c r="E88" s="300">
        <f t="shared" si="22"/>
        <v>13493180.886016598</v>
      </c>
      <c r="F88" s="300">
        <f t="shared" si="22"/>
        <v>29977786.351952896</v>
      </c>
      <c r="G88" s="300">
        <f t="shared" si="22"/>
        <v>8211787.835235483</v>
      </c>
      <c r="H88" s="300">
        <f t="shared" si="22"/>
        <v>12302396.487845734</v>
      </c>
      <c r="I88" s="300">
        <f t="shared" si="22"/>
        <v>3119761.0009919214</v>
      </c>
      <c r="J88" s="300">
        <f t="shared" si="22"/>
        <v>20626853.765304934</v>
      </c>
      <c r="K88" s="300">
        <f t="shared" si="22"/>
        <v>594614.49171820912</v>
      </c>
      <c r="L88" s="300">
        <f t="shared" si="22"/>
        <v>323675.60522991233</v>
      </c>
    </row>
    <row r="89" spans="2:12" hidden="1">
      <c r="B89" s="1">
        <v>1988</v>
      </c>
      <c r="C89" s="300">
        <f t="shared" si="22"/>
        <v>71089832.479643658</v>
      </c>
      <c r="D89" s="300">
        <f t="shared" si="22"/>
        <v>33930525.349698372</v>
      </c>
      <c r="E89" s="300">
        <f t="shared" si="22"/>
        <v>16170804.455625486</v>
      </c>
      <c r="F89" s="300">
        <f t="shared" si="22"/>
        <v>32832324.989736218</v>
      </c>
      <c r="G89" s="300">
        <f t="shared" si="22"/>
        <v>10027869.829510389</v>
      </c>
      <c r="H89" s="300">
        <f t="shared" si="22"/>
        <v>13389341.321782855</v>
      </c>
      <c r="I89" s="300">
        <f t="shared" si="22"/>
        <v>4964493.0683416426</v>
      </c>
      <c r="J89" s="300">
        <f t="shared" si="22"/>
        <v>23740045.361000184</v>
      </c>
      <c r="K89" s="300">
        <f t="shared" si="22"/>
        <v>1389778.4595268103</v>
      </c>
      <c r="L89" s="300">
        <f t="shared" si="22"/>
        <v>353089.48563926719</v>
      </c>
    </row>
    <row r="90" spans="2:12" hidden="1">
      <c r="B90" s="1">
        <v>1989</v>
      </c>
      <c r="C90" s="300">
        <f t="shared" si="22"/>
        <v>70930157.737463549</v>
      </c>
      <c r="D90" s="300">
        <f t="shared" si="22"/>
        <v>35983017.563549921</v>
      </c>
      <c r="E90" s="300">
        <f t="shared" si="22"/>
        <v>16449590.235201772</v>
      </c>
      <c r="F90" s="300">
        <f t="shared" si="22"/>
        <v>33533184.61287808</v>
      </c>
      <c r="G90" s="300">
        <f t="shared" si="22"/>
        <v>10912865.660787795</v>
      </c>
      <c r="H90" s="300">
        <f t="shared" si="22"/>
        <v>12853716.24019474</v>
      </c>
      <c r="I90" s="300">
        <f t="shared" si="22"/>
        <v>6385765.1731145531</v>
      </c>
      <c r="J90" s="300">
        <f t="shared" si="22"/>
        <v>27655444.28202774</v>
      </c>
      <c r="K90" s="300">
        <f t="shared" si="22"/>
        <v>864674.02486663009</v>
      </c>
      <c r="L90" s="300">
        <f t="shared" si="22"/>
        <v>1529021.4999414689</v>
      </c>
    </row>
    <row r="91" spans="2:12" hidden="1">
      <c r="B91" s="1">
        <v>1990</v>
      </c>
      <c r="C91" s="300">
        <f t="shared" si="22"/>
        <v>62776969.282356568</v>
      </c>
      <c r="D91" s="300">
        <f t="shared" si="22"/>
        <v>34619377.185468189</v>
      </c>
      <c r="E91" s="300">
        <f t="shared" si="22"/>
        <v>15608076.134761421</v>
      </c>
      <c r="F91" s="300">
        <f t="shared" si="22"/>
        <v>32835434.635014631</v>
      </c>
      <c r="G91" s="300">
        <f t="shared" si="22"/>
        <v>9570916.6740906462</v>
      </c>
      <c r="H91" s="300">
        <f t="shared" si="22"/>
        <v>9215435.4859044403</v>
      </c>
      <c r="I91" s="300">
        <f t="shared" si="22"/>
        <v>3875289.1231629471</v>
      </c>
      <c r="J91" s="300">
        <f t="shared" si="22"/>
        <v>18113540.170988671</v>
      </c>
      <c r="K91" s="300">
        <f t="shared" si="22"/>
        <v>1236607.0538546578</v>
      </c>
      <c r="L91" s="300">
        <f t="shared" si="22"/>
        <v>2432178.8924345337</v>
      </c>
    </row>
    <row r="92" spans="2:12" hidden="1">
      <c r="B92" s="1">
        <v>1991</v>
      </c>
      <c r="C92" s="300">
        <f t="shared" si="22"/>
        <v>53178784.373886995</v>
      </c>
      <c r="D92" s="300">
        <f t="shared" si="22"/>
        <v>29750635.800737344</v>
      </c>
      <c r="E92" s="300">
        <f t="shared" si="22"/>
        <v>13173481.956759222</v>
      </c>
      <c r="F92" s="300">
        <f t="shared" si="22"/>
        <v>27775541.189475976</v>
      </c>
      <c r="G92" s="300">
        <f t="shared" si="22"/>
        <v>8958116.388169501</v>
      </c>
      <c r="H92" s="300">
        <f t="shared" si="22"/>
        <v>7816315.4481486222</v>
      </c>
      <c r="I92" s="300">
        <f t="shared" si="22"/>
        <v>4103787.8008265402</v>
      </c>
      <c r="J92" s="300">
        <f t="shared" si="22"/>
        <v>14689844.665017448</v>
      </c>
      <c r="K92" s="300">
        <f t="shared" si="22"/>
        <v>1980895.1525205499</v>
      </c>
      <c r="L92" s="300">
        <f t="shared" si="22"/>
        <v>2093346.4856751557</v>
      </c>
    </row>
    <row r="93" spans="2:12" hidden="1">
      <c r="B93" s="1">
        <v>1992</v>
      </c>
      <c r="C93" s="300">
        <f t="shared" si="22"/>
        <v>49167119.893513128</v>
      </c>
      <c r="D93" s="300">
        <f t="shared" si="22"/>
        <v>26005733.061534092</v>
      </c>
      <c r="E93" s="300">
        <f t="shared" si="22"/>
        <v>10811141.711117405</v>
      </c>
      <c r="F93" s="300">
        <f t="shared" si="22"/>
        <v>22390268.257182457</v>
      </c>
      <c r="G93" s="300">
        <f t="shared" si="22"/>
        <v>7964531.2733717812</v>
      </c>
      <c r="H93" s="300">
        <f t="shared" si="22"/>
        <v>7559305.5114896623</v>
      </c>
      <c r="I93" s="300">
        <f t="shared" si="22"/>
        <v>3569175.9058903013</v>
      </c>
      <c r="J93" s="300">
        <f t="shared" si="22"/>
        <v>18254853.724060759</v>
      </c>
      <c r="K93" s="300">
        <f t="shared" si="22"/>
        <v>1349386.1551523039</v>
      </c>
      <c r="L93" s="300">
        <f t="shared" si="22"/>
        <v>1556282.8581269477</v>
      </c>
    </row>
    <row r="94" spans="2:12" hidden="1">
      <c r="B94" s="1">
        <v>1993</v>
      </c>
      <c r="C94" s="300">
        <f t="shared" si="22"/>
        <v>43067137.501057088</v>
      </c>
      <c r="D94" s="300">
        <f t="shared" si="22"/>
        <v>19819135.101667345</v>
      </c>
      <c r="E94" s="300">
        <f t="shared" si="22"/>
        <v>9310133.5782354139</v>
      </c>
      <c r="F94" s="300">
        <f t="shared" si="22"/>
        <v>19312809.390063651</v>
      </c>
      <c r="G94" s="300">
        <f t="shared" si="22"/>
        <v>5553572.831148386</v>
      </c>
      <c r="H94" s="300">
        <f t="shared" si="22"/>
        <v>5308358.7710542101</v>
      </c>
      <c r="I94" s="300">
        <f t="shared" si="22"/>
        <v>4669157.1647536894</v>
      </c>
      <c r="J94" s="300">
        <f t="shared" si="22"/>
        <v>17016714.483821731</v>
      </c>
      <c r="K94" s="300">
        <f t="shared" si="22"/>
        <v>2821088.7312963288</v>
      </c>
      <c r="L94" s="300">
        <f t="shared" si="22"/>
        <v>1250749.5811204668</v>
      </c>
    </row>
    <row r="95" spans="2:12" hidden="1">
      <c r="B95" s="1">
        <v>1994</v>
      </c>
      <c r="C95" s="300">
        <f t="shared" si="22"/>
        <v>38766436.742055058</v>
      </c>
      <c r="D95" s="300">
        <f t="shared" si="22"/>
        <v>22104162.552613769</v>
      </c>
      <c r="E95" s="300">
        <f t="shared" si="22"/>
        <v>10124425.214661386</v>
      </c>
      <c r="F95" s="300">
        <f t="shared" si="22"/>
        <v>17362957.085094322</v>
      </c>
      <c r="G95" s="300">
        <f t="shared" si="22"/>
        <v>4160964.7345864233</v>
      </c>
      <c r="H95" s="300">
        <f t="shared" si="22"/>
        <v>4927022.1163585894</v>
      </c>
      <c r="I95" s="300">
        <f t="shared" si="22"/>
        <v>3890765.4338906268</v>
      </c>
      <c r="J95" s="300">
        <f t="shared" si="22"/>
        <v>17118947.887731154</v>
      </c>
      <c r="K95" s="300">
        <f t="shared" si="22"/>
        <v>1916607.4185454776</v>
      </c>
      <c r="L95" s="300">
        <f t="shared" si="22"/>
        <v>1041653.3366635514</v>
      </c>
    </row>
    <row r="96" spans="2:12" hidden="1">
      <c r="B96" s="1">
        <v>1995</v>
      </c>
      <c r="C96" s="300">
        <f t="shared" si="22"/>
        <v>37864563.775270551</v>
      </c>
      <c r="D96" s="300">
        <f t="shared" si="22"/>
        <v>21641615.607963819</v>
      </c>
      <c r="E96" s="300">
        <f t="shared" si="22"/>
        <v>10562256.421901196</v>
      </c>
      <c r="F96" s="300">
        <f t="shared" si="22"/>
        <v>15676360.467156364</v>
      </c>
      <c r="G96" s="300">
        <f t="shared" si="22"/>
        <v>3788881.0807334748</v>
      </c>
      <c r="H96" s="300">
        <f t="shared" si="22"/>
        <v>4471703.0300837671</v>
      </c>
      <c r="I96" s="300">
        <f t="shared" si="22"/>
        <v>4222501.5687956112</v>
      </c>
      <c r="J96" s="300">
        <f t="shared" si="22"/>
        <v>12317518.956327314</v>
      </c>
      <c r="K96" s="300">
        <f t="shared" si="22"/>
        <v>1760700.1500385473</v>
      </c>
      <c r="L96" s="300">
        <f t="shared" si="22"/>
        <v>517172.68764829519</v>
      </c>
    </row>
    <row r="97" spans="2:12" hidden="1">
      <c r="B97" s="1">
        <v>1996</v>
      </c>
      <c r="C97" s="300">
        <f t="shared" si="22"/>
        <v>40593201.258202821</v>
      </c>
      <c r="D97" s="300">
        <f t="shared" si="22"/>
        <v>23084548.373115875</v>
      </c>
      <c r="E97" s="300">
        <f t="shared" si="22"/>
        <v>12075972.949571267</v>
      </c>
      <c r="F97" s="300">
        <f t="shared" si="22"/>
        <v>15681582.393050203</v>
      </c>
      <c r="G97" s="300">
        <f t="shared" si="22"/>
        <v>3507049.0991333518</v>
      </c>
      <c r="H97" s="300">
        <f t="shared" si="22"/>
        <v>3653808.7772709965</v>
      </c>
      <c r="I97" s="300">
        <f t="shared" si="22"/>
        <v>2959375.7682512035</v>
      </c>
      <c r="J97" s="300">
        <f t="shared" si="22"/>
        <v>6622714.4982222617</v>
      </c>
      <c r="K97" s="300">
        <f t="shared" si="22"/>
        <v>2239753.831780151</v>
      </c>
      <c r="L97" s="300">
        <f t="shared" si="22"/>
        <v>274299.87209269247</v>
      </c>
    </row>
    <row r="98" spans="2:12" hidden="1">
      <c r="B98" s="1">
        <v>1997</v>
      </c>
      <c r="C98" s="300">
        <f t="shared" si="22"/>
        <v>45927889.724167749</v>
      </c>
      <c r="D98" s="300">
        <f t="shared" si="22"/>
        <v>25683702.521639802</v>
      </c>
      <c r="E98" s="300">
        <f t="shared" si="22"/>
        <v>11777857.586474448</v>
      </c>
      <c r="F98" s="300">
        <f t="shared" si="22"/>
        <v>18537294.043328039</v>
      </c>
      <c r="G98" s="300">
        <f t="shared" si="22"/>
        <v>4113080.2148352424</v>
      </c>
      <c r="H98" s="300">
        <f t="shared" si="22"/>
        <v>4262673.8688730458</v>
      </c>
      <c r="I98" s="300">
        <f t="shared" si="22"/>
        <v>3766569.0141740642</v>
      </c>
      <c r="J98" s="300">
        <f t="shared" si="22"/>
        <v>14050284.176792407</v>
      </c>
      <c r="K98" s="300">
        <f t="shared" si="22"/>
        <v>5904317.9869413795</v>
      </c>
      <c r="L98" s="300">
        <f t="shared" si="22"/>
        <v>40545.292601378649</v>
      </c>
    </row>
    <row r="99" spans="2:12" hidden="1">
      <c r="B99" s="1">
        <v>1998</v>
      </c>
      <c r="C99" s="300">
        <f t="shared" ref="C99:L106" si="23">C72^2</f>
        <v>43462582.668329947</v>
      </c>
      <c r="D99" s="300">
        <f t="shared" si="23"/>
        <v>24677739.566417661</v>
      </c>
      <c r="E99" s="300">
        <f t="shared" si="23"/>
        <v>9675015.1007581409</v>
      </c>
      <c r="F99" s="300">
        <f t="shared" si="23"/>
        <v>16475313.899020229</v>
      </c>
      <c r="G99" s="300">
        <f t="shared" si="23"/>
        <v>4722938.9462596877</v>
      </c>
      <c r="H99" s="300">
        <f t="shared" si="23"/>
        <v>4600762.9459072314</v>
      </c>
      <c r="I99" s="300">
        <f t="shared" si="23"/>
        <v>3275497.0975224772</v>
      </c>
      <c r="J99" s="300">
        <f t="shared" si="23"/>
        <v>13921411.782066295</v>
      </c>
      <c r="K99" s="300">
        <f t="shared" si="23"/>
        <v>7507106.3307023598</v>
      </c>
      <c r="L99" s="300">
        <f t="shared" si="23"/>
        <v>111895.1358285515</v>
      </c>
    </row>
    <row r="100" spans="2:12" hidden="1">
      <c r="B100" s="1">
        <v>1999</v>
      </c>
      <c r="C100" s="300">
        <f t="shared" si="23"/>
        <v>40992822.215574622</v>
      </c>
      <c r="D100" s="300">
        <f t="shared" si="23"/>
        <v>23616417.13723778</v>
      </c>
      <c r="E100" s="300">
        <f t="shared" si="23"/>
        <v>8098081.8372454681</v>
      </c>
      <c r="F100" s="300">
        <f t="shared" si="23"/>
        <v>14535438.168484513</v>
      </c>
      <c r="G100" s="300">
        <f t="shared" si="23"/>
        <v>4643113.0614173934</v>
      </c>
      <c r="H100" s="300">
        <f t="shared" si="23"/>
        <v>5321906.5345963715</v>
      </c>
      <c r="I100" s="300">
        <f t="shared" si="23"/>
        <v>5173202.1344488217</v>
      </c>
      <c r="J100" s="300">
        <f t="shared" si="23"/>
        <v>13746465.088731233</v>
      </c>
      <c r="K100" s="300">
        <f t="shared" si="23"/>
        <v>4592427.3784276862</v>
      </c>
      <c r="L100" s="300">
        <f t="shared" si="23"/>
        <v>269935.42372707324</v>
      </c>
    </row>
    <row r="101" spans="2:12" hidden="1">
      <c r="B101" s="1">
        <v>2000</v>
      </c>
      <c r="C101" s="300">
        <f t="shared" si="23"/>
        <v>47601120.359510489</v>
      </c>
      <c r="D101" s="300">
        <f t="shared" si="23"/>
        <v>27337227.768916436</v>
      </c>
      <c r="E101" s="300">
        <f t="shared" si="23"/>
        <v>13017122.922376778</v>
      </c>
      <c r="F101" s="300">
        <f t="shared" si="23"/>
        <v>19290216.762125243</v>
      </c>
      <c r="G101" s="300">
        <f t="shared" si="23"/>
        <v>4583479.7249562563</v>
      </c>
      <c r="H101" s="300">
        <f t="shared" si="23"/>
        <v>5744170.9483151892</v>
      </c>
      <c r="I101" s="300">
        <f t="shared" si="23"/>
        <v>7123638.7390525285</v>
      </c>
      <c r="J101" s="300">
        <f t="shared" si="23"/>
        <v>19103828.803601887</v>
      </c>
      <c r="K101" s="300">
        <f t="shared" si="23"/>
        <v>6502756.3416499645</v>
      </c>
      <c r="L101" s="300">
        <f t="shared" si="23"/>
        <v>508344.07843984087</v>
      </c>
    </row>
    <row r="102" spans="2:12" hidden="1">
      <c r="B102" s="1">
        <v>2001</v>
      </c>
      <c r="C102" s="300">
        <f t="shared" si="23"/>
        <v>40148303.895685494</v>
      </c>
      <c r="D102" s="300">
        <f t="shared" si="23"/>
        <v>31409873.628883313</v>
      </c>
      <c r="E102" s="300">
        <f t="shared" si="23"/>
        <v>12548454.70125385</v>
      </c>
      <c r="F102" s="300">
        <f t="shared" si="23"/>
        <v>20324773.705942679</v>
      </c>
      <c r="G102" s="300">
        <f t="shared" si="23"/>
        <v>4098513.8328394382</v>
      </c>
      <c r="H102" s="300">
        <f t="shared" si="23"/>
        <v>4335691.3210155051</v>
      </c>
      <c r="I102" s="300">
        <f t="shared" si="23"/>
        <v>8391585.6911693476</v>
      </c>
      <c r="J102" s="300">
        <f t="shared" si="23"/>
        <v>20749916.454285156</v>
      </c>
      <c r="K102" s="300">
        <f t="shared" si="23"/>
        <v>16611002.147079131</v>
      </c>
      <c r="L102" s="300">
        <f t="shared" si="23"/>
        <v>1126484.5923537356</v>
      </c>
    </row>
    <row r="103" spans="2:12" hidden="1">
      <c r="B103" s="1">
        <v>2002</v>
      </c>
      <c r="C103" s="300">
        <f t="shared" si="23"/>
        <v>32611417.495470017</v>
      </c>
      <c r="D103" s="300">
        <f t="shared" si="23"/>
        <v>23387819.670496259</v>
      </c>
      <c r="E103" s="300">
        <f t="shared" si="23"/>
        <v>10514612.337726122</v>
      </c>
      <c r="F103" s="300">
        <f t="shared" si="23"/>
        <v>18006711.542626139</v>
      </c>
      <c r="G103" s="300">
        <f t="shared" si="23"/>
        <v>3458354.5959197218</v>
      </c>
      <c r="H103" s="300">
        <f t="shared" si="23"/>
        <v>3554529.441523382</v>
      </c>
      <c r="I103" s="300">
        <f t="shared" si="23"/>
        <v>7256391.7128583165</v>
      </c>
      <c r="J103" s="300">
        <f t="shared" si="23"/>
        <v>19627992.066925295</v>
      </c>
      <c r="K103" s="300">
        <f t="shared" si="23"/>
        <v>13252337.043739529</v>
      </c>
      <c r="L103" s="300">
        <f t="shared" si="23"/>
        <v>969451.07629507524</v>
      </c>
    </row>
    <row r="104" spans="2:12" hidden="1">
      <c r="B104" s="1">
        <v>2003</v>
      </c>
      <c r="C104" s="300">
        <f t="shared" si="23"/>
        <v>29192472.737785552</v>
      </c>
      <c r="D104" s="300">
        <f t="shared" si="23"/>
        <v>28085152.775260706</v>
      </c>
      <c r="E104" s="300">
        <f t="shared" si="23"/>
        <v>12638927.81118208</v>
      </c>
      <c r="F104" s="300">
        <f t="shared" si="23"/>
        <v>17702122.682951</v>
      </c>
      <c r="G104" s="300">
        <f t="shared" si="23"/>
        <v>2508597.4041515198</v>
      </c>
      <c r="H104" s="300">
        <f t="shared" si="23"/>
        <v>2946267.1983410874</v>
      </c>
      <c r="I104" s="300">
        <f t="shared" si="23"/>
        <v>8087838.1781895952</v>
      </c>
      <c r="J104" s="300">
        <f t="shared" si="23"/>
        <v>15950700.968398677</v>
      </c>
      <c r="K104" s="300">
        <f t="shared" si="23"/>
        <v>12642669.013383977</v>
      </c>
      <c r="L104" s="300">
        <f t="shared" si="23"/>
        <v>932972.92857634055</v>
      </c>
    </row>
    <row r="105" spans="2:12" hidden="1">
      <c r="B105" s="1">
        <v>2004</v>
      </c>
      <c r="C105" s="300">
        <f t="shared" si="23"/>
        <v>34267093.326401673</v>
      </c>
      <c r="D105" s="300">
        <f t="shared" si="23"/>
        <v>34896865.52378317</v>
      </c>
      <c r="E105" s="300">
        <f t="shared" si="23"/>
        <v>15904808.074798562</v>
      </c>
      <c r="F105" s="300">
        <f t="shared" si="23"/>
        <v>18747970.470466722</v>
      </c>
      <c r="G105" s="300">
        <f t="shared" si="23"/>
        <v>3468935.0919456524</v>
      </c>
      <c r="H105" s="300">
        <f t="shared" si="23"/>
        <v>2540398.8959393501</v>
      </c>
      <c r="I105" s="300">
        <f t="shared" si="23"/>
        <v>9200671.3217962161</v>
      </c>
      <c r="J105" s="300">
        <f t="shared" si="23"/>
        <v>12518802.454305535</v>
      </c>
      <c r="K105" s="300">
        <f t="shared" si="23"/>
        <v>21677751.309101515</v>
      </c>
      <c r="L105" s="300">
        <f t="shared" si="23"/>
        <v>676063.55807242286</v>
      </c>
    </row>
    <row r="106" spans="2:12" hidden="1">
      <c r="B106" s="1">
        <v>2005</v>
      </c>
      <c r="C106" s="300">
        <f t="shared" si="23"/>
        <v>38369143.826579712</v>
      </c>
      <c r="D106" s="300">
        <f t="shared" si="23"/>
        <v>42091904.883153237</v>
      </c>
      <c r="E106" s="300">
        <f t="shared" si="23"/>
        <v>16687876.769578334</v>
      </c>
      <c r="F106" s="300">
        <f t="shared" si="23"/>
        <v>21769537.86258192</v>
      </c>
      <c r="G106" s="300">
        <f t="shared" si="23"/>
        <v>4887765.7921097511</v>
      </c>
      <c r="H106" s="300">
        <f t="shared" si="23"/>
        <v>1998923.4314945959</v>
      </c>
      <c r="I106" s="300">
        <f t="shared" si="23"/>
        <v>11985887.556298777</v>
      </c>
      <c r="J106" s="300">
        <f t="shared" si="23"/>
        <v>16334802.09949</v>
      </c>
      <c r="K106" s="300">
        <f t="shared" si="23"/>
        <v>39593380.402406879</v>
      </c>
      <c r="L106" s="300">
        <f t="shared" si="23"/>
        <v>349815.52955652453</v>
      </c>
    </row>
    <row r="107" spans="2:12" hidden="1"/>
  </sheetData>
  <mergeCells count="11">
    <mergeCell ref="K3:K4"/>
    <mergeCell ref="L3:L4"/>
    <mergeCell ref="F3:F4"/>
    <mergeCell ref="G3:G4"/>
    <mergeCell ref="H3:H4"/>
    <mergeCell ref="I3:I4"/>
    <mergeCell ref="B3:B4"/>
    <mergeCell ref="C3:C4"/>
    <mergeCell ref="D3:D4"/>
    <mergeCell ref="E3:E4"/>
    <mergeCell ref="J3:J4"/>
  </mergeCells>
  <phoneticPr fontId="35" type="noConversion"/>
  <pageMargins left="0.75" right="0.75" top="1" bottom="1" header="0.5" footer="0.5"/>
  <pageSetup scale="71"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sheetPr codeName="Sheet40">
    <pageSetUpPr fitToPage="1"/>
  </sheetPr>
  <dimension ref="A1:Q112"/>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5" width="8.85546875" style="1" customWidth="1"/>
    <col min="16" max="17" width="9.42578125" style="1" hidden="1" customWidth="1"/>
    <col min="18" max="16384" width="8.85546875" style="1"/>
  </cols>
  <sheetData>
    <row r="1" spans="1:17" ht="15.75">
      <c r="A1" s="3" t="s">
        <v>2109</v>
      </c>
    </row>
    <row r="2" spans="1:17">
      <c r="A2" s="4"/>
      <c r="B2" s="4"/>
    </row>
    <row r="3" spans="1:17" ht="25.5">
      <c r="A3" s="4"/>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667"/>
      <c r="B4" s="1167"/>
      <c r="C4" s="1165"/>
      <c r="D4" s="1165"/>
      <c r="E4" s="1165"/>
      <c r="F4" s="1165"/>
      <c r="G4" s="1165"/>
      <c r="H4" s="1165"/>
      <c r="I4" s="1165"/>
      <c r="J4" s="1165"/>
      <c r="K4" s="1165"/>
      <c r="L4" s="1165"/>
      <c r="M4" s="1054"/>
      <c r="N4" s="1048" t="s">
        <v>282</v>
      </c>
      <c r="O4" s="1048" t="s">
        <v>282</v>
      </c>
      <c r="P4" s="645" t="s">
        <v>281</v>
      </c>
      <c r="Q4" s="645" t="s">
        <v>281</v>
      </c>
    </row>
    <row r="5" spans="1:17">
      <c r="A5" s="22">
        <v>1981</v>
      </c>
      <c r="B5" s="18">
        <f>'8b'!B5/'8b'!$B5*100</f>
        <v>100</v>
      </c>
      <c r="C5" s="21">
        <f>'8b'!C5/'8b'!$B5*100</f>
        <v>62.499918533030794</v>
      </c>
      <c r="D5" s="21">
        <f>'8b'!D5/'8b'!$B5*100</f>
        <v>67.354712741903299</v>
      </c>
      <c r="E5" s="21">
        <f>'8b'!E5/'8b'!$B5*100</f>
        <v>78.998573127564356</v>
      </c>
      <c r="F5" s="21">
        <f>'8b'!F5/'8b'!$B5*100</f>
        <v>72.896633002798623</v>
      </c>
      <c r="G5" s="21">
        <f>'8b'!G5/'8b'!$B5*100</f>
        <v>89.949389438161447</v>
      </c>
      <c r="H5" s="21">
        <f>'8b'!H5/'8b'!$B5*100</f>
        <v>108.50480389759076</v>
      </c>
      <c r="I5" s="21">
        <f>'8b'!I5/'8b'!$B5*100</f>
        <v>93.215161563479484</v>
      </c>
      <c r="J5" s="21">
        <f>'8b'!J5/'8b'!$B5*100</f>
        <v>93.256195416558469</v>
      </c>
      <c r="K5" s="21">
        <f>'8b'!K5/'8b'!$B5*100</f>
        <v>117.21096628488914</v>
      </c>
      <c r="L5" s="21">
        <f>'8b'!L5/'8b'!$B5*100</f>
        <v>107.4029530347734</v>
      </c>
      <c r="N5" s="19">
        <f>SUM(C85:L85)/10</f>
        <v>426.35037924224241</v>
      </c>
      <c r="O5" s="19">
        <f>SQRT(N5)</f>
        <v>20.648253660836367</v>
      </c>
      <c r="P5" s="19">
        <f>Q5^2</f>
        <v>308.17023160543522</v>
      </c>
      <c r="Q5" s="19">
        <f>STDEVP(C5:L5)</f>
        <v>17.554778027803007</v>
      </c>
    </row>
    <row r="6" spans="1:17">
      <c r="A6" s="22">
        <v>1982</v>
      </c>
      <c r="B6" s="20">
        <f>'8b'!B6/'8b'!$B6*100</f>
        <v>100</v>
      </c>
      <c r="C6" s="21">
        <f>'8b'!C6/'8b'!$B6*100</f>
        <v>64.067220570882625</v>
      </c>
      <c r="D6" s="21">
        <f>'8b'!D6/'8b'!$B6*100</f>
        <v>70.613895780024365</v>
      </c>
      <c r="E6" s="21">
        <f>'8b'!E6/'8b'!$B6*100</f>
        <v>81.312018612546794</v>
      </c>
      <c r="F6" s="21">
        <f>'8b'!F6/'8b'!$B6*100</f>
        <v>75.940908853112759</v>
      </c>
      <c r="G6" s="21">
        <f>'8b'!G6/'8b'!$B6*100</f>
        <v>88.334445969818958</v>
      </c>
      <c r="H6" s="21">
        <f>'8b'!H6/'8b'!$B6*100</f>
        <v>110.31186209003141</v>
      </c>
      <c r="I6" s="21">
        <f>'8b'!I6/'8b'!$B6*100</f>
        <v>96.482392928391448</v>
      </c>
      <c r="J6" s="21">
        <f>'8b'!J6/'8b'!$B6*100</f>
        <v>96.660897726837476</v>
      </c>
      <c r="K6" s="21">
        <f>'8b'!K6/'8b'!$B6*100</f>
        <v>114.10723314271691</v>
      </c>
      <c r="L6" s="21">
        <f>'8b'!L6/'8b'!$B6*100</f>
        <v>105.11069738364893</v>
      </c>
      <c r="N6" s="19">
        <f t="shared" ref="N6:N29" si="0">SUM(C86:L86)/10</f>
        <v>357.38643426668716</v>
      </c>
      <c r="O6" s="19">
        <f t="shared" ref="O6:O29" si="1">SQRT(N6)</f>
        <v>18.904666996979532</v>
      </c>
      <c r="P6" s="19">
        <f t="shared" ref="P6:P29" si="2">Q6^2</f>
        <v>263.18305186215548</v>
      </c>
      <c r="Q6" s="19">
        <f t="shared" ref="Q6:Q29" si="3">STDEVP(C6:L6)</f>
        <v>16.222917489223555</v>
      </c>
    </row>
    <row r="7" spans="1:17">
      <c r="A7" s="22">
        <v>1983</v>
      </c>
      <c r="B7" s="20">
        <f>'8b'!B7/'8b'!$B7*100</f>
        <v>100</v>
      </c>
      <c r="C7" s="21">
        <f>'8b'!C7/'8b'!$B7*100</f>
        <v>63.200921373229882</v>
      </c>
      <c r="D7" s="21">
        <f>'8b'!D7/'8b'!$B7*100</f>
        <v>73.278490684788281</v>
      </c>
      <c r="E7" s="21">
        <f>'8b'!E7/'8b'!$B7*100</f>
        <v>82.632417946301345</v>
      </c>
      <c r="F7" s="21">
        <f>'8b'!F7/'8b'!$B7*100</f>
        <v>76.536425756314827</v>
      </c>
      <c r="G7" s="21">
        <f>'8b'!G7/'8b'!$B7*100</f>
        <v>88.622376689199967</v>
      </c>
      <c r="H7" s="21">
        <f>'8b'!H7/'8b'!$B7*100</f>
        <v>112.15100875697735</v>
      </c>
      <c r="I7" s="21">
        <f>'8b'!I7/'8b'!$B7*100</f>
        <v>93.108044631364592</v>
      </c>
      <c r="J7" s="21">
        <f>'8b'!J7/'8b'!$B7*100</f>
        <v>91.966072757781987</v>
      </c>
      <c r="K7" s="21">
        <f>'8b'!K7/'8b'!$B7*100</f>
        <v>111.24160434508892</v>
      </c>
      <c r="L7" s="21">
        <f>'8b'!L7/'8b'!$B7*100</f>
        <v>103.0648716921319</v>
      </c>
      <c r="N7" s="19">
        <f t="shared" si="0"/>
        <v>344.52909390349066</v>
      </c>
      <c r="O7" s="19">
        <f t="shared" si="1"/>
        <v>18.561494926419332</v>
      </c>
      <c r="P7" s="19">
        <f t="shared" si="2"/>
        <v>235.95735082909815</v>
      </c>
      <c r="Q7" s="19">
        <f t="shared" si="3"/>
        <v>15.360903320739251</v>
      </c>
    </row>
    <row r="8" spans="1:17">
      <c r="A8" s="22">
        <v>1984</v>
      </c>
      <c r="B8" s="20">
        <f>'8b'!B8/'8b'!$B8*100</f>
        <v>100</v>
      </c>
      <c r="C8" s="21">
        <f>'8b'!C8/'8b'!$B8*100</f>
        <v>61.478950704968717</v>
      </c>
      <c r="D8" s="21">
        <f>'8b'!D8/'8b'!$B8*100</f>
        <v>71.766197077483255</v>
      </c>
      <c r="E8" s="21">
        <f>'8b'!E8/'8b'!$B8*100</f>
        <v>82.936699738405565</v>
      </c>
      <c r="F8" s="21">
        <f>'8b'!F8/'8b'!$B8*100</f>
        <v>76.167029879603859</v>
      </c>
      <c r="G8" s="21">
        <f>'8b'!G8/'8b'!$B8*100</f>
        <v>90.204277889592021</v>
      </c>
      <c r="H8" s="21">
        <f>'8b'!H8/'8b'!$B8*100</f>
        <v>112.44235239748912</v>
      </c>
      <c r="I8" s="21">
        <f>'8b'!I8/'8b'!$B8*100</f>
        <v>97.297926650030462</v>
      </c>
      <c r="J8" s="21">
        <f>'8b'!J8/'8b'!$B8*100</f>
        <v>90.339396032963961</v>
      </c>
      <c r="K8" s="21">
        <f>'8b'!K8/'8b'!$B8*100</f>
        <v>109.1384296526537</v>
      </c>
      <c r="L8" s="21">
        <f>'8b'!L8/'8b'!$B8*100</f>
        <v>99.821714988627861</v>
      </c>
      <c r="N8" s="19">
        <f t="shared" si="0"/>
        <v>357.51250031407164</v>
      </c>
      <c r="O8" s="19">
        <f t="shared" si="1"/>
        <v>18.908000960283232</v>
      </c>
      <c r="P8" s="19">
        <f t="shared" si="2"/>
        <v>239.9916696461907</v>
      </c>
      <c r="Q8" s="19">
        <f t="shared" si="3"/>
        <v>15.491664521483504</v>
      </c>
    </row>
    <row r="9" spans="1:17">
      <c r="A9" s="22">
        <v>1985</v>
      </c>
      <c r="B9" s="20">
        <f>'8b'!B9/'8b'!$B9*100</f>
        <v>100</v>
      </c>
      <c r="C9" s="21">
        <f>'8b'!C9/'8b'!$B9*100</f>
        <v>61.298338622149807</v>
      </c>
      <c r="D9" s="21">
        <f>'8b'!D9/'8b'!$B9*100</f>
        <v>70.776635072455463</v>
      </c>
      <c r="E9" s="21">
        <f>'8b'!E9/'8b'!$B9*100</f>
        <v>83.449180911255738</v>
      </c>
      <c r="F9" s="21">
        <f>'8b'!F9/'8b'!$B9*100</f>
        <v>74.962790495268308</v>
      </c>
      <c r="G9" s="21">
        <f>'8b'!G9/'8b'!$B9*100</f>
        <v>89.53563984158265</v>
      </c>
      <c r="H9" s="21">
        <f>'8b'!H9/'8b'!$B9*100</f>
        <v>112.56568143359962</v>
      </c>
      <c r="I9" s="21">
        <f>'8b'!I9/'8b'!$B9*100</f>
        <v>97.466328026022737</v>
      </c>
      <c r="J9" s="21">
        <f>'8b'!J9/'8b'!$B9*100</f>
        <v>89.554813397787143</v>
      </c>
      <c r="K9" s="21">
        <f>'8b'!K9/'8b'!$B9*100</f>
        <v>112.20233879944563</v>
      </c>
      <c r="L9" s="21">
        <f>'8b'!L9/'8b'!$B9*100</f>
        <v>98.885700330822587</v>
      </c>
      <c r="N9" s="19">
        <f t="shared" si="0"/>
        <v>378.56744595581227</v>
      </c>
      <c r="O9" s="19">
        <f t="shared" si="1"/>
        <v>19.456809757917977</v>
      </c>
      <c r="P9" s="19">
        <f t="shared" si="2"/>
        <v>259.09696488046092</v>
      </c>
      <c r="Q9" s="19">
        <f t="shared" si="3"/>
        <v>16.096489209776799</v>
      </c>
    </row>
    <row r="10" spans="1:17">
      <c r="A10" s="22">
        <v>1986</v>
      </c>
      <c r="B10" s="20">
        <f>'8b'!B10/'8b'!$B10*100</f>
        <v>100</v>
      </c>
      <c r="C10" s="21">
        <f>'8b'!C10/'8b'!$B10*100</f>
        <v>63.431366733389162</v>
      </c>
      <c r="D10" s="21">
        <f>'8b'!D10/'8b'!$B10*100</f>
        <v>76.408796327365636</v>
      </c>
      <c r="E10" s="21">
        <f>'8b'!E10/'8b'!$B10*100</f>
        <v>84.07654881672552</v>
      </c>
      <c r="F10" s="21">
        <f>'8b'!F10/'8b'!$B10*100</f>
        <v>77.342095242570679</v>
      </c>
      <c r="G10" s="21">
        <f>'8b'!G10/'8b'!$B10*100</f>
        <v>89.273476932934685</v>
      </c>
      <c r="H10" s="21">
        <f>'8b'!H10/'8b'!$B10*100</f>
        <v>112.90655224160911</v>
      </c>
      <c r="I10" s="21">
        <f>'8b'!I10/'8b'!$B10*100</f>
        <v>96.019003234972203</v>
      </c>
      <c r="J10" s="21">
        <f>'8b'!J10/'8b'!$B10*100</f>
        <v>94.459769396653613</v>
      </c>
      <c r="K10" s="21">
        <f>'8b'!K10/'8b'!$B10*100</f>
        <v>108.57518164712749</v>
      </c>
      <c r="L10" s="21">
        <f>'8b'!L10/'8b'!$B10*100</f>
        <v>98.179937581878434</v>
      </c>
      <c r="N10" s="19">
        <f t="shared" si="0"/>
        <v>306.57730210366356</v>
      </c>
      <c r="O10" s="19">
        <f t="shared" si="1"/>
        <v>17.509348991429224</v>
      </c>
      <c r="P10" s="19">
        <f t="shared" si="2"/>
        <v>207.91823278240858</v>
      </c>
      <c r="Q10" s="19">
        <f t="shared" si="3"/>
        <v>14.419370054978428</v>
      </c>
    </row>
    <row r="11" spans="1:17">
      <c r="A11" s="22">
        <v>1987</v>
      </c>
      <c r="B11" s="20">
        <f>'8b'!B11/'8b'!$B11*100</f>
        <v>100</v>
      </c>
      <c r="C11" s="21">
        <f>'8b'!C11/'8b'!$B11*100</f>
        <v>67.188836339647409</v>
      </c>
      <c r="D11" s="21">
        <f>'8b'!D11/'8b'!$B11*100</f>
        <v>77.141484978237287</v>
      </c>
      <c r="E11" s="21">
        <f>'8b'!E11/'8b'!$B11*100</f>
        <v>85.694666602473674</v>
      </c>
      <c r="F11" s="21">
        <f>'8b'!F11/'8b'!$B11*100</f>
        <v>79.298102282512929</v>
      </c>
      <c r="G11" s="21">
        <f>'8b'!G11/'8b'!$B11*100</f>
        <v>90.044318812756231</v>
      </c>
      <c r="H11" s="21">
        <f>'8b'!H11/'8b'!$B11*100</f>
        <v>113.59815891783805</v>
      </c>
      <c r="I11" s="21">
        <f>'8b'!I11/'8b'!$B11*100</f>
        <v>93.977609577903252</v>
      </c>
      <c r="J11" s="21">
        <f>'8b'!J11/'8b'!$B11*100</f>
        <v>83.892248221969055</v>
      </c>
      <c r="K11" s="21">
        <f>'8b'!K11/'8b'!$B11*100</f>
        <v>104.72849531199257</v>
      </c>
      <c r="L11" s="21">
        <f>'8b'!L11/'8b'!$B11*100</f>
        <v>99.97547525590808</v>
      </c>
      <c r="N11" s="19">
        <f t="shared" si="0"/>
        <v>283.44089394405199</v>
      </c>
      <c r="O11" s="19">
        <f t="shared" si="1"/>
        <v>16.835702953665226</v>
      </c>
      <c r="P11" s="19">
        <f t="shared" si="2"/>
        <v>174.32071669295428</v>
      </c>
      <c r="Q11" s="19">
        <f t="shared" si="3"/>
        <v>13.203057096481643</v>
      </c>
    </row>
    <row r="12" spans="1:17">
      <c r="A12" s="22">
        <v>1988</v>
      </c>
      <c r="B12" s="20">
        <f>'8b'!B12/'8b'!$B12*100</f>
        <v>100</v>
      </c>
      <c r="C12" s="21">
        <f>'8b'!C12/'8b'!$B12*100</f>
        <v>68.432916380151269</v>
      </c>
      <c r="D12" s="21">
        <f>'8b'!D12/'8b'!$B12*100</f>
        <v>78.604775258493092</v>
      </c>
      <c r="E12" s="21">
        <f>'8b'!E12/'8b'!$B12*100</f>
        <v>85.297216032521163</v>
      </c>
      <c r="F12" s="21">
        <f>'8b'!F12/'8b'!$B12*100</f>
        <v>79.407296010438102</v>
      </c>
      <c r="G12" s="21">
        <f>'8b'!G12/'8b'!$B12*100</f>
        <v>89.294892531099961</v>
      </c>
      <c r="H12" s="21">
        <f>'8b'!H12/'8b'!$B12*100</f>
        <v>113.44307183742134</v>
      </c>
      <c r="I12" s="21">
        <f>'8b'!I12/'8b'!$B12*100</f>
        <v>92.41485699585256</v>
      </c>
      <c r="J12" s="21">
        <f>'8b'!J12/'8b'!$B12*100</f>
        <v>82.802966152882902</v>
      </c>
      <c r="K12" s="21">
        <f>'8b'!K12/'8b'!$B12*100</f>
        <v>106.7925966673579</v>
      </c>
      <c r="L12" s="21">
        <f>'8b'!L12/'8b'!$B12*100</f>
        <v>99.783239014309757</v>
      </c>
      <c r="N12" s="19">
        <f t="shared" si="0"/>
        <v>278.92419526875295</v>
      </c>
      <c r="O12" s="19">
        <f t="shared" si="1"/>
        <v>16.701023779060762</v>
      </c>
      <c r="P12" s="19">
        <f t="shared" si="2"/>
        <v>171.3330053686467</v>
      </c>
      <c r="Q12" s="19">
        <f t="shared" si="3"/>
        <v>13.089423416203125</v>
      </c>
    </row>
    <row r="13" spans="1:17">
      <c r="A13" s="22">
        <v>1989</v>
      </c>
      <c r="B13" s="20">
        <f>'8b'!B13/'8b'!$B13*100</f>
        <v>100</v>
      </c>
      <c r="C13" s="21">
        <f>'8b'!C13/'8b'!$B13*100</f>
        <v>69.645761136541651</v>
      </c>
      <c r="D13" s="21">
        <f>'8b'!D13/'8b'!$B13*100</f>
        <v>79.042970132793158</v>
      </c>
      <c r="E13" s="21">
        <f>'8b'!E13/'8b'!$B13*100</f>
        <v>85.715222675657799</v>
      </c>
      <c r="F13" s="21">
        <f>'8b'!F13/'8b'!$B13*100</f>
        <v>79.520005025426272</v>
      </c>
      <c r="G13" s="21">
        <f>'8b'!G13/'8b'!$B13*100</f>
        <v>89.578509332262485</v>
      </c>
      <c r="H13" s="21">
        <f>'8b'!H13/'8b'!$B13*100</f>
        <v>112.72201819177965</v>
      </c>
      <c r="I13" s="21">
        <f>'8b'!I13/'8b'!$B13*100</f>
        <v>91.779599240812345</v>
      </c>
      <c r="J13" s="21">
        <f>'8b'!J13/'8b'!$B13*100</f>
        <v>81.996624862937338</v>
      </c>
      <c r="K13" s="21">
        <f>'8b'!K13/'8b'!$B13*100</f>
        <v>106.21395178884374</v>
      </c>
      <c r="L13" s="21">
        <f>'8b'!L13/'8b'!$B13*100</f>
        <v>102.07977586147305</v>
      </c>
      <c r="N13" s="19">
        <f t="shared" si="0"/>
        <v>268.91543592447033</v>
      </c>
      <c r="O13" s="19">
        <f t="shared" si="1"/>
        <v>16.39864128287677</v>
      </c>
      <c r="P13" s="19">
        <f t="shared" si="2"/>
        <v>165.47522301264573</v>
      </c>
      <c r="Q13" s="19">
        <f t="shared" si="3"/>
        <v>12.863717309263514</v>
      </c>
    </row>
    <row r="14" spans="1:17">
      <c r="A14" s="22">
        <v>1990</v>
      </c>
      <c r="B14" s="20">
        <f>'8b'!B14/'8b'!$B14*100</f>
        <v>100</v>
      </c>
      <c r="C14" s="21">
        <f>'8b'!C14/'8b'!$B14*100</f>
        <v>71.901658660613563</v>
      </c>
      <c r="D14" s="21">
        <f>'8b'!D14/'8b'!$B14*100</f>
        <v>79.644480891131053</v>
      </c>
      <c r="E14" s="21">
        <f>'8b'!E14/'8b'!$B14*100</f>
        <v>86.289623791955577</v>
      </c>
      <c r="F14" s="21">
        <f>'8b'!F14/'8b'!$B14*100</f>
        <v>79.926004223856509</v>
      </c>
      <c r="G14" s="21">
        <f>'8b'!G14/'8b'!$B14*100</f>
        <v>90.725938061410574</v>
      </c>
      <c r="H14" s="21">
        <f>'8b'!H14/'8b'!$B14*100</f>
        <v>110.38051036964154</v>
      </c>
      <c r="I14" s="21">
        <f>'8b'!I14/'8b'!$B14*100</f>
        <v>93.982670080409093</v>
      </c>
      <c r="J14" s="21">
        <f>'8b'!J14/'8b'!$B14*100</f>
        <v>85.846829101816269</v>
      </c>
      <c r="K14" s="21">
        <f>'8b'!K14/'8b'!$B14*100</f>
        <v>106.55088829936561</v>
      </c>
      <c r="L14" s="21">
        <f>'8b'!L14/'8b'!$B14*100</f>
        <v>103.30256265230049</v>
      </c>
      <c r="N14" s="19">
        <f t="shared" si="0"/>
        <v>227.89084501955017</v>
      </c>
      <c r="O14" s="19">
        <f t="shared" si="1"/>
        <v>15.096053955241091</v>
      </c>
      <c r="P14" s="19">
        <f t="shared" si="2"/>
        <v>144.26195286229483</v>
      </c>
      <c r="Q14" s="19">
        <f t="shared" si="3"/>
        <v>12.01090974332481</v>
      </c>
    </row>
    <row r="15" spans="1:17">
      <c r="A15" s="22">
        <v>1991</v>
      </c>
      <c r="B15" s="20">
        <f>'8b'!B15/'8b'!$B15*100</f>
        <v>100</v>
      </c>
      <c r="C15" s="21">
        <f>'8b'!C15/'8b'!$B15*100</f>
        <v>73.125133489563908</v>
      </c>
      <c r="D15" s="21">
        <f>'8b'!D15/'8b'!$B15*100</f>
        <v>79.877747517799492</v>
      </c>
      <c r="E15" s="21">
        <f>'8b'!E15/'8b'!$B15*100</f>
        <v>87.026667349598171</v>
      </c>
      <c r="F15" s="21">
        <f>'8b'!F15/'8b'!$B15*100</f>
        <v>80.510521181447928</v>
      </c>
      <c r="G15" s="21">
        <f>'8b'!G15/'8b'!$B15*100</f>
        <v>89.576109979277973</v>
      </c>
      <c r="H15" s="21">
        <f>'8b'!H15/'8b'!$B15*100</f>
        <v>110.52286610598692</v>
      </c>
      <c r="I15" s="21">
        <f>'8b'!I15/'8b'!$B15*100</f>
        <v>93.34652312033532</v>
      </c>
      <c r="J15" s="21">
        <f>'8b'!J15/'8b'!$B15*100</f>
        <v>86.712308091661555</v>
      </c>
      <c r="K15" s="21">
        <f>'8b'!K15/'8b'!$B15*100</f>
        <v>107.17327087809998</v>
      </c>
      <c r="L15" s="21">
        <f>'8b'!L15/'8b'!$B15*100</f>
        <v>103.67803930649696</v>
      </c>
      <c r="N15" s="19">
        <f t="shared" si="0"/>
        <v>218.05141329064818</v>
      </c>
      <c r="O15" s="19">
        <f t="shared" si="1"/>
        <v>14.766564031305597</v>
      </c>
      <c r="P15" s="19">
        <f t="shared" si="2"/>
        <v>139.81595012289355</v>
      </c>
      <c r="Q15" s="19">
        <f t="shared" si="3"/>
        <v>11.824379481515871</v>
      </c>
    </row>
    <row r="16" spans="1:17">
      <c r="A16" s="22">
        <v>1992</v>
      </c>
      <c r="B16" s="20">
        <f>'8b'!B16/'8b'!$B16*100</f>
        <v>100</v>
      </c>
      <c r="C16" s="21">
        <f>'8b'!C16/'8b'!$B16*100</f>
        <v>73.943125627991108</v>
      </c>
      <c r="D16" s="21">
        <f>'8b'!D16/'8b'!$B16*100</f>
        <v>80.90308682972713</v>
      </c>
      <c r="E16" s="21">
        <f>'8b'!E16/'8b'!$B16*100</f>
        <v>88.310219481175523</v>
      </c>
      <c r="F16" s="21">
        <f>'8b'!F16/'8b'!$B16*100</f>
        <v>82.541676926332357</v>
      </c>
      <c r="G16" s="21">
        <f>'8b'!G16/'8b'!$B16*100</f>
        <v>89.459113168611992</v>
      </c>
      <c r="H16" s="21">
        <f>'8b'!H16/'8b'!$B16*100</f>
        <v>110.78588931790475</v>
      </c>
      <c r="I16" s="21">
        <f>'8b'!I16/'8b'!$B16*100</f>
        <v>93.956914020632325</v>
      </c>
      <c r="J16" s="21">
        <f>'8b'!J16/'8b'!$B16*100</f>
        <v>84.816426510373049</v>
      </c>
      <c r="K16" s="21">
        <f>'8b'!K16/'8b'!$B16*100</f>
        <v>106.71986454721032</v>
      </c>
      <c r="L16" s="21">
        <f>'8b'!L16/'8b'!$B16*100</f>
        <v>102.61516438004301</v>
      </c>
      <c r="N16" s="19">
        <f t="shared" si="0"/>
        <v>203.15979677010927</v>
      </c>
      <c r="O16" s="19">
        <f t="shared" si="1"/>
        <v>14.253413512913644</v>
      </c>
      <c r="P16" s="19">
        <f t="shared" si="2"/>
        <v>129.28831726057223</v>
      </c>
      <c r="Q16" s="19">
        <f t="shared" si="3"/>
        <v>11.370502067216391</v>
      </c>
    </row>
    <row r="17" spans="1:17">
      <c r="A17" s="22">
        <v>1993</v>
      </c>
      <c r="B17" s="20">
        <f>'8b'!B17/'8b'!$B17*100</f>
        <v>100</v>
      </c>
      <c r="C17" s="21">
        <f>'8b'!C17/'8b'!$B17*100</f>
        <v>75.052269609351427</v>
      </c>
      <c r="D17" s="21">
        <f>'8b'!D17/'8b'!$B17*100</f>
        <v>82.780976065959138</v>
      </c>
      <c r="E17" s="21">
        <f>'8b'!E17/'8b'!$B17*100</f>
        <v>88.953236909277081</v>
      </c>
      <c r="F17" s="21">
        <f>'8b'!F17/'8b'!$B17*100</f>
        <v>83.694671065405046</v>
      </c>
      <c r="G17" s="21">
        <f>'8b'!G17/'8b'!$B17*100</f>
        <v>90.816689448971687</v>
      </c>
      <c r="H17" s="21">
        <f>'8b'!H17/'8b'!$B17*100</f>
        <v>109.70148715585073</v>
      </c>
      <c r="I17" s="21">
        <f>'8b'!I17/'8b'!$B17*100</f>
        <v>92.300178695788333</v>
      </c>
      <c r="J17" s="21">
        <f>'8b'!J17/'8b'!$B17*100</f>
        <v>84.519015180370715</v>
      </c>
      <c r="K17" s="21">
        <f>'8b'!K17/'8b'!$B17*100</f>
        <v>108.99542542820582</v>
      </c>
      <c r="L17" s="21">
        <f>'8b'!L17/'8b'!$B17*100</f>
        <v>101.4255528148845</v>
      </c>
      <c r="N17" s="19">
        <f t="shared" si="0"/>
        <v>186.71288276100461</v>
      </c>
      <c r="O17" s="19">
        <f t="shared" si="1"/>
        <v>13.6642922524734</v>
      </c>
      <c r="P17" s="19">
        <f t="shared" si="2"/>
        <v>119.86509304059904</v>
      </c>
      <c r="Q17" s="19">
        <f t="shared" si="3"/>
        <v>10.948291786420338</v>
      </c>
    </row>
    <row r="18" spans="1:17">
      <c r="A18" s="22">
        <v>1994</v>
      </c>
      <c r="B18" s="20">
        <f>'8b'!B18/'8b'!$B18*100</f>
        <v>100</v>
      </c>
      <c r="C18" s="21">
        <f>'8b'!C18/'8b'!$B18*100</f>
        <v>75.741057579433857</v>
      </c>
      <c r="D18" s="21">
        <f>'8b'!D18/'8b'!$B18*100</f>
        <v>81.414190086221197</v>
      </c>
      <c r="E18" s="21">
        <f>'8b'!E18/'8b'!$B18*100</f>
        <v>87.698306774398532</v>
      </c>
      <c r="F18" s="21">
        <f>'8b'!F18/'8b'!$B18*100</f>
        <v>84.189326015703472</v>
      </c>
      <c r="G18" s="21">
        <f>'8b'!G18/'8b'!$B18*100</f>
        <v>92.169521445608382</v>
      </c>
      <c r="H18" s="21">
        <f>'8b'!H18/'8b'!$B18*100</f>
        <v>109.38018799930482</v>
      </c>
      <c r="I18" s="21">
        <f>'8b'!I18/'8b'!$B18*100</f>
        <v>92.27313351236856</v>
      </c>
      <c r="J18" s="21">
        <f>'8b'!J18/'8b'!$B18*100</f>
        <v>83.563683159949392</v>
      </c>
      <c r="K18" s="21">
        <f>'8b'!K18/'8b'!$B18*100</f>
        <v>107.02586194884809</v>
      </c>
      <c r="L18" s="21">
        <f>'8b'!L18/'8b'!$B18*100</f>
        <v>100.16383983294526</v>
      </c>
      <c r="N18" s="19">
        <f t="shared" si="0"/>
        <v>186.37885634624155</v>
      </c>
      <c r="O18" s="19">
        <f t="shared" si="1"/>
        <v>13.65206417895263</v>
      </c>
      <c r="P18" s="19">
        <f t="shared" si="2"/>
        <v>111.76227193201541</v>
      </c>
      <c r="Q18" s="19">
        <f t="shared" si="3"/>
        <v>10.57176768246519</v>
      </c>
    </row>
    <row r="19" spans="1:17">
      <c r="A19" s="22">
        <v>1995</v>
      </c>
      <c r="B19" s="20">
        <f>'8b'!B19/'8b'!$B19*100</f>
        <v>100</v>
      </c>
      <c r="C19" s="21">
        <f>'8b'!C19/'8b'!$B19*100</f>
        <v>76.612102284275934</v>
      </c>
      <c r="D19" s="21">
        <f>'8b'!D19/'8b'!$B19*100</f>
        <v>82.1000064534431</v>
      </c>
      <c r="E19" s="21">
        <f>'8b'!E19/'8b'!$B19*100</f>
        <v>87.843452035841594</v>
      </c>
      <c r="F19" s="21">
        <f>'8b'!F19/'8b'!$B19*100</f>
        <v>85.461019162235047</v>
      </c>
      <c r="G19" s="21">
        <f>'8b'!G19/'8b'!$B19*100</f>
        <v>92.466178528265502</v>
      </c>
      <c r="H19" s="21">
        <f>'8b'!H19/'8b'!$B19*100</f>
        <v>109.05145261634547</v>
      </c>
      <c r="I19" s="21">
        <f>'8b'!I19/'8b'!$B19*100</f>
        <v>92.272048153506901</v>
      </c>
      <c r="J19" s="21">
        <f>'8b'!J19/'8b'!$B19*100</f>
        <v>86.837983007074584</v>
      </c>
      <c r="K19" s="21">
        <f>'8b'!K19/'8b'!$B19*100</f>
        <v>106.65360183665405</v>
      </c>
      <c r="L19" s="21">
        <f>'8b'!L19/'8b'!$B19*100</f>
        <v>99.400902940428054</v>
      </c>
      <c r="N19" s="19">
        <f t="shared" si="0"/>
        <v>164.28436769189324</v>
      </c>
      <c r="O19" s="19">
        <f t="shared" si="1"/>
        <v>12.817346359207637</v>
      </c>
      <c r="P19" s="19">
        <f t="shared" si="2"/>
        <v>98.185430327573556</v>
      </c>
      <c r="Q19" s="19">
        <f t="shared" si="3"/>
        <v>9.9088561563670687</v>
      </c>
    </row>
    <row r="20" spans="1:17">
      <c r="A20" s="22">
        <v>1996</v>
      </c>
      <c r="B20" s="20">
        <f>'8b'!B20/'8b'!$B20*100</f>
        <v>100</v>
      </c>
      <c r="C20" s="21">
        <f>'8b'!C20/'8b'!$B20*100</f>
        <v>75.495037186649029</v>
      </c>
      <c r="D20" s="21">
        <f>'8b'!D20/'8b'!$B20*100</f>
        <v>81.251445578819173</v>
      </c>
      <c r="E20" s="21">
        <f>'8b'!E20/'8b'!$B20*100</f>
        <v>86.614974407266516</v>
      </c>
      <c r="F20" s="21">
        <f>'8b'!F20/'8b'!$B20*100</f>
        <v>85.29191520428553</v>
      </c>
      <c r="G20" s="21">
        <f>'8b'!G20/'8b'!$B20*100</f>
        <v>92.721421511471874</v>
      </c>
      <c r="H20" s="21">
        <f>'8b'!H20/'8b'!$B20*100</f>
        <v>108.27340681851496</v>
      </c>
      <c r="I20" s="21">
        <f>'8b'!I20/'8b'!$B20*100</f>
        <v>93.115477463936372</v>
      </c>
      <c r="J20" s="21">
        <f>'8b'!J20/'8b'!$B20*100</f>
        <v>90.12091281233468</v>
      </c>
      <c r="K20" s="21">
        <f>'8b'!K20/'8b'!$B20*100</f>
        <v>106.93835691120516</v>
      </c>
      <c r="L20" s="21">
        <f>'8b'!L20/'8b'!$B20*100</f>
        <v>99.148963493767496</v>
      </c>
      <c r="N20" s="19">
        <f t="shared" si="0"/>
        <v>166.27732030153348</v>
      </c>
      <c r="O20" s="19">
        <f t="shared" si="1"/>
        <v>12.894856350558291</v>
      </c>
      <c r="P20" s="19">
        <f t="shared" si="2"/>
        <v>100.62180886079673</v>
      </c>
      <c r="Q20" s="19">
        <f t="shared" si="3"/>
        <v>10.031042261938524</v>
      </c>
    </row>
    <row r="21" spans="1:17">
      <c r="A21" s="22">
        <v>1997</v>
      </c>
      <c r="B21" s="20">
        <f>'8b'!B21/'8b'!$B21*100</f>
        <v>100</v>
      </c>
      <c r="C21" s="21">
        <f>'8b'!C21/'8b'!$B21*100</f>
        <v>74.033176946315251</v>
      </c>
      <c r="D21" s="21">
        <f>'8b'!D21/'8b'!$B21*100</f>
        <v>80.683438897183393</v>
      </c>
      <c r="E21" s="21">
        <f>'8b'!E21/'8b'!$B21*100</f>
        <v>86.960781850516781</v>
      </c>
      <c r="F21" s="21">
        <f>'8b'!F21/'8b'!$B21*100</f>
        <v>84.251200609971704</v>
      </c>
      <c r="G21" s="21">
        <f>'8b'!G21/'8b'!$B21*100</f>
        <v>92.330131159445173</v>
      </c>
      <c r="H21" s="21">
        <f>'8b'!H21/'8b'!$B21*100</f>
        <v>108.50711837860565</v>
      </c>
      <c r="I21" s="21">
        <f>'8b'!I21/'8b'!$B21*100</f>
        <v>92.163458334552544</v>
      </c>
      <c r="J21" s="21">
        <f>'8b'!J21/'8b'!$B21*100</f>
        <v>86.042912499634966</v>
      </c>
      <c r="K21" s="21">
        <f>'8b'!K21/'8b'!$B21*100</f>
        <v>110.56497869716418</v>
      </c>
      <c r="L21" s="21">
        <f>'8b'!L21/'8b'!$B21*100</f>
        <v>98.596218050546497</v>
      </c>
      <c r="N21" s="19">
        <f t="shared" si="0"/>
        <v>196.64503310565976</v>
      </c>
      <c r="O21" s="19">
        <f t="shared" si="1"/>
        <v>14.023017974232928</v>
      </c>
      <c r="P21" s="19">
        <f t="shared" si="2"/>
        <v>122.91432963807719</v>
      </c>
      <c r="Q21" s="19">
        <f t="shared" si="3"/>
        <v>11.086673515445343</v>
      </c>
    </row>
    <row r="22" spans="1:17">
      <c r="A22" s="22">
        <v>1998</v>
      </c>
      <c r="B22" s="20">
        <f>'8b'!B22/'8b'!$B22*100</f>
        <v>100</v>
      </c>
      <c r="C22" s="21">
        <f>'8b'!C22/'8b'!$B22*100</f>
        <v>75.438493130050816</v>
      </c>
      <c r="D22" s="21">
        <f>'8b'!D22/'8b'!$B22*100</f>
        <v>81.815550675200981</v>
      </c>
      <c r="E22" s="21">
        <f>'8b'!E22/'8b'!$B22*100</f>
        <v>88.487103721304607</v>
      </c>
      <c r="F22" s="21">
        <f>'8b'!F22/'8b'!$B22*100</f>
        <v>85.677440207389708</v>
      </c>
      <c r="G22" s="21">
        <f>'8b'!G22/'8b'!$B22*100</f>
        <v>91.673232974565593</v>
      </c>
      <c r="H22" s="21">
        <f>'8b'!H22/'8b'!$B22*100</f>
        <v>108.84704317375441</v>
      </c>
      <c r="I22" s="21">
        <f>'8b'!I22/'8b'!$B22*100</f>
        <v>92.431350062845482</v>
      </c>
      <c r="J22" s="21">
        <f>'8b'!J22/'8b'!$B22*100</f>
        <v>86.262634193837457</v>
      </c>
      <c r="K22" s="21">
        <f>'8b'!K22/'8b'!$B22*100</f>
        <v>111.36968235607836</v>
      </c>
      <c r="L22" s="21">
        <f>'8b'!L22/'8b'!$B22*100</f>
        <v>97.050793844461353</v>
      </c>
      <c r="N22" s="19">
        <f t="shared" si="0"/>
        <v>180.31967137092752</v>
      </c>
      <c r="O22" s="19">
        <f t="shared" si="1"/>
        <v>13.428316028859594</v>
      </c>
      <c r="P22" s="19">
        <f t="shared" si="2"/>
        <v>114.79602836604695</v>
      </c>
      <c r="Q22" s="19">
        <f t="shared" si="3"/>
        <v>10.714290847557152</v>
      </c>
    </row>
    <row r="23" spans="1:17">
      <c r="A23" s="22">
        <v>1999</v>
      </c>
      <c r="B23" s="20">
        <f>'8b'!B23/'8b'!$B23*100</f>
        <v>100</v>
      </c>
      <c r="C23" s="21">
        <f>'8b'!C23/'8b'!$B23*100</f>
        <v>76.790054529458146</v>
      </c>
      <c r="D23" s="21">
        <f>'8b'!D23/'8b'!$B23*100</f>
        <v>82.675137943308542</v>
      </c>
      <c r="E23" s="21">
        <f>'8b'!E23/'8b'!$B23*100</f>
        <v>89.784827526859303</v>
      </c>
      <c r="F23" s="21">
        <f>'8b'!F23/'8b'!$B23*100</f>
        <v>86.789395867069459</v>
      </c>
      <c r="G23" s="21">
        <f>'8b'!G23/'8b'!$B23*100</f>
        <v>92.005330913919948</v>
      </c>
      <c r="H23" s="21">
        <f>'8b'!H23/'8b'!$B23*100</f>
        <v>109.14827918195842</v>
      </c>
      <c r="I23" s="21">
        <f>'8b'!I23/'8b'!$B23*100</f>
        <v>90.794441386472073</v>
      </c>
      <c r="J23" s="21">
        <f>'8b'!J23/'8b'!$B23*100</f>
        <v>86.346121617728144</v>
      </c>
      <c r="K23" s="21">
        <f>'8b'!K23/'8b'!$B23*100</f>
        <v>108.4531478014077</v>
      </c>
      <c r="L23" s="21">
        <f>'8b'!L23/'8b'!$B23*100</f>
        <v>96.641493034602803</v>
      </c>
      <c r="N23" s="19">
        <f t="shared" si="0"/>
        <v>161.92339510829385</v>
      </c>
      <c r="O23" s="19">
        <f t="shared" si="1"/>
        <v>12.724912381163724</v>
      </c>
      <c r="P23" s="19">
        <f t="shared" si="2"/>
        <v>97.005293581166768</v>
      </c>
      <c r="Q23" s="19">
        <f t="shared" si="3"/>
        <v>9.8491265389965807</v>
      </c>
    </row>
    <row r="24" spans="1:17">
      <c r="A24" s="22">
        <v>2000</v>
      </c>
      <c r="B24" s="20">
        <f>'8b'!B24/'8b'!$B24*100</f>
        <v>100</v>
      </c>
      <c r="C24" s="21">
        <f>'8b'!C24/'8b'!$B24*100</f>
        <v>75.964013273963062</v>
      </c>
      <c r="D24" s="21">
        <f>'8b'!D24/'8b'!$B24*100</f>
        <v>81.874627380916749</v>
      </c>
      <c r="E24" s="21">
        <f>'8b'!E24/'8b'!$B24*100</f>
        <v>87.495833691766904</v>
      </c>
      <c r="F24" s="21">
        <f>'8b'!F24/'8b'!$B24*100</f>
        <v>85.087170764776914</v>
      </c>
      <c r="G24" s="21">
        <f>'8b'!G24/'8b'!$B24*100</f>
        <v>92.468321319271638</v>
      </c>
      <c r="H24" s="21">
        <f>'8b'!H24/'8b'!$B24*100</f>
        <v>108.99545785035652</v>
      </c>
      <c r="I24" s="21">
        <f>'8b'!I24/'8b'!$B24*100</f>
        <v>89.768073653812763</v>
      </c>
      <c r="J24" s="21">
        <f>'8b'!J24/'8b'!$B24*100</f>
        <v>84.816984494943355</v>
      </c>
      <c r="K24" s="21">
        <f>'8b'!K24/'8b'!$B24*100</f>
        <v>109.31913555465127</v>
      </c>
      <c r="L24" s="21">
        <f>'8b'!L24/'8b'!$B24*100</f>
        <v>96.581790104668187</v>
      </c>
      <c r="N24" s="19">
        <f t="shared" si="0"/>
        <v>185.63956099800922</v>
      </c>
      <c r="O24" s="19">
        <f t="shared" si="1"/>
        <v>13.624960953999436</v>
      </c>
      <c r="P24" s="19">
        <f t="shared" si="2"/>
        <v>108.85185979518688</v>
      </c>
      <c r="Q24" s="19">
        <f t="shared" si="3"/>
        <v>10.433209467617665</v>
      </c>
    </row>
    <row r="25" spans="1:17">
      <c r="A25" s="22">
        <v>2001</v>
      </c>
      <c r="B25" s="20">
        <f>'8b'!B25/'8b'!$B25*100</f>
        <v>100</v>
      </c>
      <c r="C25" s="21">
        <f>'8b'!C25/'8b'!$B25*100</f>
        <v>78.558896320079825</v>
      </c>
      <c r="D25" s="21">
        <f>'8b'!D25/'8b'!$B25*100</f>
        <v>80.790579422485578</v>
      </c>
      <c r="E25" s="21">
        <f>'8b'!E25/'8b'!$B25*100</f>
        <v>88.333674109148475</v>
      </c>
      <c r="F25" s="21">
        <f>'8b'!F25/'8b'!$B25*100</f>
        <v>85.132401011615016</v>
      </c>
      <c r="G25" s="21">
        <f>'8b'!G25/'8b'!$B25*100</f>
        <v>92.876177995472915</v>
      </c>
      <c r="H25" s="21">
        <f>'8b'!H25/'8b'!$B25*100</f>
        <v>107.22850525734162</v>
      </c>
      <c r="I25" s="21">
        <f>'8b'!I25/'8b'!$B25*100</f>
        <v>89.212476916128921</v>
      </c>
      <c r="J25" s="21">
        <f>'8b'!J25/'8b'!$B25*100</f>
        <v>84.186643468846128</v>
      </c>
      <c r="K25" s="21">
        <f>'8b'!K25/'8b'!$B25*100</f>
        <v>114.86011098186918</v>
      </c>
      <c r="L25" s="21">
        <f>'8b'!L25/'8b'!$B25*100</f>
        <v>95.922307381361378</v>
      </c>
      <c r="N25" s="19">
        <f t="shared" si="0"/>
        <v>189.2754928167507</v>
      </c>
      <c r="O25" s="19">
        <f t="shared" si="1"/>
        <v>13.757743013181729</v>
      </c>
      <c r="P25" s="19">
        <f t="shared" si="2"/>
        <v>120.55433219440981</v>
      </c>
      <c r="Q25" s="19">
        <f t="shared" si="3"/>
        <v>10.979723684793248</v>
      </c>
    </row>
    <row r="26" spans="1:17">
      <c r="A26" s="22">
        <v>2002</v>
      </c>
      <c r="B26" s="20">
        <f>'8b'!B26/'8b'!$B26*100</f>
        <v>100</v>
      </c>
      <c r="C26" s="21">
        <f>'8b'!C26/'8b'!$B26*100</f>
        <v>80.080006759113814</v>
      </c>
      <c r="D26" s="21">
        <f>'8b'!D26/'8b'!$B26*100</f>
        <v>83.130616287522685</v>
      </c>
      <c r="E26" s="21">
        <f>'8b'!E26/'8b'!$B26*100</f>
        <v>88.689000551207926</v>
      </c>
      <c r="F26" s="21">
        <f>'8b'!F26/'8b'!$B26*100</f>
        <v>85.197960722570272</v>
      </c>
      <c r="G26" s="21">
        <f>'8b'!G26/'8b'!$B26*100</f>
        <v>93.513071532099374</v>
      </c>
      <c r="H26" s="21">
        <f>'8b'!H26/'8b'!$B26*100</f>
        <v>106.57650881282885</v>
      </c>
      <c r="I26" s="21">
        <f>'8b'!I26/'8b'!$B26*100</f>
        <v>90.603530511713231</v>
      </c>
      <c r="J26" s="21">
        <f>'8b'!J26/'8b'!$B26*100</f>
        <v>84.54595098183168</v>
      </c>
      <c r="K26" s="21">
        <f>'8b'!K26/'8b'!$B26*100</f>
        <v>112.69844624571938</v>
      </c>
      <c r="L26" s="21">
        <f>'8b'!L26/'8b'!$B26*100</f>
        <v>96.565470135225638</v>
      </c>
      <c r="N26" s="19">
        <f t="shared" si="0"/>
        <v>161.39198243174738</v>
      </c>
      <c r="O26" s="19">
        <f t="shared" si="1"/>
        <v>12.704014421896229</v>
      </c>
      <c r="P26" s="19">
        <f t="shared" si="2"/>
        <v>99.927264491041441</v>
      </c>
      <c r="Q26" s="19">
        <f t="shared" si="3"/>
        <v>9.9963625630046771</v>
      </c>
    </row>
    <row r="27" spans="1:17">
      <c r="A27" s="22">
        <v>2003</v>
      </c>
      <c r="B27" s="20">
        <f>'8b'!B27/'8b'!$B27*100</f>
        <v>100</v>
      </c>
      <c r="C27" s="21">
        <f>'8b'!C27/'8b'!$B27*100</f>
        <v>81.360716467233146</v>
      </c>
      <c r="D27" s="21">
        <f>'8b'!D27/'8b'!$B27*100</f>
        <v>81.723255369788745</v>
      </c>
      <c r="E27" s="21">
        <f>'8b'!E27/'8b'!$B27*100</f>
        <v>87.99848210462531</v>
      </c>
      <c r="F27" s="21">
        <f>'8b'!F27/'8b'!$B27*100</f>
        <v>85.323185264172366</v>
      </c>
      <c r="G27" s="21">
        <f>'8b'!G27/'8b'!$B27*100</f>
        <v>94.719114936946383</v>
      </c>
      <c r="H27" s="21">
        <f>'8b'!H27/'8b'!$B27*100</f>
        <v>105.81619745616631</v>
      </c>
      <c r="I27" s="21">
        <f>'8b'!I27/'8b'!$B27*100</f>
        <v>91.253801941096384</v>
      </c>
      <c r="J27" s="21">
        <f>'8b'!J27/'8b'!$B27*100</f>
        <v>87.069195841816821</v>
      </c>
      <c r="K27" s="21">
        <f>'8b'!K27/'8b'!$B27*100</f>
        <v>110.9815588013529</v>
      </c>
      <c r="L27" s="21">
        <f>'8b'!L27/'8b'!$B27*100</f>
        <v>97.043766924436255</v>
      </c>
      <c r="N27" s="19">
        <f t="shared" si="0"/>
        <v>147.56591317414188</v>
      </c>
      <c r="O27" s="19">
        <f t="shared" si="1"/>
        <v>12.147671100838295</v>
      </c>
      <c r="P27" s="19">
        <f t="shared" si="2"/>
        <v>88.720560039019915</v>
      </c>
      <c r="Q27" s="19">
        <f t="shared" si="3"/>
        <v>9.4191592002163294</v>
      </c>
    </row>
    <row r="28" spans="1:17">
      <c r="A28" s="22">
        <v>2004</v>
      </c>
      <c r="B28" s="20">
        <f>'8b'!B28/'8b'!$B28*100</f>
        <v>100</v>
      </c>
      <c r="C28" s="21">
        <f>'8b'!C28/'8b'!$B28*100</f>
        <v>80.550499011533347</v>
      </c>
      <c r="D28" s="21">
        <f>'8b'!D28/'8b'!$B28*100</f>
        <v>80.226507734940384</v>
      </c>
      <c r="E28" s="21">
        <f>'8b'!E28/'8b'!$B28*100</f>
        <v>87.234162128717074</v>
      </c>
      <c r="F28" s="21">
        <f>'8b'!F28/'8b'!$B28*100</f>
        <v>85.830938857808462</v>
      </c>
      <c r="G28" s="21">
        <f>'8b'!G28/'8b'!$B28*100</f>
        <v>94.032347083681373</v>
      </c>
      <c r="H28" s="21">
        <f>'8b'!H28/'8b'!$B28*100</f>
        <v>105.13254993278292</v>
      </c>
      <c r="I28" s="21">
        <f>'8b'!I28/'8b'!$B28*100</f>
        <v>90.883040460936897</v>
      </c>
      <c r="J28" s="21">
        <f>'8b'!J28/'8b'!$B28*100</f>
        <v>88.746731303915169</v>
      </c>
      <c r="K28" s="21">
        <f>'8b'!K28/'8b'!$B28*100</f>
        <v>114.1736221470856</v>
      </c>
      <c r="L28" s="21">
        <f>'8b'!L28/'8b'!$B28*100</f>
        <v>97.523353968092593</v>
      </c>
      <c r="N28" s="19">
        <f t="shared" si="0"/>
        <v>161.17392933248522</v>
      </c>
      <c r="O28" s="19">
        <f t="shared" si="1"/>
        <v>12.695429466248285</v>
      </c>
      <c r="P28" s="19">
        <f t="shared" si="2"/>
        <v>103.92011942114448</v>
      </c>
      <c r="Q28" s="19">
        <f t="shared" si="3"/>
        <v>10.194121807254634</v>
      </c>
    </row>
    <row r="29" spans="1:17">
      <c r="A29" s="22">
        <v>2005</v>
      </c>
      <c r="B29" s="20">
        <f>'8b'!B29/'8b'!$B29*100</f>
        <v>100</v>
      </c>
      <c r="C29" s="21">
        <f>'8b'!C29/'8b'!$B29*100</f>
        <v>79.818153958067896</v>
      </c>
      <c r="D29" s="21">
        <f>'8b'!D29/'8b'!$B29*100</f>
        <v>78.802664087301764</v>
      </c>
      <c r="E29" s="21">
        <f>'8b'!E29/'8b'!$B29*100</f>
        <v>87.46909398236734</v>
      </c>
      <c r="F29" s="21">
        <f>'8b'!F29/'8b'!$B29*100</f>
        <v>85.223368564758502</v>
      </c>
      <c r="G29" s="21">
        <f>'8b'!G29/'8b'!$B29*100</f>
        <v>92.942043824483704</v>
      </c>
      <c r="H29" s="21">
        <f>'8b'!H29/'8b'!$B29*100</f>
        <v>104.32456109489479</v>
      </c>
      <c r="I29" s="21">
        <f>'8b'!I29/'8b'!$B29*100</f>
        <v>89.51450667432394</v>
      </c>
      <c r="J29" s="21">
        <f>'8b'!J29/'8b'!$B29*100</f>
        <v>87.354500484675</v>
      </c>
      <c r="K29" s="21">
        <f>'8b'!K29/'8b'!$B29*100</f>
        <v>119.01851109214181</v>
      </c>
      <c r="L29" s="21">
        <f>'8b'!L29/'8b'!$B29*100</f>
        <v>98.240667048307515</v>
      </c>
      <c r="N29" s="19">
        <f t="shared" si="0"/>
        <v>193.51762205624269</v>
      </c>
      <c r="O29" s="19">
        <f t="shared" si="1"/>
        <v>13.9110611405544</v>
      </c>
      <c r="P29" s="19">
        <f t="shared" si="2"/>
        <v>133.77719887916814</v>
      </c>
      <c r="Q29" s="19">
        <f t="shared" si="3"/>
        <v>11.566209356533719</v>
      </c>
    </row>
    <row r="30" spans="1:17">
      <c r="A30" s="22">
        <v>2006</v>
      </c>
      <c r="B30" s="20">
        <f>'8b'!B30/'8b'!$B30*100</f>
        <v>100</v>
      </c>
      <c r="C30" s="21">
        <f>'8b'!C30/'8b'!$B30*100</f>
        <v>91.459915691116194</v>
      </c>
      <c r="D30" s="21">
        <f>'8b'!D30/'8b'!$B30*100</f>
        <v>78.028508802050482</v>
      </c>
      <c r="E30" s="21">
        <f>'8b'!E30/'8b'!$B30*100</f>
        <v>85.899407763711338</v>
      </c>
      <c r="F30" s="21">
        <f>'8b'!F30/'8b'!$B30*100</f>
        <v>84.27865345349646</v>
      </c>
      <c r="G30" s="21">
        <f>'8b'!G30/'8b'!$B30*100</f>
        <v>91.686599643363522</v>
      </c>
      <c r="H30" s="21">
        <f>'8b'!H30/'8b'!$B30*100</f>
        <v>103.17968917268709</v>
      </c>
      <c r="I30" s="21">
        <f>'8b'!I30/'8b'!$B30*100</f>
        <v>89.02485060815718</v>
      </c>
      <c r="J30" s="21">
        <f>'8b'!J30/'8b'!$B30*100</f>
        <v>87.316177851195647</v>
      </c>
      <c r="K30" s="21">
        <f>'8b'!K30/'8b'!$B30*100</f>
        <v>121.85692299720891</v>
      </c>
      <c r="L30" s="21">
        <f>'8b'!L30/'8b'!$B30*100</f>
        <v>99.860809978523619</v>
      </c>
      <c r="N30" s="19">
        <f>SUM(C110:L110)/10</f>
        <v>183.99676580821523</v>
      </c>
      <c r="O30" s="19">
        <f>SQRT(N30)</f>
        <v>13.564540751835841</v>
      </c>
      <c r="P30" s="19"/>
      <c r="Q30" s="19"/>
    </row>
    <row r="31" spans="1:17">
      <c r="A31" s="22">
        <v>2007</v>
      </c>
      <c r="B31" s="20">
        <f>'8b'!B31/'8b'!$B31*100</f>
        <v>100</v>
      </c>
      <c r="C31" s="21">
        <f>'8b'!C31/'8b'!$B31*100</f>
        <v>87.509730101700228</v>
      </c>
      <c r="D31" s="21">
        <f>'8b'!D31/'8b'!$B31*100</f>
        <v>78.201373676927247</v>
      </c>
      <c r="E31" s="21">
        <f>'8b'!E31/'8b'!$B31*100</f>
        <v>86.04132301467429</v>
      </c>
      <c r="F31" s="21">
        <f>'8b'!F31/'8b'!$B31*100</f>
        <v>84.420831706772219</v>
      </c>
      <c r="G31" s="21">
        <f>'8b'!G31/'8b'!$B31*100</f>
        <v>92.342677143753733</v>
      </c>
      <c r="H31" s="21">
        <f>'8b'!H31/'8b'!$B31*100</f>
        <v>102.61886190714323</v>
      </c>
      <c r="I31" s="21">
        <f>'8b'!I31/'8b'!$B31*100</f>
        <v>90.191627326831508</v>
      </c>
      <c r="J31" s="21">
        <f>'8b'!J31/'8b'!$B31*100</f>
        <v>89.398402216417011</v>
      </c>
      <c r="K31" s="21">
        <f>'8b'!K31/'8b'!$B31*100</f>
        <v>120.63487635738028</v>
      </c>
      <c r="L31" s="21">
        <f>'8b'!L31/'8b'!$B31*100</f>
        <v>100.34006495642322</v>
      </c>
      <c r="N31" s="19">
        <f>SUM(C111:L111)/10</f>
        <v>176.87469471277751</v>
      </c>
      <c r="O31" s="19">
        <f>SQRT(N31)</f>
        <v>13.299424600815538</v>
      </c>
      <c r="P31" s="19"/>
      <c r="Q31" s="19"/>
    </row>
    <row r="32" spans="1:17">
      <c r="A32" s="120">
        <v>2008</v>
      </c>
      <c r="B32" s="39">
        <f>'8b'!B32/'8b'!$B32*100</f>
        <v>100</v>
      </c>
      <c r="C32" s="21">
        <f>'8b'!C32/'8b'!$B32*100</f>
        <v>82.607623747339701</v>
      </c>
      <c r="D32" s="21">
        <f>'8b'!D32/'8b'!$B32*100</f>
        <v>76.287187012698126</v>
      </c>
      <c r="E32" s="21">
        <f>'8b'!E32/'8b'!$B32*100</f>
        <v>85.293957144276888</v>
      </c>
      <c r="F32" s="21">
        <f>'8b'!F32/'8b'!$B32*100</f>
        <v>84.983894014959162</v>
      </c>
      <c r="G32" s="21">
        <f>'8b'!G32/'8b'!$B32*100</f>
        <v>91.750434031216926</v>
      </c>
      <c r="H32" s="21">
        <f>'8b'!H32/'8b'!$B32*100</f>
        <v>101.92789528439221</v>
      </c>
      <c r="I32" s="21">
        <f>'8b'!I32/'8b'!$B32*100</f>
        <v>90.975423460333587</v>
      </c>
      <c r="J32" s="21">
        <f>'8b'!J32/'8b'!$B32*100</f>
        <v>94.542304565492245</v>
      </c>
      <c r="K32" s="21">
        <f>'8b'!K32/'8b'!$B32*100</f>
        <v>122.46192032916663</v>
      </c>
      <c r="L32" s="21">
        <f>'8b'!L32/'8b'!$B32*100</f>
        <v>100.48539785228785</v>
      </c>
      <c r="N32" s="19">
        <f>SUM(C112:L112)/10</f>
        <v>199.4318402939063</v>
      </c>
      <c r="O32" s="19">
        <f>SQRT(N32)</f>
        <v>14.122033858262283</v>
      </c>
      <c r="P32" s="19"/>
      <c r="Q32" s="19"/>
    </row>
    <row r="33" spans="1:17">
      <c r="A33" s="120"/>
      <c r="B33" s="23"/>
      <c r="C33" s="644"/>
      <c r="D33" s="666" t="s">
        <v>802</v>
      </c>
      <c r="E33" s="644"/>
      <c r="F33" s="644"/>
      <c r="G33" s="644"/>
      <c r="H33" s="644"/>
      <c r="I33" s="644"/>
      <c r="J33" s="644"/>
      <c r="K33" s="644"/>
      <c r="L33" s="644"/>
    </row>
    <row r="34" spans="1:17">
      <c r="A34" s="448" t="s">
        <v>603</v>
      </c>
      <c r="B34" s="23">
        <f>((((B13/B5))^(1/8))-1)*100</f>
        <v>0</v>
      </c>
      <c r="C34" s="23">
        <f t="shared" ref="C34:L34" si="4">((((C13/C5))^(1/8))-1)*100</f>
        <v>1.3624046097399756</v>
      </c>
      <c r="D34" s="23">
        <f t="shared" si="4"/>
        <v>2.0203731894173682</v>
      </c>
      <c r="E34" s="23">
        <f t="shared" si="4"/>
        <v>1.0252278984885566</v>
      </c>
      <c r="F34" s="23">
        <f t="shared" si="4"/>
        <v>1.0930073293521136</v>
      </c>
      <c r="G34" s="23">
        <f t="shared" si="4"/>
        <v>-5.1633322566291273E-2</v>
      </c>
      <c r="H34" s="23">
        <f t="shared" si="4"/>
        <v>0.47776673738366693</v>
      </c>
      <c r="I34" s="23">
        <f t="shared" si="4"/>
        <v>-0.19381623009478988</v>
      </c>
      <c r="J34" s="23">
        <f t="shared" si="4"/>
        <v>-1.5955393463615075</v>
      </c>
      <c r="K34" s="23">
        <f t="shared" si="4"/>
        <v>-1.2239476859029153</v>
      </c>
      <c r="L34" s="23">
        <f t="shared" si="4"/>
        <v>-0.6333986881097653</v>
      </c>
      <c r="M34" s="23"/>
      <c r="N34" s="23">
        <f>((((N13/N5))^(1/8))-1)*100</f>
        <v>-5.5980131708229024</v>
      </c>
      <c r="O34" s="23">
        <f>((((O13/O5))^(1/8))-1)*100</f>
        <v>-2.8393151376663539</v>
      </c>
      <c r="P34" s="23">
        <f>((((P13/P5))^(1/8))-1)*100</f>
        <v>-7.4784741891420587</v>
      </c>
      <c r="Q34" s="23">
        <f>((((Q13/Q5))^(1/8))-1)*100</f>
        <v>-3.8118896064290309</v>
      </c>
    </row>
    <row r="35" spans="1:17">
      <c r="A35" s="448" t="s">
        <v>604</v>
      </c>
      <c r="B35" s="23">
        <f>((((B24/B13))^(1/11))-1)*100</f>
        <v>0</v>
      </c>
      <c r="C35" s="23">
        <f t="shared" ref="C35:L35" si="5">((((C24/C13))^(1/11))-1)*100</f>
        <v>0.79255952621686276</v>
      </c>
      <c r="D35" s="23">
        <f t="shared" si="5"/>
        <v>0.32048986089210363</v>
      </c>
      <c r="E35" s="23">
        <f t="shared" si="5"/>
        <v>0.18709061433808127</v>
      </c>
      <c r="F35" s="23">
        <f t="shared" si="5"/>
        <v>0.61705639602080975</v>
      </c>
      <c r="G35" s="23">
        <f t="shared" si="5"/>
        <v>0.28905946104387237</v>
      </c>
      <c r="H35" s="23">
        <f t="shared" si="5"/>
        <v>-0.30515673505105978</v>
      </c>
      <c r="I35" s="23">
        <f t="shared" si="5"/>
        <v>-0.20125772798889052</v>
      </c>
      <c r="J35" s="23">
        <f t="shared" si="5"/>
        <v>0.30790692974786982</v>
      </c>
      <c r="K35" s="23">
        <f t="shared" si="5"/>
        <v>0.26230688405586289</v>
      </c>
      <c r="L35" s="23">
        <f t="shared" si="5"/>
        <v>-0.50204830948309409</v>
      </c>
      <c r="M35" s="23"/>
      <c r="N35" s="23">
        <f>((((N24/N13))^(1/11))-1)*100</f>
        <v>-3.3128813155479664</v>
      </c>
      <c r="O35" s="23">
        <f>((((O24/O13))^(1/11))-1)*100</f>
        <v>-1.6703916999299517</v>
      </c>
      <c r="P35" s="23">
        <f>((((P28/P5))^(1/23))-1)*100</f>
        <v>-4.6162698519231826</v>
      </c>
      <c r="Q35" s="23">
        <f>((((Q28/Q5))^(1/23))-1)*100</f>
        <v>-2.3354055206919799</v>
      </c>
    </row>
    <row r="36" spans="1:17">
      <c r="A36" s="448" t="s">
        <v>808</v>
      </c>
      <c r="B36" s="23">
        <f t="shared" ref="B36:L36" si="6">((((B29/B5))^(1/24))-1)*100</f>
        <v>0</v>
      </c>
      <c r="C36" s="23">
        <f t="shared" si="6"/>
        <v>1.0243177429617667</v>
      </c>
      <c r="D36" s="23">
        <f t="shared" si="6"/>
        <v>0.65620167310593835</v>
      </c>
      <c r="E36" s="23">
        <f t="shared" si="6"/>
        <v>0.42530071699495853</v>
      </c>
      <c r="F36" s="23">
        <f t="shared" si="6"/>
        <v>0.65309519186278475</v>
      </c>
      <c r="G36" s="23">
        <f t="shared" si="6"/>
        <v>0.13646361708790078</v>
      </c>
      <c r="H36" s="23">
        <f t="shared" si="6"/>
        <v>-0.16356453791579462</v>
      </c>
      <c r="I36" s="23">
        <f t="shared" si="6"/>
        <v>-0.16864799703811828</v>
      </c>
      <c r="J36" s="23">
        <f t="shared" si="6"/>
        <v>-0.27202906777634706</v>
      </c>
      <c r="K36" s="23">
        <f t="shared" si="6"/>
        <v>6.3785311937447631E-2</v>
      </c>
      <c r="L36" s="23">
        <f t="shared" si="6"/>
        <v>-0.37084160696606583</v>
      </c>
      <c r="M36" s="23"/>
      <c r="N36" s="23">
        <f>((((N29/N5))^(1/24))-1)*100</f>
        <v>-3.2376491485595738</v>
      </c>
      <c r="O36" s="23">
        <f>((((O29/O5))^(1/24))-1)*100</f>
        <v>-1.6321440452012115</v>
      </c>
      <c r="P36" s="23"/>
      <c r="Q36" s="23"/>
    </row>
    <row r="37" spans="1:17">
      <c r="A37" s="448" t="s">
        <v>819</v>
      </c>
      <c r="B37" s="644">
        <f t="shared" ref="B37:L37" si="7">((((B30/B5))^(1/25))-1)*100</f>
        <v>0</v>
      </c>
      <c r="C37" s="23">
        <f t="shared" si="7"/>
        <v>1.5345980323944852</v>
      </c>
      <c r="D37" s="23">
        <f t="shared" si="7"/>
        <v>0.59014003793673719</v>
      </c>
      <c r="E37" s="23">
        <f t="shared" si="7"/>
        <v>0.33555028919329821</v>
      </c>
      <c r="F37" s="23">
        <f t="shared" si="7"/>
        <v>0.58203190319321418</v>
      </c>
      <c r="G37" s="23">
        <f t="shared" si="7"/>
        <v>7.6545534882388466E-2</v>
      </c>
      <c r="H37" s="23">
        <f t="shared" si="7"/>
        <v>-0.20108724502518882</v>
      </c>
      <c r="I37" s="23">
        <f t="shared" si="7"/>
        <v>-0.18381020218154465</v>
      </c>
      <c r="J37" s="23">
        <f t="shared" si="7"/>
        <v>-0.2629127220161509</v>
      </c>
      <c r="K37" s="23">
        <f t="shared" si="7"/>
        <v>0.1556095559851034</v>
      </c>
      <c r="L37" s="23">
        <f t="shared" si="7"/>
        <v>-0.29081774826930085</v>
      </c>
      <c r="M37" s="23"/>
      <c r="N37" s="23">
        <f>((((N30/N5))^(1/25))-1)*100</f>
        <v>-3.3055068159448475</v>
      </c>
      <c r="O37" s="23">
        <f>((((O30/O5))^(1/25))-1)*100</f>
        <v>-1.6666418838168884</v>
      </c>
      <c r="P37" s="23"/>
      <c r="Q37" s="23"/>
    </row>
    <row r="38" spans="1:17">
      <c r="A38" s="448" t="s">
        <v>447</v>
      </c>
      <c r="B38" s="644">
        <f>((((B31/B5))^(1/26))-1)*100</f>
        <v>0</v>
      </c>
      <c r="C38" s="644">
        <f t="shared" ref="C38:L38" si="8">((((C31/C5))^(1/26))-1)*100</f>
        <v>1.3029723342181221</v>
      </c>
      <c r="D38" s="644">
        <f t="shared" si="8"/>
        <v>0.57593810318883332</v>
      </c>
      <c r="E38" s="644">
        <f t="shared" si="8"/>
        <v>0.32899342390415587</v>
      </c>
      <c r="F38" s="644">
        <f t="shared" si="8"/>
        <v>0.56610303717294919</v>
      </c>
      <c r="G38" s="644">
        <f t="shared" si="8"/>
        <v>0.10104808197670678</v>
      </c>
      <c r="H38" s="644">
        <f t="shared" si="8"/>
        <v>-0.21428044658584611</v>
      </c>
      <c r="I38" s="644">
        <f t="shared" si="8"/>
        <v>-0.12674187166926698</v>
      </c>
      <c r="J38" s="644">
        <f t="shared" si="8"/>
        <v>-0.16235915230851106</v>
      </c>
      <c r="K38" s="644">
        <f t="shared" si="8"/>
        <v>0.11080361534356875</v>
      </c>
      <c r="L38" s="644">
        <f t="shared" si="8"/>
        <v>-0.261283485662267</v>
      </c>
      <c r="M38" s="644"/>
      <c r="N38" s="644">
        <f>((((N31/N5))^(1/26))-1)*100</f>
        <v>-3.3273086139839592</v>
      </c>
      <c r="O38" s="644">
        <f>((((O31/O5))^(1/26))-1)*100</f>
        <v>-1.6777281659867027</v>
      </c>
      <c r="P38" s="23"/>
      <c r="Q38" s="23"/>
    </row>
    <row r="39" spans="1:17">
      <c r="A39" s="448" t="s">
        <v>1408</v>
      </c>
      <c r="B39" s="644">
        <f>((((B32/B5))^(1/27))-1)*100</f>
        <v>0</v>
      </c>
      <c r="C39" s="644">
        <f t="shared" ref="C39:L39" si="9">((((C32/C5))^(1/27))-1)*100</f>
        <v>1.038453855534649</v>
      </c>
      <c r="D39" s="644">
        <f t="shared" si="9"/>
        <v>0.46229538024926686</v>
      </c>
      <c r="E39" s="644">
        <f t="shared" si="9"/>
        <v>0.28438070424299244</v>
      </c>
      <c r="F39" s="644">
        <f t="shared" si="9"/>
        <v>0.56983707779676429</v>
      </c>
      <c r="G39" s="644">
        <f t="shared" si="9"/>
        <v>7.3453055875960516E-2</v>
      </c>
      <c r="H39" s="644">
        <f t="shared" si="9"/>
        <v>-0.23132016465302607</v>
      </c>
      <c r="I39" s="644">
        <f t="shared" si="9"/>
        <v>-9.003717553774937E-2</v>
      </c>
      <c r="J39" s="644">
        <f t="shared" si="9"/>
        <v>5.0742153128435774E-2</v>
      </c>
      <c r="K39" s="644">
        <f t="shared" si="9"/>
        <v>0.16244544973593733</v>
      </c>
      <c r="L39" s="644">
        <f t="shared" si="9"/>
        <v>-0.24627127359321266</v>
      </c>
      <c r="M39" s="644"/>
      <c r="N39" s="644">
        <f>((((N32/N5))^(1/27))-1)*100</f>
        <v>-2.7748081023487692</v>
      </c>
      <c r="O39" s="644">
        <f>((((O32/O5))^(1/27))-1)*100</f>
        <v>-1.3971643928780142</v>
      </c>
      <c r="P39" s="23"/>
      <c r="Q39" s="23"/>
    </row>
    <row r="40" spans="1:17">
      <c r="A40" s="448" t="s">
        <v>809</v>
      </c>
      <c r="B40" s="644">
        <f t="shared" ref="B40:L40" si="10">((((B29/B24))^(1/5))-1)*100</f>
        <v>0</v>
      </c>
      <c r="C40" s="644">
        <f t="shared" si="10"/>
        <v>0.99474003543749134</v>
      </c>
      <c r="D40" s="644">
        <f t="shared" si="10"/>
        <v>-0.76192925732040395</v>
      </c>
      <c r="E40" s="644">
        <f t="shared" si="10"/>
        <v>-6.1129719331476373E-3</v>
      </c>
      <c r="F40" s="644">
        <f t="shared" si="10"/>
        <v>3.1993231994675853E-2</v>
      </c>
      <c r="G40" s="644">
        <f t="shared" si="10"/>
        <v>0.10225225346160993</v>
      </c>
      <c r="H40" s="644">
        <f t="shared" si="10"/>
        <v>-0.87216222321981896</v>
      </c>
      <c r="I40" s="644">
        <f t="shared" si="10"/>
        <v>-5.6557739277518504E-2</v>
      </c>
      <c r="J40" s="644">
        <f t="shared" si="10"/>
        <v>0.59131633536027017</v>
      </c>
      <c r="K40" s="644">
        <f t="shared" si="10"/>
        <v>1.71468649001707</v>
      </c>
      <c r="L40" s="644">
        <f t="shared" si="10"/>
        <v>0.34118148651940405</v>
      </c>
      <c r="M40" s="644"/>
      <c r="N40" s="644">
        <f>((((N29/N24))^(1/5))-1)*100</f>
        <v>0.83469690648554362</v>
      </c>
      <c r="O40" s="644">
        <f>((((O29/O24))^(1/5))-1)*100</f>
        <v>0.41648117041621635</v>
      </c>
      <c r="P40" s="23">
        <f>((((P29/P5))^(1/24))-1)*100</f>
        <v>-3.4172332495139179</v>
      </c>
      <c r="Q40" s="23">
        <f>((((Q29/Q5))^(1/24))-1)*100</f>
        <v>-1.7234683403580364</v>
      </c>
    </row>
    <row r="41" spans="1:17">
      <c r="A41" s="448" t="s">
        <v>818</v>
      </c>
      <c r="B41" s="644">
        <f t="shared" ref="B41:L41" si="11">((((B30/B24))^(1/6))-1)*100</f>
        <v>0</v>
      </c>
      <c r="C41" s="644">
        <f t="shared" si="11"/>
        <v>3.1423801895436476</v>
      </c>
      <c r="D41" s="644">
        <f t="shared" si="11"/>
        <v>-0.79870799945863657</v>
      </c>
      <c r="E41" s="644">
        <f t="shared" si="11"/>
        <v>-0.30643357757639267</v>
      </c>
      <c r="F41" s="644">
        <f t="shared" si="11"/>
        <v>-0.15900108652867617</v>
      </c>
      <c r="G41" s="644">
        <f t="shared" si="11"/>
        <v>-0.141397899218354</v>
      </c>
      <c r="H41" s="644">
        <f t="shared" si="11"/>
        <v>-0.90973971374461726</v>
      </c>
      <c r="I41" s="644">
        <f t="shared" si="11"/>
        <v>-0.13846794087806202</v>
      </c>
      <c r="J41" s="644">
        <f t="shared" si="11"/>
        <v>0.48517229070201839</v>
      </c>
      <c r="K41" s="644">
        <f t="shared" si="11"/>
        <v>1.8260748595318121</v>
      </c>
      <c r="L41" s="644">
        <f t="shared" si="11"/>
        <v>0.5580027507744445</v>
      </c>
      <c r="M41" s="644"/>
      <c r="N41" s="644">
        <f>((((N30/N24))^(1/6))-1)*100</f>
        <v>-0.14803647179096879</v>
      </c>
      <c r="O41" s="644">
        <f>((((O30/O24))^(1/6))-1)*100</f>
        <v>-7.4045649686671489E-2</v>
      </c>
      <c r="P41" s="23">
        <f>((((P24/P13))^(1/11))-1)*100</f>
        <v>-3.736001251022103</v>
      </c>
      <c r="Q41" s="23">
        <f>((((Q24/Q13))^(1/11))-1)*100</f>
        <v>-1.8857814845483767</v>
      </c>
    </row>
    <row r="42" spans="1:17">
      <c r="A42" s="448" t="s">
        <v>449</v>
      </c>
      <c r="B42" s="644">
        <f>((((B31/B24))^(1/7))-1)*100</f>
        <v>0</v>
      </c>
      <c r="C42" s="644">
        <f t="shared" ref="C42:L42" si="12">((((C31/C24))^(1/7))-1)*100</f>
        <v>2.0418559605244413</v>
      </c>
      <c r="D42" s="644">
        <f t="shared" si="12"/>
        <v>-0.65359655168659714</v>
      </c>
      <c r="E42" s="644">
        <f t="shared" si="12"/>
        <v>-0.23919199693025472</v>
      </c>
      <c r="F42" s="644">
        <f t="shared" si="12"/>
        <v>-0.11225233669563961</v>
      </c>
      <c r="G42" s="644">
        <f t="shared" si="12"/>
        <v>-1.9422466956453555E-2</v>
      </c>
      <c r="H42" s="644">
        <f t="shared" si="12"/>
        <v>-0.85750874198970983</v>
      </c>
      <c r="I42" s="644">
        <f t="shared" si="12"/>
        <v>6.7268536276521296E-2</v>
      </c>
      <c r="J42" s="644">
        <f t="shared" si="12"/>
        <v>0.75435960800591673</v>
      </c>
      <c r="K42" s="644">
        <f t="shared" si="12"/>
        <v>1.4170459485165932</v>
      </c>
      <c r="L42" s="644">
        <f t="shared" si="12"/>
        <v>0.54684478461335395</v>
      </c>
      <c r="M42" s="644"/>
      <c r="N42" s="644">
        <f>((((N31/N24))^(1/7))-1)*100</f>
        <v>-0.68855292453718908</v>
      </c>
      <c r="O42" s="644">
        <f>((((O31/O24))^(1/7))-1)*100</f>
        <v>-0.34487114279425635</v>
      </c>
      <c r="P42" s="644">
        <f>((((P28/P24))^(1/4))-1)*100</f>
        <v>-1.152441722425579</v>
      </c>
      <c r="Q42" s="644">
        <f>((((Q28/Q24))^(1/4))-1)*100</f>
        <v>-0.57789064922509903</v>
      </c>
    </row>
    <row r="43" spans="1:17">
      <c r="A43" s="448" t="s">
        <v>1410</v>
      </c>
      <c r="B43" s="644">
        <f>((((B32/B24))^(1/8))-1)*100</f>
        <v>0</v>
      </c>
      <c r="C43" s="644">
        <f t="shared" ref="C43:O43" si="13">((((C32/C24))^(1/8))-1)*100</f>
        <v>1.053539236757195</v>
      </c>
      <c r="D43" s="644">
        <f t="shared" si="13"/>
        <v>-0.8796599980698927</v>
      </c>
      <c r="E43" s="644">
        <f t="shared" si="13"/>
        <v>-0.31808762194257545</v>
      </c>
      <c r="F43" s="644">
        <f t="shared" si="13"/>
        <v>-1.5180260617386754E-2</v>
      </c>
      <c r="G43" s="644">
        <f t="shared" si="13"/>
        <v>-9.7376260123538394E-2</v>
      </c>
      <c r="H43" s="644">
        <f t="shared" si="13"/>
        <v>-0.83450545867195247</v>
      </c>
      <c r="I43" s="644">
        <f t="shared" si="13"/>
        <v>0.16713968947819069</v>
      </c>
      <c r="J43" s="644">
        <f t="shared" si="13"/>
        <v>1.3661424740142314</v>
      </c>
      <c r="K43" s="644">
        <f t="shared" si="13"/>
        <v>1.4292255652961883</v>
      </c>
      <c r="L43" s="644">
        <f t="shared" si="13"/>
        <v>0.49650611086202723</v>
      </c>
      <c r="M43" s="644"/>
      <c r="N43" s="644">
        <f t="shared" si="13"/>
        <v>0.89984416955577462</v>
      </c>
      <c r="O43" s="644">
        <f t="shared" si="13"/>
        <v>0.44891446379884403</v>
      </c>
      <c r="P43" s="644"/>
      <c r="Q43" s="644"/>
    </row>
    <row r="44" spans="1:17">
      <c r="A44" s="448"/>
      <c r="D44" s="27" t="s">
        <v>276</v>
      </c>
      <c r="M44" s="644"/>
      <c r="N44" s="644"/>
      <c r="O44" s="644"/>
      <c r="P44" s="644">
        <f>((((P29/P24))^(1/5))-1)*100</f>
        <v>4.2099647298890819</v>
      </c>
      <c r="Q44" s="644">
        <f>((((Q29/Q24))^(1/5))-1)*100</f>
        <v>2.083282044558632</v>
      </c>
    </row>
    <row r="45" spans="1:17">
      <c r="A45" s="448" t="s">
        <v>808</v>
      </c>
      <c r="B45" s="10">
        <f t="shared" ref="B45:L45" si="14">(B29/B5-1)*100</f>
        <v>0</v>
      </c>
      <c r="C45" s="10">
        <f t="shared" si="14"/>
        <v>27.709212798228734</v>
      </c>
      <c r="D45" s="10">
        <f t="shared" si="14"/>
        <v>16.996511274965865</v>
      </c>
      <c r="E45" s="10">
        <f t="shared" si="14"/>
        <v>10.72237196123158</v>
      </c>
      <c r="F45" s="10">
        <f t="shared" si="14"/>
        <v>16.909883288418314</v>
      </c>
      <c r="G45" s="10">
        <f t="shared" si="14"/>
        <v>3.3270424680088118</v>
      </c>
      <c r="H45" s="10">
        <f t="shared" si="14"/>
        <v>-3.8525877680414711</v>
      </c>
      <c r="I45" s="10">
        <f t="shared" si="14"/>
        <v>-3.9700139195010697</v>
      </c>
      <c r="J45" s="10">
        <f t="shared" si="14"/>
        <v>-6.3284749131375939</v>
      </c>
      <c r="K45" s="10">
        <f t="shared" si="14"/>
        <v>1.5421294308412214</v>
      </c>
      <c r="L45" s="10">
        <f t="shared" si="14"/>
        <v>-8.5307579797172401</v>
      </c>
      <c r="M45" s="10"/>
      <c r="N45" s="10">
        <f>(N29/N5-1)*100</f>
        <v>-54.610660274259907</v>
      </c>
      <c r="O45" s="10">
        <f>(O29/O5-1)*100</f>
        <v>-32.628388971511079</v>
      </c>
      <c r="P45" s="10"/>
      <c r="Q45" s="10"/>
    </row>
    <row r="46" spans="1:17">
      <c r="A46" s="448" t="s">
        <v>819</v>
      </c>
      <c r="B46" s="10">
        <f t="shared" ref="B46:L46" si="15">(B30/B5-1)*100</f>
        <v>0</v>
      </c>
      <c r="C46" s="10">
        <f t="shared" si="15"/>
        <v>46.336055850665204</v>
      </c>
      <c r="D46" s="10">
        <f t="shared" si="15"/>
        <v>15.847140646339231</v>
      </c>
      <c r="E46" s="10">
        <f t="shared" si="15"/>
        <v>8.7353914924561238</v>
      </c>
      <c r="F46" s="10">
        <f t="shared" si="15"/>
        <v>15.613917929873189</v>
      </c>
      <c r="G46" s="10">
        <f t="shared" si="15"/>
        <v>1.9313196187911608</v>
      </c>
      <c r="H46" s="10">
        <f t="shared" si="15"/>
        <v>-4.9077225464870917</v>
      </c>
      <c r="I46" s="10">
        <f t="shared" si="15"/>
        <v>-4.4953105106927289</v>
      </c>
      <c r="J46" s="10">
        <f t="shared" si="15"/>
        <v>-6.3695688407937379</v>
      </c>
      <c r="K46" s="10">
        <f t="shared" si="15"/>
        <v>3.9637560030240326</v>
      </c>
      <c r="L46" s="10">
        <f t="shared" si="15"/>
        <v>-7.0222864857429901</v>
      </c>
      <c r="M46" s="10"/>
      <c r="N46" s="10">
        <f>(N30/N5-1)*100</f>
        <v>-56.843766355917204</v>
      </c>
      <c r="O46" s="10">
        <f>(O30/O5-1)*100</f>
        <v>-34.306595731319575</v>
      </c>
      <c r="P46" s="10">
        <f>(P28/P5-1)*100</f>
        <v>-66.278339449023022</v>
      </c>
      <c r="Q46" s="10">
        <f>(Q28/Q5-1)*100</f>
        <v>-41.929645643429211</v>
      </c>
    </row>
    <row r="47" spans="1:17">
      <c r="A47" s="448" t="s">
        <v>447</v>
      </c>
      <c r="B47" s="10">
        <f t="shared" ref="B47:L47" si="16">(B31/B5-1)*100</f>
        <v>0</v>
      </c>
      <c r="C47" s="10">
        <f t="shared" si="16"/>
        <v>40.015750669261926</v>
      </c>
      <c r="D47" s="10">
        <f t="shared" si="16"/>
        <v>16.103789168528259</v>
      </c>
      <c r="E47" s="10">
        <f t="shared" si="16"/>
        <v>8.9150342952872386</v>
      </c>
      <c r="F47" s="10">
        <f t="shared" si="16"/>
        <v>15.808958835631227</v>
      </c>
      <c r="G47" s="10">
        <f t="shared" si="16"/>
        <v>2.6607047813677731</v>
      </c>
      <c r="H47" s="10">
        <f t="shared" si="16"/>
        <v>-5.4245911508238986</v>
      </c>
      <c r="I47" s="10">
        <f t="shared" si="16"/>
        <v>-3.2436077843291056</v>
      </c>
      <c r="J47" s="10">
        <f t="shared" si="16"/>
        <v>-4.1367688043774447</v>
      </c>
      <c r="K47" s="10">
        <f t="shared" si="16"/>
        <v>2.9211516473374166</v>
      </c>
      <c r="L47" s="10">
        <f t="shared" si="16"/>
        <v>-6.5760650697038621</v>
      </c>
      <c r="M47" s="10"/>
      <c r="N47" s="10">
        <f>(N31/N5-1)*100</f>
        <v>-58.514240088835145</v>
      </c>
      <c r="O47" s="10">
        <f>(O31/O5-1)*100</f>
        <v>-35.590559767092486</v>
      </c>
      <c r="P47" s="10">
        <f>(P29/P5-1)*100</f>
        <v>-56.589837317431311</v>
      </c>
      <c r="Q47" s="10">
        <f>(Q29/Q5-1)*100</f>
        <v>-34.11361090288171</v>
      </c>
    </row>
    <row r="48" spans="1:17">
      <c r="A48" s="448" t="s">
        <v>1408</v>
      </c>
      <c r="B48" s="10">
        <f>(B32/B5-1)*100</f>
        <v>0</v>
      </c>
      <c r="C48" s="10">
        <f t="shared" ref="C48:L48" si="17">(C32/C5-1)*100</f>
        <v>32.172370278662243</v>
      </c>
      <c r="D48" s="10">
        <f t="shared" si="17"/>
        <v>13.261840051227303</v>
      </c>
      <c r="E48" s="10">
        <f t="shared" si="17"/>
        <v>7.9689844607027771</v>
      </c>
      <c r="F48" s="10">
        <f t="shared" si="17"/>
        <v>16.581370790742135</v>
      </c>
      <c r="G48" s="10">
        <f t="shared" si="17"/>
        <v>2.0022866239616466</v>
      </c>
      <c r="H48" s="10">
        <f t="shared" si="17"/>
        <v>-6.0613985528290453</v>
      </c>
      <c r="I48" s="10">
        <f t="shared" si="17"/>
        <v>-2.4027615954091752</v>
      </c>
      <c r="J48" s="10">
        <f t="shared" si="17"/>
        <v>1.379113894995343</v>
      </c>
      <c r="K48" s="10">
        <f t="shared" si="17"/>
        <v>4.4799170339699268</v>
      </c>
      <c r="L48" s="10">
        <f t="shared" si="17"/>
        <v>-6.4407495204027443</v>
      </c>
      <c r="M48" s="10"/>
      <c r="N48" s="10">
        <f>(N32/N5-1)*100</f>
        <v>-53.223487065178908</v>
      </c>
      <c r="O48" s="10">
        <f>(O32/O5-1)*100</f>
        <v>-31.606642914080396</v>
      </c>
      <c r="P48" s="10"/>
      <c r="Q48" s="10"/>
    </row>
    <row r="49" spans="1:17" s="1049" customFormat="1">
      <c r="A49" s="1076"/>
      <c r="B49" s="10"/>
      <c r="C49" s="10"/>
      <c r="D49" s="10"/>
      <c r="E49" s="10"/>
      <c r="F49" s="10"/>
      <c r="G49" s="10"/>
      <c r="H49" s="10"/>
      <c r="I49" s="10"/>
      <c r="J49" s="10"/>
      <c r="K49" s="10"/>
      <c r="L49" s="10"/>
      <c r="M49" s="10"/>
      <c r="N49" s="10"/>
      <c r="O49" s="10"/>
      <c r="P49" s="10"/>
      <c r="Q49" s="10"/>
    </row>
    <row r="50" spans="1:17">
      <c r="A50" s="9" t="s">
        <v>288</v>
      </c>
    </row>
    <row r="51" spans="1:17">
      <c r="B51" s="9"/>
      <c r="C51" s="9"/>
      <c r="D51" s="9"/>
      <c r="E51" s="9"/>
      <c r="F51" s="9"/>
      <c r="G51" s="9"/>
      <c r="H51" s="9"/>
      <c r="I51" s="9"/>
      <c r="J51" s="9"/>
      <c r="K51" s="9"/>
      <c r="L51" s="9"/>
    </row>
    <row r="54" spans="1:17">
      <c r="B54" s="1" t="s">
        <v>278</v>
      </c>
    </row>
    <row r="55" spans="1:17">
      <c r="B55" s="1" t="s">
        <v>279</v>
      </c>
    </row>
    <row r="56" spans="1:17">
      <c r="B56" s="1">
        <v>1981</v>
      </c>
      <c r="C56" s="229">
        <f>C5-$B5</f>
        <v>-37.500081466969206</v>
      </c>
      <c r="D56" s="229">
        <f t="shared" ref="D56:L56" si="18">D5-$B5</f>
        <v>-32.645287258096701</v>
      </c>
      <c r="E56" s="229">
        <f t="shared" si="18"/>
        <v>-21.001426872435644</v>
      </c>
      <c r="F56" s="229">
        <f t="shared" si="18"/>
        <v>-27.103366997201377</v>
      </c>
      <c r="G56" s="229">
        <f t="shared" si="18"/>
        <v>-10.050610561838553</v>
      </c>
      <c r="H56" s="229">
        <f t="shared" si="18"/>
        <v>8.5048038975907616</v>
      </c>
      <c r="I56" s="229">
        <f t="shared" si="18"/>
        <v>-6.7848384365205163</v>
      </c>
      <c r="J56" s="229">
        <f t="shared" si="18"/>
        <v>-6.7438045834415306</v>
      </c>
      <c r="K56" s="229">
        <f t="shared" si="18"/>
        <v>17.210966284889139</v>
      </c>
      <c r="L56" s="229">
        <f t="shared" si="18"/>
        <v>7.4029530347734038</v>
      </c>
    </row>
    <row r="57" spans="1:17">
      <c r="B57" s="1">
        <v>1982</v>
      </c>
      <c r="C57" s="229">
        <f t="shared" ref="C57:L72" si="19">C6-$B6</f>
        <v>-35.932779429117375</v>
      </c>
      <c r="D57" s="229">
        <f t="shared" si="19"/>
        <v>-29.386104219975635</v>
      </c>
      <c r="E57" s="229">
        <f t="shared" si="19"/>
        <v>-18.687981387453206</v>
      </c>
      <c r="F57" s="229">
        <f t="shared" si="19"/>
        <v>-24.059091146887241</v>
      </c>
      <c r="G57" s="229">
        <f t="shared" si="19"/>
        <v>-11.665554030181042</v>
      </c>
      <c r="H57" s="229">
        <f t="shared" si="19"/>
        <v>10.311862090031411</v>
      </c>
      <c r="I57" s="229">
        <f t="shared" si="19"/>
        <v>-3.5176070716085519</v>
      </c>
      <c r="J57" s="229">
        <f t="shared" si="19"/>
        <v>-3.3391022731625242</v>
      </c>
      <c r="K57" s="229">
        <f t="shared" si="19"/>
        <v>14.107233142716908</v>
      </c>
      <c r="L57" s="229">
        <f t="shared" si="19"/>
        <v>5.110697383648926</v>
      </c>
    </row>
    <row r="58" spans="1:17">
      <c r="B58" s="1">
        <v>1983</v>
      </c>
      <c r="C58" s="229">
        <f t="shared" si="19"/>
        <v>-36.799078626770118</v>
      </c>
      <c r="D58" s="229">
        <f t="shared" si="19"/>
        <v>-26.721509315211719</v>
      </c>
      <c r="E58" s="229">
        <f t="shared" si="19"/>
        <v>-17.367582053698655</v>
      </c>
      <c r="F58" s="229">
        <f t="shared" si="19"/>
        <v>-23.463574243685173</v>
      </c>
      <c r="G58" s="229">
        <f t="shared" si="19"/>
        <v>-11.377623310800033</v>
      </c>
      <c r="H58" s="229">
        <f t="shared" si="19"/>
        <v>12.151008756977348</v>
      </c>
      <c r="I58" s="229">
        <f t="shared" si="19"/>
        <v>-6.8919553686354078</v>
      </c>
      <c r="J58" s="229">
        <f t="shared" si="19"/>
        <v>-8.033927242218013</v>
      </c>
      <c r="K58" s="229">
        <f t="shared" si="19"/>
        <v>11.241604345088916</v>
      </c>
      <c r="L58" s="229">
        <f t="shared" si="19"/>
        <v>3.0648716921319021</v>
      </c>
    </row>
    <row r="59" spans="1:17">
      <c r="B59" s="1">
        <v>1984</v>
      </c>
      <c r="C59" s="229">
        <f t="shared" si="19"/>
        <v>-38.521049295031283</v>
      </c>
      <c r="D59" s="229">
        <f t="shared" si="19"/>
        <v>-28.233802922516745</v>
      </c>
      <c r="E59" s="229">
        <f t="shared" si="19"/>
        <v>-17.063300261594435</v>
      </c>
      <c r="F59" s="229">
        <f t="shared" si="19"/>
        <v>-23.832970120396141</v>
      </c>
      <c r="G59" s="229">
        <f t="shared" si="19"/>
        <v>-9.7957221104079792</v>
      </c>
      <c r="H59" s="229">
        <f t="shared" si="19"/>
        <v>12.442352397489117</v>
      </c>
      <c r="I59" s="229">
        <f t="shared" si="19"/>
        <v>-2.7020733499695382</v>
      </c>
      <c r="J59" s="229">
        <f t="shared" si="19"/>
        <v>-9.6606039670360389</v>
      </c>
      <c r="K59" s="229">
        <f t="shared" si="19"/>
        <v>9.1384296526536986</v>
      </c>
      <c r="L59" s="229">
        <f t="shared" si="19"/>
        <v>-0.17828501137213948</v>
      </c>
    </row>
    <row r="60" spans="1:17">
      <c r="B60" s="1">
        <v>1985</v>
      </c>
      <c r="C60" s="229">
        <f t="shared" si="19"/>
        <v>-38.701661377850193</v>
      </c>
      <c r="D60" s="229">
        <f t="shared" si="19"/>
        <v>-29.223364927544537</v>
      </c>
      <c r="E60" s="229">
        <f t="shared" si="19"/>
        <v>-16.550819088744262</v>
      </c>
      <c r="F60" s="229">
        <f t="shared" si="19"/>
        <v>-25.037209504731692</v>
      </c>
      <c r="G60" s="229">
        <f t="shared" si="19"/>
        <v>-10.46436015841735</v>
      </c>
      <c r="H60" s="229">
        <f t="shared" si="19"/>
        <v>12.565681433599622</v>
      </c>
      <c r="I60" s="229">
        <f t="shared" si="19"/>
        <v>-2.5336719739772633</v>
      </c>
      <c r="J60" s="229">
        <f t="shared" si="19"/>
        <v>-10.445186602212857</v>
      </c>
      <c r="K60" s="229">
        <f t="shared" si="19"/>
        <v>12.202338799445627</v>
      </c>
      <c r="L60" s="229">
        <f t="shared" si="19"/>
        <v>-1.114299669177413</v>
      </c>
    </row>
    <row r="61" spans="1:17">
      <c r="B61" s="1">
        <v>1986</v>
      </c>
      <c r="C61" s="229">
        <f t="shared" si="19"/>
        <v>-36.568633266610838</v>
      </c>
      <c r="D61" s="229">
        <f t="shared" si="19"/>
        <v>-23.591203672634364</v>
      </c>
      <c r="E61" s="229">
        <f t="shared" si="19"/>
        <v>-15.92345118327448</v>
      </c>
      <c r="F61" s="229">
        <f t="shared" si="19"/>
        <v>-22.657904757429321</v>
      </c>
      <c r="G61" s="229">
        <f t="shared" si="19"/>
        <v>-10.726523067065315</v>
      </c>
      <c r="H61" s="229">
        <f t="shared" si="19"/>
        <v>12.906552241609106</v>
      </c>
      <c r="I61" s="229">
        <f t="shared" si="19"/>
        <v>-3.9809967650277969</v>
      </c>
      <c r="J61" s="229">
        <f t="shared" si="19"/>
        <v>-5.5402306033463873</v>
      </c>
      <c r="K61" s="229">
        <f t="shared" si="19"/>
        <v>8.5751816471274935</v>
      </c>
      <c r="L61" s="229">
        <f t="shared" si="19"/>
        <v>-1.8200624181215659</v>
      </c>
    </row>
    <row r="62" spans="1:17">
      <c r="B62" s="1">
        <v>1987</v>
      </c>
      <c r="C62" s="229">
        <f t="shared" si="19"/>
        <v>-32.811163660352591</v>
      </c>
      <c r="D62" s="229">
        <f t="shared" si="19"/>
        <v>-22.858515021762713</v>
      </c>
      <c r="E62" s="229">
        <f t="shared" si="19"/>
        <v>-14.305333397526326</v>
      </c>
      <c r="F62" s="229">
        <f t="shared" si="19"/>
        <v>-20.701897717487071</v>
      </c>
      <c r="G62" s="229">
        <f t="shared" si="19"/>
        <v>-9.9556811872437692</v>
      </c>
      <c r="H62" s="229">
        <f t="shared" si="19"/>
        <v>13.598158917838049</v>
      </c>
      <c r="I62" s="229">
        <f t="shared" si="19"/>
        <v>-6.0223904220967484</v>
      </c>
      <c r="J62" s="229">
        <f t="shared" si="19"/>
        <v>-16.107751778030945</v>
      </c>
      <c r="K62" s="229">
        <f t="shared" si="19"/>
        <v>4.7284953119925746</v>
      </c>
      <c r="L62" s="229">
        <f t="shared" si="19"/>
        <v>-2.452474409192007E-2</v>
      </c>
    </row>
    <row r="63" spans="1:17">
      <c r="B63" s="1">
        <v>1988</v>
      </c>
      <c r="C63" s="229">
        <f t="shared" si="19"/>
        <v>-31.567083619848731</v>
      </c>
      <c r="D63" s="229">
        <f t="shared" si="19"/>
        <v>-21.395224741506908</v>
      </c>
      <c r="E63" s="229">
        <f t="shared" si="19"/>
        <v>-14.702783967478837</v>
      </c>
      <c r="F63" s="229">
        <f t="shared" si="19"/>
        <v>-20.592703989561898</v>
      </c>
      <c r="G63" s="229">
        <f t="shared" si="19"/>
        <v>-10.705107468900039</v>
      </c>
      <c r="H63" s="229">
        <f t="shared" si="19"/>
        <v>13.443071837421343</v>
      </c>
      <c r="I63" s="229">
        <f t="shared" si="19"/>
        <v>-7.5851430041474401</v>
      </c>
      <c r="J63" s="229">
        <f t="shared" si="19"/>
        <v>-17.197033847117098</v>
      </c>
      <c r="K63" s="229">
        <f t="shared" si="19"/>
        <v>6.7925966673578984</v>
      </c>
      <c r="L63" s="229">
        <f t="shared" si="19"/>
        <v>-0.21676098569024305</v>
      </c>
    </row>
    <row r="64" spans="1:17">
      <c r="B64" s="1">
        <v>1989</v>
      </c>
      <c r="C64" s="229">
        <f t="shared" si="19"/>
        <v>-30.354238863458349</v>
      </c>
      <c r="D64" s="229">
        <f t="shared" si="19"/>
        <v>-20.957029867206842</v>
      </c>
      <c r="E64" s="229">
        <f t="shared" si="19"/>
        <v>-14.284777324342201</v>
      </c>
      <c r="F64" s="229">
        <f t="shared" si="19"/>
        <v>-20.479994974573728</v>
      </c>
      <c r="G64" s="229">
        <f t="shared" si="19"/>
        <v>-10.421490667737515</v>
      </c>
      <c r="H64" s="229">
        <f t="shared" si="19"/>
        <v>12.722018191779654</v>
      </c>
      <c r="I64" s="229">
        <f t="shared" si="19"/>
        <v>-8.2204007591876547</v>
      </c>
      <c r="J64" s="229">
        <f t="shared" si="19"/>
        <v>-18.003375137062662</v>
      </c>
      <c r="K64" s="229">
        <f t="shared" si="19"/>
        <v>6.2139517888437439</v>
      </c>
      <c r="L64" s="229">
        <f t="shared" si="19"/>
        <v>2.0797758614730526</v>
      </c>
    </row>
    <row r="65" spans="2:12">
      <c r="B65" s="1">
        <v>1990</v>
      </c>
      <c r="C65" s="229">
        <f t="shared" si="19"/>
        <v>-28.098341339386437</v>
      </c>
      <c r="D65" s="229">
        <f t="shared" si="19"/>
        <v>-20.355519108868947</v>
      </c>
      <c r="E65" s="229">
        <f t="shared" si="19"/>
        <v>-13.710376208044423</v>
      </c>
      <c r="F65" s="229">
        <f t="shared" si="19"/>
        <v>-20.073995776143491</v>
      </c>
      <c r="G65" s="229">
        <f t="shared" si="19"/>
        <v>-9.2740619385894263</v>
      </c>
      <c r="H65" s="229">
        <f t="shared" si="19"/>
        <v>10.380510369641542</v>
      </c>
      <c r="I65" s="229">
        <f t="shared" si="19"/>
        <v>-6.0173299195909067</v>
      </c>
      <c r="J65" s="229">
        <f t="shared" si="19"/>
        <v>-14.153170898183731</v>
      </c>
      <c r="K65" s="229">
        <f t="shared" si="19"/>
        <v>6.5508882993656101</v>
      </c>
      <c r="L65" s="229">
        <f t="shared" si="19"/>
        <v>3.3025626523004945</v>
      </c>
    </row>
    <row r="66" spans="2:12">
      <c r="B66" s="1">
        <v>1991</v>
      </c>
      <c r="C66" s="229">
        <f t="shared" si="19"/>
        <v>-26.874866510436092</v>
      </c>
      <c r="D66" s="229">
        <f t="shared" si="19"/>
        <v>-20.122252482200508</v>
      </c>
      <c r="E66" s="229">
        <f t="shared" si="19"/>
        <v>-12.973332650401829</v>
      </c>
      <c r="F66" s="229">
        <f t="shared" si="19"/>
        <v>-19.489478818552072</v>
      </c>
      <c r="G66" s="229">
        <f t="shared" si="19"/>
        <v>-10.423890020722027</v>
      </c>
      <c r="H66" s="229">
        <f t="shared" si="19"/>
        <v>10.522866105986921</v>
      </c>
      <c r="I66" s="229">
        <f t="shared" si="19"/>
        <v>-6.6534768796646802</v>
      </c>
      <c r="J66" s="229">
        <f t="shared" si="19"/>
        <v>-13.287691908338445</v>
      </c>
      <c r="K66" s="229">
        <f t="shared" si="19"/>
        <v>7.1732708780999843</v>
      </c>
      <c r="L66" s="229">
        <f t="shared" si="19"/>
        <v>3.6780393064969559</v>
      </c>
    </row>
    <row r="67" spans="2:12">
      <c r="B67" s="1">
        <v>1992</v>
      </c>
      <c r="C67" s="229">
        <f t="shared" si="19"/>
        <v>-26.056874372008892</v>
      </c>
      <c r="D67" s="229">
        <f t="shared" si="19"/>
        <v>-19.09691317027287</v>
      </c>
      <c r="E67" s="229">
        <f t="shared" si="19"/>
        <v>-11.689780518824477</v>
      </c>
      <c r="F67" s="229">
        <f t="shared" si="19"/>
        <v>-17.458323073667643</v>
      </c>
      <c r="G67" s="229">
        <f t="shared" si="19"/>
        <v>-10.540886831388008</v>
      </c>
      <c r="H67" s="229">
        <f t="shared" si="19"/>
        <v>10.785889317904747</v>
      </c>
      <c r="I67" s="229">
        <f t="shared" si="19"/>
        <v>-6.0430859793676746</v>
      </c>
      <c r="J67" s="229">
        <f t="shared" si="19"/>
        <v>-15.183573489626951</v>
      </c>
      <c r="K67" s="229">
        <f t="shared" si="19"/>
        <v>6.7198645472103209</v>
      </c>
      <c r="L67" s="229">
        <f t="shared" si="19"/>
        <v>2.6151643800430122</v>
      </c>
    </row>
    <row r="68" spans="2:12">
      <c r="B68" s="1">
        <v>1993</v>
      </c>
      <c r="C68" s="229">
        <f t="shared" si="19"/>
        <v>-24.947730390648573</v>
      </c>
      <c r="D68" s="229">
        <f t="shared" si="19"/>
        <v>-17.219023934040862</v>
      </c>
      <c r="E68" s="229">
        <f t="shared" si="19"/>
        <v>-11.046763090722919</v>
      </c>
      <c r="F68" s="229">
        <f t="shared" si="19"/>
        <v>-16.305328934594954</v>
      </c>
      <c r="G68" s="229">
        <f t="shared" si="19"/>
        <v>-9.1833105510283133</v>
      </c>
      <c r="H68" s="229">
        <f t="shared" si="19"/>
        <v>9.7014871558507281</v>
      </c>
      <c r="I68" s="229">
        <f t="shared" si="19"/>
        <v>-7.6998213042116674</v>
      </c>
      <c r="J68" s="229">
        <f t="shared" si="19"/>
        <v>-15.480984819629285</v>
      </c>
      <c r="K68" s="229">
        <f t="shared" si="19"/>
        <v>8.9954254282058201</v>
      </c>
      <c r="L68" s="229">
        <f t="shared" si="19"/>
        <v>1.4255528148844974</v>
      </c>
    </row>
    <row r="69" spans="2:12">
      <c r="B69" s="1">
        <v>1994</v>
      </c>
      <c r="C69" s="229">
        <f t="shared" si="19"/>
        <v>-24.258942420566143</v>
      </c>
      <c r="D69" s="229">
        <f t="shared" si="19"/>
        <v>-18.585809913778803</v>
      </c>
      <c r="E69" s="229">
        <f t="shared" si="19"/>
        <v>-12.301693225601468</v>
      </c>
      <c r="F69" s="229">
        <f t="shared" si="19"/>
        <v>-15.810673984296528</v>
      </c>
      <c r="G69" s="229">
        <f t="shared" si="19"/>
        <v>-7.8304785543916182</v>
      </c>
      <c r="H69" s="229">
        <f t="shared" si="19"/>
        <v>9.3801879993048232</v>
      </c>
      <c r="I69" s="229">
        <f t="shared" si="19"/>
        <v>-7.7268664876314404</v>
      </c>
      <c r="J69" s="229">
        <f t="shared" si="19"/>
        <v>-16.436316840050608</v>
      </c>
      <c r="K69" s="229">
        <f t="shared" si="19"/>
        <v>7.0258619488480889</v>
      </c>
      <c r="L69" s="229">
        <f t="shared" si="19"/>
        <v>0.16383983294525706</v>
      </c>
    </row>
    <row r="70" spans="2:12">
      <c r="B70" s="1">
        <v>1995</v>
      </c>
      <c r="C70" s="229">
        <f t="shared" si="19"/>
        <v>-23.387897715724066</v>
      </c>
      <c r="D70" s="229">
        <f t="shared" si="19"/>
        <v>-17.8999935465569</v>
      </c>
      <c r="E70" s="229">
        <f t="shared" si="19"/>
        <v>-12.156547964158406</v>
      </c>
      <c r="F70" s="229">
        <f t="shared" si="19"/>
        <v>-14.538980837764953</v>
      </c>
      <c r="G70" s="229">
        <f t="shared" si="19"/>
        <v>-7.5338214717344982</v>
      </c>
      <c r="H70" s="229">
        <f t="shared" si="19"/>
        <v>9.0514526163454718</v>
      </c>
      <c r="I70" s="229">
        <f t="shared" si="19"/>
        <v>-7.7279518464930987</v>
      </c>
      <c r="J70" s="229">
        <f t="shared" si="19"/>
        <v>-13.162016992925416</v>
      </c>
      <c r="K70" s="229">
        <f t="shared" si="19"/>
        <v>6.6536018366540475</v>
      </c>
      <c r="L70" s="229">
        <f t="shared" si="19"/>
        <v>-0.59909705957194603</v>
      </c>
    </row>
    <row r="71" spans="2:12">
      <c r="B71" s="1">
        <v>1996</v>
      </c>
      <c r="C71" s="229">
        <f t="shared" si="19"/>
        <v>-24.504962813350971</v>
      </c>
      <c r="D71" s="229">
        <f t="shared" si="19"/>
        <v>-18.748554421180827</v>
      </c>
      <c r="E71" s="229">
        <f t="shared" si="19"/>
        <v>-13.385025592733484</v>
      </c>
      <c r="F71" s="229">
        <f t="shared" si="19"/>
        <v>-14.70808479571447</v>
      </c>
      <c r="G71" s="229">
        <f t="shared" si="19"/>
        <v>-7.2785784885281259</v>
      </c>
      <c r="H71" s="229">
        <f t="shared" si="19"/>
        <v>8.2734068185149567</v>
      </c>
      <c r="I71" s="229">
        <f t="shared" si="19"/>
        <v>-6.8845225360636277</v>
      </c>
      <c r="J71" s="229">
        <f t="shared" si="19"/>
        <v>-9.8790871876653199</v>
      </c>
      <c r="K71" s="229">
        <f t="shared" si="19"/>
        <v>6.9383569112051617</v>
      </c>
      <c r="L71" s="229">
        <f t="shared" si="19"/>
        <v>-0.8510365062325036</v>
      </c>
    </row>
    <row r="72" spans="2:12">
      <c r="B72" s="1">
        <v>1997</v>
      </c>
      <c r="C72" s="229">
        <f t="shared" si="19"/>
        <v>-25.966823053684749</v>
      </c>
      <c r="D72" s="229">
        <f t="shared" si="19"/>
        <v>-19.316561102816607</v>
      </c>
      <c r="E72" s="229">
        <f t="shared" si="19"/>
        <v>-13.039218149483219</v>
      </c>
      <c r="F72" s="229">
        <f t="shared" si="19"/>
        <v>-15.748799390028296</v>
      </c>
      <c r="G72" s="229">
        <f t="shared" si="19"/>
        <v>-7.6698688405548268</v>
      </c>
      <c r="H72" s="229">
        <f t="shared" si="19"/>
        <v>8.5071183786056537</v>
      </c>
      <c r="I72" s="229">
        <f t="shared" si="19"/>
        <v>-7.8365416654474558</v>
      </c>
      <c r="J72" s="229">
        <f t="shared" si="19"/>
        <v>-13.957087500365034</v>
      </c>
      <c r="K72" s="229">
        <f t="shared" si="19"/>
        <v>10.564978697164179</v>
      </c>
      <c r="L72" s="229">
        <f t="shared" si="19"/>
        <v>-1.4037819494535029</v>
      </c>
    </row>
    <row r="73" spans="2:12">
      <c r="B73" s="1">
        <v>1998</v>
      </c>
      <c r="C73" s="229">
        <f t="shared" ref="C73:L83" si="20">C22-$B22</f>
        <v>-24.561506869949184</v>
      </c>
      <c r="D73" s="229">
        <f t="shared" si="20"/>
        <v>-18.184449324799019</v>
      </c>
      <c r="E73" s="229">
        <f t="shared" si="20"/>
        <v>-11.512896278695393</v>
      </c>
      <c r="F73" s="229">
        <f t="shared" si="20"/>
        <v>-14.322559792610292</v>
      </c>
      <c r="G73" s="229">
        <f t="shared" si="20"/>
        <v>-8.3267670254344068</v>
      </c>
      <c r="H73" s="229">
        <f t="shared" si="20"/>
        <v>8.8470431737544146</v>
      </c>
      <c r="I73" s="229">
        <f t="shared" si="20"/>
        <v>-7.5686499371545182</v>
      </c>
      <c r="J73" s="229">
        <f t="shared" si="20"/>
        <v>-13.737365806162543</v>
      </c>
      <c r="K73" s="229">
        <f t="shared" si="20"/>
        <v>11.369682356078357</v>
      </c>
      <c r="L73" s="229">
        <f t="shared" si="20"/>
        <v>-2.9492061555386471</v>
      </c>
    </row>
    <row r="74" spans="2:12">
      <c r="B74" s="1">
        <v>1999</v>
      </c>
      <c r="C74" s="229">
        <f t="shared" si="20"/>
        <v>-23.209945470541854</v>
      </c>
      <c r="D74" s="229">
        <f t="shared" si="20"/>
        <v>-17.324862056691458</v>
      </c>
      <c r="E74" s="229">
        <f t="shared" si="20"/>
        <v>-10.215172473140697</v>
      </c>
      <c r="F74" s="229">
        <f t="shared" si="20"/>
        <v>-13.210604132930541</v>
      </c>
      <c r="G74" s="229">
        <f t="shared" si="20"/>
        <v>-7.9946690860800516</v>
      </c>
      <c r="H74" s="229">
        <f t="shared" si="20"/>
        <v>9.1482791819584151</v>
      </c>
      <c r="I74" s="229">
        <f t="shared" si="20"/>
        <v>-9.205558613527927</v>
      </c>
      <c r="J74" s="229">
        <f t="shared" si="20"/>
        <v>-13.653878382271856</v>
      </c>
      <c r="K74" s="229">
        <f t="shared" si="20"/>
        <v>8.4531478014076953</v>
      </c>
      <c r="L74" s="229">
        <f t="shared" si="20"/>
        <v>-3.3585069653971971</v>
      </c>
    </row>
    <row r="75" spans="2:12">
      <c r="B75" s="1">
        <v>2000</v>
      </c>
      <c r="C75" s="229">
        <f t="shared" si="20"/>
        <v>-24.035986726036938</v>
      </c>
      <c r="D75" s="229">
        <f t="shared" si="20"/>
        <v>-18.125372619083251</v>
      </c>
      <c r="E75" s="229">
        <f t="shared" si="20"/>
        <v>-12.504166308233096</v>
      </c>
      <c r="F75" s="229">
        <f t="shared" si="20"/>
        <v>-14.912829235223086</v>
      </c>
      <c r="G75" s="229">
        <f t="shared" si="20"/>
        <v>-7.531678680728362</v>
      </c>
      <c r="H75" s="229">
        <f t="shared" si="20"/>
        <v>8.9954578503565159</v>
      </c>
      <c r="I75" s="229">
        <f t="shared" si="20"/>
        <v>-10.231926346187237</v>
      </c>
      <c r="J75" s="229">
        <f t="shared" si="20"/>
        <v>-15.183015505056645</v>
      </c>
      <c r="K75" s="229">
        <f t="shared" si="20"/>
        <v>9.3191355546512682</v>
      </c>
      <c r="L75" s="229">
        <f t="shared" si="20"/>
        <v>-3.4182098953318132</v>
      </c>
    </row>
    <row r="76" spans="2:12">
      <c r="B76" s="1">
        <v>2001</v>
      </c>
      <c r="C76" s="229">
        <f t="shared" si="20"/>
        <v>-21.441103679920175</v>
      </c>
      <c r="D76" s="229">
        <f t="shared" si="20"/>
        <v>-19.209420577514422</v>
      </c>
      <c r="E76" s="229">
        <f t="shared" si="20"/>
        <v>-11.666325890851525</v>
      </c>
      <c r="F76" s="229">
        <f t="shared" si="20"/>
        <v>-14.867598988384984</v>
      </c>
      <c r="G76" s="229">
        <f t="shared" si="20"/>
        <v>-7.123822004527085</v>
      </c>
      <c r="H76" s="229">
        <f t="shared" si="20"/>
        <v>7.2285052573416237</v>
      </c>
      <c r="I76" s="229">
        <f t="shared" si="20"/>
        <v>-10.787523083871079</v>
      </c>
      <c r="J76" s="229">
        <f t="shared" si="20"/>
        <v>-15.813356531153872</v>
      </c>
      <c r="K76" s="229">
        <f t="shared" si="20"/>
        <v>14.860110981869184</v>
      </c>
      <c r="L76" s="229">
        <f t="shared" si="20"/>
        <v>-4.077692618638622</v>
      </c>
    </row>
    <row r="77" spans="2:12">
      <c r="B77" s="1">
        <v>2002</v>
      </c>
      <c r="C77" s="229">
        <f t="shared" si="20"/>
        <v>-19.919993240886186</v>
      </c>
      <c r="D77" s="229">
        <f t="shared" si="20"/>
        <v>-16.869383712477315</v>
      </c>
      <c r="E77" s="229">
        <f t="shared" si="20"/>
        <v>-11.310999448792074</v>
      </c>
      <c r="F77" s="229">
        <f t="shared" si="20"/>
        <v>-14.802039277429728</v>
      </c>
      <c r="G77" s="229">
        <f t="shared" si="20"/>
        <v>-6.4869284679006256</v>
      </c>
      <c r="H77" s="229">
        <f t="shared" si="20"/>
        <v>6.5765088128288482</v>
      </c>
      <c r="I77" s="229">
        <f t="shared" si="20"/>
        <v>-9.396469488286769</v>
      </c>
      <c r="J77" s="229">
        <f t="shared" si="20"/>
        <v>-15.45404901816832</v>
      </c>
      <c r="K77" s="229">
        <f t="shared" si="20"/>
        <v>12.698446245719381</v>
      </c>
      <c r="L77" s="229">
        <f t="shared" si="20"/>
        <v>-3.4345298647743618</v>
      </c>
    </row>
    <row r="78" spans="2:12">
      <c r="B78" s="1">
        <v>2003</v>
      </c>
      <c r="C78" s="229">
        <f t="shared" si="20"/>
        <v>-18.639283532766854</v>
      </c>
      <c r="D78" s="229">
        <f t="shared" si="20"/>
        <v>-18.276744630211255</v>
      </c>
      <c r="E78" s="229">
        <f t="shared" si="20"/>
        <v>-12.00151789537469</v>
      </c>
      <c r="F78" s="229">
        <f t="shared" si="20"/>
        <v>-14.676814735827634</v>
      </c>
      <c r="G78" s="229">
        <f t="shared" si="20"/>
        <v>-5.280885063053617</v>
      </c>
      <c r="H78" s="229">
        <f t="shared" si="20"/>
        <v>5.8161974561663072</v>
      </c>
      <c r="I78" s="229">
        <f t="shared" si="20"/>
        <v>-8.7461980589036159</v>
      </c>
      <c r="J78" s="229">
        <f t="shared" si="20"/>
        <v>-12.930804158183179</v>
      </c>
      <c r="K78" s="229">
        <f t="shared" si="20"/>
        <v>10.981558801352904</v>
      </c>
      <c r="L78" s="229">
        <f t="shared" si="20"/>
        <v>-2.9562330755637447</v>
      </c>
    </row>
    <row r="79" spans="2:12">
      <c r="B79" s="1">
        <v>2004</v>
      </c>
      <c r="C79" s="229">
        <f t="shared" si="20"/>
        <v>-19.449500988466653</v>
      </c>
      <c r="D79" s="229">
        <f t="shared" si="20"/>
        <v>-19.773492265059616</v>
      </c>
      <c r="E79" s="229">
        <f t="shared" si="20"/>
        <v>-12.765837871282926</v>
      </c>
      <c r="F79" s="229">
        <f t="shared" si="20"/>
        <v>-14.169061142191538</v>
      </c>
      <c r="G79" s="229">
        <f t="shared" si="20"/>
        <v>-5.9676529163186274</v>
      </c>
      <c r="H79" s="229">
        <f t="shared" si="20"/>
        <v>5.132549932782922</v>
      </c>
      <c r="I79" s="229">
        <f t="shared" si="20"/>
        <v>-9.1169595390631031</v>
      </c>
      <c r="J79" s="229">
        <f t="shared" si="20"/>
        <v>-11.253268696084831</v>
      </c>
      <c r="K79" s="229">
        <f t="shared" si="20"/>
        <v>14.173622147085595</v>
      </c>
      <c r="L79" s="229">
        <f t="shared" si="20"/>
        <v>-2.4766460319074071</v>
      </c>
    </row>
    <row r="80" spans="2:12">
      <c r="B80" s="1">
        <v>2005</v>
      </c>
      <c r="C80" s="229">
        <f t="shared" si="20"/>
        <v>-20.181846041932104</v>
      </c>
      <c r="D80" s="229">
        <f t="shared" si="20"/>
        <v>-21.197335912698236</v>
      </c>
      <c r="E80" s="229">
        <f t="shared" si="20"/>
        <v>-12.53090601763266</v>
      </c>
      <c r="F80" s="229">
        <f t="shared" si="20"/>
        <v>-14.776631435241498</v>
      </c>
      <c r="G80" s="229">
        <f t="shared" si="20"/>
        <v>-7.0579561755162956</v>
      </c>
      <c r="H80" s="229">
        <f t="shared" si="20"/>
        <v>4.3245610948947899</v>
      </c>
      <c r="I80" s="229">
        <f t="shared" si="20"/>
        <v>-10.48549332567606</v>
      </c>
      <c r="J80" s="229">
        <f t="shared" si="20"/>
        <v>-12.645499515325</v>
      </c>
      <c r="K80" s="229">
        <f t="shared" si="20"/>
        <v>19.018511092141807</v>
      </c>
      <c r="L80" s="229">
        <f t="shared" si="20"/>
        <v>-1.7593329516924854</v>
      </c>
    </row>
    <row r="81" spans="2:12">
      <c r="B81" s="1">
        <v>2006</v>
      </c>
      <c r="C81" s="229">
        <f t="shared" si="20"/>
        <v>-8.5400843088838059</v>
      </c>
      <c r="D81" s="229">
        <f t="shared" si="20"/>
        <v>-21.971491197949518</v>
      </c>
      <c r="E81" s="229">
        <f t="shared" si="20"/>
        <v>-14.100592236288662</v>
      </c>
      <c r="F81" s="229">
        <f t="shared" si="20"/>
        <v>-15.72134654650354</v>
      </c>
      <c r="G81" s="229">
        <f t="shared" si="20"/>
        <v>-8.3134003566364783</v>
      </c>
      <c r="H81" s="229">
        <f t="shared" si="20"/>
        <v>3.1796891726870911</v>
      </c>
      <c r="I81" s="229">
        <f t="shared" si="20"/>
        <v>-10.97514939184282</v>
      </c>
      <c r="J81" s="229">
        <f t="shared" si="20"/>
        <v>-12.683822148804353</v>
      </c>
      <c r="K81" s="229">
        <f t="shared" si="20"/>
        <v>21.856922997208912</v>
      </c>
      <c r="L81" s="229">
        <f t="shared" si="20"/>
        <v>-0.13919002147638082</v>
      </c>
    </row>
    <row r="82" spans="2:12">
      <c r="B82" s="1">
        <v>2007</v>
      </c>
      <c r="C82" s="229">
        <f t="shared" si="20"/>
        <v>-12.490269898299772</v>
      </c>
      <c r="D82" s="229">
        <f t="shared" si="20"/>
        <v>-21.798626323072753</v>
      </c>
      <c r="E82" s="229">
        <f t="shared" si="20"/>
        <v>-13.95867698532571</v>
      </c>
      <c r="F82" s="229">
        <f t="shared" si="20"/>
        <v>-15.579168293227781</v>
      </c>
      <c r="G82" s="229">
        <f t="shared" si="20"/>
        <v>-7.6573228562462674</v>
      </c>
      <c r="H82" s="229">
        <f t="shared" si="20"/>
        <v>2.6188619071432271</v>
      </c>
      <c r="I82" s="229">
        <f t="shared" si="20"/>
        <v>-9.8083726731684919</v>
      </c>
      <c r="J82" s="229">
        <f t="shared" si="20"/>
        <v>-10.601597783582989</v>
      </c>
      <c r="K82" s="229">
        <f t="shared" si="20"/>
        <v>20.634876357380278</v>
      </c>
      <c r="L82" s="229">
        <f t="shared" si="20"/>
        <v>0.34006495642321966</v>
      </c>
    </row>
    <row r="83" spans="2:12">
      <c r="B83" s="1">
        <v>2008</v>
      </c>
      <c r="C83" s="229">
        <f t="shared" si="20"/>
        <v>-17.392376252660299</v>
      </c>
      <c r="D83" s="229">
        <f t="shared" si="20"/>
        <v>-23.712812987301874</v>
      </c>
      <c r="E83" s="229">
        <f t="shared" si="20"/>
        <v>-14.706042855723112</v>
      </c>
      <c r="F83" s="229">
        <f t="shared" si="20"/>
        <v>-15.016105985040838</v>
      </c>
      <c r="G83" s="229">
        <f t="shared" si="20"/>
        <v>-8.2495659687830738</v>
      </c>
      <c r="H83" s="229">
        <f t="shared" si="20"/>
        <v>1.927895284392207</v>
      </c>
      <c r="I83" s="229">
        <f t="shared" si="20"/>
        <v>-9.0245765396664126</v>
      </c>
      <c r="J83" s="229">
        <f t="shared" si="20"/>
        <v>-5.4576954345077553</v>
      </c>
      <c r="K83" s="229">
        <f t="shared" si="20"/>
        <v>22.461920329166631</v>
      </c>
      <c r="L83" s="229">
        <f t="shared" si="20"/>
        <v>0.48539785228784638</v>
      </c>
    </row>
    <row r="84" spans="2:12">
      <c r="B84" s="1" t="s">
        <v>280</v>
      </c>
    </row>
    <row r="85" spans="2:12">
      <c r="B85" s="1">
        <v>1981</v>
      </c>
      <c r="C85" s="121">
        <f>C56^2</f>
        <v>1406.2561100293274</v>
      </c>
      <c r="D85" s="121">
        <f t="shared" ref="D85:L85" si="21">D56^2</f>
        <v>1065.7147801636509</v>
      </c>
      <c r="E85" s="121">
        <f t="shared" si="21"/>
        <v>441.05993067826199</v>
      </c>
      <c r="F85" s="121">
        <f t="shared" si="21"/>
        <v>734.5925025849848</v>
      </c>
      <c r="G85" s="121">
        <f t="shared" si="21"/>
        <v>101.01477266574068</v>
      </c>
      <c r="H85" s="121">
        <f t="shared" si="21"/>
        <v>72.331689336475009</v>
      </c>
      <c r="I85" s="121">
        <f t="shared" si="21"/>
        <v>46.034032609686165</v>
      </c>
      <c r="J85" s="121">
        <f t="shared" si="21"/>
        <v>45.478900259646998</v>
      </c>
      <c r="K85" s="121">
        <f t="shared" si="21"/>
        <v>296.21736045959062</v>
      </c>
      <c r="L85" s="121">
        <f t="shared" si="21"/>
        <v>54.803713635060753</v>
      </c>
    </row>
    <row r="86" spans="2:12">
      <c r="B86" s="1">
        <v>1982</v>
      </c>
      <c r="C86" s="121">
        <f t="shared" ref="C86:L101" si="22">C57^2</f>
        <v>1291.1646375016007</v>
      </c>
      <c r="D86" s="121">
        <f t="shared" si="22"/>
        <v>863.54312122726981</v>
      </c>
      <c r="E86" s="121">
        <f t="shared" si="22"/>
        <v>349.24064833779744</v>
      </c>
      <c r="F86" s="121">
        <f t="shared" si="22"/>
        <v>578.839866814228</v>
      </c>
      <c r="G86" s="121">
        <f t="shared" si="22"/>
        <v>136.08515083107315</v>
      </c>
      <c r="H86" s="121">
        <f t="shared" si="22"/>
        <v>106.33449976382698</v>
      </c>
      <c r="I86" s="121">
        <f t="shared" si="22"/>
        <v>12.373559510230493</v>
      </c>
      <c r="J86" s="121">
        <f t="shared" si="22"/>
        <v>11.149603990639136</v>
      </c>
      <c r="K86" s="121">
        <f t="shared" si="22"/>
        <v>199.01402694297036</v>
      </c>
      <c r="L86" s="121">
        <f t="shared" si="22"/>
        <v>26.119227747235978</v>
      </c>
    </row>
    <row r="87" spans="2:12">
      <c r="B87" s="1">
        <v>1983</v>
      </c>
      <c r="C87" s="121">
        <f t="shared" si="22"/>
        <v>1354.1721877792093</v>
      </c>
      <c r="D87" s="121">
        <f t="shared" si="22"/>
        <v>714.03906008294666</v>
      </c>
      <c r="E87" s="121">
        <f t="shared" si="22"/>
        <v>301.6329063919556</v>
      </c>
      <c r="F87" s="121">
        <f t="shared" si="22"/>
        <v>550.53931628892622</v>
      </c>
      <c r="G87" s="121">
        <f t="shared" si="22"/>
        <v>129.45031220246031</v>
      </c>
      <c r="H87" s="121">
        <f t="shared" si="22"/>
        <v>147.64701381214019</v>
      </c>
      <c r="I87" s="121">
        <f t="shared" si="22"/>
        <v>47.499048803262419</v>
      </c>
      <c r="J87" s="121">
        <f t="shared" si="22"/>
        <v>64.543986933252725</v>
      </c>
      <c r="K87" s="121">
        <f t="shared" si="22"/>
        <v>126.37366825152201</v>
      </c>
      <c r="L87" s="121">
        <f t="shared" si="22"/>
        <v>9.3934384892314693</v>
      </c>
    </row>
    <row r="88" spans="2:12">
      <c r="B88" s="1">
        <v>1984</v>
      </c>
      <c r="C88" s="121">
        <f t="shared" si="22"/>
        <v>1483.8712387902301</v>
      </c>
      <c r="D88" s="121">
        <f t="shared" si="22"/>
        <v>797.14762746751512</v>
      </c>
      <c r="E88" s="121">
        <f t="shared" si="22"/>
        <v>291.1562158173287</v>
      </c>
      <c r="F88" s="121">
        <f t="shared" si="22"/>
        <v>568.0104647596952</v>
      </c>
      <c r="G88" s="121">
        <f t="shared" si="22"/>
        <v>95.956171664335756</v>
      </c>
      <c r="H88" s="121">
        <f t="shared" si="22"/>
        <v>154.81213318330316</v>
      </c>
      <c r="I88" s="121">
        <f t="shared" si="22"/>
        <v>7.3012003886156025</v>
      </c>
      <c r="J88" s="121">
        <f t="shared" si="22"/>
        <v>93.327269007912449</v>
      </c>
      <c r="K88" s="121">
        <f t="shared" si="22"/>
        <v>83.510896516500395</v>
      </c>
      <c r="L88" s="121">
        <f t="shared" si="22"/>
        <v>3.1785545279963905E-2</v>
      </c>
    </row>
    <row r="89" spans="2:12">
      <c r="B89" s="1">
        <v>1985</v>
      </c>
      <c r="C89" s="121">
        <f t="shared" si="22"/>
        <v>1497.8185934057813</v>
      </c>
      <c r="D89" s="121">
        <f t="shared" si="22"/>
        <v>854.00505768844016</v>
      </c>
      <c r="E89" s="121">
        <f t="shared" si="22"/>
        <v>273.92961250834145</v>
      </c>
      <c r="F89" s="121">
        <f t="shared" si="22"/>
        <v>626.86185978382696</v>
      </c>
      <c r="G89" s="121">
        <f t="shared" si="22"/>
        <v>109.50283352507238</v>
      </c>
      <c r="H89" s="121">
        <f t="shared" si="22"/>
        <v>157.89634989071024</v>
      </c>
      <c r="I89" s="121">
        <f t="shared" si="22"/>
        <v>6.4194936717178424</v>
      </c>
      <c r="J89" s="121">
        <f t="shared" si="22"/>
        <v>109.10192315504698</v>
      </c>
      <c r="K89" s="121">
        <f t="shared" si="22"/>
        <v>148.89707217645616</v>
      </c>
      <c r="L89" s="121">
        <f t="shared" si="22"/>
        <v>1.2416637527288921</v>
      </c>
    </row>
    <row r="90" spans="2:12">
      <c r="B90" s="1">
        <v>1986</v>
      </c>
      <c r="C90" s="121">
        <f t="shared" si="22"/>
        <v>1337.2649389878768</v>
      </c>
      <c r="D90" s="121">
        <f t="shared" si="22"/>
        <v>556.54489072371712</v>
      </c>
      <c r="E90" s="121">
        <f t="shared" si="22"/>
        <v>253.55629758612545</v>
      </c>
      <c r="F90" s="121">
        <f t="shared" si="22"/>
        <v>513.38064799673828</v>
      </c>
      <c r="G90" s="121">
        <f t="shared" si="22"/>
        <v>115.05829710828429</v>
      </c>
      <c r="H90" s="121">
        <f t="shared" si="22"/>
        <v>166.57909076538502</v>
      </c>
      <c r="I90" s="121">
        <f t="shared" si="22"/>
        <v>15.848335243161785</v>
      </c>
      <c r="J90" s="121">
        <f t="shared" si="22"/>
        <v>30.694155138255873</v>
      </c>
      <c r="K90" s="121">
        <f t="shared" si="22"/>
        <v>73.533740281232198</v>
      </c>
      <c r="L90" s="121">
        <f t="shared" si="22"/>
        <v>3.3126272058585218</v>
      </c>
    </row>
    <row r="91" spans="2:12">
      <c r="B91" s="1">
        <v>1987</v>
      </c>
      <c r="C91" s="121">
        <f t="shared" si="22"/>
        <v>1076.5724607464424</v>
      </c>
      <c r="D91" s="121">
        <f t="shared" si="22"/>
        <v>522.51170900015165</v>
      </c>
      <c r="E91" s="121">
        <f t="shared" si="22"/>
        <v>204.64256361438208</v>
      </c>
      <c r="F91" s="121">
        <f t="shared" si="22"/>
        <v>428.56856910529643</v>
      </c>
      <c r="G91" s="121">
        <f t="shared" si="22"/>
        <v>99.115587902039508</v>
      </c>
      <c r="H91" s="121">
        <f t="shared" si="22"/>
        <v>184.90992595477846</v>
      </c>
      <c r="I91" s="121">
        <f t="shared" si="22"/>
        <v>36.269186396162652</v>
      </c>
      <c r="J91" s="121">
        <f t="shared" si="22"/>
        <v>259.45966734265909</v>
      </c>
      <c r="K91" s="121">
        <f t="shared" si="22"/>
        <v>22.358667915535754</v>
      </c>
      <c r="L91" s="121">
        <f t="shared" si="22"/>
        <v>6.0146307277416842E-4</v>
      </c>
    </row>
    <row r="92" spans="2:12">
      <c r="B92" s="1">
        <v>1988</v>
      </c>
      <c r="C92" s="121">
        <f t="shared" si="22"/>
        <v>996.48076826252202</v>
      </c>
      <c r="D92" s="121">
        <f t="shared" si="22"/>
        <v>457.75564173958935</v>
      </c>
      <c r="E92" s="121">
        <f t="shared" si="22"/>
        <v>216.17185639435272</v>
      </c>
      <c r="F92" s="121">
        <f t="shared" si="22"/>
        <v>424.05945760171846</v>
      </c>
      <c r="G92" s="121">
        <f t="shared" si="22"/>
        <v>114.5993259206994</v>
      </c>
      <c r="H92" s="121">
        <f t="shared" si="22"/>
        <v>180.71618042607085</v>
      </c>
      <c r="I92" s="121">
        <f t="shared" si="22"/>
        <v>57.534394393366853</v>
      </c>
      <c r="J92" s="121">
        <f t="shared" si="22"/>
        <v>295.73797313889111</v>
      </c>
      <c r="K92" s="121">
        <f t="shared" si="22"/>
        <v>46.13936948540163</v>
      </c>
      <c r="L92" s="121">
        <f t="shared" si="22"/>
        <v>4.6985324917405751E-2</v>
      </c>
    </row>
    <row r="93" spans="2:12">
      <c r="B93" s="1">
        <v>1989</v>
      </c>
      <c r="C93" s="121">
        <f t="shared" si="22"/>
        <v>921.37981697988516</v>
      </c>
      <c r="D93" s="121">
        <f t="shared" si="22"/>
        <v>439.19710085499963</v>
      </c>
      <c r="E93" s="121">
        <f t="shared" si="22"/>
        <v>204.05486320604115</v>
      </c>
      <c r="F93" s="121">
        <f t="shared" si="22"/>
        <v>419.43019415856514</v>
      </c>
      <c r="G93" s="121">
        <f t="shared" si="22"/>
        <v>108.60746773774012</v>
      </c>
      <c r="H93" s="121">
        <f t="shared" si="22"/>
        <v>161.84974687197246</v>
      </c>
      <c r="I93" s="121">
        <f t="shared" si="22"/>
        <v>67.574988641652965</v>
      </c>
      <c r="J93" s="121">
        <f t="shared" si="22"/>
        <v>324.121516325806</v>
      </c>
      <c r="K93" s="121">
        <f t="shared" si="22"/>
        <v>38.613196834074365</v>
      </c>
      <c r="L93" s="121">
        <f t="shared" si="22"/>
        <v>4.3254676339659781</v>
      </c>
    </row>
    <row r="94" spans="2:12">
      <c r="B94" s="1">
        <v>1990</v>
      </c>
      <c r="C94" s="121">
        <f t="shared" si="22"/>
        <v>789.5167860246728</v>
      </c>
      <c r="D94" s="121">
        <f t="shared" si="22"/>
        <v>414.34715819152882</v>
      </c>
      <c r="E94" s="121">
        <f t="shared" si="22"/>
        <v>187.97441576611055</v>
      </c>
      <c r="F94" s="121">
        <f t="shared" si="22"/>
        <v>402.96530642062669</v>
      </c>
      <c r="G94" s="121">
        <f t="shared" si="22"/>
        <v>86.008224840793062</v>
      </c>
      <c r="H94" s="121">
        <f t="shared" si="22"/>
        <v>107.75499553423558</v>
      </c>
      <c r="I94" s="121">
        <f t="shared" si="22"/>
        <v>36.208259361203908</v>
      </c>
      <c r="J94" s="121">
        <f t="shared" si="22"/>
        <v>200.31224647319488</v>
      </c>
      <c r="K94" s="121">
        <f t="shared" si="22"/>
        <v>42.914137510765258</v>
      </c>
      <c r="L94" s="121">
        <f t="shared" si="22"/>
        <v>10.906920072370077</v>
      </c>
    </row>
    <row r="95" spans="2:12">
      <c r="B95" s="1">
        <v>1991</v>
      </c>
      <c r="C95" s="121">
        <f t="shared" si="22"/>
        <v>722.2584499537594</v>
      </c>
      <c r="D95" s="121">
        <f t="shared" si="22"/>
        <v>404.90504495742454</v>
      </c>
      <c r="E95" s="121">
        <f t="shared" si="22"/>
        <v>168.30736005798215</v>
      </c>
      <c r="F95" s="121">
        <f t="shared" si="22"/>
        <v>379.83978461878991</v>
      </c>
      <c r="G95" s="121">
        <f t="shared" si="22"/>
        <v>108.65748316410826</v>
      </c>
      <c r="H95" s="121">
        <f t="shared" si="22"/>
        <v>110.73071108452835</v>
      </c>
      <c r="I95" s="121">
        <f t="shared" si="22"/>
        <v>44.268754588232447</v>
      </c>
      <c r="J95" s="121">
        <f t="shared" si="22"/>
        <v>176.56275625092297</v>
      </c>
      <c r="K95" s="121">
        <f t="shared" si="22"/>
        <v>51.455815090597319</v>
      </c>
      <c r="L95" s="121">
        <f t="shared" si="22"/>
        <v>13.527973140136607</v>
      </c>
    </row>
    <row r="96" spans="2:12">
      <c r="B96" s="1">
        <v>1992</v>
      </c>
      <c r="C96" s="121">
        <f t="shared" si="22"/>
        <v>678.96070203865384</v>
      </c>
      <c r="D96" s="121">
        <f t="shared" si="22"/>
        <v>364.69209263294141</v>
      </c>
      <c r="E96" s="121">
        <f t="shared" si="22"/>
        <v>136.65096857828826</v>
      </c>
      <c r="F96" s="121">
        <f t="shared" si="22"/>
        <v>304.79304454455598</v>
      </c>
      <c r="G96" s="121">
        <f t="shared" si="22"/>
        <v>111.11029519212912</v>
      </c>
      <c r="H96" s="121">
        <f t="shared" si="22"/>
        <v>116.33540837809173</v>
      </c>
      <c r="I96" s="121">
        <f t="shared" si="22"/>
        <v>36.518888154030165</v>
      </c>
      <c r="J96" s="121">
        <f t="shared" si="22"/>
        <v>230.54090391490237</v>
      </c>
      <c r="K96" s="121">
        <f t="shared" si="22"/>
        <v>45.156579532854174</v>
      </c>
      <c r="L96" s="121">
        <f t="shared" si="22"/>
        <v>6.8390847346457528</v>
      </c>
    </row>
    <row r="97" spans="2:12">
      <c r="B97" s="1">
        <v>1993</v>
      </c>
      <c r="C97" s="121">
        <f t="shared" si="22"/>
        <v>622.3892516444904</v>
      </c>
      <c r="D97" s="121">
        <f t="shared" si="22"/>
        <v>296.49478524107207</v>
      </c>
      <c r="E97" s="121">
        <f t="shared" si="22"/>
        <v>122.03097478255819</v>
      </c>
      <c r="F97" s="121">
        <f t="shared" si="22"/>
        <v>265.86375166533941</v>
      </c>
      <c r="G97" s="121">
        <f t="shared" si="22"/>
        <v>84.333192676627945</v>
      </c>
      <c r="H97" s="121">
        <f t="shared" si="22"/>
        <v>94.118853035136652</v>
      </c>
      <c r="I97" s="121">
        <f t="shared" si="22"/>
        <v>59.287248116791865</v>
      </c>
      <c r="J97" s="121">
        <f t="shared" si="22"/>
        <v>239.66089098559235</v>
      </c>
      <c r="K97" s="121">
        <f t="shared" si="22"/>
        <v>80.917678634411857</v>
      </c>
      <c r="L97" s="121">
        <f t="shared" si="22"/>
        <v>2.0322008280251138</v>
      </c>
    </row>
    <row r="98" spans="2:12">
      <c r="B98" s="1">
        <v>1994</v>
      </c>
      <c r="C98" s="121">
        <f t="shared" si="22"/>
        <v>588.49628736434352</v>
      </c>
      <c r="D98" s="121">
        <f t="shared" si="22"/>
        <v>345.43233015111844</v>
      </c>
      <c r="E98" s="121">
        <f t="shared" si="22"/>
        <v>151.33165621680905</v>
      </c>
      <c r="F98" s="121">
        <f t="shared" si="22"/>
        <v>249.97741183771106</v>
      </c>
      <c r="G98" s="121">
        <f t="shared" si="22"/>
        <v>61.316394390787046</v>
      </c>
      <c r="H98" s="121">
        <f t="shared" si="22"/>
        <v>87.98792690230222</v>
      </c>
      <c r="I98" s="121">
        <f t="shared" si="22"/>
        <v>59.704465717681835</v>
      </c>
      <c r="J98" s="121">
        <f t="shared" si="22"/>
        <v>270.15251126653123</v>
      </c>
      <c r="K98" s="121">
        <f t="shared" si="22"/>
        <v>49.362736124271464</v>
      </c>
      <c r="L98" s="121">
        <f t="shared" si="22"/>
        <v>2.684349085952974E-2</v>
      </c>
    </row>
    <row r="99" spans="2:12">
      <c r="B99" s="1">
        <v>1995</v>
      </c>
      <c r="C99" s="121">
        <f t="shared" si="22"/>
        <v>546.99375956117092</v>
      </c>
      <c r="D99" s="121">
        <f t="shared" si="22"/>
        <v>320.40976896677864</v>
      </c>
      <c r="E99" s="121">
        <f t="shared" si="22"/>
        <v>147.7816584048839</v>
      </c>
      <c r="F99" s="121">
        <f t="shared" si="22"/>
        <v>211.3819638008965</v>
      </c>
      <c r="G99" s="121">
        <f t="shared" si="22"/>
        <v>56.758465967967759</v>
      </c>
      <c r="H99" s="121">
        <f t="shared" si="22"/>
        <v>81.928794465947291</v>
      </c>
      <c r="I99" s="121">
        <f t="shared" si="22"/>
        <v>59.721239741716097</v>
      </c>
      <c r="J99" s="121">
        <f t="shared" si="22"/>
        <v>173.23869132205741</v>
      </c>
      <c r="K99" s="121">
        <f t="shared" si="22"/>
        <v>44.270417400726117</v>
      </c>
      <c r="L99" s="121">
        <f t="shared" si="22"/>
        <v>0.35891728678775187</v>
      </c>
    </row>
    <row r="100" spans="2:12">
      <c r="B100" s="1">
        <v>1996</v>
      </c>
      <c r="C100" s="121">
        <f t="shared" si="22"/>
        <v>600.49320248371396</v>
      </c>
      <c r="D100" s="121">
        <f t="shared" si="22"/>
        <v>351.50829288397915</v>
      </c>
      <c r="E100" s="121">
        <f t="shared" si="22"/>
        <v>179.15891011813036</v>
      </c>
      <c r="F100" s="121">
        <f t="shared" si="22"/>
        <v>216.32775835792717</v>
      </c>
      <c r="G100" s="121">
        <f t="shared" si="22"/>
        <v>52.977704813664381</v>
      </c>
      <c r="H100" s="121">
        <f t="shared" si="22"/>
        <v>68.449260384649776</v>
      </c>
      <c r="I100" s="121">
        <f t="shared" si="22"/>
        <v>47.396650549567966</v>
      </c>
      <c r="J100" s="121">
        <f t="shared" si="22"/>
        <v>97.596363661493086</v>
      </c>
      <c r="K100" s="121">
        <f t="shared" si="22"/>
        <v>48.140796627268429</v>
      </c>
      <c r="L100" s="121">
        <f t="shared" si="22"/>
        <v>0.72426313494042616</v>
      </c>
    </row>
    <row r="101" spans="2:12">
      <c r="B101" s="1">
        <v>1997</v>
      </c>
      <c r="C101" s="121">
        <f t="shared" si="22"/>
        <v>674.27589950137371</v>
      </c>
      <c r="D101" s="121">
        <f t="shared" si="22"/>
        <v>373.12953283884752</v>
      </c>
      <c r="E101" s="121">
        <f t="shared" si="22"/>
        <v>170.02120994981257</v>
      </c>
      <c r="F101" s="121">
        <f t="shared" si="22"/>
        <v>248.02468222735561</v>
      </c>
      <c r="G101" s="121">
        <f t="shared" si="22"/>
        <v>58.826888031313842</v>
      </c>
      <c r="H101" s="121">
        <f t="shared" si="22"/>
        <v>72.371063107610084</v>
      </c>
      <c r="I101" s="121">
        <f t="shared" si="22"/>
        <v>61.411385274293984</v>
      </c>
      <c r="J101" s="121">
        <f t="shared" si="22"/>
        <v>194.80029149284587</v>
      </c>
      <c r="K101" s="121">
        <f t="shared" si="22"/>
        <v>111.61877487153291</v>
      </c>
      <c r="L101" s="121">
        <f t="shared" si="22"/>
        <v>1.9706037616114769</v>
      </c>
    </row>
    <row r="102" spans="2:12">
      <c r="B102" s="1">
        <v>1998</v>
      </c>
      <c r="C102" s="121">
        <f t="shared" ref="C102:L112" si="23">C73^2</f>
        <v>603.26761972256099</v>
      </c>
      <c r="D102" s="121">
        <f t="shared" si="23"/>
        <v>330.6741972461835</v>
      </c>
      <c r="E102" s="121">
        <f t="shared" si="23"/>
        <v>132.54678072399824</v>
      </c>
      <c r="F102" s="121">
        <f t="shared" si="23"/>
        <v>205.13571901289697</v>
      </c>
      <c r="G102" s="121">
        <f t="shared" si="23"/>
        <v>69.335049095861763</v>
      </c>
      <c r="H102" s="121">
        <f t="shared" si="23"/>
        <v>78.270172918274582</v>
      </c>
      <c r="I102" s="121">
        <f t="shared" si="23"/>
        <v>57.284461871189094</v>
      </c>
      <c r="J102" s="121">
        <f t="shared" si="23"/>
        <v>188.71521929232387</v>
      </c>
      <c r="K102" s="121">
        <f t="shared" si="23"/>
        <v>129.2696768781195</v>
      </c>
      <c r="L102" s="121">
        <f t="shared" si="23"/>
        <v>8.6978169478670466</v>
      </c>
    </row>
    <row r="103" spans="2:12">
      <c r="B103" s="1">
        <v>1999</v>
      </c>
      <c r="C103" s="121">
        <f t="shared" si="23"/>
        <v>538.70156874552629</v>
      </c>
      <c r="D103" s="121">
        <f t="shared" si="23"/>
        <v>300.15084528338735</v>
      </c>
      <c r="E103" s="121">
        <f t="shared" si="23"/>
        <v>104.34974865601143</v>
      </c>
      <c r="F103" s="121">
        <f t="shared" si="23"/>
        <v>174.5200615570015</v>
      </c>
      <c r="G103" s="121">
        <f t="shared" si="23"/>
        <v>63.91473379592405</v>
      </c>
      <c r="H103" s="121">
        <f t="shared" si="23"/>
        <v>83.691011991053728</v>
      </c>
      <c r="I103" s="121">
        <f t="shared" si="23"/>
        <v>84.742309387098217</v>
      </c>
      <c r="J103" s="121">
        <f t="shared" si="23"/>
        <v>186.42839487787072</v>
      </c>
      <c r="K103" s="121">
        <f t="shared" si="23"/>
        <v>71.455707752443757</v>
      </c>
      <c r="L103" s="121">
        <f t="shared" si="23"/>
        <v>11.27956903662149</v>
      </c>
    </row>
    <row r="104" spans="2:12">
      <c r="B104" s="1">
        <v>2000</v>
      </c>
      <c r="C104" s="121">
        <f t="shared" si="23"/>
        <v>577.72865789422394</v>
      </c>
      <c r="D104" s="121">
        <f t="shared" si="23"/>
        <v>328.52913258061284</v>
      </c>
      <c r="E104" s="121">
        <f t="shared" si="23"/>
        <v>156.35417506395169</v>
      </c>
      <c r="F104" s="121">
        <f t="shared" si="23"/>
        <v>222.39247579892435</v>
      </c>
      <c r="G104" s="121">
        <f t="shared" si="23"/>
        <v>56.726183749738119</v>
      </c>
      <c r="H104" s="121">
        <f t="shared" si="23"/>
        <v>80.918261937540663</v>
      </c>
      <c r="I104" s="121">
        <f t="shared" si="23"/>
        <v>104.6923167538005</v>
      </c>
      <c r="J104" s="121">
        <f t="shared" si="23"/>
        <v>230.52395982679047</v>
      </c>
      <c r="K104" s="121">
        <f t="shared" si="23"/>
        <v>86.846287485965405</v>
      </c>
      <c r="L104" s="121">
        <f t="shared" si="23"/>
        <v>11.684158888544324</v>
      </c>
    </row>
    <row r="105" spans="2:12">
      <c r="B105" s="1">
        <v>2001</v>
      </c>
      <c r="C105" s="121">
        <f t="shared" si="23"/>
        <v>459.72092701308651</v>
      </c>
      <c r="D105" s="121">
        <f t="shared" si="23"/>
        <v>369.0018389238345</v>
      </c>
      <c r="E105" s="121">
        <f t="shared" si="23"/>
        <v>136.10315979155263</v>
      </c>
      <c r="F105" s="121">
        <f t="shared" si="23"/>
        <v>221.0454996794262</v>
      </c>
      <c r="G105" s="121">
        <f t="shared" si="23"/>
        <v>50.748839952184298</v>
      </c>
      <c r="H105" s="121">
        <f t="shared" si="23"/>
        <v>52.251288255415496</v>
      </c>
      <c r="I105" s="121">
        <f t="shared" si="23"/>
        <v>116.3706542850514</v>
      </c>
      <c r="J105" s="121">
        <f t="shared" si="23"/>
        <v>250.06224478138682</v>
      </c>
      <c r="K105" s="121">
        <f t="shared" si="23"/>
        <v>220.82289839346913</v>
      </c>
      <c r="L105" s="121">
        <f t="shared" si="23"/>
        <v>16.627577092099902</v>
      </c>
    </row>
    <row r="106" spans="2:12">
      <c r="B106" s="1">
        <v>2002</v>
      </c>
      <c r="C106" s="121">
        <f t="shared" si="23"/>
        <v>396.80613071695132</v>
      </c>
      <c r="D106" s="121">
        <f t="shared" si="23"/>
        <v>284.57610683879494</v>
      </c>
      <c r="E106" s="121">
        <f t="shared" si="23"/>
        <v>127.93870853057462</v>
      </c>
      <c r="F106" s="121">
        <f t="shared" si="23"/>
        <v>219.10036677057238</v>
      </c>
      <c r="G106" s="121">
        <f t="shared" si="23"/>
        <v>42.080240947659561</v>
      </c>
      <c r="H106" s="121">
        <f t="shared" si="23"/>
        <v>43.250468165215509</v>
      </c>
      <c r="I106" s="121">
        <f t="shared" si="23"/>
        <v>88.293638844304212</v>
      </c>
      <c r="J106" s="121">
        <f t="shared" si="23"/>
        <v>238.82763105594921</v>
      </c>
      <c r="K106" s="121">
        <f t="shared" si="23"/>
        <v>161.25053705542464</v>
      </c>
      <c r="L106" s="121">
        <f t="shared" si="23"/>
        <v>11.795995392026997</v>
      </c>
    </row>
    <row r="107" spans="2:12">
      <c r="B107" s="1">
        <v>2003</v>
      </c>
      <c r="C107" s="121">
        <f t="shared" si="23"/>
        <v>347.42289061487361</v>
      </c>
      <c r="D107" s="121">
        <f t="shared" si="23"/>
        <v>334.03939427795592</v>
      </c>
      <c r="E107" s="121">
        <f t="shared" si="23"/>
        <v>144.03643179299891</v>
      </c>
      <c r="F107" s="121">
        <f t="shared" si="23"/>
        <v>215.40889078980717</v>
      </c>
      <c r="G107" s="121">
        <f t="shared" si="23"/>
        <v>27.887747049182806</v>
      </c>
      <c r="H107" s="121">
        <f t="shared" si="23"/>
        <v>33.828152849115426</v>
      </c>
      <c r="I107" s="121">
        <f t="shared" si="23"/>
        <v>76.495980485569376</v>
      </c>
      <c r="J107" s="121">
        <f t="shared" si="23"/>
        <v>167.20569617728739</v>
      </c>
      <c r="K107" s="121">
        <f t="shared" si="23"/>
        <v>120.59463370757142</v>
      </c>
      <c r="L107" s="121">
        <f t="shared" si="23"/>
        <v>8.7393139970570779</v>
      </c>
    </row>
    <row r="108" spans="2:12">
      <c r="B108" s="1">
        <v>2004</v>
      </c>
      <c r="C108" s="121">
        <f t="shared" si="23"/>
        <v>378.28308870036528</v>
      </c>
      <c r="D108" s="121">
        <f t="shared" si="23"/>
        <v>390.99099635637248</v>
      </c>
      <c r="E108" s="121">
        <f t="shared" si="23"/>
        <v>162.96661655588139</v>
      </c>
      <c r="F108" s="121">
        <f t="shared" si="23"/>
        <v>200.76229365116217</v>
      </c>
      <c r="G108" s="121">
        <f t="shared" si="23"/>
        <v>35.612881329646221</v>
      </c>
      <c r="H108" s="121">
        <f t="shared" si="23"/>
        <v>26.343068812509976</v>
      </c>
      <c r="I108" s="121">
        <f t="shared" si="23"/>
        <v>83.118951236913702</v>
      </c>
      <c r="J108" s="121">
        <f t="shared" si="23"/>
        <v>126.63605634628279</v>
      </c>
      <c r="K108" s="121">
        <f t="shared" si="23"/>
        <v>200.89156476835527</v>
      </c>
      <c r="L108" s="121">
        <f t="shared" si="23"/>
        <v>6.1337755673627052</v>
      </c>
    </row>
    <row r="109" spans="2:12">
      <c r="B109" s="1">
        <v>2005</v>
      </c>
      <c r="C109" s="121">
        <f t="shared" si="23"/>
        <v>407.30690966025054</v>
      </c>
      <c r="D109" s="121">
        <f t="shared" si="23"/>
        <v>449.32704979576636</v>
      </c>
      <c r="E109" s="121">
        <f t="shared" si="23"/>
        <v>157.02360562274239</v>
      </c>
      <c r="F109" s="121">
        <f t="shared" si="23"/>
        <v>218.3488365729672</v>
      </c>
      <c r="G109" s="121">
        <f t="shared" si="23"/>
        <v>49.814745375508615</v>
      </c>
      <c r="H109" s="121">
        <f t="shared" si="23"/>
        <v>18.701828663477624</v>
      </c>
      <c r="I109" s="121">
        <f t="shared" si="23"/>
        <v>109.94557028279721</v>
      </c>
      <c r="J109" s="121">
        <f t="shared" si="23"/>
        <v>159.90865799208481</v>
      </c>
      <c r="K109" s="121">
        <f t="shared" si="23"/>
        <v>361.70376416192096</v>
      </c>
      <c r="L109" s="121">
        <f t="shared" si="23"/>
        <v>3.0952524349109929</v>
      </c>
    </row>
    <row r="110" spans="2:12">
      <c r="B110" s="1">
        <v>2006</v>
      </c>
      <c r="C110" s="121">
        <f t="shared" si="23"/>
        <v>72.933040002843398</v>
      </c>
      <c r="D110" s="121">
        <f t="shared" si="23"/>
        <v>482.74642546157315</v>
      </c>
      <c r="E110" s="121">
        <f t="shared" si="23"/>
        <v>198.82670141408408</v>
      </c>
      <c r="F110" s="121">
        <f t="shared" si="23"/>
        <v>247.16073723525878</v>
      </c>
      <c r="G110" s="121">
        <f t="shared" si="23"/>
        <v>69.112625489723527</v>
      </c>
      <c r="H110" s="121">
        <f t="shared" si="23"/>
        <v>10.110423234903518</v>
      </c>
      <c r="I110" s="121">
        <f t="shared" si="23"/>
        <v>120.45390417326782</v>
      </c>
      <c r="J110" s="121">
        <f t="shared" si="23"/>
        <v>160.87934430249987</v>
      </c>
      <c r="K110" s="121">
        <f t="shared" si="23"/>
        <v>477.72508290591981</v>
      </c>
      <c r="L110" s="121">
        <f t="shared" si="23"/>
        <v>1.9373862078595355E-2</v>
      </c>
    </row>
    <row r="111" spans="2:12">
      <c r="B111" s="1">
        <v>2007</v>
      </c>
      <c r="C111" s="121">
        <f t="shared" si="23"/>
        <v>156.00684213237341</v>
      </c>
      <c r="D111" s="121">
        <f t="shared" si="23"/>
        <v>475.18010957296036</v>
      </c>
      <c r="E111" s="121">
        <f t="shared" si="23"/>
        <v>194.84466318066163</v>
      </c>
      <c r="F111" s="121">
        <f t="shared" si="23"/>
        <v>242.71048470871381</v>
      </c>
      <c r="G111" s="121">
        <f t="shared" si="23"/>
        <v>58.634593324791496</v>
      </c>
      <c r="H111" s="121">
        <f t="shared" si="23"/>
        <v>6.8584376886858607</v>
      </c>
      <c r="I111" s="121">
        <f t="shared" si="23"/>
        <v>96.204174495758423</v>
      </c>
      <c r="J111" s="121">
        <f t="shared" si="23"/>
        <v>112.39387556487173</v>
      </c>
      <c r="K111" s="121">
        <f t="shared" si="23"/>
        <v>425.79812228437157</v>
      </c>
      <c r="L111" s="121">
        <f t="shared" si="23"/>
        <v>0.11564417458712628</v>
      </c>
    </row>
    <row r="112" spans="2:12">
      <c r="B112" s="1">
        <v>2008</v>
      </c>
      <c r="C112" s="121">
        <f t="shared" si="23"/>
        <v>302.49475171410188</v>
      </c>
      <c r="D112" s="121">
        <f t="shared" si="23"/>
        <v>562.29749977075244</v>
      </c>
      <c r="E112" s="121">
        <f t="shared" si="23"/>
        <v>216.26769647436478</v>
      </c>
      <c r="F112" s="121">
        <f t="shared" si="23"/>
        <v>225.48343895397926</v>
      </c>
      <c r="G112" s="121">
        <f t="shared" si="23"/>
        <v>68.055338673303808</v>
      </c>
      <c r="H112" s="121">
        <f t="shared" si="23"/>
        <v>3.716780227581709</v>
      </c>
      <c r="I112" s="121">
        <f t="shared" si="23"/>
        <v>81.442981720297396</v>
      </c>
      <c r="J112" s="121">
        <f t="shared" si="23"/>
        <v>29.786439455846796</v>
      </c>
      <c r="K112" s="121">
        <f t="shared" si="23"/>
        <v>504.53786487382916</v>
      </c>
      <c r="L112" s="121">
        <f t="shared" si="23"/>
        <v>0.23561107500565392</v>
      </c>
    </row>
  </sheetData>
  <mergeCells count="11">
    <mergeCell ref="B3:B4"/>
    <mergeCell ref="C3:C4"/>
    <mergeCell ref="D3:D4"/>
    <mergeCell ref="E3:E4"/>
    <mergeCell ref="J3:J4"/>
    <mergeCell ref="L3:L4"/>
    <mergeCell ref="F3:F4"/>
    <mergeCell ref="G3:G4"/>
    <mergeCell ref="H3:H4"/>
    <mergeCell ref="I3:I4"/>
    <mergeCell ref="K3:K4"/>
  </mergeCells>
  <phoneticPr fontId="35" type="noConversion"/>
  <pageMargins left="0.75" right="0.75" top="1" bottom="1" header="0.5" footer="0.5"/>
  <pageSetup scale="71" orientation="landscape" horizontalDpi="300" verticalDpi="300" r:id="rId1"/>
  <headerFooter alignWithMargins="0"/>
</worksheet>
</file>

<file path=xl/worksheets/sheet25.xml><?xml version="1.0" encoding="utf-8"?>
<worksheet xmlns="http://schemas.openxmlformats.org/spreadsheetml/2006/main" xmlns:r="http://schemas.openxmlformats.org/officeDocument/2006/relationships">
  <sheetPr codeName="Sheet15">
    <pageSetUpPr fitToPage="1"/>
  </sheetPr>
  <dimension ref="A1:AB111"/>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1" width="9.28515625" style="1" bestFit="1" customWidth="1"/>
    <col min="12" max="12" width="5.7109375" style="1" customWidth="1"/>
    <col min="13" max="13" width="9.5703125" style="1" customWidth="1"/>
    <col min="14" max="15" width="8.85546875" style="1" hidden="1" customWidth="1"/>
    <col min="16" max="17" width="9.42578125" style="1" hidden="1" customWidth="1"/>
    <col min="18" max="16384" width="9.140625" style="1"/>
  </cols>
  <sheetData>
    <row r="1" spans="1:28" ht="15.75">
      <c r="A1" s="3" t="s">
        <v>2110</v>
      </c>
    </row>
    <row r="2" spans="1:28">
      <c r="A2" s="4"/>
      <c r="B2" s="4"/>
    </row>
    <row r="3" spans="1:28" ht="25.5">
      <c r="A3" s="4"/>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28" s="4" customFormat="1" ht="25.5">
      <c r="A4" s="667"/>
      <c r="B4" s="1167"/>
      <c r="C4" s="1165"/>
      <c r="D4" s="1165"/>
      <c r="E4" s="1165"/>
      <c r="F4" s="1165"/>
      <c r="G4" s="1165"/>
      <c r="H4" s="1165"/>
      <c r="I4" s="1165"/>
      <c r="J4" s="1165"/>
      <c r="K4" s="1165"/>
      <c r="L4" s="1165"/>
      <c r="N4" s="645" t="s">
        <v>282</v>
      </c>
      <c r="O4" s="645" t="s">
        <v>282</v>
      </c>
      <c r="P4" s="645" t="s">
        <v>281</v>
      </c>
      <c r="Q4" s="645" t="s">
        <v>281</v>
      </c>
    </row>
    <row r="5" spans="1:28">
      <c r="A5" s="432">
        <v>1981</v>
      </c>
      <c r="B5" s="710">
        <f>(R5/'1'!B15)/1000</f>
        <v>9613.4898125154723</v>
      </c>
      <c r="C5" s="710">
        <f>(S5/'1'!C15)/1000</f>
        <v>6709.5195219206607</v>
      </c>
      <c r="D5" s="710">
        <f>(T5/'1'!D15)/1000</f>
        <v>7413.9424205388868</v>
      </c>
      <c r="E5" s="710">
        <f>(U5/'1'!E15)/1000</f>
        <v>8094.7885704392829</v>
      </c>
      <c r="F5" s="710">
        <f>(V5/'1'!F15)/1000</f>
        <v>7472.7010721393817</v>
      </c>
      <c r="G5" s="710">
        <f>(W5/'1'!G15)/1000</f>
        <v>8637.1180871476936</v>
      </c>
      <c r="H5" s="710">
        <f>(X5/'1'!H15)/1000</f>
        <v>10138.118531332279</v>
      </c>
      <c r="I5" s="710">
        <f>(Y5/'1'!I15)/1000</f>
        <v>9227.9910578487652</v>
      </c>
      <c r="J5" s="710">
        <f>(Z5/'1'!J15)/1000</f>
        <v>9207.1915298757158</v>
      </c>
      <c r="K5" s="710">
        <f>(AA5/'1'!K15)/1000</f>
        <v>11272.29492855846</v>
      </c>
      <c r="L5" s="710">
        <f>(AB5/'1'!L15)/1000</f>
        <v>10782.72584535679</v>
      </c>
      <c r="N5" s="19">
        <f>SUM(C84:L84)/10</f>
        <v>2582145.4008348631</v>
      </c>
      <c r="O5" s="19">
        <f>SQRT(N5)</f>
        <v>1606.9055357533819</v>
      </c>
      <c r="P5" s="19">
        <f>Q5^2</f>
        <v>2066835.8365157032</v>
      </c>
      <c r="Q5" s="19">
        <f>STDEVP(C5:L5)</f>
        <v>1437.649413631746</v>
      </c>
      <c r="R5" s="1">
        <v>238606000000</v>
      </c>
      <c r="S5" s="1">
        <v>3860000000</v>
      </c>
      <c r="T5" s="1">
        <v>916000000</v>
      </c>
      <c r="U5" s="1">
        <v>6920000000</v>
      </c>
      <c r="V5" s="1">
        <v>5279000000</v>
      </c>
      <c r="W5" s="1">
        <v>56549000000</v>
      </c>
      <c r="X5" s="1">
        <v>89340000000</v>
      </c>
      <c r="Y5" s="1">
        <v>9556000000</v>
      </c>
      <c r="Z5" s="1">
        <v>8984000000</v>
      </c>
      <c r="AA5" s="1">
        <v>25826000000</v>
      </c>
      <c r="AB5" s="1">
        <v>30478000000</v>
      </c>
    </row>
    <row r="6" spans="1:28">
      <c r="A6" s="120">
        <v>1982</v>
      </c>
      <c r="B6" s="710">
        <f>(R6/'1'!B16)/1000</f>
        <v>10489.015740849343</v>
      </c>
      <c r="C6" s="710">
        <f>(S6/'1'!C16)/1000</f>
        <v>7446.9104819665572</v>
      </c>
      <c r="D6" s="710">
        <f>(T6/'1'!D16)/1000</f>
        <v>8382.6908761368413</v>
      </c>
      <c r="E6" s="710">
        <f>(U6/'1'!E16)/1000</f>
        <v>8982.1404873823976</v>
      </c>
      <c r="F6" s="710">
        <f>(V6/'1'!F16)/1000</f>
        <v>8375.0673185790802</v>
      </c>
      <c r="G6" s="710">
        <f>(W6/'1'!G16)/1000</f>
        <v>9305.6425743975014</v>
      </c>
      <c r="H6" s="710">
        <f>(X6/'1'!H16)/1000</f>
        <v>11230.130686363489</v>
      </c>
      <c r="I6" s="710">
        <f>(Y6/'1'!I16)/1000</f>
        <v>10203.554453399463</v>
      </c>
      <c r="J6" s="710">
        <f>(Z6/'1'!J16)/1000</f>
        <v>10286.017786661423</v>
      </c>
      <c r="K6" s="710">
        <f>(AA6/'1'!K16)/1000</f>
        <v>11941.377999322312</v>
      </c>
      <c r="L6" s="710">
        <f>(AB6/'1'!L16)/1000</f>
        <v>11467.70412648926</v>
      </c>
      <c r="N6" s="19">
        <f t="shared" ref="N6:N29" si="0">SUM(C85:L85)/10</f>
        <v>2556996.6618961343</v>
      </c>
      <c r="O6" s="19">
        <f t="shared" ref="O6:O29" si="1">SQRT(N6)</f>
        <v>1599.0611814111849</v>
      </c>
      <c r="P6" s="19">
        <f t="shared" ref="P6:P29" si="2">Q6^2</f>
        <v>2028624.5924180411</v>
      </c>
      <c r="Q6" s="19">
        <f t="shared" ref="Q6:Q29" si="3">STDEVP(C6:L6)</f>
        <v>1424.2979296544811</v>
      </c>
      <c r="R6" s="1">
        <v>263452000000</v>
      </c>
      <c r="S6" s="1">
        <v>4273000000</v>
      </c>
      <c r="T6" s="1">
        <v>1036000000</v>
      </c>
      <c r="U6" s="1">
        <v>7716000000</v>
      </c>
      <c r="V6" s="1">
        <v>5925000000</v>
      </c>
      <c r="W6" s="1">
        <v>61237000000</v>
      </c>
      <c r="X6" s="1">
        <v>100176000000</v>
      </c>
      <c r="Y6" s="1">
        <v>10665000000</v>
      </c>
      <c r="Z6" s="1">
        <v>10148000000</v>
      </c>
      <c r="AA6" s="1">
        <v>28299000000</v>
      </c>
      <c r="AB6" s="1">
        <v>32987000000</v>
      </c>
    </row>
    <row r="7" spans="1:28">
      <c r="A7" s="120">
        <v>1983</v>
      </c>
      <c r="B7" s="710">
        <f>(R7/'1'!B17)/1000</f>
        <v>10861.945173173812</v>
      </c>
      <c r="C7" s="710">
        <f>(S7/'1'!C17)/1000</f>
        <v>7667.9489747290927</v>
      </c>
      <c r="D7" s="710">
        <f>(T7/'1'!D17)/1000</f>
        <v>8952.6946012054159</v>
      </c>
      <c r="E7" s="710">
        <f>(U7/'1'!E17)/1000</f>
        <v>9436.9501398727843</v>
      </c>
      <c r="F7" s="710">
        <f>(V7/'1'!F17)/1000</f>
        <v>8839.7156294677698</v>
      </c>
      <c r="G7" s="710">
        <f>(W7/'1'!G17)/1000</f>
        <v>9663.8243119466133</v>
      </c>
      <c r="H7" s="710">
        <f>(X7/'1'!H17)/1000</f>
        <v>11865.948401936199</v>
      </c>
      <c r="I7" s="710">
        <f>(Y7/'1'!I17)/1000</f>
        <v>10214.653994519473</v>
      </c>
      <c r="J7" s="710">
        <f>(Z7/'1'!J17)/1000</f>
        <v>10052.444496823467</v>
      </c>
      <c r="K7" s="710">
        <f>(AA7/'1'!K17)/1000</f>
        <v>12029.226428786587</v>
      </c>
      <c r="L7" s="710">
        <f>(AB7/'1'!L17)/1000</f>
        <v>11579.699687222916</v>
      </c>
      <c r="N7" s="19">
        <f t="shared" si="0"/>
        <v>2536238.3003202407</v>
      </c>
      <c r="O7" s="19">
        <f t="shared" si="1"/>
        <v>1592.5571576305324</v>
      </c>
      <c r="P7" s="19">
        <f t="shared" si="2"/>
        <v>1844622.3478808592</v>
      </c>
      <c r="Q7" s="19">
        <f t="shared" si="3"/>
        <v>1358.1687479399823</v>
      </c>
      <c r="R7" s="1">
        <v>275529000000</v>
      </c>
      <c r="S7" s="1">
        <v>4441000000</v>
      </c>
      <c r="T7" s="1">
        <v>1120000000</v>
      </c>
      <c r="U7" s="1">
        <v>8194000000</v>
      </c>
      <c r="V7" s="1">
        <v>6319000000</v>
      </c>
      <c r="W7" s="1">
        <v>63810000000</v>
      </c>
      <c r="X7" s="1">
        <v>107263000000</v>
      </c>
      <c r="Y7" s="1">
        <v>10825000000</v>
      </c>
      <c r="Z7" s="1">
        <v>10065000000</v>
      </c>
      <c r="AA7" s="1">
        <v>28793000000</v>
      </c>
      <c r="AB7" s="1">
        <v>33668000000</v>
      </c>
    </row>
    <row r="8" spans="1:28">
      <c r="A8" s="120">
        <v>1984</v>
      </c>
      <c r="B8" s="710">
        <f>(R8/'1'!B18)/1000</f>
        <v>11683.070285362397</v>
      </c>
      <c r="C8" s="710">
        <f>(S8/'1'!C18)/1000</f>
        <v>8026.6866644255379</v>
      </c>
      <c r="D8" s="710">
        <f>(T8/'1'!D18)/1000</f>
        <v>9355.0247702725119</v>
      </c>
      <c r="E8" s="710">
        <f>(U8/'1'!E18)/1000</f>
        <v>10167.857399275872</v>
      </c>
      <c r="F8" s="710">
        <f>(V8/'1'!F18)/1000</f>
        <v>9506.0570058071735</v>
      </c>
      <c r="G8" s="710">
        <f>(W8/'1'!G18)/1000</f>
        <v>10574.826351712052</v>
      </c>
      <c r="H8" s="710">
        <f>(X8/'1'!H18)/1000</f>
        <v>12811.366782859943</v>
      </c>
      <c r="I8" s="710">
        <f>(Y8/'1'!I18)/1000</f>
        <v>11518.832628917438</v>
      </c>
      <c r="J8" s="710">
        <f>(Z8/'1'!J18)/1000</f>
        <v>10734.120824154976</v>
      </c>
      <c r="K8" s="710">
        <f>(AA8/'1'!K18)/1000</f>
        <v>12458.712890684557</v>
      </c>
      <c r="L8" s="710">
        <f>(AB8/'1'!L18)/1000</f>
        <v>12134.307326221226</v>
      </c>
      <c r="N8" s="19">
        <f t="shared" si="0"/>
        <v>3005816.70220003</v>
      </c>
      <c r="O8" s="19">
        <f t="shared" si="1"/>
        <v>1733.7291317273382</v>
      </c>
      <c r="P8" s="19">
        <f t="shared" si="2"/>
        <v>2095145.3495737836</v>
      </c>
      <c r="Q8" s="19">
        <f t="shared" si="3"/>
        <v>1447.4616919192658</v>
      </c>
      <c r="R8" s="1">
        <v>299169000000</v>
      </c>
      <c r="S8" s="1">
        <v>4656000000</v>
      </c>
      <c r="T8" s="1">
        <v>1184000000</v>
      </c>
      <c r="U8" s="1">
        <v>8922000000</v>
      </c>
      <c r="V8" s="1">
        <v>6849000000</v>
      </c>
      <c r="W8" s="1">
        <v>70124000000</v>
      </c>
      <c r="X8" s="1">
        <v>117448000000</v>
      </c>
      <c r="Y8" s="1">
        <v>12346000000</v>
      </c>
      <c r="Z8" s="1">
        <v>10891000000</v>
      </c>
      <c r="AA8" s="1">
        <v>29825000000</v>
      </c>
      <c r="AB8" s="1">
        <v>35762000000</v>
      </c>
    </row>
    <row r="9" spans="1:28">
      <c r="A9" s="120">
        <v>1985</v>
      </c>
      <c r="B9" s="710">
        <f>(R9/'1'!B19)/1000</f>
        <v>12498.550815266057</v>
      </c>
      <c r="C9" s="710">
        <f>(S9/'1'!C19)/1000</f>
        <v>8569.3323550990463</v>
      </c>
      <c r="D9" s="710">
        <f>(T9/'1'!D19)/1000</f>
        <v>9779.108126532883</v>
      </c>
      <c r="E9" s="710">
        <f>(U9/'1'!E19)/1000</f>
        <v>10973.665911081811</v>
      </c>
      <c r="F9" s="710">
        <f>(V9/'1'!F19)/1000</f>
        <v>10067.926010007093</v>
      </c>
      <c r="G9" s="710">
        <f>(W9/'1'!G19)/1000</f>
        <v>11228.206298356898</v>
      </c>
      <c r="H9" s="710">
        <f>(X9/'1'!H19)/1000</f>
        <v>13693.243333239732</v>
      </c>
      <c r="I9" s="710">
        <f>(Y9/'1'!I19)/1000</f>
        <v>12426.847237169688</v>
      </c>
      <c r="J9" s="710">
        <f>(Z9/'1'!J19)/1000</f>
        <v>11400.800836741701</v>
      </c>
      <c r="K9" s="710">
        <f>(AA9/'1'!K19)/1000</f>
        <v>13811.660684802184</v>
      </c>
      <c r="L9" s="710">
        <f>(AB9/'1'!L19)/1000</f>
        <v>12776.580258146618</v>
      </c>
      <c r="N9" s="19">
        <f t="shared" si="0"/>
        <v>3712015.688315785</v>
      </c>
      <c r="O9" s="19">
        <f t="shared" si="1"/>
        <v>1926.659203989067</v>
      </c>
      <c r="P9" s="19">
        <f t="shared" si="2"/>
        <v>2659721.9203875544</v>
      </c>
      <c r="Q9" s="19">
        <f t="shared" si="3"/>
        <v>1630.8653900268882</v>
      </c>
      <c r="R9" s="1">
        <v>322989000000</v>
      </c>
      <c r="S9" s="1">
        <v>4964000000</v>
      </c>
      <c r="T9" s="1">
        <v>1248000000</v>
      </c>
      <c r="U9" s="1">
        <v>9721000000</v>
      </c>
      <c r="V9" s="1">
        <v>7282000000</v>
      </c>
      <c r="W9" s="1">
        <v>74845000000</v>
      </c>
      <c r="X9" s="1">
        <v>127274000000</v>
      </c>
      <c r="Y9" s="1">
        <v>13452000000</v>
      </c>
      <c r="Z9" s="1">
        <v>11685000000</v>
      </c>
      <c r="AA9" s="1">
        <v>33210000000</v>
      </c>
      <c r="AB9" s="1">
        <v>38012000000</v>
      </c>
    </row>
    <row r="10" spans="1:28">
      <c r="A10" s="120">
        <v>1986</v>
      </c>
      <c r="B10" s="710">
        <f>(R10/'1'!B20)/1000</f>
        <v>13042.121620313777</v>
      </c>
      <c r="C10" s="710">
        <f>(S10/'1'!C20)/1000</f>
        <v>9151.3883249523678</v>
      </c>
      <c r="D10" s="710">
        <f>(T10/'1'!D20)/1000</f>
        <v>10877.012675573826</v>
      </c>
      <c r="E10" s="710">
        <f>(U10/'1'!E20)/1000</f>
        <v>11417.330362495459</v>
      </c>
      <c r="F10" s="710">
        <f>(V10/'1'!F20)/1000</f>
        <v>10779.027859959531</v>
      </c>
      <c r="G10" s="710">
        <f>(W10/'1'!G20)/1000</f>
        <v>11772.659309468901</v>
      </c>
      <c r="H10" s="710">
        <f>(X10/'1'!H20)/1000</f>
        <v>14329.856477855721</v>
      </c>
      <c r="I10" s="710">
        <f>(Y10/'1'!I20)/1000</f>
        <v>12769.890944270179</v>
      </c>
      <c r="J10" s="710">
        <f>(Z10/'1'!J20)/1000</f>
        <v>12536.003585048171</v>
      </c>
      <c r="K10" s="710">
        <f>(AA10/'1'!K20)/1000</f>
        <v>13928.884102707436</v>
      </c>
      <c r="L10" s="710">
        <f>(AB10/'1'!L20)/1000</f>
        <v>13134.812947439108</v>
      </c>
      <c r="N10" s="19">
        <f t="shared" si="0"/>
        <v>3198204.2328753625</v>
      </c>
      <c r="O10" s="19">
        <f t="shared" si="1"/>
        <v>1788.3523793915344</v>
      </c>
      <c r="P10" s="19">
        <f t="shared" si="2"/>
        <v>2252574.4788454436</v>
      </c>
      <c r="Q10" s="19">
        <f t="shared" si="3"/>
        <v>1500.8579142761794</v>
      </c>
      <c r="R10" s="1">
        <v>340403000000</v>
      </c>
      <c r="S10" s="1">
        <v>5274000000</v>
      </c>
      <c r="T10" s="1">
        <v>1397000000</v>
      </c>
      <c r="U10" s="1">
        <v>10151000000</v>
      </c>
      <c r="V10" s="1">
        <v>7815000000</v>
      </c>
      <c r="W10" s="1">
        <v>78973000000</v>
      </c>
      <c r="X10" s="1">
        <v>135236000000</v>
      </c>
      <c r="Y10" s="1">
        <v>13939000000</v>
      </c>
      <c r="Z10" s="1">
        <v>12896000000</v>
      </c>
      <c r="AA10" s="1">
        <v>33888000000</v>
      </c>
      <c r="AB10" s="1">
        <v>39452000000</v>
      </c>
    </row>
    <row r="11" spans="1:28">
      <c r="A11" s="120">
        <v>1987</v>
      </c>
      <c r="B11" s="710">
        <f>(R11/'1'!B21)/1000</f>
        <v>13694.954599269677</v>
      </c>
      <c r="C11" s="710">
        <f>(S11/'1'!C21)/1000</f>
        <v>10127.911383382994</v>
      </c>
      <c r="D11" s="710">
        <f>(T11/'1'!D21)/1000</f>
        <v>11396.055689865596</v>
      </c>
      <c r="E11" s="710">
        <f>(U11/'1'!E21)/1000</f>
        <v>12126.149555844522</v>
      </c>
      <c r="F11" s="710">
        <f>(V11/'1'!F21)/1000</f>
        <v>11454.199690011103</v>
      </c>
      <c r="G11" s="710">
        <f>(W11/'1'!G21)/1000</f>
        <v>12506.51726692366</v>
      </c>
      <c r="H11" s="710">
        <f>(X11/'1'!H21)/1000</f>
        <v>15212.786543189446</v>
      </c>
      <c r="I11" s="710">
        <f>(Y11/'1'!I21)/1000</f>
        <v>13120.315229890028</v>
      </c>
      <c r="J11" s="710">
        <f>(Z11/'1'!J21)/1000</f>
        <v>11577.276895117056</v>
      </c>
      <c r="K11" s="710">
        <f>(AA11/'1'!K21)/1000</f>
        <v>13997.427973634069</v>
      </c>
      <c r="L11" s="710">
        <f>(AB11/'1'!L21)/1000</f>
        <v>13859.900657700735</v>
      </c>
      <c r="N11" s="19">
        <f t="shared" si="0"/>
        <v>3414052.9038099535</v>
      </c>
      <c r="O11" s="19">
        <f t="shared" si="1"/>
        <v>1847.7155906172231</v>
      </c>
      <c r="P11" s="19">
        <f t="shared" si="2"/>
        <v>2075171.3119159127</v>
      </c>
      <c r="Q11" s="19">
        <f t="shared" si="3"/>
        <v>1440.5454910956171</v>
      </c>
      <c r="R11" s="1">
        <v>362185000000</v>
      </c>
      <c r="S11" s="1">
        <v>5826000000</v>
      </c>
      <c r="T11" s="1">
        <v>1466000000</v>
      </c>
      <c r="U11" s="1">
        <v>10836000000</v>
      </c>
      <c r="V11" s="1">
        <v>8336000000</v>
      </c>
      <c r="W11" s="1">
        <v>84819000000</v>
      </c>
      <c r="X11" s="1">
        <v>146620000000</v>
      </c>
      <c r="Y11" s="1">
        <v>14411000000</v>
      </c>
      <c r="Z11" s="1">
        <v>11957000000</v>
      </c>
      <c r="AA11" s="1">
        <v>34166000000</v>
      </c>
      <c r="AB11" s="1">
        <v>42254000000</v>
      </c>
    </row>
    <row r="12" spans="1:28">
      <c r="A12" s="120">
        <v>1988</v>
      </c>
      <c r="B12" s="710">
        <f>(R12/'1'!B22)/1000</f>
        <v>14751.445659739918</v>
      </c>
      <c r="C12" s="710">
        <f>(S12/'1'!C22)/1000</f>
        <v>10967.299845908221</v>
      </c>
      <c r="D12" s="710">
        <f>(T12/'1'!D22)/1000</f>
        <v>12475.926026189391</v>
      </c>
      <c r="E12" s="710">
        <f>(U12/'1'!E22)/1000</f>
        <v>13019.161495113773</v>
      </c>
      <c r="F12" s="710">
        <f>(V12/'1'!F22)/1000</f>
        <v>12322.875775827721</v>
      </c>
      <c r="G12" s="710">
        <f>(W12/'1'!G22)/1000</f>
        <v>13324.846275681844</v>
      </c>
      <c r="H12" s="710">
        <f>(X12/'1'!H22)/1000</f>
        <v>16450.782731724568</v>
      </c>
      <c r="I12" s="710">
        <f>(Y12/'1'!I22)/1000</f>
        <v>13931.835173369916</v>
      </c>
      <c r="J12" s="710">
        <f>(Z12/'1'!J22)/1000</f>
        <v>12424.323470057625</v>
      </c>
      <c r="K12" s="710">
        <f>(AA12/'1'!K22)/1000</f>
        <v>15315.796458051611</v>
      </c>
      <c r="L12" s="710">
        <f>(AB12/'1'!L22)/1000</f>
        <v>14846.082893679482</v>
      </c>
      <c r="N12" s="19">
        <f t="shared" si="0"/>
        <v>3973414.8602572093</v>
      </c>
      <c r="O12" s="19">
        <f t="shared" si="1"/>
        <v>1993.3426349369065</v>
      </c>
      <c r="P12" s="19">
        <f t="shared" si="2"/>
        <v>2426991.6789242555</v>
      </c>
      <c r="Q12" s="19">
        <f t="shared" si="3"/>
        <v>1557.8805085513636</v>
      </c>
      <c r="R12" s="1">
        <v>395217000000</v>
      </c>
      <c r="S12" s="1">
        <v>6306000000</v>
      </c>
      <c r="T12" s="1">
        <v>1613000000</v>
      </c>
      <c r="U12" s="1">
        <v>11681000000</v>
      </c>
      <c r="V12" s="1">
        <v>9000000000</v>
      </c>
      <c r="W12" s="1">
        <v>91103000000</v>
      </c>
      <c r="X12" s="1">
        <v>161853000000</v>
      </c>
      <c r="Y12" s="1">
        <v>15355000000</v>
      </c>
      <c r="Z12" s="1">
        <v>12775000000</v>
      </c>
      <c r="AA12" s="1">
        <v>37625000000</v>
      </c>
      <c r="AB12" s="1">
        <v>46242000000</v>
      </c>
    </row>
    <row r="13" spans="1:28">
      <c r="A13" s="120">
        <v>1989</v>
      </c>
      <c r="B13" s="710">
        <f>(R13/'1'!B23)/1000</f>
        <v>15865.948404982244</v>
      </c>
      <c r="C13" s="710">
        <f>(S13/'1'!C23)/1000</f>
        <v>11802.945446283156</v>
      </c>
      <c r="D13" s="710">
        <f>(T13/'1'!D23)/1000</f>
        <v>13245.948998486398</v>
      </c>
      <c r="E13" s="710">
        <f>(U13/'1'!E23)/1000</f>
        <v>14031.228944028873</v>
      </c>
      <c r="F13" s="710">
        <f>(V13/'1'!F23)/1000</f>
        <v>13193.60275543476</v>
      </c>
      <c r="G13" s="710">
        <f>(W13/'1'!G23)/1000</f>
        <v>14351.648085060668</v>
      </c>
      <c r="H13" s="710">
        <f>(X13/'1'!H23)/1000</f>
        <v>17685.400965327681</v>
      </c>
      <c r="I13" s="710">
        <f>(Y13/'1'!I23)/1000</f>
        <v>14835.222578166902</v>
      </c>
      <c r="J13" s="710">
        <f>(Z13/'1'!J23)/1000</f>
        <v>13156.255548394754</v>
      </c>
      <c r="K13" s="710">
        <f>(AA13/'1'!K23)/1000</f>
        <v>16234.477099656771</v>
      </c>
      <c r="L13" s="710">
        <f>(AB13/'1'!L23)/1000</f>
        <v>16155.909563694093</v>
      </c>
      <c r="N13" s="19">
        <f t="shared" si="0"/>
        <v>4810825.1761220135</v>
      </c>
      <c r="O13" s="19">
        <f t="shared" si="1"/>
        <v>2193.35933584126</v>
      </c>
      <c r="P13" s="19">
        <f t="shared" si="2"/>
        <v>2860097.8446812439</v>
      </c>
      <c r="Q13" s="19">
        <f t="shared" si="3"/>
        <v>1691.1823806678108</v>
      </c>
      <c r="R13" s="1">
        <v>432772000000</v>
      </c>
      <c r="S13" s="1">
        <v>6805000000</v>
      </c>
      <c r="T13" s="1">
        <v>1724000000</v>
      </c>
      <c r="U13" s="1">
        <v>12682000000</v>
      </c>
      <c r="V13" s="1">
        <v>9699000000</v>
      </c>
      <c r="W13" s="1">
        <v>99387000000</v>
      </c>
      <c r="X13" s="1">
        <v>178681000000</v>
      </c>
      <c r="Y13" s="1">
        <v>16375000000</v>
      </c>
      <c r="Z13" s="1">
        <v>13412000000</v>
      </c>
      <c r="AA13" s="1">
        <v>40559000000</v>
      </c>
      <c r="AB13" s="1">
        <v>51646000000</v>
      </c>
    </row>
    <row r="14" spans="1:28">
      <c r="A14" s="120">
        <v>1990</v>
      </c>
      <c r="B14" s="710">
        <f>(R14/'1'!B24)/1000</f>
        <v>16517.919920806435</v>
      </c>
      <c r="C14" s="710">
        <f>(S14/'1'!C24)/1000</f>
        <v>12569.106704909174</v>
      </c>
      <c r="D14" s="710">
        <f>(T14/'1'!D24)/1000</f>
        <v>13910.616238765682</v>
      </c>
      <c r="E14" s="710">
        <f>(U14/'1'!E24)/1000</f>
        <v>14599.357900644844</v>
      </c>
      <c r="F14" s="710">
        <f>(V14/'1'!F24)/1000</f>
        <v>13691.708234480298</v>
      </c>
      <c r="G14" s="710">
        <f>(W14/'1'!G24)/1000</f>
        <v>15024.326188447425</v>
      </c>
      <c r="H14" s="710">
        <f>(X14/'1'!H24)/1000</f>
        <v>18170.36253116795</v>
      </c>
      <c r="I14" s="710">
        <f>(Y14/'1'!I24)/1000</f>
        <v>15711.660987080939</v>
      </c>
      <c r="J14" s="710">
        <f>(Z14/'1'!J24)/1000</f>
        <v>14233.021443307563</v>
      </c>
      <c r="K14" s="710">
        <f>(AA14/'1'!K24)/1000</f>
        <v>16883.272862577262</v>
      </c>
      <c r="L14" s="710">
        <f>(AB14/'1'!L24)/1000</f>
        <v>17003.071889131323</v>
      </c>
      <c r="N14" s="19">
        <f t="shared" si="0"/>
        <v>4526056.9568560515</v>
      </c>
      <c r="O14" s="19">
        <f t="shared" si="1"/>
        <v>2127.4531620827875</v>
      </c>
      <c r="P14" s="19">
        <f t="shared" si="2"/>
        <v>2735091.908974533</v>
      </c>
      <c r="Q14" s="19">
        <f t="shared" si="3"/>
        <v>1653.811328106847</v>
      </c>
      <c r="R14" s="1">
        <v>457400000000</v>
      </c>
      <c r="S14" s="1">
        <v>7257000000</v>
      </c>
      <c r="T14" s="1">
        <v>1814000000</v>
      </c>
      <c r="U14" s="1">
        <v>13292000000</v>
      </c>
      <c r="V14" s="1">
        <v>10134000000</v>
      </c>
      <c r="W14" s="1">
        <v>105125000000</v>
      </c>
      <c r="X14" s="1">
        <v>187079000000</v>
      </c>
      <c r="Y14" s="1">
        <v>17368000000</v>
      </c>
      <c r="Z14" s="1">
        <v>14343000000</v>
      </c>
      <c r="AA14" s="1">
        <v>43015000000</v>
      </c>
      <c r="AB14" s="1">
        <v>55976000000</v>
      </c>
    </row>
    <row r="15" spans="1:28">
      <c r="A15" s="120">
        <v>1991</v>
      </c>
      <c r="B15" s="710">
        <f>(R15/'1'!B25)/1000</f>
        <v>16852.798866657489</v>
      </c>
      <c r="C15" s="710">
        <f>(S15/'1'!C25)/1000</f>
        <v>13075.266887951917</v>
      </c>
      <c r="D15" s="710">
        <f>(T15/'1'!D25)/1000</f>
        <v>14466.629336728824</v>
      </c>
      <c r="E15" s="710">
        <f>(U15/'1'!E25)/1000</f>
        <v>15043.132608864344</v>
      </c>
      <c r="F15" s="710">
        <f>(V15/'1'!F25)/1000</f>
        <v>14158.351965685175</v>
      </c>
      <c r="G15" s="710">
        <f>(W15/'1'!G25)/1000</f>
        <v>15361.952266435899</v>
      </c>
      <c r="H15" s="710">
        <f>(X15/'1'!H25)/1000</f>
        <v>18474.46669240966</v>
      </c>
      <c r="I15" s="710">
        <f>(Y15/'1'!I25)/1000</f>
        <v>15799.330211498876</v>
      </c>
      <c r="J15" s="710">
        <f>(Z15/'1'!J25)/1000</f>
        <v>14495.673238503938</v>
      </c>
      <c r="K15" s="710">
        <f>(AA15/'1'!K25)/1000</f>
        <v>17313.928216807737</v>
      </c>
      <c r="L15" s="710">
        <f>(AB15/'1'!L25)/1000</f>
        <v>17309.332213325859</v>
      </c>
      <c r="N15" s="19">
        <f t="shared" si="0"/>
        <v>4243781.9473419804</v>
      </c>
      <c r="O15" s="19">
        <f t="shared" si="1"/>
        <v>2060.0441615028499</v>
      </c>
      <c r="P15" s="19">
        <f t="shared" si="2"/>
        <v>2545992.484894448</v>
      </c>
      <c r="Q15" s="19">
        <f t="shared" si="3"/>
        <v>1595.6166472227744</v>
      </c>
      <c r="R15" s="1">
        <v>472509000000</v>
      </c>
      <c r="S15" s="1">
        <v>7579000000</v>
      </c>
      <c r="T15" s="1">
        <v>1886000000</v>
      </c>
      <c r="U15" s="1">
        <v>13764000000</v>
      </c>
      <c r="V15" s="1">
        <v>10556000000</v>
      </c>
      <c r="W15" s="1">
        <v>108569000000</v>
      </c>
      <c r="X15" s="1">
        <v>192713000000</v>
      </c>
      <c r="Y15" s="1">
        <v>17531000000</v>
      </c>
      <c r="Z15" s="1">
        <v>14535000000</v>
      </c>
      <c r="AA15" s="1">
        <v>44883000000</v>
      </c>
      <c r="AB15" s="1">
        <v>58398000000</v>
      </c>
    </row>
    <row r="16" spans="1:28">
      <c r="A16" s="120">
        <v>1992</v>
      </c>
      <c r="B16" s="710">
        <f>(R16/'1'!B26)/1000</f>
        <v>17037.30930000158</v>
      </c>
      <c r="C16" s="710">
        <f>(S16/'1'!C26)/1000</f>
        <v>13359.558289907585</v>
      </c>
      <c r="D16" s="710">
        <f>(T16/'1'!D26)/1000</f>
        <v>14630.007567245293</v>
      </c>
      <c r="E16" s="710">
        <f>(U16/'1'!E26)/1000</f>
        <v>15351.552176244302</v>
      </c>
      <c r="F16" s="710">
        <f>(V16/'1'!F26)/1000</f>
        <v>14544.438667007076</v>
      </c>
      <c r="G16" s="710">
        <f>(W16/'1'!G26)/1000</f>
        <v>15506.86989188482</v>
      </c>
      <c r="H16" s="710">
        <f>(X16/'1'!H26)/1000</f>
        <v>18697.140284358844</v>
      </c>
      <c r="I16" s="710">
        <f>(Y16/'1'!I26)/1000</f>
        <v>16022.446523691704</v>
      </c>
      <c r="J16" s="710">
        <f>(Z16/'1'!J26)/1000</f>
        <v>14189.313691801253</v>
      </c>
      <c r="K16" s="710">
        <f>(AA16/'1'!K26)/1000</f>
        <v>17522.501853630078</v>
      </c>
      <c r="L16" s="710">
        <f>(AB16/'1'!L26)/1000</f>
        <v>17454.15275936764</v>
      </c>
      <c r="N16" s="19">
        <f t="shared" si="0"/>
        <v>4302461.4599253358</v>
      </c>
      <c r="O16" s="19">
        <f t="shared" si="1"/>
        <v>2074.2375611113921</v>
      </c>
      <c r="P16" s="19">
        <f t="shared" si="2"/>
        <v>2587642.0616730885</v>
      </c>
      <c r="Q16" s="19">
        <f t="shared" si="3"/>
        <v>1608.614951339533</v>
      </c>
      <c r="R16" s="1">
        <v>483370000000</v>
      </c>
      <c r="S16" s="1">
        <v>7750000000</v>
      </c>
      <c r="T16" s="1">
        <v>1914000000</v>
      </c>
      <c r="U16" s="1">
        <v>14115000000</v>
      </c>
      <c r="V16" s="1">
        <v>10881000000</v>
      </c>
      <c r="W16" s="1">
        <v>110254000000</v>
      </c>
      <c r="X16" s="1">
        <v>197670000000</v>
      </c>
      <c r="Y16" s="1">
        <v>17828000000</v>
      </c>
      <c r="Z16" s="1">
        <v>14246000000</v>
      </c>
      <c r="AA16" s="1">
        <v>46131000000</v>
      </c>
      <c r="AB16" s="1">
        <v>60545000000</v>
      </c>
    </row>
    <row r="17" spans="1:28">
      <c r="A17" s="120">
        <v>1993</v>
      </c>
      <c r="B17" s="710">
        <f>(R17/'1'!B27)/1000</f>
        <v>17254.595505823232</v>
      </c>
      <c r="C17" s="710">
        <f>(S17/'1'!C27)/1000</f>
        <v>13697.094884797156</v>
      </c>
      <c r="D17" s="710">
        <f>(T17/'1'!D27)/1000</f>
        <v>15282.537809149853</v>
      </c>
      <c r="E17" s="710">
        <f>(U17/'1'!E27)/1000</f>
        <v>15638.715263684824</v>
      </c>
      <c r="F17" s="710">
        <f>(V17/'1'!F27)/1000</f>
        <v>14895.594621881059</v>
      </c>
      <c r="G17" s="710">
        <f>(W17/'1'!G27)/1000</f>
        <v>15837.548244353378</v>
      </c>
      <c r="H17" s="710">
        <f>(X17/'1'!H27)/1000</f>
        <v>18701.991517710227</v>
      </c>
      <c r="I17" s="710">
        <f>(Y17/'1'!I27)/1000</f>
        <v>16039.46965779005</v>
      </c>
      <c r="J17" s="710">
        <f>(Z17/'1'!J27)/1000</f>
        <v>14616.148574833649</v>
      </c>
      <c r="K17" s="710">
        <f>(AA17/'1'!K27)/1000</f>
        <v>17965.787022943121</v>
      </c>
      <c r="L17" s="710">
        <f>(AB17/'1'!L27)/1000</f>
        <v>17801.866262754458</v>
      </c>
      <c r="N17" s="19">
        <f t="shared" si="0"/>
        <v>3806698.6201070524</v>
      </c>
      <c r="O17" s="19">
        <f t="shared" si="1"/>
        <v>1951.0762722423367</v>
      </c>
      <c r="P17" s="19">
        <f t="shared" si="2"/>
        <v>2350042.4444483183</v>
      </c>
      <c r="Q17" s="19">
        <f t="shared" si="3"/>
        <v>1532.9848154656713</v>
      </c>
      <c r="R17" s="1">
        <v>494944000000</v>
      </c>
      <c r="S17" s="1">
        <v>7944000000</v>
      </c>
      <c r="T17" s="1">
        <v>2020000000</v>
      </c>
      <c r="U17" s="1">
        <v>14449000000</v>
      </c>
      <c r="V17" s="1">
        <v>11154000000</v>
      </c>
      <c r="W17" s="1">
        <v>113342000000</v>
      </c>
      <c r="X17" s="1">
        <v>199925000000</v>
      </c>
      <c r="Y17" s="1">
        <v>17926000000</v>
      </c>
      <c r="Z17" s="1">
        <v>14717000000</v>
      </c>
      <c r="AA17" s="1">
        <v>47920000000</v>
      </c>
      <c r="AB17" s="1">
        <v>63513000000</v>
      </c>
    </row>
    <row r="18" spans="1:28">
      <c r="A18" s="120">
        <v>1994</v>
      </c>
      <c r="B18" s="710">
        <f>(R18/'1'!B28)/1000</f>
        <v>17298.84589190254</v>
      </c>
      <c r="C18" s="710">
        <f>(S18/'1'!C28)/1000</f>
        <v>13943.383942652828</v>
      </c>
      <c r="D18" s="710">
        <f>(T18/'1'!D28)/1000</f>
        <v>14965.864040708348</v>
      </c>
      <c r="E18" s="710">
        <f>(U18/'1'!E28)/1000</f>
        <v>15641.874651380829</v>
      </c>
      <c r="F18" s="710">
        <f>(V18/'1'!F28)/1000</f>
        <v>15033.625039157008</v>
      </c>
      <c r="G18" s="710">
        <f>(W18/'1'!G28)/1000</f>
        <v>15934.312913222466</v>
      </c>
      <c r="H18" s="710">
        <f>(X18/'1'!H28)/1000</f>
        <v>18672.361016294632</v>
      </c>
      <c r="I18" s="710">
        <f>(Y18/'1'!I28)/1000</f>
        <v>16264.700907205113</v>
      </c>
      <c r="J18" s="710">
        <f>(Z18/'1'!J28)/1000</f>
        <v>14588.316866007972</v>
      </c>
      <c r="K18" s="710">
        <f>(AA18/'1'!K28)/1000</f>
        <v>17848.586576494308</v>
      </c>
      <c r="L18" s="710">
        <f>(AB18/'1'!L28)/1000</f>
        <v>17968.349394394838</v>
      </c>
      <c r="N18" s="19">
        <f t="shared" si="0"/>
        <v>3749407.5671069412</v>
      </c>
      <c r="O18" s="19">
        <f t="shared" si="1"/>
        <v>1936.3387015465403</v>
      </c>
      <c r="P18" s="19">
        <f t="shared" si="2"/>
        <v>2278746.0076038367</v>
      </c>
      <c r="Q18" s="19">
        <f t="shared" si="3"/>
        <v>1509.551591567455</v>
      </c>
      <c r="R18" s="1">
        <v>501678000000</v>
      </c>
      <c r="S18" s="1">
        <v>8010000000</v>
      </c>
      <c r="T18" s="1">
        <v>1997000000</v>
      </c>
      <c r="U18" s="1">
        <v>14498000000</v>
      </c>
      <c r="V18" s="1">
        <v>11278000000</v>
      </c>
      <c r="W18" s="1">
        <v>114606000000</v>
      </c>
      <c r="X18" s="1">
        <v>202019000000</v>
      </c>
      <c r="Y18" s="1">
        <v>18269000000</v>
      </c>
      <c r="Z18" s="1">
        <v>14728000000</v>
      </c>
      <c r="AA18" s="1">
        <v>48202000000</v>
      </c>
      <c r="AB18" s="1">
        <v>66053000000</v>
      </c>
    </row>
    <row r="19" spans="1:28">
      <c r="A19" s="120">
        <v>1995</v>
      </c>
      <c r="B19" s="710">
        <f>(R19/'1'!B29)/1000</f>
        <v>17731.980252342553</v>
      </c>
      <c r="C19" s="710">
        <f>(S19/'1'!C29)/1000</f>
        <v>14289.818240138737</v>
      </c>
      <c r="D19" s="710">
        <f>(T19/'1'!D29)/1000</f>
        <v>15340.549789830005</v>
      </c>
      <c r="E19" s="710">
        <f>(U19/'1'!E29)/1000</f>
        <v>15952.678532948326</v>
      </c>
      <c r="F19" s="710">
        <f>(V19/'1'!F29)/1000</f>
        <v>15591.063502822451</v>
      </c>
      <c r="G19" s="710">
        <f>(W19/'1'!G29)/1000</f>
        <v>16295.668548079784</v>
      </c>
      <c r="H19" s="710">
        <f>(X19/'1'!H29)/1000</f>
        <v>19111.390478952784</v>
      </c>
      <c r="I19" s="710">
        <f>(Y19/'1'!I29)/1000</f>
        <v>16742.682548819907</v>
      </c>
      <c r="J19" s="710">
        <f>(Z19/'1'!J29)/1000</f>
        <v>15601.659260077282</v>
      </c>
      <c r="K19" s="710">
        <f>(AA19/'1'!K29)/1000</f>
        <v>18301.939024742562</v>
      </c>
      <c r="L19" s="710">
        <f>(AB19/'1'!L29)/1000</f>
        <v>18299.937258265629</v>
      </c>
      <c r="N19" s="19">
        <f t="shared" si="0"/>
        <v>3544702.7636480192</v>
      </c>
      <c r="O19" s="19">
        <f t="shared" si="1"/>
        <v>1882.7381027769154</v>
      </c>
      <c r="P19" s="19">
        <f t="shared" si="2"/>
        <v>2154092.1684326171</v>
      </c>
      <c r="Q19" s="19">
        <f t="shared" si="3"/>
        <v>1467.6825843596487</v>
      </c>
      <c r="R19" s="1">
        <v>519588000000</v>
      </c>
      <c r="S19" s="1">
        <v>8108000000</v>
      </c>
      <c r="T19" s="1">
        <v>2062000000</v>
      </c>
      <c r="U19" s="1">
        <v>14806000000</v>
      </c>
      <c r="V19" s="1">
        <v>11708000000</v>
      </c>
      <c r="W19" s="1">
        <v>117642000000</v>
      </c>
      <c r="X19" s="1">
        <v>209272000000</v>
      </c>
      <c r="Y19" s="1">
        <v>18905000000</v>
      </c>
      <c r="Z19" s="1">
        <v>15823000000</v>
      </c>
      <c r="AA19" s="1">
        <v>50047000000</v>
      </c>
      <c r="AB19" s="1">
        <v>69126000000</v>
      </c>
    </row>
    <row r="20" spans="1:28">
      <c r="A20" s="120">
        <v>1996</v>
      </c>
      <c r="B20" s="710">
        <f>(R20/'1'!B30)/1000</f>
        <v>17824.353741671202</v>
      </c>
      <c r="C20" s="710">
        <f>(S20/'1'!C30)/1000</f>
        <v>14270.195712687915</v>
      </c>
      <c r="D20" s="710">
        <f>(T20/'1'!D30)/1000</f>
        <v>15250.079197271194</v>
      </c>
      <c r="E20" s="710">
        <f>(U20/'1'!E30)/1000</f>
        <v>15903.114588109225</v>
      </c>
      <c r="F20" s="710">
        <f>(V20/'1'!F30)/1000</f>
        <v>15703.1802495919</v>
      </c>
      <c r="G20" s="710">
        <f>(W20/'1'!G30)/1000</f>
        <v>16539.354705883085</v>
      </c>
      <c r="H20" s="710">
        <f>(X20/'1'!H30)/1000</f>
        <v>19018.302334686137</v>
      </c>
      <c r="I20" s="710">
        <f>(Y20/'1'!I30)/1000</f>
        <v>17239.524738228669</v>
      </c>
      <c r="J20" s="710">
        <f>(Z20/'1'!J30)/1000</f>
        <v>16486.660222092458</v>
      </c>
      <c r="K20" s="710">
        <f>(AA20/'1'!K30)/1000</f>
        <v>18506.860752259439</v>
      </c>
      <c r="L20" s="710">
        <f>(AB20/'1'!L30)/1000</f>
        <v>18221.276162998536</v>
      </c>
      <c r="N20" s="19">
        <f t="shared" si="0"/>
        <v>3328101.350199542</v>
      </c>
      <c r="O20" s="19">
        <f t="shared" si="1"/>
        <v>1824.3084580737825</v>
      </c>
      <c r="P20" s="19">
        <f t="shared" si="2"/>
        <v>2094893.5981783292</v>
      </c>
      <c r="Q20" s="19">
        <f t="shared" si="3"/>
        <v>1447.374726246914</v>
      </c>
      <c r="R20" s="1">
        <v>527783000000</v>
      </c>
      <c r="S20" s="1">
        <v>7987000000</v>
      </c>
      <c r="T20" s="1">
        <v>2070000000</v>
      </c>
      <c r="U20" s="1">
        <v>14811000000</v>
      </c>
      <c r="V20" s="1">
        <v>11813000000</v>
      </c>
      <c r="W20" s="1">
        <v>119859000000</v>
      </c>
      <c r="X20" s="1">
        <v>210778000000</v>
      </c>
      <c r="Y20" s="1">
        <v>19553000000</v>
      </c>
      <c r="Z20" s="1">
        <v>16799000000</v>
      </c>
      <c r="AA20" s="1">
        <v>51359000000</v>
      </c>
      <c r="AB20" s="1">
        <v>70595000000</v>
      </c>
    </row>
    <row r="21" spans="1:28">
      <c r="A21" s="120">
        <v>1997</v>
      </c>
      <c r="B21" s="710">
        <f>(R21/'1'!B31)/1000</f>
        <v>18262.788392462931</v>
      </c>
      <c r="C21" s="710">
        <f>(S21/'1'!C31)/1000</f>
        <v>14428.827886900064</v>
      </c>
      <c r="D21" s="710">
        <f>(T21/'1'!D31)/1000</f>
        <v>15562.658437121128</v>
      </c>
      <c r="E21" s="710">
        <f>(U21/'1'!E31)/1000</f>
        <v>16481.088629153517</v>
      </c>
      <c r="F21" s="710">
        <f>(V21/'1'!F31)/1000</f>
        <v>15991.7928110021</v>
      </c>
      <c r="G21" s="710">
        <f>(W21/'1'!G31)/1000</f>
        <v>16769.281546463448</v>
      </c>
      <c r="H21" s="710">
        <f>(X21/'1'!H31)/1000</f>
        <v>19629.573452185148</v>
      </c>
      <c r="I21" s="710">
        <f>(Y21/'1'!I31)/1000</f>
        <v>17194.365423614243</v>
      </c>
      <c r="J21" s="710">
        <f>(Z21/'1'!J31)/1000</f>
        <v>15747.095496423033</v>
      </c>
      <c r="K21" s="710">
        <f>(AA21/'1'!K31)/1000</f>
        <v>19612.360805244662</v>
      </c>
      <c r="L21" s="710">
        <f>(AB21/'1'!L31)/1000</f>
        <v>18483.845977151803</v>
      </c>
      <c r="N21" s="19">
        <f t="shared" si="0"/>
        <v>4376094.4550707676</v>
      </c>
      <c r="O21" s="19">
        <f t="shared" si="1"/>
        <v>2091.9116747775865</v>
      </c>
      <c r="P21" s="19">
        <f t="shared" si="2"/>
        <v>2756330.8299223711</v>
      </c>
      <c r="Q21" s="19">
        <f t="shared" si="3"/>
        <v>1660.2201149011451</v>
      </c>
      <c r="R21" s="1">
        <v>546166000000</v>
      </c>
      <c r="S21" s="1">
        <v>7949000000</v>
      </c>
      <c r="T21" s="1">
        <v>2118000000</v>
      </c>
      <c r="U21" s="1">
        <v>15367000000</v>
      </c>
      <c r="V21" s="1">
        <v>12034000000</v>
      </c>
      <c r="W21" s="1">
        <v>121990000000</v>
      </c>
      <c r="X21" s="1">
        <v>220394000000</v>
      </c>
      <c r="Y21" s="1">
        <v>19535000000</v>
      </c>
      <c r="Z21" s="1">
        <v>16029000000</v>
      </c>
      <c r="AA21" s="1">
        <v>55500000000</v>
      </c>
      <c r="AB21" s="1">
        <v>72985000000</v>
      </c>
    </row>
    <row r="22" spans="1:28">
      <c r="A22" s="120">
        <v>1998</v>
      </c>
      <c r="B22" s="710">
        <f>(R22/'1'!B32)/1000</f>
        <v>18861.307809442846</v>
      </c>
      <c r="C22" s="710">
        <f>(S22/'1'!C32)/1000</f>
        <v>14998.805208180898</v>
      </c>
      <c r="D22" s="710">
        <f>(T22/'1'!D32)/1000</f>
        <v>15868.457482842919</v>
      </c>
      <c r="E22" s="710">
        <f>(U22/'1'!E32)/1000</f>
        <v>17218.695135195463</v>
      </c>
      <c r="F22" s="710">
        <f>(V22/'1'!F32)/1000</f>
        <v>16760.156156316203</v>
      </c>
      <c r="G22" s="710">
        <f>(W22/'1'!G32)/1000</f>
        <v>17199.440510366388</v>
      </c>
      <c r="H22" s="710">
        <f>(X22/'1'!H32)/1000</f>
        <v>20364.597580077461</v>
      </c>
      <c r="I22" s="710">
        <f>(Y22/'1'!I32)/1000</f>
        <v>18030.064466557476</v>
      </c>
      <c r="J22" s="710">
        <f>(Z22/'1'!J32)/1000</f>
        <v>16490.191992387932</v>
      </c>
      <c r="K22" s="710">
        <f>(AA22/'1'!K32)/1000</f>
        <v>20376.562658456205</v>
      </c>
      <c r="L22" s="710">
        <f>(AB22/'1'!L32)/1000</f>
        <v>18675.844747563027</v>
      </c>
      <c r="N22" s="19">
        <f t="shared" si="0"/>
        <v>4465432.6661213478</v>
      </c>
      <c r="O22" s="19">
        <f t="shared" si="1"/>
        <v>2113.1570377331986</v>
      </c>
      <c r="P22" s="19">
        <f t="shared" si="2"/>
        <v>2870197.4447060395</v>
      </c>
      <c r="Q22" s="19">
        <f t="shared" si="3"/>
        <v>1694.1657075699648</v>
      </c>
      <c r="R22" s="1">
        <v>568766000000</v>
      </c>
      <c r="S22" s="1">
        <v>8097000000</v>
      </c>
      <c r="T22" s="1">
        <v>2155000000</v>
      </c>
      <c r="U22" s="1">
        <v>16045000000</v>
      </c>
      <c r="V22" s="1">
        <v>12579000000</v>
      </c>
      <c r="W22" s="1">
        <v>125486000000</v>
      </c>
      <c r="X22" s="1">
        <v>231462000000</v>
      </c>
      <c r="Y22" s="1">
        <v>20509000000</v>
      </c>
      <c r="Z22" s="1">
        <v>16776000000</v>
      </c>
      <c r="AA22" s="1">
        <v>59073000000</v>
      </c>
      <c r="AB22" s="1">
        <v>74388000000</v>
      </c>
    </row>
    <row r="23" spans="1:28">
      <c r="A23" s="120">
        <v>1999</v>
      </c>
      <c r="B23" s="710">
        <f>(R23/'1'!B33)/1000</f>
        <v>19611.900628151059</v>
      </c>
      <c r="C23" s="710">
        <f>(S23/'1'!C33)/1000</f>
        <v>15708.877634630782</v>
      </c>
      <c r="D23" s="710">
        <f>(T23/'1'!D33)/1000</f>
        <v>16627.409543516704</v>
      </c>
      <c r="E23" s="710">
        <f>(U23/'1'!E33)/1000</f>
        <v>18020.227375924194</v>
      </c>
      <c r="F23" s="710">
        <f>(V23/'1'!F33)/1000</f>
        <v>17571.25290267399</v>
      </c>
      <c r="G23" s="710">
        <f>(W23/'1'!G33)/1000</f>
        <v>17898.610589560645</v>
      </c>
      <c r="H23" s="710">
        <f>(X23/'1'!H33)/1000</f>
        <v>21220.435821384872</v>
      </c>
      <c r="I23" s="710">
        <f>(Y23/'1'!I33)/1000</f>
        <v>18497.997283027322</v>
      </c>
      <c r="J23" s="710">
        <f>(Z23/'1'!J33)/1000</f>
        <v>17266.225343116574</v>
      </c>
      <c r="K23" s="710">
        <f>(AA23/'1'!K33)/1000</f>
        <v>20945.293312001388</v>
      </c>
      <c r="L23" s="710">
        <f>(AB23/'1'!L33)/1000</f>
        <v>19298.120968495838</v>
      </c>
      <c r="N23" s="19">
        <f t="shared" si="0"/>
        <v>4498055.7557022404</v>
      </c>
      <c r="O23" s="19">
        <f t="shared" si="1"/>
        <v>2120.8620312746043</v>
      </c>
      <c r="P23" s="19">
        <f t="shared" si="2"/>
        <v>2791229.6497006607</v>
      </c>
      <c r="Q23" s="19">
        <f t="shared" si="3"/>
        <v>1670.6973543106665</v>
      </c>
      <c r="R23" s="1">
        <v>596227000000</v>
      </c>
      <c r="S23" s="1">
        <v>8378000000</v>
      </c>
      <c r="T23" s="1">
        <v>2266000000</v>
      </c>
      <c r="U23" s="1">
        <v>16827000000</v>
      </c>
      <c r="V23" s="1">
        <v>13189000000</v>
      </c>
      <c r="W23" s="1">
        <v>131076000000</v>
      </c>
      <c r="X23" s="1">
        <v>244136000000</v>
      </c>
      <c r="Y23" s="1">
        <v>21133000000</v>
      </c>
      <c r="Z23" s="1">
        <v>17517000000</v>
      </c>
      <c r="AA23" s="1">
        <v>61845000000</v>
      </c>
      <c r="AB23" s="1">
        <v>77412000000</v>
      </c>
    </row>
    <row r="24" spans="1:28">
      <c r="A24" s="120">
        <v>2000</v>
      </c>
      <c r="B24" s="710">
        <f>(R24/'1'!B34)/1000</f>
        <v>20842.489326471947</v>
      </c>
      <c r="C24" s="710">
        <f>(S24/'1'!C34)/1000</f>
        <v>16554.0962865033</v>
      </c>
      <c r="D24" s="710">
        <f>(T24/'1'!D34)/1000</f>
        <v>17732.835055323514</v>
      </c>
      <c r="E24" s="710">
        <f>(U24/'1'!E34)/1000</f>
        <v>18768.050836295177</v>
      </c>
      <c r="F24" s="710">
        <f>(V24/'1'!F34)/1000</f>
        <v>18294.055964088751</v>
      </c>
      <c r="G24" s="710">
        <f>(W24/'1'!G34)/1000</f>
        <v>18915.308801159608</v>
      </c>
      <c r="H24" s="710">
        <f>(X24/'1'!H34)/1000</f>
        <v>22709.01432729993</v>
      </c>
      <c r="I24" s="710">
        <f>(Y24/'1'!I34)/1000</f>
        <v>19264.141520230311</v>
      </c>
      <c r="J24" s="710">
        <f>(Z24/'1'!J34)/1000</f>
        <v>18050.448358170437</v>
      </c>
      <c r="K24" s="710">
        <f>(AA24/'1'!K34)/1000</f>
        <v>22565.090583243848</v>
      </c>
      <c r="L24" s="710">
        <f>(AB24/'1'!L34)/1000</f>
        <v>20276.389311824285</v>
      </c>
      <c r="N24" s="19">
        <f t="shared" si="0"/>
        <v>5963051.1441774908</v>
      </c>
      <c r="O24" s="19">
        <f t="shared" si="1"/>
        <v>2441.9359418661029</v>
      </c>
      <c r="P24" s="19">
        <f t="shared" si="2"/>
        <v>3623539.4987655645</v>
      </c>
      <c r="Q24" s="19">
        <f t="shared" si="3"/>
        <v>1903.5596914112161</v>
      </c>
      <c r="R24" s="1">
        <v>639567000000</v>
      </c>
      <c r="S24" s="1">
        <v>8740000000</v>
      </c>
      <c r="T24" s="1">
        <v>2420000000</v>
      </c>
      <c r="U24" s="1">
        <v>17526000000</v>
      </c>
      <c r="V24" s="1">
        <v>13730000000</v>
      </c>
      <c r="W24" s="1">
        <v>139159000000</v>
      </c>
      <c r="X24" s="1">
        <v>265316000000</v>
      </c>
      <c r="Y24" s="1">
        <v>22102000000</v>
      </c>
      <c r="Z24" s="1">
        <v>18187000000</v>
      </c>
      <c r="AA24" s="1">
        <v>67790000000</v>
      </c>
      <c r="AB24" s="1">
        <v>81901000000</v>
      </c>
    </row>
    <row r="25" spans="1:28">
      <c r="A25" s="120">
        <v>2001</v>
      </c>
      <c r="B25" s="710">
        <f>(R25/'1'!B35)/1000</f>
        <v>21573.73121394551</v>
      </c>
      <c r="C25" s="710">
        <f>(S25/'1'!C35)/1000</f>
        <v>17462.497581570515</v>
      </c>
      <c r="D25" s="710">
        <f>(T25/'1'!D35)/1000</f>
        <v>18051.703826200213</v>
      </c>
      <c r="E25" s="710">
        <f>(U25/'1'!E35)/1000</f>
        <v>19439.028627685653</v>
      </c>
      <c r="F25" s="710">
        <f>(V25/'1'!F35)/1000</f>
        <v>18894.346633306704</v>
      </c>
      <c r="G25" s="710">
        <f>(W25/'1'!G35)/1000</f>
        <v>19672.591721490018</v>
      </c>
      <c r="H25" s="710">
        <f>(X25/'1'!H35)/1000</f>
        <v>23082.691339579847</v>
      </c>
      <c r="I25" s="710">
        <f>(Y25/'1'!I35)/1000</f>
        <v>19952.424748510341</v>
      </c>
      <c r="J25" s="710">
        <f>(Z25/'1'!J35)/1000</f>
        <v>18489.913729065876</v>
      </c>
      <c r="K25" s="710">
        <f>(AA25/'1'!K35)/1000</f>
        <v>24700.647511115865</v>
      </c>
      <c r="L25" s="710">
        <f>(AB25/'1'!L35)/1000</f>
        <v>20933.874744128447</v>
      </c>
      <c r="N25" s="19">
        <f t="shared" si="0"/>
        <v>6925985.4559664633</v>
      </c>
      <c r="O25" s="19">
        <f t="shared" si="1"/>
        <v>2631.7267061696325</v>
      </c>
      <c r="P25" s="19">
        <f t="shared" si="2"/>
        <v>4658674.7849137122</v>
      </c>
      <c r="Q25" s="19">
        <f t="shared" si="3"/>
        <v>2158.3963456496381</v>
      </c>
      <c r="R25" s="1">
        <v>669196000000</v>
      </c>
      <c r="S25" s="1">
        <v>9116000000</v>
      </c>
      <c r="T25" s="1">
        <v>2467000000</v>
      </c>
      <c r="U25" s="1">
        <v>18126000000</v>
      </c>
      <c r="V25" s="1">
        <v>14167000000</v>
      </c>
      <c r="W25" s="1">
        <v>145505000000</v>
      </c>
      <c r="X25" s="1">
        <v>274607000000</v>
      </c>
      <c r="Y25" s="1">
        <v>22974000000</v>
      </c>
      <c r="Z25" s="1">
        <v>18494000000</v>
      </c>
      <c r="AA25" s="1">
        <v>75535000000</v>
      </c>
      <c r="AB25" s="1">
        <v>85332000000</v>
      </c>
    </row>
    <row r="26" spans="1:28">
      <c r="A26" s="120">
        <v>2002</v>
      </c>
      <c r="B26" s="710">
        <f>(R26/'1'!B36)/1000</f>
        <v>22134.89871803148</v>
      </c>
      <c r="C26" s="710">
        <f>(S26/'1'!C36)/1000</f>
        <v>18056.670343059413</v>
      </c>
      <c r="D26" s="710">
        <f>(T26/'1'!D36)/1000</f>
        <v>19039.130307723779</v>
      </c>
      <c r="E26" s="710">
        <f>(U26/'1'!E36)/1000</f>
        <v>19971.872109003602</v>
      </c>
      <c r="F26" s="710">
        <f>(V26/'1'!F36)/1000</f>
        <v>19323.903588667759</v>
      </c>
      <c r="G26" s="710">
        <f>(W26/'1'!G36)/1000</f>
        <v>20409.817074842402</v>
      </c>
      <c r="H26" s="710">
        <f>(X26/'1'!H36)/1000</f>
        <v>23501.39098996454</v>
      </c>
      <c r="I26" s="710">
        <f>(Y26/'1'!I36)/1000</f>
        <v>20471.843218085913</v>
      </c>
      <c r="J26" s="710">
        <f>(Z26/'1'!J36)/1000</f>
        <v>19110.13331647942</v>
      </c>
      <c r="K26" s="710">
        <f>(AA26/'1'!K36)/1000</f>
        <v>25036.408806647818</v>
      </c>
      <c r="L26" s="710">
        <f>(AB26/'1'!L36)/1000</f>
        <v>21617.899466543426</v>
      </c>
      <c r="N26" s="19">
        <f t="shared" si="0"/>
        <v>6424032.2612983473</v>
      </c>
      <c r="O26" s="19">
        <f t="shared" si="1"/>
        <v>2534.5674702596393</v>
      </c>
      <c r="P26" s="19">
        <f t="shared" si="2"/>
        <v>4230695.5616873931</v>
      </c>
      <c r="Q26" s="19">
        <f t="shared" si="3"/>
        <v>2056.8654700022053</v>
      </c>
      <c r="R26" s="1">
        <v>694010000000</v>
      </c>
      <c r="S26" s="1">
        <v>9381000000</v>
      </c>
      <c r="T26" s="1">
        <v>2606000000</v>
      </c>
      <c r="U26" s="1">
        <v>18674000000</v>
      </c>
      <c r="V26" s="1">
        <v>14480000000</v>
      </c>
      <c r="W26" s="1">
        <v>151871000000</v>
      </c>
      <c r="X26" s="1">
        <v>284156000000</v>
      </c>
      <c r="Y26" s="1">
        <v>23678000000</v>
      </c>
      <c r="Z26" s="1">
        <v>19049000000</v>
      </c>
      <c r="AA26" s="1">
        <v>78323000000</v>
      </c>
      <c r="AB26" s="1">
        <v>88594000000</v>
      </c>
    </row>
    <row r="27" spans="1:28">
      <c r="A27" s="120">
        <v>2003</v>
      </c>
      <c r="B27" s="710">
        <f>(R27/'1'!B37)/1000</f>
        <v>22783.265438609189</v>
      </c>
      <c r="C27" s="710">
        <f>(S27/'1'!C37)/1000</f>
        <v>18847.874720357944</v>
      </c>
      <c r="D27" s="710">
        <f>(T27/'1'!D37)/1000</f>
        <v>19202.600185102863</v>
      </c>
      <c r="E27" s="710">
        <f>(U27/'1'!E37)/1000</f>
        <v>20482.329963700984</v>
      </c>
      <c r="F27" s="710">
        <f>(V27/'1'!F37)/1000</f>
        <v>20052.335969703316</v>
      </c>
      <c r="G27" s="710">
        <f>(W27/'1'!G37)/1000</f>
        <v>21216.462338618603</v>
      </c>
      <c r="H27" s="710">
        <f>(X27/'1'!H37)/1000</f>
        <v>24010.492169223806</v>
      </c>
      <c r="I27" s="710">
        <f>(Y27/'1'!I37)/1000</f>
        <v>20996.392050653925</v>
      </c>
      <c r="J27" s="710">
        <f>(Z27/'1'!J37)/1000</f>
        <v>20309.428259187564</v>
      </c>
      <c r="K27" s="710">
        <f>(AA27/'1'!K37)/1000</f>
        <v>25740.435685663986</v>
      </c>
      <c r="L27" s="710">
        <f>(AB27/'1'!L37)/1000</f>
        <v>22197.042690707058</v>
      </c>
      <c r="N27" s="19">
        <f t="shared" si="0"/>
        <v>6342300.0864365809</v>
      </c>
      <c r="O27" s="19">
        <f t="shared" si="1"/>
        <v>2518.3923614950431</v>
      </c>
      <c r="P27" s="19">
        <f t="shared" si="2"/>
        <v>4158625.8509825137</v>
      </c>
      <c r="Q27" s="19">
        <f t="shared" si="3"/>
        <v>2039.2709116207473</v>
      </c>
      <c r="R27" s="1">
        <v>720855000000</v>
      </c>
      <c r="S27" s="1">
        <v>9773000000</v>
      </c>
      <c r="T27" s="1">
        <v>2635000000</v>
      </c>
      <c r="U27" s="1">
        <v>19202000000</v>
      </c>
      <c r="V27" s="1">
        <v>15027000000</v>
      </c>
      <c r="W27" s="1">
        <v>158823000000</v>
      </c>
      <c r="X27" s="1">
        <v>293943000000</v>
      </c>
      <c r="Y27" s="1">
        <v>24436000000</v>
      </c>
      <c r="Z27" s="1">
        <v>20238000000</v>
      </c>
      <c r="AA27" s="1">
        <v>81942000000</v>
      </c>
      <c r="AB27" s="1">
        <v>91505000000</v>
      </c>
    </row>
    <row r="28" spans="1:28">
      <c r="A28" s="120">
        <v>2004</v>
      </c>
      <c r="B28" s="710">
        <f>(R28/'1'!B38)/1000</f>
        <v>23808.575623133336</v>
      </c>
      <c r="C28" s="710">
        <f>(S28/'1'!C38)/1000</f>
        <v>19449.334907729681</v>
      </c>
      <c r="D28" s="710">
        <f>(T28/'1'!D38)/1000</f>
        <v>19785.870970553624</v>
      </c>
      <c r="E28" s="710">
        <f>(U28/'1'!E38)/1000</f>
        <v>21382.279300301478</v>
      </c>
      <c r="F28" s="710">
        <f>(V28/'1'!F38)/1000</f>
        <v>21088.409048145837</v>
      </c>
      <c r="G28" s="710">
        <f>(W28/'1'!G38)/1000</f>
        <v>22000.074576074163</v>
      </c>
      <c r="H28" s="710">
        <f>(X28/'1'!H38)/1000</f>
        <v>24888.465844145227</v>
      </c>
      <c r="I28" s="710">
        <f>(Y28/'1'!I38)/1000</f>
        <v>21927.186029588451</v>
      </c>
      <c r="J28" s="710">
        <f>(Z28/'1'!J38)/1000</f>
        <v>21948.033329089165</v>
      </c>
      <c r="K28" s="710">
        <f>(AA28/'1'!K38)/1000</f>
        <v>27645.254425799769</v>
      </c>
      <c r="L28" s="710">
        <f>(AB28/'1'!L38)/1000</f>
        <v>23321.067489416797</v>
      </c>
      <c r="N28" s="19">
        <f t="shared" si="0"/>
        <v>7486720.415113315</v>
      </c>
      <c r="O28" s="19">
        <f t="shared" si="1"/>
        <v>2736.1872039597938</v>
      </c>
      <c r="P28" s="19">
        <f t="shared" si="2"/>
        <v>5340559.7836571513</v>
      </c>
      <c r="Q28" s="19">
        <f t="shared" si="3"/>
        <v>2310.9651195241245</v>
      </c>
      <c r="R28" s="1">
        <v>760462000000</v>
      </c>
      <c r="S28" s="1">
        <v>10064000000</v>
      </c>
      <c r="T28" s="1">
        <v>2724000000</v>
      </c>
      <c r="U28" s="1">
        <v>20086000000</v>
      </c>
      <c r="V28" s="1">
        <v>15803000000</v>
      </c>
      <c r="W28" s="1">
        <v>165791000000</v>
      </c>
      <c r="X28" s="1">
        <v>308383000000</v>
      </c>
      <c r="Y28" s="1">
        <v>25733000000</v>
      </c>
      <c r="Z28" s="1">
        <v>21892000000</v>
      </c>
      <c r="AA28" s="1">
        <v>89556000000</v>
      </c>
      <c r="AB28" s="1">
        <v>96903000000</v>
      </c>
    </row>
    <row r="29" spans="1:28">
      <c r="A29" s="120">
        <v>2005</v>
      </c>
      <c r="B29" s="710">
        <f>(R29/'1'!B39)/1000</f>
        <v>24632.155431214604</v>
      </c>
      <c r="C29" s="710">
        <f>(S29/'1'!C39)/1000</f>
        <v>20125.864418708188</v>
      </c>
      <c r="D29" s="710">
        <f>(T29/'1'!D39)/1000</f>
        <v>20441.128535728516</v>
      </c>
      <c r="E29" s="710">
        <f>(U29/'1'!E39)/1000</f>
        <v>22389.467994255501</v>
      </c>
      <c r="F29" s="710">
        <f>(V29/'1'!F39)/1000</f>
        <v>21808.652869137386</v>
      </c>
      <c r="G29" s="710">
        <f>(W29/'1'!G39)/1000</f>
        <v>22567.925157654845</v>
      </c>
      <c r="H29" s="710">
        <f>(X29/'1'!H39)/1000</f>
        <v>25522.090469075258</v>
      </c>
      <c r="I29" s="710">
        <f>(Y29/'1'!I39)/1000</f>
        <v>22405.989641017022</v>
      </c>
      <c r="J29" s="710">
        <f>(Z29/'1'!J39)/1000</f>
        <v>22258.924554564863</v>
      </c>
      <c r="K29" s="710">
        <f>(AA29/'1'!K39)/1000</f>
        <v>29636.987538378187</v>
      </c>
      <c r="L29" s="710">
        <f>(AB29/'1'!L39)/1000</f>
        <v>24226.384558857873</v>
      </c>
      <c r="N29" s="19">
        <f t="shared" si="0"/>
        <v>9172724.3121005613</v>
      </c>
      <c r="O29" s="19">
        <f t="shared" si="1"/>
        <v>3028.6505760982996</v>
      </c>
      <c r="P29" s="19">
        <f t="shared" si="2"/>
        <v>6941244.4713106537</v>
      </c>
      <c r="Q29" s="19">
        <f t="shared" si="3"/>
        <v>2634.6241613009347</v>
      </c>
      <c r="R29" s="1">
        <v>794269000000</v>
      </c>
      <c r="S29" s="1">
        <v>10352000000</v>
      </c>
      <c r="T29" s="1">
        <v>2822000000</v>
      </c>
      <c r="U29" s="1">
        <v>21000000000</v>
      </c>
      <c r="V29" s="1">
        <v>16312000000</v>
      </c>
      <c r="W29" s="1">
        <v>171108000000</v>
      </c>
      <c r="X29" s="1">
        <v>319753000000</v>
      </c>
      <c r="Y29" s="1">
        <v>26401000000</v>
      </c>
      <c r="Z29" s="1">
        <v>22116000000</v>
      </c>
      <c r="AA29" s="1">
        <v>98460000000</v>
      </c>
      <c r="AB29" s="1">
        <v>101673000000</v>
      </c>
    </row>
    <row r="30" spans="1:28">
      <c r="A30" s="120">
        <v>2006</v>
      </c>
      <c r="B30" s="710">
        <f>(R30/'1'!B40)/1000</f>
        <v>26173.780179895217</v>
      </c>
      <c r="C30" s="710">
        <f>(S30/'1'!C40)/1000</f>
        <v>25339.350555443423</v>
      </c>
      <c r="D30" s="710">
        <f>(T30/'1'!D40)/1000</f>
        <v>21555.97447795824</v>
      </c>
      <c r="E30" s="710">
        <f>(U30/'1'!E40)/1000</f>
        <v>23312.118207695014</v>
      </c>
      <c r="F30" s="710">
        <f>(V30/'1'!F40)/1000</f>
        <v>22768.662981410107</v>
      </c>
      <c r="G30" s="710">
        <f>(W30/'1'!G40)/1000</f>
        <v>23353.572117440857</v>
      </c>
      <c r="H30" s="710">
        <f>(X30/'1'!H40)/1000</f>
        <v>26822.401851477254</v>
      </c>
      <c r="I30" s="710">
        <f>(Y30/'1'!I40)/1000</f>
        <v>23558.50480266142</v>
      </c>
      <c r="J30" s="710">
        <f>(Z30/'1'!J40)/1000</f>
        <v>23388.252654411455</v>
      </c>
      <c r="K30" s="710">
        <f>(AA30/'1'!K40)/1000</f>
        <v>32643.303491440121</v>
      </c>
      <c r="L30" s="710">
        <f>(AB30/'1'!L40)/1000</f>
        <v>25970.76053709368</v>
      </c>
      <c r="N30" s="19"/>
      <c r="O30" s="19"/>
      <c r="P30" s="19"/>
      <c r="Q30" s="19"/>
      <c r="R30" s="1">
        <v>852639000000</v>
      </c>
      <c r="S30" s="1">
        <v>12931000000</v>
      </c>
      <c r="T30" s="1">
        <v>2973000000</v>
      </c>
      <c r="U30" s="1">
        <v>21867000000</v>
      </c>
      <c r="V30" s="1">
        <v>16978000000</v>
      </c>
      <c r="W30" s="1">
        <v>178224000000</v>
      </c>
      <c r="X30" s="1">
        <v>339715000000</v>
      </c>
      <c r="Y30" s="1">
        <v>27894000000</v>
      </c>
      <c r="Z30" s="1">
        <v>23204000000</v>
      </c>
      <c r="AA30" s="1">
        <v>111681000000</v>
      </c>
      <c r="AB30" s="1">
        <v>110209000000</v>
      </c>
    </row>
    <row r="31" spans="1:28">
      <c r="A31" s="120">
        <v>2007</v>
      </c>
      <c r="B31" s="710">
        <f>(R31/'1'!B41)/1000</f>
        <v>27258.841063902699</v>
      </c>
      <c r="C31" s="710">
        <f>(S31/'1'!C41)/1000</f>
        <v>24965.495726208836</v>
      </c>
      <c r="D31" s="710">
        <f>(T31/'1'!D41)/1000</f>
        <v>22538.698793785024</v>
      </c>
      <c r="E31" s="710">
        <f>(U31/'1'!E41)/1000</f>
        <v>24320.567839587882</v>
      </c>
      <c r="F31" s="710">
        <f>(V31/'1'!F41)/1000</f>
        <v>23821.726122596829</v>
      </c>
      <c r="G31" s="710">
        <f>(W31/'1'!G41)/1000</f>
        <v>24501.570249847846</v>
      </c>
      <c r="H31" s="710">
        <f>(X31/'1'!H41)/1000</f>
        <v>27736.116230869688</v>
      </c>
      <c r="I31" s="710">
        <f>(Y31/'1'!I41)/1000</f>
        <v>24981.692715795543</v>
      </c>
      <c r="J31" s="710">
        <f>(Z31/'1'!J41)/1000</f>
        <v>25274.658221441099</v>
      </c>
      <c r="K31" s="710">
        <f>(AA31/'1'!K41)/1000</f>
        <v>34837.870262030279</v>
      </c>
      <c r="L31" s="710">
        <f>(AB31/'1'!L41)/1000</f>
        <v>27228.467591040542</v>
      </c>
      <c r="N31" s="19"/>
      <c r="O31" s="19"/>
      <c r="P31" s="19"/>
      <c r="Q31" s="19"/>
      <c r="R31" s="1">
        <v>897562000000</v>
      </c>
      <c r="S31" s="1">
        <v>12644000000</v>
      </c>
      <c r="T31" s="1">
        <v>3113000000</v>
      </c>
      <c r="U31" s="1">
        <v>22765000000</v>
      </c>
      <c r="V31" s="1">
        <v>17756000000</v>
      </c>
      <c r="W31" s="1">
        <v>188320000000</v>
      </c>
      <c r="X31" s="1">
        <v>354844000000</v>
      </c>
      <c r="Y31" s="1">
        <v>29816000000</v>
      </c>
      <c r="Z31" s="1">
        <v>25267000000</v>
      </c>
      <c r="AA31" s="1">
        <v>122312000000</v>
      </c>
      <c r="AB31" s="1">
        <v>117363000000</v>
      </c>
    </row>
    <row r="32" spans="1:28">
      <c r="A32" s="120">
        <v>2008</v>
      </c>
      <c r="B32" s="710">
        <f>(R32/'1'!B42)/1000</f>
        <v>28547.233500230206</v>
      </c>
      <c r="C32" s="710">
        <f>(S32/'1'!C42)/1000</f>
        <v>24512.940666870119</v>
      </c>
      <c r="D32" s="710">
        <f>(T32/'1'!D42)/1000</f>
        <v>23194.43848431532</v>
      </c>
      <c r="E32" s="710">
        <f>(U32/'1'!E42)/1000</f>
        <v>25404.184118255162</v>
      </c>
      <c r="F32" s="710">
        <f>(V32/'1'!F42)/1000</f>
        <v>24870.801898027836</v>
      </c>
      <c r="G32" s="710">
        <f>(W32/'1'!G42)/1000</f>
        <v>25493.567902164814</v>
      </c>
      <c r="H32" s="710">
        <f>(X32/'1'!H42)/1000</f>
        <v>28847.096866608976</v>
      </c>
      <c r="I32" s="710">
        <f>(Y32/'1'!I42)/1000</f>
        <v>26396.591275034993</v>
      </c>
      <c r="J32" s="710">
        <f>(Z32/'1'!J42)/1000</f>
        <v>28280.929344429296</v>
      </c>
      <c r="K32" s="710">
        <f>(AA32/'1'!K42)/1000</f>
        <v>37189.321929229031</v>
      </c>
      <c r="L32" s="710">
        <f>(AB32/'1'!L42)/1000</f>
        <v>28616.467534826868</v>
      </c>
      <c r="N32" s="19"/>
      <c r="O32" s="19"/>
      <c r="P32" s="19"/>
      <c r="Q32" s="19"/>
      <c r="R32" s="1">
        <v>950948000000</v>
      </c>
      <c r="S32" s="1">
        <v>12450000000</v>
      </c>
      <c r="T32" s="1">
        <v>3243000000</v>
      </c>
      <c r="U32" s="1">
        <v>23837000000</v>
      </c>
      <c r="V32" s="1">
        <v>18586000000</v>
      </c>
      <c r="W32" s="1">
        <v>197588000000</v>
      </c>
      <c r="X32" s="1">
        <v>372964000000</v>
      </c>
      <c r="Y32" s="1">
        <v>31886000000</v>
      </c>
      <c r="Z32" s="1">
        <v>28733000000</v>
      </c>
      <c r="AA32" s="1">
        <v>133329000000</v>
      </c>
      <c r="AB32" s="1">
        <v>125386000000</v>
      </c>
    </row>
    <row r="33" spans="1:17">
      <c r="A33" s="120"/>
      <c r="B33" s="23"/>
      <c r="C33" s="644"/>
      <c r="D33" s="666" t="s">
        <v>802</v>
      </c>
      <c r="E33" s="644"/>
      <c r="F33" s="644"/>
      <c r="G33" s="644"/>
      <c r="H33" s="644"/>
      <c r="I33" s="644"/>
      <c r="J33" s="644"/>
      <c r="K33" s="644"/>
      <c r="L33" s="644"/>
    </row>
    <row r="34" spans="1:17">
      <c r="A34" s="448" t="s">
        <v>603</v>
      </c>
      <c r="B34" s="23">
        <f>((((B13/B5))^(1/8))-1)*100</f>
        <v>6.4628580631948429</v>
      </c>
      <c r="C34" s="23">
        <f t="shared" ref="C34:L34" si="4">((((C13/C5))^(1/8))-1)*100</f>
        <v>7.3154799875607024</v>
      </c>
      <c r="D34" s="23">
        <f t="shared" si="4"/>
        <v>7.5237082277498368</v>
      </c>
      <c r="E34" s="23">
        <f t="shared" si="4"/>
        <v>7.1177089002112615</v>
      </c>
      <c r="F34" s="23">
        <f t="shared" si="4"/>
        <v>7.3645045362613182</v>
      </c>
      <c r="G34" s="23">
        <f t="shared" si="4"/>
        <v>6.5532289380722641</v>
      </c>
      <c r="H34" s="23">
        <f t="shared" si="4"/>
        <v>7.2030627754308352</v>
      </c>
      <c r="I34" s="23">
        <f t="shared" si="4"/>
        <v>6.1141654131939394</v>
      </c>
      <c r="J34" s="23">
        <f t="shared" si="4"/>
        <v>4.5624234578688583</v>
      </c>
      <c r="K34" s="23">
        <f t="shared" si="4"/>
        <v>4.6654259533514431</v>
      </c>
      <c r="L34" s="23">
        <f t="shared" si="4"/>
        <v>5.1841632085774636</v>
      </c>
      <c r="M34" s="23"/>
      <c r="N34" s="23">
        <f>((((N13/N5))^(1/8))-1)*100</f>
        <v>8.0885921379064918</v>
      </c>
      <c r="O34" s="23">
        <f>((((O13/O5))^(1/8))-1)*100</f>
        <v>3.965663628866678</v>
      </c>
      <c r="P34" s="23">
        <f>((((P13/P5))^(1/8))-1)*100</f>
        <v>4.1440261990745686</v>
      </c>
      <c r="Q34" s="23">
        <f>((((Q13/Q5))^(1/8))-1)*100</f>
        <v>2.0509804945913146</v>
      </c>
    </row>
    <row r="35" spans="1:17">
      <c r="A35" s="448" t="s">
        <v>604</v>
      </c>
      <c r="B35" s="23">
        <f>((((B24/B13))^(1/11))-1)*100</f>
        <v>2.5111797978087491</v>
      </c>
      <c r="C35" s="23">
        <f t="shared" ref="C35:L35" si="5">((((C24/C13))^(1/11))-1)*100</f>
        <v>3.1230895915093315</v>
      </c>
      <c r="D35" s="23">
        <f t="shared" si="5"/>
        <v>2.6875366993539096</v>
      </c>
      <c r="E35" s="23">
        <f t="shared" si="5"/>
        <v>2.6795486394989299</v>
      </c>
      <c r="F35" s="23">
        <f t="shared" si="5"/>
        <v>3.0158941200726597</v>
      </c>
      <c r="G35" s="23">
        <f t="shared" si="5"/>
        <v>2.5418290958824308</v>
      </c>
      <c r="H35" s="23">
        <f t="shared" si="5"/>
        <v>2.2989593436960609</v>
      </c>
      <c r="I35" s="23">
        <f t="shared" si="5"/>
        <v>2.4033454203115534</v>
      </c>
      <c r="J35" s="23">
        <f t="shared" si="5"/>
        <v>2.9169438450049379</v>
      </c>
      <c r="K35" s="23">
        <f t="shared" si="5"/>
        <v>3.0385856519951515</v>
      </c>
      <c r="L35" s="23">
        <f t="shared" si="5"/>
        <v>2.0866655902560982</v>
      </c>
      <c r="M35" s="23"/>
      <c r="N35" s="23">
        <f>((((N28/N5))^(1/23))-1)*100</f>
        <v>4.7370831221769771</v>
      </c>
      <c r="O35" s="23">
        <f>((((O28/O5))^(1/23))-1)*100</f>
        <v>2.341136949995315</v>
      </c>
      <c r="P35" s="23">
        <f>((((P28/P5))^(1/23))-1)*100</f>
        <v>4.213804799632892</v>
      </c>
      <c r="Q35" s="23">
        <f>((((Q28/Q5))^(1/23))-1)*100</f>
        <v>2.0851628786636711</v>
      </c>
    </row>
    <row r="36" spans="1:17">
      <c r="A36" s="448" t="s">
        <v>808</v>
      </c>
      <c r="B36" s="23">
        <f t="shared" ref="B36:L36" si="6">((((B29/B5))^(1/24))-1)*100</f>
        <v>3.9982159998807498</v>
      </c>
      <c r="C36" s="23">
        <f t="shared" si="6"/>
        <v>4.683354317351518</v>
      </c>
      <c r="D36" s="23">
        <f t="shared" si="6"/>
        <v>4.3163347159130394</v>
      </c>
      <c r="E36" s="23">
        <f t="shared" si="6"/>
        <v>4.3301730375798986</v>
      </c>
      <c r="F36" s="23">
        <f t="shared" si="6"/>
        <v>4.563786398240044</v>
      </c>
      <c r="G36" s="23">
        <f t="shared" si="6"/>
        <v>4.0830752961371619</v>
      </c>
      <c r="H36" s="23">
        <f t="shared" si="6"/>
        <v>3.9217903201866022</v>
      </c>
      <c r="I36" s="23">
        <f t="shared" si="6"/>
        <v>3.7653543704696979</v>
      </c>
      <c r="J36" s="23">
        <f t="shared" si="6"/>
        <v>3.7466403272111704</v>
      </c>
      <c r="K36" s="23">
        <f t="shared" si="6"/>
        <v>4.1100299547508934</v>
      </c>
      <c r="L36" s="23">
        <f t="shared" si="6"/>
        <v>3.4304311737198168</v>
      </c>
      <c r="M36" s="23"/>
      <c r="N36" s="23">
        <f>((((N29/N5))^(1/24))-1)*100</f>
        <v>5.4236953747091921</v>
      </c>
      <c r="O36" s="23">
        <f>((((O29/O5))^(1/24))-1)*100</f>
        <v>2.6760416916766339</v>
      </c>
      <c r="P36" s="23">
        <f>((((P29/P5))^(1/24))-1)*100</f>
        <v>5.177329550994747</v>
      </c>
      <c r="Q36" s="23">
        <f>((((Q29/Q5))^(1/24))-1)*100</f>
        <v>2.555999118040253</v>
      </c>
    </row>
    <row r="37" spans="1:17">
      <c r="A37" s="448" t="s">
        <v>819</v>
      </c>
      <c r="B37" s="644">
        <f t="shared" ref="B37:L37" si="7">((((B30/B5))^(1/25))-1)*100</f>
        <v>4.0877007346594274</v>
      </c>
      <c r="C37" s="23">
        <f t="shared" si="7"/>
        <v>5.4591246870471677</v>
      </c>
      <c r="D37" s="23">
        <f t="shared" si="7"/>
        <v>4.3616022333820892</v>
      </c>
      <c r="E37" s="23">
        <f t="shared" si="7"/>
        <v>4.3217945160267002</v>
      </c>
      <c r="F37" s="23">
        <f t="shared" si="7"/>
        <v>4.557308884539224</v>
      </c>
      <c r="G37" s="23">
        <f t="shared" si="7"/>
        <v>4.0589354075107442</v>
      </c>
      <c r="H37" s="23">
        <f t="shared" si="7"/>
        <v>3.9684602012412196</v>
      </c>
      <c r="I37" s="23">
        <f t="shared" si="7"/>
        <v>3.8201429055166658</v>
      </c>
      <c r="J37" s="23">
        <f t="shared" si="7"/>
        <v>3.7993954193814572</v>
      </c>
      <c r="K37" s="23">
        <f t="shared" si="7"/>
        <v>4.3449103800248468</v>
      </c>
      <c r="L37" s="23">
        <f t="shared" si="7"/>
        <v>3.578649493008812</v>
      </c>
      <c r="M37" s="23"/>
      <c r="N37" s="23">
        <f>((((N24/N13))^(1/11))-1)*100</f>
        <v>1.9711173476348876</v>
      </c>
      <c r="O37" s="23">
        <f>((((O24/O13))^(1/11))-1)*100</f>
        <v>0.98074932759950606</v>
      </c>
      <c r="P37" s="23">
        <f>((((P24/P13))^(1/11))-1)*100</f>
        <v>2.1741658510827433</v>
      </c>
      <c r="Q37" s="23">
        <f>((((Q24/Q13))^(1/11))-1)*100</f>
        <v>1.081237552318659</v>
      </c>
    </row>
    <row r="38" spans="1:17">
      <c r="A38" s="448" t="s">
        <v>447</v>
      </c>
      <c r="B38" s="644">
        <f>((((B31/B5))^(1/26))-1)*100</f>
        <v>4.0899271300438578</v>
      </c>
      <c r="C38" s="644">
        <f t="shared" ref="C38:L38" si="8">((((C31/C5))^(1/26))-1)*100</f>
        <v>5.1835997336412643</v>
      </c>
      <c r="D38" s="644">
        <f t="shared" si="8"/>
        <v>4.3691853225238164</v>
      </c>
      <c r="E38" s="644">
        <f t="shared" si="8"/>
        <v>4.3219508836715326</v>
      </c>
      <c r="F38" s="644">
        <f t="shared" si="8"/>
        <v>4.5599136855346334</v>
      </c>
      <c r="G38" s="644">
        <f t="shared" si="8"/>
        <v>4.0917592273855385</v>
      </c>
      <c r="H38" s="644">
        <f t="shared" si="8"/>
        <v>3.946791316946463</v>
      </c>
      <c r="I38" s="644">
        <f t="shared" si="8"/>
        <v>3.9046971011301279</v>
      </c>
      <c r="J38" s="644">
        <f t="shared" si="8"/>
        <v>3.9603229053713607</v>
      </c>
      <c r="K38" s="644">
        <f t="shared" si="8"/>
        <v>4.4353829628586361</v>
      </c>
      <c r="L38" s="644">
        <f t="shared" si="8"/>
        <v>3.6269869072152572</v>
      </c>
      <c r="M38" s="23"/>
      <c r="N38" s="23"/>
      <c r="O38" s="23"/>
      <c r="P38" s="23"/>
      <c r="Q38" s="23"/>
    </row>
    <row r="39" spans="1:17">
      <c r="A39" s="448" t="s">
        <v>1408</v>
      </c>
      <c r="B39" s="644">
        <f>((((B32/B5))^(1/27))-1)*100</f>
        <v>4.1134352041221067</v>
      </c>
      <c r="C39" s="644">
        <f t="shared" ref="C39:L39" si="9">((((C32/C5))^(1/27))-1)*100</f>
        <v>4.9157980892714059</v>
      </c>
      <c r="D39" s="644">
        <f t="shared" si="9"/>
        <v>4.3147515297577321</v>
      </c>
      <c r="E39" s="644">
        <f t="shared" si="9"/>
        <v>4.3268961359107294</v>
      </c>
      <c r="F39" s="644">
        <f t="shared" si="9"/>
        <v>4.5541298098553007</v>
      </c>
      <c r="G39" s="644">
        <f t="shared" si="9"/>
        <v>4.0901645132543019</v>
      </c>
      <c r="H39" s="644">
        <f t="shared" si="9"/>
        <v>3.9489665228868764</v>
      </c>
      <c r="I39" s="644">
        <f t="shared" si="9"/>
        <v>3.9693216638503781</v>
      </c>
      <c r="J39" s="644">
        <f t="shared" si="9"/>
        <v>4.2438904315624804</v>
      </c>
      <c r="K39" s="644">
        <f t="shared" si="9"/>
        <v>4.5201968859206909</v>
      </c>
      <c r="L39" s="644">
        <f t="shared" si="9"/>
        <v>3.6810855220684724</v>
      </c>
      <c r="M39" s="23"/>
      <c r="N39" s="23"/>
      <c r="O39" s="23"/>
      <c r="P39" s="23"/>
      <c r="Q39" s="23"/>
    </row>
    <row r="40" spans="1:17">
      <c r="A40" s="448" t="s">
        <v>809</v>
      </c>
      <c r="B40" s="644">
        <f t="shared" ref="B40:L40" si="10">((((B29/B24))^(1/5))-1)*100</f>
        <v>3.3976255725428839</v>
      </c>
      <c r="C40" s="644">
        <f t="shared" si="10"/>
        <v>3.984788577903231</v>
      </c>
      <c r="D40" s="644">
        <f t="shared" si="10"/>
        <v>2.8834073293564799</v>
      </c>
      <c r="E40" s="644">
        <f t="shared" si="10"/>
        <v>3.5916905710741576</v>
      </c>
      <c r="F40" s="644">
        <f t="shared" si="10"/>
        <v>3.5771047770237319</v>
      </c>
      <c r="G40" s="644">
        <f t="shared" si="10"/>
        <v>3.5942473454461776</v>
      </c>
      <c r="H40" s="644">
        <f t="shared" si="10"/>
        <v>2.363138220350236</v>
      </c>
      <c r="I40" s="644">
        <f t="shared" si="10"/>
        <v>3.0677734450102356</v>
      </c>
      <c r="J40" s="644">
        <f t="shared" si="10"/>
        <v>4.2805316650807779</v>
      </c>
      <c r="K40" s="644">
        <f t="shared" si="10"/>
        <v>5.6037633604241188</v>
      </c>
      <c r="L40" s="644">
        <f t="shared" si="10"/>
        <v>3.6238197571577091</v>
      </c>
      <c r="M40" s="644"/>
      <c r="N40" s="644">
        <f>((((N28/N24))^(1/4))-1)*100</f>
        <v>5.8536335341142109</v>
      </c>
      <c r="O40" s="644">
        <f>((((O28/O24))^(1/4))-1)*100</f>
        <v>2.8851950156650208</v>
      </c>
      <c r="P40" s="644">
        <f>((((P28/P24))^(1/4))-1)*100</f>
        <v>10.182708847786293</v>
      </c>
      <c r="Q40" s="644">
        <f>((((Q28/Q24))^(1/4))-1)*100</f>
        <v>4.9679517032633624</v>
      </c>
    </row>
    <row r="41" spans="1:17">
      <c r="A41" s="448" t="s">
        <v>818</v>
      </c>
      <c r="B41" s="644">
        <f t="shared" ref="B41:L41" si="11">((((B30/B24))^(1/6))-1)*100</f>
        <v>3.8690462436407946</v>
      </c>
      <c r="C41" s="644">
        <f t="shared" si="11"/>
        <v>7.3532014817240698</v>
      </c>
      <c r="D41" s="644">
        <f t="shared" si="11"/>
        <v>3.3074355667073396</v>
      </c>
      <c r="E41" s="644">
        <f t="shared" si="11"/>
        <v>3.6797069289992379</v>
      </c>
      <c r="F41" s="644">
        <f t="shared" si="11"/>
        <v>3.7141281526404502</v>
      </c>
      <c r="G41" s="644">
        <f t="shared" si="11"/>
        <v>3.5754066769305259</v>
      </c>
      <c r="H41" s="644">
        <f t="shared" si="11"/>
        <v>2.8134415254665868</v>
      </c>
      <c r="I41" s="644">
        <f t="shared" si="11"/>
        <v>3.4109061974403776</v>
      </c>
      <c r="J41" s="644">
        <f t="shared" si="11"/>
        <v>4.4122922919015428</v>
      </c>
      <c r="K41" s="644">
        <f t="shared" si="11"/>
        <v>6.3472270190858993</v>
      </c>
      <c r="L41" s="644">
        <f t="shared" si="11"/>
        <v>4.2115065630027981</v>
      </c>
      <c r="M41" s="644"/>
      <c r="N41" s="644">
        <f>((((N29/N24))^(1/5))-1)*100</f>
        <v>8.9948458076262838</v>
      </c>
      <c r="O41" s="644">
        <f>((((O29/O24))^(1/5))-1)*100</f>
        <v>4.400596649457067</v>
      </c>
      <c r="P41" s="644">
        <f>((((P29/P24))^(1/5))-1)*100</f>
        <v>13.883516321064459</v>
      </c>
      <c r="Q41" s="644">
        <f>((((Q29/Q24))^(1/5))-1)*100</f>
        <v>6.7162200984763443</v>
      </c>
    </row>
    <row r="42" spans="1:17">
      <c r="A42" s="448" t="s">
        <v>449</v>
      </c>
      <c r="B42" s="644">
        <f>((((B31/B24))^(1/7))-1)*100</f>
        <v>3.9085092713320835</v>
      </c>
      <c r="C42" s="644">
        <f t="shared" ref="C42:L42" si="12">((((C31/C24))^(1/7))-1)*100</f>
        <v>6.0451165779495941</v>
      </c>
      <c r="D42" s="644">
        <f t="shared" si="12"/>
        <v>3.4853008245242734</v>
      </c>
      <c r="E42" s="644">
        <f t="shared" si="12"/>
        <v>3.7717689305714508</v>
      </c>
      <c r="F42" s="644">
        <f t="shared" si="12"/>
        <v>3.8437733384280692</v>
      </c>
      <c r="G42" s="644">
        <f t="shared" si="12"/>
        <v>3.7658277033262966</v>
      </c>
      <c r="H42" s="644">
        <f t="shared" si="12"/>
        <v>2.8979603721908109</v>
      </c>
      <c r="I42" s="644">
        <f t="shared" si="12"/>
        <v>3.7826128296947426</v>
      </c>
      <c r="J42" s="644">
        <f t="shared" si="12"/>
        <v>4.9265342476496388</v>
      </c>
      <c r="K42" s="644">
        <f t="shared" si="12"/>
        <v>6.4008092051753618</v>
      </c>
      <c r="L42" s="644">
        <f t="shared" si="12"/>
        <v>4.3014553740343464</v>
      </c>
      <c r="M42" s="644"/>
      <c r="N42" s="644"/>
      <c r="O42" s="644"/>
      <c r="P42" s="644"/>
      <c r="Q42" s="644"/>
    </row>
    <row r="43" spans="1:17">
      <c r="A43" s="448" t="s">
        <v>1410</v>
      </c>
      <c r="B43" s="644">
        <f>((((B32/B24))^(1/8))-1)*100</f>
        <v>4.0104091894808569</v>
      </c>
      <c r="C43" s="644">
        <f t="shared" ref="C43:L43" si="13">((((C32/C24))^(1/8))-1)*100</f>
        <v>5.0294864894044444</v>
      </c>
      <c r="D43" s="644">
        <f t="shared" si="13"/>
        <v>3.4131366649544415</v>
      </c>
      <c r="E43" s="644">
        <f t="shared" si="13"/>
        <v>3.8569967954962703</v>
      </c>
      <c r="F43" s="644">
        <f t="shared" si="13"/>
        <v>3.9136196833650105</v>
      </c>
      <c r="G43" s="644">
        <f t="shared" si="13"/>
        <v>3.8011459529524005</v>
      </c>
      <c r="H43" s="644">
        <f t="shared" si="13"/>
        <v>3.0357599373498356</v>
      </c>
      <c r="I43" s="644">
        <f t="shared" si="13"/>
        <v>4.01591013277387</v>
      </c>
      <c r="J43" s="644">
        <f t="shared" si="13"/>
        <v>5.7732162986339652</v>
      </c>
      <c r="K43" s="644">
        <f t="shared" si="13"/>
        <v>6.4443580966438319</v>
      </c>
      <c r="L43" s="644">
        <f t="shared" si="13"/>
        <v>4.4006434103422754</v>
      </c>
      <c r="M43" s="644"/>
      <c r="N43" s="644"/>
      <c r="O43" s="644"/>
      <c r="P43" s="644"/>
      <c r="Q43" s="644"/>
    </row>
    <row r="44" spans="1:17">
      <c r="A44" s="448"/>
      <c r="D44" s="27" t="s">
        <v>276</v>
      </c>
      <c r="N44" s="10"/>
      <c r="O44" s="10"/>
      <c r="P44" s="10"/>
      <c r="Q44" s="10"/>
    </row>
    <row r="45" spans="1:17">
      <c r="A45" s="448" t="s">
        <v>808</v>
      </c>
      <c r="B45" s="10">
        <f t="shared" ref="B45:L45" si="14">(B29/B5-1)*100</f>
        <v>156.22490803648481</v>
      </c>
      <c r="C45" s="10">
        <f t="shared" si="14"/>
        <v>199.95984590185643</v>
      </c>
      <c r="D45" s="10">
        <f t="shared" si="14"/>
        <v>175.71199472901679</v>
      </c>
      <c r="E45" s="10">
        <f t="shared" si="14"/>
        <v>176.59114008261844</v>
      </c>
      <c r="F45" s="10">
        <f t="shared" si="14"/>
        <v>191.84430982321797</v>
      </c>
      <c r="G45" s="10">
        <f t="shared" si="14"/>
        <v>161.28999198513489</v>
      </c>
      <c r="H45" s="10">
        <f t="shared" si="14"/>
        <v>151.74385553096636</v>
      </c>
      <c r="I45" s="10">
        <f t="shared" si="14"/>
        <v>142.80463104653595</v>
      </c>
      <c r="J45" s="10">
        <f t="shared" si="14"/>
        <v>141.75585445723132</v>
      </c>
      <c r="K45" s="10">
        <f t="shared" si="14"/>
        <v>162.91884417690858</v>
      </c>
      <c r="L45" s="10">
        <f t="shared" si="14"/>
        <v>124.67773832244964</v>
      </c>
      <c r="M45" s="10"/>
      <c r="N45" s="10">
        <f>(N28/N5-1)*100</f>
        <v>189.94186046582416</v>
      </c>
      <c r="O45" s="10">
        <f>(O28/O5-1)*100</f>
        <v>70.27679244859651</v>
      </c>
      <c r="P45" s="10">
        <f>(P28/P5-1)*100</f>
        <v>158.39303196234158</v>
      </c>
      <c r="Q45" s="10">
        <f>(Q28/Q5-1)*100</f>
        <v>60.746082988775065</v>
      </c>
    </row>
    <row r="46" spans="1:17">
      <c r="A46" s="448" t="s">
        <v>819</v>
      </c>
      <c r="B46" s="10">
        <f t="shared" ref="B46:L46" si="15">(B30/B5-1)*100</f>
        <v>172.26096548019919</v>
      </c>
      <c r="C46" s="10">
        <f t="shared" si="15"/>
        <v>277.66266977325682</v>
      </c>
      <c r="D46" s="10">
        <f t="shared" si="15"/>
        <v>190.74914876923782</v>
      </c>
      <c r="E46" s="10">
        <f t="shared" si="15"/>
        <v>187.98921682558444</v>
      </c>
      <c r="F46" s="10">
        <f t="shared" si="15"/>
        <v>204.69120551735918</v>
      </c>
      <c r="G46" s="10">
        <f t="shared" si="15"/>
        <v>170.38616216434178</v>
      </c>
      <c r="H46" s="10">
        <f t="shared" si="15"/>
        <v>164.569819030834</v>
      </c>
      <c r="I46" s="10">
        <f t="shared" si="15"/>
        <v>155.29397086513211</v>
      </c>
      <c r="J46" s="10">
        <f t="shared" si="15"/>
        <v>154.02157192582226</v>
      </c>
      <c r="K46" s="10">
        <f t="shared" si="15"/>
        <v>189.58879889434067</v>
      </c>
      <c r="L46" s="10">
        <f t="shared" si="15"/>
        <v>140.85524300218663</v>
      </c>
      <c r="M46" s="10"/>
      <c r="N46" s="10">
        <f>(N29/N5-1)*100</f>
        <v>255.23655287323567</v>
      </c>
      <c r="O46" s="10">
        <f>(O29/O5-1)*100</f>
        <v>88.477200974875387</v>
      </c>
      <c r="P46" s="10">
        <f>(P29/P5-1)*100</f>
        <v>235.83917738780298</v>
      </c>
      <c r="Q46" s="10">
        <f>(Q29/Q5-1)*100</f>
        <v>83.259154583830536</v>
      </c>
    </row>
    <row r="47" spans="1:17" ht="12.75" customHeight="1">
      <c r="A47" s="448" t="s">
        <v>447</v>
      </c>
      <c r="B47" s="10">
        <f>(B31/B5-1)*100</f>
        <v>183.54782285632996</v>
      </c>
      <c r="C47" s="10">
        <f t="shared" ref="C47:L47" si="16">(C31/C5-1)*100</f>
        <v>272.09066378962166</v>
      </c>
      <c r="D47" s="10">
        <f t="shared" si="16"/>
        <v>204.00423304267835</v>
      </c>
      <c r="E47" s="10">
        <f t="shared" si="16"/>
        <v>200.44722759532272</v>
      </c>
      <c r="F47" s="10">
        <f t="shared" si="16"/>
        <v>218.78334075762561</v>
      </c>
      <c r="G47" s="10">
        <f t="shared" si="16"/>
        <v>183.67761101132749</v>
      </c>
      <c r="H47" s="10">
        <f t="shared" si="16"/>
        <v>173.58248125774088</v>
      </c>
      <c r="I47" s="10">
        <f t="shared" si="16"/>
        <v>170.71648161760672</v>
      </c>
      <c r="J47" s="10">
        <f t="shared" si="16"/>
        <v>174.50996473169133</v>
      </c>
      <c r="K47" s="10">
        <f t="shared" si="16"/>
        <v>209.05747660814146</v>
      </c>
      <c r="L47" s="10">
        <f t="shared" si="16"/>
        <v>152.51933492091467</v>
      </c>
      <c r="M47" s="10"/>
      <c r="N47" s="10"/>
      <c r="O47" s="10"/>
      <c r="P47" s="10"/>
      <c r="Q47" s="10"/>
    </row>
    <row r="48" spans="1:17">
      <c r="A48" s="448" t="s">
        <v>1408</v>
      </c>
      <c r="B48" s="10">
        <f>(B32/B5-1)*100</f>
        <v>196.94974517022467</v>
      </c>
      <c r="C48" s="10">
        <f t="shared" ref="C48:L48" si="17">(C32/C5-1)*100</f>
        <v>265.34569408113248</v>
      </c>
      <c r="D48" s="10">
        <f t="shared" si="17"/>
        <v>212.84891584886924</v>
      </c>
      <c r="E48" s="10">
        <f t="shared" si="17"/>
        <v>213.83381909475298</v>
      </c>
      <c r="F48" s="10">
        <f t="shared" si="17"/>
        <v>232.82211690166673</v>
      </c>
      <c r="G48" s="10">
        <f t="shared" si="17"/>
        <v>195.16289629176256</v>
      </c>
      <c r="H48" s="10">
        <f t="shared" si="17"/>
        <v>184.54093111513558</v>
      </c>
      <c r="I48" s="10">
        <f t="shared" si="17"/>
        <v>186.04916400069183</v>
      </c>
      <c r="J48" s="10">
        <f t="shared" si="17"/>
        <v>207.16130160497542</v>
      </c>
      <c r="K48" s="10">
        <f t="shared" si="17"/>
        <v>229.91792855782677</v>
      </c>
      <c r="L48" s="10">
        <f t="shared" si="17"/>
        <v>165.39177518966196</v>
      </c>
    </row>
    <row r="49" spans="1:12">
      <c r="A49" s="140"/>
      <c r="B49" s="10"/>
      <c r="C49" s="10"/>
      <c r="D49" s="10"/>
      <c r="E49" s="10"/>
      <c r="F49" s="10"/>
      <c r="G49" s="10"/>
      <c r="H49" s="10"/>
      <c r="I49" s="10"/>
      <c r="J49" s="10"/>
      <c r="K49" s="10"/>
      <c r="L49" s="10"/>
    </row>
    <row r="50" spans="1:12" ht="12.75" customHeight="1">
      <c r="A50" s="1170" t="s">
        <v>1724</v>
      </c>
      <c r="B50" s="1170"/>
      <c r="C50" s="1170"/>
      <c r="D50" s="1170"/>
      <c r="E50" s="1170"/>
      <c r="F50" s="1170"/>
      <c r="G50" s="1170"/>
      <c r="H50" s="1170"/>
      <c r="I50" s="1170"/>
      <c r="J50" s="1170"/>
      <c r="K50" s="1170"/>
      <c r="L50" s="1170"/>
    </row>
    <row r="51" spans="1:12" ht="12.75" customHeight="1">
      <c r="A51" s="4" t="s">
        <v>1868</v>
      </c>
    </row>
    <row r="52" spans="1:12" ht="12.75" customHeight="1">
      <c r="A52" s="1" t="s">
        <v>389</v>
      </c>
    </row>
    <row r="53" spans="1:12" ht="12.75" customHeight="1">
      <c r="B53" s="1" t="s">
        <v>278</v>
      </c>
    </row>
    <row r="54" spans="1:12" ht="12.75" customHeight="1">
      <c r="B54" s="1" t="s">
        <v>279</v>
      </c>
    </row>
    <row r="55" spans="1:12" ht="12.75" customHeight="1">
      <c r="B55" s="1">
        <v>1981</v>
      </c>
      <c r="C55" s="300">
        <f>C5-$B5</f>
        <v>-2903.9702905948116</v>
      </c>
      <c r="D55" s="300">
        <f t="shared" ref="D55:L55" si="18">D5-$B5</f>
        <v>-2199.5473919765855</v>
      </c>
      <c r="E55" s="300">
        <f t="shared" si="18"/>
        <v>-1518.7012420761894</v>
      </c>
      <c r="F55" s="300">
        <f t="shared" si="18"/>
        <v>-2140.7887403760906</v>
      </c>
      <c r="G55" s="300">
        <f t="shared" si="18"/>
        <v>-976.37172536777871</v>
      </c>
      <c r="H55" s="300">
        <f t="shared" si="18"/>
        <v>524.62871881680621</v>
      </c>
      <c r="I55" s="300">
        <f t="shared" si="18"/>
        <v>-385.4987546667071</v>
      </c>
      <c r="J55" s="300">
        <f t="shared" si="18"/>
        <v>-406.29828263975651</v>
      </c>
      <c r="K55" s="300">
        <f t="shared" si="18"/>
        <v>1658.8051160429877</v>
      </c>
      <c r="L55" s="300">
        <f t="shared" si="18"/>
        <v>1169.2360328413179</v>
      </c>
    </row>
    <row r="56" spans="1:12" ht="12.75" customHeight="1">
      <c r="B56" s="1">
        <v>1982</v>
      </c>
      <c r="C56" s="300">
        <f t="shared" ref="C56:L71" si="19">C6-$B6</f>
        <v>-3042.1052588827861</v>
      </c>
      <c r="D56" s="300">
        <f t="shared" si="19"/>
        <v>-2106.3248647125019</v>
      </c>
      <c r="E56" s="300">
        <f t="shared" si="19"/>
        <v>-1506.8752534669457</v>
      </c>
      <c r="F56" s="300">
        <f t="shared" si="19"/>
        <v>-2113.9484222702631</v>
      </c>
      <c r="G56" s="300">
        <f t="shared" si="19"/>
        <v>-1183.3731664518418</v>
      </c>
      <c r="H56" s="300">
        <f t="shared" si="19"/>
        <v>741.1149455141458</v>
      </c>
      <c r="I56" s="300">
        <f t="shared" si="19"/>
        <v>-285.46128744987982</v>
      </c>
      <c r="J56" s="300">
        <f t="shared" si="19"/>
        <v>-202.99795418792019</v>
      </c>
      <c r="K56" s="300">
        <f t="shared" si="19"/>
        <v>1452.3622584729692</v>
      </c>
      <c r="L56" s="300">
        <f t="shared" si="19"/>
        <v>978.68838563991631</v>
      </c>
    </row>
    <row r="57" spans="1:12" ht="12.75" customHeight="1">
      <c r="B57" s="1">
        <v>1983</v>
      </c>
      <c r="C57" s="300">
        <f t="shared" si="19"/>
        <v>-3193.9961984447191</v>
      </c>
      <c r="D57" s="300">
        <f t="shared" si="19"/>
        <v>-1909.2505719683959</v>
      </c>
      <c r="E57" s="300">
        <f t="shared" si="19"/>
        <v>-1424.9950333010274</v>
      </c>
      <c r="F57" s="300">
        <f t="shared" si="19"/>
        <v>-2022.229543706042</v>
      </c>
      <c r="G57" s="300">
        <f t="shared" si="19"/>
        <v>-1198.1208612271985</v>
      </c>
      <c r="H57" s="300">
        <f t="shared" si="19"/>
        <v>1004.0032287623872</v>
      </c>
      <c r="I57" s="300">
        <f t="shared" si="19"/>
        <v>-647.29117865433909</v>
      </c>
      <c r="J57" s="300">
        <f t="shared" si="19"/>
        <v>-809.50067635034429</v>
      </c>
      <c r="K57" s="300">
        <f t="shared" si="19"/>
        <v>1167.2812556127756</v>
      </c>
      <c r="L57" s="300">
        <f t="shared" si="19"/>
        <v>717.75451404910382</v>
      </c>
    </row>
    <row r="58" spans="1:12" ht="12.75" customHeight="1">
      <c r="B58" s="1">
        <v>1984</v>
      </c>
      <c r="C58" s="300">
        <f t="shared" si="19"/>
        <v>-3656.3836209368592</v>
      </c>
      <c r="D58" s="300">
        <f t="shared" si="19"/>
        <v>-2328.0455150898852</v>
      </c>
      <c r="E58" s="300">
        <f t="shared" si="19"/>
        <v>-1515.212886086525</v>
      </c>
      <c r="F58" s="300">
        <f t="shared" si="19"/>
        <v>-2177.0132795552236</v>
      </c>
      <c r="G58" s="300">
        <f t="shared" si="19"/>
        <v>-1108.2439336503448</v>
      </c>
      <c r="H58" s="300">
        <f t="shared" si="19"/>
        <v>1128.2964974975457</v>
      </c>
      <c r="I58" s="300">
        <f t="shared" si="19"/>
        <v>-164.2376564449587</v>
      </c>
      <c r="J58" s="300">
        <f t="shared" si="19"/>
        <v>-948.94946120742134</v>
      </c>
      <c r="K58" s="300">
        <f t="shared" si="19"/>
        <v>775.64260532216031</v>
      </c>
      <c r="L58" s="300">
        <f t="shared" si="19"/>
        <v>451.23704085882855</v>
      </c>
    </row>
    <row r="59" spans="1:12" ht="12.75" customHeight="1">
      <c r="B59" s="1">
        <v>1985</v>
      </c>
      <c r="C59" s="300">
        <f t="shared" si="19"/>
        <v>-3929.2184601670106</v>
      </c>
      <c r="D59" s="300">
        <f t="shared" si="19"/>
        <v>-2719.4426887331738</v>
      </c>
      <c r="E59" s="300">
        <f t="shared" si="19"/>
        <v>-1524.8849041842459</v>
      </c>
      <c r="F59" s="300">
        <f t="shared" si="19"/>
        <v>-2430.6248052589635</v>
      </c>
      <c r="G59" s="300">
        <f t="shared" si="19"/>
        <v>-1270.3445169091592</v>
      </c>
      <c r="H59" s="300">
        <f t="shared" si="19"/>
        <v>1194.6925179736754</v>
      </c>
      <c r="I59" s="300">
        <f t="shared" si="19"/>
        <v>-71.703578096368801</v>
      </c>
      <c r="J59" s="300">
        <f t="shared" si="19"/>
        <v>-1097.7499785243563</v>
      </c>
      <c r="K59" s="300">
        <f t="shared" si="19"/>
        <v>1313.109869536127</v>
      </c>
      <c r="L59" s="300">
        <f t="shared" si="19"/>
        <v>278.02944288056096</v>
      </c>
    </row>
    <row r="60" spans="1:12" ht="12.75" customHeight="1">
      <c r="B60" s="1">
        <v>1986</v>
      </c>
      <c r="C60" s="300">
        <f t="shared" si="19"/>
        <v>-3890.7332953614095</v>
      </c>
      <c r="D60" s="300">
        <f t="shared" si="19"/>
        <v>-2165.1089447399518</v>
      </c>
      <c r="E60" s="300">
        <f t="shared" si="19"/>
        <v>-1624.7912578183186</v>
      </c>
      <c r="F60" s="300">
        <f t="shared" si="19"/>
        <v>-2263.0937603542461</v>
      </c>
      <c r="G60" s="300">
        <f t="shared" si="19"/>
        <v>-1269.4623108448759</v>
      </c>
      <c r="H60" s="300">
        <f t="shared" si="19"/>
        <v>1287.7348575419437</v>
      </c>
      <c r="I60" s="300">
        <f t="shared" si="19"/>
        <v>-272.23067604359858</v>
      </c>
      <c r="J60" s="300">
        <f t="shared" si="19"/>
        <v>-506.11803526560652</v>
      </c>
      <c r="K60" s="300">
        <f t="shared" si="19"/>
        <v>886.7624823936585</v>
      </c>
      <c r="L60" s="300">
        <f t="shared" si="19"/>
        <v>92.691327125330645</v>
      </c>
    </row>
    <row r="61" spans="1:12" ht="12.75" customHeight="1">
      <c r="B61" s="1">
        <v>1987</v>
      </c>
      <c r="C61" s="300">
        <f t="shared" si="19"/>
        <v>-3567.0432158866824</v>
      </c>
      <c r="D61" s="300">
        <f t="shared" si="19"/>
        <v>-2298.8989094040808</v>
      </c>
      <c r="E61" s="300">
        <f t="shared" si="19"/>
        <v>-1568.8050434251545</v>
      </c>
      <c r="F61" s="300">
        <f t="shared" si="19"/>
        <v>-2240.7549092585741</v>
      </c>
      <c r="G61" s="300">
        <f t="shared" si="19"/>
        <v>-1188.4373323460168</v>
      </c>
      <c r="H61" s="300">
        <f t="shared" si="19"/>
        <v>1517.8319439197694</v>
      </c>
      <c r="I61" s="300">
        <f t="shared" si="19"/>
        <v>-574.639369379649</v>
      </c>
      <c r="J61" s="300">
        <f t="shared" si="19"/>
        <v>-2117.6777041526202</v>
      </c>
      <c r="K61" s="300">
        <f t="shared" si="19"/>
        <v>302.47337436439193</v>
      </c>
      <c r="L61" s="300">
        <f t="shared" si="19"/>
        <v>164.94605843105819</v>
      </c>
    </row>
    <row r="62" spans="1:12" ht="12.75" customHeight="1">
      <c r="B62" s="1">
        <v>1988</v>
      </c>
      <c r="C62" s="300">
        <f t="shared" si="19"/>
        <v>-3784.1458138316975</v>
      </c>
      <c r="D62" s="300">
        <f t="shared" si="19"/>
        <v>-2275.5196335505279</v>
      </c>
      <c r="E62" s="300">
        <f t="shared" si="19"/>
        <v>-1732.2841646261459</v>
      </c>
      <c r="F62" s="300">
        <f t="shared" si="19"/>
        <v>-2428.5698839121978</v>
      </c>
      <c r="G62" s="300">
        <f t="shared" si="19"/>
        <v>-1426.5993840580741</v>
      </c>
      <c r="H62" s="300">
        <f t="shared" si="19"/>
        <v>1699.3370719846498</v>
      </c>
      <c r="I62" s="300">
        <f t="shared" si="19"/>
        <v>-819.61048637000204</v>
      </c>
      <c r="J62" s="300">
        <f t="shared" si="19"/>
        <v>-2327.1221896822935</v>
      </c>
      <c r="K62" s="300">
        <f t="shared" si="19"/>
        <v>564.35079831169242</v>
      </c>
      <c r="L62" s="300">
        <f t="shared" si="19"/>
        <v>94.637233939563885</v>
      </c>
    </row>
    <row r="63" spans="1:12" ht="12.75" customHeight="1">
      <c r="B63" s="1">
        <v>1989</v>
      </c>
      <c r="C63" s="300">
        <f t="shared" si="19"/>
        <v>-4063.0029586990877</v>
      </c>
      <c r="D63" s="300">
        <f t="shared" si="19"/>
        <v>-2619.9994064958464</v>
      </c>
      <c r="E63" s="300">
        <f t="shared" si="19"/>
        <v>-1834.7194609533708</v>
      </c>
      <c r="F63" s="300">
        <f t="shared" si="19"/>
        <v>-2672.3456495474838</v>
      </c>
      <c r="G63" s="300">
        <f t="shared" si="19"/>
        <v>-1514.3003199215764</v>
      </c>
      <c r="H63" s="300">
        <f t="shared" si="19"/>
        <v>1819.4525603454367</v>
      </c>
      <c r="I63" s="300">
        <f t="shared" si="19"/>
        <v>-1030.7258268153419</v>
      </c>
      <c r="J63" s="300">
        <f t="shared" si="19"/>
        <v>-2709.6928565874896</v>
      </c>
      <c r="K63" s="300">
        <f t="shared" si="19"/>
        <v>368.52869467452729</v>
      </c>
      <c r="L63" s="300">
        <f t="shared" si="19"/>
        <v>289.96115871184884</v>
      </c>
    </row>
    <row r="64" spans="1:12" ht="12.75" customHeight="1">
      <c r="B64" s="1">
        <v>1990</v>
      </c>
      <c r="C64" s="300">
        <f t="shared" si="19"/>
        <v>-3948.8132158972603</v>
      </c>
      <c r="D64" s="300">
        <f t="shared" si="19"/>
        <v>-2607.3036820407524</v>
      </c>
      <c r="E64" s="300">
        <f t="shared" si="19"/>
        <v>-1918.5620201615911</v>
      </c>
      <c r="F64" s="300">
        <f t="shared" si="19"/>
        <v>-2826.2116863261363</v>
      </c>
      <c r="G64" s="300">
        <f t="shared" si="19"/>
        <v>-1493.5937323590097</v>
      </c>
      <c r="H64" s="300">
        <f t="shared" si="19"/>
        <v>1652.4426103615151</v>
      </c>
      <c r="I64" s="300">
        <f t="shared" si="19"/>
        <v>-806.25893372549581</v>
      </c>
      <c r="J64" s="300">
        <f t="shared" si="19"/>
        <v>-2284.8984774988712</v>
      </c>
      <c r="K64" s="300">
        <f t="shared" si="19"/>
        <v>365.35294177082687</v>
      </c>
      <c r="L64" s="300">
        <f t="shared" si="19"/>
        <v>485.151968324888</v>
      </c>
    </row>
    <row r="65" spans="2:12" ht="12.75" customHeight="1">
      <c r="B65" s="1">
        <v>1991</v>
      </c>
      <c r="C65" s="300">
        <f t="shared" si="19"/>
        <v>-3777.5319787055723</v>
      </c>
      <c r="D65" s="300">
        <f t="shared" si="19"/>
        <v>-2386.1695299286657</v>
      </c>
      <c r="E65" s="300">
        <f t="shared" si="19"/>
        <v>-1809.6662577931456</v>
      </c>
      <c r="F65" s="300">
        <f t="shared" si="19"/>
        <v>-2694.4469009723143</v>
      </c>
      <c r="G65" s="300">
        <f t="shared" si="19"/>
        <v>-1490.8466002215901</v>
      </c>
      <c r="H65" s="300">
        <f t="shared" si="19"/>
        <v>1621.6678257521708</v>
      </c>
      <c r="I65" s="300">
        <f t="shared" si="19"/>
        <v>-1053.4686551586128</v>
      </c>
      <c r="J65" s="300">
        <f t="shared" si="19"/>
        <v>-2357.1256281535516</v>
      </c>
      <c r="K65" s="300">
        <f t="shared" si="19"/>
        <v>461.12935015024777</v>
      </c>
      <c r="L65" s="300">
        <f t="shared" si="19"/>
        <v>456.53334666836963</v>
      </c>
    </row>
    <row r="66" spans="2:12" ht="12.75" customHeight="1">
      <c r="B66" s="1">
        <v>1992</v>
      </c>
      <c r="C66" s="300">
        <f t="shared" si="19"/>
        <v>-3677.7510100939944</v>
      </c>
      <c r="D66" s="300">
        <f t="shared" si="19"/>
        <v>-2407.3017327562866</v>
      </c>
      <c r="E66" s="300">
        <f t="shared" si="19"/>
        <v>-1685.7571237572774</v>
      </c>
      <c r="F66" s="300">
        <f t="shared" si="19"/>
        <v>-2492.8706329945035</v>
      </c>
      <c r="G66" s="300">
        <f t="shared" si="19"/>
        <v>-1530.4394081167593</v>
      </c>
      <c r="H66" s="300">
        <f t="shared" si="19"/>
        <v>1659.8309843572642</v>
      </c>
      <c r="I66" s="300">
        <f t="shared" si="19"/>
        <v>-1014.8627763098757</v>
      </c>
      <c r="J66" s="300">
        <f t="shared" si="19"/>
        <v>-2847.9956082003264</v>
      </c>
      <c r="K66" s="300">
        <f t="shared" si="19"/>
        <v>485.19255362849799</v>
      </c>
      <c r="L66" s="300">
        <f t="shared" si="19"/>
        <v>416.84345936606042</v>
      </c>
    </row>
    <row r="67" spans="2:12" ht="12.75" customHeight="1">
      <c r="B67" s="1">
        <v>1993</v>
      </c>
      <c r="C67" s="300">
        <f t="shared" si="19"/>
        <v>-3557.5006210260763</v>
      </c>
      <c r="D67" s="300">
        <f t="shared" si="19"/>
        <v>-1972.0576966733788</v>
      </c>
      <c r="E67" s="300">
        <f t="shared" si="19"/>
        <v>-1615.880242138408</v>
      </c>
      <c r="F67" s="300">
        <f t="shared" si="19"/>
        <v>-2359.0008839421735</v>
      </c>
      <c r="G67" s="300">
        <f t="shared" si="19"/>
        <v>-1417.0472614698538</v>
      </c>
      <c r="H67" s="300">
        <f t="shared" si="19"/>
        <v>1447.3960118869945</v>
      </c>
      <c r="I67" s="300">
        <f t="shared" si="19"/>
        <v>-1215.1258480331817</v>
      </c>
      <c r="J67" s="300">
        <f t="shared" si="19"/>
        <v>-2638.4469309895831</v>
      </c>
      <c r="K67" s="300">
        <f t="shared" si="19"/>
        <v>711.19151711988889</v>
      </c>
      <c r="L67" s="300">
        <f t="shared" si="19"/>
        <v>547.27075693122606</v>
      </c>
    </row>
    <row r="68" spans="2:12" ht="12.75" customHeight="1">
      <c r="B68" s="1">
        <v>1994</v>
      </c>
      <c r="C68" s="300">
        <f t="shared" si="19"/>
        <v>-3355.4619492497113</v>
      </c>
      <c r="D68" s="300">
        <f t="shared" si="19"/>
        <v>-2332.9818511941921</v>
      </c>
      <c r="E68" s="300">
        <f t="shared" si="19"/>
        <v>-1656.9712405217106</v>
      </c>
      <c r="F68" s="300">
        <f t="shared" si="19"/>
        <v>-2265.2208527455314</v>
      </c>
      <c r="G68" s="300">
        <f t="shared" si="19"/>
        <v>-1364.5329786800739</v>
      </c>
      <c r="H68" s="300">
        <f t="shared" si="19"/>
        <v>1373.5151243920918</v>
      </c>
      <c r="I68" s="300">
        <f t="shared" si="19"/>
        <v>-1034.1449846974265</v>
      </c>
      <c r="J68" s="300">
        <f t="shared" si="19"/>
        <v>-2710.5290258945679</v>
      </c>
      <c r="K68" s="300">
        <f t="shared" si="19"/>
        <v>549.74068459176851</v>
      </c>
      <c r="L68" s="300">
        <f t="shared" si="19"/>
        <v>669.50350249229814</v>
      </c>
    </row>
    <row r="69" spans="2:12" ht="12.75" customHeight="1">
      <c r="B69" s="1">
        <v>1995</v>
      </c>
      <c r="C69" s="300">
        <f t="shared" si="19"/>
        <v>-3442.1620122038166</v>
      </c>
      <c r="D69" s="300">
        <f t="shared" si="19"/>
        <v>-2391.4304625125478</v>
      </c>
      <c r="E69" s="300">
        <f t="shared" si="19"/>
        <v>-1779.3017193942269</v>
      </c>
      <c r="F69" s="300">
        <f t="shared" si="19"/>
        <v>-2140.9167495201018</v>
      </c>
      <c r="G69" s="300">
        <f t="shared" si="19"/>
        <v>-1436.3117042627691</v>
      </c>
      <c r="H69" s="300">
        <f t="shared" si="19"/>
        <v>1379.4102266102309</v>
      </c>
      <c r="I69" s="300">
        <f t="shared" si="19"/>
        <v>-989.29770352264677</v>
      </c>
      <c r="J69" s="300">
        <f t="shared" si="19"/>
        <v>-2130.3209922652713</v>
      </c>
      <c r="K69" s="300">
        <f t="shared" si="19"/>
        <v>569.95877240000846</v>
      </c>
      <c r="L69" s="300">
        <f t="shared" si="19"/>
        <v>567.95700592307549</v>
      </c>
    </row>
    <row r="70" spans="2:12" ht="12.75" customHeight="1">
      <c r="B70" s="1">
        <v>1996</v>
      </c>
      <c r="C70" s="300">
        <f t="shared" si="19"/>
        <v>-3554.1580289832873</v>
      </c>
      <c r="D70" s="300">
        <f t="shared" si="19"/>
        <v>-2574.2745444000084</v>
      </c>
      <c r="E70" s="300">
        <f t="shared" si="19"/>
        <v>-1921.2391535619772</v>
      </c>
      <c r="F70" s="300">
        <f t="shared" si="19"/>
        <v>-2121.1734920793024</v>
      </c>
      <c r="G70" s="300">
        <f t="shared" si="19"/>
        <v>-1284.9990357881179</v>
      </c>
      <c r="H70" s="300">
        <f t="shared" si="19"/>
        <v>1193.9485930149349</v>
      </c>
      <c r="I70" s="300">
        <f t="shared" si="19"/>
        <v>-584.82900344253358</v>
      </c>
      <c r="J70" s="300">
        <f t="shared" si="19"/>
        <v>-1337.6935195787446</v>
      </c>
      <c r="K70" s="300">
        <f t="shared" si="19"/>
        <v>682.50701058823688</v>
      </c>
      <c r="L70" s="300">
        <f t="shared" si="19"/>
        <v>396.92242132733372</v>
      </c>
    </row>
    <row r="71" spans="2:12" ht="12.75" customHeight="1">
      <c r="B71" s="1">
        <v>1997</v>
      </c>
      <c r="C71" s="300">
        <f t="shared" si="19"/>
        <v>-3833.9605055628672</v>
      </c>
      <c r="D71" s="300">
        <f t="shared" si="19"/>
        <v>-2700.129955341803</v>
      </c>
      <c r="E71" s="300">
        <f t="shared" si="19"/>
        <v>-1781.6997633094143</v>
      </c>
      <c r="F71" s="300">
        <f t="shared" si="19"/>
        <v>-2270.9955814608311</v>
      </c>
      <c r="G71" s="300">
        <f t="shared" si="19"/>
        <v>-1493.5068459994836</v>
      </c>
      <c r="H71" s="300">
        <f t="shared" si="19"/>
        <v>1366.7850597222168</v>
      </c>
      <c r="I71" s="300">
        <f t="shared" si="19"/>
        <v>-1068.4229688486885</v>
      </c>
      <c r="J71" s="300">
        <f t="shared" si="19"/>
        <v>-2515.6928960398982</v>
      </c>
      <c r="K71" s="300">
        <f t="shared" si="19"/>
        <v>1349.5724127817302</v>
      </c>
      <c r="L71" s="300">
        <f t="shared" si="19"/>
        <v>221.05758468887143</v>
      </c>
    </row>
    <row r="72" spans="2:12" ht="12.75" customHeight="1">
      <c r="B72" s="1">
        <v>1998</v>
      </c>
      <c r="C72" s="300">
        <f t="shared" ref="C72:L79" si="20">C22-$B22</f>
        <v>-3862.5026012619473</v>
      </c>
      <c r="D72" s="300">
        <f t="shared" si="20"/>
        <v>-2992.8503265999261</v>
      </c>
      <c r="E72" s="300">
        <f t="shared" si="20"/>
        <v>-1642.6126742473825</v>
      </c>
      <c r="F72" s="300">
        <f t="shared" si="20"/>
        <v>-2101.1516531266425</v>
      </c>
      <c r="G72" s="300">
        <f t="shared" si="20"/>
        <v>-1661.8672990764571</v>
      </c>
      <c r="H72" s="300">
        <f t="shared" si="20"/>
        <v>1503.2897706346157</v>
      </c>
      <c r="I72" s="300">
        <f t="shared" si="20"/>
        <v>-831.2433428853692</v>
      </c>
      <c r="J72" s="300">
        <f t="shared" si="20"/>
        <v>-2371.1158170549134</v>
      </c>
      <c r="K72" s="300">
        <f t="shared" si="20"/>
        <v>1515.2548490133595</v>
      </c>
      <c r="L72" s="300">
        <f t="shared" si="20"/>
        <v>-185.46306187981827</v>
      </c>
    </row>
    <row r="73" spans="2:12" ht="12.75" customHeight="1">
      <c r="B73" s="1">
        <v>1999</v>
      </c>
      <c r="C73" s="300">
        <f t="shared" si="20"/>
        <v>-3903.0229935202769</v>
      </c>
      <c r="D73" s="300">
        <f t="shared" si="20"/>
        <v>-2984.4910846343555</v>
      </c>
      <c r="E73" s="300">
        <f t="shared" si="20"/>
        <v>-1591.6732522268649</v>
      </c>
      <c r="F73" s="300">
        <f t="shared" si="20"/>
        <v>-2040.6477254770689</v>
      </c>
      <c r="G73" s="300">
        <f t="shared" si="20"/>
        <v>-1713.290038590414</v>
      </c>
      <c r="H73" s="300">
        <f t="shared" si="20"/>
        <v>1608.5351932338126</v>
      </c>
      <c r="I73" s="300">
        <f t="shared" si="20"/>
        <v>-1113.9033451237374</v>
      </c>
      <c r="J73" s="300">
        <f t="shared" si="20"/>
        <v>-2345.6752850344856</v>
      </c>
      <c r="K73" s="300">
        <f t="shared" si="20"/>
        <v>1333.3926838503285</v>
      </c>
      <c r="L73" s="300">
        <f t="shared" si="20"/>
        <v>-313.77965965522162</v>
      </c>
    </row>
    <row r="74" spans="2:12" ht="12.75" customHeight="1">
      <c r="B74" s="1">
        <v>2000</v>
      </c>
      <c r="C74" s="300">
        <f t="shared" si="20"/>
        <v>-4288.3930399686469</v>
      </c>
      <c r="D74" s="300">
        <f t="shared" si="20"/>
        <v>-3109.6542711484326</v>
      </c>
      <c r="E74" s="300">
        <f t="shared" si="20"/>
        <v>-2074.4384901767698</v>
      </c>
      <c r="F74" s="300">
        <f t="shared" si="20"/>
        <v>-2548.4333623831953</v>
      </c>
      <c r="G74" s="300">
        <f t="shared" si="20"/>
        <v>-1927.1805253123384</v>
      </c>
      <c r="H74" s="300">
        <f t="shared" si="20"/>
        <v>1866.5250008279836</v>
      </c>
      <c r="I74" s="300">
        <f t="shared" si="20"/>
        <v>-1578.3478062416361</v>
      </c>
      <c r="J74" s="300">
        <f t="shared" si="20"/>
        <v>-2792.0409683015096</v>
      </c>
      <c r="K74" s="300">
        <f t="shared" si="20"/>
        <v>1722.6012567719008</v>
      </c>
      <c r="L74" s="300">
        <f t="shared" si="20"/>
        <v>-566.10001464766174</v>
      </c>
    </row>
    <row r="75" spans="2:12" ht="12.75" customHeight="1">
      <c r="B75" s="1">
        <v>2001</v>
      </c>
      <c r="C75" s="300">
        <f t="shared" si="20"/>
        <v>-4111.2336323749951</v>
      </c>
      <c r="D75" s="300">
        <f t="shared" si="20"/>
        <v>-3522.0273877452964</v>
      </c>
      <c r="E75" s="300">
        <f t="shared" si="20"/>
        <v>-2134.7025862598566</v>
      </c>
      <c r="F75" s="300">
        <f t="shared" si="20"/>
        <v>-2679.3845806388053</v>
      </c>
      <c r="G75" s="300">
        <f t="shared" si="20"/>
        <v>-1901.1394924554916</v>
      </c>
      <c r="H75" s="300">
        <f t="shared" si="20"/>
        <v>1508.9601256343376</v>
      </c>
      <c r="I75" s="300">
        <f t="shared" si="20"/>
        <v>-1621.3064654351692</v>
      </c>
      <c r="J75" s="300">
        <f t="shared" si="20"/>
        <v>-3083.8174848796334</v>
      </c>
      <c r="K75" s="300">
        <f t="shared" si="20"/>
        <v>3126.9162971703554</v>
      </c>
      <c r="L75" s="300">
        <f t="shared" si="20"/>
        <v>-639.85646981706304</v>
      </c>
    </row>
    <row r="76" spans="2:12" ht="12.75" customHeight="1">
      <c r="B76" s="1">
        <v>2002</v>
      </c>
      <c r="C76" s="300">
        <f t="shared" si="20"/>
        <v>-4078.2283749720664</v>
      </c>
      <c r="D76" s="300">
        <f t="shared" si="20"/>
        <v>-3095.7684103077008</v>
      </c>
      <c r="E76" s="300">
        <f t="shared" si="20"/>
        <v>-2163.0266090278783</v>
      </c>
      <c r="F76" s="300">
        <f t="shared" si="20"/>
        <v>-2810.9951293637205</v>
      </c>
      <c r="G76" s="300">
        <f t="shared" si="20"/>
        <v>-1725.081643189078</v>
      </c>
      <c r="H76" s="300">
        <f t="shared" si="20"/>
        <v>1366.4922719330607</v>
      </c>
      <c r="I76" s="300">
        <f t="shared" si="20"/>
        <v>-1663.0554999455671</v>
      </c>
      <c r="J76" s="300">
        <f t="shared" si="20"/>
        <v>-3024.7654015520602</v>
      </c>
      <c r="K76" s="300">
        <f t="shared" si="20"/>
        <v>2901.5100886163382</v>
      </c>
      <c r="L76" s="300">
        <f t="shared" si="20"/>
        <v>-516.99925148805414</v>
      </c>
    </row>
    <row r="77" spans="2:12" ht="12.75" customHeight="1">
      <c r="B77" s="1">
        <v>2003</v>
      </c>
      <c r="C77" s="300">
        <f t="shared" si="20"/>
        <v>-3935.3907182512448</v>
      </c>
      <c r="D77" s="300">
        <f t="shared" si="20"/>
        <v>-3580.6652535063258</v>
      </c>
      <c r="E77" s="300">
        <f t="shared" si="20"/>
        <v>-2300.9354749082049</v>
      </c>
      <c r="F77" s="300">
        <f t="shared" si="20"/>
        <v>-2730.9294689058734</v>
      </c>
      <c r="G77" s="300">
        <f t="shared" si="20"/>
        <v>-1566.8030999905859</v>
      </c>
      <c r="H77" s="300">
        <f t="shared" si="20"/>
        <v>1227.2267306146168</v>
      </c>
      <c r="I77" s="300">
        <f t="shared" si="20"/>
        <v>-1786.8733879552638</v>
      </c>
      <c r="J77" s="300">
        <f t="shared" si="20"/>
        <v>-2473.8371794216255</v>
      </c>
      <c r="K77" s="300">
        <f t="shared" si="20"/>
        <v>2957.1702470547971</v>
      </c>
      <c r="L77" s="300">
        <f t="shared" si="20"/>
        <v>-586.22274790213123</v>
      </c>
    </row>
    <row r="78" spans="2:12" ht="12.75" customHeight="1">
      <c r="B78" s="1">
        <v>2004</v>
      </c>
      <c r="C78" s="300">
        <f t="shared" si="20"/>
        <v>-4359.2407154036555</v>
      </c>
      <c r="D78" s="300">
        <f t="shared" si="20"/>
        <v>-4022.7046525797123</v>
      </c>
      <c r="E78" s="300">
        <f t="shared" si="20"/>
        <v>-2426.2963228318586</v>
      </c>
      <c r="F78" s="300">
        <f t="shared" si="20"/>
        <v>-2720.1665749874992</v>
      </c>
      <c r="G78" s="300">
        <f t="shared" si="20"/>
        <v>-1808.5010470591733</v>
      </c>
      <c r="H78" s="300">
        <f t="shared" si="20"/>
        <v>1079.8902210118904</v>
      </c>
      <c r="I78" s="300">
        <f t="shared" si="20"/>
        <v>-1881.3895935448854</v>
      </c>
      <c r="J78" s="300">
        <f t="shared" si="20"/>
        <v>-1860.5422940441713</v>
      </c>
      <c r="K78" s="300">
        <f t="shared" si="20"/>
        <v>3836.6788026664326</v>
      </c>
      <c r="L78" s="300">
        <f t="shared" si="20"/>
        <v>-487.50813371653931</v>
      </c>
    </row>
    <row r="79" spans="2:12" ht="12.75" customHeight="1">
      <c r="B79" s="1">
        <v>2005</v>
      </c>
      <c r="C79" s="300">
        <f t="shared" si="20"/>
        <v>-4506.2910125064154</v>
      </c>
      <c r="D79" s="300">
        <f t="shared" si="20"/>
        <v>-4191.0268954860876</v>
      </c>
      <c r="E79" s="300">
        <f t="shared" si="20"/>
        <v>-2242.6874369591023</v>
      </c>
      <c r="F79" s="300">
        <f t="shared" si="20"/>
        <v>-2823.5025620772176</v>
      </c>
      <c r="G79" s="300">
        <f t="shared" si="20"/>
        <v>-2064.2302735597586</v>
      </c>
      <c r="H79" s="300">
        <f t="shared" si="20"/>
        <v>889.93503786065412</v>
      </c>
      <c r="I79" s="300">
        <f t="shared" si="20"/>
        <v>-2226.1657901975814</v>
      </c>
      <c r="J79" s="300">
        <f t="shared" si="20"/>
        <v>-2373.2308766497408</v>
      </c>
      <c r="K79" s="300">
        <f t="shared" si="20"/>
        <v>5004.8321071635837</v>
      </c>
      <c r="L79" s="300">
        <f t="shared" si="20"/>
        <v>-405.77087235673025</v>
      </c>
    </row>
    <row r="80" spans="2:12" s="972" customFormat="1" ht="12.75" customHeight="1">
      <c r="C80" s="300">
        <f t="shared" ref="C80:L80" si="21">C30-$B30</f>
        <v>-834.42962445179364</v>
      </c>
      <c r="D80" s="300">
        <f t="shared" si="21"/>
        <v>-4617.8057019369771</v>
      </c>
      <c r="E80" s="300">
        <f t="shared" si="21"/>
        <v>-2861.6619722002033</v>
      </c>
      <c r="F80" s="300">
        <f t="shared" si="21"/>
        <v>-3405.1171984851098</v>
      </c>
      <c r="G80" s="300">
        <f t="shared" si="21"/>
        <v>-2820.2080624543596</v>
      </c>
      <c r="H80" s="300">
        <f t="shared" si="21"/>
        <v>648.62167158203738</v>
      </c>
      <c r="I80" s="300">
        <f t="shared" si="21"/>
        <v>-2615.2753772337965</v>
      </c>
      <c r="J80" s="300">
        <f t="shared" si="21"/>
        <v>-2785.5275254837616</v>
      </c>
      <c r="K80" s="300">
        <f t="shared" si="21"/>
        <v>6469.5233115449046</v>
      </c>
      <c r="L80" s="300">
        <f t="shared" si="21"/>
        <v>-203.01964280153697</v>
      </c>
    </row>
    <row r="81" spans="2:12" s="972" customFormat="1" ht="12.75" customHeight="1">
      <c r="C81" s="300">
        <f t="shared" ref="C81:L82" si="22">C31-$B31</f>
        <v>-2293.3453376938633</v>
      </c>
      <c r="D81" s="300">
        <f t="shared" si="22"/>
        <v>-4720.1422701176743</v>
      </c>
      <c r="E81" s="300">
        <f t="shared" si="22"/>
        <v>-2938.2732243148166</v>
      </c>
      <c r="F81" s="300">
        <f t="shared" si="22"/>
        <v>-3437.1149413058702</v>
      </c>
      <c r="G81" s="300">
        <f t="shared" si="22"/>
        <v>-2757.270814054853</v>
      </c>
      <c r="H81" s="300">
        <f t="shared" si="22"/>
        <v>477.27516696698876</v>
      </c>
      <c r="I81" s="300">
        <f t="shared" si="22"/>
        <v>-2277.1483481071555</v>
      </c>
      <c r="J81" s="300">
        <f t="shared" si="22"/>
        <v>-1984.1828424615996</v>
      </c>
      <c r="K81" s="300">
        <f t="shared" si="22"/>
        <v>7579.0291981275805</v>
      </c>
      <c r="L81" s="300">
        <f t="shared" si="22"/>
        <v>-30.373472862156632</v>
      </c>
    </row>
    <row r="82" spans="2:12" ht="12.75" customHeight="1">
      <c r="C82" s="300">
        <f t="shared" si="22"/>
        <v>-4034.2928333600867</v>
      </c>
      <c r="D82" s="300">
        <f t="shared" si="22"/>
        <v>-5352.7950159148859</v>
      </c>
      <c r="E82" s="300">
        <f t="shared" si="22"/>
        <v>-3143.0493819750445</v>
      </c>
      <c r="F82" s="300">
        <f t="shared" si="22"/>
        <v>-3676.4316022023704</v>
      </c>
      <c r="G82" s="300">
        <f t="shared" si="22"/>
        <v>-3053.6655980653923</v>
      </c>
      <c r="H82" s="300">
        <f t="shared" si="22"/>
        <v>299.86336637876957</v>
      </c>
      <c r="I82" s="300">
        <f t="shared" si="22"/>
        <v>-2150.6422251952135</v>
      </c>
      <c r="J82" s="300">
        <f t="shared" si="22"/>
        <v>-266.30415580090994</v>
      </c>
      <c r="K82" s="300">
        <f t="shared" si="22"/>
        <v>8642.0884289988244</v>
      </c>
      <c r="L82" s="300">
        <f t="shared" si="22"/>
        <v>69.234034596662241</v>
      </c>
    </row>
    <row r="83" spans="2:12" ht="12.75" customHeight="1">
      <c r="B83" s="1" t="s">
        <v>280</v>
      </c>
    </row>
    <row r="84" spans="2:12" ht="12.75" customHeight="1">
      <c r="B84" s="1">
        <v>1981</v>
      </c>
      <c r="C84" s="300">
        <f>C55^2</f>
        <v>8433043.4486573134</v>
      </c>
      <c r="D84" s="300">
        <f t="shared" ref="D84:L84" si="23">D55^2</f>
        <v>4838008.7295509987</v>
      </c>
      <c r="E84" s="300">
        <f t="shared" si="23"/>
        <v>2306453.4626837606</v>
      </c>
      <c r="F84" s="300">
        <f t="shared" si="23"/>
        <v>4582976.4309210489</v>
      </c>
      <c r="G84" s="300">
        <f t="shared" si="23"/>
        <v>953301.74609765306</v>
      </c>
      <c r="H84" s="300">
        <f t="shared" si="23"/>
        <v>275235.29260736355</v>
      </c>
      <c r="I84" s="300">
        <f t="shared" si="23"/>
        <v>148609.28984958204</v>
      </c>
      <c r="J84" s="300">
        <f t="shared" si="23"/>
        <v>165078.29447601546</v>
      </c>
      <c r="K84" s="300">
        <f t="shared" si="23"/>
        <v>2751634.41301039</v>
      </c>
      <c r="L84" s="300">
        <f t="shared" si="23"/>
        <v>1367112.9004945033</v>
      </c>
    </row>
    <row r="85" spans="2:12" ht="12.75" customHeight="1">
      <c r="B85" s="1">
        <v>1982</v>
      </c>
      <c r="C85" s="300">
        <f t="shared" ref="C85:L100" si="24">C56^2</f>
        <v>9254404.4061223026</v>
      </c>
      <c r="D85" s="300">
        <f t="shared" si="24"/>
        <v>4436604.4357061395</v>
      </c>
      <c r="E85" s="300">
        <f t="shared" si="24"/>
        <v>2270673.0295110717</v>
      </c>
      <c r="F85" s="300">
        <f t="shared" si="24"/>
        <v>4468777.9320189347</v>
      </c>
      <c r="G85" s="300">
        <f t="shared" si="24"/>
        <v>1400372.0510782585</v>
      </c>
      <c r="H85" s="300">
        <f t="shared" si="24"/>
        <v>549251.36246443528</v>
      </c>
      <c r="I85" s="300">
        <f t="shared" si="24"/>
        <v>81488.146632542906</v>
      </c>
      <c r="J85" s="300">
        <f t="shared" si="24"/>
        <v>41208.169404480941</v>
      </c>
      <c r="K85" s="300">
        <f t="shared" si="24"/>
        <v>2109356.1298367037</v>
      </c>
      <c r="L85" s="300">
        <f t="shared" si="24"/>
        <v>957830.95618646557</v>
      </c>
    </row>
    <row r="86" spans="2:12" ht="12.75" customHeight="1">
      <c r="B86" s="1">
        <v>1983</v>
      </c>
      <c r="C86" s="300">
        <f t="shared" si="24"/>
        <v>10201611.715679318</v>
      </c>
      <c r="D86" s="300">
        <f t="shared" si="24"/>
        <v>3645237.7465616469</v>
      </c>
      <c r="E86" s="300">
        <f t="shared" si="24"/>
        <v>2030610.8449325962</v>
      </c>
      <c r="F86" s="300">
        <f t="shared" si="24"/>
        <v>4089412.327437547</v>
      </c>
      <c r="G86" s="300">
        <f t="shared" si="24"/>
        <v>1435493.5981078038</v>
      </c>
      <c r="H86" s="300">
        <f t="shared" si="24"/>
        <v>1008022.4833652984</v>
      </c>
      <c r="I86" s="300">
        <f t="shared" si="24"/>
        <v>418985.86996372353</v>
      </c>
      <c r="J86" s="300">
        <f t="shared" si="24"/>
        <v>655291.3450116649</v>
      </c>
      <c r="K86" s="300">
        <f t="shared" si="24"/>
        <v>1362545.5297049379</v>
      </c>
      <c r="L86" s="300">
        <f t="shared" si="24"/>
        <v>515171.54243786517</v>
      </c>
    </row>
    <row r="87" spans="2:12" ht="12.75" customHeight="1">
      <c r="B87" s="1">
        <v>1984</v>
      </c>
      <c r="C87" s="300">
        <f t="shared" si="24"/>
        <v>13369141.183455337</v>
      </c>
      <c r="D87" s="300">
        <f t="shared" si="24"/>
        <v>5419795.9203301286</v>
      </c>
      <c r="E87" s="300">
        <f t="shared" si="24"/>
        <v>2295870.0901626567</v>
      </c>
      <c r="F87" s="300">
        <f t="shared" si="24"/>
        <v>4739386.8193597896</v>
      </c>
      <c r="G87" s="300">
        <f t="shared" si="24"/>
        <v>1228204.61647279</v>
      </c>
      <c r="H87" s="300">
        <f t="shared" si="24"/>
        <v>1273052.9862652293</v>
      </c>
      <c r="I87" s="300">
        <f t="shared" si="24"/>
        <v>26974.007794532285</v>
      </c>
      <c r="J87" s="300">
        <f t="shared" si="24"/>
        <v>900505.07992585527</v>
      </c>
      <c r="K87" s="300">
        <f t="shared" si="24"/>
        <v>601621.45119094849</v>
      </c>
      <c r="L87" s="300">
        <f t="shared" si="24"/>
        <v>203614.86704303211</v>
      </c>
    </row>
    <row r="88" spans="2:12" ht="12.75" customHeight="1">
      <c r="B88" s="1">
        <v>1985</v>
      </c>
      <c r="C88" s="300">
        <f t="shared" si="24"/>
        <v>15438757.707717214</v>
      </c>
      <c r="D88" s="300">
        <f t="shared" si="24"/>
        <v>7395368.5373043139</v>
      </c>
      <c r="E88" s="300">
        <f t="shared" si="24"/>
        <v>2325273.9710089969</v>
      </c>
      <c r="F88" s="300">
        <f t="shared" si="24"/>
        <v>5907936.9439401748</v>
      </c>
      <c r="G88" s="300">
        <f t="shared" si="24"/>
        <v>1613775.1916411652</v>
      </c>
      <c r="H88" s="300">
        <f t="shared" si="24"/>
        <v>1427290.2125022807</v>
      </c>
      <c r="I88" s="300">
        <f t="shared" si="24"/>
        <v>5141.4031118220601</v>
      </c>
      <c r="J88" s="300">
        <f t="shared" si="24"/>
        <v>1205055.0153502247</v>
      </c>
      <c r="K88" s="300">
        <f t="shared" si="24"/>
        <v>1724257.5294731844</v>
      </c>
      <c r="L88" s="300">
        <f t="shared" si="24"/>
        <v>77300.371108475112</v>
      </c>
    </row>
    <row r="89" spans="2:12" ht="12.75" customHeight="1">
      <c r="B89" s="1">
        <v>1986</v>
      </c>
      <c r="C89" s="300">
        <f t="shared" si="24"/>
        <v>15137805.575633854</v>
      </c>
      <c r="D89" s="300">
        <f t="shared" si="24"/>
        <v>4687696.7425929476</v>
      </c>
      <c r="E89" s="300">
        <f t="shared" si="24"/>
        <v>2639946.631482834</v>
      </c>
      <c r="F89" s="300">
        <f t="shared" si="24"/>
        <v>5121593.3681543218</v>
      </c>
      <c r="G89" s="300">
        <f t="shared" si="24"/>
        <v>1611534.5586556124</v>
      </c>
      <c r="H89" s="300">
        <f t="shared" si="24"/>
        <v>1658261.06332857</v>
      </c>
      <c r="I89" s="300">
        <f t="shared" si="24"/>
        <v>74109.540979154714</v>
      </c>
      <c r="J89" s="300">
        <f t="shared" si="24"/>
        <v>256155.46562111774</v>
      </c>
      <c r="K89" s="300">
        <f t="shared" si="24"/>
        <v>786347.7001809635</v>
      </c>
      <c r="L89" s="300">
        <f t="shared" si="24"/>
        <v>8591.6821242550559</v>
      </c>
    </row>
    <row r="90" spans="2:12" ht="12.75" customHeight="1">
      <c r="B90" s="1">
        <v>1987</v>
      </c>
      <c r="C90" s="300">
        <f t="shared" si="24"/>
        <v>12723797.304003205</v>
      </c>
      <c r="D90" s="300">
        <f t="shared" si="24"/>
        <v>5284936.1956592724</v>
      </c>
      <c r="E90" s="300">
        <f t="shared" si="24"/>
        <v>2461149.2642762009</v>
      </c>
      <c r="F90" s="300">
        <f t="shared" si="24"/>
        <v>5020982.563366401</v>
      </c>
      <c r="G90" s="300">
        <f t="shared" si="24"/>
        <v>1412383.2929137168</v>
      </c>
      <c r="H90" s="300">
        <f t="shared" si="24"/>
        <v>2303813.8099832661</v>
      </c>
      <c r="I90" s="300">
        <f t="shared" si="24"/>
        <v>330210.40484104067</v>
      </c>
      <c r="J90" s="300">
        <f t="shared" si="24"/>
        <v>4484558.8586651124</v>
      </c>
      <c r="K90" s="300">
        <f t="shared" si="24"/>
        <v>91490.142199381589</v>
      </c>
      <c r="L90" s="300">
        <f t="shared" si="24"/>
        <v>27207.202191942062</v>
      </c>
    </row>
    <row r="91" spans="2:12" ht="12.75" customHeight="1">
      <c r="B91" s="1">
        <v>1988</v>
      </c>
      <c r="C91" s="300">
        <f t="shared" si="24"/>
        <v>14319759.54033996</v>
      </c>
      <c r="D91" s="300">
        <f t="shared" si="24"/>
        <v>5177989.6026739292</v>
      </c>
      <c r="E91" s="300">
        <f t="shared" si="24"/>
        <v>3000808.4270145041</v>
      </c>
      <c r="F91" s="300">
        <f t="shared" si="24"/>
        <v>5897951.6810453059</v>
      </c>
      <c r="G91" s="300">
        <f t="shared" si="24"/>
        <v>2035185.8025948764</v>
      </c>
      <c r="H91" s="300">
        <f t="shared" si="24"/>
        <v>2887746.484221363</v>
      </c>
      <c r="I91" s="300">
        <f t="shared" si="24"/>
        <v>671761.3493676713</v>
      </c>
      <c r="J91" s="300">
        <f t="shared" si="24"/>
        <v>5415497.6857117126</v>
      </c>
      <c r="K91" s="300">
        <f t="shared" si="24"/>
        <v>318491.82355504454</v>
      </c>
      <c r="L91" s="300">
        <f t="shared" si="24"/>
        <v>8956.2060477317427</v>
      </c>
    </row>
    <row r="92" spans="2:12" ht="12.75" customHeight="1">
      <c r="B92" s="1">
        <v>1989</v>
      </c>
      <c r="C92" s="300">
        <f t="shared" si="24"/>
        <v>16507993.04239754</v>
      </c>
      <c r="D92" s="300">
        <f t="shared" si="24"/>
        <v>6864396.8900385872</v>
      </c>
      <c r="E92" s="300">
        <f t="shared" si="24"/>
        <v>3366195.5004010275</v>
      </c>
      <c r="F92" s="300">
        <f t="shared" si="24"/>
        <v>7141431.2706553638</v>
      </c>
      <c r="G92" s="300">
        <f t="shared" si="24"/>
        <v>2293105.4589145887</v>
      </c>
      <c r="H92" s="300">
        <f t="shared" si="24"/>
        <v>3310407.6193475649</v>
      </c>
      <c r="I92" s="300">
        <f t="shared" si="24"/>
        <v>1062395.7300641702</v>
      </c>
      <c r="J92" s="300">
        <f t="shared" si="24"/>
        <v>7342435.3770412691</v>
      </c>
      <c r="K92" s="300">
        <f t="shared" si="24"/>
        <v>135813.39879851096</v>
      </c>
      <c r="L92" s="300">
        <f t="shared" si="24"/>
        <v>84077.473561517996</v>
      </c>
    </row>
    <row r="93" spans="2:12" ht="12.75" customHeight="1">
      <c r="B93" s="1">
        <v>1990</v>
      </c>
      <c r="C93" s="300">
        <f t="shared" si="24"/>
        <v>15593125.814044863</v>
      </c>
      <c r="D93" s="300">
        <f t="shared" si="24"/>
        <v>6798032.4903832646</v>
      </c>
      <c r="E93" s="300">
        <f t="shared" si="24"/>
        <v>3680880.2252065255</v>
      </c>
      <c r="F93" s="300">
        <f t="shared" si="24"/>
        <v>7987472.495926423</v>
      </c>
      <c r="G93" s="300">
        <f t="shared" si="24"/>
        <v>2230822.2373421169</v>
      </c>
      <c r="H93" s="300">
        <f t="shared" si="24"/>
        <v>2730566.5805383781</v>
      </c>
      <c r="I93" s="300">
        <f t="shared" si="24"/>
        <v>650053.46821217344</v>
      </c>
      <c r="J93" s="300">
        <f t="shared" si="24"/>
        <v>5220761.0524766594</v>
      </c>
      <c r="K93" s="300">
        <f t="shared" si="24"/>
        <v>133482.7720605972</v>
      </c>
      <c r="L93" s="300">
        <f t="shared" si="24"/>
        <v>235372.43236951315</v>
      </c>
    </row>
    <row r="94" spans="2:12" ht="12.75" customHeight="1">
      <c r="B94" s="1">
        <v>1991</v>
      </c>
      <c r="C94" s="300">
        <f t="shared" si="24"/>
        <v>14269747.850143237</v>
      </c>
      <c r="D94" s="300">
        <f t="shared" si="24"/>
        <v>5693805.0255599897</v>
      </c>
      <c r="E94" s="300">
        <f t="shared" si="24"/>
        <v>3274891.9645950478</v>
      </c>
      <c r="F94" s="300">
        <f t="shared" si="24"/>
        <v>7260044.1021593083</v>
      </c>
      <c r="G94" s="300">
        <f t="shared" si="24"/>
        <v>2222623.5853922735</v>
      </c>
      <c r="H94" s="300">
        <f t="shared" si="24"/>
        <v>2629806.5370797729</v>
      </c>
      <c r="I94" s="300">
        <f t="shared" si="24"/>
        <v>1109796.2074016964</v>
      </c>
      <c r="J94" s="300">
        <f t="shared" si="24"/>
        <v>5556041.2268982753</v>
      </c>
      <c r="K94" s="300">
        <f t="shared" si="24"/>
        <v>212640.27756998982</v>
      </c>
      <c r="L94" s="300">
        <f t="shared" si="24"/>
        <v>208422.69662022177</v>
      </c>
    </row>
    <row r="95" spans="2:12" ht="12.75" customHeight="1">
      <c r="B95" s="1">
        <v>1992</v>
      </c>
      <c r="C95" s="300">
        <f t="shared" si="24"/>
        <v>13525852.492247397</v>
      </c>
      <c r="D95" s="300">
        <f t="shared" si="24"/>
        <v>5795101.6325314194</v>
      </c>
      <c r="E95" s="300">
        <f t="shared" si="24"/>
        <v>2841777.0802984089</v>
      </c>
      <c r="F95" s="300">
        <f t="shared" si="24"/>
        <v>6214403.9928464163</v>
      </c>
      <c r="G95" s="300">
        <f t="shared" si="24"/>
        <v>2342244.7819167767</v>
      </c>
      <c r="H95" s="300">
        <f t="shared" si="24"/>
        <v>2755038.896632405</v>
      </c>
      <c r="I95" s="300">
        <f t="shared" si="24"/>
        <v>1029946.4547393888</v>
      </c>
      <c r="J95" s="300">
        <f t="shared" si="24"/>
        <v>8111078.9843283473</v>
      </c>
      <c r="K95" s="300">
        <f t="shared" si="24"/>
        <v>235411.81409654289</v>
      </c>
      <c r="L95" s="300">
        <f t="shared" si="24"/>
        <v>173758.46961626445</v>
      </c>
    </row>
    <row r="96" spans="2:12" ht="12.75" customHeight="1">
      <c r="B96" s="1">
        <v>1993</v>
      </c>
      <c r="C96" s="300">
        <f t="shared" si="24"/>
        <v>12655810.668600919</v>
      </c>
      <c r="D96" s="300">
        <f t="shared" si="24"/>
        <v>3889011.5590087119</v>
      </c>
      <c r="E96" s="300">
        <f t="shared" si="24"/>
        <v>2611068.95693328</v>
      </c>
      <c r="F96" s="300">
        <f t="shared" si="24"/>
        <v>5564885.1704399558</v>
      </c>
      <c r="G96" s="300">
        <f t="shared" si="24"/>
        <v>2008022.9412392122</v>
      </c>
      <c r="H96" s="300">
        <f t="shared" si="24"/>
        <v>2094955.2152263769</v>
      </c>
      <c r="I96" s="300">
        <f t="shared" si="24"/>
        <v>1476530.826558359</v>
      </c>
      <c r="J96" s="300">
        <f t="shared" si="24"/>
        <v>6961402.2076483499</v>
      </c>
      <c r="K96" s="300">
        <f t="shared" si="24"/>
        <v>505793.37402328919</v>
      </c>
      <c r="L96" s="300">
        <f t="shared" si="24"/>
        <v>299505.2813920771</v>
      </c>
    </row>
    <row r="97" spans="2:12" ht="12.75" customHeight="1">
      <c r="B97" s="1">
        <v>1994</v>
      </c>
      <c r="C97" s="300">
        <f t="shared" si="24"/>
        <v>11259124.892862672</v>
      </c>
      <c r="D97" s="300">
        <f t="shared" si="24"/>
        <v>5442804.3180014798</v>
      </c>
      <c r="E97" s="300">
        <f t="shared" si="24"/>
        <v>2745553.6919160564</v>
      </c>
      <c r="F97" s="300">
        <f t="shared" si="24"/>
        <v>5131225.5117131928</v>
      </c>
      <c r="G97" s="300">
        <f t="shared" si="24"/>
        <v>1861950.2499055152</v>
      </c>
      <c r="H97" s="300">
        <f t="shared" si="24"/>
        <v>1886543.7969338235</v>
      </c>
      <c r="I97" s="300">
        <f t="shared" si="24"/>
        <v>1069455.8493748405</v>
      </c>
      <c r="J97" s="300">
        <f t="shared" si="24"/>
        <v>7346967.6002169549</v>
      </c>
      <c r="K97" s="300">
        <f t="shared" si="24"/>
        <v>302214.8202954263</v>
      </c>
      <c r="L97" s="300">
        <f t="shared" si="24"/>
        <v>448234.93984945468</v>
      </c>
    </row>
    <row r="98" spans="2:12" ht="12.75" customHeight="1">
      <c r="B98" s="1">
        <v>1995</v>
      </c>
      <c r="C98" s="300">
        <f t="shared" si="24"/>
        <v>11848479.318259029</v>
      </c>
      <c r="D98" s="300">
        <f t="shared" si="24"/>
        <v>5718939.6570329787</v>
      </c>
      <c r="E98" s="300">
        <f t="shared" si="24"/>
        <v>3165914.6086392519</v>
      </c>
      <c r="F98" s="300">
        <f t="shared" si="24"/>
        <v>4583524.5283757187</v>
      </c>
      <c r="G98" s="300">
        <f t="shared" si="24"/>
        <v>2062991.3118022203</v>
      </c>
      <c r="H98" s="300">
        <f t="shared" si="24"/>
        <v>1902772.5732768886</v>
      </c>
      <c r="I98" s="300">
        <f t="shared" si="24"/>
        <v>978709.94619518274</v>
      </c>
      <c r="J98" s="300">
        <f t="shared" si="24"/>
        <v>4538267.5300860899</v>
      </c>
      <c r="K98" s="300">
        <f t="shared" si="24"/>
        <v>324853.00223572465</v>
      </c>
      <c r="L98" s="300">
        <f t="shared" si="24"/>
        <v>322575.16057710443</v>
      </c>
    </row>
    <row r="99" spans="2:12" ht="12.75" customHeight="1">
      <c r="B99" s="1">
        <v>1996</v>
      </c>
      <c r="C99" s="300">
        <f t="shared" si="24"/>
        <v>12632039.294986365</v>
      </c>
      <c r="D99" s="300">
        <f t="shared" si="24"/>
        <v>6626889.4299458703</v>
      </c>
      <c r="E99" s="300">
        <f t="shared" si="24"/>
        <v>3691159.8851795425</v>
      </c>
      <c r="F99" s="300">
        <f t="shared" si="24"/>
        <v>4499376.9834999023</v>
      </c>
      <c r="G99" s="300">
        <f t="shared" si="24"/>
        <v>1651222.5219763927</v>
      </c>
      <c r="H99" s="300">
        <f t="shared" si="24"/>
        <v>1425513.2427623426</v>
      </c>
      <c r="I99" s="300">
        <f t="shared" si="24"/>
        <v>342024.96326758695</v>
      </c>
      <c r="J99" s="300">
        <f t="shared" si="24"/>
        <v>1789423.9523229692</v>
      </c>
      <c r="K99" s="300">
        <f t="shared" si="24"/>
        <v>465815.81950209168</v>
      </c>
      <c r="L99" s="300">
        <f t="shared" si="24"/>
        <v>157547.40855235342</v>
      </c>
    </row>
    <row r="100" spans="2:12" ht="12.75" customHeight="1">
      <c r="B100" s="1">
        <v>1997</v>
      </c>
      <c r="C100" s="300">
        <f t="shared" si="24"/>
        <v>14699253.158215877</v>
      </c>
      <c r="D100" s="300">
        <f t="shared" si="24"/>
        <v>7290701.7757341275</v>
      </c>
      <c r="E100" s="300">
        <f t="shared" si="24"/>
        <v>3174454.0465768226</v>
      </c>
      <c r="F100" s="300">
        <f t="shared" si="24"/>
        <v>5157420.9310146179</v>
      </c>
      <c r="G100" s="300">
        <f t="shared" si="24"/>
        <v>2230562.6990473252</v>
      </c>
      <c r="H100" s="300">
        <f t="shared" si="24"/>
        <v>1868101.3994798639</v>
      </c>
      <c r="I100" s="300">
        <f t="shared" si="24"/>
        <v>1141527.6403634455</v>
      </c>
      <c r="J100" s="300">
        <f t="shared" si="24"/>
        <v>6328710.7471856102</v>
      </c>
      <c r="K100" s="300">
        <f t="shared" si="24"/>
        <v>1821345.6973415008</v>
      </c>
      <c r="L100" s="300">
        <f t="shared" si="24"/>
        <v>48866.455748477565</v>
      </c>
    </row>
    <row r="101" spans="2:12" ht="12.75" customHeight="1">
      <c r="B101" s="1">
        <v>1998</v>
      </c>
      <c r="C101" s="300">
        <f t="shared" ref="C101:L108" si="25">C72^2</f>
        <v>14918926.344755311</v>
      </c>
      <c r="D101" s="300">
        <f t="shared" si="25"/>
        <v>8957153.0774292853</v>
      </c>
      <c r="E101" s="300">
        <f t="shared" si="25"/>
        <v>2698176.3975981376</v>
      </c>
      <c r="F101" s="300">
        <f t="shared" si="25"/>
        <v>4414838.2694368223</v>
      </c>
      <c r="G101" s="300">
        <f t="shared" si="25"/>
        <v>2761802.9197396785</v>
      </c>
      <c r="H101" s="300">
        <f t="shared" si="25"/>
        <v>2259880.1344946753</v>
      </c>
      <c r="I101" s="300">
        <f t="shared" si="25"/>
        <v>690965.49509124353</v>
      </c>
      <c r="J101" s="300">
        <f t="shared" si="25"/>
        <v>5622190.2178879892</v>
      </c>
      <c r="K101" s="300">
        <f t="shared" si="25"/>
        <v>2295997.2574584987</v>
      </c>
      <c r="L101" s="300">
        <f t="shared" si="25"/>
        <v>34396.547321837301</v>
      </c>
    </row>
    <row r="102" spans="2:12" ht="12.75" customHeight="1">
      <c r="B102" s="1">
        <v>1999</v>
      </c>
      <c r="C102" s="300">
        <f t="shared" si="25"/>
        <v>15233588.487947984</v>
      </c>
      <c r="D102" s="300">
        <f t="shared" si="25"/>
        <v>8907187.0342619512</v>
      </c>
      <c r="E102" s="300">
        <f t="shared" si="25"/>
        <v>2533423.7418544451</v>
      </c>
      <c r="F102" s="300">
        <f t="shared" si="25"/>
        <v>4164243.1394947348</v>
      </c>
      <c r="G102" s="300">
        <f t="shared" si="25"/>
        <v>2935362.7563331425</v>
      </c>
      <c r="H102" s="300">
        <f t="shared" si="25"/>
        <v>2587385.4678717391</v>
      </c>
      <c r="I102" s="300">
        <f t="shared" si="25"/>
        <v>1240780.662277852</v>
      </c>
      <c r="J102" s="300">
        <f t="shared" si="25"/>
        <v>5502192.542821615</v>
      </c>
      <c r="K102" s="300">
        <f t="shared" si="25"/>
        <v>1777936.049345582</v>
      </c>
      <c r="L102" s="300">
        <f t="shared" si="25"/>
        <v>98457.674813346719</v>
      </c>
    </row>
    <row r="103" spans="2:12" ht="12.75" customHeight="1">
      <c r="B103" s="1">
        <v>2000</v>
      </c>
      <c r="C103" s="300">
        <f t="shared" si="25"/>
        <v>18390314.865251534</v>
      </c>
      <c r="D103" s="300">
        <f t="shared" si="25"/>
        <v>9669949.6860716902</v>
      </c>
      <c r="E103" s="300">
        <f t="shared" si="25"/>
        <v>4303295.0495268768</v>
      </c>
      <c r="F103" s="300">
        <f t="shared" si="25"/>
        <v>6494512.6025077188</v>
      </c>
      <c r="G103" s="300">
        <f t="shared" si="25"/>
        <v>3714024.7771431408</v>
      </c>
      <c r="H103" s="300">
        <f t="shared" si="25"/>
        <v>3483915.5787159042</v>
      </c>
      <c r="I103" s="300">
        <f t="shared" si="25"/>
        <v>2491181.7974677854</v>
      </c>
      <c r="J103" s="300">
        <f t="shared" si="25"/>
        <v>7795492.7686740309</v>
      </c>
      <c r="K103" s="300">
        <f t="shared" si="25"/>
        <v>2967355.0898321322</v>
      </c>
      <c r="L103" s="300">
        <f t="shared" si="25"/>
        <v>320469.22658408282</v>
      </c>
    </row>
    <row r="104" spans="2:12" ht="12.75" customHeight="1">
      <c r="B104" s="1">
        <v>2001</v>
      </c>
      <c r="C104" s="300">
        <f t="shared" si="25"/>
        <v>16902241.979971297</v>
      </c>
      <c r="D104" s="300">
        <f t="shared" si="25"/>
        <v>12404676.920027956</v>
      </c>
      <c r="E104" s="300">
        <f t="shared" si="25"/>
        <v>4556955.131784521</v>
      </c>
      <c r="F104" s="300">
        <f t="shared" si="25"/>
        <v>7179101.7309649866</v>
      </c>
      <c r="G104" s="300">
        <f t="shared" si="25"/>
        <v>3614331.3697739239</v>
      </c>
      <c r="H104" s="300">
        <f t="shared" si="25"/>
        <v>2276960.6607543961</v>
      </c>
      <c r="I104" s="300">
        <f t="shared" si="25"/>
        <v>2628634.6548618814</v>
      </c>
      <c r="J104" s="300">
        <f t="shared" si="25"/>
        <v>9509930.2800493483</v>
      </c>
      <c r="K104" s="300">
        <f t="shared" si="25"/>
        <v>9777605.5295095667</v>
      </c>
      <c r="L104" s="300">
        <f t="shared" si="25"/>
        <v>409416.30196675414</v>
      </c>
    </row>
    <row r="105" spans="2:12" ht="12.75" customHeight="1">
      <c r="B105" s="1">
        <v>2002</v>
      </c>
      <c r="C105" s="300">
        <f t="shared" si="25"/>
        <v>16631946.678427301</v>
      </c>
      <c r="D105" s="300">
        <f t="shared" si="25"/>
        <v>9583782.0502590686</v>
      </c>
      <c r="E105" s="300">
        <f t="shared" si="25"/>
        <v>4678684.1113626417</v>
      </c>
      <c r="F105" s="300">
        <f t="shared" si="25"/>
        <v>7901693.6173065593</v>
      </c>
      <c r="G105" s="300">
        <f t="shared" si="25"/>
        <v>2975906.6756679295</v>
      </c>
      <c r="H105" s="300">
        <f t="shared" si="25"/>
        <v>1867301.1292527779</v>
      </c>
      <c r="I105" s="300">
        <f t="shared" si="25"/>
        <v>2765753.5958992001</v>
      </c>
      <c r="J105" s="300">
        <f t="shared" si="25"/>
        <v>9149205.734426396</v>
      </c>
      <c r="K105" s="300">
        <f t="shared" si="25"/>
        <v>8418760.7943423912</v>
      </c>
      <c r="L105" s="300">
        <f t="shared" si="25"/>
        <v>267288.22603920824</v>
      </c>
    </row>
    <row r="106" spans="2:12">
      <c r="B106" s="1">
        <v>2003</v>
      </c>
      <c r="C106" s="300">
        <f t="shared" si="25"/>
        <v>15487300.105298048</v>
      </c>
      <c r="D106" s="300">
        <f t="shared" si="25"/>
        <v>12821163.657667521</v>
      </c>
      <c r="E106" s="300">
        <f t="shared" si="25"/>
        <v>5294304.0596910464</v>
      </c>
      <c r="F106" s="300">
        <f t="shared" si="25"/>
        <v>7457975.7641385151</v>
      </c>
      <c r="G106" s="300">
        <f t="shared" si="25"/>
        <v>2454871.9541401099</v>
      </c>
      <c r="H106" s="300">
        <f t="shared" si="25"/>
        <v>1506085.4483350413</v>
      </c>
      <c r="I106" s="300">
        <f t="shared" si="25"/>
        <v>3192916.5045827227</v>
      </c>
      <c r="J106" s="300">
        <f t="shared" si="25"/>
        <v>6119870.3902887432</v>
      </c>
      <c r="K106" s="300">
        <f t="shared" si="25"/>
        <v>8744855.8700661287</v>
      </c>
      <c r="L106" s="300">
        <f t="shared" si="25"/>
        <v>343657.11015792569</v>
      </c>
    </row>
    <row r="107" spans="2:12">
      <c r="B107" s="1">
        <v>2004</v>
      </c>
      <c r="C107" s="300">
        <f t="shared" si="25"/>
        <v>19002979.614832975</v>
      </c>
      <c r="D107" s="300">
        <f t="shared" si="25"/>
        <v>16182152.721886463</v>
      </c>
      <c r="E107" s="300">
        <f t="shared" si="25"/>
        <v>5886913.8461873988</v>
      </c>
      <c r="F107" s="300">
        <f t="shared" si="25"/>
        <v>7399306.1956792222</v>
      </c>
      <c r="G107" s="300">
        <f t="shared" si="25"/>
        <v>3270676.037214126</v>
      </c>
      <c r="H107" s="300">
        <f t="shared" si="25"/>
        <v>1166162.8894371095</v>
      </c>
      <c r="I107" s="300">
        <f t="shared" si="25"/>
        <v>3539626.8026989894</v>
      </c>
      <c r="J107" s="300">
        <f t="shared" si="25"/>
        <v>3461617.6279271473</v>
      </c>
      <c r="K107" s="300">
        <f t="shared" si="25"/>
        <v>14720104.234829931</v>
      </c>
      <c r="L107" s="300">
        <f t="shared" si="25"/>
        <v>237664.18043978317</v>
      </c>
    </row>
    <row r="108" spans="2:12">
      <c r="B108" s="1">
        <v>2005</v>
      </c>
      <c r="C108" s="300">
        <f t="shared" si="25"/>
        <v>20306658.689396095</v>
      </c>
      <c r="D108" s="300">
        <f t="shared" si="25"/>
        <v>17564706.438687753</v>
      </c>
      <c r="E108" s="300">
        <f t="shared" si="25"/>
        <v>5029646.9398941873</v>
      </c>
      <c r="F108" s="300">
        <f t="shared" si="25"/>
        <v>7972166.7180566117</v>
      </c>
      <c r="G108" s="300">
        <f t="shared" si="25"/>
        <v>4261046.6222805958</v>
      </c>
      <c r="H108" s="300">
        <f t="shared" si="25"/>
        <v>791984.37161204393</v>
      </c>
      <c r="I108" s="300">
        <f t="shared" si="25"/>
        <v>4955814.1254460216</v>
      </c>
      <c r="J108" s="300">
        <f t="shared" si="25"/>
        <v>5632224.7938836971</v>
      </c>
      <c r="K108" s="300">
        <f t="shared" si="25"/>
        <v>25048344.420895476</v>
      </c>
      <c r="L108" s="300">
        <f t="shared" si="25"/>
        <v>164650.00085314189</v>
      </c>
    </row>
    <row r="109" spans="2:12">
      <c r="C109" s="300">
        <f t="shared" ref="C109:L109" si="26">C80^2</f>
        <v>696272.79816276138</v>
      </c>
      <c r="D109" s="300">
        <f t="shared" si="26"/>
        <v>21324129.500841659</v>
      </c>
      <c r="E109" s="300">
        <f t="shared" si="26"/>
        <v>8189109.2431367571</v>
      </c>
      <c r="F109" s="300">
        <f t="shared" si="26"/>
        <v>11594823.135419084</v>
      </c>
      <c r="G109" s="300">
        <f t="shared" si="26"/>
        <v>7953573.5155325728</v>
      </c>
      <c r="H109" s="300">
        <f t="shared" si="26"/>
        <v>420710.07284587633</v>
      </c>
      <c r="I109" s="300">
        <f t="shared" si="26"/>
        <v>6839665.2987653762</v>
      </c>
      <c r="J109" s="300">
        <f t="shared" si="26"/>
        <v>7759163.5952276876</v>
      </c>
      <c r="K109" s="300">
        <f t="shared" si="26"/>
        <v>41854731.878622949</v>
      </c>
      <c r="L109" s="300">
        <f t="shared" si="26"/>
        <v>41216.975363263664</v>
      </c>
    </row>
    <row r="110" spans="2:12">
      <c r="C110" s="300">
        <f t="shared" ref="C110:L111" si="27">C81^2</f>
        <v>5259432.8379221801</v>
      </c>
      <c r="D110" s="300">
        <f t="shared" si="27"/>
        <v>22279743.050151631</v>
      </c>
      <c r="E110" s="300">
        <f t="shared" si="27"/>
        <v>8633449.5407253895</v>
      </c>
      <c r="F110" s="300">
        <f t="shared" si="27"/>
        <v>11813759.119748056</v>
      </c>
      <c r="G110" s="300">
        <f t="shared" si="27"/>
        <v>7602542.3420387115</v>
      </c>
      <c r="H110" s="300">
        <f t="shared" si="27"/>
        <v>227791.58500336701</v>
      </c>
      <c r="I110" s="300">
        <f t="shared" si="27"/>
        <v>5185404.5992871467</v>
      </c>
      <c r="J110" s="300">
        <f t="shared" si="27"/>
        <v>3936981.552318993</v>
      </c>
      <c r="K110" s="300">
        <f t="shared" si="27"/>
        <v>57441683.586070396</v>
      </c>
      <c r="L110" s="300">
        <f t="shared" si="27"/>
        <v>922.54785370816535</v>
      </c>
    </row>
    <row r="111" spans="2:12">
      <c r="C111" s="300">
        <f t="shared" si="27"/>
        <v>16275518.665300556</v>
      </c>
      <c r="D111" s="300">
        <f t="shared" si="27"/>
        <v>28652414.482403245</v>
      </c>
      <c r="E111" s="300">
        <f t="shared" si="27"/>
        <v>9878759.4175337087</v>
      </c>
      <c r="F111" s="300">
        <f t="shared" si="27"/>
        <v>13516149.325672287</v>
      </c>
      <c r="G111" s="300">
        <f t="shared" si="27"/>
        <v>9324873.5848080702</v>
      </c>
      <c r="H111" s="300">
        <f t="shared" si="27"/>
        <v>89918.038496008186</v>
      </c>
      <c r="I111" s="300">
        <f t="shared" si="27"/>
        <v>4625261.9807926193</v>
      </c>
      <c r="J111" s="300">
        <f t="shared" si="27"/>
        <v>70917.903396835318</v>
      </c>
      <c r="K111" s="300">
        <f t="shared" si="27"/>
        <v>74685692.414635375</v>
      </c>
      <c r="L111" s="300">
        <f t="shared" si="27"/>
        <v>4793.3515465318242</v>
      </c>
    </row>
  </sheetData>
  <mergeCells count="12">
    <mergeCell ref="A50:L50"/>
    <mergeCell ref="B3:B4"/>
    <mergeCell ref="C3:C4"/>
    <mergeCell ref="D3:D4"/>
    <mergeCell ref="E3:E4"/>
    <mergeCell ref="J3:J4"/>
    <mergeCell ref="K3:K4"/>
    <mergeCell ref="L3:L4"/>
    <mergeCell ref="F3:F4"/>
    <mergeCell ref="G3:G4"/>
    <mergeCell ref="H3:H4"/>
    <mergeCell ref="I3:I4"/>
  </mergeCells>
  <phoneticPr fontId="35" type="noConversion"/>
  <pageMargins left="0.75" right="0.75" top="1" bottom="1" header="0.5" footer="0.5"/>
  <pageSetup scale="66"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sheetPr codeName="Sheet20">
    <pageSetUpPr fitToPage="1"/>
  </sheetPr>
  <dimension ref="A1:Q106"/>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3" width="8.85546875" style="1" customWidth="1"/>
    <col min="14" max="15" width="8.85546875" style="1" hidden="1" customWidth="1"/>
    <col min="16" max="17" width="9.42578125" style="1" hidden="1" customWidth="1"/>
    <col min="18" max="16384" width="8.85546875" style="1"/>
  </cols>
  <sheetData>
    <row r="1" spans="1:17" ht="15.75">
      <c r="A1" s="3" t="s">
        <v>2111</v>
      </c>
    </row>
    <row r="2" spans="1:17">
      <c r="A2" s="4"/>
      <c r="B2" s="4"/>
    </row>
    <row r="3" spans="1:17" ht="25.5">
      <c r="A3" s="4"/>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667"/>
      <c r="B4" s="1167"/>
      <c r="C4" s="1165"/>
      <c r="D4" s="1165"/>
      <c r="E4" s="1165"/>
      <c r="F4" s="1165"/>
      <c r="G4" s="1165"/>
      <c r="H4" s="1165"/>
      <c r="I4" s="1165"/>
      <c r="J4" s="1165"/>
      <c r="K4" s="1165"/>
      <c r="L4" s="1165"/>
      <c r="N4" s="645" t="s">
        <v>282</v>
      </c>
      <c r="O4" s="645" t="s">
        <v>282</v>
      </c>
      <c r="P4" s="645" t="s">
        <v>281</v>
      </c>
      <c r="Q4" s="645" t="s">
        <v>281</v>
      </c>
    </row>
    <row r="5" spans="1:17">
      <c r="A5" s="22">
        <v>1981</v>
      </c>
      <c r="B5" s="18">
        <f>'9a'!B5/'4'!B5*100</f>
        <v>19421.191540435295</v>
      </c>
      <c r="C5" s="19">
        <f>'9a'!C5/'4'!C5*100</f>
        <v>12635.629984784671</v>
      </c>
      <c r="D5" s="19">
        <f>'9a'!D5/'4'!D5*100</f>
        <v>14068.201936506426</v>
      </c>
      <c r="E5" s="19">
        <f>'9a'!E5/'4'!E5*100</f>
        <v>15934.62317015607</v>
      </c>
      <c r="F5" s="19">
        <f>'9a'!F5/'4'!F5*100</f>
        <v>14681.141595558707</v>
      </c>
      <c r="G5" s="19">
        <f>'9a'!G5/'4'!G5*100</f>
        <v>17205.414516230467</v>
      </c>
      <c r="H5" s="19">
        <f>'9a'!H5/'4'!H5*100</f>
        <v>21033.44093637402</v>
      </c>
      <c r="I5" s="19">
        <f>'9a'!I5/'4'!I5*100</f>
        <v>18832.634811936256</v>
      </c>
      <c r="J5" s="19">
        <f>'9a'!J5/'4'!J5*100</f>
        <v>18600.386929041848</v>
      </c>
      <c r="K5" s="19">
        <f>'9a'!K5/'4'!K5*100</f>
        <v>22635.130378631446</v>
      </c>
      <c r="L5" s="19">
        <f>'9a'!L5/'4'!L5*100</f>
        <v>20816.073060534345</v>
      </c>
      <c r="N5" s="19">
        <f>SUM(C82:L82)/10</f>
        <v>13012680.828507483</v>
      </c>
      <c r="O5" s="19">
        <f>SQRT(N5)</f>
        <v>3607.3093613533456</v>
      </c>
      <c r="P5" s="19">
        <f>Q5^2</f>
        <v>9855222.6074359901</v>
      </c>
      <c r="Q5" s="19">
        <f>STDEVP(C5:L5)</f>
        <v>3139.3028855839939</v>
      </c>
    </row>
    <row r="6" spans="1:17">
      <c r="A6" s="22">
        <v>1982</v>
      </c>
      <c r="B6" s="20">
        <f>'9a'!B6/'4'!B6*100</f>
        <v>19105.675302093521</v>
      </c>
      <c r="C6" s="19">
        <f>'9a'!C6/'4'!C6*100</f>
        <v>12729.761507635141</v>
      </c>
      <c r="D6" s="19">
        <f>'9a'!D6/'4'!D6*100</f>
        <v>14502.925391240211</v>
      </c>
      <c r="E6" s="19">
        <f>'9a'!E6/'4'!E6*100</f>
        <v>16154.928934141004</v>
      </c>
      <c r="F6" s="19">
        <f>'9a'!F6/'4'!F6*100</f>
        <v>15063.07071686885</v>
      </c>
      <c r="G6" s="19">
        <f>'9a'!G6/'4'!G6*100</f>
        <v>16617.218882852681</v>
      </c>
      <c r="H6" s="19">
        <f>'9a'!H6/'4'!H6*100</f>
        <v>21069.663576666961</v>
      </c>
      <c r="I6" s="19">
        <f>'9a'!I6/'4'!I6*100</f>
        <v>19143.629368479294</v>
      </c>
      <c r="J6" s="19">
        <f>'9a'!J6/'4'!J6*100</f>
        <v>19048.181086410041</v>
      </c>
      <c r="K6" s="19">
        <f>'9a'!K6/'4'!K6*100</f>
        <v>21554.833933794787</v>
      </c>
      <c r="L6" s="19">
        <f>'9a'!L6/'4'!L6*100</f>
        <v>20013.445246927156</v>
      </c>
      <c r="N6" s="19">
        <f t="shared" ref="N6:N29" si="0">SUM(C83:L83)/10</f>
        <v>10376397.508178458</v>
      </c>
      <c r="O6" s="19">
        <f t="shared" ref="O6:O29" si="1">SQRT(N6)</f>
        <v>3221.2416097179762</v>
      </c>
      <c r="P6" s="19">
        <f t="shared" ref="P6:P29" si="2">Q6^2</f>
        <v>8078416.0851982497</v>
      </c>
      <c r="Q6" s="19">
        <f t="shared" ref="Q6:Q29" si="3">STDEVP(C6:L6)</f>
        <v>2842.2554574137507</v>
      </c>
    </row>
    <row r="7" spans="1:17">
      <c r="A7" s="22">
        <v>1983</v>
      </c>
      <c r="B7" s="20">
        <f>'9a'!B7/'4'!B7*100</f>
        <v>18695.258473621019</v>
      </c>
      <c r="C7" s="19">
        <f>'9a'!C7/'4'!C7*100</f>
        <v>12288.379767194059</v>
      </c>
      <c r="D7" s="19">
        <f>'9a'!D7/'4'!D7*100</f>
        <v>14749.085010223089</v>
      </c>
      <c r="E7" s="19">
        <f>'9a'!E7/'4'!E7*100</f>
        <v>15967.766734133307</v>
      </c>
      <c r="F7" s="19">
        <f>'9a'!F7/'4'!F7*100</f>
        <v>14906.771719169934</v>
      </c>
      <c r="G7" s="19">
        <f>'9a'!G7/'4'!G7*100</f>
        <v>16351.648581973965</v>
      </c>
      <c r="H7" s="19">
        <f>'9a'!H7/'4'!H7*100</f>
        <v>20964.573148297171</v>
      </c>
      <c r="I7" s="19">
        <f>'9a'!I7/'4'!I7*100</f>
        <v>17983.545764999071</v>
      </c>
      <c r="J7" s="19">
        <f>'9a'!J7/'4'!J7*100</f>
        <v>17512.969506661095</v>
      </c>
      <c r="K7" s="19">
        <f>'9a'!K7/'4'!K7*100</f>
        <v>20633.321490199978</v>
      </c>
      <c r="L7" s="19">
        <f>'9a'!L7/'4'!L7*100</f>
        <v>19171.688223878999</v>
      </c>
      <c r="N7" s="19">
        <f t="shared" si="0"/>
        <v>9494193.5000815857</v>
      </c>
      <c r="O7" s="19">
        <f t="shared" si="1"/>
        <v>3081.2649188412192</v>
      </c>
      <c r="P7" s="19">
        <f t="shared" si="2"/>
        <v>6797098.4748561475</v>
      </c>
      <c r="Q7" s="19">
        <f t="shared" si="3"/>
        <v>2607.1245606714206</v>
      </c>
    </row>
    <row r="8" spans="1:17">
      <c r="A8" s="22">
        <v>1984</v>
      </c>
      <c r="B8" s="20">
        <f>'9a'!B8/'4'!B8*100</f>
        <v>19278.993870234979</v>
      </c>
      <c r="C8" s="19">
        <f>'9a'!C8/'4'!C8*100</f>
        <v>12310.869117217082</v>
      </c>
      <c r="D8" s="19">
        <f>'9a'!D8/'4'!D8*100</f>
        <v>14778.870095217238</v>
      </c>
      <c r="E8" s="19">
        <f>'9a'!E8/'4'!E8*100</f>
        <v>16479.509561225073</v>
      </c>
      <c r="F8" s="19">
        <f>'9a'!F8/'4'!F8*100</f>
        <v>15258.518468390326</v>
      </c>
      <c r="G8" s="19">
        <f>'9a'!G8/'4'!G8*100</f>
        <v>17194.839596279762</v>
      </c>
      <c r="H8" s="19">
        <f>'9a'!H8/'4'!H8*100</f>
        <v>21567.95754690226</v>
      </c>
      <c r="I8" s="19">
        <f>'9a'!I8/'4'!I8*100</f>
        <v>19556.591899690047</v>
      </c>
      <c r="J8" s="19">
        <f>'9a'!J8/'4'!J8*100</f>
        <v>17950.034823001632</v>
      </c>
      <c r="K8" s="19">
        <f>'9a'!K8/'4'!K8*100</f>
        <v>20833.968044623005</v>
      </c>
      <c r="L8" s="19">
        <f>'9a'!L8/'4'!L8*100</f>
        <v>19322.145423919152</v>
      </c>
      <c r="N8" s="19">
        <f t="shared" si="0"/>
        <v>10665326.472285902</v>
      </c>
      <c r="O8" s="19">
        <f t="shared" si="1"/>
        <v>3265.7811427414886</v>
      </c>
      <c r="P8" s="19">
        <f t="shared" si="2"/>
        <v>7589991.1076346198</v>
      </c>
      <c r="Q8" s="19">
        <f t="shared" si="3"/>
        <v>2754.993848928636</v>
      </c>
    </row>
    <row r="9" spans="1:17">
      <c r="A9" s="22">
        <v>1985</v>
      </c>
      <c r="B9" s="20">
        <f>'9a'!B9/'4'!B9*100</f>
        <v>19838.969548041357</v>
      </c>
      <c r="C9" s="19">
        <f>'9a'!C9/'4'!C9*100</f>
        <v>12620.518932399184</v>
      </c>
      <c r="D9" s="19">
        <f>'9a'!D9/'4'!D9*100</f>
        <v>14907.177022153786</v>
      </c>
      <c r="E9" s="19">
        <f>'9a'!E9/'4'!E9*100</f>
        <v>17013.435521057072</v>
      </c>
      <c r="F9" s="19">
        <f>'9a'!F9/'4'!F9*100</f>
        <v>15441.604309826829</v>
      </c>
      <c r="G9" s="19">
        <f>'9a'!G9/'4'!G9*100</f>
        <v>17489.417910213233</v>
      </c>
      <c r="H9" s="19">
        <f>'9a'!H9/'4'!H9*100</f>
        <v>22157.351671908953</v>
      </c>
      <c r="I9" s="19">
        <f>'9a'!I9/'4'!I9*100</f>
        <v>20239.164881383858</v>
      </c>
      <c r="J9" s="19">
        <f>'9a'!J9/'4'!J9*100</f>
        <v>18388.388446357581</v>
      </c>
      <c r="K9" s="19">
        <f>'9a'!K9/'4'!K9*100</f>
        <v>22421.527085717829</v>
      </c>
      <c r="L9" s="19">
        <f>'9a'!L9/'4'!L9*100</f>
        <v>19716.944842818855</v>
      </c>
      <c r="N9" s="19">
        <f t="shared" si="0"/>
        <v>12359319.425734403</v>
      </c>
      <c r="O9" s="19">
        <f t="shared" si="1"/>
        <v>3515.5823736238071</v>
      </c>
      <c r="P9" s="19">
        <f t="shared" si="2"/>
        <v>9121419.7368779369</v>
      </c>
      <c r="Q9" s="19">
        <f t="shared" si="3"/>
        <v>3020.1688258900258</v>
      </c>
    </row>
    <row r="10" spans="1:17">
      <c r="A10" s="22">
        <v>1986</v>
      </c>
      <c r="B10" s="20">
        <f>'9a'!B10/'4'!B10*100</f>
        <v>19881.282957795396</v>
      </c>
      <c r="C10" s="19">
        <f>'9a'!C10/'4'!C10*100</f>
        <v>13092.114914094947</v>
      </c>
      <c r="D10" s="19">
        <f>'9a'!D10/'4'!D10*100</f>
        <v>16234.347276975859</v>
      </c>
      <c r="E10" s="19">
        <f>'9a'!E10/'4'!E10*100</f>
        <v>17168.917838339035</v>
      </c>
      <c r="F10" s="19">
        <f>'9a'!F10/'4'!F10*100</f>
        <v>15968.930162903011</v>
      </c>
      <c r="G10" s="19">
        <f>'9a'!G10/'4'!G10*100</f>
        <v>17492.807294901788</v>
      </c>
      <c r="H10" s="19">
        <f>'9a'!H10/'4'!H10*100</f>
        <v>22182.440368197713</v>
      </c>
      <c r="I10" s="19">
        <f>'9a'!I10/'4'!I10*100</f>
        <v>19921.826746131326</v>
      </c>
      <c r="J10" s="19">
        <f>'9a'!J10/'4'!J10*100</f>
        <v>19679.754450625071</v>
      </c>
      <c r="K10" s="19">
        <f>'9a'!K10/'4'!K10*100</f>
        <v>21866.38006704464</v>
      </c>
      <c r="L10" s="19">
        <f>'9a'!L10/'4'!L10*100</f>
        <v>19692.373234541388</v>
      </c>
      <c r="N10" s="19">
        <f t="shared" si="0"/>
        <v>9707506.7892932929</v>
      </c>
      <c r="O10" s="19">
        <f t="shared" si="1"/>
        <v>3115.6872097971086</v>
      </c>
      <c r="P10" s="19">
        <f t="shared" si="2"/>
        <v>7300994.5760738766</v>
      </c>
      <c r="Q10" s="19">
        <f t="shared" si="3"/>
        <v>2702.0352655126239</v>
      </c>
    </row>
    <row r="11" spans="1:17">
      <c r="A11" s="22">
        <v>1987</v>
      </c>
      <c r="B11" s="20">
        <f>'9a'!B11/'4'!B11*100</f>
        <v>19992.634451488579</v>
      </c>
      <c r="C11" s="19">
        <f>'9a'!C11/'4'!C11*100</f>
        <v>14086.107626401938</v>
      </c>
      <c r="D11" s="19">
        <f>'9a'!D11/'4'!D11*100</f>
        <v>16420.829524302011</v>
      </c>
      <c r="E11" s="19">
        <f>'9a'!E11/'4'!E11*100</f>
        <v>17625.21737768099</v>
      </c>
      <c r="F11" s="19">
        <f>'9a'!F11/'4'!F11*100</f>
        <v>16504.610504338762</v>
      </c>
      <c r="G11" s="19">
        <f>'9a'!G11/'4'!G11*100</f>
        <v>17815.551662284415</v>
      </c>
      <c r="H11" s="19">
        <f>'9a'!H11/'4'!H11*100</f>
        <v>22437.73826429122</v>
      </c>
      <c r="I11" s="19">
        <f>'9a'!I11/'4'!I11*100</f>
        <v>19641.190463907227</v>
      </c>
      <c r="J11" s="19">
        <f>'9a'!J11/'4'!J11*100</f>
        <v>17331.252837001583</v>
      </c>
      <c r="K11" s="19">
        <f>'9a'!K11/'4'!K11*100</f>
        <v>21112.259387080045</v>
      </c>
      <c r="L11" s="19">
        <f>'9a'!L11/'4'!L11*100</f>
        <v>20174.52788602727</v>
      </c>
      <c r="N11" s="19">
        <f t="shared" si="0"/>
        <v>8462715.654928254</v>
      </c>
      <c r="O11" s="19">
        <f t="shared" si="1"/>
        <v>2909.0747076911334</v>
      </c>
      <c r="P11" s="19">
        <f t="shared" si="2"/>
        <v>5648018.5742174154</v>
      </c>
      <c r="Q11" s="19">
        <f t="shared" si="3"/>
        <v>2376.5560322065658</v>
      </c>
    </row>
    <row r="12" spans="1:17">
      <c r="A12" s="22">
        <v>1988</v>
      </c>
      <c r="B12" s="20">
        <f>'9a'!B12/'4'!B12*100</f>
        <v>20718.322555814491</v>
      </c>
      <c r="C12" s="19">
        <f>'9a'!C12/'4'!C12*100</f>
        <v>14921.496388990778</v>
      </c>
      <c r="D12" s="19">
        <f>'9a'!D12/'4'!D12*100</f>
        <v>17351.774723490111</v>
      </c>
      <c r="E12" s="19">
        <f>'9a'!E12/'4'!E12*100</f>
        <v>18285.339178530576</v>
      </c>
      <c r="F12" s="19">
        <f>'9a'!F12/'4'!F12*100</f>
        <v>17162.779632072037</v>
      </c>
      <c r="G12" s="19">
        <f>'9a'!G12/'4'!G12*100</f>
        <v>18303.360268793742</v>
      </c>
      <c r="H12" s="19">
        <f>'9a'!H12/'4'!H12*100</f>
        <v>23170.116523555731</v>
      </c>
      <c r="I12" s="19">
        <f>'9a'!I12/'4'!I12*100</f>
        <v>20017.004559439538</v>
      </c>
      <c r="J12" s="19">
        <f>'9a'!J12/'4'!J12*100</f>
        <v>17799.890358248747</v>
      </c>
      <c r="K12" s="19">
        <f>'9a'!K12/'4'!K12*100</f>
        <v>22490.156326066979</v>
      </c>
      <c r="L12" s="19">
        <f>'9a'!L12/'4'!L12*100</f>
        <v>20851.240019212757</v>
      </c>
      <c r="N12" s="19">
        <f t="shared" si="0"/>
        <v>8750762.3405710962</v>
      </c>
      <c r="O12" s="19">
        <f t="shared" si="1"/>
        <v>2958.1687478186732</v>
      </c>
      <c r="P12" s="19">
        <f t="shared" si="2"/>
        <v>5918250.5931835175</v>
      </c>
      <c r="Q12" s="19">
        <f t="shared" si="3"/>
        <v>2432.7454846702558</v>
      </c>
    </row>
    <row r="13" spans="1:17">
      <c r="A13" s="22">
        <v>1989</v>
      </c>
      <c r="B13" s="20">
        <f>'9a'!B13/'4'!B13*100</f>
        <v>21211.1609692276</v>
      </c>
      <c r="C13" s="19">
        <f>'9a'!C13/'4'!C13*100</f>
        <v>15489.429719531699</v>
      </c>
      <c r="D13" s="19">
        <f>'9a'!D13/'4'!D13*100</f>
        <v>17755.963804941552</v>
      </c>
      <c r="E13" s="19">
        <f>'9a'!E13/'4'!E13*100</f>
        <v>18859.17868821085</v>
      </c>
      <c r="F13" s="19">
        <f>'9a'!F13/'4'!F13*100</f>
        <v>17544.684515205798</v>
      </c>
      <c r="G13" s="19">
        <f>'9a'!G13/'4'!G13*100</f>
        <v>18908.627253044357</v>
      </c>
      <c r="H13" s="19">
        <f>'9a'!H13/'4'!H13*100</f>
        <v>23549.135772739923</v>
      </c>
      <c r="I13" s="19">
        <f>'9a'!I13/'4'!I13*100</f>
        <v>20350.099558527985</v>
      </c>
      <c r="J13" s="19">
        <f>'9a'!J13/'4'!J13*100</f>
        <v>18046.989778319279</v>
      </c>
      <c r="K13" s="19">
        <f>'9a'!K13/'4'!K13*100</f>
        <v>22897.711000926334</v>
      </c>
      <c r="L13" s="19">
        <f>'9a'!L13/'4'!L13*100</f>
        <v>21714.932209266251</v>
      </c>
      <c r="N13" s="19">
        <f t="shared" si="0"/>
        <v>8827089.6422052365</v>
      </c>
      <c r="O13" s="19">
        <f t="shared" si="1"/>
        <v>2971.041844573253</v>
      </c>
      <c r="P13" s="19">
        <f t="shared" si="2"/>
        <v>5938837.8646099847</v>
      </c>
      <c r="Q13" s="19">
        <f t="shared" si="3"/>
        <v>2436.9730947653043</v>
      </c>
    </row>
    <row r="14" spans="1:17">
      <c r="A14" s="22">
        <v>1990</v>
      </c>
      <c r="B14" s="20">
        <f>'9a'!B14/'4'!B14*100</f>
        <v>21068.77540919188</v>
      </c>
      <c r="C14" s="19">
        <f>'9a'!C14/'4'!C14*100</f>
        <v>15810.197113093302</v>
      </c>
      <c r="D14" s="19">
        <f>'9a'!D14/'4'!D14*100</f>
        <v>17743.132957609287</v>
      </c>
      <c r="E14" s="19">
        <f>'9a'!E14/'4'!E14*100</f>
        <v>18669.255627423074</v>
      </c>
      <c r="F14" s="19">
        <f>'9a'!F14/'4'!F14*100</f>
        <v>17397.342102262133</v>
      </c>
      <c r="G14" s="19">
        <f>'9a'!G14/'4'!G14*100</f>
        <v>18970.108823797254</v>
      </c>
      <c r="H14" s="19">
        <f>'9a'!H14/'4'!H14*100</f>
        <v>23088.135363618741</v>
      </c>
      <c r="I14" s="19">
        <f>'9a'!I14/'4'!I14*100</f>
        <v>20618.977673334564</v>
      </c>
      <c r="J14" s="19">
        <f>'9a'!J14/'4'!J14*100</f>
        <v>18727.659793825744</v>
      </c>
      <c r="K14" s="19">
        <f>'9a'!K14/'4'!K14*100</f>
        <v>22511.030483436349</v>
      </c>
      <c r="L14" s="19">
        <f>'9a'!L14/'4'!L14*100</f>
        <v>21687.591695320563</v>
      </c>
      <c r="N14" s="19">
        <f t="shared" si="0"/>
        <v>7457805.0807350548</v>
      </c>
      <c r="O14" s="19">
        <f t="shared" si="1"/>
        <v>2730.8982186700136</v>
      </c>
      <c r="P14" s="19">
        <f t="shared" si="2"/>
        <v>5066352.3898239145</v>
      </c>
      <c r="Q14" s="19">
        <f t="shared" si="3"/>
        <v>2250.8559238262928</v>
      </c>
    </row>
    <row r="15" spans="1:17">
      <c r="A15" s="22">
        <v>1991</v>
      </c>
      <c r="B15" s="20">
        <f>'9a'!B15/'4'!B15*100</f>
        <v>20353.621819634649</v>
      </c>
      <c r="C15" s="19">
        <f>'9a'!C15/'4'!C15*100</f>
        <v>15492.022379089949</v>
      </c>
      <c r="D15" s="19">
        <f>'9a'!D15/'4'!D15*100</f>
        <v>17160.888892916755</v>
      </c>
      <c r="E15" s="19">
        <f>'9a'!E15/'4'!E15*100</f>
        <v>18146.118949172909</v>
      </c>
      <c r="F15" s="19">
        <f>'9a'!F15/'4'!F15*100</f>
        <v>16895.408073609993</v>
      </c>
      <c r="G15" s="19">
        <f>'9a'!G15/'4'!G15*100</f>
        <v>18072.885019336351</v>
      </c>
      <c r="H15" s="19">
        <f>'9a'!H15/'4'!H15*100</f>
        <v>22420.469286904925</v>
      </c>
      <c r="I15" s="19">
        <f>'9a'!I15/'4'!I15*100</f>
        <v>19724.507130460519</v>
      </c>
      <c r="J15" s="19">
        <f>'9a'!J15/'4'!J15*100</f>
        <v>18119.59154812992</v>
      </c>
      <c r="K15" s="19">
        <f>'9a'!K15/'4'!K15*100</f>
        <v>21805.954933007222</v>
      </c>
      <c r="L15" s="19">
        <f>'9a'!L15/'4'!L15*100</f>
        <v>20955.608006447772</v>
      </c>
      <c r="N15" s="19">
        <f t="shared" si="0"/>
        <v>6799295.8090586765</v>
      </c>
      <c r="O15" s="19">
        <f t="shared" si="1"/>
        <v>2607.5459361358671</v>
      </c>
      <c r="P15" s="19">
        <f t="shared" si="2"/>
        <v>4625804.9121636963</v>
      </c>
      <c r="Q15" s="19">
        <f t="shared" si="3"/>
        <v>2150.7684468960615</v>
      </c>
    </row>
    <row r="16" spans="1:17">
      <c r="A16" s="22">
        <v>1992</v>
      </c>
      <c r="B16" s="20">
        <f>'9a'!B16/'4'!B16*100</f>
        <v>20282.51107143045</v>
      </c>
      <c r="C16" s="19">
        <f>'9a'!C16/'4'!C16*100</f>
        <v>15661.850281251565</v>
      </c>
      <c r="D16" s="19">
        <f>'9a'!D16/'4'!D16*100</f>
        <v>17211.773608523872</v>
      </c>
      <c r="E16" s="19">
        <f>'9a'!E16/'4'!E16*100</f>
        <v>18385.092426639883</v>
      </c>
      <c r="F16" s="19">
        <f>'9a'!F16/'4'!F16*100</f>
        <v>17253.189403329867</v>
      </c>
      <c r="G16" s="19">
        <f>'9a'!G16/'4'!G16*100</f>
        <v>17906.31627238432</v>
      </c>
      <c r="H16" s="19">
        <f>'9a'!H16/'4'!H16*100</f>
        <v>22472.524380238992</v>
      </c>
      <c r="I16" s="19">
        <f>'9a'!I16/'4'!I16*100</f>
        <v>19732.076999620323</v>
      </c>
      <c r="J16" s="19">
        <f>'9a'!J16/'4'!J16*100</f>
        <v>17561.031796783729</v>
      </c>
      <c r="K16" s="19">
        <f>'9a'!K16/'4'!K16*100</f>
        <v>21740.076741476525</v>
      </c>
      <c r="L16" s="19">
        <f>'9a'!L16/'4'!L16*100</f>
        <v>20582.72731057505</v>
      </c>
      <c r="N16" s="19">
        <f t="shared" si="0"/>
        <v>6392343.658467358</v>
      </c>
      <c r="O16" s="19">
        <f t="shared" si="1"/>
        <v>2528.3084579353363</v>
      </c>
      <c r="P16" s="19">
        <f t="shared" si="2"/>
        <v>4342163.1267559053</v>
      </c>
      <c r="Q16" s="19">
        <f t="shared" si="3"/>
        <v>2083.7857679607819</v>
      </c>
    </row>
    <row r="17" spans="1:17">
      <c r="A17" s="22">
        <v>1993</v>
      </c>
      <c r="B17" s="20">
        <f>'9a'!B17/'4'!B17*100</f>
        <v>20157.237740447701</v>
      </c>
      <c r="C17" s="19">
        <f>'9a'!C17/'4'!C17*100</f>
        <v>15798.263996305832</v>
      </c>
      <c r="D17" s="19">
        <f>'9a'!D17/'4'!D17*100</f>
        <v>17647.272296939787</v>
      </c>
      <c r="E17" s="19">
        <f>'9a'!E17/'4'!E17*100</f>
        <v>18507.355341638846</v>
      </c>
      <c r="F17" s="19">
        <f>'9a'!F17/'4'!F17*100</f>
        <v>17442.148269181565</v>
      </c>
      <c r="G17" s="19">
        <f>'9a'!G17/'4'!G17*100</f>
        <v>18058.777929707387</v>
      </c>
      <c r="H17" s="19">
        <f>'9a'!H17/'4'!H17*100</f>
        <v>22080.273338500858</v>
      </c>
      <c r="I17" s="19">
        <f>'9a'!I17/'4'!I17*100</f>
        <v>19231.978006942507</v>
      </c>
      <c r="J17" s="19">
        <f>'9a'!J17/'4'!J17*100</f>
        <v>17546.396848539793</v>
      </c>
      <c r="K17" s="19">
        <f>'9a'!K17/'4'!K17*100</f>
        <v>22070.991428677051</v>
      </c>
      <c r="L17" s="19">
        <f>'9a'!L17/'4'!L17*100</f>
        <v>20275.474103364988</v>
      </c>
      <c r="N17" s="19">
        <f t="shared" si="0"/>
        <v>5484502.9639305426</v>
      </c>
      <c r="O17" s="19">
        <f t="shared" si="1"/>
        <v>2341.9015700773043</v>
      </c>
      <c r="P17" s="19">
        <f t="shared" si="2"/>
        <v>3816932.1280961605</v>
      </c>
      <c r="Q17" s="19">
        <f t="shared" si="3"/>
        <v>1953.697041021499</v>
      </c>
    </row>
    <row r="18" spans="1:17">
      <c r="A18" s="22">
        <v>1994</v>
      </c>
      <c r="B18" s="20">
        <f>'9a'!B18/'4'!B18*100</f>
        <v>20185.351099069474</v>
      </c>
      <c r="C18" s="19">
        <f>'9a'!C18/'4'!C18*100</f>
        <v>15880.847315094337</v>
      </c>
      <c r="D18" s="19">
        <f>'9a'!D18/'4'!D18*100</f>
        <v>17321.601898967994</v>
      </c>
      <c r="E18" s="19">
        <f>'9a'!E18/'4'!E18*100</f>
        <v>18294.590235533135</v>
      </c>
      <c r="F18" s="19">
        <f>'9a'!F18/'4'!F18*100</f>
        <v>17501.309707982546</v>
      </c>
      <c r="G18" s="19">
        <f>'9a'!G18/'4'!G18*100</f>
        <v>18399.899437901233</v>
      </c>
      <c r="H18" s="19">
        <f>'9a'!H18/'4'!H18*100</f>
        <v>22045.290456073944</v>
      </c>
      <c r="I18" s="19">
        <f>'9a'!I18/'4'!I18*100</f>
        <v>19225.414783930395</v>
      </c>
      <c r="J18" s="19">
        <f>'9a'!J18/'4'!J18*100</f>
        <v>17203.203851424496</v>
      </c>
      <c r="K18" s="19">
        <f>'9a'!K18/'4'!K18*100</f>
        <v>21608.458325053645</v>
      </c>
      <c r="L18" s="19">
        <f>'9a'!L18/'4'!L18*100</f>
        <v>20076.368038429988</v>
      </c>
      <c r="N18" s="19">
        <f t="shared" si="0"/>
        <v>5600787.0605503339</v>
      </c>
      <c r="O18" s="19">
        <f t="shared" si="1"/>
        <v>2366.5982042903552</v>
      </c>
      <c r="P18" s="19">
        <f t="shared" si="2"/>
        <v>3556880.2350021363</v>
      </c>
      <c r="Q18" s="19">
        <f t="shared" si="3"/>
        <v>1885.9693091357919</v>
      </c>
    </row>
    <row r="19" spans="1:17">
      <c r="A19" s="22">
        <v>1995</v>
      </c>
      <c r="B19" s="20">
        <f>'9a'!B19/'4'!B19*100</f>
        <v>20241.986589432137</v>
      </c>
      <c r="C19" s="19">
        <f>'9a'!C19/'4'!C19*100</f>
        <v>16055.975550717681</v>
      </c>
      <c r="D19" s="19">
        <f>'9a'!D19/'4'!D19*100</f>
        <v>17472.152380216408</v>
      </c>
      <c r="E19" s="19">
        <f>'9a'!E19/'4'!E19*100</f>
        <v>18421.106850979591</v>
      </c>
      <c r="F19" s="19">
        <f>'9a'!F19/'4'!F19*100</f>
        <v>17879.659980300978</v>
      </c>
      <c r="G19" s="19">
        <f>'9a'!G19/'4'!G19*100</f>
        <v>18496.786093166611</v>
      </c>
      <c r="H19" s="19">
        <f>'9a'!H19/'4'!H19*100</f>
        <v>22017.730966535466</v>
      </c>
      <c r="I19" s="19">
        <f>'9a'!I19/'4'!I19*100</f>
        <v>19266.608226490109</v>
      </c>
      <c r="J19" s="19">
        <f>'9a'!J19/'4'!J19*100</f>
        <v>18057.475995459816</v>
      </c>
      <c r="K19" s="19">
        <f>'9a'!K19/'4'!K19*100</f>
        <v>21659.099437565161</v>
      </c>
      <c r="L19" s="19">
        <f>'9a'!L19/'4'!L19*100</f>
        <v>19978.09744352143</v>
      </c>
      <c r="N19" s="19">
        <f t="shared" si="0"/>
        <v>4809114.8649622621</v>
      </c>
      <c r="O19" s="19">
        <f t="shared" si="1"/>
        <v>2192.969417242808</v>
      </c>
      <c r="P19" s="19">
        <f t="shared" si="2"/>
        <v>3089037.2447978212</v>
      </c>
      <c r="Q19" s="19">
        <f t="shared" si="3"/>
        <v>1757.5657156413301</v>
      </c>
    </row>
    <row r="20" spans="1:17">
      <c r="A20" s="22">
        <v>1996</v>
      </c>
      <c r="B20" s="20">
        <f>'9a'!B20/'4'!B20*100</f>
        <v>20049.891722914737</v>
      </c>
      <c r="C20" s="19">
        <f>'9a'!C20/'4'!C20*100</f>
        <v>15785.614726424683</v>
      </c>
      <c r="D20" s="19">
        <f>'9a'!D20/'4'!D20*100</f>
        <v>17058.254135650106</v>
      </c>
      <c r="E20" s="19">
        <f>'9a'!E20/'4'!E20*100</f>
        <v>18030.742163389143</v>
      </c>
      <c r="F20" s="19">
        <f>'9a'!F20/'4'!F20*100</f>
        <v>17743.70649671401</v>
      </c>
      <c r="G20" s="19">
        <f>'9a'!G20/'4'!G20*100</f>
        <v>18479.725928360989</v>
      </c>
      <c r="H20" s="19">
        <f>'9a'!H20/'4'!H20*100</f>
        <v>21562.701059734849</v>
      </c>
      <c r="I20" s="19">
        <f>'9a'!I20/'4'!I20*100</f>
        <v>19413.879209716972</v>
      </c>
      <c r="J20" s="19">
        <f>'9a'!J20/'4'!J20*100</f>
        <v>18713.575734497685</v>
      </c>
      <c r="K20" s="19">
        <f>'9a'!K20/'4'!K20*100</f>
        <v>21419.977722522497</v>
      </c>
      <c r="L20" s="19">
        <f>'9a'!L20/'4'!L20*100</f>
        <v>19719.995847401013</v>
      </c>
      <c r="N20" s="19">
        <f t="shared" si="0"/>
        <v>4545964.0982409734</v>
      </c>
      <c r="O20" s="19">
        <f t="shared" si="1"/>
        <v>2132.1266609282325</v>
      </c>
      <c r="P20" s="19">
        <f t="shared" si="2"/>
        <v>2965727.9996321867</v>
      </c>
      <c r="Q20" s="19">
        <f t="shared" si="3"/>
        <v>1722.1289149283182</v>
      </c>
    </row>
    <row r="21" spans="1:17">
      <c r="A21" s="22">
        <v>1997</v>
      </c>
      <c r="B21" s="20">
        <f>'9a'!B21/'4'!B21*100</f>
        <v>20202.199549184657</v>
      </c>
      <c r="C21" s="19">
        <f>'9a'!C21/'4'!C21*100</f>
        <v>15632.532921885226</v>
      </c>
      <c r="D21" s="19">
        <f>'9a'!D21/'4'!D21*100</f>
        <v>17196.307665327215</v>
      </c>
      <c r="E21" s="19">
        <f>'9a'!E21/'4'!E21*100</f>
        <v>18312.320699059463</v>
      </c>
      <c r="F21" s="19">
        <f>'9a'!F21/'4'!F21*100</f>
        <v>17748.937637072253</v>
      </c>
      <c r="G21" s="19">
        <f>'9a'!G21/'4'!G21*100</f>
        <v>18468.371747206442</v>
      </c>
      <c r="H21" s="19">
        <f>'9a'!H21/'4'!H21*100</f>
        <v>21859.213198424441</v>
      </c>
      <c r="I21" s="19">
        <f>'9a'!I21/'4'!I21*100</f>
        <v>18978.328282134928</v>
      </c>
      <c r="J21" s="19">
        <f>'9a'!J21/'4'!J21*100</f>
        <v>17653.694502716404</v>
      </c>
      <c r="K21" s="19">
        <f>'9a'!K21/'4'!K21*100</f>
        <v>22261.476509925837</v>
      </c>
      <c r="L21" s="19">
        <f>'9a'!L21/'4'!L21*100</f>
        <v>19853.755077499252</v>
      </c>
      <c r="N21" s="19">
        <f t="shared" si="0"/>
        <v>5761400.2261417313</v>
      </c>
      <c r="O21" s="19">
        <f t="shared" si="1"/>
        <v>2400.2916960531547</v>
      </c>
      <c r="P21" s="19">
        <f t="shared" si="2"/>
        <v>3785391.6406763457</v>
      </c>
      <c r="Q21" s="19">
        <f t="shared" si="3"/>
        <v>1945.6082957975755</v>
      </c>
    </row>
    <row r="22" spans="1:17">
      <c r="A22" s="22">
        <v>1998</v>
      </c>
      <c r="B22" s="20">
        <f>'9a'!B22/'4'!B22*100</f>
        <v>20658.606582084169</v>
      </c>
      <c r="C22" s="19">
        <f>'9a'!C22/'4'!C22*100</f>
        <v>16214.924549384756</v>
      </c>
      <c r="D22" s="19">
        <f>'9a'!D22/'4'!D22*100</f>
        <v>17612.050480402799</v>
      </c>
      <c r="E22" s="19">
        <f>'9a'!E22/'4'!E22*100</f>
        <v>19005.182268427667</v>
      </c>
      <c r="F22" s="19">
        <f>'9a'!F22/'4'!F22*100</f>
        <v>18499.068605205521</v>
      </c>
      <c r="G22" s="19">
        <f>'9a'!G22/'4'!G22*100</f>
        <v>18674.745396706177</v>
      </c>
      <c r="H22" s="19">
        <f>'9a'!H22/'4'!H22*100</f>
        <v>22477.480772712432</v>
      </c>
      <c r="I22" s="19">
        <f>'9a'!I22/'4'!I22*100</f>
        <v>19640.593100825135</v>
      </c>
      <c r="J22" s="19">
        <f>'9a'!J22/'4'!J22*100</f>
        <v>18241.362823437976</v>
      </c>
      <c r="K22" s="19">
        <f>'9a'!K22/'4'!K22*100</f>
        <v>22843.68011037691</v>
      </c>
      <c r="L22" s="19">
        <f>'9a'!L22/'4'!L22*100</f>
        <v>19995.551121587821</v>
      </c>
      <c r="N22" s="19">
        <f t="shared" si="0"/>
        <v>5576284.6551660979</v>
      </c>
      <c r="O22" s="19">
        <f t="shared" si="1"/>
        <v>2361.4158158117975</v>
      </c>
      <c r="P22" s="19">
        <f t="shared" si="2"/>
        <v>3785658.8788556666</v>
      </c>
      <c r="Q22" s="19">
        <f t="shared" si="3"/>
        <v>1945.6769718675469</v>
      </c>
    </row>
    <row r="23" spans="1:17">
      <c r="A23" s="22">
        <v>1999</v>
      </c>
      <c r="B23" s="20">
        <f>'9a'!B23/'4'!B23*100</f>
        <v>21110.764938806307</v>
      </c>
      <c r="C23" s="19">
        <f>'9a'!C23/'4'!C23*100</f>
        <v>16747.204301312137</v>
      </c>
      <c r="D23" s="19">
        <f>'9a'!D23/'4'!D23*100</f>
        <v>18231.808709996385</v>
      </c>
      <c r="E23" s="19">
        <f>'9a'!E23/'4'!E23*100</f>
        <v>19565.936347366118</v>
      </c>
      <c r="F23" s="19">
        <f>'9a'!F23/'4'!F23*100</f>
        <v>19078.450491502703</v>
      </c>
      <c r="G23" s="19">
        <f>'9a'!G23/'4'!G23*100</f>
        <v>19142.899026268067</v>
      </c>
      <c r="H23" s="19">
        <f>'9a'!H23/'4'!H23*100</f>
        <v>22965.839633533407</v>
      </c>
      <c r="I23" s="19">
        <f>'9a'!I23/'4'!I23*100</f>
        <v>19762.817610071925</v>
      </c>
      <c r="J23" s="19">
        <f>'9a'!J23/'4'!J23*100</f>
        <v>18767.636242518016</v>
      </c>
      <c r="K23" s="19">
        <f>'9a'!K23/'4'!K23*100</f>
        <v>22916.07583369955</v>
      </c>
      <c r="L23" s="19">
        <f>'9a'!L23/'4'!L23*100</f>
        <v>20442.924754762538</v>
      </c>
      <c r="N23" s="19">
        <f t="shared" si="0"/>
        <v>5217201.8193944497</v>
      </c>
      <c r="O23" s="19">
        <f t="shared" si="1"/>
        <v>2284.1194844829047</v>
      </c>
      <c r="P23" s="19">
        <f t="shared" si="2"/>
        <v>3398464.6371662901</v>
      </c>
      <c r="Q23" s="19">
        <f t="shared" si="3"/>
        <v>1843.4925107432061</v>
      </c>
    </row>
    <row r="24" spans="1:17">
      <c r="A24" s="22">
        <v>2000</v>
      </c>
      <c r="B24" s="20">
        <f>'9a'!B24/'4'!B24*100</f>
        <v>21847.473088545015</v>
      </c>
      <c r="C24" s="19">
        <f>'9a'!C24/'4'!C24*100</f>
        <v>17136.745638202174</v>
      </c>
      <c r="D24" s="19">
        <f>'9a'!D24/'4'!D24*100</f>
        <v>18685.811438697063</v>
      </c>
      <c r="E24" s="19">
        <f>'9a'!E24/'4'!E24*100</f>
        <v>19693.652503982346</v>
      </c>
      <c r="F24" s="19">
        <f>'9a'!F24/'4'!F24*100</f>
        <v>19236.65190755915</v>
      </c>
      <c r="G24" s="19">
        <f>'9a'!G24/'4'!G24*100</f>
        <v>19744.581212066398</v>
      </c>
      <c r="H24" s="19">
        <f>'9a'!H24/'4'!H24*100</f>
        <v>23879.089723764388</v>
      </c>
      <c r="I24" s="19">
        <f>'9a'!I24/'4'!I24*100</f>
        <v>20087.738811501888</v>
      </c>
      <c r="J24" s="19">
        <f>'9a'!J24/'4'!J24*100</f>
        <v>19121.237667553429</v>
      </c>
      <c r="K24" s="19">
        <f>'9a'!K24/'4'!K24*100</f>
        <v>23878.402733591371</v>
      </c>
      <c r="L24" s="19">
        <f>'9a'!L24/'4'!L24*100</f>
        <v>21099.260470160549</v>
      </c>
      <c r="N24" s="19">
        <f t="shared" si="0"/>
        <v>6740552.988767053</v>
      </c>
      <c r="O24" s="19">
        <f t="shared" si="1"/>
        <v>2596.2574966222155</v>
      </c>
      <c r="P24" s="19">
        <f t="shared" si="2"/>
        <v>4208775.9611913301</v>
      </c>
      <c r="Q24" s="19">
        <f t="shared" si="3"/>
        <v>2051.5301511777325</v>
      </c>
    </row>
    <row r="25" spans="1:17">
      <c r="A25" s="22">
        <v>2001</v>
      </c>
      <c r="B25" s="20">
        <f>'9a'!B25/'4'!B25*100</f>
        <v>22059.029871109928</v>
      </c>
      <c r="C25" s="19">
        <f>'9a'!C25/'4'!C25*100</f>
        <v>17873.590155138703</v>
      </c>
      <c r="D25" s="19">
        <f>'9a'!D25/'4'!D25*100</f>
        <v>18533.576823614181</v>
      </c>
      <c r="E25" s="19">
        <f>'9a'!E25/'4'!E25*100</f>
        <v>20019.596938914165</v>
      </c>
      <c r="F25" s="19">
        <f>'9a'!F25/'4'!F25*100</f>
        <v>19518.953133581304</v>
      </c>
      <c r="G25" s="19">
        <f>'9a'!G25/'4'!G25*100</f>
        <v>20074.073185193894</v>
      </c>
      <c r="H25" s="19">
        <f>'9a'!H25/'4'!H25*100</f>
        <v>23553.76667304066</v>
      </c>
      <c r="I25" s="19">
        <f>'9a'!I25/'4'!I25*100</f>
        <v>20256.268780213544</v>
      </c>
      <c r="J25" s="19">
        <f>'9a'!J25/'4'!J25*100</f>
        <v>19022.544988750898</v>
      </c>
      <c r="K25" s="19">
        <f>'9a'!K25/'4'!K25*100</f>
        <v>25543.585843966768</v>
      </c>
      <c r="L25" s="19">
        <f>'9a'!L25/'4'!L25*100</f>
        <v>21426.688581503015</v>
      </c>
      <c r="N25" s="19">
        <f t="shared" si="0"/>
        <v>7174446.630175272</v>
      </c>
      <c r="O25" s="19">
        <f t="shared" si="1"/>
        <v>2678.5157513397735</v>
      </c>
      <c r="P25" s="19">
        <f t="shared" si="2"/>
        <v>4993610.6995580299</v>
      </c>
      <c r="Q25" s="19">
        <f t="shared" si="3"/>
        <v>2234.638829779441</v>
      </c>
    </row>
    <row r="26" spans="1:17">
      <c r="A26" s="22">
        <v>2002</v>
      </c>
      <c r="B26" s="20">
        <f>'9a'!B26/'4'!B26*100</f>
        <v>22134.89871803148</v>
      </c>
      <c r="C26" s="19">
        <f>'9a'!C26/'4'!C26*100</f>
        <v>18056.670343059413</v>
      </c>
      <c r="D26" s="19">
        <f>'9a'!D26/'4'!D26*100</f>
        <v>19039.130307723779</v>
      </c>
      <c r="E26" s="19">
        <f>'9a'!E26/'4'!E26*100</f>
        <v>19971.872109003602</v>
      </c>
      <c r="F26" s="19">
        <f>'9a'!F26/'4'!F26*100</f>
        <v>19323.903588667759</v>
      </c>
      <c r="G26" s="19">
        <f>'9a'!G26/'4'!G26*100</f>
        <v>20409.817074842402</v>
      </c>
      <c r="H26" s="19">
        <f>'9a'!H26/'4'!H26*100</f>
        <v>23501.39098996454</v>
      </c>
      <c r="I26" s="19">
        <f>'9a'!I26/'4'!I26*100</f>
        <v>20471.843218085913</v>
      </c>
      <c r="J26" s="19">
        <f>'9a'!J26/'4'!J26*100</f>
        <v>19110.13331647942</v>
      </c>
      <c r="K26" s="19">
        <f>'9a'!K26/'4'!K26*100</f>
        <v>25036.408806647818</v>
      </c>
      <c r="L26" s="19">
        <f>'9a'!L26/'4'!L26*100</f>
        <v>21617.899466543426</v>
      </c>
      <c r="N26" s="19">
        <f t="shared" si="0"/>
        <v>6424032.2612983473</v>
      </c>
      <c r="O26" s="19">
        <f t="shared" si="1"/>
        <v>2534.5674702596393</v>
      </c>
      <c r="P26" s="19">
        <f t="shared" si="2"/>
        <v>4230695.5616873931</v>
      </c>
      <c r="Q26" s="19">
        <f t="shared" si="3"/>
        <v>2056.8654700022053</v>
      </c>
    </row>
    <row r="27" spans="1:17">
      <c r="A27" s="22">
        <v>2003</v>
      </c>
      <c r="B27" s="20">
        <f>'9a'!B27/'4'!B27*100</f>
        <v>22162.709570631505</v>
      </c>
      <c r="C27" s="19">
        <f>'9a'!C27/'4'!C27*100</f>
        <v>18316.690690338139</v>
      </c>
      <c r="D27" s="19">
        <f>'9a'!D27/'4'!D27*100</f>
        <v>18553.236893819194</v>
      </c>
      <c r="E27" s="19">
        <f>'9a'!E27/'4'!E27*100</f>
        <v>19808.829752128611</v>
      </c>
      <c r="F27" s="19">
        <f>'9a'!F27/'4'!F27*100</f>
        <v>19392.974825631834</v>
      </c>
      <c r="G27" s="19">
        <f>'9a'!G27/'4'!G27*100</f>
        <v>20698.987647432783</v>
      </c>
      <c r="H27" s="19">
        <f>'9a'!H27/'4'!H27*100</f>
        <v>23379.252355622011</v>
      </c>
      <c r="I27" s="19">
        <f>'9a'!I27/'4'!I27*100</f>
        <v>20625.139538952779</v>
      </c>
      <c r="J27" s="19">
        <f>'9a'!J27/'4'!J27*100</f>
        <v>19852.813547592927</v>
      </c>
      <c r="K27" s="19">
        <f>'9a'!K27/'4'!K27*100</f>
        <v>24655.589737226041</v>
      </c>
      <c r="L27" s="19">
        <f>'9a'!L27/'4'!L27*100</f>
        <v>21719.2198539208</v>
      </c>
      <c r="N27" s="19">
        <f t="shared" si="0"/>
        <v>5876566.9099400798</v>
      </c>
      <c r="O27" s="19">
        <f t="shared" si="1"/>
        <v>2424.1631359997373</v>
      </c>
      <c r="P27" s="19">
        <f t="shared" si="2"/>
        <v>3737847.6032373812</v>
      </c>
      <c r="Q27" s="19">
        <f t="shared" si="3"/>
        <v>1933.3513915575154</v>
      </c>
    </row>
    <row r="28" spans="1:17">
      <c r="A28" s="22">
        <v>2004</v>
      </c>
      <c r="B28" s="20">
        <f>'9a'!B28/'4'!B28*100</f>
        <v>22739.804797644065</v>
      </c>
      <c r="C28" s="19">
        <f>'9a'!C28/'4'!C28*100</f>
        <v>18558.52567531458</v>
      </c>
      <c r="D28" s="19">
        <f>'9a'!D28/'4'!D28*100</f>
        <v>18701.201295419305</v>
      </c>
      <c r="E28" s="19">
        <f>'9a'!E28/'4'!E28*100</f>
        <v>20306.058214911187</v>
      </c>
      <c r="F28" s="19">
        <f>'9a'!F28/'4'!F28*100</f>
        <v>20103.345136459327</v>
      </c>
      <c r="G28" s="19">
        <f>'9a'!G28/'4'!G28*100</f>
        <v>21052.702943611639</v>
      </c>
      <c r="H28" s="19">
        <f>'9a'!H28/'4'!H28*100</f>
        <v>23793.944401668479</v>
      </c>
      <c r="I28" s="19">
        <f>'9a'!I28/'4'!I28*100</f>
        <v>21124.456675904097</v>
      </c>
      <c r="J28" s="19">
        <f>'9a'!J28/'4'!J28*100</f>
        <v>20982.823450372052</v>
      </c>
      <c r="K28" s="19">
        <f>'9a'!K28/'4'!K28*100</f>
        <v>26105.056115013947</v>
      </c>
      <c r="L28" s="19">
        <f>'9a'!L28/'4'!L28*100</f>
        <v>22381.062849728212</v>
      </c>
      <c r="N28" s="19">
        <f t="shared" si="0"/>
        <v>6777492.3515006034</v>
      </c>
      <c r="O28" s="19">
        <f t="shared" si="1"/>
        <v>2603.3617404234478</v>
      </c>
      <c r="P28" s="19">
        <f t="shared" si="2"/>
        <v>4735773.9446437079</v>
      </c>
      <c r="Q28" s="19">
        <f t="shared" si="3"/>
        <v>2176.1833435268518</v>
      </c>
    </row>
    <row r="29" spans="1:17">
      <c r="A29" s="22">
        <v>2005</v>
      </c>
      <c r="B29" s="20">
        <f>'9a'!B29/'4'!B29*100</f>
        <v>23020.706010480939</v>
      </c>
      <c r="C29" s="19">
        <f>'9a'!C29/'4'!C29*100</f>
        <v>18704.334961624711</v>
      </c>
      <c r="D29" s="19">
        <f>'9a'!D29/'4'!D29*100</f>
        <v>18736.139812766742</v>
      </c>
      <c r="E29" s="19">
        <f>'9a'!E29/'4'!E29*100</f>
        <v>20692.6691259293</v>
      </c>
      <c r="F29" s="19">
        <f>'9a'!F29/'4'!F29*100</f>
        <v>20306.008258042257</v>
      </c>
      <c r="G29" s="19">
        <f>'9a'!G29/'4'!G29*100</f>
        <v>21111.24897816169</v>
      </c>
      <c r="H29" s="19">
        <f>'9a'!H29/'4'!H29*100</f>
        <v>23874.733834495095</v>
      </c>
      <c r="I29" s="19">
        <f>'9a'!I29/'4'!I29*100</f>
        <v>21018.752008458749</v>
      </c>
      <c r="J29" s="19">
        <f>'9a'!J29/'4'!J29*100</f>
        <v>20822.193222230926</v>
      </c>
      <c r="K29" s="19">
        <f>'9a'!K29/'4'!K29*100</f>
        <v>27416.269693226815</v>
      </c>
      <c r="L29" s="19">
        <f>'9a'!L29/'4'!L29*100</f>
        <v>22790.578136272696</v>
      </c>
      <c r="N29" s="19">
        <f t="shared" si="0"/>
        <v>8236851.3073265236</v>
      </c>
      <c r="O29" s="19">
        <f t="shared" si="1"/>
        <v>2869.9915169433034</v>
      </c>
      <c r="P29" s="19">
        <f t="shared" si="2"/>
        <v>6065904.8277035533</v>
      </c>
      <c r="Q29" s="19">
        <f t="shared" si="3"/>
        <v>2462.9057691482135</v>
      </c>
    </row>
    <row r="30" spans="1:17">
      <c r="A30" s="22">
        <v>2006</v>
      </c>
      <c r="B30" s="20">
        <f>'9a'!B30/'4'!B30*100</f>
        <v>23990.632612186269</v>
      </c>
      <c r="C30" s="19">
        <f>'9a'!C30/'4'!C30*100</f>
        <v>23140.959411363856</v>
      </c>
      <c r="D30" s="19">
        <f>'9a'!D30/'4'!D30*100</f>
        <v>19315.389317166882</v>
      </c>
      <c r="E30" s="19">
        <f>'9a'!E30/'4'!E30*100</f>
        <v>21116.049101173019</v>
      </c>
      <c r="F30" s="19">
        <f>'9a'!F30/'4'!F30*100</f>
        <v>20850.423975650283</v>
      </c>
      <c r="G30" s="19">
        <f>'9a'!G30/'4'!G30*100</f>
        <v>21484.42697096675</v>
      </c>
      <c r="H30" s="19">
        <f>'9a'!H30/'4'!H30*100</f>
        <v>24652.942878196005</v>
      </c>
      <c r="I30" s="19">
        <f>'9a'!I30/'4'!I30*100</f>
        <v>21672.957500148499</v>
      </c>
      <c r="J30" s="19">
        <f>'9a'!J30/'4'!J30*100</f>
        <v>21437.445146114995</v>
      </c>
      <c r="K30" s="19">
        <f>'9a'!K30/'4'!K30*100</f>
        <v>29067.946118824686</v>
      </c>
      <c r="L30" s="19">
        <f>'9a'!L30/'4'!L30*100</f>
        <v>24024.755353463162</v>
      </c>
      <c r="N30" s="19"/>
      <c r="O30" s="19"/>
      <c r="P30" s="19"/>
      <c r="Q30" s="19"/>
    </row>
    <row r="31" spans="1:17">
      <c r="A31" s="22">
        <v>2007</v>
      </c>
      <c r="B31" s="20">
        <f>'9a'!B31/'4'!B31*100</f>
        <v>24447.39108870197</v>
      </c>
      <c r="C31" s="19">
        <f>'9a'!C31/'4'!C31*100</f>
        <v>22471.193272915243</v>
      </c>
      <c r="D31" s="19">
        <f>'9a'!D31/'4'!D31*100</f>
        <v>19840.403867768509</v>
      </c>
      <c r="E31" s="19">
        <f>'9a'!E31/'4'!E31*100</f>
        <v>21618.282524078117</v>
      </c>
      <c r="F31" s="19">
        <f>'9a'!F31/'4'!F31*100</f>
        <v>21403.168124525455</v>
      </c>
      <c r="G31" s="19">
        <f>'9a'!G31/'4'!G31*100</f>
        <v>22193.451313267975</v>
      </c>
      <c r="H31" s="19">
        <f>'9a'!H31/'4'!H31*100</f>
        <v>25032.595876236181</v>
      </c>
      <c r="I31" s="19">
        <f>'9a'!I31/'4'!I31*100</f>
        <v>22526.323458787683</v>
      </c>
      <c r="J31" s="19">
        <f>'9a'!J31/'4'!J31*100</f>
        <v>22526.433352443048</v>
      </c>
      <c r="K31" s="19">
        <f>'9a'!K31/'4'!K31*100</f>
        <v>29548.660103503204</v>
      </c>
      <c r="L31" s="19">
        <f>'9a'!L31/'4'!L31*100</f>
        <v>24753.152355491402</v>
      </c>
      <c r="N31" s="19"/>
      <c r="O31" s="19"/>
      <c r="P31" s="19"/>
      <c r="Q31" s="19"/>
    </row>
    <row r="32" spans="1:17">
      <c r="A32" s="22">
        <v>2008</v>
      </c>
      <c r="B32" s="20">
        <f>'9a'!B32/'4'!B32*100</f>
        <v>25019.485977414733</v>
      </c>
      <c r="C32" s="19">
        <f>'9a'!C32/'4'!C32*100</f>
        <v>21446.142315721889</v>
      </c>
      <c r="D32" s="19">
        <f>'9a'!D32/'4'!D32*100</f>
        <v>19739.947646225803</v>
      </c>
      <c r="E32" s="19">
        <f>'9a'!E32/'4'!E32*100</f>
        <v>21919.054459236548</v>
      </c>
      <c r="F32" s="19">
        <f>'9a'!F32/'4'!F32*100</f>
        <v>21970.673054794905</v>
      </c>
      <c r="G32" s="19">
        <f>'9a'!G32/'4'!G32*100</f>
        <v>22620.734607067272</v>
      </c>
      <c r="H32" s="19">
        <f>'9a'!H32/'4'!H32*100</f>
        <v>25460.809237960264</v>
      </c>
      <c r="I32" s="19">
        <f>'9a'!I32/'4'!I32*100</f>
        <v>23277.417350119042</v>
      </c>
      <c r="J32" s="19">
        <f>'9a'!J32/'4'!J32*100</f>
        <v>24401.146975348831</v>
      </c>
      <c r="K32" s="19">
        <f>'9a'!K32/'4'!K32*100</f>
        <v>30583.323954958087</v>
      </c>
      <c r="L32" s="19">
        <f>'9a'!L32/'4'!L32*100</f>
        <v>25482.1616516713</v>
      </c>
      <c r="N32" s="19"/>
      <c r="O32" s="19"/>
      <c r="P32" s="19"/>
      <c r="Q32" s="19"/>
    </row>
    <row r="33" spans="1:17" ht="12.6" customHeight="1">
      <c r="A33" s="22"/>
      <c r="B33" s="1075"/>
      <c r="C33" s="644"/>
      <c r="D33" s="666" t="s">
        <v>802</v>
      </c>
      <c r="E33" s="644"/>
      <c r="F33" s="644"/>
      <c r="G33" s="644"/>
      <c r="H33" s="644"/>
      <c r="I33" s="644"/>
      <c r="J33" s="644"/>
      <c r="K33" s="644"/>
      <c r="L33" s="644"/>
      <c r="M33" s="114"/>
    </row>
    <row r="34" spans="1:17">
      <c r="A34" s="448" t="s">
        <v>603</v>
      </c>
      <c r="B34" s="23">
        <f>((((B13/B5))^(1/8))-1)*100</f>
        <v>1.1081283410435461</v>
      </c>
      <c r="C34" s="23">
        <f t="shared" ref="C34:L34" si="4">((((C13/C5))^(1/8))-1)*100</f>
        <v>2.5781390879347832</v>
      </c>
      <c r="D34" s="23">
        <f t="shared" si="4"/>
        <v>2.9528105706740471</v>
      </c>
      <c r="E34" s="23">
        <f t="shared" si="4"/>
        <v>2.1286573053605595</v>
      </c>
      <c r="F34" s="23">
        <f t="shared" si="4"/>
        <v>2.2523309482771703</v>
      </c>
      <c r="G34" s="23">
        <f t="shared" si="4"/>
        <v>1.1869155299912837</v>
      </c>
      <c r="H34" s="23">
        <f t="shared" si="4"/>
        <v>1.4222126346848718</v>
      </c>
      <c r="I34" s="23">
        <f t="shared" si="4"/>
        <v>0.97338872110279695</v>
      </c>
      <c r="J34" s="23">
        <f t="shared" si="4"/>
        <v>-0.37683174483508219</v>
      </c>
      <c r="K34" s="23">
        <f t="shared" si="4"/>
        <v>0.14427658311173541</v>
      </c>
      <c r="L34" s="23">
        <f t="shared" si="4"/>
        <v>0.52983258148862067</v>
      </c>
      <c r="M34" s="23"/>
      <c r="N34" s="23">
        <f>((((N13/N5))^(1/8))-1)*100</f>
        <v>-4.7354446055445258</v>
      </c>
      <c r="O34" s="23">
        <f>((((O13/O5))^(1/8))-1)*100</f>
        <v>-2.3964368506684708</v>
      </c>
      <c r="P34" s="23">
        <f>((((P13/P5))^(1/8))-1)*100</f>
        <v>-6.1348499377183003</v>
      </c>
      <c r="Q34" s="23">
        <f>((((Q13/Q5))^(1/8))-1)*100</f>
        <v>-3.1159713563263858</v>
      </c>
    </row>
    <row r="35" spans="1:17">
      <c r="A35" s="448" t="s">
        <v>604</v>
      </c>
      <c r="B35" s="23">
        <f>((((B24/B13))^(1/11))-1)*100</f>
        <v>0.26906827496495644</v>
      </c>
      <c r="C35" s="23">
        <f t="shared" ref="C35:L35" si="5">((((C24/C13))^(1/11))-1)*100</f>
        <v>0.92302647454953757</v>
      </c>
      <c r="D35" s="23">
        <f t="shared" si="5"/>
        <v>0.46510591884123542</v>
      </c>
      <c r="E35" s="23">
        <f t="shared" si="5"/>
        <v>0.39438153131341469</v>
      </c>
      <c r="F35" s="23">
        <f t="shared" si="5"/>
        <v>0.84047950230006219</v>
      </c>
      <c r="G35" s="23">
        <f t="shared" si="5"/>
        <v>0.39405434563692943</v>
      </c>
      <c r="H35" s="23">
        <f t="shared" si="5"/>
        <v>0.12657136845450889</v>
      </c>
      <c r="I35" s="23">
        <f t="shared" si="5"/>
        <v>-0.11789576311048711</v>
      </c>
      <c r="J35" s="23">
        <f t="shared" si="5"/>
        <v>0.52702699520761342</v>
      </c>
      <c r="K35" s="23">
        <f t="shared" si="5"/>
        <v>0.38197722427968372</v>
      </c>
      <c r="L35" s="23">
        <f t="shared" si="5"/>
        <v>-0.26113257310858007</v>
      </c>
      <c r="M35" s="23"/>
      <c r="N35" s="23">
        <f>((((N28/N5))^(1/23))-1)*100</f>
        <v>-2.796320033393429</v>
      </c>
      <c r="O35" s="23">
        <f>((((O28/O5))^(1/23))-1)*100</f>
        <v>-1.408073369769991</v>
      </c>
      <c r="P35" s="23">
        <f>((((P28/P5))^(1/23))-1)*100</f>
        <v>-3.1361033540080352</v>
      </c>
      <c r="Q35" s="23">
        <f>((((Q28/Q5))^(1/23))-1)*100</f>
        <v>-1.580542245960348</v>
      </c>
    </row>
    <row r="36" spans="1:17">
      <c r="A36" s="448" t="s">
        <v>808</v>
      </c>
      <c r="B36" s="23">
        <f t="shared" ref="B36:L36" si="6">((((B29/B5))^(1/24))-1)*100</f>
        <v>0.71097070975465471</v>
      </c>
      <c r="C36" s="23">
        <f t="shared" si="6"/>
        <v>1.6477392239581556</v>
      </c>
      <c r="D36" s="23">
        <f t="shared" si="6"/>
        <v>1.2010604950715598</v>
      </c>
      <c r="E36" s="23">
        <f t="shared" si="6"/>
        <v>1.094636064709209</v>
      </c>
      <c r="F36" s="23">
        <f t="shared" si="6"/>
        <v>1.3606446070344447</v>
      </c>
      <c r="G36" s="23">
        <f t="shared" si="6"/>
        <v>0.85606804012825499</v>
      </c>
      <c r="H36" s="23">
        <f t="shared" si="6"/>
        <v>0.52934251504666019</v>
      </c>
      <c r="I36" s="23">
        <f t="shared" si="6"/>
        <v>0.45864746960309066</v>
      </c>
      <c r="J36" s="23">
        <f t="shared" si="6"/>
        <v>0.47126119492442164</v>
      </c>
      <c r="K36" s="23">
        <f t="shared" si="6"/>
        <v>0.80166913204349211</v>
      </c>
      <c r="L36" s="23">
        <f t="shared" si="6"/>
        <v>0.37830451915132901</v>
      </c>
      <c r="M36" s="23"/>
      <c r="N36" s="23">
        <f>((((N29/N5))^(1/24))-1)*100</f>
        <v>-1.8874036270171479</v>
      </c>
      <c r="O36" s="23">
        <f>((((O29/O5))^(1/24))-1)*100</f>
        <v>-0.94819720318924938</v>
      </c>
      <c r="P36" s="23">
        <f>((((P29/P5))^(1/24))-1)*100</f>
        <v>-2.0018490519649323</v>
      </c>
      <c r="Q36" s="23">
        <f>((((Q29/Q5))^(1/24))-1)*100</f>
        <v>-1.0059845505623222</v>
      </c>
    </row>
    <row r="37" spans="1:17">
      <c r="A37" s="448" t="s">
        <v>819</v>
      </c>
      <c r="B37" s="644">
        <f t="shared" ref="B37:L37" si="7">((((B30/B5))^(1/25))-1)*100</f>
        <v>0.8487763689275285</v>
      </c>
      <c r="C37" s="23">
        <f t="shared" si="7"/>
        <v>2.4498621628876283</v>
      </c>
      <c r="D37" s="23">
        <f t="shared" si="7"/>
        <v>1.27601277849132</v>
      </c>
      <c r="E37" s="23">
        <f t="shared" si="7"/>
        <v>1.1325213012780333</v>
      </c>
      <c r="F37" s="23">
        <f t="shared" si="7"/>
        <v>1.4131336424771934</v>
      </c>
      <c r="G37" s="23">
        <f t="shared" si="7"/>
        <v>0.89237499150427446</v>
      </c>
      <c r="H37" s="23">
        <f t="shared" si="7"/>
        <v>0.63715196493712156</v>
      </c>
      <c r="I37" s="23">
        <f t="shared" si="7"/>
        <v>0.56347770140823261</v>
      </c>
      <c r="J37" s="23">
        <f t="shared" si="7"/>
        <v>0.56944232598847844</v>
      </c>
      <c r="K37" s="23">
        <f t="shared" si="7"/>
        <v>1.00555372608786</v>
      </c>
      <c r="L37" s="23">
        <f t="shared" si="7"/>
        <v>0.57508466013722614</v>
      </c>
      <c r="M37" s="23"/>
      <c r="N37" s="23">
        <f>((((N24/N13))^(1/11))-1)*100</f>
        <v>-2.4218579628868309</v>
      </c>
      <c r="O37" s="23">
        <f>((((O24/O13))^(1/11))-1)*100</f>
        <v>-1.2183508757253159</v>
      </c>
      <c r="P37" s="23">
        <f>((((P24/P13))^(1/11))-1)*100</f>
        <v>-3.0818892012787202</v>
      </c>
      <c r="Q37" s="23">
        <f>((((Q24/Q13))^(1/11))-1)*100</f>
        <v>-1.553003703149336</v>
      </c>
    </row>
    <row r="38" spans="1:17">
      <c r="A38" s="448" t="s">
        <v>447</v>
      </c>
      <c r="B38" s="644">
        <f>((((B31/B5))^(1/26))-1)*100</f>
        <v>0.88915543671710395</v>
      </c>
      <c r="C38" s="644">
        <f t="shared" ref="C38:L38" si="8">((((C31/C5))^(1/26))-1)*100</f>
        <v>2.23898023732374</v>
      </c>
      <c r="D38" s="644">
        <f t="shared" si="8"/>
        <v>1.3311020507617899</v>
      </c>
      <c r="E38" s="644">
        <f t="shared" si="8"/>
        <v>1.1801598466773644</v>
      </c>
      <c r="F38" s="644">
        <f t="shared" si="8"/>
        <v>1.4604665954497165</v>
      </c>
      <c r="G38" s="644">
        <f t="shared" si="8"/>
        <v>0.9839365498772068</v>
      </c>
      <c r="H38" s="644">
        <f t="shared" si="8"/>
        <v>0.67172762964788912</v>
      </c>
      <c r="I38" s="644">
        <f t="shared" si="8"/>
        <v>0.69119819987142339</v>
      </c>
      <c r="J38" s="644">
        <f t="shared" si="8"/>
        <v>0.73928490202870289</v>
      </c>
      <c r="K38" s="644">
        <f t="shared" si="8"/>
        <v>1.030408126274529</v>
      </c>
      <c r="L38" s="644">
        <f t="shared" si="8"/>
        <v>0.66848374167258751</v>
      </c>
      <c r="M38" s="23"/>
      <c r="N38" s="23"/>
      <c r="O38" s="23"/>
      <c r="P38" s="23"/>
      <c r="Q38" s="23"/>
    </row>
    <row r="39" spans="1:17">
      <c r="A39" s="448" t="s">
        <v>1408</v>
      </c>
      <c r="B39" s="644">
        <f>((((B32/B5))^(1/27))-1)*100</f>
        <v>0.94252570021626791</v>
      </c>
      <c r="C39" s="644">
        <f t="shared" ref="C39:L39" si="9">((((C32/C5))^(1/27))-1)*100</f>
        <v>1.9786700521368994</v>
      </c>
      <c r="D39" s="644">
        <f t="shared" si="9"/>
        <v>1.2624480390780235</v>
      </c>
      <c r="E39" s="644">
        <f t="shared" si="9"/>
        <v>1.1879714537761599</v>
      </c>
      <c r="F39" s="644">
        <f t="shared" si="9"/>
        <v>1.5043315043348215</v>
      </c>
      <c r="G39" s="644">
        <f t="shared" si="9"/>
        <v>1.0186451289316834</v>
      </c>
      <c r="H39" s="644">
        <f t="shared" si="9"/>
        <v>0.7100153357527228</v>
      </c>
      <c r="I39" s="644">
        <f t="shared" si="9"/>
        <v>0.78787425959687685</v>
      </c>
      <c r="J39" s="644">
        <f t="shared" si="9"/>
        <v>1.0104327996350859</v>
      </c>
      <c r="K39" s="644">
        <f t="shared" si="9"/>
        <v>1.1208713271449344</v>
      </c>
      <c r="L39" s="644">
        <f t="shared" si="9"/>
        <v>0.75189871531333718</v>
      </c>
      <c r="M39" s="23"/>
      <c r="N39" s="23"/>
      <c r="O39" s="23"/>
      <c r="P39" s="23"/>
      <c r="Q39" s="23"/>
    </row>
    <row r="40" spans="1:17">
      <c r="A40" s="448" t="s">
        <v>809</v>
      </c>
      <c r="B40" s="644">
        <f t="shared" ref="B40:L40" si="10">((((B29/B24))^(1/5))-1)*100</f>
        <v>1.0516676666116886</v>
      </c>
      <c r="C40" s="644">
        <f t="shared" si="10"/>
        <v>1.7660186588173143</v>
      </c>
      <c r="D40" s="644">
        <f t="shared" si="10"/>
        <v>5.3810068572057723E-2</v>
      </c>
      <c r="E40" s="644">
        <f t="shared" si="10"/>
        <v>0.99457561484477264</v>
      </c>
      <c r="F40" s="644">
        <f t="shared" si="10"/>
        <v>1.0878627141943875</v>
      </c>
      <c r="G40" s="644">
        <f t="shared" si="10"/>
        <v>1.3475373486901532</v>
      </c>
      <c r="H40" s="644">
        <f t="shared" si="10"/>
        <v>-3.6485537641572918E-3</v>
      </c>
      <c r="I40" s="644">
        <f t="shared" si="10"/>
        <v>0.91022503085644857</v>
      </c>
      <c r="J40" s="644">
        <f t="shared" si="10"/>
        <v>1.7190029413932217</v>
      </c>
      <c r="K40" s="644">
        <f t="shared" si="10"/>
        <v>2.8017761392382878</v>
      </c>
      <c r="L40" s="644">
        <f t="shared" si="10"/>
        <v>1.5541374275678477</v>
      </c>
      <c r="M40" s="644"/>
      <c r="N40" s="644">
        <f>((((N28/N24))^(1/4))-1)*100</f>
        <v>0.13672354420339872</v>
      </c>
      <c r="O40" s="644">
        <f>((((O28/O24))^(1/4))-1)*100</f>
        <v>6.8338421402502902E-2</v>
      </c>
      <c r="P40" s="644">
        <f>((((P28/P24))^(1/4))-1)*100</f>
        <v>2.9932562013811337</v>
      </c>
      <c r="Q40" s="644">
        <f>((((Q28/Q24))^(1/4))-1)*100</f>
        <v>1.4855931654247811</v>
      </c>
    </row>
    <row r="41" spans="1:17">
      <c r="A41" s="448" t="s">
        <v>818</v>
      </c>
      <c r="B41" s="644">
        <f t="shared" ref="B41:L41" si="11">((((B30/B24))^(1/6))-1)*100</f>
        <v>1.5718621306925362</v>
      </c>
      <c r="C41" s="644">
        <f t="shared" si="11"/>
        <v>5.1337531159618255</v>
      </c>
      <c r="D41" s="644">
        <f t="shared" si="11"/>
        <v>0.55382233790539637</v>
      </c>
      <c r="E41" s="644">
        <f t="shared" si="11"/>
        <v>1.169064029784983</v>
      </c>
      <c r="F41" s="644">
        <f t="shared" si="11"/>
        <v>1.3516680375322387</v>
      </c>
      <c r="G41" s="644">
        <f t="shared" si="11"/>
        <v>1.4174394272549184</v>
      </c>
      <c r="H41" s="644">
        <f t="shared" si="11"/>
        <v>0.53296709121721797</v>
      </c>
      <c r="I41" s="644">
        <f t="shared" si="11"/>
        <v>1.2739745466368912</v>
      </c>
      <c r="J41" s="644">
        <f t="shared" si="11"/>
        <v>1.9239323878107673</v>
      </c>
      <c r="K41" s="644">
        <f t="shared" si="11"/>
        <v>3.3320024620503652</v>
      </c>
      <c r="L41" s="644">
        <f t="shared" si="11"/>
        <v>2.1876997788861985</v>
      </c>
      <c r="M41" s="644"/>
      <c r="N41" s="644">
        <f>((((N29/N24))^(1/5))-1)*100</f>
        <v>4.0909901697935513</v>
      </c>
      <c r="O41" s="644">
        <f>((((O29/O24))^(1/5))-1)*100</f>
        <v>2.0249921194770426</v>
      </c>
      <c r="P41" s="644">
        <f>((((P29/P24))^(1/5))-1)*100</f>
        <v>7.5840667199246203</v>
      </c>
      <c r="Q41" s="644">
        <f>((((Q29/Q24))^(1/5))-1)*100</f>
        <v>3.7227394161591931</v>
      </c>
    </row>
    <row r="42" spans="1:17">
      <c r="A42" s="448" t="s">
        <v>449</v>
      </c>
      <c r="B42" s="644">
        <f>((((B31/B24))^(1/7))-1)*100</f>
        <v>1.6192302795285718</v>
      </c>
      <c r="C42" s="644">
        <f t="shared" ref="C42:L42" si="12">((((C31/C24))^(1/7))-1)*100</f>
        <v>3.9474809657509935</v>
      </c>
      <c r="D42" s="644">
        <f t="shared" si="12"/>
        <v>0.86019241212449415</v>
      </c>
      <c r="E42" s="644">
        <f t="shared" si="12"/>
        <v>1.340953983266191</v>
      </c>
      <c r="F42" s="644">
        <f t="shared" si="12"/>
        <v>1.5362746634845159</v>
      </c>
      <c r="G42" s="644">
        <f t="shared" si="12"/>
        <v>1.6842864620093989</v>
      </c>
      <c r="H42" s="644">
        <f t="shared" si="12"/>
        <v>0.67621380824516297</v>
      </c>
      <c r="I42" s="644">
        <f t="shared" si="12"/>
        <v>1.6502535258142936</v>
      </c>
      <c r="J42" s="644">
        <f t="shared" si="12"/>
        <v>2.3689060159510333</v>
      </c>
      <c r="K42" s="644">
        <f t="shared" si="12"/>
        <v>3.0905677407446319</v>
      </c>
      <c r="L42" s="644">
        <f t="shared" si="12"/>
        <v>2.3078693495429681</v>
      </c>
      <c r="M42" s="644"/>
      <c r="N42" s="644"/>
      <c r="O42" s="644"/>
      <c r="P42" s="644"/>
      <c r="Q42" s="644"/>
    </row>
    <row r="43" spans="1:17">
      <c r="A43" s="448" t="s">
        <v>1410</v>
      </c>
      <c r="B43" s="644">
        <f>((((B32/B24))^(1/8))-1)*100</f>
        <v>1.7090613282370049</v>
      </c>
      <c r="C43" s="644">
        <f t="shared" ref="C43:L43" si="13">((((C32/C24))^(1/8))-1)*100</f>
        <v>2.8436789968167453</v>
      </c>
      <c r="D43" s="644">
        <f t="shared" si="13"/>
        <v>0.68835701750191713</v>
      </c>
      <c r="E43" s="644">
        <f t="shared" si="13"/>
        <v>1.3472440013596598</v>
      </c>
      <c r="F43" s="644">
        <f t="shared" si="13"/>
        <v>1.6750124786311771</v>
      </c>
      <c r="G43" s="644">
        <f t="shared" si="13"/>
        <v>1.7143778994845205</v>
      </c>
      <c r="H43" s="644">
        <f t="shared" si="13"/>
        <v>0.80493744457241778</v>
      </c>
      <c r="I43" s="644">
        <f t="shared" si="13"/>
        <v>1.8592484648947138</v>
      </c>
      <c r="J43" s="644">
        <f t="shared" si="13"/>
        <v>3.0948046771354987</v>
      </c>
      <c r="K43" s="644">
        <f t="shared" si="13"/>
        <v>3.1418523008606369</v>
      </c>
      <c r="L43" s="644">
        <f t="shared" si="13"/>
        <v>2.3873090783215645</v>
      </c>
      <c r="M43" s="644"/>
      <c r="N43" s="644"/>
      <c r="O43" s="644"/>
      <c r="P43" s="644"/>
      <c r="Q43" s="644"/>
    </row>
    <row r="44" spans="1:17" ht="12.6" customHeight="1">
      <c r="A44" s="140"/>
      <c r="B44" s="242"/>
      <c r="D44" s="27" t="s">
        <v>276</v>
      </c>
      <c r="N44" s="10"/>
      <c r="O44" s="10"/>
      <c r="P44" s="10"/>
      <c r="Q44" s="10"/>
    </row>
    <row r="45" spans="1:17" hidden="1">
      <c r="A45" s="140" t="s">
        <v>808</v>
      </c>
      <c r="B45" s="10">
        <f t="shared" ref="B45:L45" si="14">(B29/B5-1)*100</f>
        <v>18.533952783233644</v>
      </c>
      <c r="C45" s="10">
        <f t="shared" si="14"/>
        <v>48.028511314020236</v>
      </c>
      <c r="D45" s="10">
        <f t="shared" si="14"/>
        <v>33.180771056087856</v>
      </c>
      <c r="E45" s="10">
        <f t="shared" si="14"/>
        <v>29.859795898308828</v>
      </c>
      <c r="F45" s="10">
        <f t="shared" si="14"/>
        <v>38.313550931115373</v>
      </c>
      <c r="G45" s="10">
        <f t="shared" si="14"/>
        <v>22.701193616966986</v>
      </c>
      <c r="H45" s="10">
        <f t="shared" si="14"/>
        <v>13.508454972802419</v>
      </c>
      <c r="I45" s="10">
        <f t="shared" si="14"/>
        <v>11.608132469796084</v>
      </c>
      <c r="J45" s="10">
        <f t="shared" si="14"/>
        <v>11.944946638287647</v>
      </c>
      <c r="K45" s="10">
        <f t="shared" si="14"/>
        <v>21.122649768825607</v>
      </c>
      <c r="L45" s="10">
        <f t="shared" si="14"/>
        <v>9.4854830207233398</v>
      </c>
      <c r="M45" s="10"/>
      <c r="N45" s="10">
        <f>(N28/N5-1)*100</f>
        <v>-47.916248459327171</v>
      </c>
      <c r="O45" s="10">
        <f>(O28/O5-1)*100</f>
        <v>-27.830926609334362</v>
      </c>
      <c r="P45" s="10">
        <f>(P28/P5-1)*100</f>
        <v>-51.946555310983442</v>
      </c>
      <c r="Q45" s="10">
        <f>(Q28/Q5-1)*100</f>
        <v>-30.679408045648838</v>
      </c>
    </row>
    <row r="46" spans="1:17">
      <c r="A46" s="448" t="s">
        <v>819</v>
      </c>
      <c r="B46" s="10">
        <f t="shared" ref="B46:L46" si="15">(B30/B5-1)*100</f>
        <v>23.528119076717367</v>
      </c>
      <c r="C46" s="10">
        <f t="shared" si="15"/>
        <v>83.1405275338807</v>
      </c>
      <c r="D46" s="10">
        <f t="shared" si="15"/>
        <v>37.298209141028991</v>
      </c>
      <c r="E46" s="10">
        <f t="shared" si="15"/>
        <v>32.516777307424704</v>
      </c>
      <c r="F46" s="10">
        <f t="shared" si="15"/>
        <v>42.02181649115002</v>
      </c>
      <c r="G46" s="10">
        <f t="shared" si="15"/>
        <v>24.870150327966467</v>
      </c>
      <c r="H46" s="10">
        <f t="shared" si="15"/>
        <v>17.208320563292268</v>
      </c>
      <c r="I46" s="10">
        <f t="shared" si="15"/>
        <v>15.08191878924996</v>
      </c>
      <c r="J46" s="10">
        <f t="shared" si="15"/>
        <v>15.2526838710193</v>
      </c>
      <c r="K46" s="10">
        <f t="shared" si="15"/>
        <v>28.41960983916443</v>
      </c>
      <c r="L46" s="10">
        <f t="shared" si="15"/>
        <v>15.414445767930317</v>
      </c>
      <c r="M46" s="10"/>
      <c r="N46" s="10">
        <f>(N29/N5-1)*100</f>
        <v>-36.701349891855706</v>
      </c>
      <c r="O46" s="10">
        <f>(O29/O5-1)*100</f>
        <v>-20.439551215353056</v>
      </c>
      <c r="P46" s="10">
        <f>(P29/P5-1)*100</f>
        <v>-38.449844622213917</v>
      </c>
      <c r="Q46" s="10">
        <f>(Q29/Q5-1)*100</f>
        <v>-21.546092909412039</v>
      </c>
    </row>
    <row r="47" spans="1:17">
      <c r="A47" s="448" t="s">
        <v>447</v>
      </c>
      <c r="B47" s="10">
        <f>(B31/B5-1)*100</f>
        <v>25.879975169402101</v>
      </c>
      <c r="C47" s="10">
        <f t="shared" ref="C47:L47" si="16">(C31/C5-1)*100</f>
        <v>77.839912216281817</v>
      </c>
      <c r="D47" s="10">
        <f t="shared" si="16"/>
        <v>41.030132758355187</v>
      </c>
      <c r="E47" s="10">
        <f t="shared" si="16"/>
        <v>35.668614771932369</v>
      </c>
      <c r="F47" s="10">
        <f t="shared" si="16"/>
        <v>45.786810822669779</v>
      </c>
      <c r="G47" s="10">
        <f t="shared" si="16"/>
        <v>28.99108761565796</v>
      </c>
      <c r="H47" s="10">
        <f t="shared" si="16"/>
        <v>19.013317659053364</v>
      </c>
      <c r="I47" s="10">
        <f t="shared" si="16"/>
        <v>19.613233537085016</v>
      </c>
      <c r="J47" s="10">
        <f t="shared" si="16"/>
        <v>21.107337381628554</v>
      </c>
      <c r="K47" s="10">
        <f t="shared" si="16"/>
        <v>30.54336162074167</v>
      </c>
      <c r="L47" s="10">
        <f t="shared" si="16"/>
        <v>18.913650444576181</v>
      </c>
      <c r="M47" s="10"/>
      <c r="N47" s="10"/>
      <c r="O47" s="10"/>
      <c r="P47" s="10"/>
      <c r="Q47" s="10"/>
    </row>
    <row r="48" spans="1:17">
      <c r="A48" s="448" t="s">
        <v>1408</v>
      </c>
      <c r="B48" s="10">
        <f>(B32/B5-1)*100</f>
        <v>28.825700139580434</v>
      </c>
      <c r="C48" s="10">
        <f t="shared" ref="C48:L48" si="17">(C32/C5-1)*100</f>
        <v>69.727527171549724</v>
      </c>
      <c r="D48" s="10">
        <f t="shared" si="17"/>
        <v>40.316066938173691</v>
      </c>
      <c r="E48" s="10">
        <f t="shared" si="17"/>
        <v>37.556151941444767</v>
      </c>
      <c r="F48" s="10">
        <f t="shared" si="17"/>
        <v>49.652347617445528</v>
      </c>
      <c r="G48" s="10">
        <f t="shared" si="17"/>
        <v>31.474511036792197</v>
      </c>
      <c r="H48" s="10">
        <f t="shared" si="17"/>
        <v>21.04918693512392</v>
      </c>
      <c r="I48" s="10">
        <f t="shared" si="17"/>
        <v>23.601490617582897</v>
      </c>
      <c r="J48" s="10">
        <f t="shared" si="17"/>
        <v>31.186233213514104</v>
      </c>
      <c r="K48" s="10">
        <f t="shared" si="17"/>
        <v>35.11441482055735</v>
      </c>
      <c r="L48" s="10">
        <f t="shared" si="17"/>
        <v>22.415796570120115</v>
      </c>
      <c r="M48" s="10"/>
      <c r="N48" s="10"/>
      <c r="O48" s="10"/>
      <c r="P48" s="10"/>
      <c r="Q48" s="10"/>
    </row>
    <row r="49" spans="1:12">
      <c r="A49" s="140"/>
      <c r="B49" s="10"/>
      <c r="C49" s="10"/>
      <c r="D49" s="10"/>
      <c r="E49" s="10"/>
      <c r="F49" s="10"/>
      <c r="G49" s="10"/>
      <c r="H49" s="10"/>
      <c r="I49" s="10"/>
      <c r="J49" s="10"/>
      <c r="K49" s="10"/>
      <c r="L49" s="10"/>
    </row>
    <row r="50" spans="1:12">
      <c r="A50" s="9" t="s">
        <v>287</v>
      </c>
      <c r="B50" s="27"/>
    </row>
    <row r="51" spans="1:12">
      <c r="B51" s="9"/>
      <c r="C51" s="9"/>
      <c r="D51" s="9"/>
      <c r="E51" s="9"/>
      <c r="F51" s="9"/>
      <c r="G51" s="9"/>
      <c r="H51" s="9"/>
      <c r="I51" s="9"/>
      <c r="J51" s="9"/>
      <c r="K51" s="9"/>
      <c r="L51" s="9"/>
    </row>
    <row r="53" spans="1:12" hidden="1">
      <c r="B53" s="1" t="s">
        <v>278</v>
      </c>
    </row>
    <row r="54" spans="1:12" hidden="1">
      <c r="B54" s="1" t="s">
        <v>279</v>
      </c>
    </row>
    <row r="55" spans="1:12" hidden="1">
      <c r="B55" s="1">
        <v>1981</v>
      </c>
      <c r="C55" s="300">
        <f>C5-$B5</f>
        <v>-6785.5615556506236</v>
      </c>
      <c r="D55" s="300">
        <f t="shared" ref="D55:L55" si="18">D5-$B5</f>
        <v>-5352.9896039288687</v>
      </c>
      <c r="E55" s="300">
        <f t="shared" si="18"/>
        <v>-3486.5683702792248</v>
      </c>
      <c r="F55" s="300">
        <f t="shared" si="18"/>
        <v>-4740.0499448765877</v>
      </c>
      <c r="G55" s="300">
        <f t="shared" si="18"/>
        <v>-2215.7770242048282</v>
      </c>
      <c r="H55" s="300">
        <f t="shared" si="18"/>
        <v>1612.2493959387248</v>
      </c>
      <c r="I55" s="300">
        <f t="shared" si="18"/>
        <v>-588.55672849903931</v>
      </c>
      <c r="J55" s="300">
        <f t="shared" si="18"/>
        <v>-820.80461139344698</v>
      </c>
      <c r="K55" s="300">
        <f t="shared" si="18"/>
        <v>3213.9388381961508</v>
      </c>
      <c r="L55" s="300">
        <f t="shared" si="18"/>
        <v>1394.8815200990502</v>
      </c>
    </row>
    <row r="56" spans="1:12" hidden="1">
      <c r="B56" s="1">
        <v>1982</v>
      </c>
      <c r="C56" s="300">
        <f t="shared" ref="C56:L71" si="19">C6-$B6</f>
        <v>-6375.9137944583799</v>
      </c>
      <c r="D56" s="300">
        <f t="shared" si="19"/>
        <v>-4602.7499108533102</v>
      </c>
      <c r="E56" s="300">
        <f t="shared" si="19"/>
        <v>-2950.7463679525172</v>
      </c>
      <c r="F56" s="300">
        <f t="shared" si="19"/>
        <v>-4042.6045852246716</v>
      </c>
      <c r="G56" s="300">
        <f t="shared" si="19"/>
        <v>-2488.4564192408398</v>
      </c>
      <c r="H56" s="300">
        <f t="shared" si="19"/>
        <v>1963.9882745734394</v>
      </c>
      <c r="I56" s="300">
        <f t="shared" si="19"/>
        <v>37.954066385773331</v>
      </c>
      <c r="J56" s="300">
        <f t="shared" si="19"/>
        <v>-57.494215683480434</v>
      </c>
      <c r="K56" s="300">
        <f t="shared" si="19"/>
        <v>2449.1586317012661</v>
      </c>
      <c r="L56" s="300">
        <f t="shared" si="19"/>
        <v>907.76994483363524</v>
      </c>
    </row>
    <row r="57" spans="1:12" hidden="1">
      <c r="B57" s="1">
        <v>1983</v>
      </c>
      <c r="C57" s="300">
        <f t="shared" si="19"/>
        <v>-6406.87870642696</v>
      </c>
      <c r="D57" s="300">
        <f t="shared" si="19"/>
        <v>-3946.1734633979304</v>
      </c>
      <c r="E57" s="300">
        <f t="shared" si="19"/>
        <v>-2727.491739487712</v>
      </c>
      <c r="F57" s="300">
        <f t="shared" si="19"/>
        <v>-3788.4867544510853</v>
      </c>
      <c r="G57" s="300">
        <f t="shared" si="19"/>
        <v>-2343.6098916470546</v>
      </c>
      <c r="H57" s="300">
        <f t="shared" si="19"/>
        <v>2269.3146746761522</v>
      </c>
      <c r="I57" s="300">
        <f t="shared" si="19"/>
        <v>-711.71270862194797</v>
      </c>
      <c r="J57" s="300">
        <f t="shared" si="19"/>
        <v>-1182.2889669599244</v>
      </c>
      <c r="K57" s="300">
        <f t="shared" si="19"/>
        <v>1938.0630165789589</v>
      </c>
      <c r="L57" s="300">
        <f t="shared" si="19"/>
        <v>476.42975025797932</v>
      </c>
    </row>
    <row r="58" spans="1:12" hidden="1">
      <c r="B58" s="1">
        <v>1984</v>
      </c>
      <c r="C58" s="300">
        <f t="shared" si="19"/>
        <v>-6968.1247530178971</v>
      </c>
      <c r="D58" s="300">
        <f t="shared" si="19"/>
        <v>-4500.1237750177406</v>
      </c>
      <c r="E58" s="300">
        <f t="shared" si="19"/>
        <v>-2799.4843090099057</v>
      </c>
      <c r="F58" s="300">
        <f t="shared" si="19"/>
        <v>-4020.4754018446529</v>
      </c>
      <c r="G58" s="300">
        <f t="shared" si="19"/>
        <v>-2084.1542739552169</v>
      </c>
      <c r="H58" s="300">
        <f t="shared" si="19"/>
        <v>2288.9636766672811</v>
      </c>
      <c r="I58" s="300">
        <f t="shared" si="19"/>
        <v>277.59802945506817</v>
      </c>
      <c r="J58" s="300">
        <f t="shared" si="19"/>
        <v>-1328.9590472333475</v>
      </c>
      <c r="K58" s="300">
        <f t="shared" si="19"/>
        <v>1554.9741743880259</v>
      </c>
      <c r="L58" s="300">
        <f t="shared" si="19"/>
        <v>43.151553684172541</v>
      </c>
    </row>
    <row r="59" spans="1:12" hidden="1">
      <c r="B59" s="1">
        <v>1985</v>
      </c>
      <c r="C59" s="300">
        <f t="shared" si="19"/>
        <v>-7218.4506156421739</v>
      </c>
      <c r="D59" s="300">
        <f t="shared" si="19"/>
        <v>-4931.7925258875712</v>
      </c>
      <c r="E59" s="300">
        <f t="shared" si="19"/>
        <v>-2825.5340269842854</v>
      </c>
      <c r="F59" s="300">
        <f t="shared" si="19"/>
        <v>-4397.3652382145283</v>
      </c>
      <c r="G59" s="300">
        <f t="shared" si="19"/>
        <v>-2349.5516378281245</v>
      </c>
      <c r="H59" s="300">
        <f t="shared" si="19"/>
        <v>2318.3821238675955</v>
      </c>
      <c r="I59" s="300">
        <f t="shared" si="19"/>
        <v>400.19533334250082</v>
      </c>
      <c r="J59" s="300">
        <f t="shared" si="19"/>
        <v>-1450.5811016837761</v>
      </c>
      <c r="K59" s="300">
        <f t="shared" si="19"/>
        <v>2582.5575376764718</v>
      </c>
      <c r="L59" s="300">
        <f t="shared" si="19"/>
        <v>-122.02470522250223</v>
      </c>
    </row>
    <row r="60" spans="1:12" hidden="1">
      <c r="B60" s="1">
        <v>1986</v>
      </c>
      <c r="C60" s="300">
        <f t="shared" si="19"/>
        <v>-6789.1680437004488</v>
      </c>
      <c r="D60" s="300">
        <f t="shared" si="19"/>
        <v>-3646.9356808195371</v>
      </c>
      <c r="E60" s="300">
        <f t="shared" si="19"/>
        <v>-2712.3651194563608</v>
      </c>
      <c r="F60" s="300">
        <f t="shared" si="19"/>
        <v>-3912.3527948923856</v>
      </c>
      <c r="G60" s="300">
        <f t="shared" si="19"/>
        <v>-2388.4756628936084</v>
      </c>
      <c r="H60" s="300">
        <f t="shared" si="19"/>
        <v>2301.1574104023166</v>
      </c>
      <c r="I60" s="300">
        <f t="shared" si="19"/>
        <v>40.543788335930003</v>
      </c>
      <c r="J60" s="300">
        <f t="shared" si="19"/>
        <v>-201.52850717032561</v>
      </c>
      <c r="K60" s="300">
        <f t="shared" si="19"/>
        <v>1985.0971092492437</v>
      </c>
      <c r="L60" s="300">
        <f t="shared" si="19"/>
        <v>-188.90972325400799</v>
      </c>
    </row>
    <row r="61" spans="1:12" hidden="1">
      <c r="B61" s="1">
        <v>1987</v>
      </c>
      <c r="C61" s="300">
        <f t="shared" si="19"/>
        <v>-5906.5268250866411</v>
      </c>
      <c r="D61" s="300">
        <f t="shared" si="19"/>
        <v>-3571.8049271865675</v>
      </c>
      <c r="E61" s="300">
        <f t="shared" si="19"/>
        <v>-2367.4170738075882</v>
      </c>
      <c r="F61" s="300">
        <f t="shared" si="19"/>
        <v>-3488.0239471498171</v>
      </c>
      <c r="G61" s="300">
        <f t="shared" si="19"/>
        <v>-2177.0827892041634</v>
      </c>
      <c r="H61" s="300">
        <f t="shared" si="19"/>
        <v>2445.1038128026412</v>
      </c>
      <c r="I61" s="300">
        <f t="shared" si="19"/>
        <v>-351.44398758135139</v>
      </c>
      <c r="J61" s="300">
        <f t="shared" si="19"/>
        <v>-2661.3816144869961</v>
      </c>
      <c r="K61" s="300">
        <f t="shared" si="19"/>
        <v>1119.6249355914661</v>
      </c>
      <c r="L61" s="300">
        <f t="shared" si="19"/>
        <v>181.89343453869151</v>
      </c>
    </row>
    <row r="62" spans="1:12" hidden="1">
      <c r="B62" s="1">
        <v>1988</v>
      </c>
      <c r="C62" s="300">
        <f t="shared" si="19"/>
        <v>-5796.8261668237137</v>
      </c>
      <c r="D62" s="300">
        <f t="shared" si="19"/>
        <v>-3366.5478323243806</v>
      </c>
      <c r="E62" s="300">
        <f t="shared" si="19"/>
        <v>-2432.9833772839156</v>
      </c>
      <c r="F62" s="300">
        <f t="shared" si="19"/>
        <v>-3555.5429237424541</v>
      </c>
      <c r="G62" s="300">
        <f t="shared" si="19"/>
        <v>-2414.9622870207495</v>
      </c>
      <c r="H62" s="300">
        <f t="shared" si="19"/>
        <v>2451.7939677412396</v>
      </c>
      <c r="I62" s="300">
        <f t="shared" si="19"/>
        <v>-701.31799637495351</v>
      </c>
      <c r="J62" s="300">
        <f t="shared" si="19"/>
        <v>-2918.432197565744</v>
      </c>
      <c r="K62" s="300">
        <f t="shared" si="19"/>
        <v>1771.8337702524877</v>
      </c>
      <c r="L62" s="300">
        <f t="shared" si="19"/>
        <v>132.91746339826568</v>
      </c>
    </row>
    <row r="63" spans="1:12" hidden="1">
      <c r="B63" s="1">
        <v>1989</v>
      </c>
      <c r="C63" s="300">
        <f t="shared" si="19"/>
        <v>-5721.7312496959003</v>
      </c>
      <c r="D63" s="300">
        <f t="shared" si="19"/>
        <v>-3455.1971642860481</v>
      </c>
      <c r="E63" s="300">
        <f t="shared" si="19"/>
        <v>-2351.9822810167498</v>
      </c>
      <c r="F63" s="300">
        <f t="shared" si="19"/>
        <v>-3666.4764540218021</v>
      </c>
      <c r="G63" s="300">
        <f t="shared" si="19"/>
        <v>-2302.5337161832431</v>
      </c>
      <c r="H63" s="300">
        <f t="shared" si="19"/>
        <v>2337.974803512323</v>
      </c>
      <c r="I63" s="300">
        <f t="shared" si="19"/>
        <v>-861.0614106996145</v>
      </c>
      <c r="J63" s="300">
        <f t="shared" si="19"/>
        <v>-3164.1711909083206</v>
      </c>
      <c r="K63" s="300">
        <f t="shared" si="19"/>
        <v>1686.5500316987345</v>
      </c>
      <c r="L63" s="300">
        <f t="shared" si="19"/>
        <v>503.77124003865174</v>
      </c>
    </row>
    <row r="64" spans="1:12" hidden="1">
      <c r="B64" s="1">
        <v>1990</v>
      </c>
      <c r="C64" s="300">
        <f t="shared" si="19"/>
        <v>-5258.578296098578</v>
      </c>
      <c r="D64" s="300">
        <f t="shared" si="19"/>
        <v>-3325.6424515825929</v>
      </c>
      <c r="E64" s="300">
        <f t="shared" si="19"/>
        <v>-2399.5197817688058</v>
      </c>
      <c r="F64" s="300">
        <f t="shared" si="19"/>
        <v>-3671.4333069297463</v>
      </c>
      <c r="G64" s="300">
        <f t="shared" si="19"/>
        <v>-2098.6665853946251</v>
      </c>
      <c r="H64" s="300">
        <f t="shared" si="19"/>
        <v>2019.3599544268618</v>
      </c>
      <c r="I64" s="300">
        <f t="shared" si="19"/>
        <v>-449.79773585731527</v>
      </c>
      <c r="J64" s="300">
        <f t="shared" si="19"/>
        <v>-2341.1156153661359</v>
      </c>
      <c r="K64" s="300">
        <f t="shared" si="19"/>
        <v>1442.2550742444691</v>
      </c>
      <c r="L64" s="300">
        <f t="shared" si="19"/>
        <v>618.81628612868371</v>
      </c>
    </row>
    <row r="65" spans="2:12" hidden="1">
      <c r="B65" s="1">
        <v>1991</v>
      </c>
      <c r="C65" s="300">
        <f t="shared" si="19"/>
        <v>-4861.5994405447</v>
      </c>
      <c r="D65" s="300">
        <f t="shared" si="19"/>
        <v>-3192.7329267178939</v>
      </c>
      <c r="E65" s="300">
        <f t="shared" si="19"/>
        <v>-2207.5028704617398</v>
      </c>
      <c r="F65" s="300">
        <f t="shared" si="19"/>
        <v>-3458.2137460246558</v>
      </c>
      <c r="G65" s="300">
        <f t="shared" si="19"/>
        <v>-2280.7368002982985</v>
      </c>
      <c r="H65" s="300">
        <f t="shared" si="19"/>
        <v>2066.847467270276</v>
      </c>
      <c r="I65" s="300">
        <f t="shared" si="19"/>
        <v>-629.11468917413004</v>
      </c>
      <c r="J65" s="300">
        <f t="shared" si="19"/>
        <v>-2234.0302715047292</v>
      </c>
      <c r="K65" s="300">
        <f t="shared" si="19"/>
        <v>1452.3331133725733</v>
      </c>
      <c r="L65" s="300">
        <f t="shared" si="19"/>
        <v>601.98618681312291</v>
      </c>
    </row>
    <row r="66" spans="2:12" hidden="1">
      <c r="B66" s="1">
        <v>1992</v>
      </c>
      <c r="C66" s="300">
        <f t="shared" si="19"/>
        <v>-4620.6607901788848</v>
      </c>
      <c r="D66" s="300">
        <f t="shared" si="19"/>
        <v>-3070.737462906578</v>
      </c>
      <c r="E66" s="300">
        <f t="shared" si="19"/>
        <v>-1897.4186447905668</v>
      </c>
      <c r="F66" s="300">
        <f t="shared" si="19"/>
        <v>-3029.3216681005833</v>
      </c>
      <c r="G66" s="300">
        <f t="shared" si="19"/>
        <v>-2376.1947990461304</v>
      </c>
      <c r="H66" s="300">
        <f t="shared" si="19"/>
        <v>2190.0133088085422</v>
      </c>
      <c r="I66" s="300">
        <f t="shared" si="19"/>
        <v>-550.43407181012662</v>
      </c>
      <c r="J66" s="300">
        <f t="shared" si="19"/>
        <v>-2721.479274646721</v>
      </c>
      <c r="K66" s="300">
        <f t="shared" si="19"/>
        <v>1457.565670046075</v>
      </c>
      <c r="L66" s="300">
        <f t="shared" si="19"/>
        <v>300.21623914459997</v>
      </c>
    </row>
    <row r="67" spans="2:12" hidden="1">
      <c r="B67" s="1">
        <v>1993</v>
      </c>
      <c r="C67" s="300">
        <f t="shared" si="19"/>
        <v>-4358.9737441418692</v>
      </c>
      <c r="D67" s="300">
        <f t="shared" si="19"/>
        <v>-2509.9654435079137</v>
      </c>
      <c r="E67" s="300">
        <f t="shared" si="19"/>
        <v>-1649.8823988088552</v>
      </c>
      <c r="F67" s="300">
        <f t="shared" si="19"/>
        <v>-2715.0894712661357</v>
      </c>
      <c r="G67" s="300">
        <f t="shared" si="19"/>
        <v>-2098.4598107403144</v>
      </c>
      <c r="H67" s="300">
        <f t="shared" si="19"/>
        <v>1923.0355980531567</v>
      </c>
      <c r="I67" s="300">
        <f t="shared" si="19"/>
        <v>-925.25973350519416</v>
      </c>
      <c r="J67" s="300">
        <f t="shared" si="19"/>
        <v>-2610.8408919079084</v>
      </c>
      <c r="K67" s="300">
        <f t="shared" si="19"/>
        <v>1913.7536882293498</v>
      </c>
      <c r="L67" s="300">
        <f t="shared" si="19"/>
        <v>118.2363629172869</v>
      </c>
    </row>
    <row r="68" spans="2:12" hidden="1">
      <c r="B68" s="1">
        <v>1994</v>
      </c>
      <c r="C68" s="300">
        <f t="shared" si="19"/>
        <v>-4304.5037839751367</v>
      </c>
      <c r="D68" s="300">
        <f t="shared" si="19"/>
        <v>-2863.7492001014798</v>
      </c>
      <c r="E68" s="300">
        <f t="shared" si="19"/>
        <v>-1890.7608635363395</v>
      </c>
      <c r="F68" s="300">
        <f t="shared" si="19"/>
        <v>-2684.0413910869283</v>
      </c>
      <c r="G68" s="300">
        <f t="shared" si="19"/>
        <v>-1785.4516611682411</v>
      </c>
      <c r="H68" s="300">
        <f t="shared" si="19"/>
        <v>1859.9393570044704</v>
      </c>
      <c r="I68" s="300">
        <f t="shared" si="19"/>
        <v>-959.93631513907894</v>
      </c>
      <c r="J68" s="300">
        <f t="shared" si="19"/>
        <v>-2982.1472476449781</v>
      </c>
      <c r="K68" s="300">
        <f t="shared" si="19"/>
        <v>1423.1072259841712</v>
      </c>
      <c r="L68" s="300">
        <f t="shared" si="19"/>
        <v>-108.98306063948621</v>
      </c>
    </row>
    <row r="69" spans="2:12" hidden="1">
      <c r="B69" s="1">
        <v>1995</v>
      </c>
      <c r="C69" s="300">
        <f t="shared" si="19"/>
        <v>-4186.0110387144559</v>
      </c>
      <c r="D69" s="300">
        <f t="shared" si="19"/>
        <v>-2769.8342092157291</v>
      </c>
      <c r="E69" s="300">
        <f t="shared" si="19"/>
        <v>-1820.879738452546</v>
      </c>
      <c r="F69" s="300">
        <f t="shared" si="19"/>
        <v>-2362.3266091311598</v>
      </c>
      <c r="G69" s="300">
        <f t="shared" si="19"/>
        <v>-1745.2004962655265</v>
      </c>
      <c r="H69" s="300">
        <f t="shared" si="19"/>
        <v>1775.7443771033286</v>
      </c>
      <c r="I69" s="300">
        <f t="shared" si="19"/>
        <v>-975.37836294202862</v>
      </c>
      <c r="J69" s="300">
        <f t="shared" si="19"/>
        <v>-2184.5105939723217</v>
      </c>
      <c r="K69" s="300">
        <f t="shared" si="19"/>
        <v>1417.1128481330234</v>
      </c>
      <c r="L69" s="300">
        <f t="shared" si="19"/>
        <v>-263.88914591070716</v>
      </c>
    </row>
    <row r="70" spans="2:12" hidden="1">
      <c r="B70" s="1">
        <v>1996</v>
      </c>
      <c r="C70" s="300">
        <f t="shared" si="19"/>
        <v>-4264.2769964900544</v>
      </c>
      <c r="D70" s="300">
        <f t="shared" si="19"/>
        <v>-2991.6375872646313</v>
      </c>
      <c r="E70" s="300">
        <f t="shared" si="19"/>
        <v>-2019.1495595255947</v>
      </c>
      <c r="F70" s="300">
        <f t="shared" si="19"/>
        <v>-2306.1852262007269</v>
      </c>
      <c r="G70" s="300">
        <f t="shared" si="19"/>
        <v>-1570.1657945537481</v>
      </c>
      <c r="H70" s="300">
        <f t="shared" si="19"/>
        <v>1512.8093368201116</v>
      </c>
      <c r="I70" s="300">
        <f t="shared" si="19"/>
        <v>-636.01251319776566</v>
      </c>
      <c r="J70" s="300">
        <f t="shared" si="19"/>
        <v>-1336.3159884170527</v>
      </c>
      <c r="K70" s="300">
        <f t="shared" si="19"/>
        <v>1370.0859996077597</v>
      </c>
      <c r="L70" s="300">
        <f t="shared" si="19"/>
        <v>-329.8958755137246</v>
      </c>
    </row>
    <row r="71" spans="2:12" hidden="1">
      <c r="B71" s="1">
        <v>1997</v>
      </c>
      <c r="C71" s="300">
        <f t="shared" si="19"/>
        <v>-4569.6666272994316</v>
      </c>
      <c r="D71" s="300">
        <f t="shared" si="19"/>
        <v>-3005.8918838574427</v>
      </c>
      <c r="E71" s="300">
        <f t="shared" si="19"/>
        <v>-1889.8788501251947</v>
      </c>
      <c r="F71" s="300">
        <f t="shared" si="19"/>
        <v>-2453.2619121124044</v>
      </c>
      <c r="G71" s="300">
        <f t="shared" si="19"/>
        <v>-1733.8278019782156</v>
      </c>
      <c r="H71" s="300">
        <f t="shared" si="19"/>
        <v>1657.0136492397833</v>
      </c>
      <c r="I71" s="300">
        <f t="shared" si="19"/>
        <v>-1223.8712670497298</v>
      </c>
      <c r="J71" s="300">
        <f t="shared" si="19"/>
        <v>-2548.5050464682536</v>
      </c>
      <c r="K71" s="300">
        <f t="shared" si="19"/>
        <v>2059.2769607411792</v>
      </c>
      <c r="L71" s="300">
        <f t="shared" si="19"/>
        <v>-348.44447168540501</v>
      </c>
    </row>
    <row r="72" spans="2:12" hidden="1">
      <c r="B72" s="1">
        <v>1998</v>
      </c>
      <c r="C72" s="300">
        <f t="shared" ref="C72:L79" si="20">C22-$B22</f>
        <v>-4443.682032699413</v>
      </c>
      <c r="D72" s="300">
        <f t="shared" si="20"/>
        <v>-3046.5561016813699</v>
      </c>
      <c r="E72" s="300">
        <f t="shared" si="20"/>
        <v>-1653.4243136565019</v>
      </c>
      <c r="F72" s="300">
        <f t="shared" si="20"/>
        <v>-2159.5379768786479</v>
      </c>
      <c r="G72" s="300">
        <f t="shared" si="20"/>
        <v>-1983.8611853779912</v>
      </c>
      <c r="H72" s="300">
        <f t="shared" si="20"/>
        <v>1818.874190628263</v>
      </c>
      <c r="I72" s="300">
        <f t="shared" si="20"/>
        <v>-1018.0134812590331</v>
      </c>
      <c r="J72" s="300">
        <f t="shared" si="20"/>
        <v>-2417.2437586461929</v>
      </c>
      <c r="K72" s="300">
        <f t="shared" si="20"/>
        <v>2185.0735282927417</v>
      </c>
      <c r="L72" s="300">
        <f t="shared" si="20"/>
        <v>-663.05546049634722</v>
      </c>
    </row>
    <row r="73" spans="2:12" hidden="1">
      <c r="B73" s="1">
        <v>1999</v>
      </c>
      <c r="C73" s="300">
        <f t="shared" si="20"/>
        <v>-4363.5606374941708</v>
      </c>
      <c r="D73" s="300">
        <f t="shared" si="20"/>
        <v>-2878.9562288099223</v>
      </c>
      <c r="E73" s="300">
        <f t="shared" si="20"/>
        <v>-1544.8285914401895</v>
      </c>
      <c r="F73" s="300">
        <f t="shared" si="20"/>
        <v>-2032.3144473036045</v>
      </c>
      <c r="G73" s="300">
        <f t="shared" si="20"/>
        <v>-1967.8659125382401</v>
      </c>
      <c r="H73" s="300">
        <f t="shared" si="20"/>
        <v>1855.0746947271</v>
      </c>
      <c r="I73" s="300">
        <f t="shared" si="20"/>
        <v>-1347.9473287343826</v>
      </c>
      <c r="J73" s="300">
        <f t="shared" si="20"/>
        <v>-2343.1286962882914</v>
      </c>
      <c r="K73" s="300">
        <f t="shared" si="20"/>
        <v>1805.3108948932422</v>
      </c>
      <c r="L73" s="300">
        <f t="shared" si="20"/>
        <v>-667.84018404376911</v>
      </c>
    </row>
    <row r="74" spans="2:12" hidden="1">
      <c r="B74" s="1">
        <v>2000</v>
      </c>
      <c r="C74" s="300">
        <f t="shared" si="20"/>
        <v>-4710.7274503428416</v>
      </c>
      <c r="D74" s="300">
        <f t="shared" si="20"/>
        <v>-3161.6616498479525</v>
      </c>
      <c r="E74" s="300">
        <f t="shared" si="20"/>
        <v>-2153.820584562669</v>
      </c>
      <c r="F74" s="300">
        <f t="shared" si="20"/>
        <v>-2610.8211809858658</v>
      </c>
      <c r="G74" s="300">
        <f t="shared" si="20"/>
        <v>-2102.8918764786176</v>
      </c>
      <c r="H74" s="300">
        <f t="shared" si="20"/>
        <v>2031.6166352193723</v>
      </c>
      <c r="I74" s="300">
        <f t="shared" si="20"/>
        <v>-1759.7342770431278</v>
      </c>
      <c r="J74" s="300">
        <f t="shared" si="20"/>
        <v>-2726.2354209915866</v>
      </c>
      <c r="K74" s="300">
        <f t="shared" si="20"/>
        <v>2030.9296450463553</v>
      </c>
      <c r="L74" s="300">
        <f t="shared" si="20"/>
        <v>-748.21261838446662</v>
      </c>
    </row>
    <row r="75" spans="2:12" hidden="1">
      <c r="B75" s="1">
        <v>2001</v>
      </c>
      <c r="C75" s="300">
        <f t="shared" si="20"/>
        <v>-4185.4397159712244</v>
      </c>
      <c r="D75" s="300">
        <f t="shared" si="20"/>
        <v>-3525.4530474957464</v>
      </c>
      <c r="E75" s="300">
        <f t="shared" si="20"/>
        <v>-2039.432932195763</v>
      </c>
      <c r="F75" s="300">
        <f t="shared" si="20"/>
        <v>-2540.0767375286232</v>
      </c>
      <c r="G75" s="300">
        <f t="shared" si="20"/>
        <v>-1984.9566859160332</v>
      </c>
      <c r="H75" s="300">
        <f t="shared" si="20"/>
        <v>1494.7368019307323</v>
      </c>
      <c r="I75" s="300">
        <f t="shared" si="20"/>
        <v>-1802.7610908963834</v>
      </c>
      <c r="J75" s="300">
        <f t="shared" si="20"/>
        <v>-3036.4848823590291</v>
      </c>
      <c r="K75" s="300">
        <f t="shared" si="20"/>
        <v>3484.5559728568405</v>
      </c>
      <c r="L75" s="300">
        <f t="shared" si="20"/>
        <v>-632.34128960691305</v>
      </c>
    </row>
    <row r="76" spans="2:12" hidden="1">
      <c r="B76" s="1">
        <v>2002</v>
      </c>
      <c r="C76" s="300">
        <f t="shared" si="20"/>
        <v>-4078.2283749720664</v>
      </c>
      <c r="D76" s="300">
        <f t="shared" si="20"/>
        <v>-3095.7684103077008</v>
      </c>
      <c r="E76" s="300">
        <f t="shared" si="20"/>
        <v>-2163.0266090278783</v>
      </c>
      <c r="F76" s="300">
        <f t="shared" si="20"/>
        <v>-2810.9951293637205</v>
      </c>
      <c r="G76" s="300">
        <f t="shared" si="20"/>
        <v>-1725.081643189078</v>
      </c>
      <c r="H76" s="300">
        <f t="shared" si="20"/>
        <v>1366.4922719330607</v>
      </c>
      <c r="I76" s="300">
        <f t="shared" si="20"/>
        <v>-1663.0554999455671</v>
      </c>
      <c r="J76" s="300">
        <f t="shared" si="20"/>
        <v>-3024.7654015520602</v>
      </c>
      <c r="K76" s="300">
        <f t="shared" si="20"/>
        <v>2901.5100886163382</v>
      </c>
      <c r="L76" s="300">
        <f t="shared" si="20"/>
        <v>-516.99925148805414</v>
      </c>
    </row>
    <row r="77" spans="2:12" hidden="1">
      <c r="B77" s="1">
        <v>2003</v>
      </c>
      <c r="C77" s="300">
        <f t="shared" si="20"/>
        <v>-3846.0188802933662</v>
      </c>
      <c r="D77" s="300">
        <f t="shared" si="20"/>
        <v>-3609.472676812311</v>
      </c>
      <c r="E77" s="300">
        <f t="shared" si="20"/>
        <v>-2353.8798185028936</v>
      </c>
      <c r="F77" s="300">
        <f t="shared" si="20"/>
        <v>-2769.7347449996705</v>
      </c>
      <c r="G77" s="300">
        <f t="shared" si="20"/>
        <v>-1463.7219231987219</v>
      </c>
      <c r="H77" s="300">
        <f t="shared" si="20"/>
        <v>1216.5427849905063</v>
      </c>
      <c r="I77" s="300">
        <f t="shared" si="20"/>
        <v>-1537.5700316787261</v>
      </c>
      <c r="J77" s="300">
        <f t="shared" si="20"/>
        <v>-2309.8960230385783</v>
      </c>
      <c r="K77" s="300">
        <f t="shared" si="20"/>
        <v>2492.8801665945357</v>
      </c>
      <c r="L77" s="300">
        <f t="shared" si="20"/>
        <v>-443.48971671070467</v>
      </c>
    </row>
    <row r="78" spans="2:12" hidden="1">
      <c r="B78" s="1">
        <v>2004</v>
      </c>
      <c r="C78" s="300">
        <f t="shared" si="20"/>
        <v>-4181.2791223294844</v>
      </c>
      <c r="D78" s="300">
        <f t="shared" si="20"/>
        <v>-4038.6035022247597</v>
      </c>
      <c r="E78" s="300">
        <f t="shared" si="20"/>
        <v>-2433.7465827328779</v>
      </c>
      <c r="F78" s="300">
        <f t="shared" si="20"/>
        <v>-2636.4596611847373</v>
      </c>
      <c r="G78" s="300">
        <f t="shared" si="20"/>
        <v>-1687.1018540324258</v>
      </c>
      <c r="H78" s="300">
        <f t="shared" si="20"/>
        <v>1054.1396040244144</v>
      </c>
      <c r="I78" s="300">
        <f t="shared" si="20"/>
        <v>-1615.3481217399676</v>
      </c>
      <c r="J78" s="300">
        <f t="shared" si="20"/>
        <v>-1756.9813472720125</v>
      </c>
      <c r="K78" s="300">
        <f t="shared" si="20"/>
        <v>3365.2513173698826</v>
      </c>
      <c r="L78" s="300">
        <f t="shared" si="20"/>
        <v>-358.74194791585251</v>
      </c>
    </row>
    <row r="79" spans="2:12" hidden="1">
      <c r="B79" s="1">
        <v>2005</v>
      </c>
      <c r="C79" s="300">
        <f t="shared" si="20"/>
        <v>-4316.3710488562283</v>
      </c>
      <c r="D79" s="300">
        <f t="shared" si="20"/>
        <v>-4284.5661977141972</v>
      </c>
      <c r="E79" s="300">
        <f t="shared" si="20"/>
        <v>-2328.0368845516387</v>
      </c>
      <c r="F79" s="300">
        <f t="shared" si="20"/>
        <v>-2714.6977524386821</v>
      </c>
      <c r="G79" s="300">
        <f t="shared" si="20"/>
        <v>-1909.4570323192493</v>
      </c>
      <c r="H79" s="300">
        <f t="shared" si="20"/>
        <v>854.02782401415607</v>
      </c>
      <c r="I79" s="300">
        <f t="shared" si="20"/>
        <v>-2001.9540020221903</v>
      </c>
      <c r="J79" s="300">
        <f t="shared" si="20"/>
        <v>-2198.5127882500128</v>
      </c>
      <c r="K79" s="300">
        <f t="shared" si="20"/>
        <v>4395.5636827458766</v>
      </c>
      <c r="L79" s="300">
        <f t="shared" si="20"/>
        <v>-230.12787420824316</v>
      </c>
    </row>
    <row r="80" spans="2:12" hidden="1"/>
    <row r="81" spans="2:12" hidden="1">
      <c r="B81" s="1" t="s">
        <v>280</v>
      </c>
    </row>
    <row r="82" spans="2:12" hidden="1">
      <c r="B82" s="1">
        <v>1981</v>
      </c>
      <c r="C82" s="300">
        <f>C55^2</f>
        <v>46043845.625523709</v>
      </c>
      <c r="D82" s="300">
        <f t="shared" ref="D82:L82" si="21">D55^2</f>
        <v>28654497.699770547</v>
      </c>
      <c r="E82" s="300">
        <f t="shared" si="21"/>
        <v>12156159.00063153</v>
      </c>
      <c r="F82" s="300">
        <f t="shared" si="21"/>
        <v>22468073.479924541</v>
      </c>
      <c r="G82" s="300">
        <f t="shared" si="21"/>
        <v>4909667.8209940037</v>
      </c>
      <c r="H82" s="300">
        <f t="shared" si="21"/>
        <v>2599348.1147047831</v>
      </c>
      <c r="I82" s="300">
        <f t="shared" si="21"/>
        <v>346399.02266149188</v>
      </c>
      <c r="J82" s="300">
        <f t="shared" si="21"/>
        <v>673720.21008474752</v>
      </c>
      <c r="K82" s="300">
        <f t="shared" si="21"/>
        <v>10329402.855665624</v>
      </c>
      <c r="L82" s="300">
        <f t="shared" si="21"/>
        <v>1945694.455113837</v>
      </c>
    </row>
    <row r="83" spans="2:12" hidden="1">
      <c r="B83" s="1">
        <v>1982</v>
      </c>
      <c r="C83" s="300">
        <f t="shared" ref="C83:L98" si="22">C56^2</f>
        <v>40652276.714364655</v>
      </c>
      <c r="D83" s="300">
        <f t="shared" si="22"/>
        <v>21185306.741860155</v>
      </c>
      <c r="E83" s="300">
        <f t="shared" si="22"/>
        <v>8706904.1279849727</v>
      </c>
      <c r="F83" s="300">
        <f t="shared" si="22"/>
        <v>16342651.832479538</v>
      </c>
      <c r="G83" s="300">
        <f t="shared" si="22"/>
        <v>6192415.3504609419</v>
      </c>
      <c r="H83" s="300">
        <f t="shared" si="22"/>
        <v>3857249.9426619555</v>
      </c>
      <c r="I83" s="300">
        <f t="shared" si="22"/>
        <v>1440.5111552156891</v>
      </c>
      <c r="J83" s="300">
        <f t="shared" si="22"/>
        <v>3305.5848370585672</v>
      </c>
      <c r="K83" s="300">
        <f t="shared" si="22"/>
        <v>5998378.0032368181</v>
      </c>
      <c r="L83" s="300">
        <f t="shared" si="22"/>
        <v>824046.27274326119</v>
      </c>
    </row>
    <row r="84" spans="2:12" hidden="1">
      <c r="B84" s="1">
        <v>1983</v>
      </c>
      <c r="C84" s="300">
        <f t="shared" si="22"/>
        <v>41048094.758867197</v>
      </c>
      <c r="D84" s="300">
        <f t="shared" si="22"/>
        <v>15572285.003226018</v>
      </c>
      <c r="E84" s="300">
        <f t="shared" si="22"/>
        <v>7439211.1889737053</v>
      </c>
      <c r="F84" s="300">
        <f t="shared" si="22"/>
        <v>14352631.888651317</v>
      </c>
      <c r="G84" s="300">
        <f t="shared" si="22"/>
        <v>5492507.3242259193</v>
      </c>
      <c r="H84" s="300">
        <f t="shared" si="22"/>
        <v>5149789.0927005308</v>
      </c>
      <c r="I84" s="300">
        <f t="shared" si="22"/>
        <v>506534.97961398982</v>
      </c>
      <c r="J84" s="300">
        <f t="shared" si="22"/>
        <v>1397807.2013951654</v>
      </c>
      <c r="K84" s="300">
        <f t="shared" si="22"/>
        <v>3756088.2562311338</v>
      </c>
      <c r="L84" s="300">
        <f t="shared" si="22"/>
        <v>226985.30693088056</v>
      </c>
    </row>
    <row r="85" spans="2:12" hidden="1">
      <c r="B85" s="1">
        <v>1984</v>
      </c>
      <c r="C85" s="300">
        <f t="shared" si="22"/>
        <v>48554762.573620729</v>
      </c>
      <c r="D85" s="300">
        <f t="shared" si="22"/>
        <v>20251113.99047992</v>
      </c>
      <c r="E85" s="300">
        <f t="shared" si="22"/>
        <v>7837112.3963926695</v>
      </c>
      <c r="F85" s="300">
        <f t="shared" si="22"/>
        <v>16164222.456837922</v>
      </c>
      <c r="G85" s="300">
        <f t="shared" si="22"/>
        <v>4343699.0376457972</v>
      </c>
      <c r="H85" s="300">
        <f t="shared" si="22"/>
        <v>5239354.7131021973</v>
      </c>
      <c r="I85" s="300">
        <f t="shared" si="22"/>
        <v>77060.665957336896</v>
      </c>
      <c r="J85" s="300">
        <f t="shared" si="22"/>
        <v>1766132.1492233668</v>
      </c>
      <c r="K85" s="300">
        <f t="shared" si="22"/>
        <v>2417944.6830137228</v>
      </c>
      <c r="L85" s="300">
        <f t="shared" si="22"/>
        <v>1862.0565853580247</v>
      </c>
    </row>
    <row r="86" spans="2:12" hidden="1">
      <c r="B86" s="1">
        <v>1985</v>
      </c>
      <c r="C86" s="300">
        <f t="shared" si="22"/>
        <v>52106029.290464878</v>
      </c>
      <c r="D86" s="300">
        <f t="shared" si="22"/>
        <v>24322577.518400509</v>
      </c>
      <c r="E86" s="300">
        <f t="shared" si="22"/>
        <v>7983642.5376460329</v>
      </c>
      <c r="F86" s="300">
        <f t="shared" si="22"/>
        <v>19336821.038257517</v>
      </c>
      <c r="G86" s="300">
        <f t="shared" si="22"/>
        <v>5520392.8988208221</v>
      </c>
      <c r="H86" s="300">
        <f t="shared" si="22"/>
        <v>5374895.6722688228</v>
      </c>
      <c r="I86" s="300">
        <f t="shared" si="22"/>
        <v>160156.30482911534</v>
      </c>
      <c r="J86" s="300">
        <f t="shared" si="22"/>
        <v>2104185.5325621176</v>
      </c>
      <c r="K86" s="300">
        <f t="shared" si="22"/>
        <v>6669603.4354095608</v>
      </c>
      <c r="L86" s="300">
        <f t="shared" si="22"/>
        <v>14890.028684638564</v>
      </c>
    </row>
    <row r="87" spans="2:12" hidden="1">
      <c r="B87" s="1">
        <v>1986</v>
      </c>
      <c r="C87" s="300">
        <f t="shared" si="22"/>
        <v>46092802.725603379</v>
      </c>
      <c r="D87" s="300">
        <f t="shared" si="22"/>
        <v>13300139.860034661</v>
      </c>
      <c r="E87" s="300">
        <f t="shared" si="22"/>
        <v>7356924.5412435187</v>
      </c>
      <c r="F87" s="300">
        <f t="shared" si="22"/>
        <v>15306504.391702261</v>
      </c>
      <c r="G87" s="300">
        <f t="shared" si="22"/>
        <v>5704815.9922350617</v>
      </c>
      <c r="H87" s="300">
        <f t="shared" si="22"/>
        <v>5295325.4274494955</v>
      </c>
      <c r="I87" s="300">
        <f t="shared" si="22"/>
        <v>1643.7987726286938</v>
      </c>
      <c r="J87" s="300">
        <f t="shared" si="22"/>
        <v>40613.739202299985</v>
      </c>
      <c r="K87" s="300">
        <f t="shared" si="22"/>
        <v>3940610.5331497034</v>
      </c>
      <c r="L87" s="300">
        <f t="shared" si="22"/>
        <v>35686.883539905888</v>
      </c>
    </row>
    <row r="88" spans="2:12" hidden="1">
      <c r="B88" s="1">
        <v>1987</v>
      </c>
      <c r="C88" s="300">
        <f t="shared" si="22"/>
        <v>34887059.135468073</v>
      </c>
      <c r="D88" s="300">
        <f t="shared" si="22"/>
        <v>12757790.437874241</v>
      </c>
      <c r="E88" s="300">
        <f t="shared" si="22"/>
        <v>5604663.6013556831</v>
      </c>
      <c r="F88" s="300">
        <f t="shared" si="22"/>
        <v>12166311.05589059</v>
      </c>
      <c r="G88" s="300">
        <f t="shared" si="22"/>
        <v>4739689.47104898</v>
      </c>
      <c r="H88" s="300">
        <f t="shared" si="22"/>
        <v>5978532.6553820129</v>
      </c>
      <c r="I88" s="300">
        <f t="shared" si="22"/>
        <v>123512.87640708107</v>
      </c>
      <c r="J88" s="300">
        <f t="shared" si="22"/>
        <v>7082952.0979294097</v>
      </c>
      <c r="K88" s="300">
        <f t="shared" si="22"/>
        <v>1253559.9963981945</v>
      </c>
      <c r="L88" s="300">
        <f t="shared" si="22"/>
        <v>33085.221528281254</v>
      </c>
    </row>
    <row r="89" spans="2:12" hidden="1">
      <c r="B89" s="1">
        <v>1988</v>
      </c>
      <c r="C89" s="300">
        <f t="shared" si="22"/>
        <v>33603193.608372107</v>
      </c>
      <c r="D89" s="300">
        <f t="shared" si="22"/>
        <v>11333644.307327986</v>
      </c>
      <c r="E89" s="300">
        <f t="shared" si="22"/>
        <v>5919408.1141398484</v>
      </c>
      <c r="F89" s="300">
        <f t="shared" si="22"/>
        <v>12641885.482575038</v>
      </c>
      <c r="G89" s="300">
        <f t="shared" si="22"/>
        <v>5832042.847732489</v>
      </c>
      <c r="H89" s="300">
        <f t="shared" si="22"/>
        <v>6011293.6602523308</v>
      </c>
      <c r="I89" s="300">
        <f t="shared" si="22"/>
        <v>491846.93203937932</v>
      </c>
      <c r="J89" s="300">
        <f t="shared" si="22"/>
        <v>8517246.4917884171</v>
      </c>
      <c r="K89" s="300">
        <f t="shared" si="22"/>
        <v>3139394.9094071453</v>
      </c>
      <c r="L89" s="300">
        <f t="shared" si="22"/>
        <v>17667.052076229298</v>
      </c>
    </row>
    <row r="90" spans="2:12" hidden="1">
      <c r="B90" s="1">
        <v>1989</v>
      </c>
      <c r="C90" s="300">
        <f t="shared" si="22"/>
        <v>32738208.493746608</v>
      </c>
      <c r="D90" s="300">
        <f t="shared" si="22"/>
        <v>11938387.444090348</v>
      </c>
      <c r="E90" s="300">
        <f t="shared" si="22"/>
        <v>5531820.6502167536</v>
      </c>
      <c r="F90" s="300">
        <f t="shared" si="22"/>
        <v>13443049.587896287</v>
      </c>
      <c r="G90" s="300">
        <f t="shared" si="22"/>
        <v>5301661.5141606154</v>
      </c>
      <c r="H90" s="300">
        <f t="shared" si="22"/>
        <v>5466126.1818584856</v>
      </c>
      <c r="I90" s="300">
        <f t="shared" si="22"/>
        <v>741426.75299601024</v>
      </c>
      <c r="J90" s="300">
        <f t="shared" si="22"/>
        <v>10011979.32537418</v>
      </c>
      <c r="K90" s="300">
        <f t="shared" si="22"/>
        <v>2844451.0094230026</v>
      </c>
      <c r="L90" s="300">
        <f t="shared" si="22"/>
        <v>253785.46229008088</v>
      </c>
    </row>
    <row r="91" spans="2:12" hidden="1">
      <c r="B91" s="1">
        <v>1990</v>
      </c>
      <c r="C91" s="300">
        <f t="shared" si="22"/>
        <v>27652645.696199022</v>
      </c>
      <c r="D91" s="300">
        <f t="shared" si="22"/>
        <v>11059897.71576828</v>
      </c>
      <c r="E91" s="300">
        <f t="shared" si="22"/>
        <v>5757695.1830998175</v>
      </c>
      <c r="F91" s="300">
        <f t="shared" si="22"/>
        <v>13479422.527233092</v>
      </c>
      <c r="G91" s="300">
        <f t="shared" si="22"/>
        <v>4404401.4366519358</v>
      </c>
      <c r="H91" s="300">
        <f t="shared" si="22"/>
        <v>4077814.6255428572</v>
      </c>
      <c r="I91" s="300">
        <f t="shared" si="22"/>
        <v>202318.00318236716</v>
      </c>
      <c r="J91" s="300">
        <f t="shared" si="22"/>
        <v>5480822.3245111611</v>
      </c>
      <c r="K91" s="300">
        <f t="shared" si="22"/>
        <v>2080099.6991839192</v>
      </c>
      <c r="L91" s="300">
        <f t="shared" si="22"/>
        <v>382933.59597809694</v>
      </c>
    </row>
    <row r="92" spans="2:12" hidden="1">
      <c r="B92" s="1">
        <v>1991</v>
      </c>
      <c r="C92" s="300">
        <f t="shared" si="22"/>
        <v>23635149.12030454</v>
      </c>
      <c r="D92" s="300">
        <f t="shared" si="22"/>
        <v>10193543.541348608</v>
      </c>
      <c r="E92" s="300">
        <f t="shared" si="22"/>
        <v>4873068.9230968207</v>
      </c>
      <c r="F92" s="300">
        <f t="shared" si="22"/>
        <v>11959242.313193884</v>
      </c>
      <c r="G92" s="300">
        <f t="shared" si="22"/>
        <v>5201760.3522349205</v>
      </c>
      <c r="H92" s="300">
        <f t="shared" si="22"/>
        <v>4271858.4529615548</v>
      </c>
      <c r="I92" s="300">
        <f t="shared" si="22"/>
        <v>395785.29213466228</v>
      </c>
      <c r="J92" s="300">
        <f t="shared" si="22"/>
        <v>4990891.253999494</v>
      </c>
      <c r="K92" s="300">
        <f t="shared" si="22"/>
        <v>2109271.4721984719</v>
      </c>
      <c r="L92" s="300">
        <f t="shared" si="22"/>
        <v>362387.36911380413</v>
      </c>
    </row>
    <row r="93" spans="2:12" hidden="1">
      <c r="B93" s="1">
        <v>1992</v>
      </c>
      <c r="C93" s="300">
        <f t="shared" si="22"/>
        <v>21350506.137896556</v>
      </c>
      <c r="D93" s="300">
        <f t="shared" si="22"/>
        <v>9429428.5660979282</v>
      </c>
      <c r="E93" s="300">
        <f t="shared" si="22"/>
        <v>3600197.513598871</v>
      </c>
      <c r="F93" s="300">
        <f t="shared" si="22"/>
        <v>9176789.7688237</v>
      </c>
      <c r="G93" s="300">
        <f t="shared" si="22"/>
        <v>5646301.7230138797</v>
      </c>
      <c r="H93" s="300">
        <f t="shared" si="22"/>
        <v>4796158.2927585393</v>
      </c>
      <c r="I93" s="300">
        <f t="shared" si="22"/>
        <v>302977.66740947566</v>
      </c>
      <c r="J93" s="300">
        <f t="shared" si="22"/>
        <v>7406449.4423316428</v>
      </c>
      <c r="K93" s="300">
        <f t="shared" si="22"/>
        <v>2124497.6824968634</v>
      </c>
      <c r="L93" s="300">
        <f t="shared" si="22"/>
        <v>90129.790246127639</v>
      </c>
    </row>
    <row r="94" spans="2:12" hidden="1">
      <c r="B94" s="1">
        <v>1993</v>
      </c>
      <c r="C94" s="300">
        <f t="shared" si="22"/>
        <v>19000652.102118187</v>
      </c>
      <c r="D94" s="300">
        <f t="shared" si="22"/>
        <v>6299926.5276038777</v>
      </c>
      <c r="E94" s="300">
        <f t="shared" si="22"/>
        <v>2722111.9298992623</v>
      </c>
      <c r="F94" s="300">
        <f t="shared" si="22"/>
        <v>7371710.8369802237</v>
      </c>
      <c r="G94" s="300">
        <f t="shared" si="22"/>
        <v>4403533.5772922765</v>
      </c>
      <c r="H94" s="300">
        <f t="shared" si="22"/>
        <v>3698065.9113796623</v>
      </c>
      <c r="I94" s="300">
        <f t="shared" si="22"/>
        <v>856105.57444610295</v>
      </c>
      <c r="J94" s="300">
        <f t="shared" si="22"/>
        <v>6816490.1628584825</v>
      </c>
      <c r="K94" s="300">
        <f t="shared" si="22"/>
        <v>3662453.1792114396</v>
      </c>
      <c r="L94" s="300">
        <f t="shared" si="22"/>
        <v>13979.837515908375</v>
      </c>
    </row>
    <row r="95" spans="2:12" hidden="1">
      <c r="B95" s="1">
        <v>1994</v>
      </c>
      <c r="C95" s="300">
        <f t="shared" si="22"/>
        <v>18528752.826256271</v>
      </c>
      <c r="D95" s="300">
        <f t="shared" si="22"/>
        <v>8201059.4810818657</v>
      </c>
      <c r="E95" s="300">
        <f t="shared" si="22"/>
        <v>3574976.6430806839</v>
      </c>
      <c r="F95" s="300">
        <f t="shared" si="22"/>
        <v>7204078.1890678536</v>
      </c>
      <c r="G95" s="300">
        <f t="shared" si="22"/>
        <v>3187837.6343684318</v>
      </c>
      <c r="H95" s="300">
        <f t="shared" si="22"/>
        <v>3459374.4117342029</v>
      </c>
      <c r="I95" s="300">
        <f t="shared" si="22"/>
        <v>921477.72912279307</v>
      </c>
      <c r="J95" s="300">
        <f t="shared" si="22"/>
        <v>8893202.2066365182</v>
      </c>
      <c r="K95" s="300">
        <f t="shared" si="22"/>
        <v>2025234.176648363</v>
      </c>
      <c r="L95" s="300">
        <f t="shared" si="22"/>
        <v>11877.307506349929</v>
      </c>
    </row>
    <row r="96" spans="2:12" hidden="1">
      <c r="B96" s="1">
        <v>1995</v>
      </c>
      <c r="C96" s="300">
        <f t="shared" si="22"/>
        <v>17522688.416239277</v>
      </c>
      <c r="D96" s="300">
        <f t="shared" si="22"/>
        <v>7671981.5465417234</v>
      </c>
      <c r="E96" s="300">
        <f t="shared" si="22"/>
        <v>3315603.0219070124</v>
      </c>
      <c r="F96" s="300">
        <f t="shared" si="22"/>
        <v>5580587.0082091233</v>
      </c>
      <c r="G96" s="300">
        <f t="shared" si="22"/>
        <v>3045724.77216544</v>
      </c>
      <c r="H96" s="300">
        <f t="shared" si="22"/>
        <v>3153268.0928140883</v>
      </c>
      <c r="I96" s="300">
        <f t="shared" si="22"/>
        <v>951362.95089547173</v>
      </c>
      <c r="J96" s="300">
        <f t="shared" si="22"/>
        <v>4772086.5351773053</v>
      </c>
      <c r="K96" s="300">
        <f t="shared" si="22"/>
        <v>2008208.8243436893</v>
      </c>
      <c r="L96" s="300">
        <f t="shared" si="22"/>
        <v>69637.481329482485</v>
      </c>
    </row>
    <row r="97" spans="2:12" hidden="1">
      <c r="B97" s="1">
        <v>1996</v>
      </c>
      <c r="C97" s="300">
        <f t="shared" si="22"/>
        <v>18184058.30279424</v>
      </c>
      <c r="D97" s="300">
        <f t="shared" si="22"/>
        <v>8949895.4535345435</v>
      </c>
      <c r="E97" s="300">
        <f t="shared" si="22"/>
        <v>4076964.9437324028</v>
      </c>
      <c r="F97" s="300">
        <f t="shared" si="22"/>
        <v>5318490.2975464975</v>
      </c>
      <c r="G97" s="300">
        <f t="shared" si="22"/>
        <v>2465420.6223866032</v>
      </c>
      <c r="H97" s="300">
        <f t="shared" si="22"/>
        <v>2288592.089570106</v>
      </c>
      <c r="I97" s="300">
        <f t="shared" si="22"/>
        <v>404511.91694413801</v>
      </c>
      <c r="J97" s="300">
        <f t="shared" si="22"/>
        <v>1785740.4208990445</v>
      </c>
      <c r="K97" s="300">
        <f t="shared" si="22"/>
        <v>1877135.6463211942</v>
      </c>
      <c r="L97" s="300">
        <f t="shared" si="22"/>
        <v>108831.28868096689</v>
      </c>
    </row>
    <row r="98" spans="2:12" hidden="1">
      <c r="B98" s="1">
        <v>1997</v>
      </c>
      <c r="C98" s="300">
        <f t="shared" si="22"/>
        <v>20881853.084654164</v>
      </c>
      <c r="D98" s="300">
        <f t="shared" si="22"/>
        <v>9035386.0174400453</v>
      </c>
      <c r="E98" s="300">
        <f t="shared" si="22"/>
        <v>3571642.0681505282</v>
      </c>
      <c r="F98" s="300">
        <f t="shared" si="22"/>
        <v>6018494.009421411</v>
      </c>
      <c r="G98" s="300">
        <f t="shared" si="22"/>
        <v>3006158.8469126103</v>
      </c>
      <c r="H98" s="300">
        <f t="shared" si="22"/>
        <v>2745694.2337669437</v>
      </c>
      <c r="I98" s="300">
        <f t="shared" si="22"/>
        <v>1497860.8783099111</v>
      </c>
      <c r="J98" s="300">
        <f t="shared" si="22"/>
        <v>6494877.9718741551</v>
      </c>
      <c r="K98" s="300">
        <f t="shared" si="22"/>
        <v>4240621.6010394283</v>
      </c>
      <c r="L98" s="300">
        <f t="shared" si="22"/>
        <v>121413.54984812101</v>
      </c>
    </row>
    <row r="99" spans="2:12" hidden="1">
      <c r="B99" s="1">
        <v>1998</v>
      </c>
      <c r="C99" s="300">
        <f t="shared" ref="C99:L106" si="23">C72^2</f>
        <v>19746310.007735588</v>
      </c>
      <c r="D99" s="300">
        <f t="shared" si="23"/>
        <v>9281504.0806919858</v>
      </c>
      <c r="E99" s="300">
        <f t="shared" si="23"/>
        <v>2733811.9609904746</v>
      </c>
      <c r="F99" s="300">
        <f t="shared" si="23"/>
        <v>4663604.2735811239</v>
      </c>
      <c r="G99" s="300">
        <f t="shared" si="23"/>
        <v>3935705.2028493686</v>
      </c>
      <c r="H99" s="300">
        <f t="shared" si="23"/>
        <v>3308303.3213336188</v>
      </c>
      <c r="I99" s="300">
        <f t="shared" si="23"/>
        <v>1036351.4480251358</v>
      </c>
      <c r="J99" s="300">
        <f t="shared" si="23"/>
        <v>5843067.3887139736</v>
      </c>
      <c r="K99" s="300">
        <f t="shared" si="23"/>
        <v>4774546.3240456907</v>
      </c>
      <c r="L99" s="300">
        <f t="shared" si="23"/>
        <v>439642.5436940231</v>
      </c>
    </row>
    <row r="100" spans="2:12" hidden="1">
      <c r="B100" s="1">
        <v>1999</v>
      </c>
      <c r="C100" s="300">
        <f t="shared" si="23"/>
        <v>19040661.437088534</v>
      </c>
      <c r="D100" s="300">
        <f t="shared" si="23"/>
        <v>8288388.96740345</v>
      </c>
      <c r="E100" s="300">
        <f t="shared" si="23"/>
        <v>2386495.3769310797</v>
      </c>
      <c r="F100" s="300">
        <f t="shared" si="23"/>
        <v>4130302.0127189555</v>
      </c>
      <c r="G100" s="300">
        <f t="shared" si="23"/>
        <v>3872496.2497299602</v>
      </c>
      <c r="H100" s="300">
        <f t="shared" si="23"/>
        <v>3441302.1230168431</v>
      </c>
      <c r="I100" s="300">
        <f t="shared" si="23"/>
        <v>1816962.0010421576</v>
      </c>
      <c r="J100" s="300">
        <f t="shared" si="23"/>
        <v>5490252.0873696683</v>
      </c>
      <c r="K100" s="300">
        <f t="shared" si="23"/>
        <v>3259147.4272202388</v>
      </c>
      <c r="L100" s="300">
        <f t="shared" si="23"/>
        <v>446010.51142361539</v>
      </c>
    </row>
    <row r="101" spans="2:12" hidden="1">
      <c r="B101" s="1">
        <v>2000</v>
      </c>
      <c r="C101" s="300">
        <f t="shared" si="23"/>
        <v>22190953.111413568</v>
      </c>
      <c r="D101" s="300">
        <f t="shared" si="23"/>
        <v>9996104.3881192766</v>
      </c>
      <c r="E101" s="300">
        <f t="shared" si="23"/>
        <v>4638943.1104858769</v>
      </c>
      <c r="F101" s="300">
        <f t="shared" si="23"/>
        <v>6816387.239084431</v>
      </c>
      <c r="G101" s="300">
        <f t="shared" si="23"/>
        <v>4422154.2441597618</v>
      </c>
      <c r="H101" s="300">
        <f t="shared" si="23"/>
        <v>4127466.1525000837</v>
      </c>
      <c r="I101" s="300">
        <f t="shared" si="23"/>
        <v>3096664.7258004998</v>
      </c>
      <c r="J101" s="300">
        <f t="shared" si="23"/>
        <v>7432359.5706691733</v>
      </c>
      <c r="K101" s="300">
        <f t="shared" si="23"/>
        <v>4124675.2231281148</v>
      </c>
      <c r="L101" s="300">
        <f t="shared" si="23"/>
        <v>559822.12230973947</v>
      </c>
    </row>
    <row r="102" spans="2:12" hidden="1">
      <c r="B102" s="1">
        <v>2001</v>
      </c>
      <c r="C102" s="300">
        <f t="shared" si="23"/>
        <v>17517905.616029285</v>
      </c>
      <c r="D102" s="300">
        <f t="shared" si="23"/>
        <v>12428819.190097045</v>
      </c>
      <c r="E102" s="300">
        <f t="shared" si="23"/>
        <v>4159286.6849246076</v>
      </c>
      <c r="F102" s="300">
        <f t="shared" si="23"/>
        <v>6451989.8325340543</v>
      </c>
      <c r="G102" s="300">
        <f t="shared" si="23"/>
        <v>3940053.0449627615</v>
      </c>
      <c r="H102" s="300">
        <f t="shared" si="23"/>
        <v>2234238.1070461133</v>
      </c>
      <c r="I102" s="300">
        <f t="shared" si="23"/>
        <v>3249947.5508499183</v>
      </c>
      <c r="J102" s="300">
        <f t="shared" si="23"/>
        <v>9220240.4407949261</v>
      </c>
      <c r="K102" s="300">
        <f t="shared" si="23"/>
        <v>12142130.327972282</v>
      </c>
      <c r="L102" s="300">
        <f t="shared" si="23"/>
        <v>399855.50654173386</v>
      </c>
    </row>
    <row r="103" spans="2:12" hidden="1">
      <c r="B103" s="1">
        <v>2002</v>
      </c>
      <c r="C103" s="300">
        <f t="shared" si="23"/>
        <v>16631946.678427301</v>
      </c>
      <c r="D103" s="300">
        <f t="shared" si="23"/>
        <v>9583782.0502590686</v>
      </c>
      <c r="E103" s="300">
        <f t="shared" si="23"/>
        <v>4678684.1113626417</v>
      </c>
      <c r="F103" s="300">
        <f t="shared" si="23"/>
        <v>7901693.6173065593</v>
      </c>
      <c r="G103" s="300">
        <f t="shared" si="23"/>
        <v>2975906.6756679295</v>
      </c>
      <c r="H103" s="300">
        <f t="shared" si="23"/>
        <v>1867301.1292527779</v>
      </c>
      <c r="I103" s="300">
        <f t="shared" si="23"/>
        <v>2765753.5958992001</v>
      </c>
      <c r="J103" s="300">
        <f t="shared" si="23"/>
        <v>9149205.734426396</v>
      </c>
      <c r="K103" s="300">
        <f t="shared" si="23"/>
        <v>8418760.7943423912</v>
      </c>
      <c r="L103" s="300">
        <f t="shared" si="23"/>
        <v>267288.22603920824</v>
      </c>
    </row>
    <row r="104" spans="2:12" hidden="1">
      <c r="B104" s="1">
        <v>2003</v>
      </c>
      <c r="C104" s="300">
        <f t="shared" si="23"/>
        <v>14791861.227573039</v>
      </c>
      <c r="D104" s="300">
        <f t="shared" si="23"/>
        <v>13028293.004654629</v>
      </c>
      <c r="E104" s="300">
        <f t="shared" si="23"/>
        <v>5540750.1999552157</v>
      </c>
      <c r="F104" s="300">
        <f t="shared" si="23"/>
        <v>7671430.5576583901</v>
      </c>
      <c r="G104" s="300">
        <f t="shared" si="23"/>
        <v>2142481.8684525653</v>
      </c>
      <c r="H104" s="300">
        <f t="shared" si="23"/>
        <v>1479976.3477124574</v>
      </c>
      <c r="I104" s="300">
        <f t="shared" si="23"/>
        <v>2364121.6023165188</v>
      </c>
      <c r="J104" s="300">
        <f t="shared" si="23"/>
        <v>5335619.63724944</v>
      </c>
      <c r="K104" s="300">
        <f t="shared" si="23"/>
        <v>6214451.5250003999</v>
      </c>
      <c r="L104" s="300">
        <f t="shared" si="23"/>
        <v>196683.12882814108</v>
      </c>
    </row>
    <row r="105" spans="2:12" hidden="1">
      <c r="B105" s="1">
        <v>2004</v>
      </c>
      <c r="C105" s="300">
        <f t="shared" si="23"/>
        <v>17483095.098828424</v>
      </c>
      <c r="D105" s="300">
        <f t="shared" si="23"/>
        <v>16310318.248182096</v>
      </c>
      <c r="E105" s="300">
        <f t="shared" si="23"/>
        <v>5923122.4289639611</v>
      </c>
      <c r="F105" s="300">
        <f t="shared" si="23"/>
        <v>6950919.5450543398</v>
      </c>
      <c r="G105" s="300">
        <f t="shared" si="23"/>
        <v>2846312.6658796486</v>
      </c>
      <c r="H105" s="300">
        <f t="shared" si="23"/>
        <v>1111210.3047727493</v>
      </c>
      <c r="I105" s="300">
        <f t="shared" si="23"/>
        <v>2609349.5544088413</v>
      </c>
      <c r="J105" s="300">
        <f t="shared" si="23"/>
        <v>3086983.4546617763</v>
      </c>
      <c r="K105" s="300">
        <f t="shared" si="23"/>
        <v>11324916.429059731</v>
      </c>
      <c r="L105" s="300">
        <f t="shared" si="23"/>
        <v>128695.78519446023</v>
      </c>
    </row>
    <row r="106" spans="2:12" hidden="1">
      <c r="B106" s="1">
        <v>2005</v>
      </c>
      <c r="C106" s="300">
        <f t="shared" si="23"/>
        <v>18631059.031404216</v>
      </c>
      <c r="D106" s="300">
        <f t="shared" si="23"/>
        <v>18357507.502595093</v>
      </c>
      <c r="E106" s="300">
        <f t="shared" si="23"/>
        <v>5419755.7358328998</v>
      </c>
      <c r="F106" s="300">
        <f t="shared" si="23"/>
        <v>7369583.887095632</v>
      </c>
      <c r="G106" s="300">
        <f t="shared" si="23"/>
        <v>3646026.1582734347</v>
      </c>
      <c r="H106" s="300">
        <f t="shared" si="23"/>
        <v>729363.52419035428</v>
      </c>
      <c r="I106" s="300">
        <f t="shared" si="23"/>
        <v>4007819.8262126637</v>
      </c>
      <c r="J106" s="300">
        <f t="shared" si="23"/>
        <v>4833458.4800988454</v>
      </c>
      <c r="K106" s="300">
        <f t="shared" si="23"/>
        <v>19320980.089074492</v>
      </c>
      <c r="L106" s="300">
        <f t="shared" si="23"/>
        <v>52958.838487604982</v>
      </c>
    </row>
  </sheetData>
  <mergeCells count="11">
    <mergeCell ref="B3:B4"/>
    <mergeCell ref="C3:C4"/>
    <mergeCell ref="D3:D4"/>
    <mergeCell ref="E3:E4"/>
    <mergeCell ref="J3:J4"/>
    <mergeCell ref="L3:L4"/>
    <mergeCell ref="F3:F4"/>
    <mergeCell ref="G3:G4"/>
    <mergeCell ref="H3:H4"/>
    <mergeCell ref="I3:I4"/>
    <mergeCell ref="K3:K4"/>
  </mergeCells>
  <phoneticPr fontId="35" type="noConversion"/>
  <pageMargins left="0.75" right="0.75" top="1" bottom="1" header="0.5" footer="0.5"/>
  <pageSetup scale="73"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sheetPr codeName="Sheet58">
    <pageSetUpPr fitToPage="1"/>
  </sheetPr>
  <dimension ref="A1:Q106"/>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ol min="2" max="2" width="9" style="1" bestFit="1" customWidth="1"/>
    <col min="3" max="4" width="12" style="1" bestFit="1" customWidth="1"/>
    <col min="5" max="5" width="10.85546875" style="1" bestFit="1" customWidth="1"/>
    <col min="6" max="6" width="11.5703125" style="1" bestFit="1" customWidth="1"/>
    <col min="7" max="9" width="10.85546875" style="1" bestFit="1" customWidth="1"/>
    <col min="10" max="10" width="11.28515625" style="1" bestFit="1" customWidth="1"/>
    <col min="11" max="11" width="11.5703125" style="1" bestFit="1" customWidth="1"/>
    <col min="12" max="12" width="10.5703125" style="1" bestFit="1" customWidth="1"/>
    <col min="13" max="13" width="8.85546875" style="1"/>
    <col min="14" max="15" width="8.85546875" style="1" hidden="1" customWidth="1"/>
    <col min="16" max="17" width="9.42578125" style="1" hidden="1" customWidth="1"/>
    <col min="18" max="16384" width="8.85546875" style="1"/>
  </cols>
  <sheetData>
    <row r="1" spans="1:17" ht="15">
      <c r="A1" s="26" t="s">
        <v>2112</v>
      </c>
    </row>
    <row r="2" spans="1:17">
      <c r="A2" s="4"/>
      <c r="B2" s="4"/>
    </row>
    <row r="3" spans="1:17" ht="25.5">
      <c r="A3" s="4"/>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ht="25.5">
      <c r="A4" s="667"/>
      <c r="B4" s="1167"/>
      <c r="C4" s="1165"/>
      <c r="D4" s="1165"/>
      <c r="E4" s="1165"/>
      <c r="F4" s="1165"/>
      <c r="G4" s="1165"/>
      <c r="H4" s="1165"/>
      <c r="I4" s="1165"/>
      <c r="J4" s="1165"/>
      <c r="K4" s="1165"/>
      <c r="L4" s="1165"/>
      <c r="N4" s="645" t="s">
        <v>282</v>
      </c>
      <c r="O4" s="645" t="s">
        <v>282</v>
      </c>
      <c r="P4" s="645" t="s">
        <v>281</v>
      </c>
      <c r="Q4" s="645" t="s">
        <v>281</v>
      </c>
    </row>
    <row r="5" spans="1:17">
      <c r="A5" s="22">
        <v>1981</v>
      </c>
      <c r="B5" s="18">
        <f>'9a'!B5/'5'!B5*100</f>
        <v>18998.991724338877</v>
      </c>
      <c r="C5" s="19">
        <f>'9a'!C5/'5'!C5*100</f>
        <v>12402.069356600112</v>
      </c>
      <c r="D5" s="19">
        <f>'9a'!D5/'5'!D5*100</f>
        <v>13909.835685814047</v>
      </c>
      <c r="E5" s="19">
        <f>'9a'!E5/'5'!E5*100</f>
        <v>15841.073523364545</v>
      </c>
      <c r="F5" s="19">
        <f>'9a'!F5/'5'!F5*100</f>
        <v>14072.883375027084</v>
      </c>
      <c r="G5" s="19">
        <f>'9a'!G5/'5'!G5*100</f>
        <v>16546.203232083702</v>
      </c>
      <c r="H5" s="19">
        <f>'9a'!H5/'5'!H5*100</f>
        <v>20647.899249149243</v>
      </c>
      <c r="I5" s="19">
        <f>'9a'!I5/'5'!I5*100</f>
        <v>18309.506067160248</v>
      </c>
      <c r="J5" s="19">
        <f>'9a'!J5/'5'!J5*100</f>
        <v>17638.297949953478</v>
      </c>
      <c r="K5" s="19">
        <f>'9a'!K5/'5'!K5*100</f>
        <v>21719.258051172372</v>
      </c>
      <c r="L5" s="19">
        <f>'9a'!L5/'5'!L5*100</f>
        <v>21351.932367043148</v>
      </c>
      <c r="N5" s="19">
        <f>SUM(C82:L82)/10</f>
        <v>12765600.87328458</v>
      </c>
      <c r="O5" s="19">
        <f>SQRT(N5)</f>
        <v>3572.8981056398152</v>
      </c>
      <c r="P5" s="19">
        <f>Q5^2</f>
        <v>9685239.4706062693</v>
      </c>
      <c r="Q5" s="19">
        <f>STDEVP(C5:L5)</f>
        <v>3112.1117381299582</v>
      </c>
    </row>
    <row r="6" spans="1:17">
      <c r="A6" s="22">
        <v>1982</v>
      </c>
      <c r="B6" s="20">
        <f>'9a'!B6/'5'!B6*100</f>
        <v>18865.136224549176</v>
      </c>
      <c r="C6" s="19">
        <f>'9a'!C6/'5'!C6*100</f>
        <v>12536.886333277032</v>
      </c>
      <c r="D6" s="19">
        <f>'9a'!D6/'5'!D6*100</f>
        <v>14403.248928070172</v>
      </c>
      <c r="E6" s="19">
        <f>'9a'!E6/'5'!E6*100</f>
        <v>16039.536584611424</v>
      </c>
      <c r="F6" s="19">
        <f>'9a'!F6/'5'!F6*100</f>
        <v>14489.735845292525</v>
      </c>
      <c r="G6" s="19">
        <f>'9a'!G6/'5'!G6*100</f>
        <v>16099.727637365919</v>
      </c>
      <c r="H6" s="19">
        <f>'9a'!H6/'5'!H6*100</f>
        <v>20835.121867093672</v>
      </c>
      <c r="I6" s="19">
        <f>'9a'!I6/'5'!I6*100</f>
        <v>18722.118263118282</v>
      </c>
      <c r="J6" s="19">
        <f>'9a'!J6/'5'!J6*100</f>
        <v>18109.186244122226</v>
      </c>
      <c r="K6" s="19">
        <f>'9a'!K6/'5'!K6*100</f>
        <v>20840.101220457789</v>
      </c>
      <c r="L6" s="19">
        <f>'9a'!L6/'5'!L6*100</f>
        <v>20588.337749531882</v>
      </c>
      <c r="N6" s="19">
        <f t="shared" ref="N6:N29" si="0">SUM(C83:L83)/10</f>
        <v>10607347.956374696</v>
      </c>
      <c r="O6" s="19">
        <f t="shared" ref="O6:O29" si="1">SQRT(N6)</f>
        <v>3256.8923771556674</v>
      </c>
      <c r="P6" s="19">
        <f t="shared" ref="P6:P29" si="2">Q6^2</f>
        <v>8051390.6558600245</v>
      </c>
      <c r="Q6" s="19">
        <f t="shared" ref="Q6:Q29" si="3">STDEVP(C6:L6)</f>
        <v>2837.4972521325944</v>
      </c>
    </row>
    <row r="7" spans="1:17">
      <c r="A7" s="22">
        <v>1983</v>
      </c>
      <c r="B7" s="20">
        <f>'9a'!B7/'5'!B7*100</f>
        <v>18255.370038947585</v>
      </c>
      <c r="C7" s="19">
        <f>'9a'!C7/'5'!C7*100</f>
        <v>11962.478899733374</v>
      </c>
      <c r="D7" s="19">
        <f>'9a'!D7/'5'!D7*100</f>
        <v>14439.830001944219</v>
      </c>
      <c r="E7" s="19">
        <f>'9a'!E7/'5'!E7*100</f>
        <v>15650.0002319615</v>
      </c>
      <c r="F7" s="19">
        <f>'9a'!F7/'5'!F7*100</f>
        <v>14257.605853980274</v>
      </c>
      <c r="G7" s="19">
        <f>'9a'!G7/'5'!G7*100</f>
        <v>15688.026480432814</v>
      </c>
      <c r="H7" s="19">
        <f>'9a'!H7/'5'!H7*100</f>
        <v>20493.86597916442</v>
      </c>
      <c r="I7" s="19">
        <f>'9a'!I7/'5'!I7*100</f>
        <v>17371.860534897063</v>
      </c>
      <c r="J7" s="19">
        <f>'9a'!J7/'5'!J7*100</f>
        <v>16479.417207907325</v>
      </c>
      <c r="K7" s="19">
        <f>'9a'!K7/'5'!K7*100</f>
        <v>19850.208628360706</v>
      </c>
      <c r="L7" s="19">
        <f>'9a'!L7/'5'!L7*100</f>
        <v>19494.443917883698</v>
      </c>
      <c r="N7" s="19">
        <f t="shared" si="0"/>
        <v>9654442.3701123502</v>
      </c>
      <c r="O7" s="19">
        <f t="shared" si="1"/>
        <v>3107.159855899331</v>
      </c>
      <c r="P7" s="19">
        <f t="shared" si="2"/>
        <v>6809835.4079174055</v>
      </c>
      <c r="Q7" s="19">
        <f t="shared" si="3"/>
        <v>2609.5661340378797</v>
      </c>
    </row>
    <row r="8" spans="1:17">
      <c r="A8" s="22">
        <v>1984</v>
      </c>
      <c r="B8" s="20">
        <f>'9a'!B8/'5'!B8*100</f>
        <v>18783.071198331829</v>
      </c>
      <c r="C8" s="19">
        <f>'9a'!C8/'5'!C8*100</f>
        <v>11962.275207787688</v>
      </c>
      <c r="D8" s="19">
        <f>'9a'!D8/'5'!D8*100</f>
        <v>14414.521988093238</v>
      </c>
      <c r="E8" s="19">
        <f>'9a'!E8/'5'!E8*100</f>
        <v>16088.381960879546</v>
      </c>
      <c r="F8" s="19">
        <f>'9a'!F8/'5'!F8*100</f>
        <v>14624.703085857189</v>
      </c>
      <c r="G8" s="19">
        <f>'9a'!G8/'5'!G8*100</f>
        <v>16420.53781321747</v>
      </c>
      <c r="H8" s="19">
        <f>'9a'!H8/'5'!H8*100</f>
        <v>21036.727065451469</v>
      </c>
      <c r="I8" s="19">
        <f>'9a'!I8/'5'!I8*100</f>
        <v>18852.42656123967</v>
      </c>
      <c r="J8" s="19">
        <f>'9a'!J8/'5'!J8*100</f>
        <v>16877.548465652479</v>
      </c>
      <c r="K8" s="19">
        <f>'9a'!K8/'5'!K8*100</f>
        <v>20030.085033254916</v>
      </c>
      <c r="L8" s="19">
        <f>'9a'!L8/'5'!L8*100</f>
        <v>19508.532678812258</v>
      </c>
      <c r="N8" s="19">
        <f t="shared" si="0"/>
        <v>10653854.92706413</v>
      </c>
      <c r="O8" s="19">
        <f t="shared" si="1"/>
        <v>3264.0243453540797</v>
      </c>
      <c r="P8" s="19">
        <f t="shared" si="2"/>
        <v>7408462.7211133204</v>
      </c>
      <c r="Q8" s="19">
        <f t="shared" si="3"/>
        <v>2721.8491363617713</v>
      </c>
    </row>
    <row r="9" spans="1:17">
      <c r="A9" s="22">
        <v>1985</v>
      </c>
      <c r="B9" s="20">
        <f>'9a'!B9/'5'!B9*100</f>
        <v>19317.698323440582</v>
      </c>
      <c r="C9" s="19">
        <f>'9a'!C9/'5'!C9*100</f>
        <v>12259.416817022955</v>
      </c>
      <c r="D9" s="19">
        <f>'9a'!D9/'5'!D9*100</f>
        <v>14487.567594863529</v>
      </c>
      <c r="E9" s="19">
        <f>'9a'!E9/'5'!E9*100</f>
        <v>16601.612573497445</v>
      </c>
      <c r="F9" s="19">
        <f>'9a'!F9/'5'!F9*100</f>
        <v>14871.382584944007</v>
      </c>
      <c r="G9" s="19">
        <f>'9a'!G9/'5'!G9*100</f>
        <v>16733.541428251712</v>
      </c>
      <c r="H9" s="19">
        <f>'9a'!H9/'5'!H9*100</f>
        <v>21564.16272951139</v>
      </c>
      <c r="I9" s="19">
        <f>'9a'!I9/'5'!I9*100</f>
        <v>19508.394406859792</v>
      </c>
      <c r="J9" s="19">
        <f>'9a'!J9/'5'!J9*100</f>
        <v>17300.153014782551</v>
      </c>
      <c r="K9" s="19">
        <f>'9a'!K9/'5'!K9*100</f>
        <v>21547.052550393426</v>
      </c>
      <c r="L9" s="19">
        <f>'9a'!L9/'5'!L9*100</f>
        <v>19870.264787164258</v>
      </c>
      <c r="N9" s="19">
        <f t="shared" si="0"/>
        <v>12140301.934790716</v>
      </c>
      <c r="O9" s="19">
        <f t="shared" si="1"/>
        <v>3484.2936062838785</v>
      </c>
      <c r="P9" s="19">
        <f t="shared" si="2"/>
        <v>8742386.7690293901</v>
      </c>
      <c r="Q9" s="19">
        <f t="shared" si="3"/>
        <v>2956.7527405972569</v>
      </c>
    </row>
    <row r="10" spans="1:17">
      <c r="A10" s="22">
        <v>1986</v>
      </c>
      <c r="B10" s="20">
        <f>'9a'!B10/'5'!B10*100</f>
        <v>19321.661659724115</v>
      </c>
      <c r="C10" s="19">
        <f>'9a'!C10/'5'!C10*100</f>
        <v>12622.604586141197</v>
      </c>
      <c r="D10" s="19">
        <f>'9a'!D10/'5'!D10*100</f>
        <v>15627.891775249751</v>
      </c>
      <c r="E10" s="19">
        <f>'9a'!E10/'5'!E10*100</f>
        <v>16643.338720838863</v>
      </c>
      <c r="F10" s="19">
        <f>'9a'!F10/'5'!F10*100</f>
        <v>15289.401219800755</v>
      </c>
      <c r="G10" s="19">
        <f>'9a'!G10/'5'!G10*100</f>
        <v>16722.527428222871</v>
      </c>
      <c r="H10" s="19">
        <f>'9a'!H10/'5'!H10*100</f>
        <v>21613.659845936232</v>
      </c>
      <c r="I10" s="19">
        <f>'9a'!I10/'5'!I10*100</f>
        <v>19174.010426832105</v>
      </c>
      <c r="J10" s="19">
        <f>'9a'!J10/'5'!J10*100</f>
        <v>18544.384001550552</v>
      </c>
      <c r="K10" s="19">
        <f>'9a'!K10/'5'!K10*100</f>
        <v>20977.235094438907</v>
      </c>
      <c r="L10" s="19">
        <f>'9a'!L10/'5'!L10*100</f>
        <v>19692.373234541388</v>
      </c>
      <c r="N10" s="19">
        <f t="shared" si="0"/>
        <v>9746690.6007769331</v>
      </c>
      <c r="O10" s="19">
        <f t="shared" si="1"/>
        <v>3121.9690262359959</v>
      </c>
      <c r="P10" s="19">
        <f t="shared" si="2"/>
        <v>7086793.7302049249</v>
      </c>
      <c r="Q10" s="19">
        <f t="shared" si="3"/>
        <v>2662.1032531073856</v>
      </c>
    </row>
    <row r="11" spans="1:17">
      <c r="A11" s="22">
        <v>1987</v>
      </c>
      <c r="B11" s="20">
        <f>'9a'!B11/'5'!B11*100</f>
        <v>19508.482335141987</v>
      </c>
      <c r="C11" s="19">
        <f>'9a'!C11/'5'!C11*100</f>
        <v>13558.114301717529</v>
      </c>
      <c r="D11" s="19">
        <f>'9a'!D11/'5'!D11*100</f>
        <v>15827.855124813328</v>
      </c>
      <c r="E11" s="19">
        <f>'9a'!E11/'5'!E11*100</f>
        <v>17079.083881471157</v>
      </c>
      <c r="F11" s="19">
        <f>'9a'!F11/'5'!F11*100</f>
        <v>15798.896124153245</v>
      </c>
      <c r="G11" s="19">
        <f>'9a'!G11/'5'!G11*100</f>
        <v>17062.097226362428</v>
      </c>
      <c r="H11" s="19">
        <f>'9a'!H11/'5'!H11*100</f>
        <v>22015.610048031038</v>
      </c>
      <c r="I11" s="19">
        <f>'9a'!I11/'5'!I11*100</f>
        <v>18932.633809365121</v>
      </c>
      <c r="J11" s="19">
        <f>'9a'!J11/'5'!J11*100</f>
        <v>16444.995589654907</v>
      </c>
      <c r="K11" s="19">
        <f>'9a'!K11/'5'!K11*100</f>
        <v>20286.127498020389</v>
      </c>
      <c r="L11" s="19">
        <f>'9a'!L11/'5'!L11*100</f>
        <v>20145.204444332463</v>
      </c>
      <c r="N11" s="19">
        <f t="shared" si="0"/>
        <v>9161409.2175356634</v>
      </c>
      <c r="O11" s="19">
        <f t="shared" si="1"/>
        <v>3026.781990420794</v>
      </c>
      <c r="P11" s="19">
        <f t="shared" si="2"/>
        <v>5945052.0188554768</v>
      </c>
      <c r="Q11" s="19">
        <f t="shared" si="3"/>
        <v>2438.2477353327895</v>
      </c>
    </row>
    <row r="12" spans="1:17">
      <c r="A12" s="22">
        <v>1988</v>
      </c>
      <c r="B12" s="20">
        <f>'9a'!B12/'5'!B12*100</f>
        <v>20235.179231467653</v>
      </c>
      <c r="C12" s="19">
        <f>'9a'!C12/'5'!C12*100</f>
        <v>14317.623819723527</v>
      </c>
      <c r="D12" s="19">
        <f>'9a'!D12/'5'!D12*100</f>
        <v>16679.045489558011</v>
      </c>
      <c r="E12" s="19">
        <f>'9a'!E12/'5'!E12*100</f>
        <v>17665.076655513938</v>
      </c>
      <c r="F12" s="19">
        <f>'9a'!F12/'5'!F12*100</f>
        <v>16408.622870609484</v>
      </c>
      <c r="G12" s="19">
        <f>'9a'!G12/'5'!G12*100</f>
        <v>17555.792194574235</v>
      </c>
      <c r="H12" s="19">
        <f>'9a'!H12/'5'!H12*100</f>
        <v>22785.017633967545</v>
      </c>
      <c r="I12" s="19">
        <f>'9a'!I12/'5'!I12*100</f>
        <v>19322.933666255089</v>
      </c>
      <c r="J12" s="19">
        <f>'9a'!J12/'5'!J12*100</f>
        <v>17019.621191859762</v>
      </c>
      <c r="K12" s="19">
        <f>'9a'!K12/'5'!K12*100</f>
        <v>21510.950081533163</v>
      </c>
      <c r="L12" s="19">
        <f>'9a'!L12/'5'!L12*100</f>
        <v>20880.566657777053</v>
      </c>
      <c r="N12" s="19">
        <f t="shared" si="0"/>
        <v>9580842.2516746279</v>
      </c>
      <c r="O12" s="19">
        <f t="shared" si="1"/>
        <v>3095.2935647002255</v>
      </c>
      <c r="P12" s="19">
        <f t="shared" si="2"/>
        <v>6266060.5162869263</v>
      </c>
      <c r="Q12" s="19">
        <f t="shared" si="3"/>
        <v>2503.2100423829652</v>
      </c>
    </row>
    <row r="13" spans="1:17">
      <c r="A13" s="22">
        <v>1989</v>
      </c>
      <c r="B13" s="20">
        <f>'9a'!B13/'5'!B13*100</f>
        <v>20848.815249648156</v>
      </c>
      <c r="C13" s="19">
        <f>'9a'!C13/'5'!C13*100</f>
        <v>14865.170587258383</v>
      </c>
      <c r="D13" s="19">
        <f>'9a'!D13/'5'!D13*100</f>
        <v>17047.553408605399</v>
      </c>
      <c r="E13" s="19">
        <f>'9a'!E13/'5'!E13*100</f>
        <v>18293.649209946379</v>
      </c>
      <c r="F13" s="19">
        <f>'9a'!F13/'5'!F13*100</f>
        <v>16914.875327480462</v>
      </c>
      <c r="G13" s="19">
        <f>'9a'!G13/'5'!G13*100</f>
        <v>18143.676466574801</v>
      </c>
      <c r="H13" s="19">
        <f>'9a'!H13/'5'!H13*100</f>
        <v>23331.663542648657</v>
      </c>
      <c r="I13" s="19">
        <f>'9a'!I13/'5'!I13*100</f>
        <v>19701.490807658571</v>
      </c>
      <c r="J13" s="19">
        <f>'9a'!J13/'5'!J13*100</f>
        <v>17310.86256367731</v>
      </c>
      <c r="K13" s="19">
        <f>'9a'!K13/'5'!K13*100</f>
        <v>21938.482567103743</v>
      </c>
      <c r="L13" s="19">
        <f>'9a'!L13/'5'!L13*100</f>
        <v>21891.476373569232</v>
      </c>
      <c r="N13" s="19">
        <f t="shared" si="0"/>
        <v>10184864.297874879</v>
      </c>
      <c r="O13" s="19">
        <f t="shared" si="1"/>
        <v>3191.3734187454279</v>
      </c>
      <c r="P13" s="19">
        <f t="shared" si="2"/>
        <v>6556124.4166882327</v>
      </c>
      <c r="Q13" s="19">
        <f t="shared" si="3"/>
        <v>2560.4930026633997</v>
      </c>
    </row>
    <row r="14" spans="1:17">
      <c r="A14" s="22">
        <v>1990</v>
      </c>
      <c r="B14" s="20">
        <f>'9a'!B14/'5'!B14*100</f>
        <v>20829.65942094128</v>
      </c>
      <c r="C14" s="19">
        <f>'9a'!C14/'5'!C14*100</f>
        <v>15290.884069232572</v>
      </c>
      <c r="D14" s="19">
        <f>'9a'!D14/'5'!D14*100</f>
        <v>17173.600294772448</v>
      </c>
      <c r="E14" s="19">
        <f>'9a'!E14/'5'!E14*100</f>
        <v>18226.414357858732</v>
      </c>
      <c r="F14" s="19">
        <f>'9a'!F14/'5'!F14*100</f>
        <v>16903.343499358394</v>
      </c>
      <c r="G14" s="19">
        <f>'9a'!G14/'5'!G14*100</f>
        <v>18277.769085702461</v>
      </c>
      <c r="H14" s="19">
        <f>'9a'!H14/'5'!H14*100</f>
        <v>23029.610305662798</v>
      </c>
      <c r="I14" s="19">
        <f>'9a'!I14/'5'!I14*100</f>
        <v>20091.63809089634</v>
      </c>
      <c r="J14" s="19">
        <f>'9a'!J14/'5'!J14*100</f>
        <v>18131.237507398171</v>
      </c>
      <c r="K14" s="19">
        <f>'9a'!K14/'5'!K14*100</f>
        <v>21756.794926001625</v>
      </c>
      <c r="L14" s="19">
        <f>'9a'!L14/'5'!L14*100</f>
        <v>21967.793138412559</v>
      </c>
      <c r="N14" s="19">
        <f t="shared" si="0"/>
        <v>8757065.5394228958</v>
      </c>
      <c r="O14" s="19">
        <f t="shared" si="1"/>
        <v>2959.2339446929327</v>
      </c>
      <c r="P14" s="19">
        <f t="shared" si="2"/>
        <v>5712909.8593621068</v>
      </c>
      <c r="Q14" s="19">
        <f t="shared" si="3"/>
        <v>2390.1694206399065</v>
      </c>
    </row>
    <row r="15" spans="1:17">
      <c r="A15" s="22">
        <v>1991</v>
      </c>
      <c r="B15" s="20">
        <f>'9a'!B15/'5'!B15*100</f>
        <v>20231.451220477178</v>
      </c>
      <c r="C15" s="19">
        <f>'9a'!C15/'5'!C15*100</f>
        <v>15133.410749944345</v>
      </c>
      <c r="D15" s="19">
        <f>'9a'!D15/'5'!D15*100</f>
        <v>16860.873352830797</v>
      </c>
      <c r="E15" s="19">
        <f>'9a'!E15/'5'!E15*100</f>
        <v>17823.616835147324</v>
      </c>
      <c r="F15" s="19">
        <f>'9a'!F15/'5'!F15*100</f>
        <v>16617.78399728307</v>
      </c>
      <c r="G15" s="19">
        <f>'9a'!G15/'5'!G15*100</f>
        <v>17738.974903505659</v>
      </c>
      <c r="H15" s="19">
        <f>'9a'!H15/'5'!H15*100</f>
        <v>22339.137475706964</v>
      </c>
      <c r="I15" s="19">
        <f>'9a'!I15/'5'!I15*100</f>
        <v>19361.924278797644</v>
      </c>
      <c r="J15" s="19">
        <f>'9a'!J15/'5'!J15*100</f>
        <v>17699.234723448029</v>
      </c>
      <c r="K15" s="19">
        <f>'9a'!K15/'5'!K15*100</f>
        <v>21322.571695576029</v>
      </c>
      <c r="L15" s="19">
        <f>'9a'!L15/'5'!L15*100</f>
        <v>21212.416928095416</v>
      </c>
      <c r="N15" s="19">
        <f t="shared" si="0"/>
        <v>7618288.3670206983</v>
      </c>
      <c r="O15" s="19">
        <f t="shared" si="1"/>
        <v>2760.1247013533098</v>
      </c>
      <c r="P15" s="19">
        <f t="shared" si="2"/>
        <v>4992408.3647442628</v>
      </c>
      <c r="Q15" s="19">
        <f t="shared" si="3"/>
        <v>2234.3697914052327</v>
      </c>
    </row>
    <row r="16" spans="1:17">
      <c r="A16" s="22">
        <v>1992</v>
      </c>
      <c r="B16" s="20">
        <f>'9a'!B16/'5'!B16*100</f>
        <v>20114.887012988875</v>
      </c>
      <c r="C16" s="19">
        <f>'9a'!C16/'5'!C16*100</f>
        <v>15303.04500562152</v>
      </c>
      <c r="D16" s="19">
        <f>'9a'!D16/'5'!D16*100</f>
        <v>16932.879128756125</v>
      </c>
      <c r="E16" s="19">
        <f>'9a'!E16/'5'!E16*100</f>
        <v>18018.25372798627</v>
      </c>
      <c r="F16" s="19">
        <f>'9a'!F16/'5'!F16*100</f>
        <v>16931.826154839437</v>
      </c>
      <c r="G16" s="19">
        <f>'9a'!G16/'5'!G16*100</f>
        <v>17681.721655512909</v>
      </c>
      <c r="H16" s="19">
        <f>'9a'!H16/'5'!H16*100</f>
        <v>22258.500338522434</v>
      </c>
      <c r="I16" s="19">
        <f>'9a'!I16/'5'!I16*100</f>
        <v>19304.152438182777</v>
      </c>
      <c r="J16" s="19">
        <f>'9a'!J16/'5'!J16*100</f>
        <v>17136.852284784123</v>
      </c>
      <c r="K16" s="19">
        <f>'9a'!K16/'5'!K16*100</f>
        <v>21111.448016421782</v>
      </c>
      <c r="L16" s="19">
        <f>'9a'!L16/'5'!L16*100</f>
        <v>20853.229103187143</v>
      </c>
      <c r="N16" s="19">
        <f t="shared" si="0"/>
        <v>6938638.1252775658</v>
      </c>
      <c r="O16" s="19">
        <f t="shared" si="1"/>
        <v>2634.1294814943258</v>
      </c>
      <c r="P16" s="19">
        <f t="shared" si="2"/>
        <v>4499743.0179541782</v>
      </c>
      <c r="Q16" s="19">
        <f t="shared" si="3"/>
        <v>2121.2597714457743</v>
      </c>
    </row>
    <row r="17" spans="1:17">
      <c r="A17" s="22">
        <v>1993</v>
      </c>
      <c r="B17" s="20">
        <f>'9a'!B17/'5'!B17*100</f>
        <v>19901.494239703843</v>
      </c>
      <c r="C17" s="19">
        <f>'9a'!C17/'5'!C17*100</f>
        <v>15424.6564017986</v>
      </c>
      <c r="D17" s="19">
        <f>'9a'!D17/'5'!D17*100</f>
        <v>17366.520237670287</v>
      </c>
      <c r="E17" s="19">
        <f>'9a'!E17/'5'!E17*100</f>
        <v>18079.439611196329</v>
      </c>
      <c r="F17" s="19">
        <f>'9a'!F17/'5'!F17*100</f>
        <v>17023.536710721208</v>
      </c>
      <c r="G17" s="19">
        <f>'9a'!G17/'5'!G17*100</f>
        <v>17815.014898035297</v>
      </c>
      <c r="H17" s="19">
        <f>'9a'!H17/'5'!H17*100</f>
        <v>21670.905582514748</v>
      </c>
      <c r="I17" s="19">
        <f>'9a'!I17/'5'!I17*100</f>
        <v>18825.668612429636</v>
      </c>
      <c r="J17" s="19">
        <f>'9a'!J17/'5'!J17*100</f>
        <v>17175.262720133549</v>
      </c>
      <c r="K17" s="19">
        <f>'9a'!K17/'5'!K17*100</f>
        <v>21311.728378342967</v>
      </c>
      <c r="L17" s="19">
        <f>'9a'!L17/'5'!L17*100</f>
        <v>20604.01187818803</v>
      </c>
      <c r="N17" s="19">
        <f t="shared" si="0"/>
        <v>5662693.5805820227</v>
      </c>
      <c r="O17" s="19">
        <f t="shared" si="1"/>
        <v>2379.6414815223789</v>
      </c>
      <c r="P17" s="19">
        <f t="shared" si="2"/>
        <v>3780804.1908546444</v>
      </c>
      <c r="Q17" s="19">
        <f t="shared" si="3"/>
        <v>1944.4290140950491</v>
      </c>
    </row>
    <row r="18" spans="1:17">
      <c r="A18" s="22">
        <v>1994</v>
      </c>
      <c r="B18" s="20">
        <f>'9a'!B18/'5'!B18*100</f>
        <v>19747.540972491483</v>
      </c>
      <c r="C18" s="19">
        <f>'9a'!C18/'5'!C18*100</f>
        <v>15492.648825169808</v>
      </c>
      <c r="D18" s="19">
        <f>'9a'!D18/'5'!D18*100</f>
        <v>16968.099819397219</v>
      </c>
      <c r="E18" s="19">
        <f>'9a'!E18/'5'!E18*100</f>
        <v>17856.021291530629</v>
      </c>
      <c r="F18" s="19">
        <f>'9a'!F18/'5'!F18*100</f>
        <v>17006.363166467203</v>
      </c>
      <c r="G18" s="19">
        <f>'9a'!G18/'5'!G18*100</f>
        <v>17964.276114117776</v>
      </c>
      <c r="H18" s="19">
        <f>'9a'!H18/'5'!H18*100</f>
        <v>21437.842728237236</v>
      </c>
      <c r="I18" s="19">
        <f>'9a'!I18/'5'!I18*100</f>
        <v>18803.122436075275</v>
      </c>
      <c r="J18" s="19">
        <f>'9a'!J18/'5'!J18*100</f>
        <v>16865.106203477426</v>
      </c>
      <c r="K18" s="19">
        <f>'9a'!K18/'5'!K18*100</f>
        <v>20826.822142933848</v>
      </c>
      <c r="L18" s="19">
        <f>'9a'!L18/'5'!L18*100</f>
        <v>20395.40226378529</v>
      </c>
      <c r="N18" s="19">
        <f t="shared" si="0"/>
        <v>5374338.5024319692</v>
      </c>
      <c r="O18" s="19">
        <f t="shared" si="1"/>
        <v>2318.2619572498638</v>
      </c>
      <c r="P18" s="19">
        <f t="shared" si="2"/>
        <v>3453424.3493722151</v>
      </c>
      <c r="Q18" s="19">
        <f t="shared" si="3"/>
        <v>1858.3391373407103</v>
      </c>
    </row>
    <row r="19" spans="1:17">
      <c r="A19" s="22">
        <v>1995</v>
      </c>
      <c r="B19" s="20">
        <f>'9a'!B19/'5'!B19*100</f>
        <v>19990.958570848426</v>
      </c>
      <c r="C19" s="19">
        <f>'9a'!C19/'5'!C19*100</f>
        <v>15772.426313618917</v>
      </c>
      <c r="D19" s="19">
        <f>'9a'!D19/'5'!D19*100</f>
        <v>17236.572797561803</v>
      </c>
      <c r="E19" s="19">
        <f>'9a'!E19/'5'!E19*100</f>
        <v>18107.467120259167</v>
      </c>
      <c r="F19" s="19">
        <f>'9a'!F19/'5'!F19*100</f>
        <v>17498.387769722169</v>
      </c>
      <c r="G19" s="19">
        <f>'9a'!G19/'5'!G19*100</f>
        <v>18268.686713093928</v>
      </c>
      <c r="H19" s="19">
        <f>'9a'!H19/'5'!H19*100</f>
        <v>21570.41814780224</v>
      </c>
      <c r="I19" s="19">
        <f>'9a'!I19/'5'!I19*100</f>
        <v>18982.633275306016</v>
      </c>
      <c r="J19" s="19">
        <f>'9a'!J19/'5'!J19*100</f>
        <v>17749.327940929787</v>
      </c>
      <c r="K19" s="19">
        <f>'9a'!K19/'5'!K19*100</f>
        <v>21085.183208228758</v>
      </c>
      <c r="L19" s="19">
        <f>'9a'!L19/'5'!L19*100</f>
        <v>20401.267846449973</v>
      </c>
      <c r="N19" s="19">
        <f t="shared" si="0"/>
        <v>4801132.6584998844</v>
      </c>
      <c r="O19" s="19">
        <f t="shared" si="1"/>
        <v>2191.1487075276027</v>
      </c>
      <c r="P19" s="19">
        <f t="shared" si="2"/>
        <v>3048894.1613186644</v>
      </c>
      <c r="Q19" s="19">
        <f t="shared" si="3"/>
        <v>1746.1082902611352</v>
      </c>
    </row>
    <row r="20" spans="1:17">
      <c r="A20" s="22">
        <v>1996</v>
      </c>
      <c r="B20" s="20">
        <f>'9a'!B20/'5'!B20*100</f>
        <v>19782.856539035743</v>
      </c>
      <c r="C20" s="19">
        <f>'9a'!C20/'5'!C20*100</f>
        <v>15527.960514350287</v>
      </c>
      <c r="D20" s="19">
        <f>'9a'!D20/'5'!D20*100</f>
        <v>16850.916240078666</v>
      </c>
      <c r="E20" s="19">
        <f>'9a'!E20/'5'!E20*100</f>
        <v>17768.843115205837</v>
      </c>
      <c r="F20" s="19">
        <f>'9a'!F20/'5'!F20*100</f>
        <v>17370.774612380417</v>
      </c>
      <c r="G20" s="19">
        <f>'9a'!G20/'5'!G20*100</f>
        <v>18235.23120825037</v>
      </c>
      <c r="H20" s="19">
        <f>'9a'!H20/'5'!H20*100</f>
        <v>21107.993712193271</v>
      </c>
      <c r="I20" s="19">
        <f>'9a'!I20/'5'!I20*100</f>
        <v>19197.689018072015</v>
      </c>
      <c r="J20" s="19">
        <f>'9a'!J20/'5'!J20*100</f>
        <v>18441.454387128026</v>
      </c>
      <c r="K20" s="19">
        <f>'9a'!K20/'5'!K20*100</f>
        <v>20911.707064699931</v>
      </c>
      <c r="L20" s="19">
        <f>'9a'!L20/'5'!L20*100</f>
        <v>20023.380398899491</v>
      </c>
      <c r="N20" s="19">
        <f t="shared" si="0"/>
        <v>4419987.2079158975</v>
      </c>
      <c r="O20" s="19">
        <f t="shared" si="1"/>
        <v>2102.3765618737043</v>
      </c>
      <c r="P20" s="19">
        <f t="shared" si="2"/>
        <v>2884218.1130146789</v>
      </c>
      <c r="Q20" s="19">
        <f t="shared" si="3"/>
        <v>1698.2985935973329</v>
      </c>
    </row>
    <row r="21" spans="1:17">
      <c r="A21" s="22">
        <v>1997</v>
      </c>
      <c r="B21" s="20">
        <f>'9a'!B21/'5'!B21*100</f>
        <v>19937.541913169141</v>
      </c>
      <c r="C21" s="19">
        <f>'9a'!C21/'5'!C21*100</f>
        <v>15431.901483315576</v>
      </c>
      <c r="D21" s="19">
        <f>'9a'!D21/'5'!D21*100</f>
        <v>16952.786968541535</v>
      </c>
      <c r="E21" s="19">
        <f>'9a'!E21/'5'!E21*100</f>
        <v>18051.575716487972</v>
      </c>
      <c r="F21" s="19">
        <f>'9a'!F21/'5'!F21*100</f>
        <v>17363.510109665691</v>
      </c>
      <c r="G21" s="19">
        <f>'9a'!G21/'5'!G21*100</f>
        <v>18207.688975530345</v>
      </c>
      <c r="H21" s="19">
        <f>'9a'!H21/'5'!H21*100</f>
        <v>21453.085740093058</v>
      </c>
      <c r="I21" s="19">
        <f>'9a'!I21/'5'!I21*100</f>
        <v>18812.215999577944</v>
      </c>
      <c r="J21" s="19">
        <f>'9a'!J21/'5'!J21*100</f>
        <v>17342.616185487921</v>
      </c>
      <c r="K21" s="19">
        <f>'9a'!K21/'5'!K21*100</f>
        <v>21719.114955974153</v>
      </c>
      <c r="L21" s="19">
        <f>'9a'!L21/'5'!L21*100</f>
        <v>20025.835294855689</v>
      </c>
      <c r="N21" s="19">
        <f t="shared" si="0"/>
        <v>5586312.6432346916</v>
      </c>
      <c r="O21" s="19">
        <f t="shared" si="1"/>
        <v>2363.5381620009211</v>
      </c>
      <c r="P21" s="19">
        <f t="shared" si="2"/>
        <v>3622085.8102418515</v>
      </c>
      <c r="Q21" s="19">
        <f t="shared" si="3"/>
        <v>1903.1778188708095</v>
      </c>
    </row>
    <row r="22" spans="1:17">
      <c r="A22" s="22">
        <v>1998</v>
      </c>
      <c r="B22" s="20">
        <f>'9a'!B22/'5'!B22*100</f>
        <v>20346.610366173511</v>
      </c>
      <c r="C22" s="19">
        <f>'9a'!C22/'5'!C22*100</f>
        <v>15956.175753383934</v>
      </c>
      <c r="D22" s="19">
        <f>'9a'!D22/'5'!D22*100</f>
        <v>17267.091929100017</v>
      </c>
      <c r="E22" s="19">
        <f>'9a'!E22/'5'!E22*100</f>
        <v>18695.651612590082</v>
      </c>
      <c r="F22" s="19">
        <f>'9a'!F22/'5'!F22*100</f>
        <v>18041.072288822608</v>
      </c>
      <c r="G22" s="19">
        <f>'9a'!G22/'5'!G22*100</f>
        <v>18434.555745301597</v>
      </c>
      <c r="H22" s="19">
        <f>'9a'!H22/'5'!H22*100</f>
        <v>21968.282179155834</v>
      </c>
      <c r="I22" s="19">
        <f>'9a'!I22/'5'!I22*100</f>
        <v>19513.056781988609</v>
      </c>
      <c r="J22" s="19">
        <f>'9a'!J22/'5'!J22*100</f>
        <v>17924.121730856448</v>
      </c>
      <c r="K22" s="19">
        <f>'9a'!K22/'5'!K22*100</f>
        <v>22269.467386290937</v>
      </c>
      <c r="L22" s="19">
        <f>'9a'!L22/'5'!L22*100</f>
        <v>20038.460029574064</v>
      </c>
      <c r="N22" s="19">
        <f t="shared" si="0"/>
        <v>5344189.1383533021</v>
      </c>
      <c r="O22" s="19">
        <f t="shared" si="1"/>
        <v>2311.7502326923864</v>
      </c>
      <c r="P22" s="19">
        <f t="shared" si="2"/>
        <v>3559782.5551673127</v>
      </c>
      <c r="Q22" s="19">
        <f t="shared" si="3"/>
        <v>1886.7386027659775</v>
      </c>
    </row>
    <row r="23" spans="1:17">
      <c r="A23" s="22">
        <v>1999</v>
      </c>
      <c r="B23" s="20">
        <f>'9a'!B23/'5'!B23*100</f>
        <v>20797.349552652238</v>
      </c>
      <c r="C23" s="19">
        <f>'9a'!C23/'5'!C23*100</f>
        <v>16449.086528409196</v>
      </c>
      <c r="D23" s="19">
        <f>'9a'!D23/'5'!D23*100</f>
        <v>17859.730981220953</v>
      </c>
      <c r="E23" s="19">
        <f>'9a'!E23/'5'!E23*100</f>
        <v>19231.832845169894</v>
      </c>
      <c r="F23" s="19">
        <f>'9a'!F23/'5'!F23*100</f>
        <v>18633.354085550363</v>
      </c>
      <c r="G23" s="19">
        <f>'9a'!G23/'5'!G23*100</f>
        <v>18880.390917258064</v>
      </c>
      <c r="H23" s="19">
        <f>'9a'!H23/'5'!H23*100</f>
        <v>22479.275234517871</v>
      </c>
      <c r="I23" s="19">
        <f>'9a'!I23/'5'!I23*100</f>
        <v>19657.807952207568</v>
      </c>
      <c r="J23" s="19">
        <f>'9a'!J23/'5'!J23*100</f>
        <v>18506.136487799115</v>
      </c>
      <c r="K23" s="19">
        <f>'9a'!K23/'5'!K23*100</f>
        <v>22449.403335478444</v>
      </c>
      <c r="L23" s="19">
        <f>'9a'!L23/'5'!L23*100</f>
        <v>20442.924754762538</v>
      </c>
      <c r="N23" s="19">
        <f t="shared" si="0"/>
        <v>5057742.8557799701</v>
      </c>
      <c r="O23" s="19">
        <f t="shared" si="1"/>
        <v>2248.9426083784288</v>
      </c>
      <c r="P23" s="19">
        <f t="shared" si="2"/>
        <v>3266548.1062340545</v>
      </c>
      <c r="Q23" s="19">
        <f t="shared" si="3"/>
        <v>1807.3594291767354</v>
      </c>
    </row>
    <row r="24" spans="1:17">
      <c r="A24" s="22">
        <v>2000</v>
      </c>
      <c r="B24" s="20">
        <f>'9a'!B24/'5'!B24*100</f>
        <v>21643.291097063287</v>
      </c>
      <c r="C24" s="19">
        <f>'9a'!C24/'5'!C24*100</f>
        <v>16926.478820555523</v>
      </c>
      <c r="D24" s="19">
        <f>'9a'!D24/'5'!D24*100</f>
        <v>18452.481847370986</v>
      </c>
      <c r="E24" s="19">
        <f>'9a'!E24/'5'!E24*100</f>
        <v>19468.932402795828</v>
      </c>
      <c r="F24" s="19">
        <f>'9a'!F24/'5'!F24*100</f>
        <v>18937.946132597051</v>
      </c>
      <c r="G24" s="19">
        <f>'9a'!G24/'5'!G24*100</f>
        <v>19560.815719916864</v>
      </c>
      <c r="H24" s="19">
        <f>'9a'!H24/'5'!H24*100</f>
        <v>23532.657333989566</v>
      </c>
      <c r="I24" s="19">
        <f>'9a'!I24/'5'!I24*100</f>
        <v>20087.738811501888</v>
      </c>
      <c r="J24" s="19">
        <f>'9a'!J24/'5'!J24*100</f>
        <v>18900.993045204646</v>
      </c>
      <c r="K24" s="19">
        <f>'9a'!K24/'5'!K24*100</f>
        <v>23578.987025333176</v>
      </c>
      <c r="L24" s="19">
        <f>'9a'!L24/'5'!L24*100</f>
        <v>21099.260470160549</v>
      </c>
      <c r="N24" s="19">
        <f t="shared" si="0"/>
        <v>6636554.6869565528</v>
      </c>
      <c r="O24" s="19">
        <f t="shared" si="1"/>
        <v>2576.1511382208446</v>
      </c>
      <c r="P24" s="19">
        <f t="shared" si="2"/>
        <v>4112707.939677963</v>
      </c>
      <c r="Q24" s="19">
        <f t="shared" si="3"/>
        <v>2027.9812473684176</v>
      </c>
    </row>
    <row r="25" spans="1:17">
      <c r="A25" s="22">
        <v>2001</v>
      </c>
      <c r="B25" s="20">
        <f>'9a'!B25/'5'!B25*100</f>
        <v>21991.57106416464</v>
      </c>
      <c r="C25" s="19">
        <f>'9a'!C25/'5'!C25*100</f>
        <v>17692.5000826449</v>
      </c>
      <c r="D25" s="19">
        <f>'9a'!D25/'5'!D25*100</f>
        <v>18420.105945102259</v>
      </c>
      <c r="E25" s="19">
        <f>'9a'!E25/'5'!E25*100</f>
        <v>19815.523575622483</v>
      </c>
      <c r="F25" s="19">
        <f>'9a'!F25/'5'!F25*100</f>
        <v>19279.945544190516</v>
      </c>
      <c r="G25" s="19">
        <f>'9a'!G25/'5'!G25*100</f>
        <v>20033.189125753583</v>
      </c>
      <c r="H25" s="19">
        <f>'9a'!H25/'5'!H25*100</f>
        <v>23481.883356642775</v>
      </c>
      <c r="I25" s="19">
        <f>'9a'!I25/'5'!I25*100</f>
        <v>20359.617090316675</v>
      </c>
      <c r="J25" s="19">
        <f>'9a'!J25/'5'!J25*100</f>
        <v>18964.014081093206</v>
      </c>
      <c r="K25" s="19">
        <f>'9a'!K25/'5'!K25*100</f>
        <v>25308.040482700682</v>
      </c>
      <c r="L25" s="19">
        <f>'9a'!L25/'5'!L25*100</f>
        <v>21448.642155869311</v>
      </c>
      <c r="N25" s="19">
        <f t="shared" si="0"/>
        <v>7250487.684164633</v>
      </c>
      <c r="O25" s="19">
        <f t="shared" si="1"/>
        <v>2692.6729627202471</v>
      </c>
      <c r="P25" s="19">
        <f t="shared" si="2"/>
        <v>4966686.9248187253</v>
      </c>
      <c r="Q25" s="19">
        <f t="shared" si="3"/>
        <v>2228.6064984242339</v>
      </c>
    </row>
    <row r="26" spans="1:17">
      <c r="A26" s="22">
        <v>2002</v>
      </c>
      <c r="B26" s="20">
        <f>'9a'!B26/'5'!B26*100</f>
        <v>22134.89871803148</v>
      </c>
      <c r="C26" s="19">
        <f>'9a'!C26/'5'!C26*100</f>
        <v>18056.670343059413</v>
      </c>
      <c r="D26" s="19">
        <f>'9a'!D26/'5'!D26*100</f>
        <v>19039.130307723779</v>
      </c>
      <c r="E26" s="19">
        <f>'9a'!E26/'5'!E26*100</f>
        <v>19971.872109003602</v>
      </c>
      <c r="F26" s="19">
        <f>'9a'!F26/'5'!F26*100</f>
        <v>19323.903588667759</v>
      </c>
      <c r="G26" s="19">
        <f>'9a'!G26/'5'!G26*100</f>
        <v>20409.817074842402</v>
      </c>
      <c r="H26" s="19">
        <f>'9a'!H26/'5'!H26*100</f>
        <v>23501.39098996454</v>
      </c>
      <c r="I26" s="19">
        <f>'9a'!I26/'5'!I26*100</f>
        <v>20471.843218085913</v>
      </c>
      <c r="J26" s="19">
        <f>'9a'!J26/'5'!J26*100</f>
        <v>19110.13331647942</v>
      </c>
      <c r="K26" s="19">
        <f>'9a'!K26/'5'!K26*100</f>
        <v>25036.408806647818</v>
      </c>
      <c r="L26" s="19">
        <f>'9a'!L26/'5'!L26*100</f>
        <v>21617.899466543426</v>
      </c>
      <c r="N26" s="19">
        <f t="shared" si="0"/>
        <v>6424032.2612983473</v>
      </c>
      <c r="O26" s="19">
        <f t="shared" si="1"/>
        <v>2534.5674702596393</v>
      </c>
      <c r="P26" s="19">
        <f t="shared" si="2"/>
        <v>4230695.5616873931</v>
      </c>
      <c r="Q26" s="19">
        <f t="shared" si="3"/>
        <v>2056.8654700022053</v>
      </c>
    </row>
    <row r="27" spans="1:17">
      <c r="A27" s="22">
        <v>2003</v>
      </c>
      <c r="B27" s="20">
        <f>'9a'!B27/'5'!B27*100</f>
        <v>22424.473856898807</v>
      </c>
      <c r="C27" s="19">
        <f>'9a'!C27/'5'!C27*100</f>
        <v>18532.816834176934</v>
      </c>
      <c r="D27" s="19">
        <f>'9a'!D27/'5'!D27*100</f>
        <v>18770.870171166043</v>
      </c>
      <c r="E27" s="19">
        <f>'9a'!E27/'5'!E27*100</f>
        <v>19982.76094019608</v>
      </c>
      <c r="F27" s="19">
        <f>'9a'!F27/'5'!F27*100</f>
        <v>19659.152911473841</v>
      </c>
      <c r="G27" s="19">
        <f>'9a'!G27/'5'!G27*100</f>
        <v>20902.91856021537</v>
      </c>
      <c r="H27" s="19">
        <f>'9a'!H27/'5'!H27*100</f>
        <v>23678.986360181269</v>
      </c>
      <c r="I27" s="19">
        <f>'9a'!I27/'5'!I27*100</f>
        <v>20625.139538952779</v>
      </c>
      <c r="J27" s="19">
        <f>'9a'!J27/'5'!J27*100</f>
        <v>19891.702506550017</v>
      </c>
      <c r="K27" s="19">
        <f>'9a'!K27/'5'!K27*100</f>
        <v>25235.721260454888</v>
      </c>
      <c r="L27" s="19">
        <f>'9a'!L27/'5'!L27*100</f>
        <v>21890.574645667708</v>
      </c>
      <c r="N27" s="19">
        <f t="shared" si="0"/>
        <v>6383240.3348096851</v>
      </c>
      <c r="O27" s="19">
        <f t="shared" si="1"/>
        <v>2526.5075370577633</v>
      </c>
      <c r="P27" s="19">
        <f t="shared" si="2"/>
        <v>4110956.9823706057</v>
      </c>
      <c r="Q27" s="19">
        <f t="shared" si="3"/>
        <v>2027.5495018298827</v>
      </c>
    </row>
    <row r="28" spans="1:17">
      <c r="A28" s="22">
        <v>2004</v>
      </c>
      <c r="B28" s="20">
        <f>'9a'!B28/'5'!B28*100</f>
        <v>23070.325216214474</v>
      </c>
      <c r="C28" s="19">
        <f>'9a'!C28/'5'!C28*100</f>
        <v>18791.627930173603</v>
      </c>
      <c r="D28" s="19">
        <f>'9a'!D28/'5'!D28*100</f>
        <v>18970.154334183724</v>
      </c>
      <c r="E28" s="19">
        <f>'9a'!E28/'5'!E28*100</f>
        <v>20461.511292154522</v>
      </c>
      <c r="F28" s="19">
        <f>'9a'!F28/'5'!F28*100</f>
        <v>20316.38636622913</v>
      </c>
      <c r="G28" s="19">
        <f>'9a'!G28/'5'!G28*100</f>
        <v>21297.264836470633</v>
      </c>
      <c r="H28" s="19">
        <f>'9a'!H28/'5'!H28*100</f>
        <v>24187.041636681461</v>
      </c>
      <c r="I28" s="19">
        <f>'9a'!I28/'5'!I28*100</f>
        <v>21185.686985109616</v>
      </c>
      <c r="J28" s="19">
        <f>'9a'!J28/'5'!J28*100</f>
        <v>21144.540779469331</v>
      </c>
      <c r="K28" s="19">
        <f>'9a'!K28/'5'!K28*100</f>
        <v>26814.019811638962</v>
      </c>
      <c r="L28" s="19">
        <f>'9a'!L28/'5'!L28*100</f>
        <v>22641.81309652116</v>
      </c>
      <c r="N28" s="19">
        <f t="shared" si="0"/>
        <v>7535891.8500698414</v>
      </c>
      <c r="O28" s="19">
        <f t="shared" si="1"/>
        <v>2745.1578916466428</v>
      </c>
      <c r="P28" s="19">
        <f t="shared" si="2"/>
        <v>5317816.2704955293</v>
      </c>
      <c r="Q28" s="19">
        <f t="shared" si="3"/>
        <v>2306.0390869400999</v>
      </c>
    </row>
    <row r="29" spans="1:17">
      <c r="A29" s="120">
        <v>2005</v>
      </c>
      <c r="B29" s="39">
        <f>'9a'!B29/'5'!B29*100</f>
        <v>23459.195648775814</v>
      </c>
      <c r="C29" s="19">
        <f>'9a'!C29/'5'!C29*100</f>
        <v>19040.552903224398</v>
      </c>
      <c r="D29" s="19">
        <f>'9a'!D29/'5'!D29*100</f>
        <v>19086.021041763324</v>
      </c>
      <c r="E29" s="19">
        <f>'9a'!E29/'5'!E29*100</f>
        <v>20885.697755835354</v>
      </c>
      <c r="F29" s="19">
        <f>'9a'!F29/'5'!F29*100</f>
        <v>20574.200819940928</v>
      </c>
      <c r="G29" s="19">
        <f>'9a'!G29/'5'!G29*100</f>
        <v>21472.811757996998</v>
      </c>
      <c r="H29" s="19">
        <f>'9a'!H29/'5'!H29*100</f>
        <v>24399.704081333901</v>
      </c>
      <c r="I29" s="19">
        <f>'9a'!I29/'5'!I29*100</f>
        <v>21217.79322066006</v>
      </c>
      <c r="J29" s="19">
        <f>'9a'!J29/'5'!J29*100</f>
        <v>21078.527040307636</v>
      </c>
      <c r="K29" s="19">
        <f>'9a'!K29/'5'!K29*100</f>
        <v>28306.57835566207</v>
      </c>
      <c r="L29" s="19">
        <f>'9a'!L29/'5'!L29*100</f>
        <v>23183.143118524284</v>
      </c>
      <c r="N29" s="19">
        <f t="shared" si="0"/>
        <v>9269021.5471451692</v>
      </c>
      <c r="O29" s="19">
        <f t="shared" si="1"/>
        <v>3044.506782246538</v>
      </c>
      <c r="P29" s="19">
        <f t="shared" si="2"/>
        <v>6913740.0501742549</v>
      </c>
      <c r="Q29" s="19">
        <f t="shared" si="3"/>
        <v>2629.3991804543971</v>
      </c>
    </row>
    <row r="30" spans="1:17">
      <c r="A30" s="120">
        <v>2006</v>
      </c>
      <c r="B30" s="39">
        <f>'9a'!B30/'5'!B30*100</f>
        <v>24576.319417741986</v>
      </c>
      <c r="C30" s="19">
        <f>'9a'!C30/'5'!C30*100</f>
        <v>23549.58230059798</v>
      </c>
      <c r="D30" s="19">
        <f>'9a'!D30/'5'!D30*100</f>
        <v>19667.859925144381</v>
      </c>
      <c r="E30" s="19">
        <f>'9a'!E30/'5'!E30*100</f>
        <v>21348.093596790302</v>
      </c>
      <c r="F30" s="19">
        <f>'9a'!F30/'5'!F30*100</f>
        <v>21140.819852748471</v>
      </c>
      <c r="G30" s="19">
        <f>'9a'!G30/'5'!G30*100</f>
        <v>21928.236729991415</v>
      </c>
      <c r="H30" s="19">
        <f>'9a'!H30/'5'!H30*100</f>
        <v>25304.152690072882</v>
      </c>
      <c r="I30" s="19">
        <f>'9a'!I30/'5'!I30*100</f>
        <v>21976.217166661772</v>
      </c>
      <c r="J30" s="19">
        <f>'9a'!J30/'5'!J30*100</f>
        <v>21797.066779507415</v>
      </c>
      <c r="K30" s="19">
        <f>'9a'!K30/'5'!K30*100</f>
        <v>30564.890909588132</v>
      </c>
      <c r="L30" s="19">
        <f>'9a'!L30/'5'!L30*100</f>
        <v>24523.853198388744</v>
      </c>
      <c r="N30" s="19"/>
      <c r="O30" s="19"/>
      <c r="P30" s="19"/>
      <c r="Q30" s="19"/>
    </row>
    <row r="31" spans="1:17">
      <c r="A31" s="120">
        <v>2007</v>
      </c>
      <c r="B31" s="39">
        <f>'9a'!B31/'5'!B31*100</f>
        <v>25193.013922276059</v>
      </c>
      <c r="C31" s="19">
        <f>'9a'!C31/'5'!C31*100</f>
        <v>22883.130821456314</v>
      </c>
      <c r="D31" s="19">
        <f>'9a'!D31/'5'!D31*100</f>
        <v>20250.403228917363</v>
      </c>
      <c r="E31" s="19">
        <f>'9a'!E31/'5'!E31*100</f>
        <v>21910.4214771062</v>
      </c>
      <c r="F31" s="19">
        <f>'9a'!F31/'5'!F31*100</f>
        <v>21774.886766541887</v>
      </c>
      <c r="G31" s="19">
        <f>'9a'!G31/'5'!G31*100</f>
        <v>22749.833101065782</v>
      </c>
      <c r="H31" s="19">
        <f>'9a'!H31/'5'!H31*100</f>
        <v>25849.129758499243</v>
      </c>
      <c r="I31" s="19">
        <f>'9a'!I31/'5'!I31*100</f>
        <v>22940.03004205284</v>
      </c>
      <c r="J31" s="19">
        <f>'9a'!J31/'5'!J31*100</f>
        <v>23102.978264571389</v>
      </c>
      <c r="K31" s="19">
        <f>'9a'!K31/'5'!K31*100</f>
        <v>31584.651189510681</v>
      </c>
      <c r="L31" s="19">
        <f>'9a'!L31/'5'!L31*100</f>
        <v>25281.771208022787</v>
      </c>
      <c r="N31" s="19"/>
      <c r="O31" s="19"/>
      <c r="P31" s="19"/>
      <c r="Q31" s="19"/>
    </row>
    <row r="32" spans="1:17">
      <c r="A32" s="120">
        <v>2008</v>
      </c>
      <c r="B32" s="39">
        <f>'9a'!B32/'5'!B32*100</f>
        <v>25952.030454754731</v>
      </c>
      <c r="C32" s="19">
        <f>'9a'!C32/'5'!C32*100</f>
        <v>22143.577838184392</v>
      </c>
      <c r="D32" s="19">
        <f>'9a'!D32/'5'!D32*100</f>
        <v>20292.597099138511</v>
      </c>
      <c r="E32" s="19">
        <f>'9a'!E32/'5'!E32*100</f>
        <v>22422.051295900408</v>
      </c>
      <c r="F32" s="19">
        <f>'9a'!F32/'5'!F32*100</f>
        <v>22446.572110133424</v>
      </c>
      <c r="G32" s="19">
        <f>'9a'!G32/'5'!G32*100</f>
        <v>23324.398812593608</v>
      </c>
      <c r="H32" s="19">
        <f>'9a'!H32/'5'!H32*100</f>
        <v>26513.875796515607</v>
      </c>
      <c r="I32" s="19">
        <f>'9a'!I32/'5'!I32*100</f>
        <v>23909.955865067925</v>
      </c>
      <c r="J32" s="19">
        <f>'9a'!J32/'5'!J32*100</f>
        <v>25116.278281020688</v>
      </c>
      <c r="K32" s="19">
        <f>'9a'!K32/'5'!K32*100</f>
        <v>32881.805419300654</v>
      </c>
      <c r="L32" s="19">
        <f>'9a'!L32/'5'!L32*100</f>
        <v>26109.915633966124</v>
      </c>
      <c r="N32" s="19"/>
      <c r="O32" s="19"/>
      <c r="P32" s="19"/>
      <c r="Q32" s="19"/>
    </row>
    <row r="33" spans="1:17" ht="12.6" customHeight="1">
      <c r="A33" s="120"/>
      <c r="B33" s="23"/>
      <c r="C33" s="644"/>
      <c r="D33" s="666" t="s">
        <v>802</v>
      </c>
      <c r="E33" s="644"/>
      <c r="F33" s="644"/>
      <c r="G33" s="644"/>
      <c r="H33" s="644"/>
      <c r="I33" s="644"/>
      <c r="J33" s="644"/>
      <c r="K33" s="644"/>
      <c r="L33" s="644"/>
    </row>
    <row r="34" spans="1:17">
      <c r="A34" s="448" t="s">
        <v>603</v>
      </c>
      <c r="B34" s="23">
        <f>((((B13/B5))^(1/8))-1)*100</f>
        <v>1.1681604883370111</v>
      </c>
      <c r="C34" s="23">
        <f t="shared" ref="C34:L34" si="4">((((C13/C5))^(1/8))-1)*100</f>
        <v>2.2903036229879215</v>
      </c>
      <c r="D34" s="23">
        <f t="shared" si="4"/>
        <v>2.5752319020266423</v>
      </c>
      <c r="E34" s="23">
        <f t="shared" si="4"/>
        <v>1.8156333518935197</v>
      </c>
      <c r="F34" s="23">
        <f t="shared" si="4"/>
        <v>2.3259332046205117</v>
      </c>
      <c r="G34" s="23">
        <f t="shared" si="4"/>
        <v>1.1587297659283902</v>
      </c>
      <c r="H34" s="23">
        <f t="shared" si="4"/>
        <v>1.5391980549366968</v>
      </c>
      <c r="I34" s="23">
        <f t="shared" si="4"/>
        <v>0.92013149783880532</v>
      </c>
      <c r="J34" s="23">
        <f t="shared" si="4"/>
        <v>-0.23395539065357296</v>
      </c>
      <c r="K34" s="23">
        <f t="shared" si="4"/>
        <v>0.12561576598257851</v>
      </c>
      <c r="L34" s="23">
        <f t="shared" si="4"/>
        <v>0.31242590810707238</v>
      </c>
      <c r="M34" s="23"/>
      <c r="N34" s="23">
        <f>((((N13/N5))^(1/8))-1)*100</f>
        <v>-2.7836641611413859</v>
      </c>
      <c r="O34" s="23">
        <f>((((O13/O5))^(1/8))-1)*100</f>
        <v>-1.4016552680225725</v>
      </c>
      <c r="P34" s="23">
        <f>((((P13/P5))^(1/8))-1)*100</f>
        <v>-4.760500833621462</v>
      </c>
      <c r="Q34" s="23">
        <f>((((Q13/Q5))^(1/8))-1)*100</f>
        <v>-2.409273408597612</v>
      </c>
    </row>
    <row r="35" spans="1:17">
      <c r="A35" s="448" t="s">
        <v>604</v>
      </c>
      <c r="B35" s="23">
        <f>((((B24/B13))^(1/11))-1)*100</f>
        <v>0.34056408171214692</v>
      </c>
      <c r="C35" s="23">
        <f t="shared" ref="C35:L35" si="5">((((C24/C13))^(1/11))-1)*100</f>
        <v>1.1875253686847387</v>
      </c>
      <c r="D35" s="23">
        <f t="shared" si="5"/>
        <v>0.72252663270151452</v>
      </c>
      <c r="E35" s="23">
        <f t="shared" si="5"/>
        <v>0.56765987201969903</v>
      </c>
      <c r="F35" s="23">
        <f t="shared" si="5"/>
        <v>1.0323304078801776</v>
      </c>
      <c r="G35" s="23">
        <f t="shared" si="5"/>
        <v>0.68603589366711404</v>
      </c>
      <c r="H35" s="23">
        <f t="shared" si="5"/>
        <v>7.8009883451790607E-2</v>
      </c>
      <c r="I35" s="23">
        <f t="shared" si="5"/>
        <v>0.17665868664746842</v>
      </c>
      <c r="J35" s="23">
        <f t="shared" si="5"/>
        <v>0.80211130838427902</v>
      </c>
      <c r="K35" s="23">
        <f t="shared" si="5"/>
        <v>0.65773221574885188</v>
      </c>
      <c r="L35" s="23">
        <f t="shared" si="5"/>
        <v>-0.3345243373988116</v>
      </c>
      <c r="M35" s="23"/>
      <c r="N35" s="23"/>
      <c r="O35" s="23"/>
      <c r="P35" s="23"/>
      <c r="Q35" s="23"/>
    </row>
    <row r="36" spans="1:17">
      <c r="A36" s="448" t="s">
        <v>808</v>
      </c>
      <c r="B36" s="23">
        <f t="shared" ref="B36:L36" si="6">((((B29/B5))^(1/24))-1)*100</f>
        <v>0.8825241748694479</v>
      </c>
      <c r="C36" s="23">
        <f t="shared" si="6"/>
        <v>1.8023316310485926</v>
      </c>
      <c r="D36" s="23">
        <f t="shared" si="6"/>
        <v>1.3268927460291513</v>
      </c>
      <c r="E36" s="23">
        <f t="shared" si="6"/>
        <v>1.1585702410420451</v>
      </c>
      <c r="F36" s="23">
        <f t="shared" si="6"/>
        <v>1.5950375662816541</v>
      </c>
      <c r="G36" s="23">
        <f t="shared" si="6"/>
        <v>1.0918800626867009</v>
      </c>
      <c r="H36" s="23">
        <f t="shared" si="6"/>
        <v>0.69808122921273252</v>
      </c>
      <c r="I36" s="23">
        <f t="shared" si="6"/>
        <v>0.61613933716309077</v>
      </c>
      <c r="J36" s="23">
        <f t="shared" si="6"/>
        <v>0.74518901913336322</v>
      </c>
      <c r="K36" s="23">
        <f t="shared" si="6"/>
        <v>1.1098422804285413</v>
      </c>
      <c r="L36" s="23">
        <f t="shared" si="6"/>
        <v>0.34343497565882952</v>
      </c>
      <c r="M36" s="23"/>
      <c r="N36" s="23"/>
      <c r="O36" s="23"/>
      <c r="P36" s="23"/>
      <c r="Q36" s="23"/>
    </row>
    <row r="37" spans="1:17">
      <c r="A37" s="448" t="s">
        <v>819</v>
      </c>
      <c r="B37" s="644">
        <f t="shared" ref="B37:L37" si="7">((((B30/B5))^(1/25))-1)*100</f>
        <v>1.0349082864075321</v>
      </c>
      <c r="C37" s="23">
        <f t="shared" si="7"/>
        <v>2.5981576184983535</v>
      </c>
      <c r="D37" s="23">
        <f t="shared" si="7"/>
        <v>1.3952018863418347</v>
      </c>
      <c r="E37" s="23">
        <f t="shared" si="7"/>
        <v>1.2005748748556533</v>
      </c>
      <c r="F37" s="23">
        <f t="shared" si="7"/>
        <v>1.6411451612257988</v>
      </c>
      <c r="G37" s="23">
        <f t="shared" si="7"/>
        <v>1.1328425738056369</v>
      </c>
      <c r="H37" s="23">
        <f t="shared" si="7"/>
        <v>0.81673699574378311</v>
      </c>
      <c r="I37" s="23">
        <f t="shared" si="7"/>
        <v>0.73283397517065474</v>
      </c>
      <c r="J37" s="23">
        <f t="shared" si="7"/>
        <v>0.85040699598142311</v>
      </c>
      <c r="K37" s="23">
        <f t="shared" si="7"/>
        <v>1.3759914457913469</v>
      </c>
      <c r="L37" s="23">
        <f t="shared" si="7"/>
        <v>0.55555350373788226</v>
      </c>
      <c r="M37" s="23"/>
      <c r="N37" s="23"/>
      <c r="O37" s="23"/>
      <c r="P37" s="23"/>
      <c r="Q37" s="23"/>
    </row>
    <row r="38" spans="1:17">
      <c r="A38" s="448" t="s">
        <v>447</v>
      </c>
      <c r="B38" s="644">
        <f>((((B31/B5))^(1/26))-1)*100</f>
        <v>1.0912217093244081</v>
      </c>
      <c r="C38" s="644">
        <f t="shared" ref="C38:L38" si="8">((((C31/C5))^(1/26))-1)*100</f>
        <v>2.3838809858905519</v>
      </c>
      <c r="D38" s="644">
        <f t="shared" si="8"/>
        <v>1.4550165351180366</v>
      </c>
      <c r="E38" s="644">
        <f t="shared" si="8"/>
        <v>1.2553380141356207</v>
      </c>
      <c r="F38" s="644">
        <f t="shared" si="8"/>
        <v>1.6930474702317344</v>
      </c>
      <c r="G38" s="644">
        <f t="shared" si="8"/>
        <v>1.232148962142432</v>
      </c>
      <c r="H38" s="644">
        <f t="shared" si="8"/>
        <v>0.86783384908113437</v>
      </c>
      <c r="I38" s="644">
        <f t="shared" si="8"/>
        <v>0.87093630703638514</v>
      </c>
      <c r="J38" s="644">
        <f t="shared" si="8"/>
        <v>1.0434408094037062</v>
      </c>
      <c r="K38" s="644">
        <f t="shared" si="8"/>
        <v>1.4506986752431006</v>
      </c>
      <c r="L38" s="644">
        <f t="shared" si="8"/>
        <v>0.65189017565596696</v>
      </c>
      <c r="M38" s="23"/>
      <c r="N38" s="23">
        <f>((((N28/N5))^(1/23))-1)*100</f>
        <v>-2.2655802426699512</v>
      </c>
      <c r="O38" s="23">
        <f>((((O28/O5))^(1/23))-1)*100</f>
        <v>-1.1392799149581134</v>
      </c>
      <c r="P38" s="23">
        <f>((((P28/P5))^(1/23))-1)*100</f>
        <v>-2.5730158108488665</v>
      </c>
      <c r="Q38" s="23">
        <f>((((Q28/Q5))^(1/23))-1)*100</f>
        <v>-1.294891627053496</v>
      </c>
    </row>
    <row r="39" spans="1:17">
      <c r="A39" s="448" t="s">
        <v>1408</v>
      </c>
      <c r="B39" s="644">
        <f>((((B32/B5))^(1/27))-1)*100</f>
        <v>1.1617481117881523</v>
      </c>
      <c r="C39" s="644">
        <f t="shared" ref="C39:L39" si="9">((((C32/C5))^(1/27))-1)*100</f>
        <v>2.170191829915491</v>
      </c>
      <c r="D39" s="644">
        <f t="shared" si="9"/>
        <v>1.4085687065511499</v>
      </c>
      <c r="E39" s="644">
        <f t="shared" si="9"/>
        <v>1.2951252170686489</v>
      </c>
      <c r="F39" s="644">
        <f t="shared" si="9"/>
        <v>1.7442527822413068</v>
      </c>
      <c r="G39" s="644">
        <f t="shared" si="9"/>
        <v>1.2797616301714942</v>
      </c>
      <c r="H39" s="644">
        <f t="shared" si="9"/>
        <v>0.93043008932101046</v>
      </c>
      <c r="I39" s="644">
        <f t="shared" si="9"/>
        <v>0.99332531893501219</v>
      </c>
      <c r="J39" s="644">
        <f t="shared" si="9"/>
        <v>1.3176560011853633</v>
      </c>
      <c r="K39" s="644">
        <f t="shared" si="9"/>
        <v>1.5478576493916263</v>
      </c>
      <c r="L39" s="644">
        <f t="shared" si="9"/>
        <v>0.74786750444719718</v>
      </c>
      <c r="M39" s="23"/>
      <c r="N39" s="23"/>
      <c r="O39" s="23"/>
      <c r="P39" s="23"/>
      <c r="Q39" s="23"/>
    </row>
    <row r="40" spans="1:17">
      <c r="A40" s="448" t="s">
        <v>809</v>
      </c>
      <c r="B40" s="644">
        <f t="shared" ref="B40:L40" si="10">((((B29/B24))^(1/5))-1)*100</f>
        <v>1.6243927067636665</v>
      </c>
      <c r="C40" s="644">
        <f t="shared" si="10"/>
        <v>2.3817589622012969</v>
      </c>
      <c r="D40" s="644">
        <f t="shared" si="10"/>
        <v>0.6774303601958076</v>
      </c>
      <c r="E40" s="644">
        <f t="shared" si="10"/>
        <v>1.4148074284051182</v>
      </c>
      <c r="F40" s="644">
        <f t="shared" si="10"/>
        <v>1.6712164050022515</v>
      </c>
      <c r="G40" s="644">
        <f t="shared" si="10"/>
        <v>1.8826871748492513</v>
      </c>
      <c r="H40" s="644">
        <f t="shared" si="10"/>
        <v>0.72626206659065495</v>
      </c>
      <c r="I40" s="644">
        <f t="shared" si="10"/>
        <v>1.1006230362166747</v>
      </c>
      <c r="J40" s="644">
        <f t="shared" si="10"/>
        <v>2.2047610941440476</v>
      </c>
      <c r="K40" s="644">
        <f t="shared" si="10"/>
        <v>3.7223735521085377</v>
      </c>
      <c r="L40" s="644">
        <f t="shared" si="10"/>
        <v>1.9016031563185543</v>
      </c>
      <c r="M40" s="23"/>
      <c r="N40" s="23">
        <f>((((N29/N5))^(1/24))-1)*100</f>
        <v>-1.3247975164137116</v>
      </c>
      <c r="O40" s="23">
        <f>((((O29/O5))^(1/24))-1)*100</f>
        <v>-0.66460727233909056</v>
      </c>
      <c r="P40" s="23">
        <f>((((P29/P5))^(1/24))-1)*100</f>
        <v>-1.3947333629492853</v>
      </c>
      <c r="Q40" s="23">
        <f>((((Q29/Q5))^(1/24))-1)*100</f>
        <v>-0.69981538937063936</v>
      </c>
    </row>
    <row r="41" spans="1:17">
      <c r="A41" s="448" t="s">
        <v>818</v>
      </c>
      <c r="B41" s="644">
        <f t="shared" ref="B41:L41" si="11">((((B30/B24))^(1/6))-1)*100</f>
        <v>2.1407220685328854</v>
      </c>
      <c r="C41" s="644">
        <f t="shared" si="11"/>
        <v>5.6580921358827752</v>
      </c>
      <c r="D41" s="644">
        <f t="shared" si="11"/>
        <v>1.0687869660399141</v>
      </c>
      <c r="E41" s="644">
        <f t="shared" si="11"/>
        <v>1.5475602164238822</v>
      </c>
      <c r="F41" s="644">
        <f t="shared" si="11"/>
        <v>1.8508891627449842</v>
      </c>
      <c r="G41" s="644">
        <f t="shared" si="11"/>
        <v>1.9223569697894849</v>
      </c>
      <c r="H41" s="644">
        <f t="shared" si="11"/>
        <v>1.2170024341766172</v>
      </c>
      <c r="I41" s="644">
        <f t="shared" si="11"/>
        <v>1.5087892015464677</v>
      </c>
      <c r="J41" s="644">
        <f t="shared" si="11"/>
        <v>2.4044679268870217</v>
      </c>
      <c r="K41" s="644">
        <f t="shared" si="11"/>
        <v>4.4198226124093187</v>
      </c>
      <c r="L41" s="644">
        <f t="shared" si="11"/>
        <v>2.5384887523296484</v>
      </c>
      <c r="M41" s="23"/>
      <c r="N41" s="23">
        <f>((((N24/N13))^(1/11))-1)*100</f>
        <v>-3.8188940806855531</v>
      </c>
      <c r="O41" s="23">
        <f>((((O24/O13))^(1/11))-1)*100</f>
        <v>-1.9280336083167704</v>
      </c>
      <c r="P41" s="23">
        <f>((((P24/P13))^(1/11))-1)*100</f>
        <v>-4.1506542099007726</v>
      </c>
      <c r="Q41" s="23">
        <f>((((Q24/Q13))^(1/11))-1)*100</f>
        <v>-2.0973208793042208</v>
      </c>
    </row>
    <row r="42" spans="1:17">
      <c r="A42" s="448" t="s">
        <v>449</v>
      </c>
      <c r="B42" s="644">
        <f>((((B31/B24))^(1/7))-1)*100</f>
        <v>2.1932953440201519</v>
      </c>
      <c r="C42" s="644">
        <f t="shared" ref="C42:L42" si="12">((((C31/C24))^(1/7))-1)*100</f>
        <v>4.4015567293409941</v>
      </c>
      <c r="D42" s="644">
        <f t="shared" si="12"/>
        <v>1.3370862065463118</v>
      </c>
      <c r="E42" s="644">
        <f t="shared" si="12"/>
        <v>1.702071588434162</v>
      </c>
      <c r="F42" s="644">
        <f t="shared" si="12"/>
        <v>2.0141540698254801</v>
      </c>
      <c r="G42" s="644">
        <f t="shared" si="12"/>
        <v>2.1810071573423295</v>
      </c>
      <c r="H42" s="644">
        <f t="shared" si="12"/>
        <v>1.3502895245843138</v>
      </c>
      <c r="I42" s="644">
        <f t="shared" si="12"/>
        <v>1.9148715275475237</v>
      </c>
      <c r="J42" s="644">
        <f t="shared" si="12"/>
        <v>2.9093331253715604</v>
      </c>
      <c r="K42" s="644">
        <f t="shared" si="12"/>
        <v>4.2643520842367666</v>
      </c>
      <c r="L42" s="644">
        <f t="shared" si="12"/>
        <v>2.6171709916672725</v>
      </c>
      <c r="M42" s="644"/>
      <c r="N42" s="644">
        <f>((((N28/N24))^(1/4))-1)*100</f>
        <v>3.2281145142218914</v>
      </c>
      <c r="O42" s="644">
        <f>((((O28/O24))^(1/4))-1)*100</f>
        <v>1.6012374502505144</v>
      </c>
      <c r="P42" s="644">
        <f>((((P28/P24))^(1/4))-1)*100</f>
        <v>6.6353907571011117</v>
      </c>
      <c r="Q42" s="644">
        <f>((((Q28/Q24))^(1/4))-1)*100</f>
        <v>3.264413404183486</v>
      </c>
    </row>
    <row r="43" spans="1:17">
      <c r="A43" s="448" t="s">
        <v>1410</v>
      </c>
      <c r="B43" s="644">
        <f>((((B32/B24))^(1/8))-1)*100</f>
        <v>2.2953765191195963</v>
      </c>
      <c r="C43" s="644">
        <f t="shared" ref="C43:L43" si="13">((((C32/C24))^(1/8))-1)*100</f>
        <v>3.415383397037508</v>
      </c>
      <c r="D43" s="644">
        <f t="shared" si="13"/>
        <v>1.1953031486106047</v>
      </c>
      <c r="E43" s="644">
        <f t="shared" si="13"/>
        <v>1.7809852497853607</v>
      </c>
      <c r="F43" s="644">
        <f t="shared" si="13"/>
        <v>2.1473593187917972</v>
      </c>
      <c r="G43" s="644">
        <f t="shared" si="13"/>
        <v>2.2240156126348998</v>
      </c>
      <c r="H43" s="644">
        <f t="shared" si="13"/>
        <v>1.5021591910107546</v>
      </c>
      <c r="I43" s="644">
        <f t="shared" si="13"/>
        <v>2.201192959244036</v>
      </c>
      <c r="J43" s="644">
        <f t="shared" si="13"/>
        <v>3.6176725535004062</v>
      </c>
      <c r="K43" s="644">
        <f t="shared" si="13"/>
        <v>4.2446592187279641</v>
      </c>
      <c r="L43" s="644">
        <f t="shared" si="13"/>
        <v>2.6992517420425965</v>
      </c>
      <c r="M43" s="644"/>
      <c r="N43" s="644"/>
      <c r="O43" s="644"/>
      <c r="P43" s="644"/>
      <c r="Q43" s="644"/>
    </row>
    <row r="44" spans="1:17">
      <c r="A44" s="448"/>
      <c r="D44" s="27" t="s">
        <v>276</v>
      </c>
      <c r="M44" s="644"/>
      <c r="N44" s="644">
        <f>((((N29/N24))^(1/5))-1)*100</f>
        <v>6.9099786601120483</v>
      </c>
      <c r="O44" s="644">
        <f>((((O29/O24))^(1/5))-1)*100</f>
        <v>3.3972817148071988</v>
      </c>
      <c r="P44" s="644">
        <f>((((P29/P24))^(1/5))-1)*100</f>
        <v>10.947376032116974</v>
      </c>
      <c r="Q44" s="644">
        <f>((((Q29/Q24))^(1/5))-1)*100</f>
        <v>5.3315603378764065</v>
      </c>
    </row>
    <row r="45" spans="1:17" ht="12.6" customHeight="1">
      <c r="A45" s="448" t="s">
        <v>808</v>
      </c>
      <c r="B45" s="10">
        <f t="shared" ref="B45:L45" si="14">(B29/B5-1)*100</f>
        <v>23.476003301391724</v>
      </c>
      <c r="C45" s="10">
        <f t="shared" si="14"/>
        <v>53.527224818263328</v>
      </c>
      <c r="D45" s="10">
        <f t="shared" si="14"/>
        <v>37.212411942638646</v>
      </c>
      <c r="E45" s="10">
        <f t="shared" si="14"/>
        <v>31.845216961024271</v>
      </c>
      <c r="F45" s="10">
        <f t="shared" si="14"/>
        <v>46.197479732196896</v>
      </c>
      <c r="G45" s="10">
        <f t="shared" si="14"/>
        <v>29.77485805541431</v>
      </c>
      <c r="H45" s="10">
        <f t="shared" si="14"/>
        <v>18.170394900291107</v>
      </c>
      <c r="I45" s="10">
        <f t="shared" si="14"/>
        <v>15.88402845402852</v>
      </c>
      <c r="J45" s="10">
        <f t="shared" si="14"/>
        <v>19.504314419199574</v>
      </c>
      <c r="K45" s="10">
        <f t="shared" si="14"/>
        <v>30.32939840288018</v>
      </c>
      <c r="L45" s="10">
        <f t="shared" si="14"/>
        <v>8.5763233041503248</v>
      </c>
      <c r="N45" s="10"/>
      <c r="O45" s="10"/>
      <c r="P45" s="10"/>
      <c r="Q45" s="10"/>
    </row>
    <row r="46" spans="1:17">
      <c r="A46" s="448" t="s">
        <v>819</v>
      </c>
      <c r="B46" s="10">
        <f t="shared" ref="B46:L46" si="15">(B30/B5-1)*100</f>
        <v>29.355914115474935</v>
      </c>
      <c r="C46" s="10">
        <f t="shared" si="15"/>
        <v>89.884297720568739</v>
      </c>
      <c r="D46" s="10">
        <f t="shared" si="15"/>
        <v>41.395343333945057</v>
      </c>
      <c r="E46" s="10">
        <f t="shared" si="15"/>
        <v>34.764184796587585</v>
      </c>
      <c r="F46" s="10">
        <f t="shared" si="15"/>
        <v>50.223797706330274</v>
      </c>
      <c r="G46" s="10">
        <f t="shared" si="15"/>
        <v>32.527302018578808</v>
      </c>
      <c r="H46" s="10">
        <f t="shared" si="15"/>
        <v>22.55073692843348</v>
      </c>
      <c r="I46" s="10">
        <f t="shared" si="15"/>
        <v>20.026269884353141</v>
      </c>
      <c r="J46" s="10">
        <f t="shared" si="15"/>
        <v>23.578062017967593</v>
      </c>
      <c r="K46" s="10">
        <f t="shared" si="15"/>
        <v>40.727141035732963</v>
      </c>
      <c r="L46" s="10">
        <f t="shared" si="15"/>
        <v>14.855427493960583</v>
      </c>
      <c r="M46" s="10"/>
      <c r="N46" s="10">
        <f>(N28/N5-1)*100</f>
        <v>-40.967198294279264</v>
      </c>
      <c r="O46" s="10">
        <f>(O28/O5-1)*100</f>
        <v>-23.167193396491925</v>
      </c>
      <c r="P46" s="10">
        <f>(P28/P5-1)*100</f>
        <v>-45.09360055954663</v>
      </c>
      <c r="Q46" s="10">
        <f>(Q28/Q5-1)*100</f>
        <v>-25.901147484962117</v>
      </c>
    </row>
    <row r="47" spans="1:17">
      <c r="A47" s="448" t="s">
        <v>447</v>
      </c>
      <c r="B47" s="10">
        <f>(B31/B5-1)*100</f>
        <v>32.601846918024904</v>
      </c>
      <c r="C47" s="10">
        <f t="shared" ref="C47:L47" si="16">(C31/C5-1)*100</f>
        <v>84.510585802186384</v>
      </c>
      <c r="D47" s="10">
        <f t="shared" si="16"/>
        <v>45.583338914418277</v>
      </c>
      <c r="E47" s="10">
        <f t="shared" si="16"/>
        <v>38.313993965053974</v>
      </c>
      <c r="F47" s="10">
        <f t="shared" si="16"/>
        <v>54.729391172119904</v>
      </c>
      <c r="G47" s="10">
        <f t="shared" si="16"/>
        <v>37.492769682370451</v>
      </c>
      <c r="H47" s="10">
        <f t="shared" si="16"/>
        <v>25.190119569012847</v>
      </c>
      <c r="I47" s="10">
        <f t="shared" si="16"/>
        <v>25.290272484181632</v>
      </c>
      <c r="J47" s="10">
        <f t="shared" si="16"/>
        <v>30.98190273303738</v>
      </c>
      <c r="K47" s="10">
        <f t="shared" si="16"/>
        <v>45.422330335109166</v>
      </c>
      <c r="L47" s="10">
        <f t="shared" si="16"/>
        <v>18.405073477309109</v>
      </c>
      <c r="M47" s="10"/>
      <c r="N47" s="10">
        <f>(N29/N5-1)*100</f>
        <v>-27.390636452193441</v>
      </c>
      <c r="O47" s="10">
        <f>(O29/O5-1)*100</f>
        <v>-14.788871884121523</v>
      </c>
      <c r="P47" s="10">
        <f>(P29/P5-1)*100</f>
        <v>-28.61570360591741</v>
      </c>
      <c r="Q47" s="10">
        <f>(Q29/Q5-1)*100</f>
        <v>-15.510772051058142</v>
      </c>
    </row>
    <row r="48" spans="1:17">
      <c r="A48" s="448" t="s">
        <v>1408</v>
      </c>
      <c r="B48" s="10">
        <f>(B32/B5-1)*100</f>
        <v>36.596882778303353</v>
      </c>
      <c r="C48" s="10">
        <f t="shared" ref="C48:L48" si="17">(C32/C5-1)*100</f>
        <v>78.547443990869638</v>
      </c>
      <c r="D48" s="10">
        <f t="shared" si="17"/>
        <v>45.886677294354584</v>
      </c>
      <c r="E48" s="10">
        <f t="shared" si="17"/>
        <v>41.543761303988362</v>
      </c>
      <c r="F48" s="10">
        <f t="shared" si="17"/>
        <v>59.502296096376362</v>
      </c>
      <c r="G48" s="10">
        <f t="shared" si="17"/>
        <v>40.965262455901261</v>
      </c>
      <c r="H48" s="10">
        <f t="shared" si="17"/>
        <v>28.409556229348908</v>
      </c>
      <c r="I48" s="10">
        <f t="shared" si="17"/>
        <v>30.58766182640278</v>
      </c>
      <c r="J48" s="10">
        <f t="shared" si="17"/>
        <v>42.396269482945968</v>
      </c>
      <c r="K48" s="10">
        <f t="shared" si="17"/>
        <v>51.394699311681812</v>
      </c>
      <c r="L48" s="10">
        <f t="shared" si="17"/>
        <v>22.283619042681856</v>
      </c>
      <c r="M48" s="10"/>
      <c r="N48" s="10"/>
      <c r="O48" s="10"/>
      <c r="P48" s="10"/>
      <c r="Q48" s="10"/>
    </row>
    <row r="49" spans="1:12">
      <c r="A49" s="140"/>
      <c r="B49" s="10"/>
      <c r="C49" s="10"/>
      <c r="D49" s="10"/>
      <c r="E49" s="10"/>
      <c r="F49" s="10"/>
      <c r="G49" s="10"/>
      <c r="H49" s="10"/>
      <c r="I49" s="10"/>
      <c r="J49" s="10"/>
      <c r="K49" s="10"/>
      <c r="L49" s="10"/>
    </row>
    <row r="50" spans="1:12">
      <c r="A50" s="9" t="s">
        <v>286</v>
      </c>
    </row>
    <row r="51" spans="1:12">
      <c r="B51" s="9"/>
    </row>
    <row r="53" spans="1:12" hidden="1">
      <c r="B53" s="1" t="s">
        <v>278</v>
      </c>
    </row>
    <row r="54" spans="1:12" hidden="1">
      <c r="B54" s="1" t="s">
        <v>279</v>
      </c>
    </row>
    <row r="55" spans="1:12" hidden="1">
      <c r="B55" s="1">
        <v>1981</v>
      </c>
      <c r="C55" s="300">
        <f>C5-$B5</f>
        <v>-6596.9223677387654</v>
      </c>
      <c r="D55" s="300">
        <f t="shared" ref="D55:L55" si="18">D5-$B5</f>
        <v>-5089.1560385248304</v>
      </c>
      <c r="E55" s="300">
        <f t="shared" si="18"/>
        <v>-3157.9182009743326</v>
      </c>
      <c r="F55" s="300">
        <f t="shared" si="18"/>
        <v>-4926.1083493117931</v>
      </c>
      <c r="G55" s="300">
        <f t="shared" si="18"/>
        <v>-2452.7884922551748</v>
      </c>
      <c r="H55" s="300">
        <f t="shared" si="18"/>
        <v>1648.9075248103654</v>
      </c>
      <c r="I55" s="300">
        <f t="shared" si="18"/>
        <v>-689.48565717862948</v>
      </c>
      <c r="J55" s="300">
        <f t="shared" si="18"/>
        <v>-1360.6937743853996</v>
      </c>
      <c r="K55" s="300">
        <f t="shared" si="18"/>
        <v>2720.2663268334945</v>
      </c>
      <c r="L55" s="300">
        <f t="shared" si="18"/>
        <v>2352.9406427042704</v>
      </c>
    </row>
    <row r="56" spans="1:12" hidden="1">
      <c r="B56" s="1">
        <v>1982</v>
      </c>
      <c r="C56" s="300">
        <f t="shared" ref="C56:L71" si="19">C6-$B6</f>
        <v>-6328.2498912721439</v>
      </c>
      <c r="D56" s="300">
        <f t="shared" si="19"/>
        <v>-4461.8872964790044</v>
      </c>
      <c r="E56" s="300">
        <f t="shared" si="19"/>
        <v>-2825.5996399377527</v>
      </c>
      <c r="F56" s="300">
        <f t="shared" si="19"/>
        <v>-4375.4003792566509</v>
      </c>
      <c r="G56" s="300">
        <f t="shared" si="19"/>
        <v>-2765.4085871832576</v>
      </c>
      <c r="H56" s="300">
        <f t="shared" si="19"/>
        <v>1969.9856425444959</v>
      </c>
      <c r="I56" s="300">
        <f t="shared" si="19"/>
        <v>-143.0179614308945</v>
      </c>
      <c r="J56" s="300">
        <f t="shared" si="19"/>
        <v>-755.94998042695079</v>
      </c>
      <c r="K56" s="300">
        <f t="shared" si="19"/>
        <v>1974.9649959086128</v>
      </c>
      <c r="L56" s="300">
        <f t="shared" si="19"/>
        <v>1723.2015249827055</v>
      </c>
    </row>
    <row r="57" spans="1:12" hidden="1">
      <c r="B57" s="1">
        <v>1983</v>
      </c>
      <c r="C57" s="300">
        <f t="shared" si="19"/>
        <v>-6292.8911392142109</v>
      </c>
      <c r="D57" s="300">
        <f t="shared" si="19"/>
        <v>-3815.5400370033658</v>
      </c>
      <c r="E57" s="300">
        <f t="shared" si="19"/>
        <v>-2605.3698069860857</v>
      </c>
      <c r="F57" s="300">
        <f t="shared" si="19"/>
        <v>-3997.7641849673109</v>
      </c>
      <c r="G57" s="300">
        <f t="shared" si="19"/>
        <v>-2567.3435585147708</v>
      </c>
      <c r="H57" s="300">
        <f t="shared" si="19"/>
        <v>2238.4959402168352</v>
      </c>
      <c r="I57" s="300">
        <f t="shared" si="19"/>
        <v>-883.50950405052208</v>
      </c>
      <c r="J57" s="300">
        <f t="shared" si="19"/>
        <v>-1775.9528310402602</v>
      </c>
      <c r="K57" s="300">
        <f t="shared" si="19"/>
        <v>1594.8385894131206</v>
      </c>
      <c r="L57" s="300">
        <f t="shared" si="19"/>
        <v>1239.073878936113</v>
      </c>
    </row>
    <row r="58" spans="1:12" hidden="1">
      <c r="B58" s="1">
        <v>1984</v>
      </c>
      <c r="C58" s="300">
        <f t="shared" si="19"/>
        <v>-6820.7959905441403</v>
      </c>
      <c r="D58" s="300">
        <f t="shared" si="19"/>
        <v>-4368.5492102385906</v>
      </c>
      <c r="E58" s="300">
        <f t="shared" si="19"/>
        <v>-2694.6892374522831</v>
      </c>
      <c r="F58" s="300">
        <f t="shared" si="19"/>
        <v>-4158.3681124746399</v>
      </c>
      <c r="G58" s="300">
        <f t="shared" si="19"/>
        <v>-2362.5333851143587</v>
      </c>
      <c r="H58" s="300">
        <f t="shared" si="19"/>
        <v>2253.6558671196399</v>
      </c>
      <c r="I58" s="300">
        <f t="shared" si="19"/>
        <v>69.355362907841482</v>
      </c>
      <c r="J58" s="300">
        <f t="shared" si="19"/>
        <v>-1905.5227326793502</v>
      </c>
      <c r="K58" s="300">
        <f t="shared" si="19"/>
        <v>1247.0138349230874</v>
      </c>
      <c r="L58" s="300">
        <f t="shared" si="19"/>
        <v>725.4614804804296</v>
      </c>
    </row>
    <row r="59" spans="1:12" hidden="1">
      <c r="B59" s="1">
        <v>1985</v>
      </c>
      <c r="C59" s="300">
        <f t="shared" si="19"/>
        <v>-7058.2815064176266</v>
      </c>
      <c r="D59" s="300">
        <f t="shared" si="19"/>
        <v>-4830.1307285770527</v>
      </c>
      <c r="E59" s="300">
        <f t="shared" si="19"/>
        <v>-2716.0857499431368</v>
      </c>
      <c r="F59" s="300">
        <f t="shared" si="19"/>
        <v>-4446.3157384965743</v>
      </c>
      <c r="G59" s="300">
        <f t="shared" si="19"/>
        <v>-2584.1568951888694</v>
      </c>
      <c r="H59" s="300">
        <f t="shared" si="19"/>
        <v>2246.4644060708088</v>
      </c>
      <c r="I59" s="300">
        <f t="shared" si="19"/>
        <v>190.69608341921048</v>
      </c>
      <c r="J59" s="300">
        <f t="shared" si="19"/>
        <v>-2017.545308658031</v>
      </c>
      <c r="K59" s="300">
        <f t="shared" si="19"/>
        <v>2229.3542269528443</v>
      </c>
      <c r="L59" s="300">
        <f t="shared" si="19"/>
        <v>552.56646372367686</v>
      </c>
    </row>
    <row r="60" spans="1:12" hidden="1">
      <c r="B60" s="1">
        <v>1986</v>
      </c>
      <c r="C60" s="300">
        <f t="shared" si="19"/>
        <v>-6699.0570735829187</v>
      </c>
      <c r="D60" s="300">
        <f t="shared" si="19"/>
        <v>-3693.7698844743645</v>
      </c>
      <c r="E60" s="300">
        <f t="shared" si="19"/>
        <v>-2678.3229388852524</v>
      </c>
      <c r="F60" s="300">
        <f t="shared" si="19"/>
        <v>-4032.2604399233605</v>
      </c>
      <c r="G60" s="300">
        <f t="shared" si="19"/>
        <v>-2599.1342315012444</v>
      </c>
      <c r="H60" s="300">
        <f t="shared" si="19"/>
        <v>2291.9981862121167</v>
      </c>
      <c r="I60" s="300">
        <f t="shared" si="19"/>
        <v>-147.65123289201074</v>
      </c>
      <c r="J60" s="300">
        <f t="shared" si="19"/>
        <v>-777.2776581735634</v>
      </c>
      <c r="K60" s="300">
        <f t="shared" si="19"/>
        <v>1655.5734347147918</v>
      </c>
      <c r="L60" s="300">
        <f t="shared" si="19"/>
        <v>370.71157481727278</v>
      </c>
    </row>
    <row r="61" spans="1:12" hidden="1">
      <c r="B61" s="1">
        <v>1987</v>
      </c>
      <c r="C61" s="300">
        <f t="shared" si="19"/>
        <v>-5950.3680334244582</v>
      </c>
      <c r="D61" s="300">
        <f t="shared" si="19"/>
        <v>-3680.6272103286592</v>
      </c>
      <c r="E61" s="300">
        <f t="shared" si="19"/>
        <v>-2429.3984536708303</v>
      </c>
      <c r="F61" s="300">
        <f t="shared" si="19"/>
        <v>-3709.5862109887421</v>
      </c>
      <c r="G61" s="300">
        <f t="shared" si="19"/>
        <v>-2446.3851087795592</v>
      </c>
      <c r="H61" s="300">
        <f t="shared" si="19"/>
        <v>2507.1277128890506</v>
      </c>
      <c r="I61" s="300">
        <f t="shared" si="19"/>
        <v>-575.84852577686615</v>
      </c>
      <c r="J61" s="300">
        <f t="shared" si="19"/>
        <v>-3063.48674548708</v>
      </c>
      <c r="K61" s="300">
        <f t="shared" si="19"/>
        <v>777.64516287840161</v>
      </c>
      <c r="L61" s="300">
        <f t="shared" si="19"/>
        <v>636.72210919047575</v>
      </c>
    </row>
    <row r="62" spans="1:12" hidden="1">
      <c r="B62" s="1">
        <v>1988</v>
      </c>
      <c r="C62" s="300">
        <f t="shared" si="19"/>
        <v>-5917.5554117441261</v>
      </c>
      <c r="D62" s="300">
        <f t="shared" si="19"/>
        <v>-3556.1337419096417</v>
      </c>
      <c r="E62" s="300">
        <f t="shared" si="19"/>
        <v>-2570.1025759537151</v>
      </c>
      <c r="F62" s="300">
        <f t="shared" si="19"/>
        <v>-3826.5563608581688</v>
      </c>
      <c r="G62" s="300">
        <f t="shared" si="19"/>
        <v>-2679.3870368934186</v>
      </c>
      <c r="H62" s="300">
        <f t="shared" si="19"/>
        <v>2549.8384024998923</v>
      </c>
      <c r="I62" s="300">
        <f t="shared" si="19"/>
        <v>-912.24556521256454</v>
      </c>
      <c r="J62" s="300">
        <f t="shared" si="19"/>
        <v>-3215.5580396078913</v>
      </c>
      <c r="K62" s="300">
        <f t="shared" si="19"/>
        <v>1275.7708500655099</v>
      </c>
      <c r="L62" s="300">
        <f t="shared" si="19"/>
        <v>645.38742630940033</v>
      </c>
    </row>
    <row r="63" spans="1:12" hidden="1">
      <c r="B63" s="1">
        <v>1989</v>
      </c>
      <c r="C63" s="300">
        <f t="shared" si="19"/>
        <v>-5983.6446623897737</v>
      </c>
      <c r="D63" s="300">
        <f t="shared" si="19"/>
        <v>-3801.2618410427567</v>
      </c>
      <c r="E63" s="300">
        <f t="shared" si="19"/>
        <v>-2555.1660397017768</v>
      </c>
      <c r="F63" s="300">
        <f t="shared" si="19"/>
        <v>-3933.939922167694</v>
      </c>
      <c r="G63" s="300">
        <f t="shared" si="19"/>
        <v>-2705.1387830733547</v>
      </c>
      <c r="H63" s="300">
        <f t="shared" si="19"/>
        <v>2482.8482930005011</v>
      </c>
      <c r="I63" s="300">
        <f t="shared" si="19"/>
        <v>-1147.3244419895855</v>
      </c>
      <c r="J63" s="300">
        <f t="shared" si="19"/>
        <v>-3537.9526859708458</v>
      </c>
      <c r="K63" s="300">
        <f t="shared" si="19"/>
        <v>1089.6673174555872</v>
      </c>
      <c r="L63" s="300">
        <f t="shared" si="19"/>
        <v>1042.6611239210761</v>
      </c>
    </row>
    <row r="64" spans="1:12" hidden="1">
      <c r="B64" s="1">
        <v>1990</v>
      </c>
      <c r="C64" s="300">
        <f t="shared" si="19"/>
        <v>-5538.7753517087076</v>
      </c>
      <c r="D64" s="300">
        <f t="shared" si="19"/>
        <v>-3656.0591261688314</v>
      </c>
      <c r="E64" s="300">
        <f t="shared" si="19"/>
        <v>-2603.2450630825479</v>
      </c>
      <c r="F64" s="300">
        <f t="shared" si="19"/>
        <v>-3926.3159215828855</v>
      </c>
      <c r="G64" s="300">
        <f t="shared" si="19"/>
        <v>-2551.8903352388188</v>
      </c>
      <c r="H64" s="300">
        <f t="shared" si="19"/>
        <v>2199.9508847215184</v>
      </c>
      <c r="I64" s="300">
        <f t="shared" si="19"/>
        <v>-738.02133004493953</v>
      </c>
      <c r="J64" s="300">
        <f t="shared" si="19"/>
        <v>-2698.4219135431085</v>
      </c>
      <c r="K64" s="300">
        <f t="shared" si="19"/>
        <v>927.13550506034517</v>
      </c>
      <c r="L64" s="300">
        <f t="shared" si="19"/>
        <v>1138.1337174712789</v>
      </c>
    </row>
    <row r="65" spans="2:12" hidden="1">
      <c r="B65" s="1">
        <v>1991</v>
      </c>
      <c r="C65" s="300">
        <f t="shared" si="19"/>
        <v>-5098.0404705328328</v>
      </c>
      <c r="D65" s="300">
        <f t="shared" si="19"/>
        <v>-3370.5778676463815</v>
      </c>
      <c r="E65" s="300">
        <f t="shared" si="19"/>
        <v>-2407.8343853298538</v>
      </c>
      <c r="F65" s="300">
        <f t="shared" si="19"/>
        <v>-3613.6672231941084</v>
      </c>
      <c r="G65" s="300">
        <f t="shared" si="19"/>
        <v>-2492.4763169715188</v>
      </c>
      <c r="H65" s="300">
        <f t="shared" si="19"/>
        <v>2107.6862552297862</v>
      </c>
      <c r="I65" s="300">
        <f t="shared" si="19"/>
        <v>-869.5269416795345</v>
      </c>
      <c r="J65" s="300">
        <f t="shared" si="19"/>
        <v>-2532.2164970291487</v>
      </c>
      <c r="K65" s="300">
        <f t="shared" si="19"/>
        <v>1091.1204750988509</v>
      </c>
      <c r="L65" s="300">
        <f t="shared" si="19"/>
        <v>980.9657076182375</v>
      </c>
    </row>
    <row r="66" spans="2:12" hidden="1">
      <c r="B66" s="1">
        <v>1992</v>
      </c>
      <c r="C66" s="300">
        <f t="shared" si="19"/>
        <v>-4811.8420073673551</v>
      </c>
      <c r="D66" s="300">
        <f t="shared" si="19"/>
        <v>-3182.0078842327493</v>
      </c>
      <c r="E66" s="300">
        <f t="shared" si="19"/>
        <v>-2096.6332850026047</v>
      </c>
      <c r="F66" s="300">
        <f t="shared" si="19"/>
        <v>-3183.060858149438</v>
      </c>
      <c r="G66" s="300">
        <f t="shared" si="19"/>
        <v>-2433.1653574759657</v>
      </c>
      <c r="H66" s="300">
        <f t="shared" si="19"/>
        <v>2143.613325533559</v>
      </c>
      <c r="I66" s="300">
        <f t="shared" si="19"/>
        <v>-810.73457480609795</v>
      </c>
      <c r="J66" s="300">
        <f t="shared" si="19"/>
        <v>-2978.0347282047514</v>
      </c>
      <c r="K66" s="300">
        <f t="shared" si="19"/>
        <v>996.56100343290746</v>
      </c>
      <c r="L66" s="300">
        <f t="shared" si="19"/>
        <v>738.34209019826812</v>
      </c>
    </row>
    <row r="67" spans="2:12" hidden="1">
      <c r="B67" s="1">
        <v>1993</v>
      </c>
      <c r="C67" s="300">
        <f t="shared" si="19"/>
        <v>-4476.8378379052428</v>
      </c>
      <c r="D67" s="300">
        <f t="shared" si="19"/>
        <v>-2534.9740020335557</v>
      </c>
      <c r="E67" s="300">
        <f t="shared" si="19"/>
        <v>-1822.0546285075143</v>
      </c>
      <c r="F67" s="300">
        <f t="shared" si="19"/>
        <v>-2877.9575289826353</v>
      </c>
      <c r="G67" s="300">
        <f t="shared" si="19"/>
        <v>-2086.4793416685461</v>
      </c>
      <c r="H67" s="300">
        <f t="shared" si="19"/>
        <v>1769.4113428109049</v>
      </c>
      <c r="I67" s="300">
        <f t="shared" si="19"/>
        <v>-1075.8256272742074</v>
      </c>
      <c r="J67" s="300">
        <f t="shared" si="19"/>
        <v>-2726.231519570294</v>
      </c>
      <c r="K67" s="300">
        <f t="shared" si="19"/>
        <v>1410.2341386391236</v>
      </c>
      <c r="L67" s="300">
        <f t="shared" si="19"/>
        <v>702.51763848418705</v>
      </c>
    </row>
    <row r="68" spans="2:12" hidden="1">
      <c r="B68" s="1">
        <v>1994</v>
      </c>
      <c r="C68" s="300">
        <f t="shared" si="19"/>
        <v>-4254.8921473216742</v>
      </c>
      <c r="D68" s="300">
        <f t="shared" si="19"/>
        <v>-2779.4411530942634</v>
      </c>
      <c r="E68" s="300">
        <f t="shared" si="19"/>
        <v>-1891.5196809608533</v>
      </c>
      <c r="F68" s="300">
        <f t="shared" si="19"/>
        <v>-2741.1778060242796</v>
      </c>
      <c r="G68" s="300">
        <f t="shared" si="19"/>
        <v>-1783.2648583737064</v>
      </c>
      <c r="H68" s="300">
        <f t="shared" si="19"/>
        <v>1690.3017557457533</v>
      </c>
      <c r="I68" s="300">
        <f t="shared" si="19"/>
        <v>-944.41853641620764</v>
      </c>
      <c r="J68" s="300">
        <f t="shared" si="19"/>
        <v>-2882.4347690140567</v>
      </c>
      <c r="K68" s="300">
        <f t="shared" si="19"/>
        <v>1079.2811704423657</v>
      </c>
      <c r="L68" s="300">
        <f t="shared" si="19"/>
        <v>647.86129129380788</v>
      </c>
    </row>
    <row r="69" spans="2:12" hidden="1">
      <c r="B69" s="1">
        <v>1995</v>
      </c>
      <c r="C69" s="300">
        <f t="shared" si="19"/>
        <v>-4218.5322572295099</v>
      </c>
      <c r="D69" s="300">
        <f t="shared" si="19"/>
        <v>-2754.3857732866236</v>
      </c>
      <c r="E69" s="300">
        <f t="shared" si="19"/>
        <v>-1883.4914505892593</v>
      </c>
      <c r="F69" s="300">
        <f t="shared" si="19"/>
        <v>-2492.5708011262577</v>
      </c>
      <c r="G69" s="300">
        <f t="shared" si="19"/>
        <v>-1722.2718577544983</v>
      </c>
      <c r="H69" s="300">
        <f t="shared" si="19"/>
        <v>1579.4595769538137</v>
      </c>
      <c r="I69" s="300">
        <f t="shared" si="19"/>
        <v>-1008.3252955424105</v>
      </c>
      <c r="J69" s="300">
        <f t="shared" si="19"/>
        <v>-2241.6306299186399</v>
      </c>
      <c r="K69" s="300">
        <f t="shared" si="19"/>
        <v>1094.2246373803318</v>
      </c>
      <c r="L69" s="300">
        <f t="shared" si="19"/>
        <v>410.30927560154669</v>
      </c>
    </row>
    <row r="70" spans="2:12" hidden="1">
      <c r="B70" s="1">
        <v>1996</v>
      </c>
      <c r="C70" s="300">
        <f t="shared" si="19"/>
        <v>-4254.8960246854567</v>
      </c>
      <c r="D70" s="300">
        <f t="shared" si="19"/>
        <v>-2931.9402989570772</v>
      </c>
      <c r="E70" s="300">
        <f t="shared" si="19"/>
        <v>-2014.013423829907</v>
      </c>
      <c r="F70" s="300">
        <f t="shared" si="19"/>
        <v>-2412.0819266553262</v>
      </c>
      <c r="G70" s="300">
        <f t="shared" si="19"/>
        <v>-1547.6253307853731</v>
      </c>
      <c r="H70" s="300">
        <f t="shared" si="19"/>
        <v>1325.1371731575273</v>
      </c>
      <c r="I70" s="300">
        <f t="shared" si="19"/>
        <v>-585.16752096372875</v>
      </c>
      <c r="J70" s="300">
        <f t="shared" si="19"/>
        <v>-1341.4021519077178</v>
      </c>
      <c r="K70" s="300">
        <f t="shared" si="19"/>
        <v>1128.8505256641874</v>
      </c>
      <c r="L70" s="300">
        <f t="shared" si="19"/>
        <v>240.52385986374793</v>
      </c>
    </row>
    <row r="71" spans="2:12" hidden="1">
      <c r="B71" s="1">
        <v>1997</v>
      </c>
      <c r="C71" s="300">
        <f t="shared" si="19"/>
        <v>-4505.6404298535654</v>
      </c>
      <c r="D71" s="300">
        <f t="shared" si="19"/>
        <v>-2984.7549446276062</v>
      </c>
      <c r="E71" s="300">
        <f t="shared" si="19"/>
        <v>-1885.9661966811691</v>
      </c>
      <c r="F71" s="300">
        <f t="shared" si="19"/>
        <v>-2574.0318035034506</v>
      </c>
      <c r="G71" s="300">
        <f t="shared" si="19"/>
        <v>-1729.852937638796</v>
      </c>
      <c r="H71" s="300">
        <f t="shared" si="19"/>
        <v>1515.5438269239166</v>
      </c>
      <c r="I71" s="300">
        <f t="shared" si="19"/>
        <v>-1125.3259135911976</v>
      </c>
      <c r="J71" s="300">
        <f t="shared" si="19"/>
        <v>-2594.9257276812205</v>
      </c>
      <c r="K71" s="300">
        <f t="shared" si="19"/>
        <v>1781.5730428050119</v>
      </c>
      <c r="L71" s="300">
        <f t="shared" si="19"/>
        <v>88.293381686547946</v>
      </c>
    </row>
    <row r="72" spans="2:12" hidden="1">
      <c r="B72" s="1">
        <v>1998</v>
      </c>
      <c r="C72" s="300">
        <f t="shared" ref="C72:L79" si="20">C22-$B22</f>
        <v>-4390.4346127895769</v>
      </c>
      <c r="D72" s="300">
        <f t="shared" si="20"/>
        <v>-3079.5184370734933</v>
      </c>
      <c r="E72" s="300">
        <f t="shared" si="20"/>
        <v>-1650.9587535834289</v>
      </c>
      <c r="F72" s="300">
        <f t="shared" si="20"/>
        <v>-2305.5380773509023</v>
      </c>
      <c r="G72" s="300">
        <f t="shared" si="20"/>
        <v>-1912.0546208719134</v>
      </c>
      <c r="H72" s="300">
        <f t="shared" si="20"/>
        <v>1621.6718129823239</v>
      </c>
      <c r="I72" s="300">
        <f t="shared" si="20"/>
        <v>-833.55358418490141</v>
      </c>
      <c r="J72" s="300">
        <f t="shared" si="20"/>
        <v>-2422.4886353170623</v>
      </c>
      <c r="K72" s="300">
        <f t="shared" si="20"/>
        <v>1922.8570201174261</v>
      </c>
      <c r="L72" s="300">
        <f t="shared" si="20"/>
        <v>-308.15033659944675</v>
      </c>
    </row>
    <row r="73" spans="2:12" hidden="1">
      <c r="B73" s="1">
        <v>1999</v>
      </c>
      <c r="C73" s="300">
        <f t="shared" si="20"/>
        <v>-4348.2630242430423</v>
      </c>
      <c r="D73" s="300">
        <f t="shared" si="20"/>
        <v>-2937.6185714312851</v>
      </c>
      <c r="E73" s="300">
        <f t="shared" si="20"/>
        <v>-1565.5167074823439</v>
      </c>
      <c r="F73" s="300">
        <f t="shared" si="20"/>
        <v>-2163.995467101875</v>
      </c>
      <c r="G73" s="300">
        <f t="shared" si="20"/>
        <v>-1916.9586353941741</v>
      </c>
      <c r="H73" s="300">
        <f t="shared" si="20"/>
        <v>1681.9256818656322</v>
      </c>
      <c r="I73" s="300">
        <f t="shared" si="20"/>
        <v>-1139.5416004446706</v>
      </c>
      <c r="J73" s="300">
        <f t="shared" si="20"/>
        <v>-2291.2130648531238</v>
      </c>
      <c r="K73" s="300">
        <f t="shared" si="20"/>
        <v>1652.0537828262059</v>
      </c>
      <c r="L73" s="300">
        <f t="shared" si="20"/>
        <v>-354.42479788970013</v>
      </c>
    </row>
    <row r="74" spans="2:12" hidden="1">
      <c r="B74" s="1">
        <v>2000</v>
      </c>
      <c r="C74" s="300">
        <f t="shared" si="20"/>
        <v>-4716.8122765077642</v>
      </c>
      <c r="D74" s="300">
        <f t="shared" si="20"/>
        <v>-3190.8092496923018</v>
      </c>
      <c r="E74" s="300">
        <f t="shared" si="20"/>
        <v>-2174.3586942674592</v>
      </c>
      <c r="F74" s="300">
        <f t="shared" si="20"/>
        <v>-2705.344964466236</v>
      </c>
      <c r="G74" s="300">
        <f t="shared" si="20"/>
        <v>-2082.4753771464239</v>
      </c>
      <c r="H74" s="300">
        <f t="shared" si="20"/>
        <v>1889.3662369262784</v>
      </c>
      <c r="I74" s="300">
        <f t="shared" si="20"/>
        <v>-1555.5522855613999</v>
      </c>
      <c r="J74" s="300">
        <f t="shared" si="20"/>
        <v>-2742.298051858641</v>
      </c>
      <c r="K74" s="300">
        <f t="shared" si="20"/>
        <v>1935.6959282698881</v>
      </c>
      <c r="L74" s="300">
        <f t="shared" si="20"/>
        <v>-544.03062690273873</v>
      </c>
    </row>
    <row r="75" spans="2:12" hidden="1">
      <c r="B75" s="1">
        <v>2001</v>
      </c>
      <c r="C75" s="300">
        <f t="shared" si="20"/>
        <v>-4299.0709815197406</v>
      </c>
      <c r="D75" s="300">
        <f t="shared" si="20"/>
        <v>-3571.4651190623808</v>
      </c>
      <c r="E75" s="300">
        <f t="shared" si="20"/>
        <v>-2176.0474885421572</v>
      </c>
      <c r="F75" s="300">
        <f t="shared" si="20"/>
        <v>-2711.6255199741245</v>
      </c>
      <c r="G75" s="300">
        <f t="shared" si="20"/>
        <v>-1958.3819384110575</v>
      </c>
      <c r="H75" s="300">
        <f t="shared" si="20"/>
        <v>1490.3122924781346</v>
      </c>
      <c r="I75" s="300">
        <f t="shared" si="20"/>
        <v>-1631.9539738479652</v>
      </c>
      <c r="J75" s="300">
        <f t="shared" si="20"/>
        <v>-3027.5569830714339</v>
      </c>
      <c r="K75" s="300">
        <f t="shared" si="20"/>
        <v>3316.4694185360422</v>
      </c>
      <c r="L75" s="300">
        <f t="shared" si="20"/>
        <v>-542.92890829532917</v>
      </c>
    </row>
    <row r="76" spans="2:12" hidden="1">
      <c r="B76" s="1">
        <v>2002</v>
      </c>
      <c r="C76" s="300">
        <f t="shared" si="20"/>
        <v>-4078.2283749720664</v>
      </c>
      <c r="D76" s="300">
        <f t="shared" si="20"/>
        <v>-3095.7684103077008</v>
      </c>
      <c r="E76" s="300">
        <f t="shared" si="20"/>
        <v>-2163.0266090278783</v>
      </c>
      <c r="F76" s="300">
        <f t="shared" si="20"/>
        <v>-2810.9951293637205</v>
      </c>
      <c r="G76" s="300">
        <f t="shared" si="20"/>
        <v>-1725.081643189078</v>
      </c>
      <c r="H76" s="300">
        <f t="shared" si="20"/>
        <v>1366.4922719330607</v>
      </c>
      <c r="I76" s="300">
        <f t="shared" si="20"/>
        <v>-1663.0554999455671</v>
      </c>
      <c r="J76" s="300">
        <f t="shared" si="20"/>
        <v>-3024.7654015520602</v>
      </c>
      <c r="K76" s="300">
        <f t="shared" si="20"/>
        <v>2901.5100886163382</v>
      </c>
      <c r="L76" s="300">
        <f t="shared" si="20"/>
        <v>-516.99925148805414</v>
      </c>
    </row>
    <row r="77" spans="2:12" hidden="1">
      <c r="B77" s="1">
        <v>2003</v>
      </c>
      <c r="C77" s="300">
        <f t="shared" si="20"/>
        <v>-3891.6570227218726</v>
      </c>
      <c r="D77" s="300">
        <f t="shared" si="20"/>
        <v>-3653.6036857327636</v>
      </c>
      <c r="E77" s="300">
        <f t="shared" si="20"/>
        <v>-2441.7129167027269</v>
      </c>
      <c r="F77" s="300">
        <f t="shared" si="20"/>
        <v>-2765.3209454249663</v>
      </c>
      <c r="G77" s="300">
        <f t="shared" si="20"/>
        <v>-1521.5552966834366</v>
      </c>
      <c r="H77" s="300">
        <f t="shared" si="20"/>
        <v>1254.5125032824617</v>
      </c>
      <c r="I77" s="300">
        <f t="shared" si="20"/>
        <v>-1799.334317946028</v>
      </c>
      <c r="J77" s="300">
        <f t="shared" si="20"/>
        <v>-2532.7713503487903</v>
      </c>
      <c r="K77" s="300">
        <f t="shared" si="20"/>
        <v>2811.2474035560808</v>
      </c>
      <c r="L77" s="300">
        <f t="shared" si="20"/>
        <v>-533.89921123109889</v>
      </c>
    </row>
    <row r="78" spans="2:12" hidden="1">
      <c r="B78" s="1">
        <v>2004</v>
      </c>
      <c r="C78" s="300">
        <f t="shared" si="20"/>
        <v>-4278.6972860408714</v>
      </c>
      <c r="D78" s="300">
        <f t="shared" si="20"/>
        <v>-4100.1708820307504</v>
      </c>
      <c r="E78" s="300">
        <f t="shared" si="20"/>
        <v>-2608.8139240599521</v>
      </c>
      <c r="F78" s="300">
        <f t="shared" si="20"/>
        <v>-2753.9388499853449</v>
      </c>
      <c r="G78" s="300">
        <f t="shared" si="20"/>
        <v>-1773.0603797438416</v>
      </c>
      <c r="H78" s="300">
        <f t="shared" si="20"/>
        <v>1116.7164204669862</v>
      </c>
      <c r="I78" s="300">
        <f t="shared" si="20"/>
        <v>-1884.6382311048583</v>
      </c>
      <c r="J78" s="300">
        <f t="shared" si="20"/>
        <v>-1925.7844367451435</v>
      </c>
      <c r="K78" s="300">
        <f t="shared" si="20"/>
        <v>3743.6945954244875</v>
      </c>
      <c r="L78" s="300">
        <f t="shared" si="20"/>
        <v>-428.51211969331416</v>
      </c>
    </row>
    <row r="79" spans="2:12" hidden="1">
      <c r="B79" s="1">
        <v>2005</v>
      </c>
      <c r="C79" s="300">
        <f t="shared" si="20"/>
        <v>-4418.6427455514167</v>
      </c>
      <c r="D79" s="300">
        <f t="shared" si="20"/>
        <v>-4373.17460701249</v>
      </c>
      <c r="E79" s="300">
        <f t="shared" si="20"/>
        <v>-2573.4978929404606</v>
      </c>
      <c r="F79" s="300">
        <f t="shared" si="20"/>
        <v>-2884.994828834886</v>
      </c>
      <c r="G79" s="300">
        <f t="shared" si="20"/>
        <v>-1986.3838907788158</v>
      </c>
      <c r="H79" s="300">
        <f t="shared" si="20"/>
        <v>940.5084325580865</v>
      </c>
      <c r="I79" s="300">
        <f t="shared" si="20"/>
        <v>-2241.4024281157544</v>
      </c>
      <c r="J79" s="300">
        <f t="shared" si="20"/>
        <v>-2380.6686084681787</v>
      </c>
      <c r="K79" s="300">
        <f t="shared" si="20"/>
        <v>4847.3827068862556</v>
      </c>
      <c r="L79" s="300">
        <f t="shared" si="20"/>
        <v>-276.0525302515307</v>
      </c>
    </row>
    <row r="80" spans="2:12" hidden="1"/>
    <row r="81" spans="2:12" hidden="1">
      <c r="B81" s="1" t="s">
        <v>280</v>
      </c>
    </row>
    <row r="82" spans="2:12" hidden="1">
      <c r="B82" s="1">
        <v>1981</v>
      </c>
      <c r="C82" s="300">
        <f>C55^2</f>
        <v>43519384.725972041</v>
      </c>
      <c r="D82" s="300">
        <f t="shared" ref="D82:L82" si="21">D55^2</f>
        <v>25899509.184453744</v>
      </c>
      <c r="E82" s="300">
        <f t="shared" si="21"/>
        <v>9972447.3640449662</v>
      </c>
      <c r="F82" s="300">
        <f t="shared" si="21"/>
        <v>24266543.469159357</v>
      </c>
      <c r="G82" s="300">
        <f t="shared" si="21"/>
        <v>6016171.3877394134</v>
      </c>
      <c r="H82" s="300">
        <f t="shared" si="21"/>
        <v>2718896.0253762458</v>
      </c>
      <c r="I82" s="300">
        <f t="shared" si="21"/>
        <v>475390.47145504656</v>
      </c>
      <c r="J82" s="300">
        <f t="shared" si="21"/>
        <v>1851487.5476511847</v>
      </c>
      <c r="K82" s="300">
        <f t="shared" si="21"/>
        <v>7399848.8889041925</v>
      </c>
      <c r="L82" s="300">
        <f t="shared" si="21"/>
        <v>5536329.6680895854</v>
      </c>
    </row>
    <row r="83" spans="2:12" hidden="1">
      <c r="B83" s="1">
        <v>1982</v>
      </c>
      <c r="C83" s="300">
        <f t="shared" ref="C83:L98" si="22">C56^2</f>
        <v>40046746.6863859</v>
      </c>
      <c r="D83" s="300">
        <f t="shared" si="22"/>
        <v>19908438.246480718</v>
      </c>
      <c r="E83" s="300">
        <f t="shared" si="22"/>
        <v>7984013.3252163576</v>
      </c>
      <c r="F83" s="300">
        <f t="shared" si="22"/>
        <v>19144128.478799246</v>
      </c>
      <c r="G83" s="300">
        <f t="shared" si="22"/>
        <v>7647484.6540669007</v>
      </c>
      <c r="H83" s="300">
        <f t="shared" si="22"/>
        <v>3880843.4318314507</v>
      </c>
      <c r="I83" s="300">
        <f t="shared" si="22"/>
        <v>20454.137291848827</v>
      </c>
      <c r="J83" s="300">
        <f t="shared" si="22"/>
        <v>571460.37290750723</v>
      </c>
      <c r="K83" s="300">
        <f t="shared" si="22"/>
        <v>3900486.7350643068</v>
      </c>
      <c r="L83" s="300">
        <f t="shared" si="22"/>
        <v>2969423.4957027216</v>
      </c>
    </row>
    <row r="84" spans="2:12" hidden="1">
      <c r="B84" s="1">
        <v>1983</v>
      </c>
      <c r="C84" s="300">
        <f t="shared" si="22"/>
        <v>39600478.890000731</v>
      </c>
      <c r="D84" s="300">
        <f t="shared" si="22"/>
        <v>14558345.773975646</v>
      </c>
      <c r="E84" s="300">
        <f t="shared" si="22"/>
        <v>6787951.8311547134</v>
      </c>
      <c r="F84" s="300">
        <f t="shared" si="22"/>
        <v>15982118.478607347</v>
      </c>
      <c r="G84" s="300">
        <f t="shared" si="22"/>
        <v>6591252.9474472869</v>
      </c>
      <c r="H84" s="300">
        <f t="shared" si="22"/>
        <v>5010864.0743672531</v>
      </c>
      <c r="I84" s="300">
        <f t="shared" si="22"/>
        <v>780589.04374759947</v>
      </c>
      <c r="J84" s="300">
        <f t="shared" si="22"/>
        <v>3154008.458079915</v>
      </c>
      <c r="K84" s="300">
        <f t="shared" si="22"/>
        <v>2543510.1262812326</v>
      </c>
      <c r="L84" s="300">
        <f t="shared" si="22"/>
        <v>1535304.0774617854</v>
      </c>
    </row>
    <row r="85" spans="2:12" hidden="1">
      <c r="B85" s="1">
        <v>1984</v>
      </c>
      <c r="C85" s="300">
        <f t="shared" si="22"/>
        <v>46523257.944623023</v>
      </c>
      <c r="D85" s="300">
        <f t="shared" si="22"/>
        <v>19084222.202276215</v>
      </c>
      <c r="E85" s="300">
        <f t="shared" si="22"/>
        <v>7261350.0864411667</v>
      </c>
      <c r="F85" s="300">
        <f t="shared" si="22"/>
        <v>17292025.358845901</v>
      </c>
      <c r="G85" s="300">
        <f t="shared" si="22"/>
        <v>5581563.9957799111</v>
      </c>
      <c r="H85" s="300">
        <f t="shared" si="22"/>
        <v>5078964.7674027756</v>
      </c>
      <c r="I85" s="300">
        <f t="shared" si="22"/>
        <v>4810.1663640783936</v>
      </c>
      <c r="J85" s="300">
        <f t="shared" si="22"/>
        <v>3631016.8847577781</v>
      </c>
      <c r="K85" s="300">
        <f t="shared" si="22"/>
        <v>1555043.5044895851</v>
      </c>
      <c r="L85" s="300">
        <f t="shared" si="22"/>
        <v>526294.35966085678</v>
      </c>
    </row>
    <row r="86" spans="2:12" hidden="1">
      <c r="B86" s="1">
        <v>1985</v>
      </c>
      <c r="C86" s="300">
        <f t="shared" si="22"/>
        <v>49819337.823837079</v>
      </c>
      <c r="D86" s="300">
        <f t="shared" si="22"/>
        <v>23330162.855144288</v>
      </c>
      <c r="E86" s="300">
        <f t="shared" si="22"/>
        <v>7377121.8010441717</v>
      </c>
      <c r="F86" s="300">
        <f t="shared" si="22"/>
        <v>19769723.646402337</v>
      </c>
      <c r="G86" s="300">
        <f t="shared" si="22"/>
        <v>6677866.8589521777</v>
      </c>
      <c r="H86" s="300">
        <f t="shared" si="22"/>
        <v>5046602.3277430711</v>
      </c>
      <c r="I86" s="300">
        <f t="shared" si="22"/>
        <v>36364.996231426485</v>
      </c>
      <c r="J86" s="300">
        <f t="shared" si="22"/>
        <v>4070489.0724880295</v>
      </c>
      <c r="K86" s="300">
        <f t="shared" si="22"/>
        <v>4970020.2692325143</v>
      </c>
      <c r="L86" s="300">
        <f t="shared" si="22"/>
        <v>305329.69683208951</v>
      </c>
    </row>
    <row r="87" spans="2:12" hidden="1">
      <c r="B87" s="1">
        <v>1986</v>
      </c>
      <c r="C87" s="300">
        <f t="shared" si="22"/>
        <v>44877365.675121337</v>
      </c>
      <c r="D87" s="300">
        <f t="shared" si="22"/>
        <v>13643935.959449761</v>
      </c>
      <c r="E87" s="300">
        <f t="shared" si="22"/>
        <v>7173413.7649589349</v>
      </c>
      <c r="F87" s="300">
        <f t="shared" si="22"/>
        <v>16259124.255370934</v>
      </c>
      <c r="G87" s="300">
        <f t="shared" si="22"/>
        <v>6755498.7533615641</v>
      </c>
      <c r="H87" s="300">
        <f t="shared" si="22"/>
        <v>5253255.6855996326</v>
      </c>
      <c r="I87" s="300">
        <f t="shared" si="22"/>
        <v>21800.886574530796</v>
      </c>
      <c r="J87" s="300">
        <f t="shared" si="22"/>
        <v>604160.55789577891</v>
      </c>
      <c r="K87" s="300">
        <f t="shared" si="22"/>
        <v>2740923.3977333331</v>
      </c>
      <c r="L87" s="300">
        <f t="shared" si="22"/>
        <v>137427.07170350244</v>
      </c>
    </row>
    <row r="88" spans="2:12" hidden="1">
      <c r="B88" s="1">
        <v>1987</v>
      </c>
      <c r="C88" s="300">
        <f t="shared" si="22"/>
        <v>35406879.733199656</v>
      </c>
      <c r="D88" s="300">
        <f t="shared" si="22"/>
        <v>13547016.661411729</v>
      </c>
      <c r="E88" s="300">
        <f t="shared" si="22"/>
        <v>5901976.8466982218</v>
      </c>
      <c r="F88" s="300">
        <f t="shared" si="22"/>
        <v>13761029.856757812</v>
      </c>
      <c r="G88" s="300">
        <f t="shared" si="22"/>
        <v>5984800.1004583761</v>
      </c>
      <c r="H88" s="300">
        <f t="shared" si="22"/>
        <v>6285689.368736282</v>
      </c>
      <c r="I88" s="300">
        <f t="shared" si="22"/>
        <v>331601.52463939006</v>
      </c>
      <c r="J88" s="300">
        <f t="shared" si="22"/>
        <v>9384951.0397750214</v>
      </c>
      <c r="K88" s="300">
        <f t="shared" si="22"/>
        <v>604731.99934817571</v>
      </c>
      <c r="L88" s="300">
        <f t="shared" si="22"/>
        <v>405415.04433196812</v>
      </c>
    </row>
    <row r="89" spans="2:12" hidden="1">
      <c r="B89" s="1">
        <v>1988</v>
      </c>
      <c r="C89" s="300">
        <f t="shared" si="22"/>
        <v>35017462.051062196</v>
      </c>
      <c r="D89" s="300">
        <f t="shared" si="22"/>
        <v>12646087.190348269</v>
      </c>
      <c r="E89" s="300">
        <f t="shared" si="22"/>
        <v>6605427.2509239223</v>
      </c>
      <c r="F89" s="300">
        <f t="shared" si="22"/>
        <v>14642533.582824113</v>
      </c>
      <c r="G89" s="300">
        <f t="shared" si="22"/>
        <v>7179114.8934724936</v>
      </c>
      <c r="H89" s="300">
        <f t="shared" si="22"/>
        <v>6501675.8788632024</v>
      </c>
      <c r="I89" s="300">
        <f t="shared" si="22"/>
        <v>832191.97124999133</v>
      </c>
      <c r="J89" s="300">
        <f t="shared" si="22"/>
        <v>10339813.506086946</v>
      </c>
      <c r="K89" s="300">
        <f t="shared" si="22"/>
        <v>1627591.2618768737</v>
      </c>
      <c r="L89" s="300">
        <f t="shared" si="22"/>
        <v>416524.93003827165</v>
      </c>
    </row>
    <row r="90" spans="2:12" hidden="1">
      <c r="B90" s="1">
        <v>1989</v>
      </c>
      <c r="C90" s="300">
        <f t="shared" si="22"/>
        <v>35804003.445745632</v>
      </c>
      <c r="D90" s="300">
        <f t="shared" si="22"/>
        <v>14449591.584167767</v>
      </c>
      <c r="E90" s="300">
        <f t="shared" si="22"/>
        <v>6528873.4904452618</v>
      </c>
      <c r="F90" s="300">
        <f t="shared" si="22"/>
        <v>15475883.311224762</v>
      </c>
      <c r="G90" s="300">
        <f t="shared" si="22"/>
        <v>7317775.8356875908</v>
      </c>
      <c r="H90" s="300">
        <f t="shared" si="22"/>
        <v>6164535.6460555028</v>
      </c>
      <c r="I90" s="300">
        <f t="shared" si="22"/>
        <v>1316353.3751867136</v>
      </c>
      <c r="J90" s="300">
        <f t="shared" si="22"/>
        <v>12517109.208168322</v>
      </c>
      <c r="K90" s="300">
        <f t="shared" si="22"/>
        <v>1187374.8627308554</v>
      </c>
      <c r="L90" s="300">
        <f t="shared" si="22"/>
        <v>1087142.2193363616</v>
      </c>
    </row>
    <row r="91" spans="2:12" hidden="1">
      <c r="B91" s="1">
        <v>1990</v>
      </c>
      <c r="C91" s="300">
        <f t="shared" si="22"/>
        <v>30678032.396695919</v>
      </c>
      <c r="D91" s="300">
        <f t="shared" si="22"/>
        <v>13366768.3340424</v>
      </c>
      <c r="E91" s="300">
        <f t="shared" si="22"/>
        <v>6776884.858463659</v>
      </c>
      <c r="F91" s="300">
        <f t="shared" si="22"/>
        <v>15415956.716075264</v>
      </c>
      <c r="G91" s="300">
        <f t="shared" si="22"/>
        <v>6512144.2830852913</v>
      </c>
      <c r="H91" s="300">
        <f t="shared" si="22"/>
        <v>4839783.8951869914</v>
      </c>
      <c r="I91" s="300">
        <f t="shared" si="22"/>
        <v>544675.48360130156</v>
      </c>
      <c r="J91" s="300">
        <f t="shared" si="22"/>
        <v>7281480.8234896511</v>
      </c>
      <c r="K91" s="300">
        <f t="shared" si="22"/>
        <v>859580.2447435013</v>
      </c>
      <c r="L91" s="300">
        <f t="shared" si="22"/>
        <v>1295348.3588449929</v>
      </c>
    </row>
    <row r="92" spans="2:12" hidden="1">
      <c r="B92" s="1">
        <v>1991</v>
      </c>
      <c r="C92" s="300">
        <f t="shared" si="22"/>
        <v>25990016.639190629</v>
      </c>
      <c r="D92" s="300">
        <f t="shared" si="22"/>
        <v>11360795.161867628</v>
      </c>
      <c r="E92" s="300">
        <f t="shared" si="22"/>
        <v>5797666.427176795</v>
      </c>
      <c r="F92" s="300">
        <f t="shared" si="22"/>
        <v>13058590.799987419</v>
      </c>
      <c r="G92" s="300">
        <f t="shared" si="22"/>
        <v>6212438.1906639067</v>
      </c>
      <c r="H92" s="300">
        <f t="shared" si="22"/>
        <v>4442341.3504845593</v>
      </c>
      <c r="I92" s="300">
        <f t="shared" si="22"/>
        <v>756077.10230656457</v>
      </c>
      <c r="J92" s="300">
        <f t="shared" si="22"/>
        <v>6412120.3878265731</v>
      </c>
      <c r="K92" s="300">
        <f t="shared" si="22"/>
        <v>1190543.8911799421</v>
      </c>
      <c r="L92" s="300">
        <f t="shared" si="22"/>
        <v>962293.71952294942</v>
      </c>
    </row>
    <row r="93" spans="2:12" hidden="1">
      <c r="B93" s="1">
        <v>1992</v>
      </c>
      <c r="C93" s="300">
        <f t="shared" si="22"/>
        <v>23153823.503865097</v>
      </c>
      <c r="D93" s="300">
        <f t="shared" si="22"/>
        <v>10125174.175319377</v>
      </c>
      <c r="E93" s="300">
        <f t="shared" si="22"/>
        <v>4395871.1317808134</v>
      </c>
      <c r="F93" s="300">
        <f t="shared" si="22"/>
        <v>10131876.426683037</v>
      </c>
      <c r="G93" s="300">
        <f t="shared" si="22"/>
        <v>5920293.6568211438</v>
      </c>
      <c r="H93" s="300">
        <f t="shared" si="22"/>
        <v>4595078.089405044</v>
      </c>
      <c r="I93" s="300">
        <f t="shared" si="22"/>
        <v>657290.55078602443</v>
      </c>
      <c r="J93" s="300">
        <f t="shared" si="22"/>
        <v>8868690.8423935473</v>
      </c>
      <c r="K93" s="300">
        <f t="shared" si="22"/>
        <v>993133.83356320334</v>
      </c>
      <c r="L93" s="300">
        <f t="shared" si="22"/>
        <v>545149.04215834755</v>
      </c>
    </row>
    <row r="94" spans="2:12" hidden="1">
      <c r="B94" s="1">
        <v>1993</v>
      </c>
      <c r="C94" s="300">
        <f t="shared" si="22"/>
        <v>20042077.02690009</v>
      </c>
      <c r="D94" s="300">
        <f t="shared" si="22"/>
        <v>6426093.1909860214</v>
      </c>
      <c r="E94" s="300">
        <f t="shared" si="22"/>
        <v>3319883.0692656557</v>
      </c>
      <c r="F94" s="300">
        <f t="shared" si="22"/>
        <v>8282639.5386278359</v>
      </c>
      <c r="G94" s="300">
        <f t="shared" si="22"/>
        <v>4353396.0432096096</v>
      </c>
      <c r="H94" s="300">
        <f t="shared" si="22"/>
        <v>3130816.5000678897</v>
      </c>
      <c r="I94" s="300">
        <f t="shared" si="22"/>
        <v>1157400.7802999418</v>
      </c>
      <c r="J94" s="300">
        <f t="shared" si="22"/>
        <v>7432338.2982985545</v>
      </c>
      <c r="K94" s="300">
        <f t="shared" si="22"/>
        <v>1988760.3257832308</v>
      </c>
      <c r="L94" s="300">
        <f t="shared" si="22"/>
        <v>493531.03238139895</v>
      </c>
    </row>
    <row r="95" spans="2:12" hidden="1">
      <c r="B95" s="1">
        <v>1994</v>
      </c>
      <c r="C95" s="300">
        <f t="shared" si="22"/>
        <v>18104107.185339648</v>
      </c>
      <c r="D95" s="300">
        <f t="shared" si="22"/>
        <v>7725293.1235139687</v>
      </c>
      <c r="E95" s="300">
        <f t="shared" si="22"/>
        <v>3577846.7034622482</v>
      </c>
      <c r="F95" s="300">
        <f t="shared" si="22"/>
        <v>7514055.7642400833</v>
      </c>
      <c r="G95" s="300">
        <f t="shared" si="22"/>
        <v>3180033.5551105952</v>
      </c>
      <c r="H95" s="300">
        <f t="shared" si="22"/>
        <v>2857120.0254771765</v>
      </c>
      <c r="I95" s="300">
        <f t="shared" si="22"/>
        <v>891926.37192653178</v>
      </c>
      <c r="J95" s="300">
        <f t="shared" si="22"/>
        <v>8308430.1976211183</v>
      </c>
      <c r="K95" s="300">
        <f t="shared" si="22"/>
        <v>1164847.8448714428</v>
      </c>
      <c r="L95" s="300">
        <f t="shared" si="22"/>
        <v>419724.25275688019</v>
      </c>
    </row>
    <row r="96" spans="2:12" hidden="1">
      <c r="B96" s="1">
        <v>1995</v>
      </c>
      <c r="C96" s="300">
        <f t="shared" si="22"/>
        <v>17796014.405285902</v>
      </c>
      <c r="D96" s="300">
        <f t="shared" si="22"/>
        <v>7586640.9880837509</v>
      </c>
      <c r="E96" s="300">
        <f t="shared" si="22"/>
        <v>3547540.0444428325</v>
      </c>
      <c r="F96" s="300">
        <f t="shared" si="22"/>
        <v>6212909.1986271944</v>
      </c>
      <c r="G96" s="300">
        <f t="shared" si="22"/>
        <v>2966220.3520131311</v>
      </c>
      <c r="H96" s="300">
        <f t="shared" si="22"/>
        <v>2494692.55523112</v>
      </c>
      <c r="I96" s="300">
        <f t="shared" si="22"/>
        <v>1016719.9016306894</v>
      </c>
      <c r="J96" s="300">
        <f t="shared" si="22"/>
        <v>5024907.8809894379</v>
      </c>
      <c r="K96" s="300">
        <f t="shared" si="22"/>
        <v>1197327.5570501187</v>
      </c>
      <c r="L96" s="300">
        <f t="shared" si="22"/>
        <v>168353.701644666</v>
      </c>
    </row>
    <row r="97" spans="2:12" hidden="1">
      <c r="B97" s="1">
        <v>1996</v>
      </c>
      <c r="C97" s="300">
        <f t="shared" si="22"/>
        <v>18104140.180884104</v>
      </c>
      <c r="D97" s="300">
        <f t="shared" si="22"/>
        <v>8596273.9166485146</v>
      </c>
      <c r="E97" s="300">
        <f t="shared" si="22"/>
        <v>4056250.0713670645</v>
      </c>
      <c r="F97" s="300">
        <f t="shared" si="22"/>
        <v>5818139.2208972704</v>
      </c>
      <c r="G97" s="300">
        <f t="shared" si="22"/>
        <v>2395144.1644885354</v>
      </c>
      <c r="H97" s="300">
        <f t="shared" si="22"/>
        <v>1755988.5276839226</v>
      </c>
      <c r="I97" s="300">
        <f t="shared" si="22"/>
        <v>342421.02759083593</v>
      </c>
      <c r="J97" s="300">
        <f t="shared" si="22"/>
        <v>1799359.733142656</v>
      </c>
      <c r="K97" s="300">
        <f t="shared" si="22"/>
        <v>1274303.5092923122</v>
      </c>
      <c r="L97" s="300">
        <f t="shared" si="22"/>
        <v>57851.727163755852</v>
      </c>
    </row>
    <row r="98" spans="2:12" hidden="1">
      <c r="B98" s="1">
        <v>1997</v>
      </c>
      <c r="C98" s="300">
        <f t="shared" si="22"/>
        <v>20300795.683131021</v>
      </c>
      <c r="D98" s="300">
        <f t="shared" si="22"/>
        <v>8908762.0794789437</v>
      </c>
      <c r="E98" s="300">
        <f t="shared" si="22"/>
        <v>3556868.4950240343</v>
      </c>
      <c r="F98" s="300">
        <f t="shared" si="22"/>
        <v>6625639.7254472263</v>
      </c>
      <c r="G98" s="300">
        <f t="shared" si="22"/>
        <v>2992391.1858575721</v>
      </c>
      <c r="H98" s="300">
        <f t="shared" si="22"/>
        <v>2296873.0913271904</v>
      </c>
      <c r="I98" s="300">
        <f t="shared" si="22"/>
        <v>1266358.4117998634</v>
      </c>
      <c r="J98" s="300">
        <f t="shared" si="22"/>
        <v>6733639.5321819112</v>
      </c>
      <c r="K98" s="300">
        <f t="shared" si="22"/>
        <v>3174002.5068495087</v>
      </c>
      <c r="L98" s="300">
        <f t="shared" si="22"/>
        <v>7795.7212496464399</v>
      </c>
    </row>
    <row r="99" spans="2:12" hidden="1">
      <c r="B99" s="1">
        <v>1998</v>
      </c>
      <c r="C99" s="300">
        <f t="shared" ref="C99:L106" si="23">C72^2</f>
        <v>19275916.089180764</v>
      </c>
      <c r="D99" s="300">
        <f t="shared" si="23"/>
        <v>9483433.8042755704</v>
      </c>
      <c r="E99" s="300">
        <f t="shared" si="23"/>
        <v>2725664.8060337491</v>
      </c>
      <c r="F99" s="300">
        <f t="shared" si="23"/>
        <v>5315505.8261148948</v>
      </c>
      <c r="G99" s="300">
        <f t="shared" si="23"/>
        <v>3655952.8731976361</v>
      </c>
      <c r="H99" s="300">
        <f t="shared" si="23"/>
        <v>2629819.4690213772</v>
      </c>
      <c r="I99" s="300">
        <f t="shared" si="23"/>
        <v>694811.57770749554</v>
      </c>
      <c r="J99" s="300">
        <f t="shared" si="23"/>
        <v>5868451.1882403232</v>
      </c>
      <c r="K99" s="300">
        <f t="shared" si="23"/>
        <v>3697379.1198148676</v>
      </c>
      <c r="L99" s="300">
        <f t="shared" si="23"/>
        <v>94956.629946352332</v>
      </c>
    </row>
    <row r="100" spans="2:12" hidden="1">
      <c r="B100" s="1">
        <v>1999</v>
      </c>
      <c r="C100" s="300">
        <f t="shared" si="23"/>
        <v>18907391.327999249</v>
      </c>
      <c r="D100" s="300">
        <f t="shared" si="23"/>
        <v>8629602.8712179847</v>
      </c>
      <c r="E100" s="300">
        <f t="shared" si="23"/>
        <v>2450842.5614063586</v>
      </c>
      <c r="F100" s="300">
        <f t="shared" si="23"/>
        <v>4682876.3816374624</v>
      </c>
      <c r="G100" s="300">
        <f t="shared" si="23"/>
        <v>3674730.4098122939</v>
      </c>
      <c r="H100" s="300">
        <f t="shared" si="23"/>
        <v>2828873.999319172</v>
      </c>
      <c r="I100" s="300">
        <f t="shared" si="23"/>
        <v>1298555.0591440015</v>
      </c>
      <c r="J100" s="300">
        <f t="shared" si="23"/>
        <v>5249657.3085536445</v>
      </c>
      <c r="K100" s="300">
        <f t="shared" si="23"/>
        <v>2729281.7013503765</v>
      </c>
      <c r="L100" s="300">
        <f t="shared" si="23"/>
        <v>125616.93735915479</v>
      </c>
    </row>
    <row r="101" spans="2:12" hidden="1">
      <c r="B101" s="1">
        <v>2000</v>
      </c>
      <c r="C101" s="300">
        <f t="shared" si="23"/>
        <v>22248318.051814359</v>
      </c>
      <c r="D101" s="300">
        <f t="shared" si="23"/>
        <v>10181263.667921949</v>
      </c>
      <c r="E101" s="300">
        <f t="shared" si="23"/>
        <v>4727835.7313364903</v>
      </c>
      <c r="F101" s="300">
        <f t="shared" si="23"/>
        <v>7318891.3767628195</v>
      </c>
      <c r="G101" s="300">
        <f t="shared" si="23"/>
        <v>4336703.6964211399</v>
      </c>
      <c r="H101" s="300">
        <f t="shared" si="23"/>
        <v>3569704.777236966</v>
      </c>
      <c r="I101" s="300">
        <f t="shared" si="23"/>
        <v>2419742.9131152951</v>
      </c>
      <c r="J101" s="300">
        <f t="shared" si="23"/>
        <v>7520198.6052276976</v>
      </c>
      <c r="K101" s="300">
        <f t="shared" si="23"/>
        <v>3746918.7267206237</v>
      </c>
      <c r="L101" s="300">
        <f t="shared" si="23"/>
        <v>295969.32300818688</v>
      </c>
    </row>
    <row r="102" spans="2:12" hidden="1">
      <c r="B102" s="1">
        <v>2001</v>
      </c>
      <c r="C102" s="300">
        <f t="shared" si="23"/>
        <v>18482011.304145105</v>
      </c>
      <c r="D102" s="300">
        <f t="shared" si="23"/>
        <v>12755363.096679267</v>
      </c>
      <c r="E102" s="300">
        <f t="shared" si="23"/>
        <v>4735182.6723906295</v>
      </c>
      <c r="F102" s="300">
        <f t="shared" si="23"/>
        <v>7352912.9605749408</v>
      </c>
      <c r="G102" s="300">
        <f t="shared" si="23"/>
        <v>3835259.8166946508</v>
      </c>
      <c r="H102" s="300">
        <f t="shared" si="23"/>
        <v>2221030.729111433</v>
      </c>
      <c r="I102" s="300">
        <f t="shared" si="23"/>
        <v>2663273.7727581654</v>
      </c>
      <c r="J102" s="300">
        <f t="shared" si="23"/>
        <v>9166101.2857446037</v>
      </c>
      <c r="K102" s="300">
        <f t="shared" si="23"/>
        <v>10998969.404084794</v>
      </c>
      <c r="L102" s="300">
        <f t="shared" si="23"/>
        <v>294771.79946275795</v>
      </c>
    </row>
    <row r="103" spans="2:12" hidden="1">
      <c r="B103" s="1">
        <v>2002</v>
      </c>
      <c r="C103" s="300">
        <f t="shared" si="23"/>
        <v>16631946.678427301</v>
      </c>
      <c r="D103" s="300">
        <f t="shared" si="23"/>
        <v>9583782.0502590686</v>
      </c>
      <c r="E103" s="300">
        <f t="shared" si="23"/>
        <v>4678684.1113626417</v>
      </c>
      <c r="F103" s="300">
        <f t="shared" si="23"/>
        <v>7901693.6173065593</v>
      </c>
      <c r="G103" s="300">
        <f t="shared" si="23"/>
        <v>2975906.6756679295</v>
      </c>
      <c r="H103" s="300">
        <f t="shared" si="23"/>
        <v>1867301.1292527779</v>
      </c>
      <c r="I103" s="300">
        <f t="shared" si="23"/>
        <v>2765753.5958992001</v>
      </c>
      <c r="J103" s="300">
        <f t="shared" si="23"/>
        <v>9149205.734426396</v>
      </c>
      <c r="K103" s="300">
        <f t="shared" si="23"/>
        <v>8418760.7943423912</v>
      </c>
      <c r="L103" s="300">
        <f t="shared" si="23"/>
        <v>267288.22603920824</v>
      </c>
    </row>
    <row r="104" spans="2:12" hidden="1">
      <c r="B104" s="1">
        <v>2003</v>
      </c>
      <c r="C104" s="300">
        <f t="shared" si="23"/>
        <v>15144994.38250047</v>
      </c>
      <c r="D104" s="300">
        <f t="shared" si="23"/>
        <v>13348819.892400034</v>
      </c>
      <c r="E104" s="300">
        <f t="shared" si="23"/>
        <v>5961961.9675929379</v>
      </c>
      <c r="F104" s="300">
        <f t="shared" si="23"/>
        <v>7646999.9312060298</v>
      </c>
      <c r="G104" s="300">
        <f t="shared" si="23"/>
        <v>2315130.5208654208</v>
      </c>
      <c r="H104" s="300">
        <f t="shared" si="23"/>
        <v>1573801.6208920286</v>
      </c>
      <c r="I104" s="300">
        <f t="shared" si="23"/>
        <v>3237603.9877382978</v>
      </c>
      <c r="J104" s="300">
        <f t="shared" si="23"/>
        <v>6414930.7131476346</v>
      </c>
      <c r="K104" s="300">
        <f t="shared" si="23"/>
        <v>7903111.9640008062</v>
      </c>
      <c r="L104" s="300">
        <f t="shared" si="23"/>
        <v>285048.36775318952</v>
      </c>
    </row>
    <row r="105" spans="2:12" hidden="1">
      <c r="B105" s="1">
        <v>2004</v>
      </c>
      <c r="C105" s="300">
        <f t="shared" si="23"/>
        <v>18307250.465573519</v>
      </c>
      <c r="D105" s="300">
        <f t="shared" si="23"/>
        <v>16811401.261852823</v>
      </c>
      <c r="E105" s="300">
        <f t="shared" si="23"/>
        <v>6805910.0903690858</v>
      </c>
      <c r="F105" s="300">
        <f t="shared" si="23"/>
        <v>7584179.189458604</v>
      </c>
      <c r="G105" s="300">
        <f t="shared" si="23"/>
        <v>3143743.1102173757</v>
      </c>
      <c r="H105" s="300">
        <f t="shared" si="23"/>
        <v>1247055.5637405987</v>
      </c>
      <c r="I105" s="300">
        <f t="shared" si="23"/>
        <v>3551861.2621420491</v>
      </c>
      <c r="J105" s="300">
        <f t="shared" si="23"/>
        <v>3708645.6968098097</v>
      </c>
      <c r="K105" s="300">
        <f t="shared" si="23"/>
        <v>14015249.223810516</v>
      </c>
      <c r="L105" s="300">
        <f t="shared" si="23"/>
        <v>183622.6367240572</v>
      </c>
    </row>
    <row r="106" spans="2:12" hidden="1">
      <c r="B106" s="1">
        <v>2005</v>
      </c>
      <c r="C106" s="300">
        <f t="shared" si="23"/>
        <v>19524403.712814163</v>
      </c>
      <c r="D106" s="300">
        <f t="shared" si="23"/>
        <v>19124656.143418845</v>
      </c>
      <c r="E106" s="300">
        <f t="shared" si="23"/>
        <v>6622891.40496899</v>
      </c>
      <c r="F106" s="300">
        <f t="shared" si="23"/>
        <v>8323195.1624040334</v>
      </c>
      <c r="G106" s="300">
        <f t="shared" si="23"/>
        <v>3945720.9615455866</v>
      </c>
      <c r="H106" s="300">
        <f t="shared" si="23"/>
        <v>884556.11171286879</v>
      </c>
      <c r="I106" s="300">
        <f t="shared" si="23"/>
        <v>5023884.8447631998</v>
      </c>
      <c r="J106" s="300">
        <f t="shared" si="23"/>
        <v>5667583.0233458141</v>
      </c>
      <c r="K106" s="300">
        <f t="shared" si="23"/>
        <v>23497119.107019924</v>
      </c>
      <c r="L106" s="300">
        <f t="shared" si="23"/>
        <v>76204.999458272272</v>
      </c>
    </row>
  </sheetData>
  <mergeCells count="11">
    <mergeCell ref="B3:B4"/>
    <mergeCell ref="C3:C4"/>
    <mergeCell ref="D3:D4"/>
    <mergeCell ref="E3:E4"/>
    <mergeCell ref="J3:J4"/>
    <mergeCell ref="L3:L4"/>
    <mergeCell ref="F3:F4"/>
    <mergeCell ref="G3:G4"/>
    <mergeCell ref="H3:H4"/>
    <mergeCell ref="I3:I4"/>
    <mergeCell ref="K3:K4"/>
  </mergeCells>
  <phoneticPr fontId="35" type="noConversion"/>
  <pageMargins left="0.75" right="0.75" top="1" bottom="1" header="0.5" footer="0.5"/>
  <pageSetup scale="71"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sheetPr codeName="Sheet41">
    <pageSetUpPr fitToPage="1"/>
  </sheetPr>
  <dimension ref="A1:Q111"/>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5" width="8.85546875" style="1" customWidth="1"/>
    <col min="16" max="17" width="9.42578125" style="1" hidden="1" customWidth="1"/>
    <col min="18" max="16384" width="8.85546875" style="1"/>
  </cols>
  <sheetData>
    <row r="1" spans="1:17" ht="15.75">
      <c r="A1" s="3" t="s">
        <v>2113</v>
      </c>
    </row>
    <row r="2" spans="1:17">
      <c r="A2" s="4"/>
      <c r="B2" s="4"/>
    </row>
    <row r="3" spans="1:17" ht="25.5">
      <c r="A3" s="4"/>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1054"/>
      <c r="B4" s="1167"/>
      <c r="C4" s="1165"/>
      <c r="D4" s="1165"/>
      <c r="E4" s="1165"/>
      <c r="F4" s="1165"/>
      <c r="G4" s="1165"/>
      <c r="H4" s="1165"/>
      <c r="I4" s="1165"/>
      <c r="J4" s="1165"/>
      <c r="K4" s="1165"/>
      <c r="L4" s="1165"/>
      <c r="M4" s="1054"/>
      <c r="N4" s="1048" t="s">
        <v>282</v>
      </c>
      <c r="O4" s="1048" t="s">
        <v>282</v>
      </c>
      <c r="P4" s="645" t="s">
        <v>281</v>
      </c>
      <c r="Q4" s="645" t="s">
        <v>281</v>
      </c>
    </row>
    <row r="5" spans="1:17">
      <c r="A5" s="432">
        <v>1981</v>
      </c>
      <c r="B5" s="39">
        <f>'9b'!B5/'9b'!$B5*100</f>
        <v>100</v>
      </c>
      <c r="C5" s="21">
        <f>'9b'!C5/'9b'!$B5*100</f>
        <v>65.061044058378428</v>
      </c>
      <c r="D5" s="21">
        <f>'9b'!D5/'9b'!$B5*100</f>
        <v>72.437378042516897</v>
      </c>
      <c r="E5" s="21">
        <f>'9b'!E5/'9b'!$B5*100</f>
        <v>82.04760834050721</v>
      </c>
      <c r="F5" s="21">
        <f>'9b'!F5/'9b'!$B5*100</f>
        <v>75.593413334049501</v>
      </c>
      <c r="G5" s="21">
        <f>'9b'!G5/'9b'!$B5*100</f>
        <v>88.590931614100313</v>
      </c>
      <c r="H5" s="21">
        <f>'9b'!H5/'9b'!$B5*100</f>
        <v>108.30149577888663</v>
      </c>
      <c r="I5" s="21">
        <f>'9b'!I5/'9b'!$B5*100</f>
        <v>96.969512775394577</v>
      </c>
      <c r="J5" s="21">
        <f>'9b'!J5/'9b'!$B5*100</f>
        <v>95.773665021095553</v>
      </c>
      <c r="K5" s="21">
        <f>'9b'!K5/'9b'!$B5*100</f>
        <v>116.54861820143563</v>
      </c>
      <c r="L5" s="21">
        <f>'9b'!L5/'9b'!$B5*100</f>
        <v>107.18226539908677</v>
      </c>
      <c r="N5" s="19">
        <f>SUM(C84:L84)/10</f>
        <v>344.99677448533038</v>
      </c>
      <c r="O5" s="19">
        <f>SQRT(N5)</f>
        <v>18.574088792867617</v>
      </c>
      <c r="P5" s="19">
        <f>Q5^2</f>
        <v>261.28513072815377</v>
      </c>
      <c r="Q5" s="19">
        <f>STDEVP(C5:L5)</f>
        <v>16.164316587104874</v>
      </c>
    </row>
    <row r="6" spans="1:17">
      <c r="A6" s="120">
        <v>1982</v>
      </c>
      <c r="B6" s="39">
        <f>'9b'!B6/'9b'!$B6*100</f>
        <v>100</v>
      </c>
      <c r="C6" s="21">
        <f>'9b'!C6/'9b'!$B6*100</f>
        <v>66.628168365450378</v>
      </c>
      <c r="D6" s="21">
        <f>'9b'!D6/'9b'!$B6*100</f>
        <v>75.908991239116475</v>
      </c>
      <c r="E6" s="21">
        <f>'9b'!E6/'9b'!$B6*100</f>
        <v>84.55565521084101</v>
      </c>
      <c r="F6" s="21">
        <f>'9b'!F6/'9b'!$B6*100</f>
        <v>78.840818127053069</v>
      </c>
      <c r="G6" s="21">
        <f>'9b'!G6/'9b'!$B6*100</f>
        <v>86.97530246958523</v>
      </c>
      <c r="H6" s="21">
        <f>'9b'!H6/'9b'!$B6*100</f>
        <v>110.27960667979232</v>
      </c>
      <c r="I6" s="21">
        <f>'9b'!I6/'9b'!$B6*100</f>
        <v>100.1986533623421</v>
      </c>
      <c r="J6" s="21">
        <f>'9b'!J6/'9b'!$B6*100</f>
        <v>99.699072580401378</v>
      </c>
      <c r="K6" s="21">
        <f>'9b'!K6/'9b'!$B6*100</f>
        <v>112.81901106857445</v>
      </c>
      <c r="L6" s="21">
        <f>'9b'!L6/'9b'!$B6*100</f>
        <v>104.75131043776382</v>
      </c>
      <c r="N6" s="19">
        <f t="shared" ref="N6:N30" si="0">SUM(C85:L85)/10</f>
        <v>284.26396886330593</v>
      </c>
      <c r="O6" s="19">
        <f t="shared" ref="O6:O30" si="1">SQRT(N6)</f>
        <v>16.860129562470924</v>
      </c>
      <c r="P6" s="19">
        <f t="shared" ref="P6:P29" si="2">Q6^2</f>
        <v>221.31020103052722</v>
      </c>
      <c r="Q6" s="19">
        <f t="shared" ref="Q6:Q29" si="3">STDEVP(C6:L6)</f>
        <v>14.876498278510546</v>
      </c>
    </row>
    <row r="7" spans="1:17">
      <c r="A7" s="120">
        <v>1983</v>
      </c>
      <c r="B7" s="39">
        <f>'9b'!B7/'9b'!$B7*100</f>
        <v>100</v>
      </c>
      <c r="C7" s="21">
        <f>'9b'!C7/'9b'!$B7*100</f>
        <v>65.729927107094795</v>
      </c>
      <c r="D7" s="21">
        <f>'9b'!D7/'9b'!$B7*100</f>
        <v>78.892116046611633</v>
      </c>
      <c r="E7" s="21">
        <f>'9b'!E7/'9b'!$B7*100</f>
        <v>85.410783470385283</v>
      </c>
      <c r="F7" s="21">
        <f>'9b'!F7/'9b'!$B7*100</f>
        <v>79.735574344710798</v>
      </c>
      <c r="G7" s="21">
        <f>'9b'!G7/'9b'!$B7*100</f>
        <v>87.464148222642208</v>
      </c>
      <c r="H7" s="21">
        <f>'9b'!H7/'9b'!$B7*100</f>
        <v>112.13845038771811</v>
      </c>
      <c r="I7" s="21">
        <f>'9b'!I7/'9b'!$B7*100</f>
        <v>96.193084414285195</v>
      </c>
      <c r="J7" s="21">
        <f>'9b'!J7/'9b'!$B7*100</f>
        <v>93.675995608040765</v>
      </c>
      <c r="K7" s="21">
        <f>'9b'!K7/'9b'!$B7*100</f>
        <v>110.36660188097191</v>
      </c>
      <c r="L7" s="21">
        <f>'9b'!L7/'9b'!$B7*100</f>
        <v>102.54839884096934</v>
      </c>
      <c r="N7" s="19">
        <f t="shared" si="0"/>
        <v>271.6408813797953</v>
      </c>
      <c r="O7" s="19">
        <f t="shared" si="1"/>
        <v>16.481531524096763</v>
      </c>
      <c r="P7" s="19">
        <f t="shared" si="2"/>
        <v>194.47358224996484</v>
      </c>
      <c r="Q7" s="19">
        <f t="shared" si="3"/>
        <v>13.945378526593132</v>
      </c>
    </row>
    <row r="8" spans="1:17">
      <c r="A8" s="120">
        <v>1984</v>
      </c>
      <c r="B8" s="39">
        <f>'9b'!B8/'9b'!$B8*100</f>
        <v>100</v>
      </c>
      <c r="C8" s="21">
        <f>'9b'!C8/'9b'!$B8*100</f>
        <v>63.856387942650628</v>
      </c>
      <c r="D8" s="21">
        <f>'9b'!D8/'9b'!$B8*100</f>
        <v>76.6578909391868</v>
      </c>
      <c r="E8" s="21">
        <f>'9b'!E8/'9b'!$B8*100</f>
        <v>85.479095393395738</v>
      </c>
      <c r="F8" s="21">
        <f>'9b'!F8/'9b'!$B8*100</f>
        <v>79.145823537752648</v>
      </c>
      <c r="G8" s="21">
        <f>'9b'!G8/'9b'!$B8*100</f>
        <v>89.189507045941014</v>
      </c>
      <c r="H8" s="21">
        <f>'9b'!H8/'9b'!$B8*100</f>
        <v>111.87283782584336</v>
      </c>
      <c r="I8" s="21">
        <f>'9b'!I8/'9b'!$B8*100</f>
        <v>101.43989894557544</v>
      </c>
      <c r="J8" s="21">
        <f>'9b'!J8/'9b'!$B8*100</f>
        <v>93.106699155679792</v>
      </c>
      <c r="K8" s="21">
        <f>'9b'!K8/'9b'!$B8*100</f>
        <v>108.06563965347158</v>
      </c>
      <c r="L8" s="21">
        <f>'9b'!L8/'9b'!$B8*100</f>
        <v>100.22382679290538</v>
      </c>
      <c r="N8" s="19">
        <f t="shared" si="0"/>
        <v>286.94946773769078</v>
      </c>
      <c r="O8" s="19">
        <f t="shared" si="1"/>
        <v>16.939582867877554</v>
      </c>
      <c r="P8" s="19">
        <f t="shared" si="2"/>
        <v>204.20789875761952</v>
      </c>
      <c r="Q8" s="19">
        <f t="shared" si="3"/>
        <v>14.290132916023543</v>
      </c>
    </row>
    <row r="9" spans="1:17">
      <c r="A9" s="120">
        <v>1985</v>
      </c>
      <c r="B9" s="39">
        <f>'9b'!B9/'9b'!$B9*100</f>
        <v>100</v>
      </c>
      <c r="C9" s="21">
        <f>'9b'!C9/'9b'!$B9*100</f>
        <v>63.614790585961515</v>
      </c>
      <c r="D9" s="21">
        <f>'9b'!D9/'9b'!$B9*100</f>
        <v>75.140883633371615</v>
      </c>
      <c r="E9" s="21">
        <f>'9b'!E9/'9b'!$B9*100</f>
        <v>85.757657321152337</v>
      </c>
      <c r="F9" s="21">
        <f>'9b'!F9/'9b'!$B9*100</f>
        <v>77.834709471346173</v>
      </c>
      <c r="G9" s="21">
        <f>'9b'!G9/'9b'!$B9*100</f>
        <v>88.156886716628449</v>
      </c>
      <c r="H9" s="21">
        <f>'9b'!H9/'9b'!$B9*100</f>
        <v>111.68600071820001</v>
      </c>
      <c r="I9" s="21">
        <f>'9b'!I9/'9b'!$B9*100</f>
        <v>102.01721834580874</v>
      </c>
      <c r="J9" s="21">
        <f>'9b'!J9/'9b'!$B9*100</f>
        <v>92.68822355832998</v>
      </c>
      <c r="K9" s="21">
        <f>'9b'!K9/'9b'!$B9*100</f>
        <v>113.01759918237005</v>
      </c>
      <c r="L9" s="21">
        <f>'9b'!L9/'9b'!$B9*100</f>
        <v>99.384924176999164</v>
      </c>
      <c r="N9" s="19">
        <f t="shared" si="0"/>
        <v>314.01929561914142</v>
      </c>
      <c r="O9" s="19">
        <f t="shared" si="1"/>
        <v>17.720589595697469</v>
      </c>
      <c r="P9" s="19">
        <f t="shared" si="2"/>
        <v>231.7523887971451</v>
      </c>
      <c r="Q9" s="19">
        <f t="shared" si="3"/>
        <v>15.223415805828372</v>
      </c>
    </row>
    <row r="10" spans="1:17">
      <c r="A10" s="120">
        <v>1986</v>
      </c>
      <c r="B10" s="39">
        <f>'9b'!B10/'9b'!$B10*100</f>
        <v>100</v>
      </c>
      <c r="C10" s="21">
        <f>'9b'!C10/'9b'!$B10*100</f>
        <v>65.851459092893023</v>
      </c>
      <c r="D10" s="21">
        <f>'9b'!D10/'9b'!$B10*100</f>
        <v>81.656436918274508</v>
      </c>
      <c r="E10" s="21">
        <f>'9b'!E10/'9b'!$B10*100</f>
        <v>86.357192716313875</v>
      </c>
      <c r="F10" s="21">
        <f>'9b'!F10/'9b'!$B10*100</f>
        <v>80.321426926030639</v>
      </c>
      <c r="G10" s="21">
        <f>'9b'!G10/'9b'!$B10*100</f>
        <v>87.986310199578483</v>
      </c>
      <c r="H10" s="21">
        <f>'9b'!H10/'9b'!$B10*100</f>
        <v>111.57449152193691</v>
      </c>
      <c r="I10" s="21">
        <f>'9b'!I10/'9b'!$B10*100</f>
        <v>100.20392943665657</v>
      </c>
      <c r="J10" s="21">
        <f>'9b'!J10/'9b'!$B10*100</f>
        <v>98.986340531452939</v>
      </c>
      <c r="K10" s="21">
        <f>'9b'!K10/'9b'!$B10*100</f>
        <v>109.98475356677568</v>
      </c>
      <c r="L10" s="21">
        <f>'9b'!L10/'9b'!$B10*100</f>
        <v>99.049811203557482</v>
      </c>
      <c r="N10" s="19">
        <f t="shared" si="0"/>
        <v>245.59464333085279</v>
      </c>
      <c r="O10" s="19">
        <f t="shared" si="1"/>
        <v>15.671459515018146</v>
      </c>
      <c r="P10" s="19">
        <f t="shared" si="2"/>
        <v>184.71119287281647</v>
      </c>
      <c r="Q10" s="19">
        <f t="shared" si="3"/>
        <v>13.590849600846022</v>
      </c>
    </row>
    <row r="11" spans="1:17">
      <c r="A11" s="120">
        <v>1987</v>
      </c>
      <c r="B11" s="39">
        <f>'9b'!B11/'9b'!$B11*100</f>
        <v>100</v>
      </c>
      <c r="C11" s="21">
        <f>'9b'!C11/'9b'!$B11*100</f>
        <v>70.456485665165232</v>
      </c>
      <c r="D11" s="21">
        <f>'9b'!D11/'9b'!$B11*100</f>
        <v>82.134395865370195</v>
      </c>
      <c r="E11" s="21">
        <f>'9b'!E11/'9b'!$B11*100</f>
        <v>88.158553693601306</v>
      </c>
      <c r="F11" s="21">
        <f>'9b'!F11/'9b'!$B11*100</f>
        <v>82.553455095608413</v>
      </c>
      <c r="G11" s="21">
        <f>'9b'!G11/'9b'!$B11*100</f>
        <v>89.110575724841183</v>
      </c>
      <c r="H11" s="21">
        <f>'9b'!H11/'9b'!$B11*100</f>
        <v>112.23002310543716</v>
      </c>
      <c r="I11" s="21">
        <f>'9b'!I11/'9b'!$B11*100</f>
        <v>98.242132679241863</v>
      </c>
      <c r="J11" s="21">
        <f>'9b'!J11/'9b'!$B11*100</f>
        <v>86.688189488260065</v>
      </c>
      <c r="K11" s="21">
        <f>'9b'!K11/'9b'!$B11*100</f>
        <v>105.60018710044541</v>
      </c>
      <c r="L11" s="21">
        <f>'9b'!L11/'9b'!$B11*100</f>
        <v>100.90980223231736</v>
      </c>
      <c r="N11" s="19">
        <f t="shared" si="0"/>
        <v>211.72380885598932</v>
      </c>
      <c r="O11" s="19">
        <f t="shared" si="1"/>
        <v>14.550732244666909</v>
      </c>
      <c r="P11" s="19">
        <f t="shared" si="2"/>
        <v>141.30452372298458</v>
      </c>
      <c r="Q11" s="19">
        <f t="shared" si="3"/>
        <v>11.887157932953722</v>
      </c>
    </row>
    <row r="12" spans="1:17">
      <c r="A12" s="120">
        <v>1988</v>
      </c>
      <c r="B12" s="39">
        <f>'9b'!B12/'9b'!$B12*100</f>
        <v>100</v>
      </c>
      <c r="C12" s="21">
        <f>'9b'!C12/'9b'!$B12*100</f>
        <v>72.02077460080443</v>
      </c>
      <c r="D12" s="21">
        <f>'9b'!D12/'9b'!$B12*100</f>
        <v>83.750866783471452</v>
      </c>
      <c r="E12" s="21">
        <f>'9b'!E12/'9b'!$B12*100</f>
        <v>88.256851534531634</v>
      </c>
      <c r="F12" s="21">
        <f>'9b'!F12/'9b'!$B12*100</f>
        <v>82.838654460736691</v>
      </c>
      <c r="G12" s="21">
        <f>'9b'!G12/'9b'!$B12*100</f>
        <v>88.343832950206661</v>
      </c>
      <c r="H12" s="21">
        <f>'9b'!H12/'9b'!$B12*100</f>
        <v>111.83394051876635</v>
      </c>
      <c r="I12" s="21">
        <f>'9b'!I12/'9b'!$B12*100</f>
        <v>96.614986592251256</v>
      </c>
      <c r="J12" s="21">
        <f>'9b'!J12/'9b'!$B12*100</f>
        <v>85.913762131545241</v>
      </c>
      <c r="K12" s="21">
        <f>'9b'!K12/'9b'!$B12*100</f>
        <v>108.55201363662152</v>
      </c>
      <c r="L12" s="21">
        <f>'9b'!L12/'9b'!$B12*100</f>
        <v>100.64154548728639</v>
      </c>
      <c r="N12" s="19">
        <f t="shared" si="0"/>
        <v>203.86220102324404</v>
      </c>
      <c r="O12" s="19">
        <f t="shared" si="1"/>
        <v>14.278032113118531</v>
      </c>
      <c r="P12" s="19">
        <f t="shared" si="2"/>
        <v>137.8745696863229</v>
      </c>
      <c r="Q12" s="19">
        <f t="shared" si="3"/>
        <v>11.742000242136044</v>
      </c>
    </row>
    <row r="13" spans="1:17">
      <c r="A13" s="120">
        <v>1989</v>
      </c>
      <c r="B13" s="39">
        <f>'9b'!B13/'9b'!$B13*100</f>
        <v>100</v>
      </c>
      <c r="C13" s="21">
        <f>'9b'!C13/'9b'!$B13*100</f>
        <v>73.024902983873517</v>
      </c>
      <c r="D13" s="21">
        <f>'9b'!D13/'9b'!$B13*100</f>
        <v>83.710475964522985</v>
      </c>
      <c r="E13" s="21">
        <f>'9b'!E13/'9b'!$B13*100</f>
        <v>88.911581575242764</v>
      </c>
      <c r="F13" s="21">
        <f>'9b'!F13/'9b'!$B13*100</f>
        <v>82.714399936236418</v>
      </c>
      <c r="G13" s="21">
        <f>'9b'!G13/'9b'!$B13*100</f>
        <v>89.144706791279944</v>
      </c>
      <c r="H13" s="21">
        <f>'9b'!H13/'9b'!$B13*100</f>
        <v>111.02238018420667</v>
      </c>
      <c r="I13" s="21">
        <f>'9b'!I13/'9b'!$B13*100</f>
        <v>95.940526725770397</v>
      </c>
      <c r="J13" s="21">
        <f>'9b'!J13/'9b'!$B13*100</f>
        <v>85.082517663701722</v>
      </c>
      <c r="K13" s="21">
        <f>'9b'!K13/'9b'!$B13*100</f>
        <v>107.95123866225673</v>
      </c>
      <c r="L13" s="21">
        <f>'9b'!L13/'9b'!$B13*100</f>
        <v>102.37502907440808</v>
      </c>
      <c r="N13" s="19">
        <f t="shared" si="0"/>
        <v>196.19532625175796</v>
      </c>
      <c r="O13" s="19">
        <f t="shared" si="1"/>
        <v>14.006974200438792</v>
      </c>
      <c r="P13" s="19">
        <f t="shared" si="2"/>
        <v>131.99959212290707</v>
      </c>
      <c r="Q13" s="19">
        <f t="shared" si="3"/>
        <v>11.489107542490281</v>
      </c>
    </row>
    <row r="14" spans="1:17">
      <c r="A14" s="120">
        <v>1990</v>
      </c>
      <c r="B14" s="39">
        <f>'9b'!B14/'9b'!$B14*100</f>
        <v>100</v>
      </c>
      <c r="C14" s="21">
        <f>'9b'!C14/'9b'!$B14*100</f>
        <v>75.040892534245884</v>
      </c>
      <c r="D14" s="21">
        <f>'9b'!D14/'9b'!$B14*100</f>
        <v>84.215302565085565</v>
      </c>
      <c r="E14" s="21">
        <f>'9b'!E14/'9b'!$B14*100</f>
        <v>88.61101447442482</v>
      </c>
      <c r="F14" s="21">
        <f>'9b'!F14/'9b'!$B14*100</f>
        <v>82.574054563570058</v>
      </c>
      <c r="G14" s="21">
        <f>'9b'!G14/'9b'!$B14*100</f>
        <v>90.038972153649624</v>
      </c>
      <c r="H14" s="21">
        <f>'9b'!H14/'9b'!$B14*100</f>
        <v>109.58460999848076</v>
      </c>
      <c r="I14" s="21">
        <f>'9b'!I14/'9b'!$B14*100</f>
        <v>97.865097865815784</v>
      </c>
      <c r="J14" s="21">
        <f>'9b'!J14/'9b'!$B14*100</f>
        <v>88.888221693488873</v>
      </c>
      <c r="K14" s="21">
        <f>'9b'!K14/'9b'!$B14*100</f>
        <v>106.8454622835613</v>
      </c>
      <c r="L14" s="21">
        <f>'9b'!L14/'9b'!$B14*100</f>
        <v>102.93712507779975</v>
      </c>
      <c r="N14" s="19">
        <f t="shared" si="0"/>
        <v>168.0089590686693</v>
      </c>
      <c r="O14" s="19">
        <f t="shared" si="1"/>
        <v>12.961826995785328</v>
      </c>
      <c r="P14" s="19">
        <f t="shared" si="2"/>
        <v>114.13446477545423</v>
      </c>
      <c r="Q14" s="19">
        <f t="shared" si="3"/>
        <v>10.683373286348008</v>
      </c>
    </row>
    <row r="15" spans="1:17">
      <c r="A15" s="120">
        <v>1991</v>
      </c>
      <c r="B15" s="39">
        <f>'9b'!B15/'9b'!$B15*100</f>
        <v>100</v>
      </c>
      <c r="C15" s="21">
        <f>'9b'!C15/'9b'!$B15*100</f>
        <v>76.114327545111252</v>
      </c>
      <c r="D15" s="21">
        <f>'9b'!D15/'9b'!$B15*100</f>
        <v>84.313686502527318</v>
      </c>
      <c r="E15" s="21">
        <f>'9b'!E15/'9b'!$B15*100</f>
        <v>89.15425033429571</v>
      </c>
      <c r="F15" s="21">
        <f>'9b'!F15/'9b'!$B15*100</f>
        <v>83.009344593950345</v>
      </c>
      <c r="G15" s="21">
        <f>'9b'!G15/'9b'!$B15*100</f>
        <v>88.79444248051162</v>
      </c>
      <c r="H15" s="21">
        <f>'9b'!H15/'9b'!$B15*100</f>
        <v>110.1546913153139</v>
      </c>
      <c r="I15" s="21">
        <f>'9b'!I15/'9b'!$B15*100</f>
        <v>96.909077437180059</v>
      </c>
      <c r="J15" s="21">
        <f>'9b'!J15/'9b'!$B15*100</f>
        <v>89.023917751337919</v>
      </c>
      <c r="K15" s="21">
        <f>'9b'!K15/'9b'!$B15*100</f>
        <v>107.13550210494498</v>
      </c>
      <c r="L15" s="21">
        <f>'9b'!L15/'9b'!$B15*100</f>
        <v>102.95763669064738</v>
      </c>
      <c r="N15" s="19">
        <f t="shared" si="0"/>
        <v>164.12719006356298</v>
      </c>
      <c r="O15" s="19">
        <f t="shared" si="1"/>
        <v>12.81121345008204</v>
      </c>
      <c r="P15" s="19">
        <f t="shared" si="2"/>
        <v>111.66161663449836</v>
      </c>
      <c r="Q15" s="19">
        <f t="shared" si="3"/>
        <v>10.567006039295064</v>
      </c>
    </row>
    <row r="16" spans="1:17">
      <c r="A16" s="120">
        <v>1992</v>
      </c>
      <c r="B16" s="39">
        <f>'9b'!B16/'9b'!$B16*100</f>
        <v>100</v>
      </c>
      <c r="C16" s="21">
        <f>'9b'!C16/'9b'!$B16*100</f>
        <v>77.218497384737248</v>
      </c>
      <c r="D16" s="21">
        <f>'9b'!D16/'9b'!$B16*100</f>
        <v>84.860171148966074</v>
      </c>
      <c r="E16" s="21">
        <f>'9b'!E16/'9b'!$B16*100</f>
        <v>90.645050614747433</v>
      </c>
      <c r="F16" s="21">
        <f>'9b'!F16/'9b'!$B16*100</f>
        <v>85.06436576106384</v>
      </c>
      <c r="G16" s="21">
        <f>'9b'!G16/'9b'!$B16*100</f>
        <v>88.284513733641234</v>
      </c>
      <c r="H16" s="21">
        <f>'9b'!H16/'9b'!$B16*100</f>
        <v>110.79754524030977</v>
      </c>
      <c r="I16" s="21">
        <f>'9b'!I16/'9b'!$B16*100</f>
        <v>97.286164075682635</v>
      </c>
      <c r="J16" s="21">
        <f>'9b'!J16/'9b'!$B16*100</f>
        <v>86.58213835031431</v>
      </c>
      <c r="K16" s="21">
        <f>'9b'!K16/'9b'!$B16*100</f>
        <v>107.18631763548831</v>
      </c>
      <c r="L16" s="21">
        <f>'9b'!L16/'9b'!$B16*100</f>
        <v>101.48017293365356</v>
      </c>
      <c r="N16" s="19">
        <f t="shared" si="0"/>
        <v>155.38771185873918</v>
      </c>
      <c r="O16" s="19">
        <f t="shared" si="1"/>
        <v>12.465460755974453</v>
      </c>
      <c r="P16" s="19">
        <f t="shared" si="2"/>
        <v>105.55108248759994</v>
      </c>
      <c r="Q16" s="19">
        <f t="shared" si="3"/>
        <v>10.273805647743194</v>
      </c>
    </row>
    <row r="17" spans="1:17">
      <c r="A17" s="120">
        <v>1993</v>
      </c>
      <c r="B17" s="39">
        <f>'9b'!B17/'9b'!$B17*100</f>
        <v>100</v>
      </c>
      <c r="C17" s="21">
        <f>'9b'!C17/'9b'!$B17*100</f>
        <v>78.375143458296805</v>
      </c>
      <c r="D17" s="21">
        <f>'9b'!D17/'9b'!$B17*100</f>
        <v>87.548068461427164</v>
      </c>
      <c r="E17" s="21">
        <f>'9b'!E17/'9b'!$B17*100</f>
        <v>91.814938038369291</v>
      </c>
      <c r="F17" s="21">
        <f>'9b'!F17/'9b'!$B17*100</f>
        <v>86.530448733965116</v>
      </c>
      <c r="G17" s="21">
        <f>'9b'!G17/'9b'!$B17*100</f>
        <v>89.589546753573657</v>
      </c>
      <c r="H17" s="21">
        <f>'9b'!H17/'9b'!$B17*100</f>
        <v>109.54017421838695</v>
      </c>
      <c r="I17" s="21">
        <f>'9b'!I17/'9b'!$B17*100</f>
        <v>95.409789052353347</v>
      </c>
      <c r="J17" s="21">
        <f>'9b'!J17/'9b'!$B17*100</f>
        <v>87.047625644316483</v>
      </c>
      <c r="K17" s="21">
        <f>'9b'!K17/'9b'!$B17*100</f>
        <v>109.49412668973584</v>
      </c>
      <c r="L17" s="21">
        <f>'9b'!L17/'9b'!$B17*100</f>
        <v>100.58657026542895</v>
      </c>
      <c r="N17" s="19">
        <f t="shared" si="0"/>
        <v>134.98180752985311</v>
      </c>
      <c r="O17" s="19">
        <f t="shared" si="1"/>
        <v>11.618167132979845</v>
      </c>
      <c r="P17" s="19">
        <f t="shared" si="2"/>
        <v>93.940399204370351</v>
      </c>
      <c r="Q17" s="19">
        <f t="shared" si="3"/>
        <v>9.6922855511159156</v>
      </c>
    </row>
    <row r="18" spans="1:17">
      <c r="A18" s="120">
        <v>1994</v>
      </c>
      <c r="B18" s="39">
        <f>'9b'!B18/'9b'!$B18*100</f>
        <v>100</v>
      </c>
      <c r="C18" s="21">
        <f>'9b'!C18/'9b'!$B18*100</f>
        <v>78.675110663923149</v>
      </c>
      <c r="D18" s="21">
        <f>'9b'!D18/'9b'!$B18*100</f>
        <v>85.812735255154934</v>
      </c>
      <c r="E18" s="21">
        <f>'9b'!E18/'9b'!$B18*100</f>
        <v>90.633004824852904</v>
      </c>
      <c r="F18" s="21">
        <f>'9b'!F18/'9b'!$B18*100</f>
        <v>86.703023504948291</v>
      </c>
      <c r="G18" s="21">
        <f>'9b'!G18/'9b'!$B18*100</f>
        <v>91.154715851087929</v>
      </c>
      <c r="H18" s="21">
        <f>'9b'!H18/'9b'!$B18*100</f>
        <v>109.21430272813144</v>
      </c>
      <c r="I18" s="21">
        <f>'9b'!I18/'9b'!$B18*100</f>
        <v>95.244391289367613</v>
      </c>
      <c r="J18" s="21">
        <f>'9b'!J18/'9b'!$B18*100</f>
        <v>85.22618094176994</v>
      </c>
      <c r="K18" s="21">
        <f>'9b'!K18/'9b'!$B18*100</f>
        <v>107.05019803222436</v>
      </c>
      <c r="L18" s="21">
        <f>'9b'!L18/'9b'!$B18*100</f>
        <v>99.460088357618361</v>
      </c>
      <c r="N18" s="19">
        <f t="shared" si="0"/>
        <v>137.4600335747204</v>
      </c>
      <c r="O18" s="19">
        <f t="shared" si="1"/>
        <v>11.724335101604714</v>
      </c>
      <c r="P18" s="19">
        <f t="shared" si="2"/>
        <v>87.296458736748917</v>
      </c>
      <c r="Q18" s="19">
        <f t="shared" si="3"/>
        <v>9.3432573943324986</v>
      </c>
    </row>
    <row r="19" spans="1:17">
      <c r="A19" s="120">
        <v>1995</v>
      </c>
      <c r="B19" s="39">
        <f>'9b'!B19/'9b'!$B19*100</f>
        <v>100</v>
      </c>
      <c r="C19" s="21">
        <f>'9b'!C19/'9b'!$B19*100</f>
        <v>79.320157039823982</v>
      </c>
      <c r="D19" s="21">
        <f>'9b'!D19/'9b'!$B19*100</f>
        <v>86.316391442222411</v>
      </c>
      <c r="E19" s="21">
        <f>'9b'!E19/'9b'!$B19*100</f>
        <v>91.004441533405696</v>
      </c>
      <c r="F19" s="21">
        <f>'9b'!F19/'9b'!$B19*100</f>
        <v>88.329571316066009</v>
      </c>
      <c r="G19" s="21">
        <f>'9b'!G19/'9b'!$B19*100</f>
        <v>91.378314136535124</v>
      </c>
      <c r="H19" s="21">
        <f>'9b'!H19/'9b'!$B19*100</f>
        <v>108.77257955516284</v>
      </c>
      <c r="I19" s="21">
        <f>'9b'!I19/'9b'!$B19*100</f>
        <v>95.181409894564155</v>
      </c>
      <c r="J19" s="21">
        <f>'9b'!J19/'9b'!$B19*100</f>
        <v>89.208022718912375</v>
      </c>
      <c r="K19" s="21">
        <f>'9b'!K19/'9b'!$B19*100</f>
        <v>107.00085854652657</v>
      </c>
      <c r="L19" s="21">
        <f>'9b'!L19/'9b'!$B19*100</f>
        <v>98.696327829559579</v>
      </c>
      <c r="N19" s="19">
        <f t="shared" si="0"/>
        <v>117.37048107488332</v>
      </c>
      <c r="O19" s="19">
        <f t="shared" si="1"/>
        <v>10.833765784568325</v>
      </c>
      <c r="P19" s="19">
        <f t="shared" si="2"/>
        <v>75.390544343548839</v>
      </c>
      <c r="Q19" s="19">
        <f t="shared" si="3"/>
        <v>8.6827728487821698</v>
      </c>
    </row>
    <row r="20" spans="1:17">
      <c r="A20" s="120">
        <v>1996</v>
      </c>
      <c r="B20" s="39">
        <f>'9b'!B20/'9b'!$B20*100</f>
        <v>100</v>
      </c>
      <c r="C20" s="21">
        <f>'9b'!C20/'9b'!$B20*100</f>
        <v>78.731670697171523</v>
      </c>
      <c r="D20" s="21">
        <f>'9b'!D20/'9b'!$B20*100</f>
        <v>85.079033699491106</v>
      </c>
      <c r="E20" s="21">
        <f>'9b'!E20/'9b'!$B20*100</f>
        <v>89.929374245857204</v>
      </c>
      <c r="F20" s="21">
        <f>'9b'!F20/'9b'!$B20*100</f>
        <v>88.49776717963509</v>
      </c>
      <c r="G20" s="21">
        <f>'9b'!G20/'9b'!$B20*100</f>
        <v>92.16870686259503</v>
      </c>
      <c r="H20" s="21">
        <f>'9b'!H20/'9b'!$B20*100</f>
        <v>107.54522447166705</v>
      </c>
      <c r="I20" s="21">
        <f>'9b'!I20/'9b'!$B20*100</f>
        <v>96.827850633872131</v>
      </c>
      <c r="J20" s="21">
        <f>'9b'!J20/'9b'!$B20*100</f>
        <v>93.335046358929731</v>
      </c>
      <c r="K20" s="21">
        <f>'9b'!K20/'9b'!$B20*100</f>
        <v>106.83338353414602</v>
      </c>
      <c r="L20" s="21">
        <f>'9b'!L20/'9b'!$B20*100</f>
        <v>98.354625151732407</v>
      </c>
      <c r="N20" s="19">
        <f t="shared" si="0"/>
        <v>113.08420216948589</v>
      </c>
      <c r="O20" s="19">
        <f t="shared" si="1"/>
        <v>10.634105612108895</v>
      </c>
      <c r="P20" s="19">
        <f t="shared" si="2"/>
        <v>73.774666372720404</v>
      </c>
      <c r="Q20" s="19">
        <f t="shared" si="3"/>
        <v>8.5892180303401542</v>
      </c>
    </row>
    <row r="21" spans="1:17">
      <c r="A21" s="120">
        <v>1997</v>
      </c>
      <c r="B21" s="39">
        <f>'9b'!B21/'9b'!$B21*100</f>
        <v>100</v>
      </c>
      <c r="C21" s="21">
        <f>'9b'!C21/'9b'!$B21*100</f>
        <v>77.38035100497828</v>
      </c>
      <c r="D21" s="21">
        <f>'9b'!D21/'9b'!$B21*100</f>
        <v>85.120967266266021</v>
      </c>
      <c r="E21" s="21">
        <f>'9b'!E21/'9b'!$B21*100</f>
        <v>90.645182740997782</v>
      </c>
      <c r="F21" s="21">
        <f>'9b'!F21/'9b'!$B21*100</f>
        <v>87.856461341550229</v>
      </c>
      <c r="G21" s="21">
        <f>'9b'!G21/'9b'!$B21*100</f>
        <v>91.417628571794836</v>
      </c>
      <c r="H21" s="21">
        <f>'9b'!H21/'9b'!$B21*100</f>
        <v>108.20214474768248</v>
      </c>
      <c r="I21" s="21">
        <f>'9b'!I21/'9b'!$B21*100</f>
        <v>93.941891010084959</v>
      </c>
      <c r="J21" s="21">
        <f>'9b'!J21/'9b'!$B21*100</f>
        <v>87.385012011867246</v>
      </c>
      <c r="K21" s="21">
        <f>'9b'!K21/'9b'!$B21*100</f>
        <v>110.19333046249555</v>
      </c>
      <c r="L21" s="21">
        <f>'9b'!L21/'9b'!$B21*100</f>
        <v>98.275215177252974</v>
      </c>
      <c r="N21" s="19">
        <f t="shared" si="0"/>
        <v>141.16620257185531</v>
      </c>
      <c r="O21" s="19">
        <f t="shared" si="1"/>
        <v>11.881338416687546</v>
      </c>
      <c r="P21" s="19">
        <f t="shared" si="2"/>
        <v>92.749911859433624</v>
      </c>
      <c r="Q21" s="19">
        <f t="shared" si="3"/>
        <v>9.6306755660978229</v>
      </c>
    </row>
    <row r="22" spans="1:17">
      <c r="A22" s="120">
        <v>1998</v>
      </c>
      <c r="B22" s="39">
        <f>'9b'!B22/'9b'!$B22*100</f>
        <v>100</v>
      </c>
      <c r="C22" s="21">
        <f>'9b'!C22/'9b'!$B22*100</f>
        <v>78.489923727222134</v>
      </c>
      <c r="D22" s="21">
        <f>'9b'!D22/'9b'!$B22*100</f>
        <v>85.252848058380451</v>
      </c>
      <c r="E22" s="21">
        <f>'9b'!E22/'9b'!$B22*100</f>
        <v>91.996438350830473</v>
      </c>
      <c r="F22" s="21">
        <f>'9b'!F22/'9b'!$B22*100</f>
        <v>89.546545802602822</v>
      </c>
      <c r="G22" s="21">
        <f>'9b'!G22/'9b'!$B22*100</f>
        <v>90.396926445666182</v>
      </c>
      <c r="H22" s="21">
        <f>'9b'!H22/'9b'!$B22*100</f>
        <v>108.80443791502208</v>
      </c>
      <c r="I22" s="21">
        <f>'9b'!I22/'9b'!$B22*100</f>
        <v>95.072206456838728</v>
      </c>
      <c r="J22" s="21">
        <f>'9b'!J22/'9b'!$B22*100</f>
        <v>88.299095831843246</v>
      </c>
      <c r="K22" s="21">
        <f>'9b'!K22/'9b'!$B22*100</f>
        <v>110.57706152450626</v>
      </c>
      <c r="L22" s="21">
        <f>'9b'!L22/'9b'!$B22*100</f>
        <v>96.79041537549115</v>
      </c>
      <c r="N22" s="19">
        <f t="shared" si="0"/>
        <v>130.66006955799807</v>
      </c>
      <c r="O22" s="19">
        <f t="shared" si="1"/>
        <v>11.430663565952681</v>
      </c>
      <c r="P22" s="19">
        <f t="shared" si="2"/>
        <v>88.703228587134504</v>
      </c>
      <c r="Q22" s="19">
        <f t="shared" si="3"/>
        <v>9.4182391447199141</v>
      </c>
    </row>
    <row r="23" spans="1:17">
      <c r="A23" s="120">
        <v>1999</v>
      </c>
      <c r="B23" s="39">
        <f>'9b'!B23/'9b'!$B23*100</f>
        <v>100</v>
      </c>
      <c r="C23" s="21">
        <f>'9b'!C23/'9b'!$B23*100</f>
        <v>79.330163307000916</v>
      </c>
      <c r="D23" s="21">
        <f>'9b'!D23/'9b'!$B23*100</f>
        <v>86.362615295300088</v>
      </c>
      <c r="E23" s="21">
        <f>'9b'!E23/'9b'!$B23*100</f>
        <v>92.682270889197156</v>
      </c>
      <c r="F23" s="21">
        <f>'9b'!F23/'9b'!$B23*100</f>
        <v>90.373089496308324</v>
      </c>
      <c r="G23" s="21">
        <f>'9b'!G23/'9b'!$B23*100</f>
        <v>90.678377035401198</v>
      </c>
      <c r="H23" s="21">
        <f>'9b'!H23/'9b'!$B23*100</f>
        <v>108.78734001399002</v>
      </c>
      <c r="I23" s="21">
        <f>'9b'!I23/'9b'!$B23*100</f>
        <v>93.614881636730502</v>
      </c>
      <c r="J23" s="21">
        <f>'9b'!J23/'9b'!$B23*100</f>
        <v>88.900787332527699</v>
      </c>
      <c r="K23" s="21">
        <f>'9b'!K23/'9b'!$B23*100</f>
        <v>108.55161288625159</v>
      </c>
      <c r="L23" s="21">
        <f>'9b'!L23/'9b'!$B23*100</f>
        <v>96.836494622626716</v>
      </c>
      <c r="N23" s="19">
        <f t="shared" si="0"/>
        <v>117.06570824797336</v>
      </c>
      <c r="O23" s="19">
        <f t="shared" si="1"/>
        <v>10.819690764895888</v>
      </c>
      <c r="P23" s="19">
        <f t="shared" si="2"/>
        <v>76.256139493514794</v>
      </c>
      <c r="Q23" s="19">
        <f t="shared" si="3"/>
        <v>8.7324761375863371</v>
      </c>
    </row>
    <row r="24" spans="1:17">
      <c r="A24" s="120">
        <v>2000</v>
      </c>
      <c r="B24" s="39">
        <f>'9b'!B24/'9b'!$B24*100</f>
        <v>100</v>
      </c>
      <c r="C24" s="21">
        <f>'9b'!C24/'9b'!$B24*100</f>
        <v>78.438113042863748</v>
      </c>
      <c r="D24" s="21">
        <f>'9b'!D24/'9b'!$B24*100</f>
        <v>85.528479028059024</v>
      </c>
      <c r="E24" s="21">
        <f>'9b'!E24/'9b'!$B24*100</f>
        <v>90.141557443126217</v>
      </c>
      <c r="F24" s="21">
        <f>'9b'!F24/'9b'!$B24*100</f>
        <v>88.049779622547007</v>
      </c>
      <c r="G24" s="21">
        <f>'9b'!G24/'9b'!$B24*100</f>
        <v>90.374667734085918</v>
      </c>
      <c r="H24" s="21">
        <f>'9b'!H24/'9b'!$B24*100</f>
        <v>109.29909205968804</v>
      </c>
      <c r="I24" s="21">
        <f>'9b'!I24/'9b'!$B24*100</f>
        <v>91.945364711465032</v>
      </c>
      <c r="J24" s="21">
        <f>'9b'!J24/'9b'!$B24*100</f>
        <v>87.521506904059322</v>
      </c>
      <c r="K24" s="21">
        <f>'9b'!K24/'9b'!$B24*100</f>
        <v>109.29594757624947</v>
      </c>
      <c r="L24" s="21">
        <f>'9b'!L24/'9b'!$B24*100</f>
        <v>96.575289895760235</v>
      </c>
      <c r="N24" s="19">
        <f t="shared" si="0"/>
        <v>141.21898996895351</v>
      </c>
      <c r="O24" s="19">
        <f t="shared" si="1"/>
        <v>11.883559650582544</v>
      </c>
      <c r="P24" s="19">
        <f t="shared" si="2"/>
        <v>88.176606761425489</v>
      </c>
      <c r="Q24" s="19">
        <f t="shared" si="3"/>
        <v>9.3902399735803073</v>
      </c>
    </row>
    <row r="25" spans="1:17">
      <c r="A25" s="120">
        <v>2001</v>
      </c>
      <c r="B25" s="39">
        <f>'9b'!B25/'9b'!$B25*100</f>
        <v>100</v>
      </c>
      <c r="C25" s="21">
        <f>'9b'!C25/'9b'!$B25*100</f>
        <v>81.026184104982903</v>
      </c>
      <c r="D25" s="21">
        <f>'9b'!D25/'9b'!$B25*100</f>
        <v>84.018095681927832</v>
      </c>
      <c r="E25" s="21">
        <f>'9b'!E25/'9b'!$B25*100</f>
        <v>90.754657189767215</v>
      </c>
      <c r="F25" s="21">
        <f>'9b'!F25/'9b'!$B25*100</f>
        <v>88.485093168783052</v>
      </c>
      <c r="G25" s="21">
        <f>'9b'!G25/'9b'!$B25*100</f>
        <v>91.00161386283051</v>
      </c>
      <c r="H25" s="21">
        <f>'9b'!H25/'9b'!$B25*100</f>
        <v>106.77607678426668</v>
      </c>
      <c r="I25" s="21">
        <f>'9b'!I25/'9b'!$B25*100</f>
        <v>91.827559500894424</v>
      </c>
      <c r="J25" s="21">
        <f>'9b'!J25/'9b'!$B25*100</f>
        <v>86.234730629129686</v>
      </c>
      <c r="K25" s="21">
        <f>'9b'!K25/'9b'!$B25*100</f>
        <v>115.79650598062095</v>
      </c>
      <c r="L25" s="21">
        <f>'9b'!L25/'9b'!$B25*100</f>
        <v>97.133412968287089</v>
      </c>
      <c r="N25" s="19">
        <f t="shared" si="0"/>
        <v>147.44009148904485</v>
      </c>
      <c r="O25" s="19">
        <f t="shared" si="1"/>
        <v>12.142491156638528</v>
      </c>
      <c r="P25" s="19">
        <f t="shared" si="2"/>
        <v>102.62232843252947</v>
      </c>
      <c r="Q25" s="19">
        <f t="shared" si="3"/>
        <v>10.130267934883532</v>
      </c>
    </row>
    <row r="26" spans="1:17">
      <c r="A26" s="120">
        <v>2002</v>
      </c>
      <c r="B26" s="39">
        <f>'9b'!B26/'9b'!$B26*100</f>
        <v>100</v>
      </c>
      <c r="C26" s="21">
        <f>'9b'!C26/'9b'!$B26*100</f>
        <v>81.575572461734964</v>
      </c>
      <c r="D26" s="21">
        <f>'9b'!D26/'9b'!$B26*100</f>
        <v>86.01408368864216</v>
      </c>
      <c r="E26" s="21">
        <f>'9b'!E26/'9b'!$B26*100</f>
        <v>90.227980545192921</v>
      </c>
      <c r="F26" s="21">
        <f>'9b'!F26/'9b'!$B26*100</f>
        <v>87.300618967486699</v>
      </c>
      <c r="G26" s="21">
        <f>'9b'!G26/'9b'!$B26*100</f>
        <v>92.206507627776972</v>
      </c>
      <c r="H26" s="21">
        <f>'9b'!H26/'9b'!$B26*100</f>
        <v>106.17347424689092</v>
      </c>
      <c r="I26" s="21">
        <f>'9b'!I26/'9b'!$B26*100</f>
        <v>92.486726408235995</v>
      </c>
      <c r="J26" s="21">
        <f>'9b'!J26/'9b'!$B26*100</f>
        <v>86.334857728135745</v>
      </c>
      <c r="K26" s="21">
        <f>'9b'!K26/'9b'!$B26*100</f>
        <v>113.10830524041529</v>
      </c>
      <c r="L26" s="21">
        <f>'9b'!L26/'9b'!$B26*100</f>
        <v>97.664325199433151</v>
      </c>
      <c r="N26" s="19">
        <f t="shared" si="0"/>
        <v>131.1150772072987</v>
      </c>
      <c r="O26" s="19">
        <f t="shared" si="1"/>
        <v>11.450549209854465</v>
      </c>
      <c r="P26" s="19">
        <f t="shared" si="2"/>
        <v>86.348877566050504</v>
      </c>
      <c r="Q26" s="19">
        <f t="shared" si="3"/>
        <v>9.2924096748932943</v>
      </c>
    </row>
    <row r="27" spans="1:17">
      <c r="A27" s="120">
        <v>2003</v>
      </c>
      <c r="B27" s="39">
        <f>'9b'!B27/'9b'!$B27*100</f>
        <v>100</v>
      </c>
      <c r="C27" s="21">
        <f>'9b'!C27/'9b'!$B27*100</f>
        <v>82.646441004714305</v>
      </c>
      <c r="D27" s="21">
        <f>'9b'!D27/'9b'!$B27*100</f>
        <v>83.713757267318371</v>
      </c>
      <c r="E27" s="21">
        <f>'9b'!E27/'9b'!$B27*100</f>
        <v>89.379097303056781</v>
      </c>
      <c r="F27" s="21">
        <f>'9b'!F27/'9b'!$B27*100</f>
        <v>87.502725078931988</v>
      </c>
      <c r="G27" s="21">
        <f>'9b'!G27/'9b'!$B27*100</f>
        <v>93.395564208726782</v>
      </c>
      <c r="H27" s="21">
        <f>'9b'!H27/'9b'!$B27*100</f>
        <v>105.48914283749215</v>
      </c>
      <c r="I27" s="21">
        <f>'9b'!I27/'9b'!$B27*100</f>
        <v>93.062355364182508</v>
      </c>
      <c r="J27" s="21">
        <f>'9b'!J27/'9b'!$B27*100</f>
        <v>89.577555868441777</v>
      </c>
      <c r="K27" s="21">
        <f>'9b'!K27/'9b'!$B27*100</f>
        <v>111.24808389808946</v>
      </c>
      <c r="L27" s="21">
        <f>'9b'!L27/'9b'!$B27*100</f>
        <v>97.998937290148007</v>
      </c>
      <c r="N27" s="19">
        <f t="shared" si="0"/>
        <v>119.64043260283788</v>
      </c>
      <c r="O27" s="19">
        <f t="shared" si="1"/>
        <v>10.938026906295207</v>
      </c>
      <c r="P27" s="19">
        <f t="shared" si="2"/>
        <v>76.098462096704154</v>
      </c>
      <c r="Q27" s="19">
        <f t="shared" si="3"/>
        <v>8.7234432477493744</v>
      </c>
    </row>
    <row r="28" spans="1:17">
      <c r="A28" s="120">
        <v>2004</v>
      </c>
      <c r="B28" s="39">
        <f>'9b'!B28/'9b'!$B28*100</f>
        <v>100</v>
      </c>
      <c r="C28" s="21">
        <f>'9b'!C28/'9b'!$B28*100</f>
        <v>81.612510927258782</v>
      </c>
      <c r="D28" s="21">
        <f>'9b'!D28/'9b'!$B28*100</f>
        <v>82.239937685642857</v>
      </c>
      <c r="E28" s="21">
        <f>'9b'!E28/'9b'!$B28*100</f>
        <v>89.297416559244056</v>
      </c>
      <c r="F28" s="21">
        <f>'9b'!F28/'9b'!$B28*100</f>
        <v>88.405970567267644</v>
      </c>
      <c r="G28" s="21">
        <f>'9b'!G28/'9b'!$B28*100</f>
        <v>92.580842847836507</v>
      </c>
      <c r="H28" s="21">
        <f>'9b'!H28/'9b'!$B28*100</f>
        <v>104.63565810438983</v>
      </c>
      <c r="I28" s="21">
        <f>'9b'!I28/'9b'!$B28*100</f>
        <v>92.896385276326882</v>
      </c>
      <c r="J28" s="21">
        <f>'9b'!J28/'9b'!$B28*100</f>
        <v>92.273542526389491</v>
      </c>
      <c r="K28" s="21">
        <f>'9b'!K28/'9b'!$B28*100</f>
        <v>114.79894549366816</v>
      </c>
      <c r="L28" s="21">
        <f>'9b'!L28/'9b'!$B28*100</f>
        <v>98.422405332375504</v>
      </c>
      <c r="N28" s="19">
        <f t="shared" si="0"/>
        <v>131.06766774065031</v>
      </c>
      <c r="O28" s="19">
        <f t="shared" si="1"/>
        <v>11.448478839594818</v>
      </c>
      <c r="P28" s="19">
        <f t="shared" si="2"/>
        <v>91.583555344620265</v>
      </c>
      <c r="Q28" s="19">
        <f t="shared" si="3"/>
        <v>9.5699297460650286</v>
      </c>
    </row>
    <row r="29" spans="1:17">
      <c r="A29" s="120">
        <v>2005</v>
      </c>
      <c r="B29" s="39">
        <f>'9b'!B29/'9b'!$B29*100</f>
        <v>100</v>
      </c>
      <c r="C29" s="21">
        <f>'9b'!C29/'9b'!$B29*100</f>
        <v>81.250049208347235</v>
      </c>
      <c r="D29" s="21">
        <f>'9b'!D29/'9b'!$B29*100</f>
        <v>81.388206791905048</v>
      </c>
      <c r="E29" s="21">
        <f>'9b'!E29/'9b'!$B29*100</f>
        <v>89.887204660483803</v>
      </c>
      <c r="F29" s="21">
        <f>'9b'!F29/'9b'!$B29*100</f>
        <v>88.207582551105403</v>
      </c>
      <c r="G29" s="21">
        <f>'9b'!G29/'9b'!$B29*100</f>
        <v>91.705480138402777</v>
      </c>
      <c r="H29" s="21">
        <f>'9b'!H29/'9b'!$B29*100</f>
        <v>103.70982464058804</v>
      </c>
      <c r="I29" s="21">
        <f>'9b'!I29/'9b'!$B29*100</f>
        <v>91.303681124676487</v>
      </c>
      <c r="J29" s="21">
        <f>'9b'!J29/'9b'!$B29*100</f>
        <v>90.449846380692804</v>
      </c>
      <c r="K29" s="21">
        <f>'9b'!K29/'9b'!$B29*100</f>
        <v>119.09395689578177</v>
      </c>
      <c r="L29" s="21">
        <f>'9b'!L29/'9b'!$B29*100</f>
        <v>99.000343976837769</v>
      </c>
      <c r="N29" s="19">
        <f t="shared" si="0"/>
        <v>155.42609968128599</v>
      </c>
      <c r="O29" s="19">
        <f t="shared" si="1"/>
        <v>12.467000428382361</v>
      </c>
      <c r="P29" s="19">
        <f t="shared" si="2"/>
        <v>114.4612052871764</v>
      </c>
      <c r="Q29" s="19">
        <f t="shared" si="3"/>
        <v>10.698654368058461</v>
      </c>
    </row>
    <row r="30" spans="1:17">
      <c r="A30" s="120">
        <v>2006</v>
      </c>
      <c r="B30" s="39">
        <f>'9b'!B30/'9b'!$B30*100</f>
        <v>100</v>
      </c>
      <c r="C30" s="21">
        <f>'9b'!C30/'9b'!$B30*100</f>
        <v>96.458312648284178</v>
      </c>
      <c r="D30" s="21">
        <f>'9b'!D30/'9b'!$B30*100</f>
        <v>80.512213368460522</v>
      </c>
      <c r="E30" s="21">
        <f>'9b'!E30/'9b'!$B30*100</f>
        <v>88.0178919935897</v>
      </c>
      <c r="F30" s="21">
        <f>'9b'!F30/'9b'!$B30*100</f>
        <v>86.910688487051871</v>
      </c>
      <c r="G30" s="21">
        <f>'9b'!G30/'9b'!$B30*100</f>
        <v>89.553399104838661</v>
      </c>
      <c r="H30" s="21">
        <f>'9b'!H30/'9b'!$B30*100</f>
        <v>102.76070363260578</v>
      </c>
      <c r="I30" s="21">
        <f>'9b'!I30/'9b'!$B30*100</f>
        <v>90.339249700066333</v>
      </c>
      <c r="J30" s="21">
        <f>'9b'!J30/'9b'!$B30*100</f>
        <v>89.357565065731706</v>
      </c>
      <c r="K30" s="21">
        <f>'9b'!K30/'9b'!$B30*100</f>
        <v>121.16373331505793</v>
      </c>
      <c r="L30" s="21">
        <f>'9b'!L30/'9b'!$B30*100</f>
        <v>100.14223360354224</v>
      </c>
      <c r="N30" s="19">
        <f t="shared" si="0"/>
        <v>147.84866759805314</v>
      </c>
      <c r="O30" s="19">
        <f t="shared" si="1"/>
        <v>12.15930374643438</v>
      </c>
      <c r="P30" s="19"/>
      <c r="Q30" s="19"/>
    </row>
    <row r="31" spans="1:17">
      <c r="A31" s="120">
        <v>2007</v>
      </c>
      <c r="B31" s="39">
        <f>'9b'!B31/'9b'!$B31*100</f>
        <v>100</v>
      </c>
      <c r="C31" s="21">
        <f>'9b'!C31/'9b'!$B31*100</f>
        <v>91.916528808262072</v>
      </c>
      <c r="D31" s="21">
        <f>'9b'!D31/'9b'!$B31*100</f>
        <v>81.15550569703727</v>
      </c>
      <c r="E31" s="21">
        <f>'9b'!E31/'9b'!$B31*100</f>
        <v>88.427769023046039</v>
      </c>
      <c r="F31" s="21">
        <f>'9b'!F31/'9b'!$B31*100</f>
        <v>87.547861638359606</v>
      </c>
      <c r="G31" s="21">
        <f>'9b'!G31/'9b'!$B31*100</f>
        <v>90.780448648871896</v>
      </c>
      <c r="H31" s="21">
        <f>'9b'!H31/'9b'!$B31*100</f>
        <v>102.39373103416607</v>
      </c>
      <c r="I31" s="21">
        <f>'9b'!I31/'9b'!$B31*100</f>
        <v>92.142034203387524</v>
      </c>
      <c r="J31" s="21">
        <f>'9b'!J31/'9b'!$B31*100</f>
        <v>92.142483714155219</v>
      </c>
      <c r="K31" s="21">
        <f>'9b'!K31/'9b'!$B31*100</f>
        <v>120.86631246783104</v>
      </c>
      <c r="L31" s="21">
        <f>'9b'!L31/'9b'!$B31*100</f>
        <v>101.25069078201452</v>
      </c>
      <c r="N31" s="19">
        <f>SUM(C110:L110)/10</f>
        <v>136.06152390639033</v>
      </c>
      <c r="O31" s="19">
        <f>SQRT(N31)</f>
        <v>11.664541307157789</v>
      </c>
      <c r="P31" s="19"/>
      <c r="Q31" s="19"/>
    </row>
    <row r="32" spans="1:17">
      <c r="A32" s="120">
        <v>2008</v>
      </c>
      <c r="B32" s="39">
        <f>'9b'!B32/'9b'!$B32*100</f>
        <v>100</v>
      </c>
      <c r="C32" s="21">
        <f>'9b'!C32/'9b'!$B32*100</f>
        <v>85.717757491426767</v>
      </c>
      <c r="D32" s="21">
        <f>'9b'!D32/'9b'!$B32*100</f>
        <v>78.898294169773081</v>
      </c>
      <c r="E32" s="21">
        <f>'9b'!E32/'9b'!$B32*100</f>
        <v>87.607932788959104</v>
      </c>
      <c r="F32" s="21">
        <f>'9b'!F32/'9b'!$B32*100</f>
        <v>87.814246362327296</v>
      </c>
      <c r="G32" s="21">
        <f>'9b'!G32/'9b'!$B32*100</f>
        <v>90.412467416345677</v>
      </c>
      <c r="H32" s="21">
        <f>'9b'!H32/'9b'!$B32*100</f>
        <v>101.76391817539303</v>
      </c>
      <c r="I32" s="21">
        <f>'9b'!I32/'9b'!$B32*100</f>
        <v>93.037152606299472</v>
      </c>
      <c r="J32" s="21">
        <f>'9b'!J32/'9b'!$B32*100</f>
        <v>97.528570320652946</v>
      </c>
      <c r="K32" s="21">
        <f>'9b'!K32/'9b'!$B32*100</f>
        <v>122.23801872894539</v>
      </c>
      <c r="L32" s="21">
        <f>'9b'!L32/'9b'!$B32*100</f>
        <v>101.84926131046109</v>
      </c>
      <c r="N32" s="19">
        <f>SUM(C111:L111)/10</f>
        <v>159.88910027434667</v>
      </c>
      <c r="O32" s="19">
        <f>SQRT(N32)</f>
        <v>12.644726184237706</v>
      </c>
      <c r="P32" s="19"/>
      <c r="Q32" s="19"/>
    </row>
    <row r="33" spans="1:17" ht="12.6" customHeight="1">
      <c r="A33" s="120"/>
      <c r="B33" s="23"/>
      <c r="C33" s="644"/>
      <c r="D33" s="666" t="s">
        <v>802</v>
      </c>
      <c r="E33" s="644"/>
      <c r="F33" s="644"/>
      <c r="G33" s="644"/>
      <c r="H33" s="644"/>
      <c r="I33" s="644"/>
      <c r="J33" s="644"/>
      <c r="K33" s="644"/>
      <c r="L33" s="644"/>
    </row>
    <row r="34" spans="1:17">
      <c r="A34" s="448" t="s">
        <v>603</v>
      </c>
      <c r="B34" s="23">
        <f>((((B13/B5))^(1/8))-1)*100</f>
        <v>0</v>
      </c>
      <c r="C34" s="23">
        <f t="shared" ref="C34:L34" si="4">((((C13/C5))^(1/8))-1)*100</f>
        <v>1.4538996725691478</v>
      </c>
      <c r="D34" s="23">
        <f t="shared" si="4"/>
        <v>1.8244648179108536</v>
      </c>
      <c r="E34" s="23">
        <f t="shared" si="4"/>
        <v>1.0093441358885569</v>
      </c>
      <c r="F34" s="23">
        <f t="shared" si="4"/>
        <v>1.1316623361616873</v>
      </c>
      <c r="G34" s="23">
        <f t="shared" si="4"/>
        <v>7.7923694405623856E-2</v>
      </c>
      <c r="H34" s="23">
        <f t="shared" si="4"/>
        <v>0.31064198180179581</v>
      </c>
      <c r="I34" s="23">
        <f t="shared" si="4"/>
        <v>-0.13326289602184627</v>
      </c>
      <c r="J34" s="23">
        <f t="shared" si="4"/>
        <v>-1.468685169277173</v>
      </c>
      <c r="K34" s="23">
        <f t="shared" si="4"/>
        <v>-0.95328810229845518</v>
      </c>
      <c r="L34" s="23">
        <f t="shared" si="4"/>
        <v>-0.57195773380781523</v>
      </c>
      <c r="M34" s="23"/>
      <c r="N34" s="23">
        <f>((((N13/N5))^(1/8))-1)*100</f>
        <v>-6.8121691193014478</v>
      </c>
      <c r="O34" s="23">
        <f>((((O13/O5))^(1/8))-1)*100</f>
        <v>-3.4661557376385432</v>
      </c>
      <c r="P34" s="23">
        <f>((((P13/P5))^(1/8))-1)*100</f>
        <v>-8.1810680438616394</v>
      </c>
      <c r="Q34" s="23">
        <f>((((Q13/Q5))^(1/8))-1)*100</f>
        <v>-4.177804264284168</v>
      </c>
    </row>
    <row r="35" spans="1:17">
      <c r="A35" s="448" t="s">
        <v>604</v>
      </c>
      <c r="B35" s="23">
        <f>((((B24/B13))^(1/11))-1)*100</f>
        <v>0</v>
      </c>
      <c r="C35" s="23">
        <f t="shared" ref="C35:L35" si="5">((((C24/C13))^(1/11))-1)*100</f>
        <v>0.65220332734243769</v>
      </c>
      <c r="D35" s="23">
        <f t="shared" si="5"/>
        <v>0.19551158422923542</v>
      </c>
      <c r="E35" s="23">
        <f t="shared" si="5"/>
        <v>0.1249769829363423</v>
      </c>
      <c r="F35" s="23">
        <f t="shared" si="5"/>
        <v>0.56987786678952546</v>
      </c>
      <c r="G35" s="23">
        <f t="shared" si="5"/>
        <v>0.12465067525033735</v>
      </c>
      <c r="H35" s="23">
        <f t="shared" si="5"/>
        <v>-0.1421145214191899</v>
      </c>
      <c r="I35" s="23">
        <f t="shared" si="5"/>
        <v>-0.38592563462771512</v>
      </c>
      <c r="J35" s="23">
        <f t="shared" si="5"/>
        <v>0.25726649771518062</v>
      </c>
      <c r="K35" s="23">
        <f t="shared" si="5"/>
        <v>0.11260596239419662</v>
      </c>
      <c r="L35" s="23">
        <f t="shared" si="5"/>
        <v>-0.52877807403135524</v>
      </c>
      <c r="M35" s="23"/>
      <c r="N35" s="23">
        <f>((((N24/N13))^(1/11))-1)*100</f>
        <v>-2.9448498567167136</v>
      </c>
      <c r="O35" s="23">
        <f>((((O24/O13))^(1/11))-1)*100</f>
        <v>-1.4834277173209287</v>
      </c>
      <c r="P35" s="23">
        <f>((((P28/P5))^(1/23))-1)*100</f>
        <v>-4.4557689072909357</v>
      </c>
      <c r="Q35" s="23">
        <f>((((Q28/Q5))^(1/23))-1)*100</f>
        <v>-2.2532705955288446</v>
      </c>
    </row>
    <row r="36" spans="1:17">
      <c r="A36" s="448" t="s">
        <v>808</v>
      </c>
      <c r="B36" s="23">
        <f t="shared" ref="B36:L36" si="6">((((B29/B5))^(1/24))-1)*100</f>
        <v>0</v>
      </c>
      <c r="C36" s="23">
        <f t="shared" si="6"/>
        <v>0.93015538188310209</v>
      </c>
      <c r="D36" s="23">
        <f t="shared" si="6"/>
        <v>0.48662998863282514</v>
      </c>
      <c r="E36" s="23">
        <f t="shared" si="6"/>
        <v>0.38095686324011169</v>
      </c>
      <c r="F36" s="23">
        <f t="shared" si="6"/>
        <v>0.64508751400293995</v>
      </c>
      <c r="G36" s="23">
        <f t="shared" si="6"/>
        <v>0.14407301344732115</v>
      </c>
      <c r="H36" s="23">
        <f t="shared" si="6"/>
        <v>-0.18034598756022646</v>
      </c>
      <c r="I36" s="23">
        <f t="shared" si="6"/>
        <v>-0.25054196019890229</v>
      </c>
      <c r="J36" s="23">
        <f t="shared" si="6"/>
        <v>-0.23801728167338609</v>
      </c>
      <c r="K36" s="23">
        <f t="shared" si="6"/>
        <v>9.0058135324921906E-2</v>
      </c>
      <c r="L36" s="23">
        <f t="shared" si="6"/>
        <v>-0.33031772830595107</v>
      </c>
      <c r="M36" s="23"/>
      <c r="N36" s="23">
        <f>((((N29/N5))^(1/24))-1)*100</f>
        <v>-3.267768901552659</v>
      </c>
      <c r="O36" s="23">
        <f>((((O29/O5))^(1/24))-1)*100</f>
        <v>-1.6474549905050262</v>
      </c>
      <c r="P36" s="23"/>
      <c r="Q36" s="23"/>
    </row>
    <row r="37" spans="1:17">
      <c r="A37" s="448" t="s">
        <v>819</v>
      </c>
      <c r="B37" s="644">
        <f t="shared" ref="B37:L37" si="7">((((B30/B5))^(1/25))-1)*100</f>
        <v>0</v>
      </c>
      <c r="C37" s="23">
        <f t="shared" si="7"/>
        <v>1.5876105309428512</v>
      </c>
      <c r="D37" s="23">
        <f t="shared" si="7"/>
        <v>0.42364064785562761</v>
      </c>
      <c r="E37" s="23">
        <f t="shared" si="7"/>
        <v>0.28135684196355371</v>
      </c>
      <c r="F37" s="23">
        <f t="shared" si="7"/>
        <v>0.55960745769003672</v>
      </c>
      <c r="G37" s="23">
        <f t="shared" si="7"/>
        <v>4.3231682273714434E-2</v>
      </c>
      <c r="H37" s="23">
        <f t="shared" si="7"/>
        <v>-0.20984330361752956</v>
      </c>
      <c r="I37" s="23">
        <f t="shared" si="7"/>
        <v>-0.28289750038771322</v>
      </c>
      <c r="J37" s="23">
        <f t="shared" si="7"/>
        <v>-0.27698307604366867</v>
      </c>
      <c r="K37" s="23">
        <f t="shared" si="7"/>
        <v>0.15545786751720581</v>
      </c>
      <c r="L37" s="23">
        <f t="shared" si="7"/>
        <v>-0.27138822962916587</v>
      </c>
      <c r="M37" s="23"/>
      <c r="N37" s="23">
        <f>((((N30/N5))^(1/25))-1)*100</f>
        <v>-3.3325872237487841</v>
      </c>
      <c r="O37" s="23">
        <f>((((O30/O5))^(1/25))-1)*100</f>
        <v>-1.6804125434554007</v>
      </c>
      <c r="P37" s="23"/>
      <c r="Q37" s="23"/>
    </row>
    <row r="38" spans="1:17">
      <c r="A38" s="448" t="s">
        <v>447</v>
      </c>
      <c r="B38" s="644">
        <f>((((B31/B5))^(1/26))-1)*100</f>
        <v>0</v>
      </c>
      <c r="C38" s="644">
        <f t="shared" ref="C38:L38" si="8">((((C31/C5))^(1/26))-1)*100</f>
        <v>1.3379285362868698</v>
      </c>
      <c r="D38" s="644">
        <f t="shared" si="8"/>
        <v>0.43805165394796841</v>
      </c>
      <c r="E38" s="644">
        <f t="shared" si="8"/>
        <v>0.2884397323979826</v>
      </c>
      <c r="F38" s="644">
        <f t="shared" si="8"/>
        <v>0.56627608414363539</v>
      </c>
      <c r="G38" s="644">
        <f t="shared" si="8"/>
        <v>9.3945789069027619E-2</v>
      </c>
      <c r="H38" s="644">
        <f t="shared" si="8"/>
        <v>-0.21551157419053002</v>
      </c>
      <c r="I38" s="644">
        <f t="shared" si="8"/>
        <v>-0.19621260182898226</v>
      </c>
      <c r="J38" s="644">
        <f t="shared" si="8"/>
        <v>-0.14854969698145926</v>
      </c>
      <c r="K38" s="644">
        <f t="shared" si="8"/>
        <v>0.14000780256906431</v>
      </c>
      <c r="L38" s="644">
        <f t="shared" si="8"/>
        <v>-0.21872687316024653</v>
      </c>
      <c r="M38" s="644"/>
      <c r="N38" s="644">
        <f>((((N31/N5))^(1/26))-1)*100</f>
        <v>-3.5152950912348935</v>
      </c>
      <c r="O38" s="644">
        <f>((((O31/O5))^(1/26))-1)*100</f>
        <v>-1.7733717830215268</v>
      </c>
      <c r="P38" s="23"/>
      <c r="Q38" s="23"/>
    </row>
    <row r="39" spans="1:17">
      <c r="A39" s="448" t="s">
        <v>1408</v>
      </c>
      <c r="B39" s="644">
        <f>((((B32/B5))^(1/27))-1)*100</f>
        <v>0</v>
      </c>
      <c r="C39" s="644">
        <f t="shared" ref="C39:L39" si="9">((((C32/C5))^(1/27))-1)*100</f>
        <v>1.0264696120223959</v>
      </c>
      <c r="D39" s="644">
        <f t="shared" si="9"/>
        <v>0.31693514367954201</v>
      </c>
      <c r="E39" s="644">
        <f t="shared" si="9"/>
        <v>0.24315396494913877</v>
      </c>
      <c r="F39" s="644">
        <f t="shared" si="9"/>
        <v>0.55656008230569043</v>
      </c>
      <c r="G39" s="644">
        <f t="shared" si="9"/>
        <v>7.5408682502620117E-2</v>
      </c>
      <c r="H39" s="644">
        <f t="shared" si="9"/>
        <v>-0.23033935682773565</v>
      </c>
      <c r="I39" s="644">
        <f t="shared" si="9"/>
        <v>-0.15320742129900644</v>
      </c>
      <c r="J39" s="644">
        <f t="shared" si="9"/>
        <v>6.7273033786063863E-2</v>
      </c>
      <c r="K39" s="644">
        <f t="shared" si="9"/>
        <v>0.17668036904319173</v>
      </c>
      <c r="L39" s="644">
        <f t="shared" si="9"/>
        <v>-0.18884705289530235</v>
      </c>
      <c r="M39" s="644"/>
      <c r="N39" s="644">
        <f>((((N32/N5))^(1/27))-1)*100</f>
        <v>-2.808167351088009</v>
      </c>
      <c r="O39" s="644">
        <f>((((O32/O5))^(1/27))-1)*100</f>
        <v>-1.4140818124048771</v>
      </c>
      <c r="P39" s="23"/>
      <c r="Q39" s="23"/>
    </row>
    <row r="40" spans="1:17">
      <c r="A40" s="448" t="s">
        <v>809</v>
      </c>
      <c r="B40" s="644">
        <f t="shared" ref="B40:L40" si="10">((((B29/B24))^(1/5))-1)*100</f>
        <v>0</v>
      </c>
      <c r="C40" s="644">
        <f t="shared" si="10"/>
        <v>0.70691657911317041</v>
      </c>
      <c r="D40" s="644">
        <f t="shared" si="10"/>
        <v>-0.98747266728120842</v>
      </c>
      <c r="E40" s="644">
        <f t="shared" si="10"/>
        <v>-5.6497881811579109E-2</v>
      </c>
      <c r="F40" s="644">
        <f t="shared" si="10"/>
        <v>3.581835749817408E-2</v>
      </c>
      <c r="G40" s="644">
        <f t="shared" si="10"/>
        <v>0.29279049906885124</v>
      </c>
      <c r="H40" s="644">
        <f t="shared" si="10"/>
        <v>-1.0443333046788794</v>
      </c>
      <c r="I40" s="644">
        <f t="shared" si="10"/>
        <v>-0.13997061010599943</v>
      </c>
      <c r="J40" s="644">
        <f t="shared" si="10"/>
        <v>0.66039016494332525</v>
      </c>
      <c r="K40" s="644">
        <f t="shared" si="10"/>
        <v>1.7318946960880766</v>
      </c>
      <c r="L40" s="644">
        <f t="shared" si="10"/>
        <v>0.49724044398149481</v>
      </c>
      <c r="M40" s="644"/>
      <c r="N40" s="644">
        <f>((((N29/N24))^(1/5))-1)*100</f>
        <v>1.9356671313239371</v>
      </c>
      <c r="O40" s="644">
        <f>((((O29/O24))^(1/5))-1)*100</f>
        <v>0.96319484412323852</v>
      </c>
      <c r="P40" s="23">
        <f>((((P29/P5))^(1/24))-1)*100</f>
        <v>-3.3806041714717461</v>
      </c>
      <c r="Q40" s="23">
        <f>((((Q29/Q5))^(1/24))-1)*100</f>
        <v>-1.7048343871743366</v>
      </c>
    </row>
    <row r="41" spans="1:17">
      <c r="A41" s="448" t="s">
        <v>818</v>
      </c>
      <c r="B41" s="644">
        <f t="shared" ref="B41:L41" si="11">((((B30/B24))^(1/6))-1)*100</f>
        <v>0</v>
      </c>
      <c r="C41" s="644">
        <f t="shared" si="11"/>
        <v>3.5067694049816689</v>
      </c>
      <c r="D41" s="644">
        <f t="shared" si="11"/>
        <v>-1.002285250493129</v>
      </c>
      <c r="E41" s="644">
        <f t="shared" si="11"/>
        <v>-0.39656465132958951</v>
      </c>
      <c r="F41" s="644">
        <f t="shared" si="11"/>
        <v>-0.21678650813449218</v>
      </c>
      <c r="G41" s="644">
        <f t="shared" si="11"/>
        <v>-0.15203295499193192</v>
      </c>
      <c r="H41" s="644">
        <f t="shared" si="11"/>
        <v>-1.0228177545259398</v>
      </c>
      <c r="I41" s="644">
        <f t="shared" si="11"/>
        <v>-0.29327766352492679</v>
      </c>
      <c r="J41" s="644">
        <f t="shared" si="11"/>
        <v>0.34662183968354743</v>
      </c>
      <c r="K41" s="644">
        <f t="shared" si="11"/>
        <v>1.7329015087791388</v>
      </c>
      <c r="L41" s="644">
        <f t="shared" si="11"/>
        <v>0.60630733283322247</v>
      </c>
      <c r="M41" s="644"/>
      <c r="N41" s="644">
        <f>((((N30/N24))^(1/6))-1)*100</f>
        <v>0.76755452151009429</v>
      </c>
      <c r="O41" s="644">
        <f>((((O30/O24))^(1/6))-1)*100</f>
        <v>0.38304364857149054</v>
      </c>
      <c r="P41" s="23">
        <f>((((P24/P13))^(1/11))-1)*100</f>
        <v>-3.6013435099467972</v>
      </c>
      <c r="Q41" s="23">
        <f>((((Q24/Q13))^(1/11))-1)*100</f>
        <v>-1.8171825164641109</v>
      </c>
    </row>
    <row r="42" spans="1:17">
      <c r="A42" s="448" t="s">
        <v>449</v>
      </c>
      <c r="B42" s="644">
        <f>((((B31/B24))^(1/7))-1)*100</f>
        <v>0</v>
      </c>
      <c r="C42" s="644">
        <f t="shared" ref="C42:L42" si="12">((((C31/C24))^(1/7))-1)*100</f>
        <v>2.2911516647173835</v>
      </c>
      <c r="D42" s="644">
        <f t="shared" si="12"/>
        <v>-0.74694313794364531</v>
      </c>
      <c r="E42" s="644">
        <f t="shared" si="12"/>
        <v>-0.27384216107217974</v>
      </c>
      <c r="F42" s="644">
        <f t="shared" si="12"/>
        <v>-8.1633777205214475E-2</v>
      </c>
      <c r="G42" s="644">
        <f t="shared" si="12"/>
        <v>6.4019558406269716E-2</v>
      </c>
      <c r="H42" s="644">
        <f t="shared" si="12"/>
        <v>-0.92799017340459145</v>
      </c>
      <c r="I42" s="644">
        <f t="shared" si="12"/>
        <v>3.0528912884264514E-2</v>
      </c>
      <c r="J42" s="644">
        <f t="shared" si="12"/>
        <v>0.7377301858716212</v>
      </c>
      <c r="K42" s="644">
        <f t="shared" si="12"/>
        <v>1.4478927434982358</v>
      </c>
      <c r="L42" s="644">
        <f t="shared" si="12"/>
        <v>0.67766609540351741</v>
      </c>
      <c r="M42" s="644"/>
      <c r="N42" s="644">
        <f>((((N31/N24))^(1/7))-1)*100</f>
        <v>-0.53008493324696593</v>
      </c>
      <c r="O42" s="644">
        <f>((((O31/O24))^(1/7))-1)*100</f>
        <v>-0.26539463819339471</v>
      </c>
      <c r="P42" s="644">
        <f>((((P28/P24))^(1/4))-1)*100</f>
        <v>0.9522561391917872</v>
      </c>
      <c r="Q42" s="644">
        <f>((((Q28/Q24))^(1/4))-1)*100</f>
        <v>0.47499994485782349</v>
      </c>
    </row>
    <row r="43" spans="1:17">
      <c r="A43" s="448" t="s">
        <v>1410</v>
      </c>
      <c r="B43" s="644">
        <f>((((B32/B24))^(1/8))-1)*100</f>
        <v>0</v>
      </c>
      <c r="C43" s="644">
        <f t="shared" ref="C43:L43" si="13">((((C32/C24))^(1/8))-1)*100</f>
        <v>1.1155521973780669</v>
      </c>
      <c r="D43" s="644">
        <f t="shared" si="13"/>
        <v>-1.0035529749321537</v>
      </c>
      <c r="E43" s="644">
        <f t="shared" si="13"/>
        <v>-0.35573755391340445</v>
      </c>
      <c r="F43" s="644">
        <f t="shared" si="13"/>
        <v>-3.3476712065938496E-2</v>
      </c>
      <c r="G43" s="644">
        <f t="shared" si="13"/>
        <v>5.2272346023896077E-3</v>
      </c>
      <c r="H43" s="644">
        <f t="shared" si="13"/>
        <v>-0.88893149917762537</v>
      </c>
      <c r="I43" s="644">
        <f t="shared" si="13"/>
        <v>0.14766347727173113</v>
      </c>
      <c r="J43" s="644">
        <f t="shared" si="13"/>
        <v>1.3624581043240491</v>
      </c>
      <c r="K43" s="644">
        <f t="shared" si="13"/>
        <v>1.4087151664881725</v>
      </c>
      <c r="L43" s="644">
        <f t="shared" si="13"/>
        <v>0.66685085992064241</v>
      </c>
      <c r="M43" s="644"/>
      <c r="N43" s="644">
        <f>((((N32/N24))^(1/8))-1)*100</f>
        <v>1.5642158298844855</v>
      </c>
      <c r="O43" s="644">
        <f>((((O32/O24))^(1/8))-1)*100</f>
        <v>0.77907314015370766</v>
      </c>
      <c r="P43" s="644"/>
      <c r="Q43" s="644"/>
    </row>
    <row r="44" spans="1:17">
      <c r="A44" s="448"/>
      <c r="D44" s="27" t="s">
        <v>276</v>
      </c>
      <c r="M44" s="644"/>
      <c r="N44" s="644"/>
      <c r="O44" s="644"/>
      <c r="P44" s="644">
        <f>((((P29/P24))^(1/5))-1)*100</f>
        <v>5.3564155351726539</v>
      </c>
      <c r="Q44" s="644">
        <f>((((Q29/Q24))^(1/5))-1)*100</f>
        <v>2.6432732989223551</v>
      </c>
    </row>
    <row r="45" spans="1:17" ht="12.6" customHeight="1">
      <c r="A45" s="448" t="s">
        <v>808</v>
      </c>
      <c r="B45" s="10">
        <f t="shared" ref="B45:L45" si="14">(B29/B5-1)*100</f>
        <v>0</v>
      </c>
      <c r="C45" s="10">
        <f t="shared" si="14"/>
        <v>24.882793358561273</v>
      </c>
      <c r="D45" s="10">
        <f t="shared" si="14"/>
        <v>12.356643753911811</v>
      </c>
      <c r="E45" s="10">
        <f t="shared" si="14"/>
        <v>9.5549358214578781</v>
      </c>
      <c r="F45" s="10">
        <f t="shared" si="14"/>
        <v>16.686862863717387</v>
      </c>
      <c r="G45" s="10">
        <f t="shared" si="14"/>
        <v>3.5156516220749889</v>
      </c>
      <c r="H45" s="10">
        <f t="shared" si="14"/>
        <v>-4.2397116542814528</v>
      </c>
      <c r="I45" s="10">
        <f t="shared" si="14"/>
        <v>-5.8428999884134303</v>
      </c>
      <c r="J45" s="10">
        <f t="shared" si="14"/>
        <v>-5.5587500376330983</v>
      </c>
      <c r="K45" s="10">
        <f t="shared" si="14"/>
        <v>2.1839286759684606</v>
      </c>
      <c r="L45" s="10">
        <f t="shared" si="14"/>
        <v>-7.6336522574738552</v>
      </c>
      <c r="M45" s="10"/>
      <c r="N45" s="10">
        <f>(N29/N5-1)*100</f>
        <v>-54.948535413656494</v>
      </c>
      <c r="O45" s="10">
        <f>(O29/O5-1)*100</f>
        <v>-32.879612198421036</v>
      </c>
      <c r="P45" s="10"/>
      <c r="Q45" s="10"/>
    </row>
    <row r="46" spans="1:17">
      <c r="A46" s="448" t="s">
        <v>819</v>
      </c>
      <c r="B46" s="10">
        <f t="shared" ref="B46:L46" si="15">(B30/B5-1)*100</f>
        <v>0</v>
      </c>
      <c r="C46" s="10">
        <f t="shared" si="15"/>
        <v>48.25816899239026</v>
      </c>
      <c r="D46" s="10">
        <f t="shared" si="15"/>
        <v>11.147332418912415</v>
      </c>
      <c r="E46" s="10">
        <f t="shared" si="15"/>
        <v>7.2766090003563599</v>
      </c>
      <c r="F46" s="10">
        <f t="shared" si="15"/>
        <v>14.971245051458393</v>
      </c>
      <c r="G46" s="10">
        <f t="shared" si="15"/>
        <v>1.0864176199555375</v>
      </c>
      <c r="H46" s="10">
        <f t="shared" si="15"/>
        <v>-5.1160809058382606</v>
      </c>
      <c r="I46" s="10">
        <f t="shared" si="15"/>
        <v>-6.8374717842355048</v>
      </c>
      <c r="J46" s="10">
        <f t="shared" si="15"/>
        <v>-6.6992319380808958</v>
      </c>
      <c r="K46" s="10">
        <f t="shared" si="15"/>
        <v>3.9598196742631542</v>
      </c>
      <c r="L46" s="10">
        <f t="shared" si="15"/>
        <v>-6.5682804607006595</v>
      </c>
      <c r="M46" s="10"/>
      <c r="N46" s="10">
        <f>(N30/N5-1)*100</f>
        <v>-57.144913073864167</v>
      </c>
      <c r="O46" s="10">
        <f>(O30/O5-1)*100</f>
        <v>-34.536203191278439</v>
      </c>
      <c r="P46" s="10">
        <f>(P28/P5-1)*100</f>
        <v>-64.948807041030747</v>
      </c>
      <c r="Q46" s="10">
        <f>(Q28/Q5-1)*100</f>
        <v>-40.795952031158158</v>
      </c>
    </row>
    <row r="47" spans="1:17">
      <c r="A47" s="448" t="s">
        <v>447</v>
      </c>
      <c r="B47" s="10">
        <f>(B31/B5-1)*100</f>
        <v>0</v>
      </c>
      <c r="C47" s="10">
        <f t="shared" ref="C47:L47" si="16">(C31/C5-1)*100</f>
        <v>41.27736518612668</v>
      </c>
      <c r="D47" s="10">
        <f t="shared" si="16"/>
        <v>12.035399251203295</v>
      </c>
      <c r="E47" s="10">
        <f t="shared" si="16"/>
        <v>7.7761689969808812</v>
      </c>
      <c r="F47" s="10">
        <f t="shared" si="16"/>
        <v>15.814140117582799</v>
      </c>
      <c r="G47" s="10">
        <f t="shared" si="16"/>
        <v>2.4714911502557113</v>
      </c>
      <c r="H47" s="10">
        <f t="shared" si="16"/>
        <v>-5.4549244239268209</v>
      </c>
      <c r="I47" s="10">
        <f t="shared" si="16"/>
        <v>-4.9783467337705334</v>
      </c>
      <c r="J47" s="10">
        <f t="shared" si="16"/>
        <v>-3.7914193908529126</v>
      </c>
      <c r="K47" s="10">
        <f t="shared" si="16"/>
        <v>3.7046293066580693</v>
      </c>
      <c r="L47" s="10">
        <f t="shared" si="16"/>
        <v>-5.5341008094822346</v>
      </c>
      <c r="M47" s="10"/>
      <c r="N47" s="10">
        <f>(N31/N5-1)*100</f>
        <v>-60.561508405587773</v>
      </c>
      <c r="O47" s="10">
        <f>(O31/O5-1)*100</f>
        <v>-37.199927074554893</v>
      </c>
      <c r="P47" s="10">
        <f>(P29/P5-1)*100</f>
        <v>-56.192989257293746</v>
      </c>
      <c r="Q47" s="10">
        <f>(Q29/Q5-1)*100</f>
        <v>-33.813135183250864</v>
      </c>
    </row>
    <row r="48" spans="1:17">
      <c r="A48" s="448" t="s">
        <v>1408</v>
      </c>
      <c r="B48" s="10">
        <f>(B32/B5-1)*100</f>
        <v>0</v>
      </c>
      <c r="C48" s="10">
        <f t="shared" ref="C48:L48" si="17">(C32/C5-1)*100</f>
        <v>31.749741695680967</v>
      </c>
      <c r="D48" s="10">
        <f t="shared" si="17"/>
        <v>8.9193125177225099</v>
      </c>
      <c r="E48" s="10">
        <f t="shared" si="17"/>
        <v>6.7769488482539275</v>
      </c>
      <c r="F48" s="10">
        <f t="shared" si="17"/>
        <v>16.166531565751075</v>
      </c>
      <c r="G48" s="10">
        <f t="shared" si="17"/>
        <v>2.0561199313039458</v>
      </c>
      <c r="H48" s="10">
        <f t="shared" si="17"/>
        <v>-6.0364610446757112</v>
      </c>
      <c r="I48" s="10">
        <f t="shared" si="17"/>
        <v>-4.0552541273497278</v>
      </c>
      <c r="J48" s="10">
        <f t="shared" si="17"/>
        <v>1.8323463962362174</v>
      </c>
      <c r="K48" s="10">
        <f t="shared" si="17"/>
        <v>4.8815684092251788</v>
      </c>
      <c r="L48" s="10">
        <f t="shared" si="17"/>
        <v>-4.9756403904774427</v>
      </c>
      <c r="M48" s="10"/>
      <c r="N48" s="10">
        <f>(N32/N5-1)*100</f>
        <v>-53.654899958739954</v>
      </c>
      <c r="O48" s="10">
        <f>(O32/O5-1)*100</f>
        <v>-31.922764420652307</v>
      </c>
      <c r="P48" s="10"/>
      <c r="Q48" s="10"/>
    </row>
    <row r="49" spans="1:12">
      <c r="A49" s="140"/>
      <c r="B49" s="10"/>
      <c r="C49" s="10"/>
      <c r="D49" s="10"/>
      <c r="E49" s="10"/>
      <c r="F49" s="10"/>
      <c r="G49" s="10"/>
      <c r="H49" s="10"/>
      <c r="I49" s="10"/>
      <c r="J49" s="10"/>
      <c r="K49" s="10"/>
      <c r="L49" s="10"/>
    </row>
    <row r="50" spans="1:12">
      <c r="A50" s="9" t="s">
        <v>285</v>
      </c>
    </row>
    <row r="51" spans="1:12">
      <c r="B51" s="9"/>
      <c r="C51" s="9"/>
      <c r="D51" s="9"/>
      <c r="E51" s="9"/>
      <c r="F51" s="9"/>
      <c r="G51" s="9"/>
      <c r="H51" s="9"/>
      <c r="I51" s="9"/>
      <c r="J51" s="9"/>
      <c r="K51" s="9"/>
      <c r="L51" s="9"/>
    </row>
    <row r="53" spans="1:12">
      <c r="B53" s="1" t="s">
        <v>278</v>
      </c>
    </row>
    <row r="54" spans="1:12">
      <c r="B54" s="1" t="s">
        <v>279</v>
      </c>
    </row>
    <row r="55" spans="1:12">
      <c r="B55" s="1">
        <v>1981</v>
      </c>
      <c r="C55" s="229">
        <f>C5-$B5</f>
        <v>-34.938955941621572</v>
      </c>
      <c r="D55" s="229">
        <f t="shared" ref="D55:L55" si="18">D5-$B5</f>
        <v>-27.562621957483103</v>
      </c>
      <c r="E55" s="229">
        <f t="shared" si="18"/>
        <v>-17.95239165949279</v>
      </c>
      <c r="F55" s="229">
        <f t="shared" si="18"/>
        <v>-24.406586665950499</v>
      </c>
      <c r="G55" s="229">
        <f t="shared" si="18"/>
        <v>-11.409068385899687</v>
      </c>
      <c r="H55" s="229">
        <f t="shared" si="18"/>
        <v>8.3014957788866326</v>
      </c>
      <c r="I55" s="229">
        <f t="shared" si="18"/>
        <v>-3.0304872246054231</v>
      </c>
      <c r="J55" s="229">
        <f t="shared" si="18"/>
        <v>-4.2263349789044469</v>
      </c>
      <c r="K55" s="229">
        <f t="shared" si="18"/>
        <v>16.54861820143563</v>
      </c>
      <c r="L55" s="229">
        <f t="shared" si="18"/>
        <v>7.1822653990867735</v>
      </c>
    </row>
    <row r="56" spans="1:12">
      <c r="B56" s="1">
        <v>1982</v>
      </c>
      <c r="C56" s="229">
        <f t="shared" ref="C56:L71" si="19">C6-$B6</f>
        <v>-33.371831634549622</v>
      </c>
      <c r="D56" s="229">
        <f t="shared" si="19"/>
        <v>-24.091008760883525</v>
      </c>
      <c r="E56" s="229">
        <f t="shared" si="19"/>
        <v>-15.44434478915899</v>
      </c>
      <c r="F56" s="229">
        <f t="shared" si="19"/>
        <v>-21.159181872946931</v>
      </c>
      <c r="G56" s="229">
        <f t="shared" si="19"/>
        <v>-13.02469753041477</v>
      </c>
      <c r="H56" s="229">
        <f t="shared" si="19"/>
        <v>10.279606679792323</v>
      </c>
      <c r="I56" s="229">
        <f t="shared" si="19"/>
        <v>0.19865336234209963</v>
      </c>
      <c r="J56" s="229">
        <f t="shared" si="19"/>
        <v>-0.30092741959862224</v>
      </c>
      <c r="K56" s="229">
        <f t="shared" si="19"/>
        <v>12.819011068574454</v>
      </c>
      <c r="L56" s="229">
        <f t="shared" si="19"/>
        <v>4.75131043776382</v>
      </c>
    </row>
    <row r="57" spans="1:12">
      <c r="B57" s="1">
        <v>1983</v>
      </c>
      <c r="C57" s="229">
        <f t="shared" si="19"/>
        <v>-34.270072892905205</v>
      </c>
      <c r="D57" s="229">
        <f t="shared" si="19"/>
        <v>-21.107883953388367</v>
      </c>
      <c r="E57" s="229">
        <f t="shared" si="19"/>
        <v>-14.589216529614717</v>
      </c>
      <c r="F57" s="229">
        <f t="shared" si="19"/>
        <v>-20.264425655289202</v>
      </c>
      <c r="G57" s="229">
        <f t="shared" si="19"/>
        <v>-12.535851777357792</v>
      </c>
      <c r="H57" s="229">
        <f t="shared" si="19"/>
        <v>12.138450387718109</v>
      </c>
      <c r="I57" s="229">
        <f t="shared" si="19"/>
        <v>-3.8069155857148047</v>
      </c>
      <c r="J57" s="229">
        <f t="shared" si="19"/>
        <v>-6.3240043919592352</v>
      </c>
      <c r="K57" s="229">
        <f t="shared" si="19"/>
        <v>10.366601880971913</v>
      </c>
      <c r="L57" s="229">
        <f t="shared" si="19"/>
        <v>2.548398840969341</v>
      </c>
    </row>
    <row r="58" spans="1:12">
      <c r="B58" s="1">
        <v>1984</v>
      </c>
      <c r="C58" s="229">
        <f t="shared" si="19"/>
        <v>-36.143612057349372</v>
      </c>
      <c r="D58" s="229">
        <f t="shared" si="19"/>
        <v>-23.3421090608132</v>
      </c>
      <c r="E58" s="229">
        <f t="shared" si="19"/>
        <v>-14.520904606604262</v>
      </c>
      <c r="F58" s="229">
        <f t="shared" si="19"/>
        <v>-20.854176462247352</v>
      </c>
      <c r="G58" s="229">
        <f t="shared" si="19"/>
        <v>-10.810492954058986</v>
      </c>
      <c r="H58" s="229">
        <f t="shared" si="19"/>
        <v>11.872837825843362</v>
      </c>
      <c r="I58" s="229">
        <f t="shared" si="19"/>
        <v>1.4398989455754361</v>
      </c>
      <c r="J58" s="229">
        <f t="shared" si="19"/>
        <v>-6.8933008443202084</v>
      </c>
      <c r="K58" s="229">
        <f t="shared" si="19"/>
        <v>8.0656396534715782</v>
      </c>
      <c r="L58" s="229">
        <f t="shared" si="19"/>
        <v>0.22382679290538476</v>
      </c>
    </row>
    <row r="59" spans="1:12">
      <c r="B59" s="1">
        <v>1985</v>
      </c>
      <c r="C59" s="229">
        <f t="shared" si="19"/>
        <v>-36.385209414038485</v>
      </c>
      <c r="D59" s="229">
        <f t="shared" si="19"/>
        <v>-24.859116366628385</v>
      </c>
      <c r="E59" s="229">
        <f t="shared" si="19"/>
        <v>-14.242342678847663</v>
      </c>
      <c r="F59" s="229">
        <f t="shared" si="19"/>
        <v>-22.165290528653827</v>
      </c>
      <c r="G59" s="229">
        <f t="shared" si="19"/>
        <v>-11.843113283371551</v>
      </c>
      <c r="H59" s="229">
        <f t="shared" si="19"/>
        <v>11.686000718200006</v>
      </c>
      <c r="I59" s="229">
        <f t="shared" si="19"/>
        <v>2.0172183458087432</v>
      </c>
      <c r="J59" s="229">
        <f t="shared" si="19"/>
        <v>-7.3117764416700197</v>
      </c>
      <c r="K59" s="229">
        <f t="shared" si="19"/>
        <v>13.017599182370049</v>
      </c>
      <c r="L59" s="229">
        <f t="shared" si="19"/>
        <v>-0.61507582300083641</v>
      </c>
    </row>
    <row r="60" spans="1:12">
      <c r="B60" s="1">
        <v>1986</v>
      </c>
      <c r="C60" s="229">
        <f t="shared" si="19"/>
        <v>-34.148540907106977</v>
      </c>
      <c r="D60" s="229">
        <f t="shared" si="19"/>
        <v>-18.343563081725492</v>
      </c>
      <c r="E60" s="229">
        <f t="shared" si="19"/>
        <v>-13.642807283686125</v>
      </c>
      <c r="F60" s="229">
        <f t="shared" si="19"/>
        <v>-19.678573073969361</v>
      </c>
      <c r="G60" s="229">
        <f t="shared" si="19"/>
        <v>-12.013689800421517</v>
      </c>
      <c r="H60" s="229">
        <f t="shared" si="19"/>
        <v>11.574491521936906</v>
      </c>
      <c r="I60" s="229">
        <f t="shared" si="19"/>
        <v>0.2039294366565656</v>
      </c>
      <c r="J60" s="229">
        <f t="shared" si="19"/>
        <v>-1.0136594685470612</v>
      </c>
      <c r="K60" s="229">
        <f t="shared" si="19"/>
        <v>9.9847535667756802</v>
      </c>
      <c r="L60" s="229">
        <f t="shared" si="19"/>
        <v>-0.95018879644251797</v>
      </c>
    </row>
    <row r="61" spans="1:12">
      <c r="B61" s="1">
        <v>1987</v>
      </c>
      <c r="C61" s="229">
        <f t="shared" si="19"/>
        <v>-29.543514334834768</v>
      </c>
      <c r="D61" s="229">
        <f t="shared" si="19"/>
        <v>-17.865604134629805</v>
      </c>
      <c r="E61" s="229">
        <f t="shared" si="19"/>
        <v>-11.841446306398694</v>
      </c>
      <c r="F61" s="229">
        <f t="shared" si="19"/>
        <v>-17.446544904391587</v>
      </c>
      <c r="G61" s="229">
        <f t="shared" si="19"/>
        <v>-10.889424275158817</v>
      </c>
      <c r="H61" s="229">
        <f t="shared" si="19"/>
        <v>12.230023105437155</v>
      </c>
      <c r="I61" s="229">
        <f t="shared" si="19"/>
        <v>-1.7578673207581375</v>
      </c>
      <c r="J61" s="229">
        <f t="shared" si="19"/>
        <v>-13.311810511739935</v>
      </c>
      <c r="K61" s="229">
        <f t="shared" si="19"/>
        <v>5.6001871004454102</v>
      </c>
      <c r="L61" s="229">
        <f t="shared" si="19"/>
        <v>0.9098022323173609</v>
      </c>
    </row>
    <row r="62" spans="1:12">
      <c r="B62" s="1">
        <v>1988</v>
      </c>
      <c r="C62" s="229">
        <f t="shared" si="19"/>
        <v>-27.97922539919557</v>
      </c>
      <c r="D62" s="229">
        <f t="shared" si="19"/>
        <v>-16.249133216528548</v>
      </c>
      <c r="E62" s="229">
        <f t="shared" si="19"/>
        <v>-11.743148465468366</v>
      </c>
      <c r="F62" s="229">
        <f t="shared" si="19"/>
        <v>-17.161345539263309</v>
      </c>
      <c r="G62" s="229">
        <f t="shared" si="19"/>
        <v>-11.656167049793339</v>
      </c>
      <c r="H62" s="229">
        <f t="shared" si="19"/>
        <v>11.833940518766354</v>
      </c>
      <c r="I62" s="229">
        <f t="shared" si="19"/>
        <v>-3.3850134077487439</v>
      </c>
      <c r="J62" s="229">
        <f t="shared" si="19"/>
        <v>-14.086237868454759</v>
      </c>
      <c r="K62" s="229">
        <f t="shared" si="19"/>
        <v>8.552013636621524</v>
      </c>
      <c r="L62" s="229">
        <f t="shared" si="19"/>
        <v>0.64154548728639327</v>
      </c>
    </row>
    <row r="63" spans="1:12">
      <c r="B63" s="1">
        <v>1989</v>
      </c>
      <c r="C63" s="229">
        <f t="shared" si="19"/>
        <v>-26.975097016126483</v>
      </c>
      <c r="D63" s="229">
        <f t="shared" si="19"/>
        <v>-16.289524035477015</v>
      </c>
      <c r="E63" s="229">
        <f t="shared" si="19"/>
        <v>-11.088418424757236</v>
      </c>
      <c r="F63" s="229">
        <f t="shared" si="19"/>
        <v>-17.285600063763582</v>
      </c>
      <c r="G63" s="229">
        <f t="shared" si="19"/>
        <v>-10.855293208720056</v>
      </c>
      <c r="H63" s="229">
        <f t="shared" si="19"/>
        <v>11.022380184206668</v>
      </c>
      <c r="I63" s="229">
        <f t="shared" si="19"/>
        <v>-4.0594732742296031</v>
      </c>
      <c r="J63" s="229">
        <f t="shared" si="19"/>
        <v>-14.917482336298278</v>
      </c>
      <c r="K63" s="229">
        <f t="shared" si="19"/>
        <v>7.9512386622567277</v>
      </c>
      <c r="L63" s="229">
        <f t="shared" si="19"/>
        <v>2.3750290744080758</v>
      </c>
    </row>
    <row r="64" spans="1:12">
      <c r="B64" s="1">
        <v>1990</v>
      </c>
      <c r="C64" s="229">
        <f t="shared" si="19"/>
        <v>-24.959107465754116</v>
      </c>
      <c r="D64" s="229">
        <f t="shared" si="19"/>
        <v>-15.784697434914435</v>
      </c>
      <c r="E64" s="229">
        <f t="shared" si="19"/>
        <v>-11.38898552557518</v>
      </c>
      <c r="F64" s="229">
        <f t="shared" si="19"/>
        <v>-17.425945436429942</v>
      </c>
      <c r="G64" s="229">
        <f t="shared" si="19"/>
        <v>-9.9610278463503761</v>
      </c>
      <c r="H64" s="229">
        <f t="shared" si="19"/>
        <v>9.584609998480758</v>
      </c>
      <c r="I64" s="229">
        <f t="shared" si="19"/>
        <v>-2.134902134184216</v>
      </c>
      <c r="J64" s="229">
        <f t="shared" si="19"/>
        <v>-11.111778306511127</v>
      </c>
      <c r="K64" s="229">
        <f t="shared" si="19"/>
        <v>6.8454622835613037</v>
      </c>
      <c r="L64" s="229">
        <f t="shared" si="19"/>
        <v>2.9371250777997489</v>
      </c>
    </row>
    <row r="65" spans="2:12">
      <c r="B65" s="1">
        <v>1991</v>
      </c>
      <c r="C65" s="229">
        <f t="shared" si="19"/>
        <v>-23.885672454888748</v>
      </c>
      <c r="D65" s="229">
        <f t="shared" si="19"/>
        <v>-15.686313497472682</v>
      </c>
      <c r="E65" s="229">
        <f t="shared" si="19"/>
        <v>-10.84574966570429</v>
      </c>
      <c r="F65" s="229">
        <f t="shared" si="19"/>
        <v>-16.990655406049655</v>
      </c>
      <c r="G65" s="229">
        <f t="shared" si="19"/>
        <v>-11.20555751948838</v>
      </c>
      <c r="H65" s="229">
        <f t="shared" si="19"/>
        <v>10.154691315313897</v>
      </c>
      <c r="I65" s="229">
        <f t="shared" si="19"/>
        <v>-3.0909225628199408</v>
      </c>
      <c r="J65" s="229">
        <f t="shared" si="19"/>
        <v>-10.976082248662081</v>
      </c>
      <c r="K65" s="229">
        <f t="shared" si="19"/>
        <v>7.1355021049449761</v>
      </c>
      <c r="L65" s="229">
        <f t="shared" si="19"/>
        <v>2.9576366906473766</v>
      </c>
    </row>
    <row r="66" spans="2:12">
      <c r="B66" s="1">
        <v>1992</v>
      </c>
      <c r="C66" s="229">
        <f t="shared" si="19"/>
        <v>-22.781502615262752</v>
      </c>
      <c r="D66" s="229">
        <f t="shared" si="19"/>
        <v>-15.139828851033926</v>
      </c>
      <c r="E66" s="229">
        <f t="shared" si="19"/>
        <v>-9.3549493852525671</v>
      </c>
      <c r="F66" s="229">
        <f t="shared" si="19"/>
        <v>-14.93563423893616</v>
      </c>
      <c r="G66" s="229">
        <f t="shared" si="19"/>
        <v>-11.715486266358766</v>
      </c>
      <c r="H66" s="229">
        <f t="shared" si="19"/>
        <v>10.797545240309773</v>
      </c>
      <c r="I66" s="229">
        <f t="shared" si="19"/>
        <v>-2.7138359243173653</v>
      </c>
      <c r="J66" s="229">
        <f t="shared" si="19"/>
        <v>-13.41786164968569</v>
      </c>
      <c r="K66" s="229">
        <f t="shared" si="19"/>
        <v>7.186317635488308</v>
      </c>
      <c r="L66" s="229">
        <f t="shared" si="19"/>
        <v>1.4801729336535629</v>
      </c>
    </row>
    <row r="67" spans="2:12">
      <c r="B67" s="1">
        <v>1993</v>
      </c>
      <c r="C67" s="229">
        <f t="shared" si="19"/>
        <v>-21.624856541703195</v>
      </c>
      <c r="D67" s="229">
        <f t="shared" si="19"/>
        <v>-12.451931538572836</v>
      </c>
      <c r="E67" s="229">
        <f t="shared" si="19"/>
        <v>-8.1850619616307085</v>
      </c>
      <c r="F67" s="229">
        <f t="shared" si="19"/>
        <v>-13.469551266034884</v>
      </c>
      <c r="G67" s="229">
        <f t="shared" si="19"/>
        <v>-10.410453246426343</v>
      </c>
      <c r="H67" s="229">
        <f t="shared" si="19"/>
        <v>9.5401742183869516</v>
      </c>
      <c r="I67" s="229">
        <f t="shared" si="19"/>
        <v>-4.5902109476466535</v>
      </c>
      <c r="J67" s="229">
        <f t="shared" si="19"/>
        <v>-12.952374355683517</v>
      </c>
      <c r="K67" s="229">
        <f t="shared" si="19"/>
        <v>9.4941266897358361</v>
      </c>
      <c r="L67" s="229">
        <f t="shared" si="19"/>
        <v>0.58657026542894641</v>
      </c>
    </row>
    <row r="68" spans="2:12">
      <c r="B68" s="1">
        <v>1994</v>
      </c>
      <c r="C68" s="229">
        <f t="shared" si="19"/>
        <v>-21.324889336076851</v>
      </c>
      <c r="D68" s="229">
        <f t="shared" si="19"/>
        <v>-14.187264744845066</v>
      </c>
      <c r="E68" s="229">
        <f t="shared" si="19"/>
        <v>-9.3669951751470961</v>
      </c>
      <c r="F68" s="229">
        <f t="shared" si="19"/>
        <v>-13.296976495051709</v>
      </c>
      <c r="G68" s="229">
        <f t="shared" si="19"/>
        <v>-8.8452841489120715</v>
      </c>
      <c r="H68" s="229">
        <f t="shared" si="19"/>
        <v>9.2143027281314431</v>
      </c>
      <c r="I68" s="229">
        <f t="shared" si="19"/>
        <v>-4.7556087106323872</v>
      </c>
      <c r="J68" s="229">
        <f t="shared" si="19"/>
        <v>-14.77381905823006</v>
      </c>
      <c r="K68" s="229">
        <f t="shared" si="19"/>
        <v>7.0501980322243583</v>
      </c>
      <c r="L68" s="229">
        <f t="shared" si="19"/>
        <v>-0.53991164238163947</v>
      </c>
    </row>
    <row r="69" spans="2:12">
      <c r="B69" s="1">
        <v>1995</v>
      </c>
      <c r="C69" s="229">
        <f t="shared" si="19"/>
        <v>-20.679842960176018</v>
      </c>
      <c r="D69" s="229">
        <f t="shared" si="19"/>
        <v>-13.683608557777589</v>
      </c>
      <c r="E69" s="229">
        <f t="shared" si="19"/>
        <v>-8.9955584665943036</v>
      </c>
      <c r="F69" s="229">
        <f t="shared" si="19"/>
        <v>-11.670428683933991</v>
      </c>
      <c r="G69" s="229">
        <f t="shared" si="19"/>
        <v>-8.6216858634648759</v>
      </c>
      <c r="H69" s="229">
        <f t="shared" si="19"/>
        <v>8.7725795551628352</v>
      </c>
      <c r="I69" s="229">
        <f t="shared" si="19"/>
        <v>-4.8185901054358453</v>
      </c>
      <c r="J69" s="229">
        <f t="shared" si="19"/>
        <v>-10.791977281087625</v>
      </c>
      <c r="K69" s="229">
        <f t="shared" si="19"/>
        <v>7.0008585465265725</v>
      </c>
      <c r="L69" s="229">
        <f t="shared" si="19"/>
        <v>-1.3036721704404215</v>
      </c>
    </row>
    <row r="70" spans="2:12">
      <c r="B70" s="1">
        <v>1996</v>
      </c>
      <c r="C70" s="229">
        <f t="shared" si="19"/>
        <v>-21.268329302828477</v>
      </c>
      <c r="D70" s="229">
        <f t="shared" si="19"/>
        <v>-14.920966300508894</v>
      </c>
      <c r="E70" s="229">
        <f t="shared" si="19"/>
        <v>-10.070625754142796</v>
      </c>
      <c r="F70" s="229">
        <f t="shared" si="19"/>
        <v>-11.50223282036491</v>
      </c>
      <c r="G70" s="229">
        <f t="shared" si="19"/>
        <v>-7.8312931374049697</v>
      </c>
      <c r="H70" s="229">
        <f t="shared" si="19"/>
        <v>7.5452244716670549</v>
      </c>
      <c r="I70" s="229">
        <f t="shared" si="19"/>
        <v>-3.1721493661278686</v>
      </c>
      <c r="J70" s="229">
        <f t="shared" si="19"/>
        <v>-6.6649536410702694</v>
      </c>
      <c r="K70" s="229">
        <f t="shared" si="19"/>
        <v>6.833383534146023</v>
      </c>
      <c r="L70" s="229">
        <f t="shared" si="19"/>
        <v>-1.6453748482675934</v>
      </c>
    </row>
    <row r="71" spans="2:12">
      <c r="B71" s="1">
        <v>1997</v>
      </c>
      <c r="C71" s="229">
        <f t="shared" si="19"/>
        <v>-22.61964899502172</v>
      </c>
      <c r="D71" s="229">
        <f t="shared" si="19"/>
        <v>-14.879032733733979</v>
      </c>
      <c r="E71" s="229">
        <f t="shared" si="19"/>
        <v>-9.3548172590022176</v>
      </c>
      <c r="F71" s="229">
        <f t="shared" si="19"/>
        <v>-12.143538658449771</v>
      </c>
      <c r="G71" s="229">
        <f t="shared" si="19"/>
        <v>-8.582371428205164</v>
      </c>
      <c r="H71" s="229">
        <f t="shared" si="19"/>
        <v>8.2021447476824818</v>
      </c>
      <c r="I71" s="229">
        <f t="shared" si="19"/>
        <v>-6.0581089899150413</v>
      </c>
      <c r="J71" s="229">
        <f t="shared" si="19"/>
        <v>-12.614987988132754</v>
      </c>
      <c r="K71" s="229">
        <f t="shared" si="19"/>
        <v>10.193330462495553</v>
      </c>
      <c r="L71" s="229">
        <f t="shared" si="19"/>
        <v>-1.7247848227470257</v>
      </c>
    </row>
    <row r="72" spans="2:12">
      <c r="B72" s="1">
        <v>1998</v>
      </c>
      <c r="C72" s="229">
        <f t="shared" ref="C72:L82" si="20">C22-$B22</f>
        <v>-21.510076272777866</v>
      </c>
      <c r="D72" s="229">
        <f t="shared" si="20"/>
        <v>-14.747151941619549</v>
      </c>
      <c r="E72" s="229">
        <f t="shared" si="20"/>
        <v>-8.0035616491695265</v>
      </c>
      <c r="F72" s="229">
        <f t="shared" si="20"/>
        <v>-10.453454197397178</v>
      </c>
      <c r="G72" s="229">
        <f t="shared" si="20"/>
        <v>-9.6030735543338182</v>
      </c>
      <c r="H72" s="229">
        <f t="shared" si="20"/>
        <v>8.8044379150220777</v>
      </c>
      <c r="I72" s="229">
        <f t="shared" si="20"/>
        <v>-4.9277935431612718</v>
      </c>
      <c r="J72" s="229">
        <f t="shared" si="20"/>
        <v>-11.700904168156754</v>
      </c>
      <c r="K72" s="229">
        <f t="shared" si="20"/>
        <v>10.577061524506263</v>
      </c>
      <c r="L72" s="229">
        <f t="shared" si="20"/>
        <v>-3.2095846245088495</v>
      </c>
    </row>
    <row r="73" spans="2:12">
      <c r="B73" s="1">
        <v>1999</v>
      </c>
      <c r="C73" s="229">
        <f t="shared" si="20"/>
        <v>-20.669836692999084</v>
      </c>
      <c r="D73" s="229">
        <f t="shared" si="20"/>
        <v>-13.637384704699912</v>
      </c>
      <c r="E73" s="229">
        <f t="shared" si="20"/>
        <v>-7.3177291108028442</v>
      </c>
      <c r="F73" s="229">
        <f t="shared" si="20"/>
        <v>-9.6269105036916756</v>
      </c>
      <c r="G73" s="229">
        <f t="shared" si="20"/>
        <v>-9.3216229645988022</v>
      </c>
      <c r="H73" s="229">
        <f t="shared" si="20"/>
        <v>8.7873400139900184</v>
      </c>
      <c r="I73" s="229">
        <f t="shared" si="20"/>
        <v>-6.3851183632694983</v>
      </c>
      <c r="J73" s="229">
        <f t="shared" si="20"/>
        <v>-11.099212667472301</v>
      </c>
      <c r="K73" s="229">
        <f t="shared" si="20"/>
        <v>8.5516128862515899</v>
      </c>
      <c r="L73" s="229">
        <f t="shared" si="20"/>
        <v>-3.1635053773732835</v>
      </c>
    </row>
    <row r="74" spans="2:12">
      <c r="B74" s="1">
        <v>2000</v>
      </c>
      <c r="C74" s="229">
        <f t="shared" si="20"/>
        <v>-21.561886957136252</v>
      </c>
      <c r="D74" s="229">
        <f t="shared" si="20"/>
        <v>-14.471520971940976</v>
      </c>
      <c r="E74" s="229">
        <f t="shared" si="20"/>
        <v>-9.8584425568737828</v>
      </c>
      <c r="F74" s="229">
        <f t="shared" si="20"/>
        <v>-11.950220377452993</v>
      </c>
      <c r="G74" s="229">
        <f t="shared" si="20"/>
        <v>-9.6253322659140821</v>
      </c>
      <c r="H74" s="229">
        <f t="shared" si="20"/>
        <v>9.2990920596880358</v>
      </c>
      <c r="I74" s="229">
        <f t="shared" si="20"/>
        <v>-8.0546352885349677</v>
      </c>
      <c r="J74" s="229">
        <f t="shared" si="20"/>
        <v>-12.478493095940678</v>
      </c>
      <c r="K74" s="229">
        <f t="shared" si="20"/>
        <v>9.2959475762494748</v>
      </c>
      <c r="L74" s="229">
        <f t="shared" si="20"/>
        <v>-3.4247101042397645</v>
      </c>
    </row>
    <row r="75" spans="2:12">
      <c r="B75" s="1">
        <v>2001</v>
      </c>
      <c r="C75" s="229">
        <f t="shared" si="20"/>
        <v>-18.973815895017097</v>
      </c>
      <c r="D75" s="229">
        <f t="shared" si="20"/>
        <v>-15.981904318072168</v>
      </c>
      <c r="E75" s="229">
        <f t="shared" si="20"/>
        <v>-9.2453428102327848</v>
      </c>
      <c r="F75" s="229">
        <f t="shared" si="20"/>
        <v>-11.514906831216948</v>
      </c>
      <c r="G75" s="229">
        <f t="shared" si="20"/>
        <v>-8.99838613716949</v>
      </c>
      <c r="H75" s="229">
        <f t="shared" si="20"/>
        <v>6.776076784266678</v>
      </c>
      <c r="I75" s="229">
        <f t="shared" si="20"/>
        <v>-8.1724404991055764</v>
      </c>
      <c r="J75" s="229">
        <f t="shared" si="20"/>
        <v>-13.765269370870314</v>
      </c>
      <c r="K75" s="229">
        <f t="shared" si="20"/>
        <v>15.79650598062095</v>
      </c>
      <c r="L75" s="229">
        <f t="shared" si="20"/>
        <v>-2.8665870317129105</v>
      </c>
    </row>
    <row r="76" spans="2:12">
      <c r="B76" s="1">
        <v>2002</v>
      </c>
      <c r="C76" s="229">
        <f t="shared" si="20"/>
        <v>-18.424427538265036</v>
      </c>
      <c r="D76" s="229">
        <f t="shared" si="20"/>
        <v>-13.98591631135784</v>
      </c>
      <c r="E76" s="229">
        <f t="shared" si="20"/>
        <v>-9.7720194548070793</v>
      </c>
      <c r="F76" s="229">
        <f t="shared" si="20"/>
        <v>-12.699381032513301</v>
      </c>
      <c r="G76" s="229">
        <f t="shared" si="20"/>
        <v>-7.793492372223028</v>
      </c>
      <c r="H76" s="229">
        <f t="shared" si="20"/>
        <v>6.1734742468909189</v>
      </c>
      <c r="I76" s="229">
        <f t="shared" si="20"/>
        <v>-7.5132735917640048</v>
      </c>
      <c r="J76" s="229">
        <f t="shared" si="20"/>
        <v>-13.665142271864255</v>
      </c>
      <c r="K76" s="229">
        <f t="shared" si="20"/>
        <v>13.108305240415291</v>
      </c>
      <c r="L76" s="229">
        <f t="shared" si="20"/>
        <v>-2.3356748005668493</v>
      </c>
    </row>
    <row r="77" spans="2:12">
      <c r="B77" s="1">
        <v>2003</v>
      </c>
      <c r="C77" s="229">
        <f t="shared" si="20"/>
        <v>-17.353558995285695</v>
      </c>
      <c r="D77" s="229">
        <f t="shared" si="20"/>
        <v>-16.286242732681629</v>
      </c>
      <c r="E77" s="229">
        <f t="shared" si="20"/>
        <v>-10.620902696943219</v>
      </c>
      <c r="F77" s="229">
        <f t="shared" si="20"/>
        <v>-12.497274921068012</v>
      </c>
      <c r="G77" s="229">
        <f t="shared" si="20"/>
        <v>-6.6044357912732181</v>
      </c>
      <c r="H77" s="229">
        <f t="shared" si="20"/>
        <v>5.4891428374921531</v>
      </c>
      <c r="I77" s="229">
        <f t="shared" si="20"/>
        <v>-6.9376446358174917</v>
      </c>
      <c r="J77" s="229">
        <f t="shared" si="20"/>
        <v>-10.422444131558223</v>
      </c>
      <c r="K77" s="229">
        <f t="shared" si="20"/>
        <v>11.248083898089462</v>
      </c>
      <c r="L77" s="229">
        <f t="shared" si="20"/>
        <v>-2.0010627098519933</v>
      </c>
    </row>
    <row r="78" spans="2:12">
      <c r="B78" s="1">
        <v>2004</v>
      </c>
      <c r="C78" s="229">
        <f t="shared" si="20"/>
        <v>-18.387489072741218</v>
      </c>
      <c r="D78" s="229">
        <f t="shared" si="20"/>
        <v>-17.760062314357143</v>
      </c>
      <c r="E78" s="229">
        <f t="shared" si="20"/>
        <v>-10.702583440755944</v>
      </c>
      <c r="F78" s="229">
        <f t="shared" si="20"/>
        <v>-11.594029432732356</v>
      </c>
      <c r="G78" s="229">
        <f t="shared" si="20"/>
        <v>-7.4191571521634927</v>
      </c>
      <c r="H78" s="229">
        <f t="shared" si="20"/>
        <v>4.6356581043898331</v>
      </c>
      <c r="I78" s="229">
        <f t="shared" si="20"/>
        <v>-7.1036147236731182</v>
      </c>
      <c r="J78" s="229">
        <f t="shared" si="20"/>
        <v>-7.7264574736105089</v>
      </c>
      <c r="K78" s="229">
        <f t="shared" si="20"/>
        <v>14.798945493668157</v>
      </c>
      <c r="L78" s="229">
        <f t="shared" si="20"/>
        <v>-1.5775946676244956</v>
      </c>
    </row>
    <row r="79" spans="2:12">
      <c r="B79" s="1">
        <v>2005</v>
      </c>
      <c r="C79" s="229">
        <f t="shared" si="20"/>
        <v>-18.749950791652765</v>
      </c>
      <c r="D79" s="229">
        <f t="shared" si="20"/>
        <v>-18.611793208094952</v>
      </c>
      <c r="E79" s="229">
        <f t="shared" si="20"/>
        <v>-10.112795339516197</v>
      </c>
      <c r="F79" s="229">
        <f t="shared" si="20"/>
        <v>-11.792417448894597</v>
      </c>
      <c r="G79" s="229">
        <f t="shared" si="20"/>
        <v>-8.2945198615972231</v>
      </c>
      <c r="H79" s="229">
        <f t="shared" si="20"/>
        <v>3.7098246405880388</v>
      </c>
      <c r="I79" s="229">
        <f t="shared" si="20"/>
        <v>-8.696318875323513</v>
      </c>
      <c r="J79" s="229">
        <f t="shared" si="20"/>
        <v>-9.5501536193071956</v>
      </c>
      <c r="K79" s="229">
        <f t="shared" si="20"/>
        <v>19.093956895781773</v>
      </c>
      <c r="L79" s="229">
        <f t="shared" si="20"/>
        <v>-0.99965602316223112</v>
      </c>
    </row>
    <row r="80" spans="2:12">
      <c r="B80" s="1">
        <v>2006</v>
      </c>
      <c r="C80" s="229">
        <f t="shared" si="20"/>
        <v>-3.5416873517158223</v>
      </c>
      <c r="D80" s="229">
        <f t="shared" si="20"/>
        <v>-19.487786631539478</v>
      </c>
      <c r="E80" s="229">
        <f t="shared" si="20"/>
        <v>-11.9821080064103</v>
      </c>
      <c r="F80" s="229">
        <f t="shared" si="20"/>
        <v>-13.089311512948129</v>
      </c>
      <c r="G80" s="229">
        <f t="shared" si="20"/>
        <v>-10.446600895161339</v>
      </c>
      <c r="H80" s="229">
        <f t="shared" si="20"/>
        <v>2.7607036326057823</v>
      </c>
      <c r="I80" s="229">
        <f t="shared" si="20"/>
        <v>-9.6607502999336674</v>
      </c>
      <c r="J80" s="229">
        <f t="shared" si="20"/>
        <v>-10.642434934268294</v>
      </c>
      <c r="K80" s="229">
        <f t="shared" si="20"/>
        <v>21.163733315057925</v>
      </c>
      <c r="L80" s="229">
        <f t="shared" si="20"/>
        <v>0.14223360354223757</v>
      </c>
    </row>
    <row r="81" spans="2:12">
      <c r="B81" s="1">
        <v>2007</v>
      </c>
      <c r="C81" s="229">
        <f t="shared" si="20"/>
        <v>-8.0834711917379281</v>
      </c>
      <c r="D81" s="229">
        <f t="shared" si="20"/>
        <v>-18.84449430296273</v>
      </c>
      <c r="E81" s="229">
        <f t="shared" si="20"/>
        <v>-11.572230976953961</v>
      </c>
      <c r="F81" s="229">
        <f t="shared" si="20"/>
        <v>-12.452138361640394</v>
      </c>
      <c r="G81" s="229">
        <f t="shared" si="20"/>
        <v>-9.2195513511281035</v>
      </c>
      <c r="H81" s="229">
        <f t="shared" si="20"/>
        <v>2.3937310341660663</v>
      </c>
      <c r="I81" s="229">
        <f t="shared" si="20"/>
        <v>-7.8579657966124756</v>
      </c>
      <c r="J81" s="229">
        <f t="shared" si="20"/>
        <v>-7.8575162858447811</v>
      </c>
      <c r="K81" s="229">
        <f t="shared" si="20"/>
        <v>20.866312467831037</v>
      </c>
      <c r="L81" s="229">
        <f t="shared" si="20"/>
        <v>1.2506907820145159</v>
      </c>
    </row>
    <row r="82" spans="2:12">
      <c r="B82" s="1">
        <v>2008</v>
      </c>
      <c r="C82" s="229">
        <f t="shared" si="20"/>
        <v>-14.282242508573233</v>
      </c>
      <c r="D82" s="229">
        <f t="shared" si="20"/>
        <v>-21.101705830226919</v>
      </c>
      <c r="E82" s="229">
        <f t="shared" si="20"/>
        <v>-12.392067211040896</v>
      </c>
      <c r="F82" s="229">
        <f t="shared" si="20"/>
        <v>-12.185753637672704</v>
      </c>
      <c r="G82" s="229">
        <f t="shared" si="20"/>
        <v>-9.5875325836543226</v>
      </c>
      <c r="H82" s="229">
        <f t="shared" si="20"/>
        <v>1.7639181753930302</v>
      </c>
      <c r="I82" s="229">
        <f t="shared" si="20"/>
        <v>-6.9628473937005282</v>
      </c>
      <c r="J82" s="229">
        <f t="shared" si="20"/>
        <v>-2.4714296793470538</v>
      </c>
      <c r="K82" s="229">
        <f t="shared" si="20"/>
        <v>22.238018728945391</v>
      </c>
      <c r="L82" s="229">
        <f t="shared" si="20"/>
        <v>1.8492613104610882</v>
      </c>
    </row>
    <row r="83" spans="2:12">
      <c r="B83" s="1" t="s">
        <v>280</v>
      </c>
    </row>
    <row r="84" spans="2:12">
      <c r="B84" s="1">
        <v>1981</v>
      </c>
      <c r="C84" s="121">
        <f>C55^2</f>
        <v>1220.7306422905733</v>
      </c>
      <c r="D84" s="121">
        <f t="shared" ref="D84:L84" si="21">D55^2</f>
        <v>759.69812917112961</v>
      </c>
      <c r="E84" s="121">
        <f t="shared" si="21"/>
        <v>322.28836629582628</v>
      </c>
      <c r="F84" s="121">
        <f t="shared" si="21"/>
        <v>595.68147268255268</v>
      </c>
      <c r="G84" s="121">
        <f t="shared" si="21"/>
        <v>130.16684143413568</v>
      </c>
      <c r="H84" s="121">
        <f t="shared" si="21"/>
        <v>68.914832166872586</v>
      </c>
      <c r="I84" s="121">
        <f t="shared" si="21"/>
        <v>9.1838528184966801</v>
      </c>
      <c r="J84" s="121">
        <f t="shared" si="21"/>
        <v>17.861907353911253</v>
      </c>
      <c r="K84" s="121">
        <f t="shared" si="21"/>
        <v>273.85676437688664</v>
      </c>
      <c r="L84" s="121">
        <f t="shared" si="21"/>
        <v>51.584936262919094</v>
      </c>
    </row>
    <row r="85" spans="2:12">
      <c r="B85" s="1">
        <v>1982</v>
      </c>
      <c r="C85" s="121">
        <f t="shared" ref="C85:L100" si="22">C56^2</f>
        <v>1113.6791466447269</v>
      </c>
      <c r="D85" s="121">
        <f t="shared" si="22"/>
        <v>580.37670311696672</v>
      </c>
      <c r="E85" s="121">
        <f t="shared" si="22"/>
        <v>238.52778596642244</v>
      </c>
      <c r="F85" s="121">
        <f t="shared" si="22"/>
        <v>447.71097753244601</v>
      </c>
      <c r="G85" s="121">
        <f t="shared" si="22"/>
        <v>169.64274575879259</v>
      </c>
      <c r="H85" s="121">
        <f t="shared" si="22"/>
        <v>105.67031349123094</v>
      </c>
      <c r="I85" s="121">
        <f t="shared" si="22"/>
        <v>3.9463158369821526E-2</v>
      </c>
      <c r="J85" s="121">
        <f t="shared" si="22"/>
        <v>9.0557311866285253E-2</v>
      </c>
      <c r="K85" s="121">
        <f t="shared" si="22"/>
        <v>164.32704477623437</v>
      </c>
      <c r="L85" s="121">
        <f t="shared" si="22"/>
        <v>22.574950876003424</v>
      </c>
    </row>
    <row r="86" spans="2:12">
      <c r="B86" s="1">
        <v>1983</v>
      </c>
      <c r="C86" s="121">
        <f t="shared" si="22"/>
        <v>1174.4378960850361</v>
      </c>
      <c r="D86" s="121">
        <f t="shared" si="22"/>
        <v>445.54276498971012</v>
      </c>
      <c r="E86" s="121">
        <f t="shared" si="22"/>
        <v>212.84523894798329</v>
      </c>
      <c r="F86" s="121">
        <f t="shared" si="22"/>
        <v>410.6469471387432</v>
      </c>
      <c r="G86" s="121">
        <f t="shared" si="22"/>
        <v>157.14757978388451</v>
      </c>
      <c r="H86" s="121">
        <f t="shared" si="22"/>
        <v>147.34197781509391</v>
      </c>
      <c r="I86" s="121">
        <f t="shared" si="22"/>
        <v>14.492606276758295</v>
      </c>
      <c r="J86" s="121">
        <f t="shared" si="22"/>
        <v>39.993031549519699</v>
      </c>
      <c r="K86" s="121">
        <f t="shared" si="22"/>
        <v>107.46643455857041</v>
      </c>
      <c r="L86" s="121">
        <f t="shared" si="22"/>
        <v>6.4943366526538808</v>
      </c>
    </row>
    <row r="87" spans="2:12">
      <c r="B87" s="1">
        <v>1984</v>
      </c>
      <c r="C87" s="121">
        <f t="shared" si="22"/>
        <v>1306.360692552171</v>
      </c>
      <c r="D87" s="121">
        <f t="shared" si="22"/>
        <v>544.85405540689771</v>
      </c>
      <c r="E87" s="121">
        <f t="shared" si="22"/>
        <v>210.85667059410088</v>
      </c>
      <c r="F87" s="121">
        <f t="shared" si="22"/>
        <v>434.89667591855147</v>
      </c>
      <c r="G87" s="121">
        <f t="shared" si="22"/>
        <v>116.86675790975899</v>
      </c>
      <c r="H87" s="121">
        <f t="shared" si="22"/>
        <v>140.96427803877694</v>
      </c>
      <c r="I87" s="121">
        <f t="shared" si="22"/>
        <v>2.0733089734692527</v>
      </c>
      <c r="J87" s="121">
        <f t="shared" si="22"/>
        <v>47.517596530305696</v>
      </c>
      <c r="K87" s="121">
        <f t="shared" si="22"/>
        <v>65.054543019653124</v>
      </c>
      <c r="L87" s="121">
        <f t="shared" si="22"/>
        <v>5.0098433222310002E-2</v>
      </c>
    </row>
    <row r="88" spans="2:12">
      <c r="B88" s="1">
        <v>1985</v>
      </c>
      <c r="C88" s="121">
        <f t="shared" si="22"/>
        <v>1323.8834641034348</v>
      </c>
      <c r="D88" s="121">
        <f t="shared" si="22"/>
        <v>617.97566652957119</v>
      </c>
      <c r="E88" s="121">
        <f t="shared" si="22"/>
        <v>202.84432498172563</v>
      </c>
      <c r="F88" s="121">
        <f t="shared" si="22"/>
        <v>491.30010421963107</v>
      </c>
      <c r="G88" s="121">
        <f t="shared" si="22"/>
        <v>140.25933224277168</v>
      </c>
      <c r="H88" s="121">
        <f t="shared" si="22"/>
        <v>136.56261278577105</v>
      </c>
      <c r="I88" s="121">
        <f t="shared" si="22"/>
        <v>4.0691698546673623</v>
      </c>
      <c r="J88" s="121">
        <f t="shared" si="22"/>
        <v>53.462074732960694</v>
      </c>
      <c r="K88" s="121">
        <f t="shared" si="22"/>
        <v>169.45788847284135</v>
      </c>
      <c r="L88" s="121">
        <f t="shared" si="22"/>
        <v>0.37831826804015622</v>
      </c>
    </row>
    <row r="89" spans="2:12">
      <c r="B89" s="1">
        <v>1986</v>
      </c>
      <c r="C89" s="121">
        <f t="shared" si="22"/>
        <v>1166.1228460843586</v>
      </c>
      <c r="D89" s="121">
        <f t="shared" si="22"/>
        <v>336.48630653324244</v>
      </c>
      <c r="E89" s="121">
        <f t="shared" si="22"/>
        <v>186.12619057979919</v>
      </c>
      <c r="F89" s="121">
        <f t="shared" si="22"/>
        <v>387.24623822755194</v>
      </c>
      <c r="G89" s="121">
        <f t="shared" si="22"/>
        <v>144.328742620752</v>
      </c>
      <c r="H89" s="121">
        <f t="shared" si="22"/>
        <v>133.96885399138932</v>
      </c>
      <c r="I89" s="121">
        <f t="shared" si="22"/>
        <v>4.15872151350642E-2</v>
      </c>
      <c r="J89" s="121">
        <f t="shared" si="22"/>
        <v>1.0275055181751107</v>
      </c>
      <c r="K89" s="121">
        <f t="shared" si="22"/>
        <v>99.695303789239674</v>
      </c>
      <c r="L89" s="121">
        <f t="shared" si="22"/>
        <v>0.90285874888488082</v>
      </c>
    </row>
    <row r="90" spans="2:12">
      <c r="B90" s="1">
        <v>1987</v>
      </c>
      <c r="C90" s="121">
        <f t="shared" si="22"/>
        <v>872.81923925258741</v>
      </c>
      <c r="D90" s="121">
        <f t="shared" si="22"/>
        <v>319.1798110953016</v>
      </c>
      <c r="E90" s="121">
        <f t="shared" si="22"/>
        <v>140.21985062732327</v>
      </c>
      <c r="F90" s="121">
        <f t="shared" si="22"/>
        <v>304.38192910095205</v>
      </c>
      <c r="G90" s="121">
        <f t="shared" si="22"/>
        <v>118.57956104441811</v>
      </c>
      <c r="H90" s="121">
        <f t="shared" si="22"/>
        <v>149.57346515952668</v>
      </c>
      <c r="I90" s="121">
        <f t="shared" si="22"/>
        <v>3.0900975173893923</v>
      </c>
      <c r="J90" s="121">
        <f t="shared" si="22"/>
        <v>177.20429910046983</v>
      </c>
      <c r="K90" s="121">
        <f t="shared" si="22"/>
        <v>31.362095559995172</v>
      </c>
      <c r="L90" s="121">
        <f t="shared" si="22"/>
        <v>0.82774010192965319</v>
      </c>
    </row>
    <row r="91" spans="2:12">
      <c r="B91" s="1">
        <v>1988</v>
      </c>
      <c r="C91" s="121">
        <f t="shared" si="22"/>
        <v>782.83705393899049</v>
      </c>
      <c r="D91" s="121">
        <f t="shared" si="22"/>
        <v>264.03433028849139</v>
      </c>
      <c r="E91" s="121">
        <f t="shared" si="22"/>
        <v>137.90153588203202</v>
      </c>
      <c r="F91" s="121">
        <f t="shared" si="22"/>
        <v>294.51178071799268</v>
      </c>
      <c r="G91" s="121">
        <f t="shared" si="22"/>
        <v>135.86623029268796</v>
      </c>
      <c r="H91" s="121">
        <f t="shared" si="22"/>
        <v>140.04214820170009</v>
      </c>
      <c r="I91" s="121">
        <f t="shared" si="22"/>
        <v>11.458315770638764</v>
      </c>
      <c r="J91" s="121">
        <f t="shared" si="22"/>
        <v>198.42209728668888</v>
      </c>
      <c r="K91" s="121">
        <f t="shared" si="22"/>
        <v>73.136937240960506</v>
      </c>
      <c r="L91" s="121">
        <f t="shared" si="22"/>
        <v>0.41158061225753578</v>
      </c>
    </row>
    <row r="92" spans="2:12">
      <c r="B92" s="1">
        <v>1989</v>
      </c>
      <c r="C92" s="121">
        <f t="shared" si="22"/>
        <v>727.65585902943587</v>
      </c>
      <c r="D92" s="121">
        <f t="shared" si="22"/>
        <v>265.34859330238339</v>
      </c>
      <c r="E92" s="121">
        <f t="shared" si="22"/>
        <v>122.95302316249575</v>
      </c>
      <c r="F92" s="121">
        <f t="shared" si="22"/>
        <v>298.79196956438352</v>
      </c>
      <c r="G92" s="121">
        <f t="shared" si="22"/>
        <v>117.83739064728377</v>
      </c>
      <c r="H92" s="121">
        <f t="shared" si="22"/>
        <v>121.49286492519181</v>
      </c>
      <c r="I92" s="121">
        <f t="shared" si="22"/>
        <v>16.479323264184416</v>
      </c>
      <c r="J92" s="121">
        <f t="shared" si="22"/>
        <v>222.53127925377112</v>
      </c>
      <c r="K92" s="121">
        <f t="shared" si="22"/>
        <v>63.222196264166158</v>
      </c>
      <c r="L92" s="121">
        <f t="shared" si="22"/>
        <v>5.640763104283681</v>
      </c>
    </row>
    <row r="93" spans="2:12">
      <c r="B93" s="1">
        <v>1990</v>
      </c>
      <c r="C93" s="121">
        <f t="shared" si="22"/>
        <v>622.95704548706283</v>
      </c>
      <c r="D93" s="121">
        <f t="shared" si="22"/>
        <v>249.15667311179433</v>
      </c>
      <c r="E93" s="121">
        <f t="shared" si="22"/>
        <v>129.70899130176096</v>
      </c>
      <c r="F93" s="121">
        <f t="shared" si="22"/>
        <v>303.66357435343349</v>
      </c>
      <c r="G93" s="121">
        <f t="shared" si="22"/>
        <v>99.222075755767605</v>
      </c>
      <c r="H93" s="121">
        <f t="shared" si="22"/>
        <v>91.864748822977319</v>
      </c>
      <c r="I93" s="121">
        <f t="shared" si="22"/>
        <v>4.55780712254432</v>
      </c>
      <c r="J93" s="121">
        <f t="shared" si="22"/>
        <v>123.47161713305128</v>
      </c>
      <c r="K93" s="121">
        <f t="shared" si="22"/>
        <v>46.860353875660337</v>
      </c>
      <c r="L93" s="121">
        <f t="shared" si="22"/>
        <v>8.6267037226401815</v>
      </c>
    </row>
    <row r="94" spans="2:12">
      <c r="B94" s="1">
        <v>1991</v>
      </c>
      <c r="C94" s="121">
        <f t="shared" si="22"/>
        <v>570.52534862223104</v>
      </c>
      <c r="D94" s="121">
        <f t="shared" si="22"/>
        <v>246.06043114099364</v>
      </c>
      <c r="E94" s="121">
        <f t="shared" si="22"/>
        <v>117.63028581112471</v>
      </c>
      <c r="F94" s="121">
        <f t="shared" si="22"/>
        <v>288.68237112712433</v>
      </c>
      <c r="G94" s="121">
        <f t="shared" si="22"/>
        <v>125.56451932256257</v>
      </c>
      <c r="H94" s="121">
        <f t="shared" si="22"/>
        <v>103.1177557093115</v>
      </c>
      <c r="I94" s="121">
        <f t="shared" si="22"/>
        <v>9.5538022893493917</v>
      </c>
      <c r="J94" s="121">
        <f t="shared" si="22"/>
        <v>120.47438152939485</v>
      </c>
      <c r="K94" s="121">
        <f t="shared" si="22"/>
        <v>50.915390289674185</v>
      </c>
      <c r="L94" s="121">
        <f t="shared" si="22"/>
        <v>8.7476147938635656</v>
      </c>
    </row>
    <row r="95" spans="2:12">
      <c r="B95" s="1">
        <v>1992</v>
      </c>
      <c r="C95" s="121">
        <f t="shared" si="22"/>
        <v>518.99686140922358</v>
      </c>
      <c r="D95" s="121">
        <f t="shared" si="22"/>
        <v>229.21441763859923</v>
      </c>
      <c r="E95" s="121">
        <f t="shared" si="22"/>
        <v>87.515078000637388</v>
      </c>
      <c r="F95" s="121">
        <f t="shared" si="22"/>
        <v>223.07317011928214</v>
      </c>
      <c r="G95" s="121">
        <f t="shared" si="22"/>
        <v>137.25261845724086</v>
      </c>
      <c r="H95" s="121">
        <f t="shared" si="22"/>
        <v>116.58698321653624</v>
      </c>
      <c r="I95" s="121">
        <f t="shared" si="22"/>
        <v>7.3649054241154888</v>
      </c>
      <c r="J95" s="121">
        <f t="shared" si="22"/>
        <v>180.039011250106</v>
      </c>
      <c r="K95" s="121">
        <f t="shared" si="22"/>
        <v>51.643161158130269</v>
      </c>
      <c r="L95" s="121">
        <f t="shared" si="22"/>
        <v>2.190911913520595</v>
      </c>
    </row>
    <row r="96" spans="2:12">
      <c r="B96" s="1">
        <v>1993</v>
      </c>
      <c r="C96" s="121">
        <f t="shared" si="22"/>
        <v>467.63442044924346</v>
      </c>
      <c r="D96" s="121">
        <f t="shared" si="22"/>
        <v>155.05059904130488</v>
      </c>
      <c r="E96" s="121">
        <f t="shared" si="22"/>
        <v>66.99523931573394</v>
      </c>
      <c r="F96" s="121">
        <f t="shared" si="22"/>
        <v>181.42881130834195</v>
      </c>
      <c r="G96" s="121">
        <f t="shared" si="22"/>
        <v>108.37753679602878</v>
      </c>
      <c r="H96" s="121">
        <f t="shared" si="22"/>
        <v>91.014924117175084</v>
      </c>
      <c r="I96" s="121">
        <f t="shared" si="22"/>
        <v>21.070036543895188</v>
      </c>
      <c r="J96" s="121">
        <f t="shared" si="22"/>
        <v>167.76400144976802</v>
      </c>
      <c r="K96" s="121">
        <f t="shared" si="22"/>
        <v>90.138441600754348</v>
      </c>
      <c r="L96" s="121">
        <f t="shared" si="22"/>
        <v>0.34406467628538467</v>
      </c>
    </row>
    <row r="97" spans="2:12">
      <c r="B97" s="1">
        <v>1994</v>
      </c>
      <c r="C97" s="121">
        <f t="shared" si="22"/>
        <v>454.75090519592419</v>
      </c>
      <c r="D97" s="121">
        <f t="shared" si="22"/>
        <v>201.27848094032376</v>
      </c>
      <c r="E97" s="121">
        <f t="shared" si="22"/>
        <v>87.740598611228975</v>
      </c>
      <c r="F97" s="121">
        <f t="shared" si="22"/>
        <v>176.80958390995764</v>
      </c>
      <c r="G97" s="121">
        <f t="shared" si="22"/>
        <v>78.239051674995153</v>
      </c>
      <c r="H97" s="121">
        <f t="shared" si="22"/>
        <v>84.903374765650554</v>
      </c>
      <c r="I97" s="121">
        <f t="shared" si="22"/>
        <v>22.615814208642636</v>
      </c>
      <c r="J97" s="121">
        <f t="shared" si="22"/>
        <v>218.26572956532175</v>
      </c>
      <c r="K97" s="121">
        <f t="shared" si="22"/>
        <v>49.705292293580214</v>
      </c>
      <c r="L97" s="121">
        <f t="shared" si="22"/>
        <v>0.29150458157923936</v>
      </c>
    </row>
    <row r="98" spans="2:12">
      <c r="B98" s="1">
        <v>1995</v>
      </c>
      <c r="C98" s="121">
        <f t="shared" si="22"/>
        <v>427.6559048575416</v>
      </c>
      <c r="D98" s="121">
        <f t="shared" si="22"/>
        <v>187.24114316248406</v>
      </c>
      <c r="E98" s="121">
        <f t="shared" si="22"/>
        <v>80.920072125916462</v>
      </c>
      <c r="F98" s="121">
        <f t="shared" si="22"/>
        <v>136.19890566678927</v>
      </c>
      <c r="G98" s="121">
        <f t="shared" si="22"/>
        <v>74.333467128270087</v>
      </c>
      <c r="H98" s="121">
        <f t="shared" si="22"/>
        <v>76.95815205166096</v>
      </c>
      <c r="I98" s="121">
        <f t="shared" si="22"/>
        <v>23.218810604204229</v>
      </c>
      <c r="J98" s="121">
        <f t="shared" si="22"/>
        <v>116.46677363551146</v>
      </c>
      <c r="K98" s="121">
        <f t="shared" si="22"/>
        <v>49.012020388474156</v>
      </c>
      <c r="L98" s="121">
        <f t="shared" si="22"/>
        <v>1.6995611279808394</v>
      </c>
    </row>
    <row r="99" spans="2:12">
      <c r="B99" s="1">
        <v>1996</v>
      </c>
      <c r="C99" s="121">
        <f t="shared" si="22"/>
        <v>452.34183133355242</v>
      </c>
      <c r="D99" s="121">
        <f t="shared" si="22"/>
        <v>222.63523534092207</v>
      </c>
      <c r="E99" s="121">
        <f t="shared" si="22"/>
        <v>101.41750308000415</v>
      </c>
      <c r="F99" s="121">
        <f t="shared" si="22"/>
        <v>132.30135985387969</v>
      </c>
      <c r="G99" s="121">
        <f t="shared" si="22"/>
        <v>61.329152203966174</v>
      </c>
      <c r="H99" s="121">
        <f t="shared" si="22"/>
        <v>56.930412327843385</v>
      </c>
      <c r="I99" s="121">
        <f t="shared" si="22"/>
        <v>10.062531601025439</v>
      </c>
      <c r="J99" s="121">
        <f t="shared" si="22"/>
        <v>44.421607037615843</v>
      </c>
      <c r="K99" s="121">
        <f t="shared" si="22"/>
        <v>46.695130524737991</v>
      </c>
      <c r="L99" s="121">
        <f t="shared" si="22"/>
        <v>2.7072583913116062</v>
      </c>
    </row>
    <row r="100" spans="2:12">
      <c r="B100" s="1">
        <v>1997</v>
      </c>
      <c r="C100" s="121">
        <f t="shared" si="22"/>
        <v>511.64852065798709</v>
      </c>
      <c r="D100" s="121">
        <f t="shared" si="22"/>
        <v>221.38561509152726</v>
      </c>
      <c r="E100" s="121">
        <f t="shared" si="22"/>
        <v>87.51260594932576</v>
      </c>
      <c r="F100" s="121">
        <f t="shared" si="22"/>
        <v>147.46553114926405</v>
      </c>
      <c r="G100" s="121">
        <f t="shared" si="22"/>
        <v>73.657099331672342</v>
      </c>
      <c r="H100" s="121">
        <f t="shared" si="22"/>
        <v>67.275178461935326</v>
      </c>
      <c r="I100" s="121">
        <f t="shared" si="22"/>
        <v>36.70068453368944</v>
      </c>
      <c r="J100" s="121">
        <f t="shared" si="22"/>
        <v>159.13792194073366</v>
      </c>
      <c r="K100" s="121">
        <f t="shared" si="22"/>
        <v>103.9039859176398</v>
      </c>
      <c r="L100" s="121">
        <f t="shared" si="22"/>
        <v>2.9748826847784891</v>
      </c>
    </row>
    <row r="101" spans="2:12">
      <c r="B101" s="1">
        <v>1998</v>
      </c>
      <c r="C101" s="121">
        <f t="shared" ref="C101:L111" si="23">C72^2</f>
        <v>462.68338126072132</v>
      </c>
      <c r="D101" s="121">
        <f t="shared" si="23"/>
        <v>217.47849038921325</v>
      </c>
      <c r="E101" s="121">
        <f t="shared" si="23"/>
        <v>64.056999072057238</v>
      </c>
      <c r="F101" s="121">
        <f t="shared" si="23"/>
        <v>109.27470465708069</v>
      </c>
      <c r="G101" s="121">
        <f t="shared" si="23"/>
        <v>92.219021689945549</v>
      </c>
      <c r="H101" s="121">
        <f t="shared" si="23"/>
        <v>77.518126999478312</v>
      </c>
      <c r="I101" s="121">
        <f t="shared" si="23"/>
        <v>24.283149204021921</v>
      </c>
      <c r="J101" s="121">
        <f t="shared" si="23"/>
        <v>136.9111583523881</v>
      </c>
      <c r="K101" s="121">
        <f t="shared" si="23"/>
        <v>111.87423049319075</v>
      </c>
      <c r="L101" s="121">
        <f t="shared" si="23"/>
        <v>10.301433461883613</v>
      </c>
    </row>
    <row r="102" spans="2:12">
      <c r="B102" s="1">
        <v>1999</v>
      </c>
      <c r="C102" s="121">
        <f t="shared" si="23"/>
        <v>427.24214891525133</v>
      </c>
      <c r="D102" s="121">
        <f t="shared" si="23"/>
        <v>185.97826158398308</v>
      </c>
      <c r="E102" s="121">
        <f t="shared" si="23"/>
        <v>53.549159339091382</v>
      </c>
      <c r="F102" s="121">
        <f t="shared" si="23"/>
        <v>92.677405846089115</v>
      </c>
      <c r="G102" s="121">
        <f t="shared" si="23"/>
        <v>86.892654694135757</v>
      </c>
      <c r="H102" s="121">
        <f t="shared" si="23"/>
        <v>77.217344521470096</v>
      </c>
      <c r="I102" s="121">
        <f t="shared" si="23"/>
        <v>40.769736512961359</v>
      </c>
      <c r="J102" s="121">
        <f t="shared" si="23"/>
        <v>123.19252183777759</v>
      </c>
      <c r="K102" s="121">
        <f t="shared" si="23"/>
        <v>73.13008295630425</v>
      </c>
      <c r="L102" s="121">
        <f t="shared" si="23"/>
        <v>10.007766272669681</v>
      </c>
    </row>
    <row r="103" spans="2:12">
      <c r="B103" s="1">
        <v>2000</v>
      </c>
      <c r="C103" s="121">
        <f t="shared" si="23"/>
        <v>464.91496915232244</v>
      </c>
      <c r="D103" s="121">
        <f t="shared" si="23"/>
        <v>209.42491924132747</v>
      </c>
      <c r="E103" s="121">
        <f t="shared" si="23"/>
        <v>97.18888964718009</v>
      </c>
      <c r="F103" s="121">
        <f t="shared" si="23"/>
        <v>142.80776706969274</v>
      </c>
      <c r="G103" s="121">
        <f t="shared" si="23"/>
        <v>92.647021229246718</v>
      </c>
      <c r="H103" s="121">
        <f t="shared" si="23"/>
        <v>86.473113134553074</v>
      </c>
      <c r="I103" s="121">
        <f t="shared" si="23"/>
        <v>64.877149631312776</v>
      </c>
      <c r="J103" s="121">
        <f t="shared" si="23"/>
        <v>155.71278994543917</v>
      </c>
      <c r="K103" s="121">
        <f t="shared" si="23"/>
        <v>86.414641340378481</v>
      </c>
      <c r="L103" s="121">
        <f t="shared" si="23"/>
        <v>11.728639298081939</v>
      </c>
    </row>
    <row r="104" spans="2:12">
      <c r="B104" s="1">
        <v>2001</v>
      </c>
      <c r="C104" s="121">
        <f t="shared" si="23"/>
        <v>360.00568961800343</v>
      </c>
      <c r="D104" s="121">
        <f t="shared" si="23"/>
        <v>255.42126563201381</v>
      </c>
      <c r="E104" s="121">
        <f t="shared" si="23"/>
        <v>85.476363678723047</v>
      </c>
      <c r="F104" s="121">
        <f t="shared" si="23"/>
        <v>132.59307933160673</v>
      </c>
      <c r="G104" s="121">
        <f t="shared" si="23"/>
        <v>80.970953073604051</v>
      </c>
      <c r="H104" s="121">
        <f t="shared" si="23"/>
        <v>45.915216586277843</v>
      </c>
      <c r="I104" s="121">
        <f t="shared" si="23"/>
        <v>66.788783711421004</v>
      </c>
      <c r="J104" s="121">
        <f t="shared" si="23"/>
        <v>189.48264085262042</v>
      </c>
      <c r="K104" s="121">
        <f t="shared" si="23"/>
        <v>249.52960119579342</v>
      </c>
      <c r="L104" s="121">
        <f t="shared" si="23"/>
        <v>8.2173212103846343</v>
      </c>
    </row>
    <row r="105" spans="2:12">
      <c r="B105" s="1">
        <v>2002</v>
      </c>
      <c r="C105" s="121">
        <f t="shared" si="23"/>
        <v>339.45953011277902</v>
      </c>
      <c r="D105" s="121">
        <f t="shared" si="23"/>
        <v>195.60585506830529</v>
      </c>
      <c r="E105" s="121">
        <f t="shared" si="23"/>
        <v>95.492364225128043</v>
      </c>
      <c r="F105" s="121">
        <f t="shared" si="23"/>
        <v>161.27427860895861</v>
      </c>
      <c r="G105" s="121">
        <f t="shared" si="23"/>
        <v>60.738523355898522</v>
      </c>
      <c r="H105" s="121">
        <f t="shared" si="23"/>
        <v>38.1117842770254</v>
      </c>
      <c r="I105" s="121">
        <f t="shared" si="23"/>
        <v>56.449280064698392</v>
      </c>
      <c r="J105" s="121">
        <f t="shared" si="23"/>
        <v>186.73611331029139</v>
      </c>
      <c r="K105" s="121">
        <f t="shared" si="23"/>
        <v>171.82766627589896</v>
      </c>
      <c r="L105" s="121">
        <f t="shared" si="23"/>
        <v>5.4553767740029908</v>
      </c>
    </row>
    <row r="106" spans="2:12">
      <c r="B106" s="1">
        <v>2003</v>
      </c>
      <c r="C106" s="121">
        <f t="shared" si="23"/>
        <v>301.14600980286104</v>
      </c>
      <c r="D106" s="121">
        <f t="shared" si="23"/>
        <v>265.2417023478252</v>
      </c>
      <c r="E106" s="121">
        <f t="shared" si="23"/>
        <v>112.80357409793574</v>
      </c>
      <c r="F106" s="121">
        <f t="shared" si="23"/>
        <v>156.18188045275548</v>
      </c>
      <c r="G106" s="121">
        <f t="shared" si="23"/>
        <v>43.618572121050697</v>
      </c>
      <c r="H106" s="121">
        <f t="shared" si="23"/>
        <v>30.130689090391407</v>
      </c>
      <c r="I106" s="121">
        <f t="shared" si="23"/>
        <v>48.130913092887219</v>
      </c>
      <c r="J106" s="121">
        <f t="shared" si="23"/>
        <v>108.62734167545243</v>
      </c>
      <c r="K106" s="121">
        <f t="shared" si="23"/>
        <v>126.51939137845942</v>
      </c>
      <c r="L106" s="121">
        <f t="shared" si="23"/>
        <v>4.0042519687602027</v>
      </c>
    </row>
    <row r="107" spans="2:12">
      <c r="B107" s="1">
        <v>2004</v>
      </c>
      <c r="C107" s="121">
        <f t="shared" si="23"/>
        <v>338.09975440017769</v>
      </c>
      <c r="D107" s="121">
        <f t="shared" si="23"/>
        <v>315.41981340984876</v>
      </c>
      <c r="E107" s="121">
        <f t="shared" si="23"/>
        <v>114.54529230634336</v>
      </c>
      <c r="F107" s="121">
        <f t="shared" si="23"/>
        <v>134.42151848706416</v>
      </c>
      <c r="G107" s="121">
        <f t="shared" si="23"/>
        <v>55.043892848498707</v>
      </c>
      <c r="H107" s="121">
        <f t="shared" si="23"/>
        <v>21.48932606079514</v>
      </c>
      <c r="I107" s="121">
        <f t="shared" si="23"/>
        <v>50.461342142385512</v>
      </c>
      <c r="J107" s="121">
        <f t="shared" si="23"/>
        <v>59.698145091511691</v>
      </c>
      <c r="K107" s="121">
        <f t="shared" si="23"/>
        <v>219.00878772456105</v>
      </c>
      <c r="L107" s="121">
        <f t="shared" si="23"/>
        <v>2.4888049353172428</v>
      </c>
    </row>
    <row r="108" spans="2:12">
      <c r="B108" s="1">
        <v>2005</v>
      </c>
      <c r="C108" s="121">
        <f t="shared" si="23"/>
        <v>351.56065468940017</v>
      </c>
      <c r="D108" s="121">
        <f t="shared" si="23"/>
        <v>346.39884642088936</v>
      </c>
      <c r="E108" s="121">
        <f t="shared" si="23"/>
        <v>102.26862957894051</v>
      </c>
      <c r="F108" s="121">
        <f t="shared" si="23"/>
        <v>139.06110928899375</v>
      </c>
      <c r="G108" s="121">
        <f t="shared" si="23"/>
        <v>68.799059734430813</v>
      </c>
      <c r="H108" s="121">
        <f t="shared" si="23"/>
        <v>13.762798863914172</v>
      </c>
      <c r="I108" s="121">
        <f t="shared" si="23"/>
        <v>75.625961981308009</v>
      </c>
      <c r="J108" s="121">
        <f t="shared" si="23"/>
        <v>91.205434152366323</v>
      </c>
      <c r="K108" s="121">
        <f t="shared" si="23"/>
        <v>364.57918993797233</v>
      </c>
      <c r="L108" s="121">
        <f t="shared" si="23"/>
        <v>0.99931216464452721</v>
      </c>
    </row>
    <row r="109" spans="2:12">
      <c r="B109" s="1">
        <v>2006</v>
      </c>
      <c r="C109" s="121">
        <f t="shared" si="23"/>
        <v>12.543549297303835</v>
      </c>
      <c r="D109" s="121">
        <f t="shared" si="23"/>
        <v>379.7738277964088</v>
      </c>
      <c r="E109" s="121">
        <f t="shared" si="23"/>
        <v>143.57091227728182</v>
      </c>
      <c r="F109" s="121">
        <f t="shared" si="23"/>
        <v>171.33007588299643</v>
      </c>
      <c r="G109" s="121">
        <f t="shared" si="23"/>
        <v>109.13147026278568</v>
      </c>
      <c r="H109" s="121">
        <f t="shared" si="23"/>
        <v>7.6214845470827628</v>
      </c>
      <c r="I109" s="121">
        <f t="shared" si="23"/>
        <v>93.330096357668438</v>
      </c>
      <c r="J109" s="121">
        <f t="shared" si="23"/>
        <v>113.2614213301342</v>
      </c>
      <c r="K109" s="121">
        <f t="shared" si="23"/>
        <v>447.90360783089272</v>
      </c>
      <c r="L109" s="121">
        <f t="shared" si="23"/>
        <v>2.0230397976610418E-2</v>
      </c>
    </row>
    <row r="110" spans="2:12">
      <c r="B110" s="1">
        <v>2007</v>
      </c>
      <c r="C110" s="121">
        <f t="shared" si="23"/>
        <v>65.342506507656992</v>
      </c>
      <c r="D110" s="121">
        <f t="shared" si="23"/>
        <v>355.1149655343948</v>
      </c>
      <c r="E110" s="121">
        <f t="shared" si="23"/>
        <v>133.91652978397281</v>
      </c>
      <c r="F110" s="121">
        <f t="shared" si="23"/>
        <v>155.05574977743632</v>
      </c>
      <c r="G110" s="121">
        <f t="shared" si="23"/>
        <v>85.000127116088038</v>
      </c>
      <c r="H110" s="121">
        <f t="shared" si="23"/>
        <v>5.729948263929745</v>
      </c>
      <c r="I110" s="121">
        <f t="shared" si="23"/>
        <v>61.747626460731539</v>
      </c>
      <c r="J110" s="121">
        <f t="shared" si="23"/>
        <v>61.740562182315962</v>
      </c>
      <c r="K110" s="121">
        <f t="shared" si="23"/>
        <v>435.40299600516096</v>
      </c>
      <c r="L110" s="121">
        <f t="shared" si="23"/>
        <v>1.5642274322160814</v>
      </c>
    </row>
    <row r="111" spans="2:12">
      <c r="B111" s="1">
        <v>2008</v>
      </c>
      <c r="C111" s="121">
        <f t="shared" si="23"/>
        <v>203.98245107369624</v>
      </c>
      <c r="D111" s="121">
        <f t="shared" si="23"/>
        <v>445.28198894543277</v>
      </c>
      <c r="E111" s="121">
        <f t="shared" si="23"/>
        <v>153.56332976295488</v>
      </c>
      <c r="F111" s="121">
        <f t="shared" si="23"/>
        <v>148.49259171805355</v>
      </c>
      <c r="G111" s="121">
        <f t="shared" si="23"/>
        <v>91.920781042633337</v>
      </c>
      <c r="H111" s="121">
        <f t="shared" si="23"/>
        <v>3.1114073294818767</v>
      </c>
      <c r="I111" s="121">
        <f t="shared" si="23"/>
        <v>48.481243827962238</v>
      </c>
      <c r="J111" s="121">
        <f t="shared" si="23"/>
        <v>6.1079646599574815</v>
      </c>
      <c r="K111" s="121">
        <f t="shared" si="23"/>
        <v>494.52947698892598</v>
      </c>
      <c r="L111" s="121">
        <f t="shared" si="23"/>
        <v>3.4197673943682614</v>
      </c>
    </row>
  </sheetData>
  <mergeCells count="11">
    <mergeCell ref="K3:K4"/>
    <mergeCell ref="L3:L4"/>
    <mergeCell ref="F3:F4"/>
    <mergeCell ref="G3:G4"/>
    <mergeCell ref="H3:H4"/>
    <mergeCell ref="I3:I4"/>
    <mergeCell ref="B3:B4"/>
    <mergeCell ref="C3:C4"/>
    <mergeCell ref="D3:D4"/>
    <mergeCell ref="E3:E4"/>
    <mergeCell ref="J3:J4"/>
  </mergeCells>
  <phoneticPr fontId="35" type="noConversion"/>
  <pageMargins left="0.75" right="0.75" top="1" bottom="1" header="0.5" footer="0.5"/>
  <pageSetup scale="71" orientation="landscape" horizontalDpi="300" verticalDpi="300" r:id="rId1"/>
  <headerFooter alignWithMargins="0"/>
</worksheet>
</file>

<file path=xl/worksheets/sheet29.xml><?xml version="1.0" encoding="utf-8"?>
<worksheet xmlns="http://schemas.openxmlformats.org/spreadsheetml/2006/main" xmlns:r="http://schemas.openxmlformats.org/officeDocument/2006/relationships">
  <sheetPr codeName="Sheet53"/>
  <dimension ref="A1:L51"/>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8.85546875" style="1"/>
  </cols>
  <sheetData>
    <row r="1" spans="1:12" ht="15.75">
      <c r="A1" s="3" t="s">
        <v>2114</v>
      </c>
    </row>
    <row r="2" spans="1:12">
      <c r="A2" s="4"/>
      <c r="B2" s="4"/>
    </row>
    <row r="3" spans="1:12">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7"/>
      <c r="C4" s="1165"/>
      <c r="D4" s="1165"/>
      <c r="E4" s="1165"/>
      <c r="F4" s="1165"/>
      <c r="G4" s="1165"/>
      <c r="H4" s="1165"/>
      <c r="I4" s="1165"/>
      <c r="J4" s="1165"/>
      <c r="K4" s="1165"/>
      <c r="L4" s="1165"/>
    </row>
    <row r="5" spans="1:12">
      <c r="A5" s="22">
        <v>1981</v>
      </c>
      <c r="B5" s="43">
        <f>('8a'!B5-'9a'!B5)/'8a'!B5*100</f>
        <v>17.945314300059493</v>
      </c>
      <c r="C5" s="644">
        <f>('8a'!C5-'9a'!C5)/'8a'!C5*100</f>
        <v>14.582872316884266</v>
      </c>
      <c r="D5" s="644">
        <f>('8a'!D5-'9a'!D5)/'8a'!D5*100</f>
        <v>11.753371868978805</v>
      </c>
      <c r="E5" s="644">
        <f>('8a'!E5-'9a'!E5)/'8a'!E5*100</f>
        <v>14.77832512315271</v>
      </c>
      <c r="F5" s="644">
        <f>('8a'!F5-'9a'!F5)/'8a'!F5*100</f>
        <v>14.909735654416497</v>
      </c>
      <c r="G5" s="644">
        <f>('8a'!G5-'9a'!G5)/'8a'!G5*100</f>
        <v>19.184542609292158</v>
      </c>
      <c r="H5" s="644">
        <f>('8a'!H5-'9a'!H5)/'8a'!H5*100</f>
        <v>18.099062182008204</v>
      </c>
      <c r="I5" s="644">
        <f>('8a'!I5-'9a'!I5)/'8a'!I5*100</f>
        <v>14.640464493077257</v>
      </c>
      <c r="J5" s="644">
        <f>('8a'!J5-'9a'!J5)/'8a'!J5*100</f>
        <v>15.730231685582979</v>
      </c>
      <c r="K5" s="644">
        <f>('8a'!K5-'9a'!K5)/'8a'!K5*100</f>
        <v>18.408997567371184</v>
      </c>
      <c r="L5" s="644">
        <f>('8a'!L5-'9a'!L5)/'8a'!L5*100</f>
        <v>18.113917248790983</v>
      </c>
    </row>
    <row r="6" spans="1:12">
      <c r="A6" s="22">
        <v>1982</v>
      </c>
      <c r="B6" s="44">
        <f>('8a'!B6-'9a'!B6)/'8a'!B6*100</f>
        <v>18.119545488450733</v>
      </c>
      <c r="C6" s="644">
        <f>('8a'!C6-'9a'!C6)/'8a'!C6*100</f>
        <v>14.84655241131923</v>
      </c>
      <c r="D6" s="644">
        <f>('8a'!D6-'9a'!D6)/'8a'!D6*100</f>
        <v>11.979609175870863</v>
      </c>
      <c r="E6" s="644">
        <f>('8a'!E6-'9a'!E6)/'8a'!E6*100</f>
        <v>14.853233281836244</v>
      </c>
      <c r="F6" s="644">
        <f>('8a'!F6-'9a'!F6)/'8a'!F6*100</f>
        <v>14.992826398852218</v>
      </c>
      <c r="G6" s="644">
        <f>('8a'!G6-'9a'!G6)/'8a'!G6*100</f>
        <v>19.379385705069961</v>
      </c>
      <c r="H6" s="644">
        <f>('8a'!H6-'9a'!H6)/'8a'!H6*100</f>
        <v>18.143487497957178</v>
      </c>
      <c r="I6" s="644">
        <f>('8a'!I6-'9a'!I6)/'8a'!I6*100</f>
        <v>14.965715196938287</v>
      </c>
      <c r="J6" s="644">
        <f>('8a'!J6-'9a'!J6)/'8a'!J6*100</f>
        <v>15.54593874833556</v>
      </c>
      <c r="K6" s="644">
        <f>('8a'!K6-'9a'!K6)/'8a'!K6*100</f>
        <v>19.043940954342599</v>
      </c>
      <c r="L6" s="644">
        <f>('8a'!L6-'9a'!L6)/'8a'!L6*100</f>
        <v>18.399505256648116</v>
      </c>
    </row>
    <row r="7" spans="1:12">
      <c r="A7" s="22">
        <v>1983</v>
      </c>
      <c r="B7" s="44">
        <f>('8a'!B7-'9a'!B7)/'8a'!B7*100</f>
        <v>18.726125546807936</v>
      </c>
      <c r="C7" s="644">
        <f>('8a'!C7-'9a'!C7)/'8a'!C7*100</f>
        <v>15.473924628854189</v>
      </c>
      <c r="D7" s="644">
        <f>('8a'!D7-'9a'!D7)/'8a'!D7*100</f>
        <v>12.500000000000005</v>
      </c>
      <c r="E7" s="644">
        <f>('8a'!E7-'9a'!E7)/'8a'!E7*100</f>
        <v>15.993438589296694</v>
      </c>
      <c r="F7" s="644">
        <f>('8a'!F7-'9a'!F7)/'8a'!F7*100</f>
        <v>15.328956183840301</v>
      </c>
      <c r="G7" s="644">
        <f>('8a'!G7-'9a'!G7)/'8a'!G7*100</f>
        <v>19.788314561544659</v>
      </c>
      <c r="H7" s="644">
        <f>('8a'!H7-'9a'!H7)/'8a'!H7*100</f>
        <v>18.735226377356202</v>
      </c>
      <c r="I7" s="644">
        <f>('8a'!I7-'9a'!I7)/'8a'!I7*100</f>
        <v>16.033198883028234</v>
      </c>
      <c r="J7" s="644">
        <f>('8a'!J7-'9a'!J7)/'8a'!J7*100</f>
        <v>17.215002467511091</v>
      </c>
      <c r="K7" s="644">
        <f>('8a'!K7-'9a'!K7)/'8a'!K7*100</f>
        <v>19.365408311862883</v>
      </c>
      <c r="L7" s="644">
        <f>('8a'!L7-'9a'!L7)/'8a'!L7*100</f>
        <v>19.133400586059469</v>
      </c>
    </row>
    <row r="8" spans="1:12">
      <c r="A8" s="22">
        <v>1984</v>
      </c>
      <c r="B8" s="44">
        <f>('8a'!B8-'9a'!B8)/'8a'!B8*100</f>
        <v>18.556459670108584</v>
      </c>
      <c r="C8" s="644">
        <f>('8a'!C8-'9a'!C8)/'8a'!C8*100</f>
        <v>15.406976744186037</v>
      </c>
      <c r="D8" s="644">
        <f>('8a'!D8-'9a'!D8)/'8a'!D8*100</f>
        <v>13.00514327700221</v>
      </c>
      <c r="E8" s="644">
        <f>('8a'!E8-'9a'!E8)/'8a'!E8*100</f>
        <v>16.059836296923532</v>
      </c>
      <c r="F8" s="644">
        <f>('8a'!F8-'9a'!F8)/'8a'!F8*100</f>
        <v>15.371308538242925</v>
      </c>
      <c r="G8" s="644">
        <f>('8a'!G8-'9a'!G8)/'8a'!G8*100</f>
        <v>19.472674865929417</v>
      </c>
      <c r="H8" s="644">
        <f>('8a'!H8-'9a'!H8)/'8a'!H8*100</f>
        <v>18.968966897103677</v>
      </c>
      <c r="I8" s="644">
        <f>('8a'!I8-'9a'!I8)/'8a'!I8*100</f>
        <v>15.089408528198087</v>
      </c>
      <c r="J8" s="644">
        <f>('8a'!J8-'9a'!J8)/'8a'!J8*100</f>
        <v>16.061657032755292</v>
      </c>
      <c r="K8" s="644">
        <f>('8a'!K8-'9a'!K8)/'8a'!K8*100</f>
        <v>19.357019251568254</v>
      </c>
      <c r="L8" s="644">
        <f>('8a'!L8-'9a'!L8)/'8a'!L8*100</f>
        <v>18.228380664928885</v>
      </c>
    </row>
    <row r="9" spans="1:12">
      <c r="A9" s="22">
        <v>1985</v>
      </c>
      <c r="B9" s="44">
        <f>('8a'!B9-'9a'!B9)/'8a'!B9*100</f>
        <v>18.818020499776289</v>
      </c>
      <c r="C9" s="644">
        <f>('8a'!C9-'9a'!C9)/'8a'!C9*100</f>
        <v>15.750169721656487</v>
      </c>
      <c r="D9" s="644">
        <f>('8a'!D9-'9a'!D9)/'8a'!D9*100</f>
        <v>13.812154696132584</v>
      </c>
      <c r="E9" s="644">
        <f>('8a'!E9-'9a'!E9)/'8a'!E9*100</f>
        <v>16.572262272571237</v>
      </c>
      <c r="F9" s="644">
        <f>('8a'!F9-'9a'!F9)/'8a'!F9*100</f>
        <v>15.707836555156844</v>
      </c>
      <c r="G9" s="644">
        <f>('8a'!G9-'9a'!G9)/'8a'!G9*100</f>
        <v>20.068136186936648</v>
      </c>
      <c r="H9" s="644">
        <f>('8a'!H9-'9a'!H9)/'8a'!H9*100</f>
        <v>19.452443184335255</v>
      </c>
      <c r="I9" s="644">
        <f>('8a'!I9-'9a'!I9)/'8a'!I9*100</f>
        <v>15.027477733560737</v>
      </c>
      <c r="J9" s="644">
        <f>('8a'!J9-'9a'!J9)/'8a'!J9*100</f>
        <v>15.977565254907608</v>
      </c>
      <c r="K9" s="644">
        <f>('8a'!K9-'9a'!K9)/'8a'!K9*100</f>
        <v>18.228153546893864</v>
      </c>
      <c r="L9" s="644">
        <f>('8a'!L9-'9a'!L9)/'8a'!L9*100</f>
        <v>18.408173778655438</v>
      </c>
    </row>
    <row r="10" spans="1:12">
      <c r="A10" s="22">
        <v>1986</v>
      </c>
      <c r="B10" s="44">
        <f>('8a'!B10-'9a'!B10)/'8a'!B10*100</f>
        <v>20.047585829475498</v>
      </c>
      <c r="C10" s="644">
        <f>('8a'!C10-'9a'!C10)/'8a'!C10*100</f>
        <v>16.997167138810202</v>
      </c>
      <c r="D10" s="644">
        <f>('8a'!D10-'9a'!D10)/'8a'!D10*100</f>
        <v>14.556574923547402</v>
      </c>
      <c r="E10" s="644">
        <f>('8a'!E10-'9a'!E10)/'8a'!E10*100</f>
        <v>17.878812393819267</v>
      </c>
      <c r="F10" s="644">
        <f>('8a'!F10-'9a'!F10)/'8a'!F10*100</f>
        <v>16.967700807479819</v>
      </c>
      <c r="G10" s="644">
        <f>('8a'!G10-'9a'!G10)/'8a'!G10*100</f>
        <v>21.200359209738572</v>
      </c>
      <c r="H10" s="644">
        <f>('8a'!H10-'9a'!H10)/'8a'!H10*100</f>
        <v>20.990856775625858</v>
      </c>
      <c r="I10" s="644">
        <f>('8a'!I10-'9a'!I10)/'8a'!I10*100</f>
        <v>16.562911528792043</v>
      </c>
      <c r="J10" s="644">
        <f>('8a'!J10-'9a'!J10)/'8a'!J10*100</f>
        <v>16.21621621621621</v>
      </c>
      <c r="K10" s="644">
        <f>('8a'!K10-'9a'!K10)/'8a'!K10*100</f>
        <v>19.009607571339792</v>
      </c>
      <c r="L10" s="644">
        <f>('8a'!L10-'9a'!L10)/'8a'!L10*100</f>
        <v>19.339207949132089</v>
      </c>
    </row>
    <row r="11" spans="1:12">
      <c r="A11" s="22">
        <v>1987</v>
      </c>
      <c r="B11" s="44">
        <f>('8a'!B11-'9a'!B11)/'8a'!B11*100</f>
        <v>20.86881857627889</v>
      </c>
      <c r="C11" s="644">
        <f>('8a'!C11-'9a'!C11)/'8a'!C11*100</f>
        <v>17.020367469021501</v>
      </c>
      <c r="D11" s="644">
        <f>('8a'!D11-'9a'!D11)/'8a'!D11*100</f>
        <v>15.747126436781606</v>
      </c>
      <c r="E11" s="644">
        <f>('8a'!E11-'9a'!E11)/'8a'!E11*100</f>
        <v>18.593644354293442</v>
      </c>
      <c r="F11" s="644">
        <f>('8a'!F11-'9a'!F11)/'8a'!F11*100</f>
        <v>17.620318213262177</v>
      </c>
      <c r="G11" s="644">
        <f>('8a'!G11-'9a'!G11)/'8a'!G11*100</f>
        <v>21.689394429005365</v>
      </c>
      <c r="H11" s="644">
        <f>('8a'!H11-'9a'!H11)/'8a'!H11*100</f>
        <v>21.821846373689649</v>
      </c>
      <c r="I11" s="644">
        <f>('8a'!I11-'9a'!I11)/'8a'!I11*100</f>
        <v>17.277997818724522</v>
      </c>
      <c r="J11" s="644">
        <f>('8a'!J11-'9a'!J11)/'8a'!J11*100</f>
        <v>18.231553032893384</v>
      </c>
      <c r="K11" s="644">
        <f>('8a'!K11-'9a'!K11)/'8a'!K11*100</f>
        <v>20.210182157870147</v>
      </c>
      <c r="L11" s="644">
        <f>('8a'!L11-'9a'!L11)/'8a'!L11*100</f>
        <v>20.129293234788211</v>
      </c>
    </row>
    <row r="12" spans="1:12">
      <c r="A12" s="22">
        <v>1988</v>
      </c>
      <c r="B12" s="44">
        <f>('8a'!B12-'9a'!B12)/'8a'!B12*100</f>
        <v>21.356423940685563</v>
      </c>
      <c r="C12" s="644">
        <f>('8a'!C12-'9a'!C12)/'8a'!C12*100</f>
        <v>17.23323270770441</v>
      </c>
      <c r="D12" s="644">
        <f>('8a'!D12-'9a'!D12)/'8a'!D12*100</f>
        <v>16.207792207792213</v>
      </c>
      <c r="E12" s="644">
        <f>('8a'!E12-'9a'!E12)/'8a'!E12*100</f>
        <v>18.627655869035191</v>
      </c>
      <c r="F12" s="644">
        <f>('8a'!F12-'9a'!F12)/'8a'!F12*100</f>
        <v>17.958067456700082</v>
      </c>
      <c r="G12" s="644">
        <f>('8a'!G12-'9a'!G12)/'8a'!G12*100</f>
        <v>22.194038773592975</v>
      </c>
      <c r="H12" s="644">
        <f>('8a'!H12-'9a'!H12)/'8a'!H12*100</f>
        <v>22.471942404690399</v>
      </c>
      <c r="I12" s="644">
        <f>('8a'!I12-'9a'!I12)/'8a'!I12*100</f>
        <v>17.782180338402217</v>
      </c>
      <c r="J12" s="644">
        <f>('8a'!J12-'9a'!J12)/'8a'!J12*100</f>
        <v>18.401890648952477</v>
      </c>
      <c r="K12" s="644">
        <f>('8a'!K12-'9a'!K12)/'8a'!K12*100</f>
        <v>20.060764442178172</v>
      </c>
      <c r="L12" s="644">
        <f>('8a'!L12-'9a'!L12)/'8a'!L12*100</f>
        <v>20.679954715427627</v>
      </c>
    </row>
    <row r="13" spans="1:12">
      <c r="A13" s="22">
        <v>1989</v>
      </c>
      <c r="B13" s="44">
        <f>('8a'!B13-'9a'!B13)/'8a'!B13*100</f>
        <v>20.784735797804966</v>
      </c>
      <c r="C13" s="644">
        <f>('8a'!C13-'9a'!C13)/'8a'!C13*100</f>
        <v>16.941291346271196</v>
      </c>
      <c r="D13" s="644">
        <f>('8a'!D13-'9a'!D13)/'8a'!D13*100</f>
        <v>16.107055961070554</v>
      </c>
      <c r="E13" s="644">
        <f>('8a'!E13-'9a'!E13)/'8a'!E13*100</f>
        <v>17.830763249967593</v>
      </c>
      <c r="F13" s="644">
        <f>('8a'!F13-'9a'!F13)/'8a'!F13*100</f>
        <v>17.602582618299209</v>
      </c>
      <c r="G13" s="644">
        <f>('8a'!G13-'9a'!G13)/'8a'!G13*100</f>
        <v>21.168352171326582</v>
      </c>
      <c r="H13" s="644">
        <f>('8a'!H13-'9a'!H13)/'8a'!H13*100</f>
        <v>21.979154385918942</v>
      </c>
      <c r="I13" s="644">
        <f>('8a'!I13-'9a'!I13)/'8a'!I13*100</f>
        <v>17.193426042983575</v>
      </c>
      <c r="J13" s="644">
        <f>('8a'!J13-'9a'!J13)/'8a'!J13*100</f>
        <v>17.803517803517803</v>
      </c>
      <c r="K13" s="644">
        <f>('8a'!K13-'9a'!K13)/'8a'!K13*100</f>
        <v>19.489052543819589</v>
      </c>
      <c r="L13" s="644">
        <f>('8a'!L13-'9a'!L13)/'8a'!L13*100</f>
        <v>20.555615376332508</v>
      </c>
    </row>
    <row r="14" spans="1:12">
      <c r="A14" s="22">
        <v>1990</v>
      </c>
      <c r="B14" s="44">
        <f>('8a'!B14-'9a'!B14)/'8a'!B14*100</f>
        <v>22.020710371893358</v>
      </c>
      <c r="C14" s="644">
        <f>('8a'!C14-'9a'!C14)/'8a'!C14*100</f>
        <v>18.61612649994392</v>
      </c>
      <c r="D14" s="644">
        <f>('8a'!D14-'9a'!D14)/'8a'!D14*100</f>
        <v>17.545454545454557</v>
      </c>
      <c r="E14" s="644">
        <f>('8a'!E14-'9a'!E14)/'8a'!E14*100</f>
        <v>19.922886920898854</v>
      </c>
      <c r="F14" s="644">
        <f>('8a'!F14-'9a'!F14)/'8a'!F14*100</f>
        <v>19.437157166706427</v>
      </c>
      <c r="G14" s="644">
        <f>('8a'!G14-'9a'!G14)/'8a'!G14*100</f>
        <v>22.611160188457017</v>
      </c>
      <c r="H14" s="644">
        <f>('8a'!H14-'9a'!H14)/'8a'!H14*100</f>
        <v>22.582981241542562</v>
      </c>
      <c r="I14" s="644">
        <f>('8a'!I14-'9a'!I14)/'8a'!I14*100</f>
        <v>18.799382860348778</v>
      </c>
      <c r="J14" s="644">
        <f>('8a'!J14-'9a'!J14)/'8a'!J14*100</f>
        <v>19.25804998874127</v>
      </c>
      <c r="K14" s="644">
        <f>('8a'!K14-'9a'!K14)/'8a'!K14*100</f>
        <v>21.805126340665336</v>
      </c>
      <c r="L14" s="644">
        <f>('8a'!L14-'9a'!L14)/'8a'!L14*100</f>
        <v>22.296565701435352</v>
      </c>
    </row>
    <row r="15" spans="1:12">
      <c r="A15" s="22">
        <v>1991</v>
      </c>
      <c r="B15" s="44">
        <f>('8a'!B15-'9a'!B15)/'8a'!B15*100</f>
        <v>21.940884355764361</v>
      </c>
      <c r="C15" s="644">
        <f>('8a'!C15-'9a'!C15)/'8a'!C15*100</f>
        <v>18.749999999999989</v>
      </c>
      <c r="D15" s="644">
        <f>('8a'!D15-'9a'!D15)/'8a'!D15*100</f>
        <v>17.605941459152479</v>
      </c>
      <c r="E15" s="644">
        <f>('8a'!E15-'9a'!E15)/'8a'!E15*100</f>
        <v>20.032535440390419</v>
      </c>
      <c r="F15" s="644">
        <f>('8a'!F15-'9a'!F15)/'8a'!F15*100</f>
        <v>19.518145776151279</v>
      </c>
      <c r="G15" s="644">
        <f>('8a'!G15-'9a'!G15)/'8a'!G15*100</f>
        <v>22.622051172403957</v>
      </c>
      <c r="H15" s="644">
        <f>('8a'!H15-'9a'!H15)/'8a'!H15*100</f>
        <v>22.200915601559927</v>
      </c>
      <c r="I15" s="644">
        <f>('8a'!I15-'9a'!I15)/'8a'!I15*100</f>
        <v>18.96177136781769</v>
      </c>
      <c r="J15" s="644">
        <f>('8a'!J15-'9a'!J15)/'8a'!J15*100</f>
        <v>19.859954788553793</v>
      </c>
      <c r="K15" s="644">
        <f>('8a'!K15-'9a'!K15)/'8a'!K15*100</f>
        <v>21.968393052730413</v>
      </c>
      <c r="L15" s="644">
        <f>('8a'!L15-'9a'!L15)/'8a'!L15*100</f>
        <v>22.483274928321116</v>
      </c>
    </row>
    <row r="16" spans="1:12">
      <c r="A16" s="22">
        <v>1992</v>
      </c>
      <c r="B16" s="44">
        <f>('8a'!B16-'9a'!B16)/'8a'!B16*100</f>
        <v>22.119122923759338</v>
      </c>
      <c r="C16" s="644">
        <f>('8a'!C16-'9a'!C16)/'8a'!C16*100</f>
        <v>18.669325217756324</v>
      </c>
      <c r="D16" s="644">
        <f>('8a'!D16-'9a'!D16)/'8a'!D16*100</f>
        <v>18.309859154929569</v>
      </c>
      <c r="E16" s="644">
        <f>('8a'!E16-'9a'!E16)/'8a'!E16*100</f>
        <v>20.060032848162209</v>
      </c>
      <c r="F16" s="644">
        <f>('8a'!F16-'9a'!F16)/'8a'!F16*100</f>
        <v>19.738880283248502</v>
      </c>
      <c r="G16" s="644">
        <f>('8a'!G16-'9a'!G16)/'8a'!G16*100</f>
        <v>23.141699953294161</v>
      </c>
      <c r="H16" s="644">
        <f>('8a'!H16-'9a'!H16)/'8a'!H16*100</f>
        <v>22.110928978974258</v>
      </c>
      <c r="I16" s="644">
        <f>('8a'!I16-'9a'!I16)/'8a'!I16*100</f>
        <v>19.359507870454141</v>
      </c>
      <c r="J16" s="644">
        <f>('8a'!J16-'9a'!J16)/'8a'!J16*100</f>
        <v>20.497795635917182</v>
      </c>
      <c r="K16" s="644">
        <f>('8a'!K16-'9a'!K16)/'8a'!K16*100</f>
        <v>21.778719796523934</v>
      </c>
      <c r="L16" s="644">
        <f>('8a'!L16-'9a'!L16)/'8a'!L16*100</f>
        <v>22.980536827375666</v>
      </c>
    </row>
    <row r="17" spans="1:12">
      <c r="A17" s="22">
        <v>1993</v>
      </c>
      <c r="B17" s="44">
        <f>('8a'!B17-'9a'!B17)/'8a'!B17*100</f>
        <v>21.81708182017789</v>
      </c>
      <c r="C17" s="644">
        <f>('8a'!C17-'9a'!C17)/'8a'!C17*100</f>
        <v>18.355601233299073</v>
      </c>
      <c r="D17" s="644">
        <f>('8a'!D17-'9a'!D17)/'8a'!D17*100</f>
        <v>17.314776913630773</v>
      </c>
      <c r="E17" s="644">
        <f>('8a'!E17-'9a'!E17)/'8a'!E17*100</f>
        <v>19.301870985758164</v>
      </c>
      <c r="F17" s="644">
        <f>('8a'!F17-'9a'!F17)/'8a'!F17*100</f>
        <v>19.168055656206974</v>
      </c>
      <c r="G17" s="644">
        <f>('8a'!G17-'9a'!G17)/'8a'!G17*100</f>
        <v>22.87351316040176</v>
      </c>
      <c r="H17" s="644">
        <f>('8a'!H17-'9a'!H17)/'8a'!H17*100</f>
        <v>21.932047592457373</v>
      </c>
      <c r="I17" s="644">
        <f>('8a'!I17-'9a'!I17)/'8a'!I17*100</f>
        <v>19.183084621973762</v>
      </c>
      <c r="J17" s="644">
        <f>('8a'!J17-'9a'!J17)/'8a'!J17*100</f>
        <v>19.4780324998632</v>
      </c>
      <c r="K17" s="644">
        <f>('8a'!K17-'9a'!K17)/'8a'!K17*100</f>
        <v>21.459361119761368</v>
      </c>
      <c r="L17" s="644">
        <f>('8a'!L17-'9a'!L17)/'8a'!L17*100</f>
        <v>22.463803501232992</v>
      </c>
    </row>
    <row r="18" spans="1:12">
      <c r="A18" s="22">
        <v>1994</v>
      </c>
      <c r="B18" s="44">
        <f>('8a'!B18-'9a'!B18)/'8a'!B18*100</f>
        <v>22.382679299696139</v>
      </c>
      <c r="C18" s="644">
        <f>('8a'!C18-'9a'!C18)/'8a'!C18*100</f>
        <v>19.37594363361853</v>
      </c>
      <c r="D18" s="644">
        <f>('8a'!D18-'9a'!D18)/'8a'!D18*100</f>
        <v>18.189266693977881</v>
      </c>
      <c r="E18" s="644">
        <f>('8a'!E18-'9a'!E18)/'8a'!E18*100</f>
        <v>19.785326989045039</v>
      </c>
      <c r="F18" s="644">
        <f>('8a'!F18-'9a'!F18)/'8a'!F18*100</f>
        <v>20.065206605712675</v>
      </c>
      <c r="G18" s="644">
        <f>('8a'!G18-'9a'!G18)/'8a'!G18*100</f>
        <v>23.237262138393412</v>
      </c>
      <c r="H18" s="644">
        <f>('8a'!H18-'9a'!H18)/'8a'!H18*100</f>
        <v>22.500393215969556</v>
      </c>
      <c r="I18" s="644">
        <f>('8a'!I18-'9a'!I18)/'8a'!I18*100</f>
        <v>19.883348682190942</v>
      </c>
      <c r="J18" s="644">
        <f>('8a'!J18-'9a'!J18)/'8a'!J18*100</f>
        <v>20.838484278419784</v>
      </c>
      <c r="K18" s="644">
        <f>('8a'!K18-'9a'!K18)/'8a'!K18*100</f>
        <v>22.365030279603161</v>
      </c>
      <c r="L18" s="644">
        <f>('8a'!L18-'9a'!L18)/'8a'!L18*100</f>
        <v>22.92801885581601</v>
      </c>
    </row>
    <row r="19" spans="1:12">
      <c r="A19" s="22">
        <v>1995</v>
      </c>
      <c r="B19" s="44">
        <f>('8a'!B19-'9a'!B19)/'8a'!B19*100</f>
        <v>22.693126581769977</v>
      </c>
      <c r="C19" s="644">
        <f>('8a'!C19-'9a'!C19)/'8a'!C19*100</f>
        <v>19.960513326752221</v>
      </c>
      <c r="D19" s="644">
        <f>('8a'!D19-'9a'!D19)/'8a'!D19*100</f>
        <v>18.722901064249111</v>
      </c>
      <c r="E19" s="644">
        <f>('8a'!E19-'9a'!E19)/'8a'!E19*100</f>
        <v>19.911289013901651</v>
      </c>
      <c r="F19" s="644">
        <f>('8a'!F19-'9a'!F19)/'8a'!F19*100</f>
        <v>20.098273391114439</v>
      </c>
      <c r="G19" s="644">
        <f>('8a'!G19-'9a'!G19)/'8a'!G19*100</f>
        <v>23.602641781449091</v>
      </c>
      <c r="H19" s="644">
        <f>('8a'!H19-'9a'!H19)/'8a'!H19*100</f>
        <v>22.890820458590181</v>
      </c>
      <c r="I19" s="644">
        <f>('8a'!I19-'9a'!I19)/'8a'!I19*100</f>
        <v>20.255620702746036</v>
      </c>
      <c r="J19" s="644">
        <f>('8a'!J19-'9a'!J19)/'8a'!J19*100</f>
        <v>20.583216221642253</v>
      </c>
      <c r="K19" s="644">
        <f>('8a'!K19-'9a'!K19)/'8a'!K19*100</f>
        <v>22.441420778576738</v>
      </c>
      <c r="L19" s="644">
        <f>('8a'!L19-'9a'!L19)/'8a'!L19*100</f>
        <v>23.241094430132367</v>
      </c>
    </row>
    <row r="20" spans="1:12">
      <c r="A20" s="22">
        <v>1996</v>
      </c>
      <c r="B20" s="44">
        <f>('8a'!B20-'9a'!B20)/'8a'!B20*100</f>
        <v>23.198385338830018</v>
      </c>
      <c r="C20" s="644">
        <f>('8a'!C20-'9a'!C20)/'8a'!C20*100</f>
        <v>19.905736060970725</v>
      </c>
      <c r="D20" s="644">
        <f>('8a'!D20-'9a'!D20)/'8a'!D20*100</f>
        <v>19.580419580419587</v>
      </c>
      <c r="E20" s="644">
        <f>('8a'!E20-'9a'!E20)/'8a'!E20*100</f>
        <v>20.259502530418867</v>
      </c>
      <c r="F20" s="644">
        <f>('8a'!F20-'9a'!F20)/'8a'!F20*100</f>
        <v>20.311656772800855</v>
      </c>
      <c r="G20" s="644">
        <f>('8a'!G20-'9a'!G20)/'8a'!G20*100</f>
        <v>23.656201631857527</v>
      </c>
      <c r="H20" s="644">
        <f>('8a'!H20-'9a'!H20)/'8a'!H20*100</f>
        <v>23.714907185227808</v>
      </c>
      <c r="I20" s="644">
        <f>('8a'!I20-'9a'!I20)/'8a'!I20*100</f>
        <v>20.136421190213621</v>
      </c>
      <c r="J20" s="644">
        <f>('8a'!J20-'9a'!J20)/'8a'!J20*100</f>
        <v>20.459280303030305</v>
      </c>
      <c r="K20" s="644">
        <f>('8a'!K20-'9a'!K20)/'8a'!K20*100</f>
        <v>23.27377573276765</v>
      </c>
      <c r="L20" s="644">
        <f>('8a'!L20-'9a'!L20)/'8a'!L20*100</f>
        <v>23.813686448451872</v>
      </c>
    </row>
    <row r="21" spans="1:12">
      <c r="A21" s="22">
        <v>1997</v>
      </c>
      <c r="B21" s="44">
        <f>('8a'!B21-'9a'!B21)/'8a'!B21*100</f>
        <v>23.665993473050126</v>
      </c>
      <c r="C21" s="644">
        <f>('8a'!C21-'9a'!C21)/'8a'!C21*100</f>
        <v>20.214794740540004</v>
      </c>
      <c r="D21" s="644">
        <f>('8a'!D21-'9a'!D21)/'8a'!D21*100</f>
        <v>19.467680608365022</v>
      </c>
      <c r="E21" s="644">
        <f>('8a'!E21-'9a'!E21)/'8a'!E21*100</f>
        <v>20.431833480039373</v>
      </c>
      <c r="F21" s="644">
        <f>('8a'!F21-'9a'!F21)/'8a'!F21*100</f>
        <v>20.399523746527308</v>
      </c>
      <c r="G21" s="644">
        <f>('8a'!G21-'9a'!G21)/'8a'!G21*100</f>
        <v>24.420405685042677</v>
      </c>
      <c r="H21" s="644">
        <f>('8a'!H21-'9a'!H21)/'8a'!H21*100</f>
        <v>23.88054031091017</v>
      </c>
      <c r="I21" s="644">
        <f>('8a'!I21-'9a'!I21)/'8a'!I21*100</f>
        <v>22.193013900505829</v>
      </c>
      <c r="J21" s="644">
        <f>('8a'!J21-'9a'!J21)/'8a'!J21*100</f>
        <v>22.475333720255374</v>
      </c>
      <c r="K21" s="644">
        <f>('8a'!K21-'9a'!K21)/'8a'!K21*100</f>
        <v>23.922579230178751</v>
      </c>
      <c r="L21" s="644">
        <f>('8a'!L21-'9a'!L21)/'8a'!L21*100</f>
        <v>23.914516549387546</v>
      </c>
    </row>
    <row r="22" spans="1:12">
      <c r="A22" s="22">
        <v>1998</v>
      </c>
      <c r="B22" s="44">
        <f>('8a'!B22-'9a'!B22)/'8a'!B22*100</f>
        <v>23.994382090038897</v>
      </c>
      <c r="C22" s="644">
        <f>('8a'!C22-'9a'!C22)/'8a'!C22*100</f>
        <v>20.920011719894532</v>
      </c>
      <c r="D22" s="644">
        <f>('8a'!D22-'9a'!D22)/'8a'!D22*100</f>
        <v>20.801176038221243</v>
      </c>
      <c r="E22" s="644">
        <f>('8a'!E22-'9a'!E22)/'8a'!E22*100</f>
        <v>20.980054173848817</v>
      </c>
      <c r="F22" s="644">
        <f>('8a'!F22-'9a'!F22)/'8a'!F22*100</f>
        <v>20.562046100410477</v>
      </c>
      <c r="G22" s="644">
        <f>('8a'!G22-'9a'!G22)/'8a'!G22*100</f>
        <v>25.052558650676094</v>
      </c>
      <c r="H22" s="644">
        <f>('8a'!H22-'9a'!H22)/'8a'!H22*100</f>
        <v>24.024132452765773</v>
      </c>
      <c r="I22" s="644">
        <f>('8a'!I22-'9a'!I22)/'8a'!I22*100</f>
        <v>21.822825341160332</v>
      </c>
      <c r="J22" s="644">
        <f>('8a'!J22-'9a'!J22)/'8a'!J22*100</f>
        <v>22.200064926030709</v>
      </c>
      <c r="K22" s="644">
        <f>('8a'!K22-'9a'!K22)/'8a'!K22*100</f>
        <v>24.535315985130126</v>
      </c>
      <c r="L22" s="644">
        <f>('8a'!L22-'9a'!L22)/'8a'!L22*100</f>
        <v>24.198298262597444</v>
      </c>
    </row>
    <row r="23" spans="1:12">
      <c r="A23" s="22">
        <v>1999</v>
      </c>
      <c r="B23" s="44">
        <f>('8a'!B23-'9a'!B23)/'8a'!B23*100</f>
        <v>23.859346665645027</v>
      </c>
      <c r="C23" s="644">
        <f>('8a'!C23-'9a'!C23)/'8a'!C23*100</f>
        <v>21.340719181297533</v>
      </c>
      <c r="D23" s="644">
        <f>('8a'!D23-'9a'!D23)/'8a'!D23*100</f>
        <v>20.463320463320461</v>
      </c>
      <c r="E23" s="644">
        <f>('8a'!E23-'9a'!E23)/'8a'!E23*100</f>
        <v>21.402214022140235</v>
      </c>
      <c r="F23" s="644">
        <f>('8a'!F23-'9a'!F23)/'8a'!F23*100</f>
        <v>20.715359182446662</v>
      </c>
      <c r="G23" s="644">
        <f>('8a'!G23-'9a'!G23)/'8a'!G23*100</f>
        <v>24.957491025883254</v>
      </c>
      <c r="H23" s="644">
        <f>('8a'!H23-'9a'!H23)/'8a'!H23*100</f>
        <v>24.111133906534615</v>
      </c>
      <c r="I23" s="644">
        <f>('8a'!I23-'9a'!I23)/'8a'!I23*100</f>
        <v>21.494111965526201</v>
      </c>
      <c r="J23" s="644">
        <f>('8a'!J23-'9a'!J23)/'8a'!J23*100</f>
        <v>21.606623405683603</v>
      </c>
      <c r="K23" s="644">
        <f>('8a'!K23-'9a'!K23)/'8a'!K23*100</f>
        <v>23.790218235141886</v>
      </c>
      <c r="L23" s="644">
        <f>('8a'!L23-'9a'!L23)/'8a'!L23*100</f>
        <v>23.705711329029718</v>
      </c>
    </row>
    <row r="24" spans="1:12">
      <c r="A24" s="22">
        <v>2000</v>
      </c>
      <c r="B24" s="44">
        <f>('8a'!B24-'9a'!B24)/'8a'!B24*100</f>
        <v>23.895680773743369</v>
      </c>
      <c r="C24" s="644">
        <f>('8a'!C24-'9a'!C24)/'8a'!C24*100</f>
        <v>21.417011328897669</v>
      </c>
      <c r="D24" s="644">
        <f>('8a'!D24-'9a'!D24)/'8a'!D24*100</f>
        <v>20.499342969776606</v>
      </c>
      <c r="E24" s="644">
        <f>('8a'!E24-'9a'!E24)/'8a'!E24*100</f>
        <v>21.594416856797753</v>
      </c>
      <c r="F24" s="644">
        <f>('8a'!F24-'9a'!F24)/'8a'!F24*100</f>
        <v>21.245841459217633</v>
      </c>
      <c r="G24" s="644">
        <f>('8a'!G24-'9a'!G24)/'8a'!G24*100</f>
        <v>25.618823126960972</v>
      </c>
      <c r="H24" s="644">
        <f>('8a'!H24-'9a'!H24)/'8a'!H24*100</f>
        <v>23.683673087820328</v>
      </c>
      <c r="I24" s="644">
        <f>('8a'!I24-'9a'!I24)/'8a'!I24*100</f>
        <v>22.049798970162936</v>
      </c>
      <c r="J24" s="644">
        <f>('8a'!J24-'9a'!J24)/'8a'!J24*100</f>
        <v>21.468975344358576</v>
      </c>
      <c r="K24" s="644">
        <f>('8a'!K24-'9a'!K24)/'8a'!K24*100</f>
        <v>23.911823467349095</v>
      </c>
      <c r="L24" s="644">
        <f>('8a'!L24-'9a'!L24)/'8a'!L24*100</f>
        <v>23.900802794915624</v>
      </c>
    </row>
    <row r="25" spans="1:12">
      <c r="A25" s="22">
        <v>2001</v>
      </c>
      <c r="B25" s="44">
        <f>('8a'!B25-'9a'!B25)/'8a'!B25*100</f>
        <v>23.648814393174447</v>
      </c>
      <c r="C25" s="644">
        <f>('8a'!C25-'9a'!C25)/'8a'!C25*100</f>
        <v>21.250863856254313</v>
      </c>
      <c r="D25" s="644">
        <f>('8a'!D25-'9a'!D25)/'8a'!D25*100</f>
        <v>20.598648213710984</v>
      </c>
      <c r="E25" s="644">
        <f>('8a'!E25-'9a'!E25)/'8a'!E25*100</f>
        <v>21.556238369325332</v>
      </c>
      <c r="F25" s="644">
        <f>('8a'!F25-'9a'!F25)/'8a'!F25*100</f>
        <v>20.641944880125468</v>
      </c>
      <c r="G25" s="644">
        <f>('8a'!G25-'9a'!G25)/'8a'!G25*100</f>
        <v>25.189846734430514</v>
      </c>
      <c r="H25" s="644">
        <f>('8a'!H25-'9a'!H25)/'8a'!H25*100</f>
        <v>23.970962410053513</v>
      </c>
      <c r="I25" s="644">
        <f>('8a'!I25-'9a'!I25)/'8a'!I25*100</f>
        <v>21.410734443950329</v>
      </c>
      <c r="J25" s="644">
        <f>('8a'!J25-'9a'!J25)/'8a'!J25*100</f>
        <v>21.791347739670996</v>
      </c>
      <c r="K25" s="644">
        <f>('8a'!K25-'9a'!K25)/'8a'!K25*100</f>
        <v>23.026362719222266</v>
      </c>
      <c r="L25" s="644">
        <f>('8a'!L25-'9a'!L25)/'8a'!L25*100</f>
        <v>22.684811858402266</v>
      </c>
    </row>
    <row r="26" spans="1:12">
      <c r="A26" s="22">
        <v>2002</v>
      </c>
      <c r="B26" s="44">
        <f>('8a'!B26-'9a'!B26)/'8a'!B26*100</f>
        <v>22.78851812830495</v>
      </c>
      <c r="C26" s="644">
        <f>('8a'!C26-'9a'!C26)/'8a'!C26*100</f>
        <v>21.346524691875583</v>
      </c>
      <c r="D26" s="644">
        <f>('8a'!D26-'9a'!D26)/'8a'!D26*100</f>
        <v>20.110361741263027</v>
      </c>
      <c r="E26" s="644">
        <f>('8a'!E26-'9a'!E26)/'8a'!E26*100</f>
        <v>21.448702309342533</v>
      </c>
      <c r="F26" s="644">
        <f>('8a'!F26-'9a'!F26)/'8a'!F26*100</f>
        <v>20.882963610534368</v>
      </c>
      <c r="G26" s="644">
        <f>('8a'!G26-'9a'!G26)/'8a'!G26*100</f>
        <v>23.867316349344804</v>
      </c>
      <c r="H26" s="644">
        <f>('8a'!H26-'9a'!H26)/'8a'!H26*100</f>
        <v>23.080504574738793</v>
      </c>
      <c r="I26" s="644">
        <f>('8a'!I26-'9a'!I26)/'8a'!I26*100</f>
        <v>21.183676186671992</v>
      </c>
      <c r="J26" s="644">
        <f>('8a'!J26-'9a'!J26)/'8a'!J26*100</f>
        <v>21.154801324503307</v>
      </c>
      <c r="K26" s="644">
        <f>('8a'!K26-'9a'!K26)/'8a'!K26*100</f>
        <v>22.507717270856421</v>
      </c>
      <c r="L26" s="644">
        <f>('8a'!L26-'9a'!L26)/'8a'!L26*100</f>
        <v>21.909899427946865</v>
      </c>
    </row>
    <row r="27" spans="1:12">
      <c r="A27" s="22">
        <v>2003</v>
      </c>
      <c r="B27" s="44">
        <f>('8a'!B27-'9a'!B27)/'8a'!B27*100</f>
        <v>22.636200018674078</v>
      </c>
      <c r="C27" s="644">
        <f>('8a'!C27-'9a'!C27)/'8a'!C27*100</f>
        <v>21.413637825667404</v>
      </c>
      <c r="D27" s="644">
        <f>('8a'!D27-'9a'!D27)/'8a'!D27*100</f>
        <v>20.751879699248118</v>
      </c>
      <c r="E27" s="644">
        <f>('8a'!E27-'9a'!E27)/'8a'!E27*100</f>
        <v>21.422433195564114</v>
      </c>
      <c r="F27" s="644">
        <f>('8a'!F27-'9a'!F27)/'8a'!F27*100</f>
        <v>20.659978880675826</v>
      </c>
      <c r="G27" s="644">
        <f>('8a'!G27-'9a'!G27)/'8a'!G27*100</f>
        <v>23.717237503782371</v>
      </c>
      <c r="H27" s="644">
        <f>('8a'!H27-'9a'!H27)/'8a'!H27*100</f>
        <v>22.87531452770336</v>
      </c>
      <c r="I27" s="644">
        <f>('8a'!I27-'9a'!I27)/'8a'!I27*100</f>
        <v>21.102931680227304</v>
      </c>
      <c r="J27" s="644">
        <f>('8a'!J27-'9a'!J27)/'8a'!J27*100</f>
        <v>20.407440909269674</v>
      </c>
      <c r="K27" s="644">
        <f>('8a'!K27-'9a'!K27)/'8a'!K27*100</f>
        <v>22.450408843125384</v>
      </c>
      <c r="L27" s="644">
        <f>('8a'!L27-'9a'!L27)/'8a'!L27*100</f>
        <v>21.87473319331318</v>
      </c>
    </row>
    <row r="28" spans="1:12">
      <c r="A28" s="22">
        <v>2004</v>
      </c>
      <c r="B28" s="44">
        <f>('8a'!B28-'9a'!B28)/'8a'!B28*100</f>
        <v>22.73015473030917</v>
      </c>
      <c r="C28" s="644">
        <f>('8a'!C28-'9a'!C28)/'8a'!C28*100</f>
        <v>21.711396343835094</v>
      </c>
      <c r="D28" s="644">
        <f>('8a'!D28-'9a'!D28)/'8a'!D28*100</f>
        <v>20.790927595231175</v>
      </c>
      <c r="E28" s="644">
        <f>('8a'!E28-'9a'!E28)/'8a'!E28*100</f>
        <v>20.902575411514523</v>
      </c>
      <c r="F28" s="644">
        <f>('8a'!F28-'9a'!F28)/'8a'!F28*100</f>
        <v>20.411966156325551</v>
      </c>
      <c r="G28" s="644">
        <f>('8a'!G28-'9a'!G28)/'8a'!G28*100</f>
        <v>23.922909257772172</v>
      </c>
      <c r="H28" s="644">
        <f>('8a'!H28-'9a'!H28)/'8a'!H28*100</f>
        <v>23.095358035282324</v>
      </c>
      <c r="I28" s="644">
        <f>('8a'!I28-'9a'!I28)/'8a'!I28*100</f>
        <v>21.018384948282741</v>
      </c>
      <c r="J28" s="644">
        <f>('8a'!J28-'9a'!J28)/'8a'!J28*100</f>
        <v>19.659437043561233</v>
      </c>
      <c r="K28" s="644">
        <f>('8a'!K28-'9a'!K28)/'8a'!K28*100</f>
        <v>22.306951565468598</v>
      </c>
      <c r="L28" s="644">
        <f>('8a'!L28-'9a'!L28)/'8a'!L28*100</f>
        <v>22.017817049322815</v>
      </c>
    </row>
    <row r="29" spans="1:12">
      <c r="A29" s="22">
        <v>2005</v>
      </c>
      <c r="B29" s="44">
        <f>('8a'!B29-'9a'!B29)/'8a'!B29*100</f>
        <v>23.248577825578167</v>
      </c>
      <c r="C29" s="644">
        <f>('8a'!C29-'9a'!C29)/'8a'!C29*100</f>
        <v>21.87169811320754</v>
      </c>
      <c r="D29" s="644">
        <f>('8a'!D29-'9a'!D29)/'8a'!D29*100</f>
        <v>20.730337078651676</v>
      </c>
      <c r="E29" s="644">
        <f>('8a'!E29-'9a'!E29)/'8a'!E29*100</f>
        <v>21.126760563380284</v>
      </c>
      <c r="F29" s="644">
        <f>('8a'!F29-'9a'!F29)/'8a'!F29*100</f>
        <v>20.561020746079674</v>
      </c>
      <c r="G29" s="644">
        <f>('8a'!G29-'9a'!G29)/'8a'!G29*100</f>
        <v>24.269730552703319</v>
      </c>
      <c r="H29" s="644">
        <f>('8a'!H29-'9a'!H29)/'8a'!H29*100</f>
        <v>23.700838507390046</v>
      </c>
      <c r="I29" s="644">
        <f>('8a'!I29-'9a'!I29)/'8a'!I29*100</f>
        <v>21.714505989799566</v>
      </c>
      <c r="J29" s="644">
        <f>('8a'!J29-'9a'!J29)/'8a'!J29*100</f>
        <v>20.528944626109457</v>
      </c>
      <c r="K29" s="644">
        <f>('8a'!K29-'9a'!K29)/'8a'!K29*100</f>
        <v>23.199925118756966</v>
      </c>
      <c r="L29" s="644">
        <f>('8a'!L29-'9a'!L29)/'8a'!L29*100</f>
        <v>22.655073257565377</v>
      </c>
    </row>
    <row r="30" spans="1:12">
      <c r="A30" s="22">
        <v>2006</v>
      </c>
      <c r="B30" s="44">
        <f>('8a'!B30-'9a'!B30)/'8a'!B30*100</f>
        <v>22.712270927963285</v>
      </c>
      <c r="C30" s="644">
        <f>('8a'!C30-'9a'!C30)/'8a'!C30*100</f>
        <v>18.488401412002016</v>
      </c>
      <c r="D30" s="644">
        <f>('8a'!D30-'9a'!D30)/'8a'!D30*100</f>
        <v>20.252145922746777</v>
      </c>
      <c r="E30" s="644">
        <f>('8a'!E30-'9a'!E30)/'8a'!E30*100</f>
        <v>20.806171229900041</v>
      </c>
      <c r="F30" s="644">
        <f>('8a'!F30-'9a'!F30)/'8a'!F30*100</f>
        <v>20.298563515162897</v>
      </c>
      <c r="G30" s="644">
        <f>('8a'!G30-'9a'!G30)/'8a'!G30*100</f>
        <v>24.510464185420027</v>
      </c>
      <c r="H30" s="644">
        <f>('8a'!H30-'9a'!H30)/'8a'!H30*100</f>
        <v>23.026116038047935</v>
      </c>
      <c r="I30" s="644">
        <f>('8a'!I30-'9a'!I30)/'8a'!I30*100</f>
        <v>21.571163470730461</v>
      </c>
      <c r="J30" s="644">
        <f>('8a'!J30-'9a'!J30)/'8a'!J30*100</f>
        <v>20.905341377782314</v>
      </c>
      <c r="K30" s="644">
        <f>('8a'!K30-'9a'!K30)/'8a'!K30*100</f>
        <v>23.15192634541415</v>
      </c>
      <c r="L30" s="644">
        <f>('8a'!L30-'9a'!L30)/'8a'!L30*100</f>
        <v>22.494461830584758</v>
      </c>
    </row>
    <row r="31" spans="1:12">
      <c r="A31" s="22">
        <v>2007</v>
      </c>
      <c r="B31" s="44">
        <f>('8a'!B31-'9a'!B31)/'8a'!B31*100</f>
        <v>23.399283630085481</v>
      </c>
      <c r="C31" s="644">
        <f>('8a'!C31-'9a'!C31)/'8a'!C31*100</f>
        <v>19.541839007317847</v>
      </c>
      <c r="D31" s="644">
        <f>('8a'!D31-'9a'!D31)/'8a'!D31*100</f>
        <v>20.505617977528097</v>
      </c>
      <c r="E31" s="644">
        <f>('8a'!E31-'9a'!E31)/'8a'!E31*100</f>
        <v>21.274682712591201</v>
      </c>
      <c r="F31" s="644">
        <f>('8a'!F31-'9a'!F31)/'8a'!F31*100</f>
        <v>20.561918396564074</v>
      </c>
      <c r="G31" s="644">
        <f>('8a'!G31-'9a'!G31)/'8a'!G31*100</f>
        <v>24.695193880284869</v>
      </c>
      <c r="H31" s="644">
        <f>('8a'!H31-'9a'!H31)/'8a'!H31*100</f>
        <v>23.567334472070435</v>
      </c>
      <c r="I31" s="644">
        <f>('8a'!I31-'9a'!I31)/'8a'!I31*100</f>
        <v>21.742782152230973</v>
      </c>
      <c r="J31" s="644">
        <f>('8a'!J31-'9a'!J31)/'8a'!J31*100</f>
        <v>21.048026747492422</v>
      </c>
      <c r="K31" s="644">
        <f>('8a'!K31-'9a'!K31)/'8a'!K31*100</f>
        <v>23.252326362090486</v>
      </c>
      <c r="L31" s="644">
        <f>('8a'!L31-'9a'!L31)/'8a'!L31*100</f>
        <v>22.70410179404092</v>
      </c>
    </row>
    <row r="32" spans="1:12">
      <c r="A32" s="22">
        <v>2008</v>
      </c>
      <c r="B32" s="44">
        <f>('8a'!B32-'9a'!B32)/'8a'!B32*100</f>
        <v>22.556823271684866</v>
      </c>
      <c r="C32" s="23">
        <f>('8a'!C32-'9a'!C32)/'8a'!C32*100</f>
        <v>19.641128251468405</v>
      </c>
      <c r="D32" s="23">
        <f>('8a'!D32-'9a'!D32)/'8a'!D32*100</f>
        <v>19.906149666584351</v>
      </c>
      <c r="E32" s="23">
        <f>('8a'!E32-'9a'!E32)/'8a'!E32*100</f>
        <v>20.455834751560051</v>
      </c>
      <c r="F32" s="23">
        <f>('8a'!F32-'9a'!F32)/'8a'!F32*100</f>
        <v>19.977611297683637</v>
      </c>
      <c r="G32" s="23">
        <f>('8a'!G32-'9a'!G32)/'8a'!G32*100</f>
        <v>23.686151825888803</v>
      </c>
      <c r="H32" s="23">
        <f>('8a'!H32-'9a'!H32)/'8a'!H32*100</f>
        <v>22.681410443785214</v>
      </c>
      <c r="I32" s="23">
        <f>('8a'!I32-'9a'!I32)/'8a'!I32*100</f>
        <v>20.801768460793326</v>
      </c>
      <c r="J32" s="23">
        <f>('8a'!J32-'9a'!J32)/'8a'!J32*100</f>
        <v>20.110660067841849</v>
      </c>
      <c r="K32" s="23">
        <f>('8a'!K32-'9a'!K32)/'8a'!K32*100</f>
        <v>22.698415459273299</v>
      </c>
      <c r="L32" s="23">
        <f>('8a'!L32-'9a'!L32)/'8a'!L32*100</f>
        <v>21.505706183211341</v>
      </c>
    </row>
    <row r="33" spans="1:12" ht="12.6" customHeight="1">
      <c r="A33" s="22"/>
      <c r="B33" s="1075"/>
      <c r="C33" s="644"/>
      <c r="D33" s="666" t="s">
        <v>802</v>
      </c>
      <c r="E33" s="644"/>
      <c r="F33" s="644"/>
      <c r="G33" s="644"/>
      <c r="H33" s="644"/>
      <c r="I33" s="644"/>
      <c r="J33" s="644"/>
      <c r="K33" s="644"/>
      <c r="L33" s="644"/>
    </row>
    <row r="34" spans="1:12" ht="12.6" customHeight="1">
      <c r="A34" s="448" t="s">
        <v>603</v>
      </c>
      <c r="B34" s="23">
        <f>((((B13/B5))^(1/8))-1)*100</f>
        <v>1.853083159131419</v>
      </c>
      <c r="C34" s="23">
        <f t="shared" ref="C34:L34" si="0">((((C13/C5))^(1/8))-1)*100</f>
        <v>1.8914938947343973</v>
      </c>
      <c r="D34" s="23">
        <f t="shared" si="0"/>
        <v>4.0175717930636345</v>
      </c>
      <c r="E34" s="23">
        <f t="shared" si="0"/>
        <v>2.3748054868425017</v>
      </c>
      <c r="F34" s="23">
        <f t="shared" si="0"/>
        <v>2.0970763865440167</v>
      </c>
      <c r="G34" s="23">
        <f t="shared" si="0"/>
        <v>1.2376254985032809</v>
      </c>
      <c r="H34" s="23">
        <f t="shared" si="0"/>
        <v>2.4576436045364414</v>
      </c>
      <c r="I34" s="23">
        <f t="shared" si="0"/>
        <v>2.0295441139451587</v>
      </c>
      <c r="J34" s="23">
        <f t="shared" si="0"/>
        <v>1.5596833178170399</v>
      </c>
      <c r="K34" s="23">
        <f t="shared" si="0"/>
        <v>0.71521247176862257</v>
      </c>
      <c r="L34" s="23">
        <f t="shared" si="0"/>
        <v>1.5932287520397992</v>
      </c>
    </row>
    <row r="35" spans="1:12" ht="12.6" customHeight="1">
      <c r="A35" s="448" t="s">
        <v>604</v>
      </c>
      <c r="B35" s="23">
        <f>((((B24/B13))^(1/11))-1)*100</f>
        <v>1.2760627145870895</v>
      </c>
      <c r="C35" s="23">
        <f t="shared" ref="C35:L35" si="1">((((C24/C13))^(1/11))-1)*100</f>
        <v>2.1540686524883279</v>
      </c>
      <c r="D35" s="23">
        <f t="shared" si="1"/>
        <v>2.2163439354039749</v>
      </c>
      <c r="E35" s="23">
        <f t="shared" si="1"/>
        <v>1.756239711494656</v>
      </c>
      <c r="F35" s="23">
        <f t="shared" si="1"/>
        <v>1.7248479890370927</v>
      </c>
      <c r="G35" s="23">
        <f t="shared" si="1"/>
        <v>1.7498621178851481</v>
      </c>
      <c r="H35" s="23">
        <f t="shared" si="1"/>
        <v>0.68132356780852277</v>
      </c>
      <c r="I35" s="23">
        <f t="shared" si="1"/>
        <v>2.2873716048668946</v>
      </c>
      <c r="J35" s="23">
        <f t="shared" si="1"/>
        <v>1.7165001371687305</v>
      </c>
      <c r="K35" s="23">
        <f t="shared" si="1"/>
        <v>1.8766661435329901</v>
      </c>
      <c r="L35" s="23">
        <f t="shared" si="1"/>
        <v>1.380145365786789</v>
      </c>
    </row>
    <row r="36" spans="1:12" ht="12.6" customHeight="1">
      <c r="A36" s="448" t="s">
        <v>808</v>
      </c>
      <c r="B36" s="23">
        <f t="shared" ref="B36:L36" si="2">((((B29/B5))^(1/24))-1)*100</f>
        <v>1.0846523373393202</v>
      </c>
      <c r="C36" s="23">
        <f t="shared" si="2"/>
        <v>1.703283932377575</v>
      </c>
      <c r="D36" s="23">
        <f t="shared" si="2"/>
        <v>2.3925821606604281</v>
      </c>
      <c r="E36" s="23">
        <f t="shared" si="2"/>
        <v>1.5002208540501494</v>
      </c>
      <c r="F36" s="23">
        <f t="shared" si="2"/>
        <v>1.3481005561973847</v>
      </c>
      <c r="G36" s="23">
        <f t="shared" si="2"/>
        <v>0.98450229629238883</v>
      </c>
      <c r="H36" s="23">
        <f t="shared" si="2"/>
        <v>1.1298783810064439</v>
      </c>
      <c r="I36" s="23">
        <f t="shared" si="2"/>
        <v>1.6560262542246518</v>
      </c>
      <c r="J36" s="23">
        <f t="shared" si="2"/>
        <v>1.1155571863654457</v>
      </c>
      <c r="K36" s="23">
        <f t="shared" si="2"/>
        <v>0.96844902449382264</v>
      </c>
      <c r="L36" s="23">
        <f t="shared" si="2"/>
        <v>0.93645446892709483</v>
      </c>
    </row>
    <row r="37" spans="1:12" ht="12.6" customHeight="1">
      <c r="A37" s="448" t="s">
        <v>819</v>
      </c>
      <c r="B37" s="644">
        <f t="shared" ref="B37:L37" si="3">((((B30/B5))^(1/25))-1)*100</f>
        <v>0.94675890933366702</v>
      </c>
      <c r="C37" s="23">
        <f t="shared" si="3"/>
        <v>0.95370252793558485</v>
      </c>
      <c r="D37" s="23">
        <f t="shared" si="3"/>
        <v>2.2003405223755657</v>
      </c>
      <c r="E37" s="23">
        <f t="shared" si="3"/>
        <v>1.3777569778622656</v>
      </c>
      <c r="F37" s="23">
        <f t="shared" si="3"/>
        <v>1.2417898552725459</v>
      </c>
      <c r="G37" s="23">
        <f t="shared" si="3"/>
        <v>0.98479855254229864</v>
      </c>
      <c r="H37" s="23">
        <f t="shared" si="3"/>
        <v>0.9677282094040951</v>
      </c>
      <c r="I37" s="23">
        <f t="shared" si="3"/>
        <v>1.5623517154033539</v>
      </c>
      <c r="J37" s="23">
        <f t="shared" si="3"/>
        <v>1.1441771973033976</v>
      </c>
      <c r="K37" s="23">
        <f t="shared" si="3"/>
        <v>0.92117068119277334</v>
      </c>
      <c r="L37" s="23">
        <f t="shared" si="3"/>
        <v>0.87011805629026995</v>
      </c>
    </row>
    <row r="38" spans="1:12" ht="12.6" customHeight="1">
      <c r="A38" s="448" t="s">
        <v>447</v>
      </c>
      <c r="B38" s="644">
        <f>((((B31/B5))^(1/26))-1)*100</f>
        <v>1.02590503003126</v>
      </c>
      <c r="C38" s="644">
        <f t="shared" ref="C38:L38" si="4">((((C31/C5))^(1/26))-1)*100</f>
        <v>1.1321689351948772</v>
      </c>
      <c r="D38" s="644">
        <f t="shared" si="4"/>
        <v>2.1636859212888604</v>
      </c>
      <c r="E38" s="644">
        <f t="shared" si="4"/>
        <v>1.4112351094836217</v>
      </c>
      <c r="F38" s="644">
        <f t="shared" si="4"/>
        <v>1.2439283920426147</v>
      </c>
      <c r="G38" s="644">
        <f t="shared" si="4"/>
        <v>0.97589946057901056</v>
      </c>
      <c r="H38" s="644">
        <f t="shared" si="4"/>
        <v>1.0205629532669569</v>
      </c>
      <c r="I38" s="644">
        <f t="shared" si="4"/>
        <v>1.5327534264318876</v>
      </c>
      <c r="J38" s="644">
        <f t="shared" si="4"/>
        <v>1.1263824835185732</v>
      </c>
      <c r="K38" s="644">
        <f t="shared" si="4"/>
        <v>0.9023764815738522</v>
      </c>
      <c r="L38" s="644">
        <f t="shared" si="4"/>
        <v>0.87249599038374814</v>
      </c>
    </row>
    <row r="39" spans="1:12" ht="12.6" customHeight="1">
      <c r="A39" s="448" t="s">
        <v>1408</v>
      </c>
      <c r="B39" s="644">
        <f>((((B32/B5))^(1/27))-1)*100</f>
        <v>0.85066653884422472</v>
      </c>
      <c r="C39" s="644">
        <f t="shared" ref="C39:L39" si="5">((((C32/C5))^(1/27))-1)*100</f>
        <v>1.1089857770377964</v>
      </c>
      <c r="D39" s="644">
        <f t="shared" si="5"/>
        <v>1.9706040909144962</v>
      </c>
      <c r="E39" s="644">
        <f t="shared" si="5"/>
        <v>1.2113768603325914</v>
      </c>
      <c r="F39" s="644">
        <f t="shared" si="5"/>
        <v>1.0895888505683127</v>
      </c>
      <c r="G39" s="644">
        <f t="shared" si="5"/>
        <v>0.78374303022310521</v>
      </c>
      <c r="H39" s="644">
        <f t="shared" si="5"/>
        <v>0.83937554489517119</v>
      </c>
      <c r="I39" s="644">
        <f t="shared" si="5"/>
        <v>1.3094201649628712</v>
      </c>
      <c r="J39" s="644">
        <f t="shared" si="5"/>
        <v>0.91402444230590518</v>
      </c>
      <c r="K39" s="644">
        <f t="shared" si="5"/>
        <v>0.77877821427465577</v>
      </c>
      <c r="L39" s="644">
        <f t="shared" si="5"/>
        <v>0.63772020991992306</v>
      </c>
    </row>
    <row r="40" spans="1:12" ht="12.6" customHeight="1">
      <c r="A40" s="448" t="s">
        <v>809</v>
      </c>
      <c r="B40" s="644">
        <f t="shared" ref="B40:L40" si="6">((((B29/B24))^(1/5))-1)*100</f>
        <v>-0.54757054667129434</v>
      </c>
      <c r="C40" s="644">
        <f t="shared" si="6"/>
        <v>0.42104289134030637</v>
      </c>
      <c r="D40" s="644">
        <f t="shared" si="6"/>
        <v>0.22435833482690182</v>
      </c>
      <c r="E40" s="644">
        <f t="shared" si="6"/>
        <v>-0.43692852531372894</v>
      </c>
      <c r="F40" s="644">
        <f t="shared" si="6"/>
        <v>-0.65313958313870657</v>
      </c>
      <c r="G40" s="644">
        <f t="shared" si="6"/>
        <v>-1.0761168274696531</v>
      </c>
      <c r="H40" s="644">
        <f t="shared" si="6"/>
        <v>1.4491371517877383E-2</v>
      </c>
      <c r="I40" s="644">
        <f t="shared" si="6"/>
        <v>-0.30599026948749941</v>
      </c>
      <c r="J40" s="644">
        <f t="shared" si="6"/>
        <v>-0.89146393555097347</v>
      </c>
      <c r="K40" s="644">
        <f t="shared" si="6"/>
        <v>-0.602656522989653</v>
      </c>
      <c r="L40" s="644">
        <f t="shared" si="6"/>
        <v>-1.0648545787138142</v>
      </c>
    </row>
    <row r="41" spans="1:12" ht="12.6" customHeight="1">
      <c r="A41" s="448" t="s">
        <v>818</v>
      </c>
      <c r="B41" s="644">
        <f t="shared" ref="B41:L41" si="7">((((B30/B24))^(1/6))-1)*100</f>
        <v>-0.84296650830525399</v>
      </c>
      <c r="C41" s="644">
        <f t="shared" si="7"/>
        <v>-2.4209132434907743</v>
      </c>
      <c r="D41" s="644">
        <f t="shared" si="7"/>
        <v>-0.20199697669401884</v>
      </c>
      <c r="E41" s="644">
        <f t="shared" si="7"/>
        <v>-0.61783626010665227</v>
      </c>
      <c r="F41" s="644">
        <f t="shared" si="7"/>
        <v>-0.75730223064188751</v>
      </c>
      <c r="G41" s="644">
        <f t="shared" si="7"/>
        <v>-0.73441032591649025</v>
      </c>
      <c r="H41" s="644">
        <f t="shared" si="7"/>
        <v>-0.46818159413684057</v>
      </c>
      <c r="I41" s="644">
        <f t="shared" si="7"/>
        <v>-0.36509999335119225</v>
      </c>
      <c r="J41" s="644">
        <f t="shared" si="7"/>
        <v>-0.44242160478479287</v>
      </c>
      <c r="K41" s="644">
        <f t="shared" si="7"/>
        <v>-0.53680492238640243</v>
      </c>
      <c r="L41" s="644">
        <f t="shared" si="7"/>
        <v>-1.0056246068557706</v>
      </c>
    </row>
    <row r="42" spans="1:12" ht="12.6" customHeight="1">
      <c r="A42" s="448" t="s">
        <v>449</v>
      </c>
      <c r="B42" s="644">
        <f>((((B31/B24))^(1/7))-1)*100</f>
        <v>-0.2994409791570618</v>
      </c>
      <c r="C42" s="644">
        <f t="shared" ref="C42:L42" si="8">((((C31/C24))^(1/7))-1)*100</f>
        <v>-1.300438426089956</v>
      </c>
      <c r="D42" s="644">
        <f t="shared" si="8"/>
        <v>4.3723942793727488E-3</v>
      </c>
      <c r="E42" s="644">
        <f t="shared" si="8"/>
        <v>-0.21287369767208908</v>
      </c>
      <c r="F42" s="644">
        <f t="shared" si="8"/>
        <v>-0.46634403403185143</v>
      </c>
      <c r="G42" s="644">
        <f t="shared" si="8"/>
        <v>-0.52317969055778457</v>
      </c>
      <c r="H42" s="644">
        <f t="shared" si="8"/>
        <v>-7.0322273676437508E-2</v>
      </c>
      <c r="I42" s="644">
        <f t="shared" si="8"/>
        <v>-0.20010862181030209</v>
      </c>
      <c r="J42" s="644">
        <f t="shared" si="8"/>
        <v>-0.28248698443508191</v>
      </c>
      <c r="K42" s="644">
        <f t="shared" si="8"/>
        <v>-0.39874370828767436</v>
      </c>
      <c r="L42" s="644">
        <f t="shared" si="8"/>
        <v>-0.73112056019961624</v>
      </c>
    </row>
    <row r="43" spans="1:12" ht="12.6" customHeight="1">
      <c r="A43" s="448" t="s">
        <v>1410</v>
      </c>
      <c r="B43" s="644">
        <f>((((B32/B24))^(1/8))-1)*100</f>
        <v>-0.71816028506817009</v>
      </c>
      <c r="C43" s="644">
        <f t="shared" ref="C43:L43" si="9">((((C32/C24))^(1/8))-1)*100</f>
        <v>-1.076164717968231</v>
      </c>
      <c r="D43" s="644">
        <f t="shared" si="9"/>
        <v>-0.36637872570444152</v>
      </c>
      <c r="E43" s="644">
        <f t="shared" si="9"/>
        <v>-0.67479599132131973</v>
      </c>
      <c r="F43" s="644">
        <f t="shared" si="9"/>
        <v>-0.76641009488234157</v>
      </c>
      <c r="G43" s="644">
        <f t="shared" si="9"/>
        <v>-0.97566908040203071</v>
      </c>
      <c r="H43" s="644">
        <f t="shared" si="9"/>
        <v>-0.53904498143440005</v>
      </c>
      <c r="I43" s="644">
        <f t="shared" si="9"/>
        <v>-0.72567268312370148</v>
      </c>
      <c r="J43" s="644">
        <f t="shared" si="9"/>
        <v>-0.81365748698265516</v>
      </c>
      <c r="K43" s="644">
        <f t="shared" si="9"/>
        <v>-0.6488598024481429</v>
      </c>
      <c r="L43" s="644">
        <f t="shared" si="9"/>
        <v>-1.3112490361109841</v>
      </c>
    </row>
    <row r="44" spans="1:12">
      <c r="A44" s="448"/>
      <c r="D44" s="27" t="s">
        <v>276</v>
      </c>
    </row>
    <row r="45" spans="1:12">
      <c r="A45" s="448" t="s">
        <v>808</v>
      </c>
      <c r="B45" s="10">
        <f t="shared" ref="B45:L45" si="10">(B29/B5-1)*100</f>
        <v>29.552357996321589</v>
      </c>
      <c r="C45" s="10">
        <f t="shared" si="10"/>
        <v>49.982099808171277</v>
      </c>
      <c r="D45" s="10">
        <f t="shared" si="10"/>
        <v>76.377785964265897</v>
      </c>
      <c r="E45" s="10">
        <f t="shared" si="10"/>
        <v>42.957746478873247</v>
      </c>
      <c r="F45" s="10">
        <f t="shared" si="10"/>
        <v>37.90332184721985</v>
      </c>
      <c r="G45" s="10">
        <f t="shared" si="10"/>
        <v>26.506693680297168</v>
      </c>
      <c r="H45" s="10">
        <f t="shared" si="10"/>
        <v>30.950644122049688</v>
      </c>
      <c r="I45" s="10">
        <f t="shared" si="10"/>
        <v>48.318422547776876</v>
      </c>
      <c r="J45" s="10">
        <f t="shared" si="10"/>
        <v>30.506308085243127</v>
      </c>
      <c r="K45" s="10">
        <f t="shared" si="10"/>
        <v>26.024923594304816</v>
      </c>
      <c r="L45" s="10">
        <f t="shared" si="10"/>
        <v>25.069983186974621</v>
      </c>
    </row>
    <row r="46" spans="1:12">
      <c r="A46" s="448" t="s">
        <v>819</v>
      </c>
      <c r="B46" s="10">
        <f t="shared" ref="B46:L46" si="11">(B30/B5-1)*100</f>
        <v>26.563795697286775</v>
      </c>
      <c r="C46" s="10">
        <f t="shared" si="11"/>
        <v>26.78161757334918</v>
      </c>
      <c r="D46" s="10">
        <f t="shared" si="11"/>
        <v>72.309241539435703</v>
      </c>
      <c r="E46" s="10">
        <f t="shared" si="11"/>
        <v>40.788425322323604</v>
      </c>
      <c r="F46" s="10">
        <f t="shared" si="11"/>
        <v>36.143014106022363</v>
      </c>
      <c r="G46" s="10">
        <f t="shared" si="11"/>
        <v>27.761524914064005</v>
      </c>
      <c r="H46" s="10">
        <f t="shared" si="11"/>
        <v>27.222702516252937</v>
      </c>
      <c r="I46" s="10">
        <f t="shared" si="11"/>
        <v>47.339338044434221</v>
      </c>
      <c r="J46" s="10">
        <f t="shared" si="11"/>
        <v>32.89913203848365</v>
      </c>
      <c r="K46" s="10">
        <f t="shared" si="11"/>
        <v>25.764188194850512</v>
      </c>
      <c r="L46" s="10">
        <f t="shared" si="11"/>
        <v>24.183309008360165</v>
      </c>
    </row>
    <row r="47" spans="1:12" ht="14.25" customHeight="1">
      <c r="A47" s="448" t="s">
        <v>447</v>
      </c>
      <c r="B47" s="10">
        <f>(B31/B5-1)*100</f>
        <v>30.392163875379463</v>
      </c>
      <c r="C47" s="10">
        <f t="shared" ref="C47:L47" si="12">(C30/C5-1)*100</f>
        <v>26.78161757334918</v>
      </c>
      <c r="D47" s="10">
        <f t="shared" si="12"/>
        <v>72.309241539435703</v>
      </c>
      <c r="E47" s="10">
        <f t="shared" si="12"/>
        <v>40.788425322323604</v>
      </c>
      <c r="F47" s="10">
        <f t="shared" si="12"/>
        <v>36.143014106022363</v>
      </c>
      <c r="G47" s="10">
        <f t="shared" si="12"/>
        <v>27.761524914064005</v>
      </c>
      <c r="H47" s="10">
        <f t="shared" si="12"/>
        <v>27.222702516252937</v>
      </c>
      <c r="I47" s="10">
        <f t="shared" si="12"/>
        <v>47.339338044434221</v>
      </c>
      <c r="J47" s="10">
        <f t="shared" si="12"/>
        <v>32.89913203848365</v>
      </c>
      <c r="K47" s="10">
        <f t="shared" si="12"/>
        <v>25.764188194850512</v>
      </c>
      <c r="L47" s="10">
        <f t="shared" si="12"/>
        <v>24.183309008360165</v>
      </c>
    </row>
    <row r="48" spans="1:12" ht="14.25" customHeight="1">
      <c r="A48" s="448" t="s">
        <v>1408</v>
      </c>
      <c r="B48" s="10">
        <f>(B32/B5-1)*100</f>
        <v>25.697565918976871</v>
      </c>
      <c r="C48" s="10">
        <f t="shared" ref="C48:L48" si="13">(C32/C5-1)*100</f>
        <v>34.686280073422957</v>
      </c>
      <c r="D48" s="10">
        <f t="shared" si="13"/>
        <v>69.365437327168507</v>
      </c>
      <c r="E48" s="10">
        <f t="shared" si="13"/>
        <v>38.417815152223</v>
      </c>
      <c r="F48" s="10">
        <f t="shared" si="13"/>
        <v>33.990378909004718</v>
      </c>
      <c r="G48" s="10">
        <f t="shared" si="13"/>
        <v>23.464772177660677</v>
      </c>
      <c r="H48" s="10">
        <f t="shared" si="13"/>
        <v>25.318153038515987</v>
      </c>
      <c r="I48" s="10">
        <f t="shared" si="13"/>
        <v>42.084074385955738</v>
      </c>
      <c r="J48" s="10">
        <f t="shared" si="13"/>
        <v>27.847195577377338</v>
      </c>
      <c r="K48" s="10">
        <f t="shared" si="13"/>
        <v>23.300659779024823</v>
      </c>
      <c r="L48" s="10">
        <f t="shared" si="13"/>
        <v>18.724767745346437</v>
      </c>
    </row>
    <row r="49" spans="1:12" ht="14.25" customHeight="1">
      <c r="A49" s="140"/>
      <c r="B49" s="10"/>
      <c r="C49" s="10"/>
      <c r="D49" s="10"/>
      <c r="E49" s="10"/>
      <c r="F49" s="10"/>
      <c r="G49" s="10"/>
      <c r="H49" s="10"/>
      <c r="I49" s="10"/>
      <c r="J49" s="10"/>
      <c r="K49" s="10"/>
      <c r="L49" s="10"/>
    </row>
    <row r="50" spans="1:12">
      <c r="A50" s="9" t="s">
        <v>284</v>
      </c>
    </row>
    <row r="51" spans="1:12">
      <c r="A51" s="1" t="s">
        <v>113</v>
      </c>
      <c r="B51" s="9"/>
      <c r="C51" s="9"/>
      <c r="D51" s="9"/>
      <c r="E51" s="9"/>
      <c r="F51" s="9"/>
      <c r="G51" s="9"/>
      <c r="H51" s="9"/>
      <c r="I51" s="9"/>
      <c r="J51" s="9"/>
      <c r="K51" s="9"/>
      <c r="L51" s="9"/>
    </row>
  </sheetData>
  <mergeCells count="11">
    <mergeCell ref="B3:B4"/>
    <mergeCell ref="C3:C4"/>
    <mergeCell ref="D3:D4"/>
    <mergeCell ref="E3:E4"/>
    <mergeCell ref="J3:J4"/>
    <mergeCell ref="L3:L4"/>
    <mergeCell ref="F3:F4"/>
    <mergeCell ref="G3:G4"/>
    <mergeCell ref="H3:H4"/>
    <mergeCell ref="I3:I4"/>
    <mergeCell ref="K3:K4"/>
  </mergeCells>
  <phoneticPr fontId="35" type="noConversion"/>
  <pageMargins left="0.74803149606299213" right="0.74803149606299213" top="0.98425196850393704" bottom="0.98425196850393704" header="0.51181102362204722" footer="0.51181102362204722"/>
  <pageSetup scale="71"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sheetPr codeName="Sheet2">
    <pageSetUpPr fitToPage="1"/>
  </sheetPr>
  <dimension ref="A1:N78"/>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4" ht="15.75">
      <c r="A1" s="3" t="s">
        <v>2088</v>
      </c>
    </row>
    <row r="2" spans="1:14">
      <c r="A2" s="4"/>
      <c r="B2" s="4"/>
    </row>
    <row r="3" spans="1:14">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4" s="4" customFormat="1">
      <c r="A4" s="7"/>
      <c r="B4" s="1165"/>
      <c r="C4" s="1165"/>
      <c r="D4" s="1165"/>
      <c r="E4" s="1165"/>
      <c r="F4" s="1165"/>
      <c r="G4" s="1165"/>
      <c r="H4" s="1165"/>
      <c r="I4" s="1165"/>
      <c r="J4" s="1165"/>
      <c r="K4" s="1165"/>
      <c r="L4" s="1165"/>
      <c r="N4" s="4" t="s">
        <v>2262</v>
      </c>
    </row>
    <row r="5" spans="1:14" ht="12.75" customHeight="1">
      <c r="A5" s="2">
        <v>1981</v>
      </c>
      <c r="B5" s="19">
        <v>9132</v>
      </c>
      <c r="C5" s="19">
        <v>162</v>
      </c>
      <c r="D5" s="19">
        <v>41</v>
      </c>
      <c r="E5" s="19">
        <v>294</v>
      </c>
      <c r="F5" s="19">
        <v>234</v>
      </c>
      <c r="G5" s="19">
        <v>2386</v>
      </c>
      <c r="H5" s="19">
        <v>3262</v>
      </c>
      <c r="I5" s="19">
        <v>382</v>
      </c>
      <c r="J5" s="19">
        <v>360</v>
      </c>
      <c r="K5" s="19">
        <v>889</v>
      </c>
      <c r="L5" s="19">
        <v>1122</v>
      </c>
      <c r="N5" s="19">
        <v>9132</v>
      </c>
    </row>
    <row r="6" spans="1:14" ht="12.75" customHeight="1">
      <c r="A6" s="2">
        <v>1982</v>
      </c>
      <c r="B6" s="19">
        <v>9298</v>
      </c>
      <c r="C6" s="19">
        <v>165</v>
      </c>
      <c r="D6" s="19">
        <v>42</v>
      </c>
      <c r="E6" s="19">
        <v>300</v>
      </c>
      <c r="F6" s="19">
        <v>239</v>
      </c>
      <c r="G6" s="19">
        <v>2422</v>
      </c>
      <c r="H6" s="19">
        <v>3338</v>
      </c>
      <c r="I6" s="19">
        <v>388</v>
      </c>
      <c r="J6" s="19">
        <v>365</v>
      </c>
      <c r="K6" s="19">
        <v>900</v>
      </c>
      <c r="L6" s="19">
        <v>1140</v>
      </c>
      <c r="N6" s="19">
        <v>9298</v>
      </c>
    </row>
    <row r="7" spans="1:14" ht="12.75" customHeight="1">
      <c r="A7" s="2">
        <v>1983</v>
      </c>
      <c r="B7" s="19">
        <v>9480</v>
      </c>
      <c r="C7" s="19">
        <v>169</v>
      </c>
      <c r="D7" s="19">
        <v>42</v>
      </c>
      <c r="E7" s="19">
        <v>309</v>
      </c>
      <c r="F7" s="19">
        <v>246</v>
      </c>
      <c r="G7" s="19">
        <v>2466</v>
      </c>
      <c r="H7" s="19">
        <v>3395</v>
      </c>
      <c r="I7" s="19">
        <v>398</v>
      </c>
      <c r="J7" s="19">
        <v>372</v>
      </c>
      <c r="K7" s="19">
        <v>910</v>
      </c>
      <c r="L7" s="19">
        <v>1172</v>
      </c>
      <c r="N7" s="19">
        <v>9480</v>
      </c>
    </row>
    <row r="8" spans="1:14" ht="12.75" customHeight="1">
      <c r="A8" s="2">
        <v>1984</v>
      </c>
      <c r="B8" s="19">
        <v>9656</v>
      </c>
      <c r="C8" s="19">
        <v>170</v>
      </c>
      <c r="D8" s="19">
        <v>43</v>
      </c>
      <c r="E8" s="19">
        <v>313</v>
      </c>
      <c r="F8" s="19">
        <v>248</v>
      </c>
      <c r="G8" s="19">
        <v>2517</v>
      </c>
      <c r="H8" s="19">
        <v>3483</v>
      </c>
      <c r="I8" s="19">
        <v>401</v>
      </c>
      <c r="J8" s="19">
        <v>378</v>
      </c>
      <c r="K8" s="19">
        <v>917</v>
      </c>
      <c r="L8" s="19">
        <v>1186</v>
      </c>
      <c r="N8" s="19">
        <v>9656</v>
      </c>
    </row>
    <row r="9" spans="1:14" ht="12.75" customHeight="1">
      <c r="A9" s="2">
        <v>1985</v>
      </c>
      <c r="B9" s="19">
        <v>9837</v>
      </c>
      <c r="C9" s="19">
        <v>172</v>
      </c>
      <c r="D9" s="19">
        <v>43</v>
      </c>
      <c r="E9" s="19">
        <v>317</v>
      </c>
      <c r="F9" s="19">
        <v>252</v>
      </c>
      <c r="G9" s="19">
        <v>2563</v>
      </c>
      <c r="H9" s="19">
        <v>3558</v>
      </c>
      <c r="I9" s="19">
        <v>409</v>
      </c>
      <c r="J9" s="19">
        <v>383</v>
      </c>
      <c r="K9" s="19">
        <v>927</v>
      </c>
      <c r="L9" s="19">
        <v>1211</v>
      </c>
      <c r="N9" s="19">
        <v>9837</v>
      </c>
    </row>
    <row r="10" spans="1:14" ht="12.75" customHeight="1">
      <c r="A10" s="2">
        <v>1986</v>
      </c>
      <c r="B10" s="19">
        <v>10005</v>
      </c>
      <c r="C10" s="19">
        <v>178</v>
      </c>
      <c r="D10" s="19">
        <v>44</v>
      </c>
      <c r="E10" s="19">
        <v>324</v>
      </c>
      <c r="F10" s="19">
        <v>256</v>
      </c>
      <c r="G10" s="19">
        <v>2607</v>
      </c>
      <c r="H10" s="19">
        <v>3636</v>
      </c>
      <c r="I10" s="19">
        <v>411</v>
      </c>
      <c r="J10" s="19">
        <v>385</v>
      </c>
      <c r="K10" s="19">
        <v>931</v>
      </c>
      <c r="L10" s="19">
        <v>1233</v>
      </c>
      <c r="N10" s="19">
        <v>10005</v>
      </c>
    </row>
    <row r="11" spans="1:14" ht="12.75" customHeight="1">
      <c r="A11" s="2">
        <v>1987</v>
      </c>
      <c r="B11" s="19">
        <v>10205</v>
      </c>
      <c r="C11" s="19">
        <v>179</v>
      </c>
      <c r="D11" s="19">
        <v>45</v>
      </c>
      <c r="E11" s="19">
        <v>327</v>
      </c>
      <c r="F11" s="19">
        <v>260</v>
      </c>
      <c r="G11" s="19">
        <v>2660</v>
      </c>
      <c r="H11" s="19">
        <v>3726</v>
      </c>
      <c r="I11" s="19">
        <v>416</v>
      </c>
      <c r="J11" s="19">
        <v>388</v>
      </c>
      <c r="K11" s="19">
        <v>942</v>
      </c>
      <c r="L11" s="19">
        <v>1262</v>
      </c>
      <c r="N11" s="19">
        <v>10205</v>
      </c>
    </row>
    <row r="12" spans="1:14" ht="12.75" customHeight="1">
      <c r="A12" s="2">
        <v>1988</v>
      </c>
      <c r="B12" s="19">
        <v>10454</v>
      </c>
      <c r="C12" s="19">
        <v>184</v>
      </c>
      <c r="D12" s="19">
        <v>46</v>
      </c>
      <c r="E12" s="19">
        <v>335</v>
      </c>
      <c r="F12" s="19">
        <v>266</v>
      </c>
      <c r="G12" s="19">
        <v>2725</v>
      </c>
      <c r="H12" s="19">
        <v>3842</v>
      </c>
      <c r="I12" s="19">
        <v>421</v>
      </c>
      <c r="J12" s="19">
        <v>388</v>
      </c>
      <c r="K12" s="19">
        <v>959</v>
      </c>
      <c r="L12" s="19">
        <v>1288</v>
      </c>
      <c r="N12" s="19">
        <v>10454</v>
      </c>
    </row>
    <row r="13" spans="1:14" ht="12.75" customHeight="1">
      <c r="A13" s="2">
        <v>1989</v>
      </c>
      <c r="B13" s="19">
        <v>10659</v>
      </c>
      <c r="C13" s="19">
        <v>186</v>
      </c>
      <c r="D13" s="19">
        <v>46</v>
      </c>
      <c r="E13" s="19">
        <v>339</v>
      </c>
      <c r="F13" s="19">
        <v>270</v>
      </c>
      <c r="G13" s="19">
        <v>2779</v>
      </c>
      <c r="H13" s="19">
        <v>3919</v>
      </c>
      <c r="I13" s="19">
        <v>424</v>
      </c>
      <c r="J13" s="19">
        <v>385</v>
      </c>
      <c r="K13" s="19">
        <v>977</v>
      </c>
      <c r="L13" s="19">
        <v>1332</v>
      </c>
      <c r="N13" s="19">
        <v>10659</v>
      </c>
    </row>
    <row r="14" spans="1:14" ht="12.75" customHeight="1">
      <c r="A14" s="2">
        <v>1990</v>
      </c>
      <c r="B14" s="19">
        <v>10897</v>
      </c>
      <c r="C14" s="19">
        <v>191</v>
      </c>
      <c r="D14" s="19">
        <v>47</v>
      </c>
      <c r="E14" s="19">
        <v>347</v>
      </c>
      <c r="F14" s="19">
        <v>277</v>
      </c>
      <c r="G14" s="19">
        <v>2833</v>
      </c>
      <c r="H14" s="19">
        <v>4022</v>
      </c>
      <c r="I14" s="19">
        <v>427</v>
      </c>
      <c r="J14" s="19">
        <v>384</v>
      </c>
      <c r="K14" s="19">
        <v>998</v>
      </c>
      <c r="L14" s="19">
        <v>1371</v>
      </c>
      <c r="N14" s="19">
        <v>10897</v>
      </c>
    </row>
    <row r="15" spans="1:14" ht="12.75" customHeight="1">
      <c r="A15" s="2">
        <v>1991</v>
      </c>
      <c r="B15" s="19">
        <v>11062</v>
      </c>
      <c r="C15" s="19">
        <v>192</v>
      </c>
      <c r="D15" s="19">
        <v>48</v>
      </c>
      <c r="E15" s="19">
        <v>352</v>
      </c>
      <c r="F15" s="19">
        <v>281</v>
      </c>
      <c r="G15" s="19">
        <v>2867</v>
      </c>
      <c r="H15" s="19">
        <v>4084</v>
      </c>
      <c r="I15" s="19">
        <v>430</v>
      </c>
      <c r="J15" s="19">
        <v>385</v>
      </c>
      <c r="K15" s="19">
        <v>1017</v>
      </c>
      <c r="L15" s="19">
        <v>1405</v>
      </c>
      <c r="N15" s="19">
        <v>11062</v>
      </c>
    </row>
    <row r="16" spans="1:14" ht="12.75" customHeight="1">
      <c r="A16" s="2">
        <v>1992</v>
      </c>
      <c r="B16" s="19">
        <v>11257</v>
      </c>
      <c r="C16" s="19">
        <v>197</v>
      </c>
      <c r="D16" s="19">
        <v>49</v>
      </c>
      <c r="E16" s="19">
        <v>353</v>
      </c>
      <c r="F16" s="19">
        <v>283</v>
      </c>
      <c r="G16" s="19">
        <v>2922</v>
      </c>
      <c r="H16" s="19">
        <v>4150</v>
      </c>
      <c r="I16" s="19">
        <v>430</v>
      </c>
      <c r="J16" s="19">
        <v>388</v>
      </c>
      <c r="K16" s="19">
        <v>1038</v>
      </c>
      <c r="L16" s="19">
        <v>1448</v>
      </c>
      <c r="N16" s="19">
        <v>11257</v>
      </c>
    </row>
    <row r="17" spans="1:14" ht="12.75" customHeight="1">
      <c r="A17" s="2">
        <v>1993</v>
      </c>
      <c r="B17" s="19">
        <v>11395</v>
      </c>
      <c r="C17" s="19">
        <v>198</v>
      </c>
      <c r="D17" s="19">
        <v>50</v>
      </c>
      <c r="E17" s="19">
        <v>358</v>
      </c>
      <c r="F17" s="19">
        <v>284</v>
      </c>
      <c r="G17" s="19">
        <v>2943</v>
      </c>
      <c r="H17" s="19">
        <v>4199</v>
      </c>
      <c r="I17" s="19">
        <v>433</v>
      </c>
      <c r="J17" s="19">
        <v>390</v>
      </c>
      <c r="K17" s="19">
        <v>1044</v>
      </c>
      <c r="L17" s="19">
        <v>1497</v>
      </c>
      <c r="N17" s="19">
        <v>11395</v>
      </c>
    </row>
    <row r="18" spans="1:14" ht="12.75" customHeight="1">
      <c r="A18" s="2">
        <v>1994</v>
      </c>
      <c r="B18" s="19">
        <v>11532</v>
      </c>
      <c r="C18" s="19">
        <v>197</v>
      </c>
      <c r="D18" s="19">
        <v>50</v>
      </c>
      <c r="E18" s="19">
        <v>363</v>
      </c>
      <c r="F18" s="19">
        <v>288</v>
      </c>
      <c r="G18" s="19">
        <v>2973</v>
      </c>
      <c r="H18" s="19">
        <v>4238</v>
      </c>
      <c r="I18" s="19">
        <v>435</v>
      </c>
      <c r="J18" s="19">
        <v>392</v>
      </c>
      <c r="K18" s="19">
        <v>1054</v>
      </c>
      <c r="L18" s="19">
        <v>1543</v>
      </c>
      <c r="N18" s="19">
        <v>11532</v>
      </c>
    </row>
    <row r="19" spans="1:14" ht="12.75" customHeight="1">
      <c r="A19" s="2">
        <v>1995</v>
      </c>
      <c r="B19" s="19">
        <v>11707</v>
      </c>
      <c r="C19" s="19">
        <v>198</v>
      </c>
      <c r="D19" s="19">
        <v>51</v>
      </c>
      <c r="E19" s="19">
        <v>366</v>
      </c>
      <c r="F19" s="19">
        <v>291</v>
      </c>
      <c r="G19" s="19">
        <v>2997</v>
      </c>
      <c r="H19" s="19">
        <v>4303</v>
      </c>
      <c r="I19" s="19">
        <v>438</v>
      </c>
      <c r="J19" s="19">
        <v>393</v>
      </c>
      <c r="K19" s="19">
        <v>1076</v>
      </c>
      <c r="L19" s="19">
        <v>1593</v>
      </c>
      <c r="N19" s="19">
        <v>11707</v>
      </c>
    </row>
    <row r="20" spans="1:14" ht="12.75" customHeight="1">
      <c r="A20" s="2">
        <v>1996</v>
      </c>
      <c r="B20" s="19">
        <v>11851</v>
      </c>
      <c r="C20" s="19">
        <v>198</v>
      </c>
      <c r="D20" s="19">
        <v>52</v>
      </c>
      <c r="E20" s="19">
        <v>369</v>
      </c>
      <c r="F20" s="19">
        <v>294</v>
      </c>
      <c r="G20" s="19">
        <v>3035</v>
      </c>
      <c r="H20" s="19">
        <v>4350</v>
      </c>
      <c r="I20" s="19">
        <v>439</v>
      </c>
      <c r="J20" s="19">
        <v>398</v>
      </c>
      <c r="K20" s="19">
        <v>1094</v>
      </c>
      <c r="L20" s="19">
        <v>1622</v>
      </c>
      <c r="N20" s="19">
        <v>11851</v>
      </c>
    </row>
    <row r="21" spans="1:14" ht="12.75" customHeight="1">
      <c r="A21" s="2">
        <v>1997</v>
      </c>
      <c r="B21" s="19">
        <v>12017</v>
      </c>
      <c r="C21" s="19">
        <v>198</v>
      </c>
      <c r="D21" s="19">
        <v>53</v>
      </c>
      <c r="E21" s="19">
        <v>372</v>
      </c>
      <c r="F21" s="19">
        <v>296</v>
      </c>
      <c r="G21" s="19">
        <v>3060</v>
      </c>
      <c r="H21" s="19">
        <v>4412</v>
      </c>
      <c r="I21" s="19">
        <v>440</v>
      </c>
      <c r="J21" s="19">
        <v>398</v>
      </c>
      <c r="K21" s="19">
        <v>1132</v>
      </c>
      <c r="L21" s="19">
        <v>1656</v>
      </c>
      <c r="N21" s="19">
        <v>12017</v>
      </c>
    </row>
    <row r="22" spans="1:14" ht="12.75" customHeight="1">
      <c r="A22" s="2">
        <v>1998</v>
      </c>
      <c r="B22" s="19">
        <v>12134</v>
      </c>
      <c r="C22" s="19">
        <v>198</v>
      </c>
      <c r="D22" s="19">
        <v>53</v>
      </c>
      <c r="E22" s="19">
        <v>373</v>
      </c>
      <c r="F22" s="19">
        <v>299</v>
      </c>
      <c r="G22" s="19">
        <v>3084</v>
      </c>
      <c r="H22" s="19">
        <v>4461</v>
      </c>
      <c r="I22" s="19">
        <v>442</v>
      </c>
      <c r="J22" s="19">
        <v>399</v>
      </c>
      <c r="K22" s="19">
        <v>1162</v>
      </c>
      <c r="L22" s="19">
        <v>1662</v>
      </c>
      <c r="N22" s="19">
        <v>12134</v>
      </c>
    </row>
    <row r="23" spans="1:14" ht="12.75" customHeight="1">
      <c r="A23" s="2">
        <v>1999</v>
      </c>
      <c r="B23" s="19">
        <v>12288</v>
      </c>
      <c r="C23" s="19">
        <v>199</v>
      </c>
      <c r="D23" s="19">
        <v>53</v>
      </c>
      <c r="E23" s="19">
        <v>378</v>
      </c>
      <c r="F23" s="19">
        <v>301</v>
      </c>
      <c r="G23" s="19">
        <v>3124</v>
      </c>
      <c r="H23" s="19">
        <v>4515</v>
      </c>
      <c r="I23" s="19">
        <v>446</v>
      </c>
      <c r="J23" s="19">
        <v>398</v>
      </c>
      <c r="K23" s="19">
        <v>1192</v>
      </c>
      <c r="L23" s="19">
        <v>1681</v>
      </c>
      <c r="N23" s="19">
        <v>12288</v>
      </c>
    </row>
    <row r="24" spans="1:14" ht="12.75" customHeight="1">
      <c r="A24" s="2">
        <v>2000</v>
      </c>
      <c r="B24" s="19">
        <v>12465</v>
      </c>
      <c r="C24" s="19">
        <v>200</v>
      </c>
      <c r="D24" s="19">
        <v>54</v>
      </c>
      <c r="E24" s="19">
        <v>383</v>
      </c>
      <c r="F24" s="19">
        <v>302</v>
      </c>
      <c r="G24" s="19">
        <v>3164</v>
      </c>
      <c r="H24" s="19">
        <v>4602</v>
      </c>
      <c r="I24" s="19">
        <v>450</v>
      </c>
      <c r="J24" s="19">
        <v>398</v>
      </c>
      <c r="K24" s="19">
        <v>1218</v>
      </c>
      <c r="L24" s="19">
        <v>1695</v>
      </c>
      <c r="N24" s="19">
        <v>12465</v>
      </c>
    </row>
    <row r="25" spans="1:14" ht="12.75" customHeight="1">
      <c r="A25" s="2">
        <v>2001</v>
      </c>
      <c r="B25" s="19">
        <v>12651</v>
      </c>
      <c r="C25" s="19">
        <v>201</v>
      </c>
      <c r="D25" s="19">
        <v>54</v>
      </c>
      <c r="E25" s="19">
        <v>386</v>
      </c>
      <c r="F25" s="19">
        <v>304</v>
      </c>
      <c r="G25" s="19">
        <v>3203</v>
      </c>
      <c r="H25" s="19">
        <v>4689</v>
      </c>
      <c r="I25" s="19">
        <v>452</v>
      </c>
      <c r="J25" s="19">
        <v>397</v>
      </c>
      <c r="K25" s="19">
        <v>1248</v>
      </c>
      <c r="L25" s="19">
        <v>1716</v>
      </c>
      <c r="N25" s="19">
        <v>12651</v>
      </c>
    </row>
    <row r="26" spans="1:14" ht="12.75" customHeight="1">
      <c r="A26" s="2">
        <v>2002</v>
      </c>
      <c r="B26" s="19">
        <v>12859</v>
      </c>
      <c r="C26" s="19">
        <v>204</v>
      </c>
      <c r="D26" s="19">
        <v>55</v>
      </c>
      <c r="E26" s="19">
        <v>390</v>
      </c>
      <c r="F26" s="19">
        <v>308</v>
      </c>
      <c r="G26" s="19">
        <v>3254</v>
      </c>
      <c r="H26" s="19">
        <v>4772</v>
      </c>
      <c r="I26" s="19">
        <v>456</v>
      </c>
      <c r="J26" s="19">
        <v>396</v>
      </c>
      <c r="K26" s="19">
        <v>1279</v>
      </c>
      <c r="L26" s="19">
        <v>1745</v>
      </c>
      <c r="N26" s="19">
        <v>12859</v>
      </c>
    </row>
    <row r="27" spans="1:14" ht="12.75" customHeight="1">
      <c r="A27" s="2">
        <v>2003</v>
      </c>
      <c r="B27" s="19">
        <v>13033</v>
      </c>
      <c r="C27" s="19">
        <v>207</v>
      </c>
      <c r="D27" s="19">
        <v>55</v>
      </c>
      <c r="E27" s="19">
        <v>394</v>
      </c>
      <c r="F27" s="19">
        <v>309</v>
      </c>
      <c r="G27" s="19">
        <v>3293</v>
      </c>
      <c r="H27" s="19">
        <v>4845</v>
      </c>
      <c r="I27" s="19">
        <v>462</v>
      </c>
      <c r="J27" s="19">
        <v>398</v>
      </c>
      <c r="K27" s="19">
        <v>1305</v>
      </c>
      <c r="L27" s="19">
        <v>1765</v>
      </c>
      <c r="N27" s="19">
        <v>13033</v>
      </c>
    </row>
    <row r="28" spans="1:14" ht="12.75" customHeight="1">
      <c r="A28" s="2">
        <v>2004</v>
      </c>
      <c r="B28" s="19">
        <v>13228</v>
      </c>
      <c r="C28" s="19">
        <v>208</v>
      </c>
      <c r="D28" s="19">
        <v>56</v>
      </c>
      <c r="E28" s="19">
        <v>397</v>
      </c>
      <c r="F28" s="19">
        <v>310</v>
      </c>
      <c r="G28" s="19">
        <v>3341</v>
      </c>
      <c r="H28" s="19">
        <v>4927</v>
      </c>
      <c r="I28" s="19">
        <v>466</v>
      </c>
      <c r="J28" s="19">
        <v>401</v>
      </c>
      <c r="K28" s="19">
        <v>1330</v>
      </c>
      <c r="L28" s="19">
        <v>1792</v>
      </c>
      <c r="N28" s="19">
        <v>13228</v>
      </c>
    </row>
    <row r="29" spans="1:14" ht="12.75" customHeight="1">
      <c r="A29" s="2">
        <v>2005</v>
      </c>
      <c r="B29" s="19">
        <v>13459</v>
      </c>
      <c r="C29" s="19">
        <v>210</v>
      </c>
      <c r="D29" s="19">
        <v>57</v>
      </c>
      <c r="E29" s="19">
        <v>401</v>
      </c>
      <c r="F29" s="19">
        <v>315</v>
      </c>
      <c r="G29" s="19">
        <v>3397</v>
      </c>
      <c r="H29" s="19">
        <v>5020</v>
      </c>
      <c r="I29" s="19">
        <v>468</v>
      </c>
      <c r="J29" s="19">
        <v>401</v>
      </c>
      <c r="K29" s="19">
        <v>1372</v>
      </c>
      <c r="L29" s="19">
        <v>1818</v>
      </c>
      <c r="N29" s="19">
        <v>13459</v>
      </c>
    </row>
    <row r="30" spans="1:14" ht="12.75" customHeight="1">
      <c r="A30" s="2">
        <v>2006</v>
      </c>
      <c r="B30" s="19">
        <v>13652</v>
      </c>
      <c r="C30" s="19">
        <v>210</v>
      </c>
      <c r="D30" s="19">
        <v>57</v>
      </c>
      <c r="E30" s="19">
        <v>405</v>
      </c>
      <c r="F30" s="19">
        <v>316</v>
      </c>
      <c r="G30" s="19">
        <v>3440</v>
      </c>
      <c r="H30" s="19">
        <v>5072</v>
      </c>
      <c r="I30" s="19">
        <v>470</v>
      </c>
      <c r="J30" s="19">
        <v>400</v>
      </c>
      <c r="K30" s="19">
        <v>1433</v>
      </c>
      <c r="L30" s="19">
        <v>1848</v>
      </c>
      <c r="N30" s="19">
        <v>13652</v>
      </c>
    </row>
    <row r="31" spans="1:14" ht="12.75" customHeight="1">
      <c r="A31" s="2">
        <v>2007</v>
      </c>
      <c r="B31" s="19">
        <v>13837</v>
      </c>
      <c r="C31" s="19">
        <v>212</v>
      </c>
      <c r="D31" s="19">
        <v>58</v>
      </c>
      <c r="E31" s="19">
        <v>408</v>
      </c>
      <c r="F31" s="19">
        <v>319</v>
      </c>
      <c r="G31" s="19">
        <v>3483</v>
      </c>
      <c r="H31" s="19">
        <v>5127</v>
      </c>
      <c r="I31" s="19">
        <v>477</v>
      </c>
      <c r="J31" s="19">
        <v>408</v>
      </c>
      <c r="K31" s="19">
        <v>1470</v>
      </c>
      <c r="L31" s="19">
        <v>1874</v>
      </c>
      <c r="N31" s="19">
        <v>13837</v>
      </c>
    </row>
    <row r="32" spans="1:14" ht="12.75" customHeight="1">
      <c r="A32" s="2"/>
      <c r="B32" s="652"/>
      <c r="C32" s="652"/>
      <c r="D32" s="666" t="s">
        <v>802</v>
      </c>
      <c r="E32" s="652"/>
      <c r="F32" s="652"/>
      <c r="G32" s="652"/>
      <c r="H32" s="652"/>
      <c r="I32" s="652"/>
      <c r="J32" s="652"/>
      <c r="K32" s="652"/>
      <c r="L32" s="652"/>
      <c r="N32" s="1">
        <v>14061.4330453574</v>
      </c>
    </row>
    <row r="33" spans="1:14" ht="12.75" customHeight="1">
      <c r="A33" s="448" t="s">
        <v>603</v>
      </c>
      <c r="B33" s="27">
        <f>((((B13/B5))^(1/8))-1)*100</f>
        <v>1.9515469600075441</v>
      </c>
      <c r="C33" s="27">
        <f t="shared" ref="C33:L33" si="0">((((C13/C5))^(1/8))-1)*100</f>
        <v>1.741875991345232</v>
      </c>
      <c r="D33" s="27">
        <f t="shared" si="0"/>
        <v>1.4487608911159855</v>
      </c>
      <c r="E33" s="27">
        <f t="shared" si="0"/>
        <v>1.7961952326706276</v>
      </c>
      <c r="F33" s="27">
        <f t="shared" si="0"/>
        <v>1.8048546856160419</v>
      </c>
      <c r="G33" s="27">
        <f t="shared" si="0"/>
        <v>1.9241887483505415</v>
      </c>
      <c r="H33" s="27">
        <f t="shared" si="0"/>
        <v>2.320207770674787</v>
      </c>
      <c r="I33" s="27">
        <f t="shared" si="0"/>
        <v>1.312448565720481</v>
      </c>
      <c r="J33" s="27">
        <f t="shared" si="0"/>
        <v>0.84277278750779505</v>
      </c>
      <c r="K33" s="27">
        <f t="shared" si="0"/>
        <v>1.1868556012310183</v>
      </c>
      <c r="L33" s="27">
        <f t="shared" si="0"/>
        <v>2.167771595654977</v>
      </c>
    </row>
    <row r="34" spans="1:14" ht="12.75" customHeight="1">
      <c r="A34" s="448" t="s">
        <v>604</v>
      </c>
      <c r="B34" s="27">
        <f>((((B24/B13))^(1/11))-1)*100</f>
        <v>1.4330816549955827</v>
      </c>
      <c r="C34" s="27">
        <f t="shared" ref="C34:L34" si="1">((((C24/C13))^(1/11))-1)*100</f>
        <v>0.66191460685411929</v>
      </c>
      <c r="D34" s="27">
        <f t="shared" si="1"/>
        <v>1.4683361338873491</v>
      </c>
      <c r="E34" s="27">
        <f t="shared" si="1"/>
        <v>1.1155847677579933</v>
      </c>
      <c r="F34" s="27">
        <f t="shared" si="1"/>
        <v>1.0234293823714768</v>
      </c>
      <c r="G34" s="27">
        <f t="shared" si="1"/>
        <v>1.1864918021874837</v>
      </c>
      <c r="H34" s="27">
        <f t="shared" si="1"/>
        <v>1.4712125466594728</v>
      </c>
      <c r="I34" s="27">
        <f t="shared" si="1"/>
        <v>0.54250377415876461</v>
      </c>
      <c r="J34" s="27">
        <f t="shared" si="1"/>
        <v>0.30235317701785558</v>
      </c>
      <c r="K34" s="27">
        <f t="shared" si="1"/>
        <v>2.0245747225243749</v>
      </c>
      <c r="L34" s="27">
        <f t="shared" si="1"/>
        <v>2.2150966041533771</v>
      </c>
    </row>
    <row r="35" spans="1:14" ht="12.75" customHeight="1">
      <c r="A35" s="448" t="s">
        <v>447</v>
      </c>
      <c r="B35" s="27">
        <f>((((B31/B5))^(1/26))-1)*100</f>
        <v>1.6111545610001388</v>
      </c>
      <c r="C35" s="27">
        <f t="shared" ref="C35:L35" si="2">((((C31/C5))^(1/26))-1)*100</f>
        <v>1.0399469385931948</v>
      </c>
      <c r="D35" s="27">
        <f t="shared" si="2"/>
        <v>1.3430580909085554</v>
      </c>
      <c r="E35" s="27">
        <f t="shared" si="2"/>
        <v>1.2683118891576362</v>
      </c>
      <c r="F35" s="27">
        <f t="shared" si="2"/>
        <v>1.1989379696849545</v>
      </c>
      <c r="G35" s="27">
        <f t="shared" si="2"/>
        <v>1.4655416928220699</v>
      </c>
      <c r="H35" s="27">
        <f t="shared" si="2"/>
        <v>1.7543659196686656</v>
      </c>
      <c r="I35" s="27">
        <f t="shared" si="2"/>
        <v>0.85787375826216206</v>
      </c>
      <c r="J35" s="27">
        <f t="shared" si="2"/>
        <v>0.48255727917752012</v>
      </c>
      <c r="K35" s="27">
        <f t="shared" si="2"/>
        <v>1.9531383728686791</v>
      </c>
      <c r="L35" s="27">
        <f t="shared" si="2"/>
        <v>1.9925231523387543</v>
      </c>
    </row>
    <row r="36" spans="1:14" ht="12.75" customHeight="1">
      <c r="A36" s="448" t="s">
        <v>449</v>
      </c>
      <c r="B36" s="27">
        <f>((((B31/B24))^(1/7))-1)*100</f>
        <v>1.502916851114966</v>
      </c>
      <c r="C36" s="27">
        <f t="shared" ref="C36:L36" si="3">((((C31/C24))^(1/7))-1)*100</f>
        <v>0.83588716316806977</v>
      </c>
      <c r="D36" s="27">
        <f t="shared" si="3"/>
        <v>1.0260707140422376</v>
      </c>
      <c r="E36" s="27">
        <f t="shared" si="3"/>
        <v>0.90740915178495474</v>
      </c>
      <c r="F36" s="27">
        <f t="shared" si="3"/>
        <v>0.78541238491665055</v>
      </c>
      <c r="G36" s="27">
        <f t="shared" si="3"/>
        <v>1.3817004767247898</v>
      </c>
      <c r="H36" s="27">
        <f t="shared" si="3"/>
        <v>1.5552515317483584</v>
      </c>
      <c r="I36" s="27">
        <f t="shared" si="3"/>
        <v>0.83588716316806977</v>
      </c>
      <c r="J36" s="27">
        <f t="shared" si="3"/>
        <v>0.35513151898622919</v>
      </c>
      <c r="K36" s="27">
        <f t="shared" si="3"/>
        <v>2.7228711202979872</v>
      </c>
      <c r="L36" s="27">
        <f t="shared" si="3"/>
        <v>1.4445114280768889</v>
      </c>
    </row>
    <row r="37" spans="1:14" ht="12.75" customHeight="1">
      <c r="A37" s="448"/>
      <c r="D37" s="27" t="s">
        <v>276</v>
      </c>
    </row>
    <row r="38" spans="1:14" ht="12.75" customHeight="1">
      <c r="A38" s="448" t="s">
        <v>447</v>
      </c>
      <c r="B38" s="12">
        <f>(B31/B5-1)*100</f>
        <v>51.522120017520812</v>
      </c>
      <c r="C38" s="12">
        <f t="shared" ref="C38:L38" si="4">(C31/C5-1)*100</f>
        <v>30.864197530864203</v>
      </c>
      <c r="D38" s="12">
        <f t="shared" si="4"/>
        <v>41.463414634146332</v>
      </c>
      <c r="E38" s="12">
        <f t="shared" si="4"/>
        <v>38.775510204081634</v>
      </c>
      <c r="F38" s="12">
        <f t="shared" si="4"/>
        <v>36.324786324786331</v>
      </c>
      <c r="G38" s="12">
        <f t="shared" si="4"/>
        <v>45.976529756915326</v>
      </c>
      <c r="H38" s="12">
        <f t="shared" si="4"/>
        <v>57.173513182096869</v>
      </c>
      <c r="I38" s="12">
        <f t="shared" si="4"/>
        <v>24.869109947643974</v>
      </c>
      <c r="J38" s="12">
        <f t="shared" si="4"/>
        <v>13.33333333333333</v>
      </c>
      <c r="K38" s="12">
        <f t="shared" si="4"/>
        <v>65.354330708661408</v>
      </c>
      <c r="L38" s="12">
        <f t="shared" si="4"/>
        <v>67.02317290552584</v>
      </c>
    </row>
    <row r="39" spans="1:14" ht="12.75" customHeight="1">
      <c r="B39" s="6"/>
    </row>
    <row r="40" spans="1:14" ht="25.5" customHeight="1">
      <c r="A40" s="1170" t="s">
        <v>1028</v>
      </c>
      <c r="B40" s="1170"/>
      <c r="C40" s="1170"/>
      <c r="D40" s="1170"/>
      <c r="E40" s="1170"/>
      <c r="F40" s="1170"/>
      <c r="G40" s="1170"/>
      <c r="H40" s="1170"/>
      <c r="I40" s="1170"/>
      <c r="J40" s="1170"/>
      <c r="K40" s="1170"/>
      <c r="L40" s="1170"/>
      <c r="M40" s="643"/>
      <c r="N40" s="643"/>
    </row>
    <row r="41" spans="1:14">
      <c r="A41" s="4" t="s">
        <v>1917</v>
      </c>
      <c r="B41" s="9"/>
      <c r="C41" s="9"/>
      <c r="D41" s="9"/>
      <c r="E41" s="9"/>
      <c r="F41" s="9"/>
      <c r="G41" s="9"/>
      <c r="H41" s="9"/>
      <c r="I41" s="9"/>
      <c r="J41" s="9"/>
      <c r="K41" s="9"/>
      <c r="L41" s="9"/>
    </row>
    <row r="42" spans="1:14">
      <c r="A42" s="4" t="s">
        <v>388</v>
      </c>
      <c r="B42" s="9"/>
      <c r="C42" s="9"/>
      <c r="D42" s="9"/>
      <c r="E42" s="9"/>
      <c r="F42" s="9"/>
      <c r="G42" s="9"/>
      <c r="H42" s="9"/>
      <c r="I42" s="9"/>
      <c r="J42" s="9"/>
      <c r="K42" s="9"/>
      <c r="L42" s="9"/>
    </row>
    <row r="43" spans="1:14" s="16" customFormat="1" ht="41.25" customHeight="1">
      <c r="A43" s="1168" t="s">
        <v>1031</v>
      </c>
      <c r="B43" s="1169"/>
      <c r="C43" s="1169"/>
      <c r="D43" s="1169"/>
      <c r="E43" s="1169"/>
      <c r="F43" s="1169"/>
      <c r="G43" s="1169"/>
      <c r="H43" s="1169"/>
      <c r="I43" s="1169"/>
      <c r="J43" s="1169"/>
      <c r="K43" s="1169"/>
      <c r="L43" s="1169"/>
    </row>
    <row r="44" spans="1:14" ht="12.75" customHeight="1"/>
    <row r="45" spans="1:14" s="16" customFormat="1" ht="29.25" customHeight="1">
      <c r="A45" s="1"/>
      <c r="B45" s="1"/>
      <c r="C45" s="6"/>
      <c r="D45" s="1"/>
      <c r="E45" s="1"/>
      <c r="F45" s="1"/>
      <c r="G45" s="1"/>
      <c r="H45" s="1"/>
      <c r="I45" s="1"/>
      <c r="J45" s="1"/>
      <c r="K45" s="1"/>
      <c r="L45" s="1"/>
      <c r="M45" s="1"/>
      <c r="N45" s="1"/>
    </row>
    <row r="50" spans="3:14">
      <c r="C50" s="961" t="s">
        <v>1851</v>
      </c>
      <c r="D50" s="961" t="s">
        <v>1913</v>
      </c>
      <c r="E50" s="961"/>
      <c r="F50" s="961"/>
      <c r="G50" s="961"/>
      <c r="H50" s="961"/>
      <c r="I50" s="961"/>
      <c r="J50" s="961"/>
      <c r="K50" s="961"/>
      <c r="L50" s="961"/>
      <c r="M50" s="961"/>
      <c r="N50" s="961"/>
    </row>
    <row r="51" spans="3:14">
      <c r="C51" s="961"/>
      <c r="D51" s="961" t="s">
        <v>375</v>
      </c>
      <c r="E51" s="961" t="s">
        <v>1858</v>
      </c>
      <c r="F51" s="961" t="s">
        <v>1859</v>
      </c>
      <c r="G51" s="961" t="s">
        <v>1860</v>
      </c>
      <c r="H51" s="961" t="s">
        <v>1861</v>
      </c>
      <c r="I51" s="961" t="s">
        <v>1862</v>
      </c>
      <c r="J51" s="961" t="s">
        <v>1863</v>
      </c>
      <c r="K51" s="961" t="s">
        <v>1864</v>
      </c>
      <c r="L51" s="961" t="s">
        <v>1865</v>
      </c>
      <c r="M51" s="961" t="s">
        <v>1866</v>
      </c>
      <c r="N51" s="961" t="s">
        <v>1867</v>
      </c>
    </row>
    <row r="52" spans="3:14" ht="15">
      <c r="C52" s="961">
        <v>1981</v>
      </c>
      <c r="D52" s="412">
        <v>9132</v>
      </c>
      <c r="E52" s="412">
        <v>162</v>
      </c>
      <c r="F52" s="412">
        <v>41</v>
      </c>
      <c r="G52" s="412">
        <v>294</v>
      </c>
      <c r="H52" s="412">
        <v>234</v>
      </c>
      <c r="I52" s="412">
        <v>2386</v>
      </c>
      <c r="J52" s="412">
        <v>3262</v>
      </c>
      <c r="K52" s="412">
        <v>382</v>
      </c>
      <c r="L52" s="412">
        <v>360</v>
      </c>
      <c r="M52" s="412">
        <v>889</v>
      </c>
      <c r="N52" s="412">
        <v>1122</v>
      </c>
    </row>
    <row r="53" spans="3:14" ht="15">
      <c r="C53" s="961">
        <v>1982</v>
      </c>
      <c r="D53" s="412">
        <v>9298</v>
      </c>
      <c r="E53" s="412">
        <v>165</v>
      </c>
      <c r="F53" s="412">
        <v>42</v>
      </c>
      <c r="G53" s="412">
        <v>300</v>
      </c>
      <c r="H53" s="412">
        <v>239</v>
      </c>
      <c r="I53" s="412">
        <v>2422</v>
      </c>
      <c r="J53" s="412">
        <v>3338</v>
      </c>
      <c r="K53" s="412">
        <v>388</v>
      </c>
      <c r="L53" s="412">
        <v>365</v>
      </c>
      <c r="M53" s="412">
        <v>900</v>
      </c>
      <c r="N53" s="412">
        <v>1140</v>
      </c>
    </row>
    <row r="54" spans="3:14" ht="15">
      <c r="C54" s="961">
        <v>1983</v>
      </c>
      <c r="D54" s="412">
        <v>9480</v>
      </c>
      <c r="E54" s="412">
        <v>169</v>
      </c>
      <c r="F54" s="412">
        <v>42</v>
      </c>
      <c r="G54" s="412">
        <v>309</v>
      </c>
      <c r="H54" s="412">
        <v>246</v>
      </c>
      <c r="I54" s="412">
        <v>2466</v>
      </c>
      <c r="J54" s="412">
        <v>3395</v>
      </c>
      <c r="K54" s="412">
        <v>398</v>
      </c>
      <c r="L54" s="412">
        <v>372</v>
      </c>
      <c r="M54" s="412">
        <v>910</v>
      </c>
      <c r="N54" s="412">
        <v>1172</v>
      </c>
    </row>
    <row r="55" spans="3:14" ht="15">
      <c r="C55" s="961">
        <v>1984</v>
      </c>
      <c r="D55" s="412">
        <v>9656</v>
      </c>
      <c r="E55" s="412">
        <v>170</v>
      </c>
      <c r="F55" s="412">
        <v>43</v>
      </c>
      <c r="G55" s="412">
        <v>313</v>
      </c>
      <c r="H55" s="412">
        <v>248</v>
      </c>
      <c r="I55" s="412">
        <v>2517</v>
      </c>
      <c r="J55" s="412">
        <v>3483</v>
      </c>
      <c r="K55" s="412">
        <v>401</v>
      </c>
      <c r="L55" s="412">
        <v>378</v>
      </c>
      <c r="M55" s="412">
        <v>917</v>
      </c>
      <c r="N55" s="412">
        <v>1186</v>
      </c>
    </row>
    <row r="56" spans="3:14" ht="15">
      <c r="C56" s="961">
        <v>1985</v>
      </c>
      <c r="D56" s="412">
        <v>9837</v>
      </c>
      <c r="E56" s="412">
        <v>172</v>
      </c>
      <c r="F56" s="412">
        <v>43</v>
      </c>
      <c r="G56" s="412">
        <v>317</v>
      </c>
      <c r="H56" s="412">
        <v>252</v>
      </c>
      <c r="I56" s="412">
        <v>2563</v>
      </c>
      <c r="J56" s="412">
        <v>3558</v>
      </c>
      <c r="K56" s="412">
        <v>409</v>
      </c>
      <c r="L56" s="412">
        <v>383</v>
      </c>
      <c r="M56" s="412">
        <v>927</v>
      </c>
      <c r="N56" s="412">
        <v>1211</v>
      </c>
    </row>
    <row r="57" spans="3:14" ht="15">
      <c r="C57" s="961">
        <v>1986</v>
      </c>
      <c r="D57" s="412">
        <v>10005</v>
      </c>
      <c r="E57" s="412">
        <v>178</v>
      </c>
      <c r="F57" s="412">
        <v>44</v>
      </c>
      <c r="G57" s="412">
        <v>324</v>
      </c>
      <c r="H57" s="412">
        <v>256</v>
      </c>
      <c r="I57" s="412">
        <v>2607</v>
      </c>
      <c r="J57" s="412">
        <v>3636</v>
      </c>
      <c r="K57" s="412">
        <v>411</v>
      </c>
      <c r="L57" s="412">
        <v>385</v>
      </c>
      <c r="M57" s="412">
        <v>931</v>
      </c>
      <c r="N57" s="412">
        <v>1233</v>
      </c>
    </row>
    <row r="58" spans="3:14" ht="15">
      <c r="C58" s="961">
        <v>1987</v>
      </c>
      <c r="D58" s="412">
        <v>10205</v>
      </c>
      <c r="E58" s="412">
        <v>179</v>
      </c>
      <c r="F58" s="412">
        <v>45</v>
      </c>
      <c r="G58" s="412">
        <v>327</v>
      </c>
      <c r="H58" s="412">
        <v>260</v>
      </c>
      <c r="I58" s="412">
        <v>2660</v>
      </c>
      <c r="J58" s="412">
        <v>3726</v>
      </c>
      <c r="K58" s="412">
        <v>416</v>
      </c>
      <c r="L58" s="412">
        <v>388</v>
      </c>
      <c r="M58" s="412">
        <v>942</v>
      </c>
      <c r="N58" s="412">
        <v>1262</v>
      </c>
    </row>
    <row r="59" spans="3:14" ht="15">
      <c r="C59" s="961">
        <v>1988</v>
      </c>
      <c r="D59" s="412">
        <v>10454</v>
      </c>
      <c r="E59" s="412">
        <v>184</v>
      </c>
      <c r="F59" s="412">
        <v>46</v>
      </c>
      <c r="G59" s="412">
        <v>335</v>
      </c>
      <c r="H59" s="412">
        <v>266</v>
      </c>
      <c r="I59" s="412">
        <v>2725</v>
      </c>
      <c r="J59" s="412">
        <v>3842</v>
      </c>
      <c r="K59" s="412">
        <v>421</v>
      </c>
      <c r="L59" s="412">
        <v>388</v>
      </c>
      <c r="M59" s="412">
        <v>959</v>
      </c>
      <c r="N59" s="412">
        <v>1288</v>
      </c>
    </row>
    <row r="60" spans="3:14" ht="15">
      <c r="C60" s="961">
        <v>1989</v>
      </c>
      <c r="D60" s="412">
        <v>10659</v>
      </c>
      <c r="E60" s="412">
        <v>186</v>
      </c>
      <c r="F60" s="412">
        <v>46</v>
      </c>
      <c r="G60" s="412">
        <v>339</v>
      </c>
      <c r="H60" s="412">
        <v>270</v>
      </c>
      <c r="I60" s="412">
        <v>2779</v>
      </c>
      <c r="J60" s="412">
        <v>3919</v>
      </c>
      <c r="K60" s="412">
        <v>424</v>
      </c>
      <c r="L60" s="412">
        <v>385</v>
      </c>
      <c r="M60" s="412">
        <v>977</v>
      </c>
      <c r="N60" s="412">
        <v>1332</v>
      </c>
    </row>
    <row r="61" spans="3:14" ht="15">
      <c r="C61" s="961">
        <v>1990</v>
      </c>
      <c r="D61" s="412">
        <v>10897</v>
      </c>
      <c r="E61" s="412">
        <v>191</v>
      </c>
      <c r="F61" s="412">
        <v>47</v>
      </c>
      <c r="G61" s="412">
        <v>347</v>
      </c>
      <c r="H61" s="412">
        <v>277</v>
      </c>
      <c r="I61" s="412">
        <v>2833</v>
      </c>
      <c r="J61" s="412">
        <v>4022</v>
      </c>
      <c r="K61" s="412">
        <v>427</v>
      </c>
      <c r="L61" s="412">
        <v>384</v>
      </c>
      <c r="M61" s="412">
        <v>998</v>
      </c>
      <c r="N61" s="412">
        <v>1371</v>
      </c>
    </row>
    <row r="62" spans="3:14" ht="15">
      <c r="C62" s="961">
        <v>1991</v>
      </c>
      <c r="D62" s="412">
        <v>11062</v>
      </c>
      <c r="E62" s="412">
        <v>192</v>
      </c>
      <c r="F62" s="412">
        <v>48</v>
      </c>
      <c r="G62" s="412">
        <v>352</v>
      </c>
      <c r="H62" s="412">
        <v>281</v>
      </c>
      <c r="I62" s="412">
        <v>2867</v>
      </c>
      <c r="J62" s="412">
        <v>4084</v>
      </c>
      <c r="K62" s="412">
        <v>430</v>
      </c>
      <c r="L62" s="412">
        <v>385</v>
      </c>
      <c r="M62" s="412">
        <v>1017</v>
      </c>
      <c r="N62" s="412">
        <v>1405</v>
      </c>
    </row>
    <row r="63" spans="3:14" ht="15">
      <c r="C63" s="961">
        <v>1992</v>
      </c>
      <c r="D63" s="412">
        <v>11257</v>
      </c>
      <c r="E63" s="412">
        <v>197</v>
      </c>
      <c r="F63" s="412">
        <v>49</v>
      </c>
      <c r="G63" s="412">
        <v>353</v>
      </c>
      <c r="H63" s="412">
        <v>283</v>
      </c>
      <c r="I63" s="412">
        <v>2922</v>
      </c>
      <c r="J63" s="412">
        <v>4150</v>
      </c>
      <c r="K63" s="412">
        <v>430</v>
      </c>
      <c r="L63" s="412">
        <v>388</v>
      </c>
      <c r="M63" s="412">
        <v>1038</v>
      </c>
      <c r="N63" s="412">
        <v>1448</v>
      </c>
    </row>
    <row r="64" spans="3:14" ht="15">
      <c r="C64" s="961">
        <v>1993</v>
      </c>
      <c r="D64" s="412">
        <v>11395</v>
      </c>
      <c r="E64" s="412">
        <v>198</v>
      </c>
      <c r="F64" s="412">
        <v>50</v>
      </c>
      <c r="G64" s="412">
        <v>358</v>
      </c>
      <c r="H64" s="412">
        <v>284</v>
      </c>
      <c r="I64" s="412">
        <v>2943</v>
      </c>
      <c r="J64" s="412">
        <v>4199</v>
      </c>
      <c r="K64" s="412">
        <v>433</v>
      </c>
      <c r="L64" s="412">
        <v>390</v>
      </c>
      <c r="M64" s="412">
        <v>1044</v>
      </c>
      <c r="N64" s="412">
        <v>1497</v>
      </c>
    </row>
    <row r="65" spans="3:14" ht="15">
      <c r="C65" s="961">
        <v>1994</v>
      </c>
      <c r="D65" s="412">
        <v>11532</v>
      </c>
      <c r="E65" s="412">
        <v>197</v>
      </c>
      <c r="F65" s="412">
        <v>50</v>
      </c>
      <c r="G65" s="412">
        <v>363</v>
      </c>
      <c r="H65" s="412">
        <v>288</v>
      </c>
      <c r="I65" s="412">
        <v>2973</v>
      </c>
      <c r="J65" s="412">
        <v>4238</v>
      </c>
      <c r="K65" s="412">
        <v>435</v>
      </c>
      <c r="L65" s="412">
        <v>392</v>
      </c>
      <c r="M65" s="412">
        <v>1054</v>
      </c>
      <c r="N65" s="412">
        <v>1543</v>
      </c>
    </row>
    <row r="66" spans="3:14" ht="15">
      <c r="C66" s="961">
        <v>1995</v>
      </c>
      <c r="D66" s="412">
        <v>11707</v>
      </c>
      <c r="E66" s="412">
        <v>198</v>
      </c>
      <c r="F66" s="412">
        <v>51</v>
      </c>
      <c r="G66" s="412">
        <v>366</v>
      </c>
      <c r="H66" s="412">
        <v>291</v>
      </c>
      <c r="I66" s="412">
        <v>2997</v>
      </c>
      <c r="J66" s="412">
        <v>4303</v>
      </c>
      <c r="K66" s="412">
        <v>438</v>
      </c>
      <c r="L66" s="412">
        <v>393</v>
      </c>
      <c r="M66" s="412">
        <v>1076</v>
      </c>
      <c r="N66" s="412">
        <v>1593</v>
      </c>
    </row>
    <row r="67" spans="3:14" ht="15">
      <c r="C67" s="961">
        <v>1996</v>
      </c>
      <c r="D67" s="412">
        <v>11851</v>
      </c>
      <c r="E67" s="412">
        <v>198</v>
      </c>
      <c r="F67" s="412">
        <v>52</v>
      </c>
      <c r="G67" s="412">
        <v>369</v>
      </c>
      <c r="H67" s="412">
        <v>294</v>
      </c>
      <c r="I67" s="412">
        <v>3035</v>
      </c>
      <c r="J67" s="412">
        <v>4350</v>
      </c>
      <c r="K67" s="412">
        <v>439</v>
      </c>
      <c r="L67" s="412">
        <v>398</v>
      </c>
      <c r="M67" s="412">
        <v>1094</v>
      </c>
      <c r="N67" s="412">
        <v>1622</v>
      </c>
    </row>
    <row r="68" spans="3:14" ht="15">
      <c r="C68" s="961">
        <v>1997</v>
      </c>
      <c r="D68" s="412">
        <v>12017</v>
      </c>
      <c r="E68" s="412">
        <v>198</v>
      </c>
      <c r="F68" s="412">
        <v>53</v>
      </c>
      <c r="G68" s="412">
        <v>372</v>
      </c>
      <c r="H68" s="412">
        <v>296</v>
      </c>
      <c r="I68" s="412">
        <v>3060</v>
      </c>
      <c r="J68" s="412">
        <v>4412</v>
      </c>
      <c r="K68" s="412">
        <v>440</v>
      </c>
      <c r="L68" s="412">
        <v>398</v>
      </c>
      <c r="M68" s="412">
        <v>1132</v>
      </c>
      <c r="N68" s="412">
        <v>1656</v>
      </c>
    </row>
    <row r="69" spans="3:14" ht="15">
      <c r="C69" s="961">
        <v>1998</v>
      </c>
      <c r="D69" s="412">
        <v>12134</v>
      </c>
      <c r="E69" s="412">
        <v>198</v>
      </c>
      <c r="F69" s="412">
        <v>53</v>
      </c>
      <c r="G69" s="412">
        <v>373</v>
      </c>
      <c r="H69" s="412">
        <v>299</v>
      </c>
      <c r="I69" s="412">
        <v>3084</v>
      </c>
      <c r="J69" s="412">
        <v>4461</v>
      </c>
      <c r="K69" s="412">
        <v>442</v>
      </c>
      <c r="L69" s="412">
        <v>399</v>
      </c>
      <c r="M69" s="412">
        <v>1162</v>
      </c>
      <c r="N69" s="412">
        <v>1662</v>
      </c>
    </row>
    <row r="70" spans="3:14" ht="15">
      <c r="C70" s="961">
        <v>1999</v>
      </c>
      <c r="D70" s="412">
        <v>12288</v>
      </c>
      <c r="E70" s="412">
        <v>199</v>
      </c>
      <c r="F70" s="412">
        <v>53</v>
      </c>
      <c r="G70" s="412">
        <v>378</v>
      </c>
      <c r="H70" s="412">
        <v>301</v>
      </c>
      <c r="I70" s="412">
        <v>3124</v>
      </c>
      <c r="J70" s="412">
        <v>4515</v>
      </c>
      <c r="K70" s="412">
        <v>446</v>
      </c>
      <c r="L70" s="412">
        <v>398</v>
      </c>
      <c r="M70" s="412">
        <v>1192</v>
      </c>
      <c r="N70" s="412">
        <v>1681</v>
      </c>
    </row>
    <row r="71" spans="3:14" ht="15">
      <c r="C71" s="961">
        <v>2000</v>
      </c>
      <c r="D71" s="412">
        <v>12465</v>
      </c>
      <c r="E71" s="412">
        <v>200</v>
      </c>
      <c r="F71" s="412">
        <v>54</v>
      </c>
      <c r="G71" s="412">
        <v>383</v>
      </c>
      <c r="H71" s="412">
        <v>302</v>
      </c>
      <c r="I71" s="412">
        <v>3164</v>
      </c>
      <c r="J71" s="412">
        <v>4602</v>
      </c>
      <c r="K71" s="412">
        <v>450</v>
      </c>
      <c r="L71" s="412">
        <v>398</v>
      </c>
      <c r="M71" s="412">
        <v>1218</v>
      </c>
      <c r="N71" s="412">
        <v>1695</v>
      </c>
    </row>
    <row r="72" spans="3:14" ht="15">
      <c r="C72" s="961">
        <v>2001</v>
      </c>
      <c r="D72" s="412">
        <v>12651</v>
      </c>
      <c r="E72" s="412">
        <v>201</v>
      </c>
      <c r="F72" s="412">
        <v>54</v>
      </c>
      <c r="G72" s="412">
        <v>386</v>
      </c>
      <c r="H72" s="412">
        <v>304</v>
      </c>
      <c r="I72" s="412">
        <v>3203</v>
      </c>
      <c r="J72" s="412">
        <v>4689</v>
      </c>
      <c r="K72" s="412">
        <v>452</v>
      </c>
      <c r="L72" s="412">
        <v>397</v>
      </c>
      <c r="M72" s="412">
        <v>1248</v>
      </c>
      <c r="N72" s="412">
        <v>1716</v>
      </c>
    </row>
    <row r="73" spans="3:14" ht="15">
      <c r="C73" s="961">
        <v>2002</v>
      </c>
      <c r="D73" s="412">
        <v>12859</v>
      </c>
      <c r="E73" s="412">
        <v>204</v>
      </c>
      <c r="F73" s="412">
        <v>55</v>
      </c>
      <c r="G73" s="412">
        <v>390</v>
      </c>
      <c r="H73" s="412">
        <v>308</v>
      </c>
      <c r="I73" s="412">
        <v>3254</v>
      </c>
      <c r="J73" s="412">
        <v>4772</v>
      </c>
      <c r="K73" s="412">
        <v>456</v>
      </c>
      <c r="L73" s="412">
        <v>396</v>
      </c>
      <c r="M73" s="412">
        <v>1279</v>
      </c>
      <c r="N73" s="412">
        <v>1745</v>
      </c>
    </row>
    <row r="74" spans="3:14" ht="15">
      <c r="C74" s="961">
        <v>2003</v>
      </c>
      <c r="D74" s="412">
        <v>13033</v>
      </c>
      <c r="E74" s="412">
        <v>207</v>
      </c>
      <c r="F74" s="412">
        <v>55</v>
      </c>
      <c r="G74" s="412">
        <v>394</v>
      </c>
      <c r="H74" s="412">
        <v>309</v>
      </c>
      <c r="I74" s="412">
        <v>3293</v>
      </c>
      <c r="J74" s="412">
        <v>4845</v>
      </c>
      <c r="K74" s="412">
        <v>462</v>
      </c>
      <c r="L74" s="412">
        <v>398</v>
      </c>
      <c r="M74" s="412">
        <v>1305</v>
      </c>
      <c r="N74" s="412">
        <v>1765</v>
      </c>
    </row>
    <row r="75" spans="3:14" ht="15">
      <c r="C75" s="961">
        <v>2004</v>
      </c>
      <c r="D75" s="412">
        <v>13228</v>
      </c>
      <c r="E75" s="412">
        <v>208</v>
      </c>
      <c r="F75" s="412">
        <v>56</v>
      </c>
      <c r="G75" s="412">
        <v>397</v>
      </c>
      <c r="H75" s="412">
        <v>310</v>
      </c>
      <c r="I75" s="412">
        <v>3341</v>
      </c>
      <c r="J75" s="412">
        <v>4927</v>
      </c>
      <c r="K75" s="412">
        <v>466</v>
      </c>
      <c r="L75" s="412">
        <v>401</v>
      </c>
      <c r="M75" s="412">
        <v>1330</v>
      </c>
      <c r="N75" s="412">
        <v>1792</v>
      </c>
    </row>
    <row r="76" spans="3:14" ht="15">
      <c r="C76" s="961">
        <v>2005</v>
      </c>
      <c r="D76" s="412">
        <v>13459</v>
      </c>
      <c r="E76" s="412">
        <v>210</v>
      </c>
      <c r="F76" s="412">
        <v>57</v>
      </c>
      <c r="G76" s="412">
        <v>401</v>
      </c>
      <c r="H76" s="412">
        <v>315</v>
      </c>
      <c r="I76" s="412">
        <v>3397</v>
      </c>
      <c r="J76" s="412">
        <v>5020</v>
      </c>
      <c r="K76" s="412">
        <v>468</v>
      </c>
      <c r="L76" s="412">
        <v>401</v>
      </c>
      <c r="M76" s="412">
        <v>1372</v>
      </c>
      <c r="N76" s="412">
        <v>1818</v>
      </c>
    </row>
    <row r="77" spans="3:14" ht="15">
      <c r="C77" s="961">
        <v>2006</v>
      </c>
      <c r="D77" s="412">
        <v>13652</v>
      </c>
      <c r="E77" s="412">
        <v>210</v>
      </c>
      <c r="F77" s="412">
        <v>57</v>
      </c>
      <c r="G77" s="412">
        <v>405</v>
      </c>
      <c r="H77" s="412">
        <v>316</v>
      </c>
      <c r="I77" s="412">
        <v>3440</v>
      </c>
      <c r="J77" s="412">
        <v>5072</v>
      </c>
      <c r="K77" s="412">
        <v>470</v>
      </c>
      <c r="L77" s="412">
        <v>400</v>
      </c>
      <c r="M77" s="412">
        <v>1433</v>
      </c>
      <c r="N77" s="412">
        <v>1848</v>
      </c>
    </row>
    <row r="78" spans="3:14" ht="15">
      <c r="C78" s="961">
        <v>2007</v>
      </c>
      <c r="D78" s="412">
        <v>13837</v>
      </c>
      <c r="E78" s="412">
        <v>212</v>
      </c>
      <c r="F78" s="412">
        <v>58</v>
      </c>
      <c r="G78" s="412">
        <v>408</v>
      </c>
      <c r="H78" s="412">
        <v>319</v>
      </c>
      <c r="I78" s="412">
        <v>3483</v>
      </c>
      <c r="J78" s="412">
        <v>5127</v>
      </c>
      <c r="K78" s="412">
        <v>477</v>
      </c>
      <c r="L78" s="412">
        <v>408</v>
      </c>
      <c r="M78" s="412">
        <v>1470</v>
      </c>
      <c r="N78" s="412">
        <v>1874</v>
      </c>
    </row>
  </sheetData>
  <mergeCells count="13">
    <mergeCell ref="A43:L43"/>
    <mergeCell ref="A40:L40"/>
    <mergeCell ref="J3:J4"/>
    <mergeCell ref="K3:K4"/>
    <mergeCell ref="L3:L4"/>
    <mergeCell ref="F3:F4"/>
    <mergeCell ref="G3:G4"/>
    <mergeCell ref="H3:H4"/>
    <mergeCell ref="I3:I4"/>
    <mergeCell ref="B3:B4"/>
    <mergeCell ref="C3:C4"/>
    <mergeCell ref="D3:D4"/>
    <mergeCell ref="E3:E4"/>
  </mergeCells>
  <phoneticPr fontId="35" type="noConversion"/>
  <pageMargins left="0.75" right="0.75" top="1" bottom="1" header="0.5" footer="0.5"/>
  <pageSetup scale="79"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sheetPr codeName="Sheet66">
    <pageSetUpPr fitToPage="1"/>
  </sheetPr>
  <dimension ref="A1:M7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4"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2" ht="15.75">
      <c r="A1" s="3" t="s">
        <v>2115</v>
      </c>
    </row>
    <row r="2" spans="1:12">
      <c r="B2" s="4"/>
    </row>
    <row r="3" spans="1:12">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7"/>
      <c r="C4" s="1165"/>
      <c r="D4" s="1165"/>
      <c r="E4" s="1165"/>
      <c r="F4" s="1165"/>
      <c r="G4" s="1165"/>
      <c r="H4" s="1165"/>
      <c r="I4" s="1165"/>
      <c r="J4" s="1165"/>
      <c r="K4" s="1165"/>
      <c r="L4" s="1165"/>
    </row>
    <row r="5" spans="1:12" ht="12.75" customHeight="1">
      <c r="A5" s="120">
        <v>1981</v>
      </c>
      <c r="B5" s="19">
        <v>5200</v>
      </c>
      <c r="C5" s="19">
        <v>8700</v>
      </c>
      <c r="D5" s="19">
        <v>8200</v>
      </c>
      <c r="E5" s="19">
        <v>6900</v>
      </c>
      <c r="F5" s="19">
        <v>7800</v>
      </c>
      <c r="G5" s="19">
        <v>5900</v>
      </c>
      <c r="H5" s="19">
        <v>4800</v>
      </c>
      <c r="I5" s="19">
        <v>5100</v>
      </c>
      <c r="J5" s="19">
        <v>4900</v>
      </c>
      <c r="K5" s="19">
        <v>3400</v>
      </c>
      <c r="L5" s="19">
        <v>4500</v>
      </c>
    </row>
    <row r="6" spans="1:12" ht="12.75" customHeight="1">
      <c r="A6" s="120">
        <v>1982</v>
      </c>
      <c r="B6" s="19">
        <v>6100</v>
      </c>
      <c r="C6" s="19">
        <v>10000</v>
      </c>
      <c r="D6" s="19">
        <v>8800</v>
      </c>
      <c r="E6" s="19">
        <v>7700</v>
      </c>
      <c r="F6" s="19">
        <v>8700</v>
      </c>
      <c r="G6" s="19">
        <v>7100</v>
      </c>
      <c r="H6" s="19">
        <v>5600</v>
      </c>
      <c r="I6" s="19">
        <v>5900</v>
      </c>
      <c r="J6" s="19">
        <v>5600</v>
      </c>
      <c r="K6" s="19">
        <v>4200</v>
      </c>
      <c r="L6" s="19">
        <v>5700</v>
      </c>
    </row>
    <row r="7" spans="1:12" ht="12.75" customHeight="1">
      <c r="A7" s="120">
        <v>1983</v>
      </c>
      <c r="B7" s="19">
        <v>6300</v>
      </c>
      <c r="C7" s="19">
        <v>9900</v>
      </c>
      <c r="D7" s="19">
        <v>9900</v>
      </c>
      <c r="E7" s="19">
        <v>7700</v>
      </c>
      <c r="F7" s="19">
        <v>8700</v>
      </c>
      <c r="G7" s="19">
        <v>7100</v>
      </c>
      <c r="H7" s="19">
        <v>5600</v>
      </c>
      <c r="I7" s="19">
        <v>6600</v>
      </c>
      <c r="J7" s="19">
        <v>5600</v>
      </c>
      <c r="K7" s="19">
        <v>5300</v>
      </c>
      <c r="L7" s="19">
        <v>5900</v>
      </c>
    </row>
    <row r="8" spans="1:12" ht="12.75" customHeight="1">
      <c r="A8" s="120">
        <v>1984</v>
      </c>
      <c r="B8" s="19">
        <v>6500</v>
      </c>
      <c r="C8" s="19">
        <v>10800</v>
      </c>
      <c r="D8" s="19">
        <v>9500</v>
      </c>
      <c r="E8" s="19">
        <v>7800</v>
      </c>
      <c r="F8" s="19">
        <v>9000</v>
      </c>
      <c r="G8" s="19">
        <v>7400</v>
      </c>
      <c r="H8" s="19">
        <v>5500</v>
      </c>
      <c r="I8" s="19">
        <v>6300</v>
      </c>
      <c r="J8" s="19">
        <v>6200</v>
      </c>
      <c r="K8" s="19">
        <v>5400</v>
      </c>
      <c r="L8" s="19">
        <v>6600</v>
      </c>
    </row>
    <row r="9" spans="1:12" ht="12.75" customHeight="1">
      <c r="A9" s="120">
        <v>1985</v>
      </c>
      <c r="B9" s="19">
        <v>6400</v>
      </c>
      <c r="C9" s="19">
        <v>10700</v>
      </c>
      <c r="D9" s="19">
        <v>9900</v>
      </c>
      <c r="E9" s="19">
        <v>7800</v>
      </c>
      <c r="F9" s="19">
        <v>9000</v>
      </c>
      <c r="G9" s="19">
        <v>7500</v>
      </c>
      <c r="H9" s="19">
        <v>5500</v>
      </c>
      <c r="I9" s="19">
        <v>6400</v>
      </c>
      <c r="J9" s="19">
        <v>6100</v>
      </c>
      <c r="K9" s="19">
        <v>5300</v>
      </c>
      <c r="L9" s="19">
        <v>6300</v>
      </c>
    </row>
    <row r="10" spans="1:12" ht="12.75" customHeight="1">
      <c r="A10" s="120">
        <v>1986</v>
      </c>
      <c r="B10" s="19">
        <v>6500</v>
      </c>
      <c r="C10" s="19">
        <v>11200</v>
      </c>
      <c r="D10" s="19">
        <v>9700</v>
      </c>
      <c r="E10" s="19">
        <v>8200</v>
      </c>
      <c r="F10" s="19">
        <v>9300</v>
      </c>
      <c r="G10" s="19">
        <v>7200</v>
      </c>
      <c r="H10" s="19">
        <v>5600</v>
      </c>
      <c r="I10" s="19">
        <v>6500</v>
      </c>
      <c r="J10" s="19">
        <v>6300</v>
      </c>
      <c r="K10" s="19">
        <v>5600</v>
      </c>
      <c r="L10" s="19">
        <v>6500</v>
      </c>
    </row>
    <row r="11" spans="1:12" ht="12.75" customHeight="1">
      <c r="A11" s="120">
        <v>1987</v>
      </c>
      <c r="B11" s="19">
        <v>6500</v>
      </c>
      <c r="C11" s="19">
        <v>11300</v>
      </c>
      <c r="D11" s="19">
        <v>9900</v>
      </c>
      <c r="E11" s="19">
        <v>8100</v>
      </c>
      <c r="F11" s="19">
        <v>9400</v>
      </c>
      <c r="G11" s="19">
        <v>7100</v>
      </c>
      <c r="H11" s="19">
        <v>5800</v>
      </c>
      <c r="I11" s="19">
        <v>6800</v>
      </c>
      <c r="J11" s="19">
        <v>6600</v>
      </c>
      <c r="K11" s="19">
        <v>5500</v>
      </c>
      <c r="L11" s="19">
        <v>6100</v>
      </c>
    </row>
    <row r="12" spans="1:12" ht="12.75" customHeight="1">
      <c r="A12" s="120">
        <v>1988</v>
      </c>
      <c r="B12" s="19">
        <v>6600</v>
      </c>
      <c r="C12" s="19">
        <v>11100</v>
      </c>
      <c r="D12" s="19">
        <v>10400</v>
      </c>
      <c r="E12" s="19">
        <v>7800</v>
      </c>
      <c r="F12" s="19">
        <v>9800</v>
      </c>
      <c r="G12" s="19">
        <v>7300</v>
      </c>
      <c r="H12" s="19">
        <v>5900</v>
      </c>
      <c r="I12" s="19">
        <v>6900</v>
      </c>
      <c r="J12" s="19">
        <v>6800</v>
      </c>
      <c r="K12" s="19">
        <v>5300</v>
      </c>
      <c r="L12" s="19">
        <v>6100</v>
      </c>
    </row>
    <row r="13" spans="1:12" ht="12.75" customHeight="1">
      <c r="A13" s="120">
        <v>1989</v>
      </c>
      <c r="B13" s="19">
        <v>6800</v>
      </c>
      <c r="C13" s="19">
        <v>11600</v>
      </c>
      <c r="D13" s="19">
        <v>10300</v>
      </c>
      <c r="E13" s="19">
        <v>8300</v>
      </c>
      <c r="F13" s="19">
        <v>9200</v>
      </c>
      <c r="G13" s="19">
        <v>7300</v>
      </c>
      <c r="H13" s="19">
        <v>6200</v>
      </c>
      <c r="I13" s="19">
        <v>7300</v>
      </c>
      <c r="J13" s="19">
        <v>7000</v>
      </c>
      <c r="K13" s="19">
        <v>5600</v>
      </c>
      <c r="L13" s="19">
        <v>6300</v>
      </c>
    </row>
    <row r="14" spans="1:12" ht="12.75" customHeight="1">
      <c r="A14" s="120">
        <v>1990</v>
      </c>
      <c r="B14" s="19">
        <v>7300</v>
      </c>
      <c r="C14" s="19">
        <v>12200</v>
      </c>
      <c r="D14" s="19">
        <v>10700</v>
      </c>
      <c r="E14" s="19">
        <v>8800</v>
      </c>
      <c r="F14" s="19">
        <v>9500</v>
      </c>
      <c r="G14" s="19">
        <v>7900</v>
      </c>
      <c r="H14" s="19">
        <v>6800</v>
      </c>
      <c r="I14" s="19">
        <v>7300</v>
      </c>
      <c r="J14" s="19">
        <v>7300</v>
      </c>
      <c r="K14" s="19">
        <v>5900</v>
      </c>
      <c r="L14" s="19">
        <v>6700</v>
      </c>
    </row>
    <row r="15" spans="1:12" ht="12.75" customHeight="1">
      <c r="A15" s="120">
        <v>1991</v>
      </c>
      <c r="B15" s="19">
        <v>7900</v>
      </c>
      <c r="C15" s="19">
        <v>12500</v>
      </c>
      <c r="D15" s="19">
        <v>11100</v>
      </c>
      <c r="E15" s="19">
        <v>8800</v>
      </c>
      <c r="F15" s="19">
        <v>9800</v>
      </c>
      <c r="G15" s="19">
        <v>8700</v>
      </c>
      <c r="H15" s="19">
        <v>7700</v>
      </c>
      <c r="I15" s="19">
        <v>7500</v>
      </c>
      <c r="J15" s="19">
        <v>7400</v>
      </c>
      <c r="K15" s="19">
        <v>6100</v>
      </c>
      <c r="L15" s="19">
        <v>7200</v>
      </c>
    </row>
    <row r="16" spans="1:12" ht="12.75" customHeight="1">
      <c r="A16" s="120">
        <v>1992</v>
      </c>
      <c r="B16" s="19">
        <v>8300</v>
      </c>
      <c r="C16" s="19">
        <v>13400</v>
      </c>
      <c r="D16" s="19">
        <v>11900</v>
      </c>
      <c r="E16" s="19">
        <v>10000</v>
      </c>
      <c r="F16" s="19">
        <v>10200</v>
      </c>
      <c r="G16" s="19">
        <v>8900</v>
      </c>
      <c r="H16" s="19">
        <v>8300</v>
      </c>
      <c r="I16" s="19">
        <v>8100</v>
      </c>
      <c r="J16" s="19">
        <v>7900</v>
      </c>
      <c r="K16" s="19">
        <v>6600</v>
      </c>
      <c r="L16" s="19">
        <v>7200</v>
      </c>
    </row>
    <row r="17" spans="1:12" ht="12.75" customHeight="1">
      <c r="A17" s="120">
        <v>1993</v>
      </c>
      <c r="B17" s="19">
        <v>8500</v>
      </c>
      <c r="C17" s="19">
        <v>13700</v>
      </c>
      <c r="D17" s="19">
        <v>11800</v>
      </c>
      <c r="E17" s="19">
        <v>10000</v>
      </c>
      <c r="F17" s="19">
        <v>10500</v>
      </c>
      <c r="G17" s="19">
        <v>8900</v>
      </c>
      <c r="H17" s="19">
        <v>8500</v>
      </c>
      <c r="I17" s="19">
        <v>8000</v>
      </c>
      <c r="J17" s="19">
        <v>8200</v>
      </c>
      <c r="K17" s="19">
        <v>6600</v>
      </c>
      <c r="L17" s="19">
        <v>7600</v>
      </c>
    </row>
    <row r="18" spans="1:12" ht="12.75" customHeight="1">
      <c r="A18" s="120">
        <v>1994</v>
      </c>
      <c r="B18" s="19">
        <v>8500</v>
      </c>
      <c r="C18" s="19">
        <v>11700</v>
      </c>
      <c r="D18" s="19">
        <v>11800</v>
      </c>
      <c r="E18" s="19">
        <v>9700</v>
      </c>
      <c r="F18" s="19">
        <v>10200</v>
      </c>
      <c r="G18" s="19">
        <v>8800</v>
      </c>
      <c r="H18" s="19">
        <v>8600</v>
      </c>
      <c r="I18" s="19">
        <v>8100</v>
      </c>
      <c r="J18" s="19">
        <v>8100</v>
      </c>
      <c r="K18" s="19">
        <v>6300</v>
      </c>
      <c r="L18" s="19">
        <v>7800</v>
      </c>
    </row>
    <row r="19" spans="1:12" ht="12.75" customHeight="1">
      <c r="A19" s="120">
        <v>1995</v>
      </c>
      <c r="B19" s="19">
        <v>8100</v>
      </c>
      <c r="C19" s="19">
        <v>12500</v>
      </c>
      <c r="D19" s="19">
        <v>11300</v>
      </c>
      <c r="E19" s="19">
        <v>9400</v>
      </c>
      <c r="F19" s="19">
        <v>9800</v>
      </c>
      <c r="G19" s="19">
        <v>8500</v>
      </c>
      <c r="H19" s="19">
        <v>8200</v>
      </c>
      <c r="I19" s="19">
        <v>7800</v>
      </c>
      <c r="J19" s="19">
        <v>7700</v>
      </c>
      <c r="K19" s="19">
        <v>6300</v>
      </c>
      <c r="L19" s="19">
        <v>7400</v>
      </c>
    </row>
    <row r="20" spans="1:12" ht="12.75" customHeight="1">
      <c r="A20" s="120">
        <v>1996</v>
      </c>
      <c r="B20" s="19">
        <v>8100</v>
      </c>
      <c r="C20" s="19">
        <v>11900</v>
      </c>
      <c r="D20" s="19">
        <v>10700</v>
      </c>
      <c r="E20" s="19">
        <v>9400</v>
      </c>
      <c r="F20" s="19">
        <v>9700</v>
      </c>
      <c r="G20" s="19">
        <v>8400</v>
      </c>
      <c r="H20" s="19">
        <v>8200</v>
      </c>
      <c r="I20" s="19">
        <v>7700</v>
      </c>
      <c r="J20" s="19">
        <v>7700</v>
      </c>
      <c r="K20" s="19">
        <v>6200</v>
      </c>
      <c r="L20" s="19">
        <v>7600</v>
      </c>
    </row>
    <row r="21" spans="1:12" ht="12.75" customHeight="1">
      <c r="A21" s="120">
        <v>1997</v>
      </c>
      <c r="B21" s="19">
        <v>7900</v>
      </c>
      <c r="C21" s="19">
        <v>11400</v>
      </c>
      <c r="D21" s="19">
        <v>10400</v>
      </c>
      <c r="E21" s="19">
        <v>8800</v>
      </c>
      <c r="F21" s="19">
        <v>9400</v>
      </c>
      <c r="G21" s="19">
        <v>8200</v>
      </c>
      <c r="H21" s="19">
        <v>8000</v>
      </c>
      <c r="I21" s="19">
        <v>7600</v>
      </c>
      <c r="J21" s="19">
        <v>7600</v>
      </c>
      <c r="K21" s="19">
        <v>5800</v>
      </c>
      <c r="L21" s="19">
        <v>7400</v>
      </c>
    </row>
    <row r="22" spans="1:12" ht="12.75" customHeight="1">
      <c r="A22" s="120">
        <v>1998</v>
      </c>
      <c r="B22" s="19">
        <v>8000</v>
      </c>
      <c r="C22" s="19">
        <v>11300</v>
      </c>
      <c r="D22" s="19">
        <v>9800</v>
      </c>
      <c r="E22" s="19">
        <v>8800</v>
      </c>
      <c r="F22" s="19">
        <v>9200</v>
      </c>
      <c r="G22" s="19">
        <v>8300</v>
      </c>
      <c r="H22" s="19">
        <v>8100</v>
      </c>
      <c r="I22" s="19">
        <v>7600</v>
      </c>
      <c r="J22" s="19">
        <v>7700</v>
      </c>
      <c r="K22" s="19">
        <v>5900</v>
      </c>
      <c r="L22" s="19">
        <v>7700</v>
      </c>
    </row>
    <row r="23" spans="1:12" ht="12.75" customHeight="1">
      <c r="A23" s="120">
        <v>1999</v>
      </c>
      <c r="B23" s="19">
        <v>7500</v>
      </c>
      <c r="C23" s="19">
        <v>11200</v>
      </c>
      <c r="D23" s="19">
        <v>9700</v>
      </c>
      <c r="E23" s="19">
        <v>8300</v>
      </c>
      <c r="F23" s="19">
        <v>8800</v>
      </c>
      <c r="G23" s="19">
        <v>7800</v>
      </c>
      <c r="H23" s="19">
        <v>7400</v>
      </c>
      <c r="I23" s="19">
        <v>7200</v>
      </c>
      <c r="J23" s="19">
        <v>7600</v>
      </c>
      <c r="K23" s="19">
        <v>5900</v>
      </c>
      <c r="L23" s="19">
        <v>7300</v>
      </c>
    </row>
    <row r="24" spans="1:12" ht="12.75" customHeight="1">
      <c r="A24" s="120">
        <v>2000</v>
      </c>
      <c r="B24" s="19">
        <v>7300</v>
      </c>
      <c r="C24" s="19">
        <v>10800</v>
      </c>
      <c r="D24" s="19">
        <v>9500</v>
      </c>
      <c r="E24" s="19">
        <v>8400</v>
      </c>
      <c r="F24" s="19">
        <v>8600</v>
      </c>
      <c r="G24" s="19">
        <v>7500</v>
      </c>
      <c r="H24" s="19">
        <v>7100</v>
      </c>
      <c r="I24" s="19">
        <v>7200</v>
      </c>
      <c r="J24" s="19">
        <v>7300</v>
      </c>
      <c r="K24" s="19">
        <v>6100</v>
      </c>
      <c r="L24" s="19">
        <v>7100</v>
      </c>
    </row>
    <row r="25" spans="1:12" ht="12.75" customHeight="1">
      <c r="A25" s="120">
        <v>2001</v>
      </c>
      <c r="B25" s="19">
        <v>7600</v>
      </c>
      <c r="C25" s="19">
        <v>11800</v>
      </c>
      <c r="D25" s="19">
        <v>9800</v>
      </c>
      <c r="E25" s="19">
        <v>8600</v>
      </c>
      <c r="F25" s="19">
        <v>9300</v>
      </c>
      <c r="G25" s="19">
        <v>8100</v>
      </c>
      <c r="H25" s="19">
        <v>7500</v>
      </c>
      <c r="I25" s="19">
        <v>7200</v>
      </c>
      <c r="J25" s="19">
        <v>7600</v>
      </c>
      <c r="K25" s="19">
        <v>6100</v>
      </c>
      <c r="L25" s="19">
        <v>7300</v>
      </c>
    </row>
    <row r="26" spans="1:12" ht="12.75" customHeight="1">
      <c r="A26" s="120">
        <v>2002</v>
      </c>
      <c r="B26" s="19">
        <v>7600</v>
      </c>
      <c r="C26" s="19">
        <v>11600</v>
      </c>
      <c r="D26" s="19">
        <v>10300</v>
      </c>
      <c r="E26" s="19">
        <v>8400</v>
      </c>
      <c r="F26" s="19">
        <v>9300</v>
      </c>
      <c r="G26" s="19">
        <v>7900</v>
      </c>
      <c r="H26" s="19">
        <v>7500</v>
      </c>
      <c r="I26" s="19">
        <v>7200</v>
      </c>
      <c r="J26" s="19">
        <v>7800</v>
      </c>
      <c r="K26" s="19">
        <v>6200</v>
      </c>
      <c r="L26" s="19">
        <v>7500</v>
      </c>
    </row>
    <row r="27" spans="1:12" ht="12.75" customHeight="1">
      <c r="A27" s="120">
        <v>2003</v>
      </c>
      <c r="B27" s="19">
        <v>7600</v>
      </c>
      <c r="C27" s="19">
        <v>11700</v>
      </c>
      <c r="D27" s="19">
        <v>10000</v>
      </c>
      <c r="E27" s="19">
        <v>8500</v>
      </c>
      <c r="F27" s="19">
        <v>9200</v>
      </c>
      <c r="G27" s="19">
        <v>7700</v>
      </c>
      <c r="H27" s="19">
        <v>7600</v>
      </c>
      <c r="I27" s="19">
        <v>7100</v>
      </c>
      <c r="J27" s="19">
        <v>7600</v>
      </c>
      <c r="K27" s="19">
        <v>6000</v>
      </c>
      <c r="L27" s="19">
        <v>7400</v>
      </c>
    </row>
    <row r="28" spans="1:12" ht="12.75" customHeight="1">
      <c r="A28" s="120">
        <v>2004</v>
      </c>
      <c r="B28" s="19">
        <v>7600</v>
      </c>
      <c r="C28" s="19">
        <v>11300</v>
      </c>
      <c r="D28" s="19">
        <v>9800</v>
      </c>
      <c r="E28" s="19">
        <v>8400</v>
      </c>
      <c r="F28" s="19">
        <v>9200</v>
      </c>
      <c r="G28" s="19">
        <v>7800</v>
      </c>
      <c r="H28" s="19">
        <v>7700</v>
      </c>
      <c r="I28" s="19">
        <v>7300</v>
      </c>
      <c r="J28" s="19">
        <v>7600</v>
      </c>
      <c r="K28" s="19">
        <v>5900</v>
      </c>
      <c r="L28" s="19">
        <v>7500</v>
      </c>
    </row>
    <row r="29" spans="1:12" ht="12.75" customHeight="1">
      <c r="A29" s="120">
        <v>2005</v>
      </c>
      <c r="B29" s="19">
        <v>7500</v>
      </c>
      <c r="C29" s="19">
        <v>11200</v>
      </c>
      <c r="D29" s="19">
        <v>9900</v>
      </c>
      <c r="E29" s="19">
        <v>8300</v>
      </c>
      <c r="F29" s="19">
        <v>8700</v>
      </c>
      <c r="G29" s="19">
        <v>8100</v>
      </c>
      <c r="H29" s="19">
        <v>7400</v>
      </c>
      <c r="I29" s="19">
        <v>7200</v>
      </c>
      <c r="J29" s="19">
        <v>7400</v>
      </c>
      <c r="K29" s="19">
        <v>5800</v>
      </c>
      <c r="L29" s="19">
        <v>6900</v>
      </c>
    </row>
    <row r="30" spans="1:12" ht="12.75" customHeight="1">
      <c r="A30" s="120">
        <v>2006</v>
      </c>
      <c r="B30" s="19">
        <v>7800</v>
      </c>
      <c r="C30" s="19">
        <v>11400</v>
      </c>
      <c r="D30" s="19">
        <v>10100</v>
      </c>
      <c r="E30" s="19">
        <v>8300</v>
      </c>
      <c r="F30" s="19">
        <v>9100</v>
      </c>
      <c r="G30" s="19">
        <v>8300</v>
      </c>
      <c r="H30" s="19">
        <v>7700</v>
      </c>
      <c r="I30" s="19">
        <v>7300</v>
      </c>
      <c r="J30" s="19">
        <v>7300</v>
      </c>
      <c r="K30" s="19">
        <v>6700</v>
      </c>
      <c r="L30" s="19">
        <v>7000</v>
      </c>
    </row>
    <row r="31" spans="1:12" s="961" customFormat="1" ht="12.75" customHeight="1">
      <c r="A31" s="120">
        <v>2007</v>
      </c>
      <c r="B31" s="19">
        <v>7900</v>
      </c>
      <c r="C31" s="19">
        <v>11600</v>
      </c>
      <c r="D31" s="19">
        <v>10500</v>
      </c>
      <c r="E31" s="19">
        <v>8500</v>
      </c>
      <c r="F31" s="19">
        <v>9300</v>
      </c>
      <c r="G31" s="19">
        <v>8600</v>
      </c>
      <c r="H31" s="19">
        <v>8000</v>
      </c>
      <c r="I31" s="19">
        <v>7500</v>
      </c>
      <c r="J31" s="19">
        <v>7200</v>
      </c>
      <c r="K31" s="19">
        <v>5800</v>
      </c>
      <c r="L31" s="19">
        <v>6900</v>
      </c>
    </row>
    <row r="32" spans="1:12" s="114" customFormat="1" ht="12.75" customHeight="1">
      <c r="A32" s="116"/>
      <c r="B32" s="1075"/>
      <c r="C32" s="644"/>
      <c r="D32" s="644" t="s">
        <v>802</v>
      </c>
      <c r="E32" s="644"/>
      <c r="F32" s="644"/>
      <c r="H32" s="644"/>
      <c r="I32" s="644"/>
      <c r="J32" s="644"/>
      <c r="K32" s="644"/>
      <c r="L32" s="644"/>
    </row>
    <row r="33" spans="1:12" s="114" customFormat="1" ht="12.75" customHeight="1">
      <c r="A33" s="431" t="s">
        <v>603</v>
      </c>
      <c r="B33" s="644">
        <f>((((B13/B5))^(1/8))-1)*100</f>
        <v>3.4101566782169579</v>
      </c>
      <c r="C33" s="644">
        <f t="shared" ref="C33:L33" si="0">((((C13/C5))^(1/8))-1)*100</f>
        <v>3.6614649628077478</v>
      </c>
      <c r="D33" s="644">
        <f t="shared" si="0"/>
        <v>2.8911263657386277</v>
      </c>
      <c r="E33" s="644">
        <f t="shared" si="0"/>
        <v>2.336044176057861</v>
      </c>
      <c r="F33" s="644">
        <f t="shared" si="0"/>
        <v>2.0849341750884598</v>
      </c>
      <c r="G33" s="644">
        <f t="shared" si="0"/>
        <v>2.697259867960633</v>
      </c>
      <c r="H33" s="644">
        <f t="shared" si="0"/>
        <v>3.2508906294719919</v>
      </c>
      <c r="I33" s="644">
        <f t="shared" si="0"/>
        <v>4.5849240854591411</v>
      </c>
      <c r="J33" s="644">
        <f t="shared" si="0"/>
        <v>4.5593187587358752</v>
      </c>
      <c r="K33" s="644">
        <f t="shared" si="0"/>
        <v>6.4360230121908835</v>
      </c>
      <c r="L33" s="644">
        <f t="shared" si="0"/>
        <v>4.2956042188392995</v>
      </c>
    </row>
    <row r="34" spans="1:12" s="114" customFormat="1">
      <c r="A34" s="431" t="s">
        <v>604</v>
      </c>
      <c r="B34" s="644">
        <f>((((B24/B13))^(1/11))-1)*100</f>
        <v>0.64710048817715471</v>
      </c>
      <c r="C34" s="644">
        <f t="shared" ref="C34:L34" si="1">((((C24/C13))^(1/11))-1)*100</f>
        <v>-0.64752143124798822</v>
      </c>
      <c r="D34" s="644">
        <f t="shared" si="1"/>
        <v>-0.73232440129731291</v>
      </c>
      <c r="E34" s="644">
        <f t="shared" si="1"/>
        <v>0.10893375382086123</v>
      </c>
      <c r="F34" s="644">
        <f t="shared" si="1"/>
        <v>-0.61122691413969532</v>
      </c>
      <c r="G34" s="644">
        <f t="shared" si="1"/>
        <v>0.24601733073958965</v>
      </c>
      <c r="H34" s="644">
        <f t="shared" si="1"/>
        <v>1.2398550006699205</v>
      </c>
      <c r="I34" s="644">
        <f t="shared" si="1"/>
        <v>-0.12531525234462659</v>
      </c>
      <c r="J34" s="644">
        <f t="shared" si="1"/>
        <v>0.38222132879204285</v>
      </c>
      <c r="K34" s="644">
        <f t="shared" si="1"/>
        <v>0.78050448331474787</v>
      </c>
      <c r="L34" s="644">
        <f t="shared" si="1"/>
        <v>1.0927009375015118</v>
      </c>
    </row>
    <row r="35" spans="1:12" s="114" customFormat="1">
      <c r="A35" s="431" t="s">
        <v>819</v>
      </c>
      <c r="B35" s="23">
        <f t="shared" ref="B35:L35" si="2">((((B30/B5))^(1/25))-1)*100</f>
        <v>1.6350839811869022</v>
      </c>
      <c r="C35" s="23">
        <f t="shared" si="2"/>
        <v>1.0870269880032701</v>
      </c>
      <c r="D35" s="23">
        <f t="shared" si="2"/>
        <v>0.83708924009502361</v>
      </c>
      <c r="E35" s="23">
        <f t="shared" si="2"/>
        <v>0.74167328500340801</v>
      </c>
      <c r="F35" s="23">
        <f t="shared" si="2"/>
        <v>0.61850762710147222</v>
      </c>
      <c r="G35" s="23">
        <f t="shared" si="2"/>
        <v>1.3745742368577396</v>
      </c>
      <c r="H35" s="23">
        <f t="shared" si="2"/>
        <v>1.9083991680333368</v>
      </c>
      <c r="I35" s="23">
        <f t="shared" si="2"/>
        <v>1.4448740693026707</v>
      </c>
      <c r="J35" s="23">
        <f t="shared" si="2"/>
        <v>1.6073374679665742</v>
      </c>
      <c r="K35" s="23">
        <f t="shared" si="2"/>
        <v>2.7504743364763495</v>
      </c>
      <c r="L35" s="23">
        <f t="shared" si="2"/>
        <v>1.7830407146320004</v>
      </c>
    </row>
    <row r="36" spans="1:12">
      <c r="A36" s="431" t="s">
        <v>447</v>
      </c>
      <c r="B36" s="23">
        <f>((((B31/B5))^(1/26))-1)*100</f>
        <v>1.6214830737025787</v>
      </c>
      <c r="C36" s="23">
        <f t="shared" ref="C36:L36" si="3">((((C31/C5))^(1/26))-1)*100</f>
        <v>1.1126135229420742</v>
      </c>
      <c r="D36" s="23">
        <f t="shared" si="3"/>
        <v>0.95546299825348679</v>
      </c>
      <c r="E36" s="23">
        <f t="shared" si="3"/>
        <v>0.80532060096403235</v>
      </c>
      <c r="F36" s="23">
        <f t="shared" si="3"/>
        <v>0.67879601073932427</v>
      </c>
      <c r="G36" s="23">
        <f t="shared" si="3"/>
        <v>1.4598214790862318</v>
      </c>
      <c r="H36" s="23">
        <f t="shared" si="3"/>
        <v>1.9841414650396683</v>
      </c>
      <c r="I36" s="23">
        <f t="shared" si="3"/>
        <v>1.4943729802677996</v>
      </c>
      <c r="J36" s="23">
        <f t="shared" si="3"/>
        <v>1.4911850924433034</v>
      </c>
      <c r="K36" s="23">
        <f t="shared" si="3"/>
        <v>2.0754065509065223</v>
      </c>
      <c r="L36" s="23">
        <f t="shared" si="3"/>
        <v>1.6576037379379072</v>
      </c>
    </row>
    <row r="37" spans="1:12" s="114" customFormat="1">
      <c r="A37" s="431" t="s">
        <v>818</v>
      </c>
      <c r="B37" s="644">
        <f t="shared" ref="B37:L37" si="4">((((B30/B24))^(1/6))-1)*100</f>
        <v>1.1102747305655081</v>
      </c>
      <c r="C37" s="644">
        <f t="shared" si="4"/>
        <v>0.90519266692543621</v>
      </c>
      <c r="D37" s="644">
        <f t="shared" si="4"/>
        <v>1.025954276252139</v>
      </c>
      <c r="E37" s="644">
        <f t="shared" si="4"/>
        <v>-0.19940410943155573</v>
      </c>
      <c r="F37" s="644">
        <f t="shared" si="4"/>
        <v>0.94631972685939036</v>
      </c>
      <c r="G37" s="644">
        <f t="shared" si="4"/>
        <v>1.7035560342252287</v>
      </c>
      <c r="H37" s="644">
        <f t="shared" si="4"/>
        <v>1.3612745198636311</v>
      </c>
      <c r="I37" s="644">
        <f t="shared" si="4"/>
        <v>0.23015314888812366</v>
      </c>
      <c r="J37" s="644">
        <f t="shared" si="4"/>
        <v>0</v>
      </c>
      <c r="K37" s="644">
        <f t="shared" si="4"/>
        <v>1.5759348312507582</v>
      </c>
      <c r="L37" s="644">
        <f t="shared" si="4"/>
        <v>-0.23613135346625125</v>
      </c>
    </row>
    <row r="38" spans="1:12">
      <c r="A38" s="431" t="s">
        <v>449</v>
      </c>
      <c r="B38" s="959">
        <f>((((B31/B24))^(1/7))-1)*100</f>
        <v>1.1347963894417612</v>
      </c>
      <c r="C38" s="959">
        <f t="shared" ref="C38:L38" si="5">((((C31/C24))^(1/7))-1)*100</f>
        <v>1.0260707140422376</v>
      </c>
      <c r="D38" s="959">
        <f t="shared" si="5"/>
        <v>1.4400337020140208</v>
      </c>
      <c r="E38" s="959">
        <f t="shared" si="5"/>
        <v>0.16920667388391486</v>
      </c>
      <c r="F38" s="959">
        <f t="shared" si="5"/>
        <v>1.1241602494354463</v>
      </c>
      <c r="G38" s="959">
        <f t="shared" si="5"/>
        <v>1.9743690419605553</v>
      </c>
      <c r="H38" s="959">
        <f t="shared" si="5"/>
        <v>1.7195709702380269</v>
      </c>
      <c r="I38" s="959">
        <f t="shared" si="5"/>
        <v>0.58487510473412829</v>
      </c>
      <c r="J38" s="959">
        <f t="shared" si="5"/>
        <v>-0.19685344798001658</v>
      </c>
      <c r="K38" s="959">
        <f t="shared" si="5"/>
        <v>-0.71785181263409603</v>
      </c>
      <c r="L38" s="959">
        <f t="shared" si="5"/>
        <v>-0.40735906770030805</v>
      </c>
    </row>
    <row r="39" spans="1:12" s="114" customFormat="1">
      <c r="A39" s="118"/>
      <c r="B39" s="1077"/>
      <c r="D39" s="644" t="s">
        <v>276</v>
      </c>
    </row>
    <row r="40" spans="1:12" s="114" customFormat="1">
      <c r="A40" s="431" t="s">
        <v>819</v>
      </c>
      <c r="B40" s="10">
        <f t="shared" ref="B40:L40" si="6">(B30/B5-1)*100</f>
        <v>50</v>
      </c>
      <c r="C40" s="10">
        <f t="shared" si="6"/>
        <v>31.034482758620683</v>
      </c>
      <c r="D40" s="10">
        <f t="shared" si="6"/>
        <v>23.170731707317071</v>
      </c>
      <c r="E40" s="10">
        <f t="shared" si="6"/>
        <v>20.289855072463769</v>
      </c>
      <c r="F40" s="10">
        <f t="shared" si="6"/>
        <v>16.666666666666675</v>
      </c>
      <c r="G40" s="10">
        <f t="shared" si="6"/>
        <v>40.677966101694921</v>
      </c>
      <c r="H40" s="10">
        <f t="shared" si="6"/>
        <v>60.416666666666671</v>
      </c>
      <c r="I40" s="10">
        <f t="shared" si="6"/>
        <v>43.137254901960787</v>
      </c>
      <c r="J40" s="10">
        <f t="shared" si="6"/>
        <v>48.979591836734706</v>
      </c>
      <c r="K40" s="10">
        <f t="shared" si="6"/>
        <v>97.058823529411768</v>
      </c>
      <c r="L40" s="10">
        <f t="shared" si="6"/>
        <v>55.555555555555557</v>
      </c>
    </row>
    <row r="41" spans="1:12">
      <c r="A41" s="431" t="s">
        <v>447</v>
      </c>
      <c r="B41" s="10">
        <f>(B31/B5-1)*100</f>
        <v>51.92307692307692</v>
      </c>
      <c r="C41" s="10">
        <f t="shared" ref="C41:L41" si="7">(C31/C5-1)*100</f>
        <v>33.333333333333329</v>
      </c>
      <c r="D41" s="10">
        <f t="shared" si="7"/>
        <v>28.04878048780488</v>
      </c>
      <c r="E41" s="10">
        <f t="shared" si="7"/>
        <v>23.188405797101442</v>
      </c>
      <c r="F41" s="10">
        <f t="shared" si="7"/>
        <v>19.23076923076923</v>
      </c>
      <c r="G41" s="10">
        <f t="shared" si="7"/>
        <v>45.762711864406768</v>
      </c>
      <c r="H41" s="10">
        <f t="shared" si="7"/>
        <v>66.666666666666671</v>
      </c>
      <c r="I41" s="10">
        <f t="shared" si="7"/>
        <v>47.058823529411775</v>
      </c>
      <c r="J41" s="10">
        <f t="shared" si="7"/>
        <v>46.938775510204088</v>
      </c>
      <c r="K41" s="10">
        <f t="shared" si="7"/>
        <v>70.588235294117638</v>
      </c>
      <c r="L41" s="10">
        <f t="shared" si="7"/>
        <v>53.333333333333343</v>
      </c>
    </row>
    <row r="42" spans="1:12">
      <c r="F42" s="27"/>
    </row>
    <row r="43" spans="1:12" ht="27" customHeight="1">
      <c r="A43" s="1170" t="s">
        <v>162</v>
      </c>
      <c r="B43" s="1170"/>
      <c r="C43" s="1170"/>
      <c r="D43" s="1170"/>
      <c r="E43" s="1170"/>
      <c r="F43" s="1170"/>
      <c r="G43" s="1170"/>
      <c r="H43" s="1170"/>
      <c r="I43" s="1170"/>
      <c r="J43" s="1170"/>
      <c r="K43" s="1170"/>
      <c r="L43" s="1170"/>
    </row>
    <row r="44" spans="1:12">
      <c r="A44" s="4" t="s">
        <v>1868</v>
      </c>
      <c r="B44" s="643"/>
      <c r="C44" s="643"/>
      <c r="D44" s="643"/>
      <c r="E44" s="643"/>
      <c r="F44" s="643"/>
      <c r="G44" s="643"/>
      <c r="H44" s="643"/>
      <c r="I44" s="643"/>
      <c r="J44" s="643"/>
      <c r="K44" s="643"/>
      <c r="L44" s="643"/>
    </row>
    <row r="45" spans="1:12">
      <c r="A45" s="4" t="s">
        <v>388</v>
      </c>
      <c r="B45" s="9"/>
      <c r="C45" s="9"/>
      <c r="D45" s="9"/>
      <c r="E45" s="9"/>
      <c r="F45" s="9"/>
      <c r="G45" s="9"/>
      <c r="H45" s="9"/>
      <c r="I45" s="9"/>
      <c r="J45" s="9"/>
      <c r="K45" s="9"/>
      <c r="L45" s="9"/>
    </row>
    <row r="49" spans="2:13">
      <c r="B49" s="961"/>
      <c r="C49" s="961"/>
      <c r="D49" s="961"/>
      <c r="E49" s="961"/>
      <c r="F49" s="961"/>
      <c r="G49" s="961"/>
      <c r="H49" s="961"/>
      <c r="I49" s="961"/>
      <c r="J49" s="961"/>
      <c r="K49" s="961"/>
      <c r="L49" s="961"/>
      <c r="M49" s="961"/>
    </row>
    <row r="50" spans="2:13">
      <c r="B50" s="961"/>
      <c r="C50" s="961"/>
      <c r="D50" s="961"/>
      <c r="E50" s="961"/>
      <c r="F50" s="961"/>
      <c r="G50" s="961"/>
      <c r="H50" s="961"/>
      <c r="I50" s="961"/>
      <c r="J50" s="961"/>
      <c r="K50" s="961"/>
      <c r="L50" s="961"/>
      <c r="M50" s="961"/>
    </row>
    <row r="51" spans="2:13">
      <c r="B51" s="961"/>
      <c r="C51" s="961"/>
      <c r="D51" s="961"/>
      <c r="E51" s="961"/>
      <c r="F51" s="961"/>
      <c r="G51" s="961"/>
      <c r="H51" s="961"/>
      <c r="I51" s="961"/>
      <c r="J51" s="961"/>
      <c r="K51" s="961"/>
      <c r="L51" s="961"/>
      <c r="M51" s="961"/>
    </row>
    <row r="52" spans="2:13">
      <c r="B52" s="961"/>
      <c r="C52" s="961"/>
      <c r="D52" s="961"/>
      <c r="E52" s="961"/>
      <c r="F52" s="961"/>
      <c r="G52" s="961"/>
      <c r="H52" s="961"/>
      <c r="I52" s="961"/>
      <c r="J52" s="961"/>
      <c r="K52" s="961"/>
      <c r="L52" s="961"/>
      <c r="M52" s="961"/>
    </row>
    <row r="53" spans="2:13">
      <c r="B53" s="961"/>
      <c r="C53" s="961"/>
      <c r="D53" s="961"/>
      <c r="E53" s="961"/>
      <c r="F53" s="961"/>
      <c r="G53" s="961"/>
      <c r="H53" s="961"/>
      <c r="I53" s="961"/>
      <c r="J53" s="961"/>
      <c r="K53" s="961"/>
      <c r="L53" s="961"/>
      <c r="M53" s="961"/>
    </row>
    <row r="54" spans="2:13">
      <c r="B54" s="961"/>
      <c r="C54" s="961"/>
      <c r="D54" s="961"/>
      <c r="E54" s="961"/>
      <c r="F54" s="961"/>
      <c r="G54" s="961"/>
      <c r="H54" s="961"/>
      <c r="I54" s="961"/>
      <c r="J54" s="961"/>
      <c r="K54" s="961"/>
      <c r="L54" s="961"/>
      <c r="M54" s="961"/>
    </row>
    <row r="55" spans="2:13">
      <c r="B55" s="961"/>
      <c r="C55" s="961"/>
      <c r="D55" s="961"/>
      <c r="E55" s="961"/>
      <c r="F55" s="961"/>
      <c r="G55" s="961"/>
      <c r="H55" s="961"/>
      <c r="I55" s="961"/>
      <c r="J55" s="961"/>
      <c r="K55" s="961"/>
      <c r="L55" s="961"/>
      <c r="M55" s="961"/>
    </row>
    <row r="56" spans="2:13">
      <c r="B56" s="961"/>
      <c r="C56" s="961"/>
      <c r="D56" s="961"/>
      <c r="E56" s="961"/>
      <c r="F56" s="961"/>
      <c r="G56" s="961"/>
      <c r="H56" s="961"/>
      <c r="I56" s="961"/>
      <c r="J56" s="961"/>
      <c r="K56" s="961"/>
      <c r="L56" s="961"/>
      <c r="M56" s="961"/>
    </row>
    <row r="57" spans="2:13">
      <c r="B57" s="961"/>
      <c r="C57" s="961"/>
      <c r="D57" s="961"/>
      <c r="E57" s="961"/>
      <c r="F57" s="961"/>
      <c r="G57" s="961"/>
      <c r="H57" s="961"/>
      <c r="I57" s="961"/>
      <c r="J57" s="961"/>
      <c r="K57" s="961"/>
      <c r="L57" s="961"/>
      <c r="M57" s="961"/>
    </row>
    <row r="58" spans="2:13">
      <c r="B58" s="961"/>
      <c r="C58" s="961"/>
      <c r="D58" s="961"/>
      <c r="E58" s="961"/>
      <c r="F58" s="961"/>
      <c r="G58" s="961"/>
      <c r="H58" s="961"/>
      <c r="I58" s="961"/>
      <c r="J58" s="961"/>
      <c r="K58" s="961"/>
      <c r="L58" s="961"/>
      <c r="M58" s="961"/>
    </row>
    <row r="59" spans="2:13">
      <c r="B59" s="961"/>
      <c r="C59" s="961"/>
      <c r="D59" s="961"/>
      <c r="E59" s="961"/>
      <c r="F59" s="961"/>
      <c r="G59" s="961"/>
      <c r="H59" s="961"/>
      <c r="I59" s="961"/>
      <c r="J59" s="961"/>
      <c r="K59" s="961"/>
      <c r="L59" s="961"/>
      <c r="M59" s="961"/>
    </row>
    <row r="60" spans="2:13">
      <c r="B60" s="961"/>
      <c r="C60" s="961"/>
      <c r="D60" s="961"/>
      <c r="E60" s="961"/>
      <c r="F60" s="961"/>
      <c r="G60" s="961"/>
      <c r="H60" s="961"/>
      <c r="I60" s="961"/>
      <c r="J60" s="961"/>
      <c r="K60" s="961"/>
      <c r="L60" s="961"/>
      <c r="M60" s="961"/>
    </row>
    <row r="61" spans="2:13">
      <c r="B61" s="961"/>
      <c r="C61" s="961"/>
      <c r="D61" s="961"/>
      <c r="E61" s="961"/>
      <c r="F61" s="961"/>
      <c r="G61" s="961"/>
      <c r="H61" s="961"/>
      <c r="I61" s="961"/>
      <c r="J61" s="961"/>
      <c r="K61" s="961"/>
      <c r="L61" s="961"/>
      <c r="M61" s="961"/>
    </row>
    <row r="62" spans="2:13">
      <c r="B62" s="961"/>
      <c r="C62" s="961"/>
      <c r="D62" s="961"/>
      <c r="E62" s="961"/>
      <c r="F62" s="961"/>
      <c r="G62" s="961"/>
      <c r="H62" s="961"/>
      <c r="I62" s="961"/>
      <c r="J62" s="961"/>
      <c r="K62" s="961"/>
      <c r="L62" s="961"/>
      <c r="M62" s="961"/>
    </row>
    <row r="63" spans="2:13">
      <c r="B63" s="961"/>
      <c r="C63" s="961"/>
      <c r="D63" s="961"/>
      <c r="E63" s="961"/>
      <c r="F63" s="961"/>
      <c r="G63" s="961"/>
      <c r="H63" s="961"/>
      <c r="I63" s="961"/>
      <c r="J63" s="961"/>
      <c r="K63" s="961"/>
      <c r="L63" s="961"/>
      <c r="M63" s="961"/>
    </row>
    <row r="64" spans="2:13">
      <c r="B64" s="961"/>
      <c r="C64" s="961"/>
      <c r="D64" s="961"/>
      <c r="E64" s="961"/>
      <c r="F64" s="961"/>
      <c r="G64" s="961"/>
      <c r="H64" s="961"/>
      <c r="I64" s="961"/>
      <c r="J64" s="961"/>
      <c r="K64" s="961"/>
      <c r="L64" s="961"/>
      <c r="M64" s="961"/>
    </row>
    <row r="65" spans="2:13">
      <c r="B65" s="961"/>
      <c r="C65" s="961"/>
      <c r="D65" s="961"/>
      <c r="E65" s="961"/>
      <c r="F65" s="961"/>
      <c r="G65" s="961"/>
      <c r="H65" s="961"/>
      <c r="I65" s="961"/>
      <c r="J65" s="961"/>
      <c r="K65" s="961"/>
      <c r="L65" s="961"/>
      <c r="M65" s="961"/>
    </row>
    <row r="66" spans="2:13">
      <c r="B66" s="961"/>
      <c r="C66" s="961"/>
      <c r="D66" s="961"/>
      <c r="E66" s="961"/>
      <c r="F66" s="961"/>
      <c r="G66" s="961"/>
      <c r="H66" s="961"/>
      <c r="I66" s="961"/>
      <c r="J66" s="961"/>
      <c r="K66" s="961"/>
      <c r="L66" s="961"/>
      <c r="M66" s="961"/>
    </row>
    <row r="67" spans="2:13">
      <c r="B67" s="961"/>
      <c r="C67" s="961"/>
      <c r="D67" s="961"/>
      <c r="E67" s="961"/>
      <c r="F67" s="961"/>
      <c r="G67" s="961"/>
      <c r="H67" s="961"/>
      <c r="I67" s="961"/>
      <c r="J67" s="961"/>
      <c r="K67" s="961"/>
      <c r="L67" s="961"/>
      <c r="M67" s="961"/>
    </row>
    <row r="68" spans="2:13">
      <c r="B68" s="961"/>
      <c r="C68" s="961"/>
      <c r="D68" s="961"/>
      <c r="E68" s="961"/>
      <c r="F68" s="961"/>
      <c r="G68" s="961"/>
      <c r="H68" s="961"/>
      <c r="I68" s="961"/>
      <c r="J68" s="961"/>
      <c r="K68" s="961"/>
      <c r="L68" s="961"/>
      <c r="M68" s="961"/>
    </row>
    <row r="69" spans="2:13">
      <c r="B69" s="961"/>
      <c r="C69" s="961"/>
      <c r="D69" s="961"/>
      <c r="E69" s="961"/>
      <c r="F69" s="961"/>
      <c r="G69" s="961"/>
      <c r="H69" s="961"/>
      <c r="I69" s="961"/>
      <c r="J69" s="961"/>
      <c r="K69" s="961"/>
      <c r="L69" s="961"/>
      <c r="M69" s="961"/>
    </row>
    <row r="70" spans="2:13">
      <c r="B70" s="961"/>
      <c r="C70" s="961"/>
      <c r="D70" s="961"/>
      <c r="E70" s="961"/>
      <c r="F70" s="961"/>
      <c r="G70" s="961"/>
      <c r="H70" s="961"/>
      <c r="I70" s="961"/>
      <c r="J70" s="961"/>
      <c r="K70" s="961"/>
      <c r="L70" s="961"/>
      <c r="M70" s="961"/>
    </row>
    <row r="71" spans="2:13">
      <c r="B71" s="961"/>
      <c r="C71" s="961"/>
      <c r="D71" s="961"/>
      <c r="E71" s="961"/>
      <c r="F71" s="961"/>
      <c r="G71" s="961"/>
      <c r="H71" s="961"/>
      <c r="I71" s="961"/>
      <c r="J71" s="961"/>
      <c r="K71" s="961"/>
      <c r="L71" s="961"/>
      <c r="M71" s="961"/>
    </row>
    <row r="72" spans="2:13">
      <c r="B72" s="961"/>
      <c r="C72" s="961"/>
      <c r="D72" s="961"/>
      <c r="E72" s="961"/>
      <c r="F72" s="961"/>
      <c r="G72" s="961"/>
      <c r="H72" s="961"/>
      <c r="I72" s="961"/>
      <c r="J72" s="961"/>
      <c r="K72" s="961"/>
      <c r="L72" s="961"/>
      <c r="M72" s="961"/>
    </row>
    <row r="73" spans="2:13">
      <c r="B73" s="961"/>
      <c r="C73" s="961"/>
      <c r="D73" s="961"/>
      <c r="E73" s="961"/>
      <c r="F73" s="961"/>
      <c r="G73" s="961"/>
      <c r="H73" s="961"/>
      <c r="I73" s="961"/>
      <c r="J73" s="961"/>
      <c r="K73" s="961"/>
      <c r="L73" s="961"/>
      <c r="M73" s="961"/>
    </row>
    <row r="74" spans="2:13">
      <c r="B74" s="961"/>
      <c r="C74" s="961"/>
      <c r="D74" s="961"/>
      <c r="E74" s="961"/>
      <c r="F74" s="961"/>
      <c r="G74" s="961"/>
      <c r="H74" s="961"/>
      <c r="I74" s="961"/>
      <c r="J74" s="961"/>
      <c r="K74" s="961"/>
      <c r="L74" s="961"/>
      <c r="M74" s="961"/>
    </row>
    <row r="75" spans="2:13">
      <c r="B75" s="961"/>
      <c r="C75" s="961"/>
      <c r="D75" s="961"/>
      <c r="E75" s="961"/>
      <c r="F75" s="961"/>
      <c r="G75" s="961"/>
      <c r="H75" s="961"/>
      <c r="I75" s="961"/>
      <c r="J75" s="961"/>
      <c r="K75" s="961"/>
      <c r="L75" s="961"/>
      <c r="M75" s="961"/>
    </row>
    <row r="76" spans="2:13">
      <c r="B76" s="961"/>
      <c r="C76" s="961"/>
      <c r="D76" s="961"/>
      <c r="E76" s="961"/>
      <c r="F76" s="961"/>
      <c r="G76" s="961"/>
      <c r="H76" s="961"/>
      <c r="I76" s="961"/>
      <c r="J76" s="961"/>
      <c r="K76" s="961"/>
      <c r="L76" s="961"/>
      <c r="M76" s="961"/>
    </row>
    <row r="77" spans="2:13">
      <c r="B77" s="961"/>
      <c r="C77" s="961"/>
      <c r="D77" s="961"/>
      <c r="E77" s="961"/>
      <c r="F77" s="961"/>
      <c r="G77" s="961"/>
      <c r="H77" s="961"/>
      <c r="I77" s="961"/>
      <c r="J77" s="961"/>
      <c r="K77" s="961"/>
      <c r="L77" s="961"/>
      <c r="M77" s="961"/>
    </row>
  </sheetData>
  <mergeCells count="12">
    <mergeCell ref="A43:L43"/>
    <mergeCell ref="B3:B4"/>
    <mergeCell ref="C3:C4"/>
    <mergeCell ref="D3:D4"/>
    <mergeCell ref="E3:E4"/>
    <mergeCell ref="J3:J4"/>
    <mergeCell ref="K3:K4"/>
    <mergeCell ref="L3:L4"/>
    <mergeCell ref="F3:F4"/>
    <mergeCell ref="G3:G4"/>
    <mergeCell ref="H3:H4"/>
    <mergeCell ref="I3:I4"/>
  </mergeCells>
  <phoneticPr fontId="35" type="noConversion"/>
  <pageMargins left="0.75" right="0.75" top="1" bottom="1" header="0.5" footer="0.5"/>
  <pageSetup scale="82"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sheetPr codeName="Sheet64">
    <pageSetUpPr fitToPage="1"/>
  </sheetPr>
  <dimension ref="A1:N78"/>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2" ht="15.75">
      <c r="A1" s="3" t="s">
        <v>2116</v>
      </c>
    </row>
    <row r="2" spans="1:12">
      <c r="A2" s="4"/>
      <c r="B2" s="4"/>
    </row>
    <row r="3" spans="1:12">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7"/>
      <c r="C4" s="1165"/>
      <c r="D4" s="1165"/>
      <c r="E4" s="1165"/>
      <c r="F4" s="1165"/>
      <c r="G4" s="1165"/>
      <c r="H4" s="1165"/>
      <c r="I4" s="1165"/>
      <c r="J4" s="1165"/>
      <c r="K4" s="1165"/>
      <c r="L4" s="1165"/>
    </row>
    <row r="5" spans="1:12" ht="12.75" customHeight="1">
      <c r="A5" s="2">
        <v>1981</v>
      </c>
      <c r="B5" s="10">
        <v>8.8000000000000007</v>
      </c>
      <c r="C5" s="10">
        <v>16.3</v>
      </c>
      <c r="D5" s="10">
        <v>18.100000000000001</v>
      </c>
      <c r="E5" s="10">
        <v>14.3</v>
      </c>
      <c r="F5" s="10">
        <v>16.2</v>
      </c>
      <c r="G5" s="10">
        <v>10.9</v>
      </c>
      <c r="H5" s="10">
        <v>7.7</v>
      </c>
      <c r="I5" s="10">
        <v>9.6</v>
      </c>
      <c r="J5" s="10">
        <v>8.6999999999999993</v>
      </c>
      <c r="K5" s="10">
        <v>5.2</v>
      </c>
      <c r="L5" s="10">
        <v>7.3</v>
      </c>
    </row>
    <row r="6" spans="1:12" ht="12.75" customHeight="1">
      <c r="A6" s="2">
        <v>1982</v>
      </c>
      <c r="B6" s="10">
        <v>10.7</v>
      </c>
      <c r="C6" s="10">
        <v>19.5</v>
      </c>
      <c r="D6" s="10">
        <v>19.2</v>
      </c>
      <c r="E6" s="10">
        <v>16</v>
      </c>
      <c r="F6" s="10">
        <v>18.3</v>
      </c>
      <c r="G6" s="10">
        <v>13.4</v>
      </c>
      <c r="H6" s="10">
        <v>9.3000000000000007</v>
      </c>
      <c r="I6" s="10">
        <v>11.2</v>
      </c>
      <c r="J6" s="10">
        <v>10.199999999999999</v>
      </c>
      <c r="K6" s="10">
        <v>6.3</v>
      </c>
      <c r="L6" s="10">
        <v>9.6</v>
      </c>
    </row>
    <row r="7" spans="1:12" ht="12.75" customHeight="1">
      <c r="A7" s="2">
        <v>1983</v>
      </c>
      <c r="B7" s="10">
        <v>11.2</v>
      </c>
      <c r="C7" s="10">
        <v>21.3</v>
      </c>
      <c r="D7" s="10">
        <v>20.7</v>
      </c>
      <c r="E7" s="10">
        <v>16.100000000000001</v>
      </c>
      <c r="F7" s="10">
        <v>19.2</v>
      </c>
      <c r="G7" s="10">
        <v>13.6</v>
      </c>
      <c r="H7" s="10">
        <v>9.3000000000000007</v>
      </c>
      <c r="I7" s="10">
        <v>12.2</v>
      </c>
      <c r="J7" s="10">
        <v>10.6</v>
      </c>
      <c r="K7" s="10">
        <v>8.6999999999999993</v>
      </c>
      <c r="L7" s="10">
        <v>10.4</v>
      </c>
    </row>
    <row r="8" spans="1:12" ht="12.75" customHeight="1">
      <c r="A8" s="2">
        <v>1984</v>
      </c>
      <c r="B8" s="10">
        <v>11.5</v>
      </c>
      <c r="C8" s="10">
        <v>22.5</v>
      </c>
      <c r="D8" s="10">
        <v>20.6</v>
      </c>
      <c r="E8" s="10">
        <v>15.7</v>
      </c>
      <c r="F8" s="10">
        <v>18.5</v>
      </c>
      <c r="G8" s="10">
        <v>14.1</v>
      </c>
      <c r="H8" s="10">
        <v>9</v>
      </c>
      <c r="I8" s="10">
        <v>11.9</v>
      </c>
      <c r="J8" s="10">
        <v>11.9</v>
      </c>
      <c r="K8" s="10">
        <v>9.3000000000000007</v>
      </c>
      <c r="L8" s="10">
        <v>12.1</v>
      </c>
    </row>
    <row r="9" spans="1:12" ht="12.75" customHeight="1">
      <c r="A9" s="2">
        <v>1985</v>
      </c>
      <c r="B9" s="10">
        <v>11.2</v>
      </c>
      <c r="C9" s="10">
        <v>22.2</v>
      </c>
      <c r="D9" s="10">
        <v>21.2</v>
      </c>
      <c r="E9" s="10">
        <v>15</v>
      </c>
      <c r="F9" s="10">
        <v>18.3</v>
      </c>
      <c r="G9" s="10">
        <v>14.1</v>
      </c>
      <c r="H9" s="10">
        <v>8.8000000000000007</v>
      </c>
      <c r="I9" s="10">
        <v>12.1</v>
      </c>
      <c r="J9" s="10">
        <v>11.7</v>
      </c>
      <c r="K9" s="10">
        <v>8.6999999999999993</v>
      </c>
      <c r="L9" s="10">
        <v>11.4</v>
      </c>
    </row>
    <row r="10" spans="1:12" ht="12.75" customHeight="1">
      <c r="A10" s="2">
        <v>1986</v>
      </c>
      <c r="B10" s="10">
        <v>11.1</v>
      </c>
      <c r="C10" s="10">
        <v>24.3</v>
      </c>
      <c r="D10" s="10">
        <v>20.399999999999999</v>
      </c>
      <c r="E10" s="10">
        <v>16</v>
      </c>
      <c r="F10" s="10">
        <v>18.8</v>
      </c>
      <c r="G10" s="10">
        <v>13.5</v>
      </c>
      <c r="H10" s="10">
        <v>8.6</v>
      </c>
      <c r="I10" s="10">
        <v>12</v>
      </c>
      <c r="J10" s="10">
        <v>12.2</v>
      </c>
      <c r="K10" s="10">
        <v>9.3000000000000007</v>
      </c>
      <c r="L10" s="10">
        <v>11.5</v>
      </c>
    </row>
    <row r="11" spans="1:12" ht="12.75" customHeight="1">
      <c r="A11" s="2">
        <v>1987</v>
      </c>
      <c r="B11" s="10">
        <v>11</v>
      </c>
      <c r="C11" s="10">
        <v>23.1</v>
      </c>
      <c r="D11" s="10">
        <v>20.100000000000001</v>
      </c>
      <c r="E11" s="10">
        <v>15.4</v>
      </c>
      <c r="F11" s="10">
        <v>19.5</v>
      </c>
      <c r="G11" s="10">
        <v>13.1</v>
      </c>
      <c r="H11" s="10">
        <v>8.6999999999999993</v>
      </c>
      <c r="I11" s="10">
        <v>12.9</v>
      </c>
      <c r="J11" s="10">
        <v>12.8</v>
      </c>
      <c r="K11" s="10">
        <v>9.3000000000000007</v>
      </c>
      <c r="L11" s="10">
        <v>10.8</v>
      </c>
    </row>
    <row r="12" spans="1:12" ht="12.75" customHeight="1">
      <c r="A12" s="2">
        <v>1988</v>
      </c>
      <c r="B12" s="10">
        <v>11</v>
      </c>
      <c r="C12" s="10">
        <v>22.1</v>
      </c>
      <c r="D12" s="10">
        <v>22</v>
      </c>
      <c r="E12" s="10">
        <v>15</v>
      </c>
      <c r="F12" s="10">
        <v>19.600000000000001</v>
      </c>
      <c r="G12" s="10">
        <v>13.6</v>
      </c>
      <c r="H12" s="10">
        <v>8.6</v>
      </c>
      <c r="I12" s="10">
        <v>12.7</v>
      </c>
      <c r="J12" s="10">
        <v>13.2</v>
      </c>
      <c r="K12" s="10">
        <v>8.9</v>
      </c>
      <c r="L12" s="10">
        <v>10.5</v>
      </c>
    </row>
    <row r="13" spans="1:12" ht="12.75" customHeight="1">
      <c r="A13" s="2">
        <v>1989</v>
      </c>
      <c r="B13" s="10">
        <v>11</v>
      </c>
      <c r="C13" s="10">
        <v>21.9</v>
      </c>
      <c r="D13" s="10">
        <v>20.7</v>
      </c>
      <c r="E13" s="10">
        <v>15.7</v>
      </c>
      <c r="F13" s="10">
        <v>17.8</v>
      </c>
      <c r="G13" s="10">
        <v>13.3</v>
      </c>
      <c r="H13" s="10">
        <v>8.8000000000000007</v>
      </c>
      <c r="I13" s="10">
        <v>13</v>
      </c>
      <c r="J13" s="10">
        <v>13.3</v>
      </c>
      <c r="K13" s="10">
        <v>9.1999999999999993</v>
      </c>
      <c r="L13" s="10">
        <v>10.6</v>
      </c>
    </row>
    <row r="14" spans="1:12" ht="12.75" customHeight="1">
      <c r="A14" s="2">
        <v>1990</v>
      </c>
      <c r="B14" s="10">
        <v>12.2</v>
      </c>
      <c r="C14" s="10">
        <v>23.9</v>
      </c>
      <c r="D14" s="10">
        <v>21.6</v>
      </c>
      <c r="E14" s="10">
        <v>16.600000000000001</v>
      </c>
      <c r="F14" s="10">
        <v>18.8</v>
      </c>
      <c r="G14" s="10">
        <v>15</v>
      </c>
      <c r="H14" s="10">
        <v>10.1</v>
      </c>
      <c r="I14" s="10">
        <v>13.6</v>
      </c>
      <c r="J14" s="10">
        <v>14.2</v>
      </c>
      <c r="K14" s="10">
        <v>9.6999999999999993</v>
      </c>
      <c r="L14" s="10">
        <v>11.4</v>
      </c>
    </row>
    <row r="15" spans="1:12" ht="12.75" customHeight="1">
      <c r="A15" s="2">
        <v>1991</v>
      </c>
      <c r="B15" s="10">
        <v>13.8</v>
      </c>
      <c r="C15" s="10">
        <v>25.3</v>
      </c>
      <c r="D15" s="10">
        <v>23.1</v>
      </c>
      <c r="E15" s="10">
        <v>17.5</v>
      </c>
      <c r="F15" s="10">
        <v>20</v>
      </c>
      <c r="G15" s="10">
        <v>16.8</v>
      </c>
      <c r="H15" s="10">
        <v>12</v>
      </c>
      <c r="I15" s="10">
        <v>14.6</v>
      </c>
      <c r="J15" s="10">
        <v>15.1</v>
      </c>
      <c r="K15" s="10">
        <v>10.1</v>
      </c>
      <c r="L15" s="10">
        <v>12.7</v>
      </c>
    </row>
    <row r="16" spans="1:12" ht="12.75" customHeight="1">
      <c r="A16" s="2">
        <v>1992</v>
      </c>
      <c r="B16" s="10">
        <v>14.6</v>
      </c>
      <c r="C16" s="10">
        <v>27.5</v>
      </c>
      <c r="D16" s="10">
        <v>24.2</v>
      </c>
      <c r="E16" s="10">
        <v>19.600000000000001</v>
      </c>
      <c r="F16" s="10">
        <v>20.9</v>
      </c>
      <c r="G16" s="10">
        <v>17.5</v>
      </c>
      <c r="H16" s="10">
        <v>13</v>
      </c>
      <c r="I16" s="10">
        <v>15.7</v>
      </c>
      <c r="J16" s="10">
        <v>15.7</v>
      </c>
      <c r="K16" s="10">
        <v>11.6</v>
      </c>
      <c r="L16" s="10">
        <v>12.3</v>
      </c>
    </row>
    <row r="17" spans="1:12" ht="12.75" customHeight="1">
      <c r="A17" s="2">
        <v>1993</v>
      </c>
      <c r="B17" s="10">
        <v>15.2</v>
      </c>
      <c r="C17" s="10">
        <v>28.9</v>
      </c>
      <c r="D17" s="10">
        <v>25.1</v>
      </c>
      <c r="E17" s="10">
        <v>20.3</v>
      </c>
      <c r="F17" s="10">
        <v>21.8</v>
      </c>
      <c r="G17" s="10">
        <v>18.100000000000001</v>
      </c>
      <c r="H17" s="10">
        <v>13.6</v>
      </c>
      <c r="I17" s="10">
        <v>16.2</v>
      </c>
      <c r="J17" s="10">
        <v>16.8</v>
      </c>
      <c r="K17" s="10">
        <v>11.6</v>
      </c>
      <c r="L17" s="10">
        <v>13.6</v>
      </c>
    </row>
    <row r="18" spans="1:12" ht="12.75" customHeight="1">
      <c r="A18" s="2">
        <v>1994</v>
      </c>
      <c r="B18" s="10">
        <v>15</v>
      </c>
      <c r="C18" s="10">
        <v>24.4</v>
      </c>
      <c r="D18" s="10">
        <v>24.6</v>
      </c>
      <c r="E18" s="10">
        <v>20</v>
      </c>
      <c r="F18" s="10">
        <v>21.3</v>
      </c>
      <c r="G18" s="10">
        <v>17.5</v>
      </c>
      <c r="H18" s="10">
        <v>13.7</v>
      </c>
      <c r="I18" s="10">
        <v>15.7</v>
      </c>
      <c r="J18" s="10">
        <v>16.600000000000001</v>
      </c>
      <c r="K18" s="10">
        <v>10.9</v>
      </c>
      <c r="L18" s="10">
        <v>13.8</v>
      </c>
    </row>
    <row r="19" spans="1:12" ht="12.75" customHeight="1">
      <c r="A19" s="2">
        <v>1995</v>
      </c>
      <c r="B19" s="10">
        <v>14.3</v>
      </c>
      <c r="C19" s="10">
        <v>26.6</v>
      </c>
      <c r="D19" s="10">
        <v>23.7</v>
      </c>
      <c r="E19" s="10">
        <v>19.8</v>
      </c>
      <c r="F19" s="10">
        <v>20.399999999999999</v>
      </c>
      <c r="G19" s="10">
        <v>16.899999999999999</v>
      </c>
      <c r="H19" s="10">
        <v>12.9</v>
      </c>
      <c r="I19" s="10">
        <v>15.1</v>
      </c>
      <c r="J19" s="10">
        <v>15.1</v>
      </c>
      <c r="K19" s="10">
        <v>10.9</v>
      </c>
      <c r="L19" s="10">
        <v>13.1</v>
      </c>
    </row>
    <row r="20" spans="1:12" ht="12.75" customHeight="1">
      <c r="A20" s="2">
        <v>1996</v>
      </c>
      <c r="B20" s="10">
        <v>14.2</v>
      </c>
      <c r="C20" s="10">
        <v>25.8</v>
      </c>
      <c r="D20" s="10">
        <v>22.2</v>
      </c>
      <c r="E20" s="10">
        <v>20</v>
      </c>
      <c r="F20" s="10">
        <v>20</v>
      </c>
      <c r="G20" s="10">
        <v>16.600000000000001</v>
      </c>
      <c r="H20" s="10">
        <v>12.8</v>
      </c>
      <c r="I20" s="10">
        <v>14.9</v>
      </c>
      <c r="J20" s="10">
        <v>15.5</v>
      </c>
      <c r="K20" s="10">
        <v>10.6</v>
      </c>
      <c r="L20" s="10">
        <v>13.3</v>
      </c>
    </row>
    <row r="21" spans="1:12" ht="12.75" customHeight="1">
      <c r="A21" s="2">
        <v>1997</v>
      </c>
      <c r="B21" s="10">
        <v>13.8</v>
      </c>
      <c r="C21" s="10">
        <v>25.4</v>
      </c>
      <c r="D21" s="10">
        <v>22.1</v>
      </c>
      <c r="E21" s="10">
        <v>18.600000000000001</v>
      </c>
      <c r="F21" s="10">
        <v>19.8</v>
      </c>
      <c r="G21" s="10">
        <v>16.399999999999999</v>
      </c>
      <c r="H21" s="10">
        <v>12.6</v>
      </c>
      <c r="I21" s="10">
        <v>14.7</v>
      </c>
      <c r="J21" s="10">
        <v>15</v>
      </c>
      <c r="K21" s="10">
        <v>9.3000000000000007</v>
      </c>
      <c r="L21" s="10">
        <v>12.9</v>
      </c>
    </row>
    <row r="22" spans="1:12" ht="12.75" customHeight="1">
      <c r="A22" s="2">
        <v>1998</v>
      </c>
      <c r="B22" s="10">
        <v>13.4</v>
      </c>
      <c r="C22" s="10">
        <v>23.4</v>
      </c>
      <c r="D22" s="10">
        <v>20</v>
      </c>
      <c r="E22" s="10">
        <v>17.7</v>
      </c>
      <c r="F22" s="10">
        <v>18.399999999999999</v>
      </c>
      <c r="G22" s="10">
        <v>15.7</v>
      </c>
      <c r="H22" s="10">
        <v>12.1</v>
      </c>
      <c r="I22" s="10">
        <v>13.9</v>
      </c>
      <c r="J22" s="10">
        <v>15</v>
      </c>
      <c r="K22" s="10">
        <v>9.1999999999999993</v>
      </c>
      <c r="L22" s="10">
        <v>13.5</v>
      </c>
    </row>
    <row r="23" spans="1:12" ht="12.75" customHeight="1">
      <c r="A23" s="2">
        <v>1999</v>
      </c>
      <c r="B23" s="10">
        <v>12.2</v>
      </c>
      <c r="C23" s="10">
        <v>22.3</v>
      </c>
      <c r="D23" s="10">
        <v>19.5</v>
      </c>
      <c r="E23" s="10">
        <v>16</v>
      </c>
      <c r="F23" s="10">
        <v>17</v>
      </c>
      <c r="G23" s="10">
        <v>14.6</v>
      </c>
      <c r="H23" s="10">
        <v>10.5</v>
      </c>
      <c r="I23" s="10">
        <v>13.3</v>
      </c>
      <c r="J23" s="10">
        <v>14.4</v>
      </c>
      <c r="K23" s="10">
        <v>9.3000000000000007</v>
      </c>
      <c r="L23" s="10">
        <v>12.5</v>
      </c>
    </row>
    <row r="24" spans="1:12" ht="12.75" customHeight="1">
      <c r="A24" s="2">
        <v>2000</v>
      </c>
      <c r="B24" s="10">
        <v>11.5</v>
      </c>
      <c r="C24" s="10">
        <v>21.2</v>
      </c>
      <c r="D24" s="10">
        <v>18.600000000000001</v>
      </c>
      <c r="E24" s="10">
        <v>15.8</v>
      </c>
      <c r="F24" s="10">
        <v>16.3</v>
      </c>
      <c r="G24" s="10">
        <v>13.6</v>
      </c>
      <c r="H24" s="10">
        <v>9.8000000000000007</v>
      </c>
      <c r="I24" s="10">
        <v>13</v>
      </c>
      <c r="J24" s="10">
        <v>13.9</v>
      </c>
      <c r="K24" s="10">
        <v>9.1999999999999993</v>
      </c>
      <c r="L24" s="10">
        <v>12.1</v>
      </c>
    </row>
    <row r="25" spans="1:12" ht="12.75" customHeight="1">
      <c r="A25" s="2">
        <v>2001</v>
      </c>
      <c r="B25" s="10">
        <v>11.9</v>
      </c>
      <c r="C25" s="10">
        <v>23.2</v>
      </c>
      <c r="D25" s="10">
        <v>19.3</v>
      </c>
      <c r="E25" s="10">
        <v>15.8</v>
      </c>
      <c r="F25" s="10">
        <v>17.3</v>
      </c>
      <c r="G25" s="10">
        <v>14.3</v>
      </c>
      <c r="H25" s="10">
        <v>10.3</v>
      </c>
      <c r="I25" s="10">
        <v>12.8</v>
      </c>
      <c r="J25" s="10">
        <v>13.8</v>
      </c>
      <c r="K25" s="10">
        <v>8.9</v>
      </c>
      <c r="L25" s="10">
        <v>12.3</v>
      </c>
    </row>
    <row r="26" spans="1:12" ht="12.75" customHeight="1">
      <c r="A26" s="2">
        <v>2002</v>
      </c>
      <c r="B26" s="10">
        <v>11.9</v>
      </c>
      <c r="C26" s="10">
        <v>22.6</v>
      </c>
      <c r="D26" s="10">
        <v>19.899999999999999</v>
      </c>
      <c r="E26" s="10">
        <v>15.3</v>
      </c>
      <c r="F26" s="10">
        <v>17.600000000000001</v>
      </c>
      <c r="G26" s="10">
        <v>14</v>
      </c>
      <c r="H26" s="10">
        <v>10.3</v>
      </c>
      <c r="I26" s="10">
        <v>12.7</v>
      </c>
      <c r="J26" s="10">
        <v>14.1</v>
      </c>
      <c r="K26" s="10">
        <v>9.1</v>
      </c>
      <c r="L26" s="10">
        <v>12.4</v>
      </c>
    </row>
    <row r="27" spans="1:12" ht="12.75" customHeight="1">
      <c r="A27" s="2">
        <v>2003</v>
      </c>
      <c r="B27" s="10">
        <v>11.9</v>
      </c>
      <c r="C27" s="10">
        <v>22.9</v>
      </c>
      <c r="D27" s="10">
        <v>19.100000000000001</v>
      </c>
      <c r="E27" s="10">
        <v>15.8</v>
      </c>
      <c r="F27" s="10">
        <v>17.399999999999999</v>
      </c>
      <c r="G27" s="10">
        <v>13.7</v>
      </c>
      <c r="H27" s="10">
        <v>10.5</v>
      </c>
      <c r="I27" s="10">
        <v>12.5</v>
      </c>
      <c r="J27" s="10">
        <v>13.6</v>
      </c>
      <c r="K27" s="10">
        <v>8.8000000000000007</v>
      </c>
      <c r="L27" s="10">
        <v>12.4</v>
      </c>
    </row>
    <row r="28" spans="1:12" ht="12.75" customHeight="1">
      <c r="A28" s="2">
        <v>2004</v>
      </c>
      <c r="B28" s="10">
        <v>11.7</v>
      </c>
      <c r="C28" s="10">
        <v>21.9</v>
      </c>
      <c r="D28" s="10">
        <v>18.3</v>
      </c>
      <c r="E28" s="10">
        <v>15.4</v>
      </c>
      <c r="F28" s="10">
        <v>17.2</v>
      </c>
      <c r="G28" s="10">
        <v>13.6</v>
      </c>
      <c r="H28" s="10">
        <v>10.5</v>
      </c>
      <c r="I28" s="10">
        <v>12.6</v>
      </c>
      <c r="J28" s="10">
        <v>13.7</v>
      </c>
      <c r="K28" s="10">
        <v>8.3000000000000007</v>
      </c>
      <c r="L28" s="10">
        <v>12.2</v>
      </c>
    </row>
    <row r="29" spans="1:12" ht="12.75" customHeight="1">
      <c r="A29" s="2">
        <v>2005</v>
      </c>
      <c r="B29" s="10">
        <v>11.4</v>
      </c>
      <c r="C29" s="10">
        <v>20.9</v>
      </c>
      <c r="D29" s="10">
        <v>18.399999999999999</v>
      </c>
      <c r="E29" s="10">
        <v>14.8</v>
      </c>
      <c r="F29" s="10">
        <v>16.5</v>
      </c>
      <c r="G29" s="10">
        <v>14.4</v>
      </c>
      <c r="H29" s="10">
        <v>10.1</v>
      </c>
      <c r="I29" s="10">
        <v>12.3</v>
      </c>
      <c r="J29" s="10">
        <v>12.8</v>
      </c>
      <c r="K29" s="10">
        <v>7.9</v>
      </c>
      <c r="L29" s="10">
        <v>10.9</v>
      </c>
    </row>
    <row r="30" spans="1:12" ht="12.75" customHeight="1">
      <c r="A30" s="2">
        <v>2006</v>
      </c>
      <c r="B30" s="10">
        <v>11.6</v>
      </c>
      <c r="C30" s="10">
        <v>20.5</v>
      </c>
      <c r="D30" s="10">
        <v>18.2</v>
      </c>
      <c r="E30" s="10">
        <v>14.5</v>
      </c>
      <c r="F30" s="10">
        <v>16.8</v>
      </c>
      <c r="G30" s="10">
        <v>14.5</v>
      </c>
      <c r="H30" s="10">
        <v>10.5</v>
      </c>
      <c r="I30" s="10">
        <v>12.1</v>
      </c>
      <c r="J30" s="10">
        <v>12</v>
      </c>
      <c r="K30" s="10">
        <v>8.4</v>
      </c>
      <c r="L30" s="10">
        <v>10.7</v>
      </c>
    </row>
    <row r="31" spans="1:12" s="961" customFormat="1" ht="12.75" customHeight="1">
      <c r="A31" s="2">
        <v>2007</v>
      </c>
      <c r="B31" s="10">
        <v>11.4</v>
      </c>
      <c r="C31" s="10">
        <v>19.600000000000001</v>
      </c>
      <c r="D31" s="10">
        <v>18.600000000000001</v>
      </c>
      <c r="E31" s="10">
        <v>14.6</v>
      </c>
      <c r="F31" s="10">
        <v>16.5</v>
      </c>
      <c r="G31" s="10">
        <v>14.8</v>
      </c>
      <c r="H31" s="10">
        <v>10.6</v>
      </c>
      <c r="I31" s="10">
        <v>11.7</v>
      </c>
      <c r="J31" s="10">
        <v>11.3</v>
      </c>
      <c r="K31" s="10">
        <v>7</v>
      </c>
      <c r="L31" s="10">
        <v>10.3</v>
      </c>
    </row>
    <row r="32" spans="1:12" s="114" customFormat="1" ht="12.75" customHeight="1">
      <c r="A32" s="738"/>
      <c r="B32" s="23"/>
      <c r="C32" s="959"/>
      <c r="D32" s="959" t="s">
        <v>802</v>
      </c>
      <c r="E32" s="959"/>
      <c r="F32" s="959"/>
      <c r="H32" s="959"/>
      <c r="I32" s="959"/>
      <c r="J32" s="959"/>
      <c r="K32" s="959"/>
      <c r="L32" s="959"/>
    </row>
    <row r="33" spans="1:12" s="114" customFormat="1" ht="12.75" customHeight="1">
      <c r="A33" s="431" t="s">
        <v>603</v>
      </c>
      <c r="B33" s="959">
        <f>((((B13/B5))^(1/8))-1)*100</f>
        <v>2.8285594297889682</v>
      </c>
      <c r="C33" s="959">
        <f t="shared" ref="C33:L33" si="0">((((C13/C5))^(1/8))-1)*100</f>
        <v>3.7605018993448924</v>
      </c>
      <c r="D33" s="959">
        <f t="shared" si="0"/>
        <v>1.6919256643064928</v>
      </c>
      <c r="E33" s="959">
        <f t="shared" si="0"/>
        <v>1.1743567427479507</v>
      </c>
      <c r="F33" s="959">
        <f t="shared" si="0"/>
        <v>1.1842981171936051</v>
      </c>
      <c r="G33" s="959">
        <f t="shared" si="0"/>
        <v>2.518712381623911</v>
      </c>
      <c r="H33" s="959">
        <f t="shared" si="0"/>
        <v>1.6831504190512936</v>
      </c>
      <c r="I33" s="959">
        <f t="shared" si="0"/>
        <v>3.8625580976306528</v>
      </c>
      <c r="J33" s="959">
        <f t="shared" si="0"/>
        <v>5.4487773416712848</v>
      </c>
      <c r="K33" s="959">
        <f t="shared" si="0"/>
        <v>7.392279422733794</v>
      </c>
      <c r="L33" s="959">
        <f t="shared" si="0"/>
        <v>4.772637224391052</v>
      </c>
    </row>
    <row r="34" spans="1:12" s="114" customFormat="1">
      <c r="A34" s="431" t="s">
        <v>604</v>
      </c>
      <c r="B34" s="959">
        <f>((((B24/B13))^(1/11))-1)*100</f>
        <v>0.40492454549911905</v>
      </c>
      <c r="C34" s="959">
        <f t="shared" ref="C34:L34" si="1">((((C24/C13))^(1/11))-1)*100</f>
        <v>-0.294886672093575</v>
      </c>
      <c r="D34" s="959">
        <f t="shared" si="1"/>
        <v>-0.96776057821669204</v>
      </c>
      <c r="E34" s="959">
        <f t="shared" si="1"/>
        <v>5.7736912966910303E-2</v>
      </c>
      <c r="F34" s="959">
        <f t="shared" si="1"/>
        <v>-0.79710927723605218</v>
      </c>
      <c r="G34" s="959">
        <f t="shared" si="1"/>
        <v>0.20298535066580747</v>
      </c>
      <c r="H34" s="959">
        <f t="shared" si="1"/>
        <v>0.98326316012748993</v>
      </c>
      <c r="I34" s="959">
        <f t="shared" si="1"/>
        <v>0</v>
      </c>
      <c r="J34" s="959">
        <f t="shared" si="1"/>
        <v>0.40194021172690331</v>
      </c>
      <c r="K34" s="959">
        <f t="shared" si="1"/>
        <v>0</v>
      </c>
      <c r="L34" s="959">
        <f t="shared" si="1"/>
        <v>1.2104625228879673</v>
      </c>
    </row>
    <row r="35" spans="1:12" s="114" customFormat="1">
      <c r="A35" s="431" t="s">
        <v>819</v>
      </c>
      <c r="B35" s="23">
        <f t="shared" ref="B35:L35" si="2">((((B30/B5))^(1/25))-1)*100</f>
        <v>1.1111413310570306</v>
      </c>
      <c r="C35" s="23">
        <f t="shared" si="2"/>
        <v>0.92125679975629815</v>
      </c>
      <c r="D35" s="23">
        <f t="shared" si="2"/>
        <v>2.2041051926868782E-2</v>
      </c>
      <c r="E35" s="23">
        <f t="shared" si="2"/>
        <v>5.5571884095928503E-2</v>
      </c>
      <c r="F35" s="23">
        <f t="shared" si="2"/>
        <v>0.14557643645227714</v>
      </c>
      <c r="G35" s="23">
        <f t="shared" si="2"/>
        <v>1.1480839116472019</v>
      </c>
      <c r="H35" s="23">
        <f t="shared" si="2"/>
        <v>1.2483473232648867</v>
      </c>
      <c r="I35" s="23">
        <f t="shared" si="2"/>
        <v>0.93006791607010975</v>
      </c>
      <c r="J35" s="23">
        <f t="shared" si="2"/>
        <v>1.2946433670947721</v>
      </c>
      <c r="K35" s="23">
        <f t="shared" si="2"/>
        <v>1.9368097649038685</v>
      </c>
      <c r="L35" s="23">
        <f t="shared" si="2"/>
        <v>1.5412339420260324</v>
      </c>
    </row>
    <row r="36" spans="1:12" s="961" customFormat="1">
      <c r="A36" s="431" t="s">
        <v>447</v>
      </c>
      <c r="B36" s="23">
        <f>((((B31/B5))^(1/26))-1)*100</f>
        <v>1.0005944711773962</v>
      </c>
      <c r="C36" s="23">
        <f t="shared" ref="C36:L36" si="3">((((C31/C5))^(1/26))-1)*100</f>
        <v>0.71161409579496571</v>
      </c>
      <c r="D36" s="23">
        <f t="shared" si="3"/>
        <v>0.10486125811801639</v>
      </c>
      <c r="E36" s="23">
        <f t="shared" si="3"/>
        <v>7.9885704908977395E-2</v>
      </c>
      <c r="F36" s="23">
        <f t="shared" si="3"/>
        <v>7.0598519294007289E-2</v>
      </c>
      <c r="G36" s="23">
        <f t="shared" si="3"/>
        <v>1.183348322511546</v>
      </c>
      <c r="H36" s="23">
        <f t="shared" si="3"/>
        <v>1.2369479728705057</v>
      </c>
      <c r="I36" s="23">
        <f t="shared" si="3"/>
        <v>0.7637702013530534</v>
      </c>
      <c r="J36" s="23">
        <f t="shared" si="3"/>
        <v>1.0107652231112541</v>
      </c>
      <c r="K36" s="23">
        <f t="shared" si="3"/>
        <v>1.1498354570972813</v>
      </c>
      <c r="L36" s="23">
        <f t="shared" si="3"/>
        <v>1.332918848034037</v>
      </c>
    </row>
    <row r="37" spans="1:12" s="114" customFormat="1">
      <c r="A37" s="431" t="s">
        <v>818</v>
      </c>
      <c r="B37" s="959">
        <f t="shared" ref="B37:L37" si="4">((((B30/B24))^(1/6))-1)*100</f>
        <v>0.14440520977481164</v>
      </c>
      <c r="C37" s="959">
        <f t="shared" si="4"/>
        <v>-0.55804205385786565</v>
      </c>
      <c r="D37" s="959">
        <f t="shared" si="4"/>
        <v>-0.36167747629066715</v>
      </c>
      <c r="E37" s="959">
        <f t="shared" si="4"/>
        <v>-1.4208310643633815</v>
      </c>
      <c r="F37" s="959">
        <f t="shared" si="4"/>
        <v>0.5048329858358791</v>
      </c>
      <c r="G37" s="959">
        <f t="shared" si="4"/>
        <v>1.0737042175755995</v>
      </c>
      <c r="H37" s="959">
        <f t="shared" si="4"/>
        <v>1.1565177382957037</v>
      </c>
      <c r="I37" s="959">
        <f t="shared" si="4"/>
        <v>-1.1886112843893182</v>
      </c>
      <c r="J37" s="959">
        <f t="shared" si="4"/>
        <v>-2.4199414641188688</v>
      </c>
      <c r="K37" s="959">
        <f t="shared" si="4"/>
        <v>-1.5047599195745831</v>
      </c>
      <c r="L37" s="959">
        <f t="shared" si="4"/>
        <v>-2.0285051516503616</v>
      </c>
    </row>
    <row r="38" spans="1:12" s="961" customFormat="1">
      <c r="A38" s="431" t="s">
        <v>449</v>
      </c>
      <c r="B38" s="959">
        <f>((((B31/B24))^(1/7))-1)*100</f>
        <v>-0.1246890552140334</v>
      </c>
      <c r="C38" s="959">
        <f t="shared" ref="C38:L38" si="5">((((C31/C24))^(1/7))-1)*100</f>
        <v>-1.1147630280683662</v>
      </c>
      <c r="D38" s="959">
        <f t="shared" si="5"/>
        <v>0</v>
      </c>
      <c r="E38" s="959">
        <f t="shared" si="5"/>
        <v>-1.1220632561240174</v>
      </c>
      <c r="F38" s="959">
        <f t="shared" si="5"/>
        <v>0.17437003510756277</v>
      </c>
      <c r="G38" s="959">
        <f t="shared" si="5"/>
        <v>1.215288021427452</v>
      </c>
      <c r="H38" s="959">
        <f t="shared" si="5"/>
        <v>1.1273300870834557</v>
      </c>
      <c r="I38" s="959">
        <f t="shared" si="5"/>
        <v>-1.4938794558884472</v>
      </c>
      <c r="J38" s="959">
        <f t="shared" si="5"/>
        <v>-2.9150415610620262</v>
      </c>
      <c r="K38" s="959">
        <f t="shared" si="5"/>
        <v>-3.8289592172636944</v>
      </c>
      <c r="L38" s="959">
        <f t="shared" si="5"/>
        <v>-2.2746110146860343</v>
      </c>
    </row>
    <row r="39" spans="1:12" s="114" customFormat="1">
      <c r="A39" s="431"/>
      <c r="D39" s="959" t="s">
        <v>276</v>
      </c>
    </row>
    <row r="40" spans="1:12" s="114" customFormat="1">
      <c r="A40" s="431" t="s">
        <v>819</v>
      </c>
      <c r="B40" s="10">
        <f t="shared" ref="B40:L40" si="6">(B30/B5-1)*100</f>
        <v>31.818181818181813</v>
      </c>
      <c r="C40" s="10">
        <f t="shared" si="6"/>
        <v>25.766871165644154</v>
      </c>
      <c r="D40" s="10">
        <f t="shared" si="6"/>
        <v>0.55248618784529135</v>
      </c>
      <c r="E40" s="10">
        <f t="shared" si="6"/>
        <v>1.3986013986013957</v>
      </c>
      <c r="F40" s="10">
        <f t="shared" si="6"/>
        <v>3.7037037037037202</v>
      </c>
      <c r="G40" s="10">
        <f t="shared" si="6"/>
        <v>33.027522935779821</v>
      </c>
      <c r="H40" s="10">
        <f t="shared" si="6"/>
        <v>36.363636363636353</v>
      </c>
      <c r="I40" s="10">
        <f t="shared" si="6"/>
        <v>26.041666666666675</v>
      </c>
      <c r="J40" s="10">
        <f t="shared" si="6"/>
        <v>37.931034482758633</v>
      </c>
      <c r="K40" s="10">
        <f t="shared" si="6"/>
        <v>61.53846153846154</v>
      </c>
      <c r="L40" s="10">
        <f t="shared" si="6"/>
        <v>46.575342465753408</v>
      </c>
    </row>
    <row r="41" spans="1:12" s="961" customFormat="1">
      <c r="A41" s="431" t="s">
        <v>447</v>
      </c>
      <c r="B41" s="10">
        <f>(B31/B5-1)*100</f>
        <v>29.54545454545454</v>
      </c>
      <c r="C41" s="10">
        <f t="shared" ref="C41:L41" si="7">(C31/C5-1)*100</f>
        <v>20.24539877300613</v>
      </c>
      <c r="D41" s="10">
        <f t="shared" si="7"/>
        <v>2.7624309392265234</v>
      </c>
      <c r="E41" s="10">
        <f t="shared" si="7"/>
        <v>2.0979020979020824</v>
      </c>
      <c r="F41" s="10">
        <f t="shared" si="7"/>
        <v>1.8518518518518601</v>
      </c>
      <c r="G41" s="10">
        <f t="shared" si="7"/>
        <v>35.779816513761475</v>
      </c>
      <c r="H41" s="10">
        <f t="shared" si="7"/>
        <v>37.662337662337663</v>
      </c>
      <c r="I41" s="10">
        <f t="shared" si="7"/>
        <v>21.875</v>
      </c>
      <c r="J41" s="10">
        <f t="shared" si="7"/>
        <v>29.885057471264375</v>
      </c>
      <c r="K41" s="10">
        <f t="shared" si="7"/>
        <v>34.615384615384606</v>
      </c>
      <c r="L41" s="10">
        <f t="shared" si="7"/>
        <v>41.095890410958916</v>
      </c>
    </row>
    <row r="43" spans="1:12" ht="27" customHeight="1">
      <c r="A43" s="1170" t="s">
        <v>370</v>
      </c>
      <c r="B43" s="1170"/>
      <c r="C43" s="1170"/>
      <c r="D43" s="1170"/>
      <c r="E43" s="1170"/>
      <c r="F43" s="1170"/>
      <c r="G43" s="1170"/>
      <c r="H43" s="1170"/>
      <c r="I43" s="1170"/>
      <c r="J43" s="1170"/>
      <c r="K43" s="1170"/>
      <c r="L43" s="1170"/>
    </row>
    <row r="44" spans="1:12">
      <c r="A44" s="4" t="s">
        <v>1868</v>
      </c>
      <c r="B44" s="9"/>
      <c r="C44" s="9"/>
      <c r="D44" s="9"/>
      <c r="E44" s="9"/>
      <c r="F44" s="9"/>
      <c r="G44" s="9"/>
      <c r="H44" s="9"/>
      <c r="I44" s="9"/>
      <c r="J44" s="9"/>
      <c r="K44" s="9"/>
      <c r="L44" s="9"/>
    </row>
    <row r="45" spans="1:12">
      <c r="A45" s="4" t="s">
        <v>388</v>
      </c>
    </row>
    <row r="50" spans="3:14">
      <c r="C50" s="961"/>
      <c r="D50" s="961"/>
      <c r="E50" s="961"/>
      <c r="F50" s="961"/>
      <c r="G50" s="961"/>
      <c r="H50" s="961"/>
      <c r="I50" s="961"/>
      <c r="J50" s="961"/>
      <c r="K50" s="961"/>
      <c r="L50" s="961"/>
      <c r="M50" s="961"/>
      <c r="N50" s="961"/>
    </row>
    <row r="51" spans="3:14">
      <c r="C51" s="961"/>
      <c r="D51" s="961"/>
      <c r="E51" s="961"/>
      <c r="F51" s="961"/>
      <c r="G51" s="961"/>
      <c r="H51" s="961"/>
      <c r="I51" s="961"/>
      <c r="J51" s="961"/>
      <c r="K51" s="961"/>
      <c r="L51" s="961"/>
      <c r="M51" s="961"/>
      <c r="N51" s="961"/>
    </row>
    <row r="52" spans="3:14">
      <c r="C52" s="961"/>
      <c r="D52" s="961"/>
      <c r="E52" s="961"/>
      <c r="F52" s="961"/>
      <c r="G52" s="961"/>
      <c r="H52" s="961"/>
      <c r="I52" s="961"/>
      <c r="J52" s="961"/>
      <c r="K52" s="961"/>
      <c r="L52" s="961"/>
      <c r="M52" s="961"/>
      <c r="N52" s="961"/>
    </row>
    <row r="53" spans="3:14">
      <c r="C53" s="961"/>
      <c r="D53" s="961"/>
      <c r="E53" s="961"/>
      <c r="F53" s="961"/>
      <c r="G53" s="961"/>
      <c r="H53" s="961"/>
      <c r="I53" s="961"/>
      <c r="J53" s="961"/>
      <c r="K53" s="961"/>
      <c r="L53" s="961"/>
      <c r="M53" s="961"/>
      <c r="N53" s="961"/>
    </row>
    <row r="54" spans="3:14">
      <c r="C54" s="961"/>
      <c r="D54" s="961"/>
      <c r="E54" s="961"/>
      <c r="F54" s="961"/>
      <c r="G54" s="961"/>
      <c r="H54" s="961"/>
      <c r="I54" s="961"/>
      <c r="J54" s="961"/>
      <c r="K54" s="961"/>
      <c r="L54" s="961"/>
      <c r="M54" s="961"/>
      <c r="N54" s="961"/>
    </row>
    <row r="55" spans="3:14">
      <c r="C55" s="961"/>
      <c r="D55" s="961"/>
      <c r="E55" s="961"/>
      <c r="F55" s="961"/>
      <c r="G55" s="961"/>
      <c r="H55" s="961"/>
      <c r="I55" s="961"/>
      <c r="J55" s="961"/>
      <c r="K55" s="961"/>
      <c r="L55" s="961"/>
      <c r="M55" s="961"/>
      <c r="N55" s="961"/>
    </row>
    <row r="56" spans="3:14">
      <c r="C56" s="961"/>
      <c r="D56" s="961"/>
      <c r="E56" s="961"/>
      <c r="F56" s="961"/>
      <c r="G56" s="961"/>
      <c r="H56" s="961"/>
      <c r="I56" s="961"/>
      <c r="J56" s="961"/>
      <c r="K56" s="961"/>
      <c r="L56" s="961"/>
      <c r="M56" s="961"/>
      <c r="N56" s="961"/>
    </row>
    <row r="57" spans="3:14">
      <c r="C57" s="961"/>
      <c r="D57" s="961"/>
      <c r="E57" s="961"/>
      <c r="F57" s="961"/>
      <c r="G57" s="961"/>
      <c r="H57" s="961"/>
      <c r="I57" s="961"/>
      <c r="J57" s="961"/>
      <c r="K57" s="961"/>
      <c r="L57" s="961"/>
      <c r="M57" s="961"/>
      <c r="N57" s="961"/>
    </row>
    <row r="58" spans="3:14">
      <c r="C58" s="961"/>
      <c r="D58" s="961"/>
      <c r="E58" s="961"/>
      <c r="F58" s="961"/>
      <c r="G58" s="961"/>
      <c r="H58" s="961"/>
      <c r="I58" s="961"/>
      <c r="J58" s="961"/>
      <c r="K58" s="961"/>
      <c r="L58" s="961"/>
      <c r="M58" s="961"/>
      <c r="N58" s="961"/>
    </row>
    <row r="59" spans="3:14">
      <c r="C59" s="961"/>
      <c r="D59" s="961"/>
      <c r="E59" s="961"/>
      <c r="F59" s="961"/>
      <c r="G59" s="961"/>
      <c r="H59" s="961"/>
      <c r="I59" s="961"/>
      <c r="J59" s="961"/>
      <c r="K59" s="961"/>
      <c r="L59" s="961"/>
      <c r="M59" s="961"/>
      <c r="N59" s="961"/>
    </row>
    <row r="60" spans="3:14">
      <c r="C60" s="961"/>
      <c r="D60" s="961"/>
      <c r="E60" s="961"/>
      <c r="F60" s="961"/>
      <c r="G60" s="961"/>
      <c r="H60" s="961"/>
      <c r="I60" s="961"/>
      <c r="J60" s="961"/>
      <c r="K60" s="961"/>
      <c r="L60" s="961"/>
      <c r="M60" s="961"/>
      <c r="N60" s="961"/>
    </row>
    <row r="61" spans="3:14">
      <c r="C61" s="961"/>
      <c r="D61" s="961"/>
      <c r="E61" s="961"/>
      <c r="F61" s="961"/>
      <c r="G61" s="961"/>
      <c r="H61" s="961"/>
      <c r="I61" s="961"/>
      <c r="J61" s="961"/>
      <c r="K61" s="961"/>
      <c r="L61" s="961"/>
      <c r="M61" s="961"/>
      <c r="N61" s="961"/>
    </row>
    <row r="62" spans="3:14">
      <c r="C62" s="961"/>
      <c r="D62" s="961"/>
      <c r="E62" s="961"/>
      <c r="F62" s="961"/>
      <c r="G62" s="961"/>
      <c r="H62" s="961"/>
      <c r="I62" s="961"/>
      <c r="J62" s="961"/>
      <c r="K62" s="961"/>
      <c r="L62" s="961"/>
      <c r="M62" s="961"/>
      <c r="N62" s="961"/>
    </row>
    <row r="63" spans="3:14">
      <c r="C63" s="961"/>
      <c r="D63" s="961"/>
      <c r="E63" s="961"/>
      <c r="F63" s="961"/>
      <c r="G63" s="961"/>
      <c r="H63" s="961"/>
      <c r="I63" s="961"/>
      <c r="J63" s="961"/>
      <c r="K63" s="961"/>
      <c r="L63" s="961"/>
      <c r="M63" s="961"/>
      <c r="N63" s="961"/>
    </row>
    <row r="64" spans="3:14">
      <c r="C64" s="961"/>
      <c r="D64" s="961"/>
      <c r="E64" s="961"/>
      <c r="F64" s="961"/>
      <c r="G64" s="961"/>
      <c r="H64" s="961"/>
      <c r="I64" s="961"/>
      <c r="J64" s="961"/>
      <c r="K64" s="961"/>
      <c r="L64" s="961"/>
      <c r="M64" s="961"/>
      <c r="N64" s="961"/>
    </row>
    <row r="65" spans="3:14">
      <c r="C65" s="961"/>
      <c r="D65" s="961"/>
      <c r="E65" s="961"/>
      <c r="F65" s="961"/>
      <c r="G65" s="961"/>
      <c r="H65" s="961"/>
      <c r="I65" s="961"/>
      <c r="J65" s="961"/>
      <c r="K65" s="961"/>
      <c r="L65" s="961"/>
      <c r="M65" s="961"/>
      <c r="N65" s="961"/>
    </row>
    <row r="66" spans="3:14">
      <c r="C66" s="961"/>
      <c r="D66" s="961"/>
      <c r="E66" s="961"/>
      <c r="F66" s="961"/>
      <c r="G66" s="961"/>
      <c r="H66" s="961"/>
      <c r="I66" s="961"/>
      <c r="J66" s="961"/>
      <c r="K66" s="961"/>
      <c r="L66" s="961"/>
      <c r="M66" s="961"/>
      <c r="N66" s="961"/>
    </row>
    <row r="67" spans="3:14">
      <c r="C67" s="961"/>
      <c r="D67" s="961"/>
      <c r="E67" s="961"/>
      <c r="F67" s="961"/>
      <c r="G67" s="961"/>
      <c r="H67" s="961"/>
      <c r="I67" s="961"/>
      <c r="J67" s="961"/>
      <c r="K67" s="961"/>
      <c r="L67" s="961"/>
      <c r="M67" s="961"/>
      <c r="N67" s="961"/>
    </row>
    <row r="68" spans="3:14">
      <c r="C68" s="961"/>
      <c r="D68" s="961"/>
      <c r="E68" s="961"/>
      <c r="F68" s="961"/>
      <c r="G68" s="961"/>
      <c r="H68" s="961"/>
      <c r="I68" s="961"/>
      <c r="J68" s="961"/>
      <c r="K68" s="961"/>
      <c r="L68" s="961"/>
      <c r="M68" s="961"/>
      <c r="N68" s="961"/>
    </row>
    <row r="69" spans="3:14">
      <c r="C69" s="961"/>
      <c r="D69" s="961"/>
      <c r="E69" s="961"/>
      <c r="F69" s="961"/>
      <c r="G69" s="961"/>
      <c r="H69" s="961"/>
      <c r="I69" s="961"/>
      <c r="J69" s="961"/>
      <c r="K69" s="961"/>
      <c r="L69" s="961"/>
      <c r="M69" s="961"/>
      <c r="N69" s="961"/>
    </row>
    <row r="70" spans="3:14">
      <c r="C70" s="961"/>
      <c r="D70" s="961"/>
      <c r="E70" s="961"/>
      <c r="F70" s="961"/>
      <c r="G70" s="961"/>
      <c r="H70" s="961"/>
      <c r="I70" s="961"/>
      <c r="J70" s="961"/>
      <c r="K70" s="961"/>
      <c r="L70" s="961"/>
      <c r="M70" s="961"/>
      <c r="N70" s="961"/>
    </row>
    <row r="71" spans="3:14">
      <c r="C71" s="961"/>
      <c r="D71" s="961"/>
      <c r="E71" s="961"/>
      <c r="F71" s="961"/>
      <c r="G71" s="961"/>
      <c r="H71" s="961"/>
      <c r="I71" s="961"/>
      <c r="J71" s="961"/>
      <c r="K71" s="961"/>
      <c r="L71" s="961"/>
      <c r="M71" s="961"/>
      <c r="N71" s="961"/>
    </row>
    <row r="72" spans="3:14">
      <c r="C72" s="961"/>
      <c r="D72" s="961"/>
      <c r="E72" s="961"/>
      <c r="F72" s="961"/>
      <c r="G72" s="961"/>
      <c r="H72" s="961"/>
      <c r="I72" s="961"/>
      <c r="J72" s="961"/>
      <c r="K72" s="961"/>
      <c r="L72" s="961"/>
      <c r="M72" s="961"/>
      <c r="N72" s="961"/>
    </row>
    <row r="73" spans="3:14">
      <c r="C73" s="961"/>
      <c r="D73" s="961"/>
      <c r="E73" s="961"/>
      <c r="F73" s="961"/>
      <c r="G73" s="961"/>
      <c r="H73" s="961"/>
      <c r="I73" s="961"/>
      <c r="J73" s="961"/>
      <c r="K73" s="961"/>
      <c r="L73" s="961"/>
      <c r="M73" s="961"/>
      <c r="N73" s="961"/>
    </row>
    <row r="74" spans="3:14">
      <c r="C74" s="961"/>
      <c r="D74" s="961"/>
      <c r="E74" s="961"/>
      <c r="F74" s="961"/>
      <c r="G74" s="961"/>
      <c r="H74" s="961"/>
      <c r="I74" s="961"/>
      <c r="J74" s="961"/>
      <c r="K74" s="961"/>
      <c r="L74" s="961"/>
      <c r="M74" s="961"/>
      <c r="N74" s="961"/>
    </row>
    <row r="75" spans="3:14">
      <c r="C75" s="961"/>
      <c r="D75" s="961"/>
      <c r="E75" s="961"/>
      <c r="F75" s="961"/>
      <c r="G75" s="961"/>
      <c r="H75" s="961"/>
      <c r="I75" s="961"/>
      <c r="J75" s="961"/>
      <c r="K75" s="961"/>
      <c r="L75" s="961"/>
      <c r="M75" s="961"/>
      <c r="N75" s="961"/>
    </row>
    <row r="76" spans="3:14">
      <c r="C76" s="961"/>
      <c r="D76" s="961"/>
      <c r="E76" s="961"/>
      <c r="F76" s="961"/>
      <c r="G76" s="961"/>
      <c r="H76" s="961"/>
      <c r="I76" s="961"/>
      <c r="J76" s="961"/>
      <c r="K76" s="961"/>
      <c r="L76" s="961"/>
      <c r="M76" s="961"/>
      <c r="N76" s="961"/>
    </row>
    <row r="77" spans="3:14">
      <c r="C77" s="961"/>
      <c r="D77" s="961"/>
      <c r="E77" s="961"/>
      <c r="F77" s="961"/>
      <c r="G77" s="961"/>
      <c r="H77" s="961"/>
      <c r="I77" s="961"/>
      <c r="J77" s="961"/>
      <c r="K77" s="961"/>
      <c r="L77" s="961"/>
      <c r="M77" s="961"/>
      <c r="N77" s="961"/>
    </row>
    <row r="78" spans="3:14">
      <c r="C78" s="961"/>
      <c r="D78" s="961"/>
      <c r="E78" s="961"/>
      <c r="F78" s="961"/>
      <c r="G78" s="961"/>
      <c r="H78" s="961"/>
      <c r="I78" s="961"/>
      <c r="J78" s="961"/>
      <c r="K78" s="961"/>
      <c r="L78" s="961"/>
      <c r="M78" s="961"/>
      <c r="N78" s="961"/>
    </row>
  </sheetData>
  <mergeCells count="12">
    <mergeCell ref="F3:F4"/>
    <mergeCell ref="G3:G4"/>
    <mergeCell ref="A43:L43"/>
    <mergeCell ref="H3:H4"/>
    <mergeCell ref="I3:I4"/>
    <mergeCell ref="B3:B4"/>
    <mergeCell ref="C3:C4"/>
    <mergeCell ref="D3:D4"/>
    <mergeCell ref="E3:E4"/>
    <mergeCell ref="J3:J4"/>
    <mergeCell ref="K3:K4"/>
    <mergeCell ref="L3:L4"/>
  </mergeCells>
  <phoneticPr fontId="35" type="noConversion"/>
  <pageMargins left="0.75" right="0.75" top="1" bottom="1" header="0.5" footer="0.5"/>
  <pageSetup scale="82" orientation="landscape" horizontalDpi="300" verticalDpi="300" r:id="rId1"/>
  <headerFooter alignWithMargins="0"/>
</worksheet>
</file>

<file path=xl/worksheets/sheet32.xml><?xml version="1.0" encoding="utf-8"?>
<worksheet xmlns="http://schemas.openxmlformats.org/spreadsheetml/2006/main" xmlns:r="http://schemas.openxmlformats.org/officeDocument/2006/relationships">
  <sheetPr codeName="Sheet103">
    <pageSetUpPr fitToPage="1"/>
  </sheetPr>
  <dimension ref="A1:M44"/>
  <sheetViews>
    <sheetView view="pageBreakPreview" zoomScaleSheetLayoutView="100" workbookViewId="0">
      <selection activeCell="H62" sqref="H62"/>
    </sheetView>
  </sheetViews>
  <sheetFormatPr defaultRowHeight="12.75"/>
  <cols>
    <col min="1" max="1" width="3.5703125" style="1" customWidth="1"/>
    <col min="2" max="2" width="14.85546875" style="1" customWidth="1"/>
    <col min="3" max="5" width="27.85546875" style="1" customWidth="1"/>
    <col min="6" max="6" width="28.140625" style="1" customWidth="1"/>
    <col min="7" max="16384" width="9.140625" style="1"/>
  </cols>
  <sheetData>
    <row r="1" spans="1:13" ht="15.75">
      <c r="A1" s="3" t="s">
        <v>2117</v>
      </c>
    </row>
    <row r="2" spans="1:13">
      <c r="A2" s="4"/>
      <c r="B2" s="4"/>
      <c r="C2" s="4"/>
    </row>
    <row r="3" spans="1:13" ht="12.75" customHeight="1">
      <c r="A3" s="4"/>
      <c r="B3" s="4"/>
      <c r="C3" s="1166" t="s">
        <v>1872</v>
      </c>
      <c r="D3" s="1164" t="s">
        <v>165</v>
      </c>
      <c r="E3" s="1172" t="s">
        <v>307</v>
      </c>
    </row>
    <row r="4" spans="1:13" s="4" customFormat="1">
      <c r="A4" s="667"/>
      <c r="B4" s="667"/>
      <c r="C4" s="1166"/>
      <c r="D4" s="1165"/>
      <c r="E4" s="1173"/>
    </row>
    <row r="5" spans="1:13" s="4" customFormat="1">
      <c r="C5" s="243"/>
      <c r="D5" s="640"/>
      <c r="E5" s="645"/>
    </row>
    <row r="6" spans="1:13">
      <c r="A6" s="2" t="s">
        <v>964</v>
      </c>
      <c r="B6" s="4"/>
      <c r="C6" s="20">
        <v>7900</v>
      </c>
      <c r="D6" s="10">
        <v>11.4</v>
      </c>
      <c r="E6" s="960">
        <v>100</v>
      </c>
      <c r="F6" s="121"/>
    </row>
    <row r="7" spans="1:13">
      <c r="B7" s="4" t="s">
        <v>167</v>
      </c>
      <c r="C7" s="20">
        <v>7700</v>
      </c>
      <c r="D7" s="10">
        <v>52</v>
      </c>
      <c r="E7" s="960">
        <v>19.600000000000001</v>
      </c>
      <c r="F7" s="121">
        <f>100*C7/'24b'!B$31</f>
        <v>47.530864197530867</v>
      </c>
    </row>
    <row r="8" spans="1:13" ht="15">
      <c r="B8" s="4" t="s">
        <v>168</v>
      </c>
      <c r="C8" s="20">
        <v>10000</v>
      </c>
      <c r="D8" s="10">
        <v>29.8</v>
      </c>
      <c r="E8" s="960">
        <v>25.4</v>
      </c>
      <c r="F8" s="121">
        <f>100*C8/'24b'!C$31</f>
        <v>35.335689045936398</v>
      </c>
      <c r="H8" s="814">
        <v>100</v>
      </c>
      <c r="I8" s="814">
        <v>13.2</v>
      </c>
      <c r="J8" s="814">
        <v>32.700000000000003</v>
      </c>
      <c r="K8" s="814">
        <v>28.9</v>
      </c>
      <c r="L8" s="814">
        <v>15.6</v>
      </c>
      <c r="M8" s="814">
        <v>9.6</v>
      </c>
    </row>
    <row r="9" spans="1:13">
      <c r="B9" s="4" t="s">
        <v>169</v>
      </c>
      <c r="C9" s="20">
        <v>8800</v>
      </c>
      <c r="D9" s="10">
        <v>16.399999999999999</v>
      </c>
      <c r="E9" s="960">
        <v>22.4</v>
      </c>
      <c r="F9" s="121">
        <f>100*C9/'24b'!D$31</f>
        <v>22.110552763819097</v>
      </c>
    </row>
    <row r="10" spans="1:13">
      <c r="B10" s="4" t="s">
        <v>170</v>
      </c>
      <c r="C10" s="20">
        <v>7700</v>
      </c>
      <c r="D10" s="10">
        <v>9.4</v>
      </c>
      <c r="E10" s="960">
        <v>19.5</v>
      </c>
      <c r="F10" s="121">
        <f>100*C10/'24b'!E$31</f>
        <v>14.232902033271719</v>
      </c>
    </row>
    <row r="11" spans="1:13">
      <c r="B11" s="4" t="s">
        <v>171</v>
      </c>
      <c r="C11" s="20">
        <v>5200</v>
      </c>
      <c r="D11" s="10">
        <v>3.2</v>
      </c>
      <c r="E11" s="960">
        <v>13.2</v>
      </c>
      <c r="F11" s="121">
        <f>100*C11/'24b'!F$31</f>
        <v>5.3224155578300918</v>
      </c>
    </row>
    <row r="12" spans="1:13">
      <c r="B12" s="4"/>
      <c r="C12" s="20"/>
      <c r="D12" s="10"/>
      <c r="E12" s="21"/>
    </row>
    <row r="13" spans="1:13">
      <c r="A13" s="2" t="s">
        <v>816</v>
      </c>
      <c r="B13" s="4"/>
      <c r="C13" s="20">
        <v>9000</v>
      </c>
      <c r="D13" s="10">
        <v>10.4</v>
      </c>
      <c r="E13" s="960">
        <v>100</v>
      </c>
    </row>
    <row r="14" spans="1:13">
      <c r="B14" s="4" t="s">
        <v>167</v>
      </c>
      <c r="C14" s="20">
        <v>12800</v>
      </c>
      <c r="D14" s="10">
        <v>45.7</v>
      </c>
      <c r="E14" s="960">
        <v>28.4</v>
      </c>
    </row>
    <row r="15" spans="1:13">
      <c r="B15" s="4" t="s">
        <v>168</v>
      </c>
      <c r="C15" s="20">
        <v>11300</v>
      </c>
      <c r="D15" s="10">
        <v>22.7</v>
      </c>
      <c r="E15" s="960">
        <v>25.1</v>
      </c>
    </row>
    <row r="16" spans="1:13">
      <c r="B16" s="4" t="s">
        <v>169</v>
      </c>
      <c r="C16" s="20">
        <v>9200</v>
      </c>
      <c r="D16" s="10">
        <v>12.9</v>
      </c>
      <c r="E16" s="960">
        <v>20.399999999999999</v>
      </c>
    </row>
    <row r="17" spans="1:5">
      <c r="B17" s="4" t="s">
        <v>170</v>
      </c>
      <c r="C17" s="20">
        <v>6900</v>
      </c>
      <c r="D17" s="10">
        <v>6.9</v>
      </c>
      <c r="E17" s="960">
        <v>15.4</v>
      </c>
    </row>
    <row r="18" spans="1:5">
      <c r="B18" s="4" t="s">
        <v>171</v>
      </c>
      <c r="C18" s="20">
        <v>4900</v>
      </c>
      <c r="D18" s="10">
        <v>2.6</v>
      </c>
      <c r="E18" s="960">
        <v>10.8</v>
      </c>
    </row>
    <row r="19" spans="1:5">
      <c r="B19" s="4"/>
      <c r="C19" s="20"/>
      <c r="D19" s="10"/>
      <c r="E19" s="21"/>
    </row>
    <row r="20" spans="1:5">
      <c r="A20" s="2" t="s">
        <v>817</v>
      </c>
      <c r="B20" s="4"/>
      <c r="C20" s="20">
        <v>5700</v>
      </c>
      <c r="D20" s="10">
        <v>15.9</v>
      </c>
      <c r="E20" s="960">
        <v>100</v>
      </c>
    </row>
    <row r="21" spans="1:5">
      <c r="B21" s="4" t="s">
        <v>167</v>
      </c>
      <c r="C21" s="20">
        <v>4300</v>
      </c>
      <c r="D21" s="10">
        <v>53.3</v>
      </c>
      <c r="E21" s="960">
        <v>15</v>
      </c>
    </row>
    <row r="22" spans="1:5">
      <c r="B22" s="4" t="s">
        <v>168</v>
      </c>
      <c r="C22" s="20">
        <v>9600</v>
      </c>
      <c r="D22" s="10">
        <v>55.7</v>
      </c>
      <c r="E22" s="960">
        <v>33.700000000000003</v>
      </c>
    </row>
    <row r="23" spans="1:5">
      <c r="B23" s="4" t="s">
        <v>169</v>
      </c>
      <c r="C23" s="20">
        <v>7300</v>
      </c>
      <c r="D23" s="10">
        <v>27.6</v>
      </c>
      <c r="E23" s="960">
        <v>25.9</v>
      </c>
    </row>
    <row r="24" spans="1:5">
      <c r="B24" s="4" t="s">
        <v>170</v>
      </c>
      <c r="C24" s="20">
        <v>4700</v>
      </c>
      <c r="D24" s="10">
        <v>11.3</v>
      </c>
      <c r="E24" s="960">
        <v>16.5</v>
      </c>
    </row>
    <row r="25" spans="1:5">
      <c r="B25" s="4" t="s">
        <v>171</v>
      </c>
      <c r="C25" s="20">
        <v>2600</v>
      </c>
      <c r="D25" s="10">
        <v>3</v>
      </c>
      <c r="E25" s="960">
        <v>9</v>
      </c>
    </row>
    <row r="27" spans="1:5" ht="62.25" customHeight="1">
      <c r="A27" s="1170" t="s">
        <v>664</v>
      </c>
      <c r="B27" s="1170"/>
      <c r="C27" s="1170"/>
      <c r="D27" s="1170"/>
      <c r="E27" s="1170"/>
    </row>
    <row r="28" spans="1:5">
      <c r="A28" s="4" t="s">
        <v>1868</v>
      </c>
      <c r="B28" s="4"/>
      <c r="C28" s="9"/>
      <c r="D28" s="9"/>
      <c r="E28" s="9"/>
    </row>
    <row r="29" spans="1:5">
      <c r="A29" s="4" t="s">
        <v>388</v>
      </c>
    </row>
    <row r="37" spans="3:6">
      <c r="C37" s="961"/>
      <c r="D37" s="961"/>
      <c r="E37" s="961"/>
      <c r="F37" s="961"/>
    </row>
    <row r="38" spans="3:6">
      <c r="C38" s="961"/>
      <c r="D38" s="961"/>
      <c r="E38" s="961"/>
      <c r="F38" s="961"/>
    </row>
    <row r="39" spans="3:6">
      <c r="C39" s="961"/>
      <c r="D39" s="961"/>
      <c r="E39" s="961"/>
      <c r="F39" s="961"/>
    </row>
    <row r="40" spans="3:6">
      <c r="C40" s="961"/>
      <c r="D40" s="961"/>
      <c r="E40" s="961"/>
      <c r="F40" s="961"/>
    </row>
    <row r="41" spans="3:6">
      <c r="C41" s="961"/>
      <c r="D41" s="961"/>
      <c r="E41" s="961"/>
      <c r="F41" s="961"/>
    </row>
    <row r="42" spans="3:6">
      <c r="C42" s="961"/>
      <c r="D42" s="961"/>
      <c r="E42" s="961"/>
      <c r="F42" s="961"/>
    </row>
    <row r="43" spans="3:6">
      <c r="C43" s="961"/>
      <c r="D43" s="961"/>
      <c r="E43" s="961"/>
      <c r="F43" s="961"/>
    </row>
    <row r="44" spans="3:6">
      <c r="C44" s="961"/>
      <c r="D44" s="961"/>
      <c r="E44" s="961"/>
      <c r="F44" s="961"/>
    </row>
  </sheetData>
  <mergeCells count="4">
    <mergeCell ref="A27:E27"/>
    <mergeCell ref="C3:C4"/>
    <mergeCell ref="D3:D4"/>
    <mergeCell ref="E3:E4"/>
  </mergeCells>
  <phoneticPr fontId="35" type="noConversion"/>
  <pageMargins left="0.75" right="0.75" top="1" bottom="1" header="0.5" footer="0.5"/>
  <pageSetup orientation="landscape" horizontalDpi="300" verticalDpi="300" r:id="rId1"/>
  <headerFooter alignWithMargins="0"/>
</worksheet>
</file>

<file path=xl/worksheets/sheet33.xml><?xml version="1.0" encoding="utf-8"?>
<worksheet xmlns="http://schemas.openxmlformats.org/spreadsheetml/2006/main" xmlns:r="http://schemas.openxmlformats.org/officeDocument/2006/relationships">
  <sheetPr codeName="Sheet67">
    <pageSetUpPr fitToPage="1"/>
  </sheetPr>
  <dimension ref="A1:N76"/>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2" ht="15.75">
      <c r="A1" s="3" t="s">
        <v>2118</v>
      </c>
    </row>
    <row r="2" spans="1:12">
      <c r="A2" s="4"/>
      <c r="B2" s="4"/>
    </row>
    <row r="3" spans="1:12">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7"/>
      <c r="C4" s="1165"/>
      <c r="D4" s="1165"/>
      <c r="E4" s="1165"/>
      <c r="F4" s="1165"/>
      <c r="G4" s="1165"/>
      <c r="H4" s="1165"/>
      <c r="I4" s="1165"/>
      <c r="J4" s="1165"/>
      <c r="K4" s="1165"/>
      <c r="L4" s="1165"/>
    </row>
    <row r="5" spans="1:12" ht="12.75" customHeight="1">
      <c r="A5" s="120">
        <v>1981</v>
      </c>
      <c r="B5" s="19">
        <v>9000</v>
      </c>
      <c r="C5" s="19">
        <v>7400</v>
      </c>
      <c r="D5" s="19">
        <v>5000</v>
      </c>
      <c r="E5" s="19">
        <v>6300</v>
      </c>
      <c r="F5" s="19">
        <v>6100</v>
      </c>
      <c r="G5" s="19">
        <v>8600</v>
      </c>
      <c r="H5" s="19">
        <v>9400</v>
      </c>
      <c r="I5" s="19">
        <v>7500</v>
      </c>
      <c r="J5" s="19">
        <v>8500</v>
      </c>
      <c r="K5" s="19">
        <v>10700</v>
      </c>
      <c r="L5" s="19">
        <v>9700</v>
      </c>
    </row>
    <row r="6" spans="1:12" ht="12.75" customHeight="1">
      <c r="A6" s="120">
        <v>1982</v>
      </c>
      <c r="B6" s="19">
        <v>8900</v>
      </c>
      <c r="C6" s="19">
        <v>6800</v>
      </c>
      <c r="D6" s="19">
        <v>5200</v>
      </c>
      <c r="E6" s="19">
        <v>6300</v>
      </c>
      <c r="F6" s="19">
        <v>6200</v>
      </c>
      <c r="G6" s="19">
        <v>8800</v>
      </c>
      <c r="H6" s="19">
        <v>9200</v>
      </c>
      <c r="I6" s="19">
        <v>7400</v>
      </c>
      <c r="J6" s="19">
        <v>7900</v>
      </c>
      <c r="K6" s="19">
        <v>10800</v>
      </c>
      <c r="L6" s="19">
        <v>9300</v>
      </c>
    </row>
    <row r="7" spans="1:12" ht="12.75" customHeight="1">
      <c r="A7" s="120">
        <v>1983</v>
      </c>
      <c r="B7" s="19">
        <v>8900</v>
      </c>
      <c r="C7" s="19">
        <v>6100</v>
      </c>
      <c r="D7" s="19">
        <v>5700</v>
      </c>
      <c r="E7" s="19">
        <v>6300</v>
      </c>
      <c r="F7" s="19">
        <v>6200</v>
      </c>
      <c r="G7" s="19">
        <v>8800</v>
      </c>
      <c r="H7" s="19">
        <v>9600</v>
      </c>
      <c r="I7" s="19">
        <v>7800</v>
      </c>
      <c r="J7" s="19">
        <v>7300</v>
      </c>
      <c r="K7" s="19">
        <v>9700</v>
      </c>
      <c r="L7" s="19">
        <v>9100</v>
      </c>
    </row>
    <row r="8" spans="1:12" ht="12.75" customHeight="1">
      <c r="A8" s="120">
        <v>1984</v>
      </c>
      <c r="B8" s="19">
        <v>8900</v>
      </c>
      <c r="C8" s="19">
        <v>6100</v>
      </c>
      <c r="D8" s="19">
        <v>5500</v>
      </c>
      <c r="E8" s="19">
        <v>6700</v>
      </c>
      <c r="F8" s="19">
        <v>6700</v>
      </c>
      <c r="G8" s="19">
        <v>9000</v>
      </c>
      <c r="H8" s="19">
        <v>9800</v>
      </c>
      <c r="I8" s="19">
        <v>7500</v>
      </c>
      <c r="J8" s="19">
        <v>7100</v>
      </c>
      <c r="K8" s="19">
        <v>9200</v>
      </c>
      <c r="L8" s="19">
        <v>8300</v>
      </c>
    </row>
    <row r="9" spans="1:12" ht="12.75" customHeight="1">
      <c r="A9" s="120">
        <v>1985</v>
      </c>
      <c r="B9" s="19">
        <v>9300</v>
      </c>
      <c r="C9" s="19">
        <v>6500</v>
      </c>
      <c r="D9" s="19">
        <v>5600</v>
      </c>
      <c r="E9" s="19">
        <v>7800</v>
      </c>
      <c r="F9" s="19">
        <v>6700</v>
      </c>
      <c r="G9" s="19">
        <v>9000</v>
      </c>
      <c r="H9" s="19">
        <v>10700</v>
      </c>
      <c r="I9" s="19">
        <v>7500</v>
      </c>
      <c r="J9" s="19">
        <v>7500</v>
      </c>
      <c r="K9" s="19">
        <v>9800</v>
      </c>
      <c r="L9" s="19">
        <v>8600</v>
      </c>
    </row>
    <row r="10" spans="1:12" ht="12.75" customHeight="1">
      <c r="A10" s="120">
        <v>1986</v>
      </c>
      <c r="B10" s="19">
        <v>10100</v>
      </c>
      <c r="C10" s="19">
        <v>6500</v>
      </c>
      <c r="D10" s="19">
        <v>6400</v>
      </c>
      <c r="E10" s="19">
        <v>8100</v>
      </c>
      <c r="F10" s="19">
        <v>7100</v>
      </c>
      <c r="G10" s="19">
        <v>9500</v>
      </c>
      <c r="H10" s="19">
        <v>11700</v>
      </c>
      <c r="I10" s="19">
        <v>8400</v>
      </c>
      <c r="J10" s="19">
        <v>8200</v>
      </c>
      <c r="K10" s="19">
        <v>9900</v>
      </c>
      <c r="L10" s="19">
        <v>9500</v>
      </c>
    </row>
    <row r="11" spans="1:12" ht="12.75" customHeight="1">
      <c r="A11" s="120">
        <v>1987</v>
      </c>
      <c r="B11" s="19">
        <v>10800</v>
      </c>
      <c r="C11" s="19">
        <v>7400</v>
      </c>
      <c r="D11" s="19">
        <v>7100</v>
      </c>
      <c r="E11" s="19">
        <v>8900</v>
      </c>
      <c r="F11" s="19">
        <v>7500</v>
      </c>
      <c r="G11" s="19">
        <v>10300</v>
      </c>
      <c r="H11" s="19">
        <v>12400</v>
      </c>
      <c r="I11" s="19">
        <v>8900</v>
      </c>
      <c r="J11" s="19">
        <v>8500</v>
      </c>
      <c r="K11" s="19">
        <v>10900</v>
      </c>
      <c r="L11" s="19">
        <v>10200</v>
      </c>
    </row>
    <row r="12" spans="1:12" ht="12.75" customHeight="1">
      <c r="A12" s="120">
        <v>1988</v>
      </c>
      <c r="B12" s="19">
        <v>11000</v>
      </c>
      <c r="C12" s="19">
        <v>7200</v>
      </c>
      <c r="D12" s="19">
        <v>6400</v>
      </c>
      <c r="E12" s="19">
        <v>8600</v>
      </c>
      <c r="F12" s="19">
        <v>7800</v>
      </c>
      <c r="G12" s="19">
        <v>10000</v>
      </c>
      <c r="H12" s="19">
        <v>12900</v>
      </c>
      <c r="I12" s="19">
        <v>9400</v>
      </c>
      <c r="J12" s="19">
        <v>8800</v>
      </c>
      <c r="K12" s="19">
        <v>10700</v>
      </c>
      <c r="L12" s="19">
        <v>10500</v>
      </c>
    </row>
    <row r="13" spans="1:12" ht="12.75" customHeight="1">
      <c r="A13" s="120">
        <v>1989</v>
      </c>
      <c r="B13" s="19">
        <v>11700</v>
      </c>
      <c r="C13" s="19">
        <v>8300</v>
      </c>
      <c r="D13" s="19">
        <v>7500</v>
      </c>
      <c r="E13" s="19">
        <v>8900</v>
      </c>
      <c r="F13" s="19">
        <v>8400</v>
      </c>
      <c r="G13" s="19">
        <v>10600</v>
      </c>
      <c r="H13" s="19">
        <v>13800</v>
      </c>
      <c r="I13" s="19">
        <v>10200</v>
      </c>
      <c r="J13" s="19">
        <v>9100</v>
      </c>
      <c r="K13" s="19">
        <v>11100</v>
      </c>
      <c r="L13" s="19">
        <v>11200</v>
      </c>
    </row>
    <row r="14" spans="1:12" ht="12.75" customHeight="1">
      <c r="A14" s="120">
        <v>1990</v>
      </c>
      <c r="B14" s="19">
        <v>11600</v>
      </c>
      <c r="C14" s="19">
        <v>8200</v>
      </c>
      <c r="D14" s="19">
        <v>7500</v>
      </c>
      <c r="E14" s="19">
        <v>9200</v>
      </c>
      <c r="F14" s="19">
        <v>8400</v>
      </c>
      <c r="G14" s="19">
        <v>10500</v>
      </c>
      <c r="H14" s="19">
        <v>13700</v>
      </c>
      <c r="I14" s="19">
        <v>9600</v>
      </c>
      <c r="J14" s="19">
        <v>9200</v>
      </c>
      <c r="K14" s="19">
        <v>11500</v>
      </c>
      <c r="L14" s="19">
        <v>11300</v>
      </c>
    </row>
    <row r="15" spans="1:12" ht="12.75" customHeight="1">
      <c r="A15" s="120">
        <v>1991</v>
      </c>
      <c r="B15" s="19">
        <v>11100</v>
      </c>
      <c r="C15" s="19">
        <v>8100</v>
      </c>
      <c r="D15" s="19">
        <v>7500</v>
      </c>
      <c r="E15" s="19">
        <v>8800</v>
      </c>
      <c r="F15" s="19">
        <v>8200</v>
      </c>
      <c r="G15" s="19">
        <v>10300</v>
      </c>
      <c r="H15" s="19">
        <v>12800</v>
      </c>
      <c r="I15" s="19">
        <v>9000</v>
      </c>
      <c r="J15" s="19">
        <v>8900</v>
      </c>
      <c r="K15" s="19">
        <v>11800</v>
      </c>
      <c r="L15" s="19">
        <v>10600</v>
      </c>
    </row>
    <row r="16" spans="1:12" ht="12.75" customHeight="1">
      <c r="A16" s="120">
        <v>1992</v>
      </c>
      <c r="B16" s="19">
        <v>10800</v>
      </c>
      <c r="C16" s="19">
        <v>7600</v>
      </c>
      <c r="D16" s="19">
        <v>7500</v>
      </c>
      <c r="E16" s="19">
        <v>8800</v>
      </c>
      <c r="F16" s="19">
        <v>7900</v>
      </c>
      <c r="G16" s="19">
        <v>9500</v>
      </c>
      <c r="H16" s="19">
        <v>12600</v>
      </c>
      <c r="I16" s="19">
        <v>9000</v>
      </c>
      <c r="J16" s="19">
        <v>8100</v>
      </c>
      <c r="K16" s="19">
        <v>10400</v>
      </c>
      <c r="L16" s="19">
        <v>11200</v>
      </c>
    </row>
    <row r="17" spans="1:12" ht="12.75" customHeight="1">
      <c r="A17" s="120">
        <v>1993</v>
      </c>
      <c r="B17" s="19">
        <v>10400</v>
      </c>
      <c r="C17" s="19">
        <v>7200</v>
      </c>
      <c r="D17" s="19">
        <v>6800</v>
      </c>
      <c r="E17" s="19">
        <v>8100</v>
      </c>
      <c r="F17" s="19">
        <v>7700</v>
      </c>
      <c r="G17" s="19">
        <v>9600</v>
      </c>
      <c r="H17" s="19">
        <v>12000</v>
      </c>
      <c r="I17" s="19">
        <v>8200</v>
      </c>
      <c r="J17" s="19">
        <v>8400</v>
      </c>
      <c r="K17" s="19">
        <v>10000</v>
      </c>
      <c r="L17" s="19">
        <v>10000</v>
      </c>
    </row>
    <row r="18" spans="1:12" ht="12.75" customHeight="1">
      <c r="A18" s="120">
        <v>1994</v>
      </c>
      <c r="B18" s="19">
        <v>10700</v>
      </c>
      <c r="C18" s="19">
        <v>7700</v>
      </c>
      <c r="D18" s="19">
        <v>7100</v>
      </c>
      <c r="E18" s="19">
        <v>7900</v>
      </c>
      <c r="F18" s="19">
        <v>7900</v>
      </c>
      <c r="G18" s="19">
        <v>10100</v>
      </c>
      <c r="H18" s="19">
        <v>12300</v>
      </c>
      <c r="I18" s="19">
        <v>9000</v>
      </c>
      <c r="J18" s="19">
        <v>8700</v>
      </c>
      <c r="K18" s="19">
        <v>10400</v>
      </c>
      <c r="L18" s="19">
        <v>10300</v>
      </c>
    </row>
    <row r="19" spans="1:12" ht="12.75" customHeight="1">
      <c r="A19" s="120">
        <v>1995</v>
      </c>
      <c r="B19" s="19">
        <v>10900</v>
      </c>
      <c r="C19" s="19">
        <v>7600</v>
      </c>
      <c r="D19" s="19">
        <v>7100</v>
      </c>
      <c r="E19" s="19">
        <v>7700</v>
      </c>
      <c r="F19" s="19">
        <v>8000</v>
      </c>
      <c r="G19" s="19">
        <v>10100</v>
      </c>
      <c r="H19" s="19">
        <v>12700</v>
      </c>
      <c r="I19" s="19">
        <v>8900</v>
      </c>
      <c r="J19" s="19">
        <v>10100</v>
      </c>
      <c r="K19" s="19">
        <v>10400</v>
      </c>
      <c r="L19" s="19">
        <v>10300</v>
      </c>
    </row>
    <row r="20" spans="1:12" ht="12.75" customHeight="1">
      <c r="A20" s="120">
        <v>1996</v>
      </c>
      <c r="B20" s="19">
        <v>11100</v>
      </c>
      <c r="C20" s="19">
        <v>7300</v>
      </c>
      <c r="D20" s="19">
        <v>7300</v>
      </c>
      <c r="E20" s="19">
        <v>7600</v>
      </c>
      <c r="F20" s="19">
        <v>8100</v>
      </c>
      <c r="G20" s="19">
        <v>10400</v>
      </c>
      <c r="H20" s="19">
        <v>12900</v>
      </c>
      <c r="I20" s="19">
        <v>9100</v>
      </c>
      <c r="J20" s="19">
        <v>9400</v>
      </c>
      <c r="K20" s="19">
        <v>10700</v>
      </c>
      <c r="L20" s="19">
        <v>10800</v>
      </c>
    </row>
    <row r="21" spans="1:12" ht="12.75" customHeight="1">
      <c r="A21" s="120">
        <v>1997</v>
      </c>
      <c r="B21" s="19">
        <v>11200</v>
      </c>
      <c r="C21" s="19">
        <v>7100</v>
      </c>
      <c r="D21" s="19">
        <v>7100</v>
      </c>
      <c r="E21" s="19">
        <v>7900</v>
      </c>
      <c r="F21" s="19">
        <v>7900</v>
      </c>
      <c r="G21" s="19">
        <v>10300</v>
      </c>
      <c r="H21" s="19">
        <v>12600</v>
      </c>
      <c r="I21" s="19">
        <v>9400</v>
      </c>
      <c r="J21" s="19">
        <v>9700</v>
      </c>
      <c r="K21" s="19">
        <v>12500</v>
      </c>
      <c r="L21" s="19">
        <v>10800</v>
      </c>
    </row>
    <row r="22" spans="1:12" ht="12.75" customHeight="1">
      <c r="A22" s="120">
        <v>1998</v>
      </c>
      <c r="B22" s="19">
        <v>11800</v>
      </c>
      <c r="C22" s="19">
        <v>8000</v>
      </c>
      <c r="D22" s="19">
        <v>7900</v>
      </c>
      <c r="E22" s="19">
        <v>8600</v>
      </c>
      <c r="F22" s="19">
        <v>8600</v>
      </c>
      <c r="G22" s="19">
        <v>11400</v>
      </c>
      <c r="H22" s="19">
        <v>13200</v>
      </c>
      <c r="I22" s="19">
        <v>10100</v>
      </c>
      <c r="J22" s="19">
        <v>9600</v>
      </c>
      <c r="K22" s="19">
        <v>12800</v>
      </c>
      <c r="L22" s="19">
        <v>10600</v>
      </c>
    </row>
    <row r="23" spans="1:12" ht="12.75" customHeight="1">
      <c r="A23" s="120">
        <v>1999</v>
      </c>
      <c r="B23" s="19">
        <v>11800</v>
      </c>
      <c r="C23" s="19">
        <v>8300</v>
      </c>
      <c r="D23" s="19">
        <v>7500</v>
      </c>
      <c r="E23" s="19">
        <v>9200</v>
      </c>
      <c r="F23" s="19">
        <v>8700</v>
      </c>
      <c r="G23" s="19">
        <v>11200</v>
      </c>
      <c r="H23" s="19">
        <v>13500</v>
      </c>
      <c r="I23" s="19">
        <v>9700</v>
      </c>
      <c r="J23" s="19">
        <v>9500</v>
      </c>
      <c r="K23" s="19">
        <v>12000</v>
      </c>
      <c r="L23" s="19">
        <v>11100</v>
      </c>
    </row>
    <row r="24" spans="1:12" ht="12.75" customHeight="1">
      <c r="A24" s="120">
        <v>2000</v>
      </c>
      <c r="B24" s="19">
        <v>12300</v>
      </c>
      <c r="C24" s="19">
        <v>8400</v>
      </c>
      <c r="D24" s="19">
        <v>8100</v>
      </c>
      <c r="E24" s="19">
        <v>9100</v>
      </c>
      <c r="F24" s="19">
        <v>8800</v>
      </c>
      <c r="G24" s="19">
        <v>11600</v>
      </c>
      <c r="H24" s="19">
        <v>14400</v>
      </c>
      <c r="I24" s="19">
        <v>9900</v>
      </c>
      <c r="J24" s="19">
        <v>9400</v>
      </c>
      <c r="K24" s="19">
        <v>12300</v>
      </c>
      <c r="L24" s="19">
        <v>11700</v>
      </c>
    </row>
    <row r="25" spans="1:12" ht="12.75" customHeight="1">
      <c r="A25" s="120">
        <v>2001</v>
      </c>
      <c r="B25" s="19">
        <v>11300</v>
      </c>
      <c r="C25" s="19">
        <v>7600</v>
      </c>
      <c r="D25" s="19">
        <v>7400</v>
      </c>
      <c r="E25" s="19">
        <v>9100</v>
      </c>
      <c r="F25" s="19">
        <v>8700</v>
      </c>
      <c r="G25" s="19">
        <v>10700</v>
      </c>
      <c r="H25" s="19">
        <v>13100</v>
      </c>
      <c r="I25" s="19">
        <v>9300</v>
      </c>
      <c r="J25" s="19">
        <v>9200</v>
      </c>
      <c r="K25" s="19">
        <v>11500</v>
      </c>
      <c r="L25" s="19">
        <v>9800</v>
      </c>
    </row>
    <row r="26" spans="1:12" ht="12.75" customHeight="1">
      <c r="A26" s="120">
        <v>2002</v>
      </c>
      <c r="B26" s="19">
        <v>11200</v>
      </c>
      <c r="C26" s="19">
        <v>7800</v>
      </c>
      <c r="D26" s="19">
        <v>7100</v>
      </c>
      <c r="E26" s="19">
        <v>9600</v>
      </c>
      <c r="F26" s="19">
        <v>8200</v>
      </c>
      <c r="G26" s="19">
        <v>10600</v>
      </c>
      <c r="H26" s="19">
        <v>13000</v>
      </c>
      <c r="I26" s="19">
        <v>8400</v>
      </c>
      <c r="J26" s="19">
        <v>9100</v>
      </c>
      <c r="K26" s="19">
        <v>11300</v>
      </c>
      <c r="L26" s="19">
        <v>9700</v>
      </c>
    </row>
    <row r="27" spans="1:12" ht="12.75" customHeight="1">
      <c r="A27" s="120">
        <v>2003</v>
      </c>
      <c r="B27" s="19">
        <v>11200</v>
      </c>
      <c r="C27" s="19">
        <v>7900</v>
      </c>
      <c r="D27" s="19">
        <v>7900</v>
      </c>
      <c r="E27" s="19">
        <v>9100</v>
      </c>
      <c r="F27" s="19">
        <v>8400</v>
      </c>
      <c r="G27" s="19">
        <v>10600</v>
      </c>
      <c r="H27" s="19">
        <v>12900</v>
      </c>
      <c r="I27" s="19">
        <v>9800</v>
      </c>
      <c r="J27" s="19">
        <v>9100</v>
      </c>
      <c r="K27" s="19">
        <v>11700</v>
      </c>
      <c r="L27" s="19">
        <v>9500</v>
      </c>
    </row>
    <row r="28" spans="1:12" ht="12.75" customHeight="1">
      <c r="A28" s="120">
        <v>2004</v>
      </c>
      <c r="B28" s="19">
        <v>11400</v>
      </c>
      <c r="C28" s="19">
        <v>8100</v>
      </c>
      <c r="D28" s="19">
        <v>8100</v>
      </c>
      <c r="E28" s="19">
        <v>9100</v>
      </c>
      <c r="F28" s="19">
        <v>8400</v>
      </c>
      <c r="G28" s="19">
        <v>10700</v>
      </c>
      <c r="H28" s="19">
        <v>13100</v>
      </c>
      <c r="I28" s="19">
        <v>9800</v>
      </c>
      <c r="J28" s="19">
        <v>8800</v>
      </c>
      <c r="K28" s="19">
        <v>12000</v>
      </c>
      <c r="L28" s="19">
        <v>10000</v>
      </c>
    </row>
    <row r="29" spans="1:12" ht="12.75" customHeight="1">
      <c r="A29" s="120">
        <v>2005</v>
      </c>
      <c r="B29" s="19">
        <v>11200</v>
      </c>
      <c r="C29" s="19">
        <v>8600</v>
      </c>
      <c r="D29" s="19">
        <v>7900</v>
      </c>
      <c r="E29" s="19">
        <v>9100</v>
      </c>
      <c r="F29" s="19">
        <v>7900</v>
      </c>
      <c r="G29" s="19">
        <v>10100</v>
      </c>
      <c r="H29" s="19">
        <v>13000</v>
      </c>
      <c r="I29" s="19">
        <v>9900</v>
      </c>
      <c r="J29" s="19">
        <v>9300</v>
      </c>
      <c r="K29" s="19">
        <v>12300</v>
      </c>
      <c r="L29" s="19">
        <v>9900</v>
      </c>
    </row>
    <row r="30" spans="1:12" ht="12.75" customHeight="1">
      <c r="A30" s="120">
        <v>2006</v>
      </c>
      <c r="B30" s="19">
        <v>11500</v>
      </c>
      <c r="C30" s="19">
        <v>9100</v>
      </c>
      <c r="D30" s="19">
        <v>8500</v>
      </c>
      <c r="E30" s="19">
        <v>9500</v>
      </c>
      <c r="F30" s="19">
        <v>8200</v>
      </c>
      <c r="G30" s="19">
        <v>10200</v>
      </c>
      <c r="H30" s="19">
        <v>12800</v>
      </c>
      <c r="I30" s="19">
        <v>10200</v>
      </c>
      <c r="J30" s="19">
        <v>10100</v>
      </c>
      <c r="K30" s="19">
        <v>13600</v>
      </c>
      <c r="L30" s="19">
        <v>10300</v>
      </c>
    </row>
    <row r="31" spans="1:12" s="961" customFormat="1" ht="12.75" customHeight="1">
      <c r="A31" s="120">
        <v>2007</v>
      </c>
      <c r="B31" s="19">
        <v>11500</v>
      </c>
      <c r="C31" s="19">
        <v>9200</v>
      </c>
      <c r="D31" s="19">
        <v>8100</v>
      </c>
      <c r="E31" s="19">
        <v>9500</v>
      </c>
      <c r="F31" s="19">
        <v>8400</v>
      </c>
      <c r="G31" s="19">
        <v>10000</v>
      </c>
      <c r="H31" s="19">
        <v>12900</v>
      </c>
      <c r="I31" s="19">
        <v>10700</v>
      </c>
      <c r="J31" s="19">
        <v>10700</v>
      </c>
      <c r="K31" s="19">
        <v>14300</v>
      </c>
      <c r="L31" s="19">
        <v>9800</v>
      </c>
    </row>
    <row r="32" spans="1:12" s="114" customFormat="1" ht="12.75" customHeight="1">
      <c r="A32" s="738"/>
      <c r="B32" s="959"/>
      <c r="C32" s="959"/>
      <c r="D32" s="959" t="s">
        <v>802</v>
      </c>
      <c r="E32" s="959"/>
      <c r="F32" s="959"/>
      <c r="H32" s="959"/>
      <c r="I32" s="959"/>
      <c r="J32" s="959"/>
      <c r="K32" s="959"/>
      <c r="L32" s="959"/>
    </row>
    <row r="33" spans="1:14" s="114" customFormat="1" ht="12.75" customHeight="1">
      <c r="A33" s="431" t="s">
        <v>603</v>
      </c>
      <c r="B33" s="959">
        <f>((((B13/B5))^(1/8))-1)*100</f>
        <v>3.3339233926807266</v>
      </c>
      <c r="C33" s="959">
        <f t="shared" ref="C33:L33" si="0">((((C13/C5))^(1/8))-1)*100</f>
        <v>1.4450350611360019</v>
      </c>
      <c r="D33" s="959">
        <f t="shared" si="0"/>
        <v>5.1989505508644118</v>
      </c>
      <c r="E33" s="959">
        <f t="shared" si="0"/>
        <v>4.4133866040940495</v>
      </c>
      <c r="F33" s="959">
        <f t="shared" si="0"/>
        <v>4.0803349942580613</v>
      </c>
      <c r="G33" s="959">
        <f t="shared" si="0"/>
        <v>2.648102763806981</v>
      </c>
      <c r="H33" s="959">
        <f t="shared" si="0"/>
        <v>4.9165265602718389</v>
      </c>
      <c r="I33" s="959">
        <f t="shared" si="0"/>
        <v>3.9183789743568065</v>
      </c>
      <c r="J33" s="959">
        <f t="shared" si="0"/>
        <v>0.85624813757667617</v>
      </c>
      <c r="K33" s="959">
        <f t="shared" si="0"/>
        <v>0.45982103292938614</v>
      </c>
      <c r="L33" s="959">
        <f t="shared" si="0"/>
        <v>1.8135981784341615</v>
      </c>
    </row>
    <row r="34" spans="1:14" s="114" customFormat="1">
      <c r="A34" s="431" t="s">
        <v>604</v>
      </c>
      <c r="B34" s="959">
        <f>((((B24/B13))^(1/11))-1)*100</f>
        <v>0.45567524354055422</v>
      </c>
      <c r="C34" s="959">
        <f t="shared" ref="C34:L34" si="1">((((C24/C13))^(1/11))-1)*100</f>
        <v>0.10893375382086123</v>
      </c>
      <c r="D34" s="959">
        <f t="shared" si="1"/>
        <v>0.70209906792879639</v>
      </c>
      <c r="E34" s="959">
        <f t="shared" si="1"/>
        <v>0.20223273133257447</v>
      </c>
      <c r="F34" s="959">
        <f t="shared" si="1"/>
        <v>0.42380475611301094</v>
      </c>
      <c r="G34" s="959">
        <f t="shared" si="1"/>
        <v>0.8229229760689849</v>
      </c>
      <c r="H34" s="959">
        <f t="shared" si="1"/>
        <v>0.38765503152398129</v>
      </c>
      <c r="I34" s="959">
        <f t="shared" si="1"/>
        <v>-0.27102264278837662</v>
      </c>
      <c r="J34" s="959">
        <f t="shared" si="1"/>
        <v>0.29530130102846108</v>
      </c>
      <c r="K34" s="959">
        <f t="shared" si="1"/>
        <v>0.93758765363411989</v>
      </c>
      <c r="L34" s="959">
        <f t="shared" si="1"/>
        <v>0.39783530384471799</v>
      </c>
    </row>
    <row r="35" spans="1:14" s="114" customFormat="1">
      <c r="A35" s="431" t="s">
        <v>819</v>
      </c>
      <c r="B35" s="23">
        <f t="shared" ref="B35:L35" si="2">((((B30/B5))^(1/25))-1)*100</f>
        <v>0.98531238233787732</v>
      </c>
      <c r="C35" s="23">
        <f t="shared" si="2"/>
        <v>0.83060822003773183</v>
      </c>
      <c r="D35" s="23">
        <f t="shared" si="2"/>
        <v>2.1451985282916697</v>
      </c>
      <c r="E35" s="23">
        <f t="shared" si="2"/>
        <v>1.6565396112236508</v>
      </c>
      <c r="F35" s="23">
        <f t="shared" si="2"/>
        <v>1.190411193489882</v>
      </c>
      <c r="G35" s="23">
        <f t="shared" si="2"/>
        <v>0.684836421135393</v>
      </c>
      <c r="H35" s="23">
        <f t="shared" si="2"/>
        <v>1.2425988213461192</v>
      </c>
      <c r="I35" s="23">
        <f t="shared" si="2"/>
        <v>1.2375336516443403</v>
      </c>
      <c r="J35" s="23">
        <f t="shared" si="2"/>
        <v>0.69226217473947749</v>
      </c>
      <c r="K35" s="23">
        <f t="shared" si="2"/>
        <v>0.96392027680192172</v>
      </c>
      <c r="L35" s="23">
        <f t="shared" si="2"/>
        <v>0.24036044257034206</v>
      </c>
    </row>
    <row r="36" spans="1:14" s="961" customFormat="1">
      <c r="A36" s="431" t="s">
        <v>447</v>
      </c>
      <c r="B36" s="23">
        <f>((((B31/B5))^(1/26))-1)*100</f>
        <v>0.94723684215620718</v>
      </c>
      <c r="C36" s="23">
        <f t="shared" ref="C36:L36" si="3">((((C31/C5))^(1/26))-1)*100</f>
        <v>0.84091399937300526</v>
      </c>
      <c r="D36" s="23">
        <f t="shared" si="3"/>
        <v>1.872806280079109</v>
      </c>
      <c r="E36" s="23">
        <f t="shared" si="3"/>
        <v>1.5923220152830542</v>
      </c>
      <c r="F36" s="23">
        <f t="shared" si="3"/>
        <v>1.2381521639812876</v>
      </c>
      <c r="G36" s="23">
        <f t="shared" si="3"/>
        <v>0.58177380616784014</v>
      </c>
      <c r="H36" s="23">
        <f t="shared" si="3"/>
        <v>1.2248156457258519</v>
      </c>
      <c r="I36" s="23">
        <f t="shared" si="3"/>
        <v>1.3760770499473107</v>
      </c>
      <c r="J36" s="23">
        <f t="shared" si="3"/>
        <v>0.88922873279118075</v>
      </c>
      <c r="K36" s="23">
        <f t="shared" si="3"/>
        <v>1.1216896559116618</v>
      </c>
      <c r="L36" s="23">
        <f t="shared" si="3"/>
        <v>3.9455859343440203E-2</v>
      </c>
    </row>
    <row r="37" spans="1:14" s="114" customFormat="1">
      <c r="A37" s="431" t="s">
        <v>818</v>
      </c>
      <c r="B37" s="959">
        <f t="shared" ref="B37:L37" si="4">((((B30/B24))^(1/6))-1)*100</f>
        <v>-1.1146121018062005</v>
      </c>
      <c r="C37" s="959">
        <f t="shared" si="4"/>
        <v>1.3429832117073381</v>
      </c>
      <c r="D37" s="959">
        <f t="shared" si="4"/>
        <v>0.80660402622900751</v>
      </c>
      <c r="E37" s="959">
        <f t="shared" si="4"/>
        <v>0.71953270385698431</v>
      </c>
      <c r="F37" s="959">
        <f t="shared" si="4"/>
        <v>-1.1700603787528352</v>
      </c>
      <c r="G37" s="959">
        <f t="shared" si="4"/>
        <v>-2.1208106606688704</v>
      </c>
      <c r="H37" s="959">
        <f t="shared" si="4"/>
        <v>-1.9439082189040002</v>
      </c>
      <c r="I37" s="959">
        <f t="shared" si="4"/>
        <v>0.49878921819128674</v>
      </c>
      <c r="J37" s="959">
        <f t="shared" si="4"/>
        <v>1.204289442439288</v>
      </c>
      <c r="K37" s="959">
        <f t="shared" si="4"/>
        <v>1.6886073221735964</v>
      </c>
      <c r="L37" s="959">
        <f t="shared" si="4"/>
        <v>-2.1016826884278639</v>
      </c>
    </row>
    <row r="38" spans="1:14" s="961" customFormat="1">
      <c r="A38" s="431" t="s">
        <v>449</v>
      </c>
      <c r="B38" s="959">
        <f>((((B31/B24))^(1/7))-1)*100</f>
        <v>-0.95614567936191941</v>
      </c>
      <c r="C38" s="959">
        <f t="shared" ref="C38:L38" si="5">((((C31/C24))^(1/7))-1)*100</f>
        <v>1.3080782929084434</v>
      </c>
      <c r="D38" s="959">
        <f t="shared" si="5"/>
        <v>0</v>
      </c>
      <c r="E38" s="959">
        <f t="shared" si="5"/>
        <v>0.6164262072077431</v>
      </c>
      <c r="F38" s="959">
        <f t="shared" si="5"/>
        <v>-0.66236825826949675</v>
      </c>
      <c r="G38" s="959">
        <f t="shared" si="5"/>
        <v>-2.0979657561199017</v>
      </c>
      <c r="H38" s="959">
        <f t="shared" si="5"/>
        <v>-1.5591586431921711</v>
      </c>
      <c r="I38" s="959">
        <f t="shared" si="5"/>
        <v>1.1163131374537949</v>
      </c>
      <c r="J38" s="959">
        <f t="shared" si="5"/>
        <v>1.8677140613161836</v>
      </c>
      <c r="K38" s="959">
        <f t="shared" si="5"/>
        <v>2.1756184620634444</v>
      </c>
      <c r="L38" s="959">
        <f t="shared" si="5"/>
        <v>-2.4997465029736876</v>
      </c>
    </row>
    <row r="39" spans="1:14" s="114" customFormat="1">
      <c r="A39" s="431"/>
      <c r="D39" s="959" t="s">
        <v>276</v>
      </c>
    </row>
    <row r="40" spans="1:14" s="114" customFormat="1">
      <c r="A40" s="431" t="s">
        <v>819</v>
      </c>
      <c r="B40" s="10">
        <f t="shared" ref="B40:L40" si="6">(B30/B5-1)*100</f>
        <v>27.777777777777768</v>
      </c>
      <c r="C40" s="10">
        <f t="shared" si="6"/>
        <v>22.972972972972983</v>
      </c>
      <c r="D40" s="10">
        <f t="shared" si="6"/>
        <v>70</v>
      </c>
      <c r="E40" s="10">
        <f t="shared" si="6"/>
        <v>50.793650793650791</v>
      </c>
      <c r="F40" s="10">
        <f t="shared" si="6"/>
        <v>34.426229508196712</v>
      </c>
      <c r="G40" s="10">
        <f t="shared" si="6"/>
        <v>18.604651162790709</v>
      </c>
      <c r="H40" s="10">
        <f t="shared" si="6"/>
        <v>36.170212765957444</v>
      </c>
      <c r="I40" s="10">
        <f t="shared" si="6"/>
        <v>36.000000000000007</v>
      </c>
      <c r="J40" s="10">
        <f t="shared" si="6"/>
        <v>18.823529411764707</v>
      </c>
      <c r="K40" s="10">
        <f t="shared" si="6"/>
        <v>27.10280373831775</v>
      </c>
      <c r="L40" s="10">
        <f t="shared" si="6"/>
        <v>6.1855670103092786</v>
      </c>
    </row>
    <row r="41" spans="1:14" s="961" customFormat="1">
      <c r="A41" s="431" t="s">
        <v>447</v>
      </c>
      <c r="B41" s="10">
        <f>(B31/B5-1)*100</f>
        <v>27.777777777777768</v>
      </c>
      <c r="C41" s="10">
        <f t="shared" ref="C41:L41" si="7">(C31/C5-1)*100</f>
        <v>24.324324324324319</v>
      </c>
      <c r="D41" s="10">
        <f t="shared" si="7"/>
        <v>62.000000000000014</v>
      </c>
      <c r="E41" s="10">
        <f t="shared" si="7"/>
        <v>50.793650793650791</v>
      </c>
      <c r="F41" s="10">
        <f t="shared" si="7"/>
        <v>37.704918032786885</v>
      </c>
      <c r="G41" s="10">
        <f t="shared" si="7"/>
        <v>16.279069767441868</v>
      </c>
      <c r="H41" s="10">
        <f t="shared" si="7"/>
        <v>37.234042553191493</v>
      </c>
      <c r="I41" s="10">
        <f t="shared" si="7"/>
        <v>42.666666666666671</v>
      </c>
      <c r="J41" s="10">
        <f t="shared" si="7"/>
        <v>25.882352941176467</v>
      </c>
      <c r="K41" s="10">
        <f t="shared" si="7"/>
        <v>33.644859813084118</v>
      </c>
      <c r="L41" s="10">
        <f t="shared" si="7"/>
        <v>1.0309278350515427</v>
      </c>
    </row>
    <row r="43" spans="1:14" ht="25.5" customHeight="1">
      <c r="A43" s="1170" t="s">
        <v>937</v>
      </c>
      <c r="B43" s="1170"/>
      <c r="C43" s="1170"/>
      <c r="D43" s="1170"/>
      <c r="E43" s="1170"/>
      <c r="F43" s="1170"/>
      <c r="G43" s="1170"/>
      <c r="H43" s="1170"/>
      <c r="I43" s="1170"/>
      <c r="J43" s="1170"/>
      <c r="K43" s="1170"/>
      <c r="L43" s="1170"/>
    </row>
    <row r="44" spans="1:14">
      <c r="A44" s="4" t="s">
        <v>1868</v>
      </c>
      <c r="B44" s="9"/>
      <c r="C44" s="9"/>
      <c r="D44" s="9"/>
      <c r="E44" s="9"/>
      <c r="F44" s="9"/>
      <c r="G44" s="9"/>
      <c r="H44" s="9"/>
      <c r="I44" s="9"/>
      <c r="J44" s="9"/>
      <c r="K44" s="9"/>
      <c r="L44" s="9"/>
    </row>
    <row r="45" spans="1:14">
      <c r="A45" s="4" t="s">
        <v>388</v>
      </c>
    </row>
    <row r="46" spans="1:14">
      <c r="F46" s="27"/>
      <c r="N46" s="961"/>
    </row>
    <row r="47" spans="1:14">
      <c r="N47" s="961"/>
    </row>
    <row r="48" spans="1:14">
      <c r="B48" s="961"/>
      <c r="C48" s="961"/>
      <c r="D48" s="961"/>
      <c r="E48" s="961"/>
      <c r="F48" s="961"/>
      <c r="G48" s="961"/>
      <c r="H48" s="961"/>
      <c r="I48" s="961"/>
      <c r="J48" s="961"/>
      <c r="K48" s="961"/>
      <c r="L48" s="961"/>
      <c r="M48" s="961"/>
      <c r="N48" s="961"/>
    </row>
    <row r="49" spans="2:14">
      <c r="B49" s="961"/>
      <c r="C49" s="961"/>
      <c r="D49" s="961"/>
      <c r="E49" s="961"/>
      <c r="F49" s="961"/>
      <c r="G49" s="961"/>
      <c r="H49" s="961"/>
      <c r="I49" s="961"/>
      <c r="J49" s="961"/>
      <c r="K49" s="961"/>
      <c r="L49" s="961"/>
      <c r="M49" s="961"/>
      <c r="N49" s="961"/>
    </row>
    <row r="50" spans="2:14">
      <c r="B50" s="961"/>
      <c r="C50" s="961"/>
      <c r="D50" s="961"/>
      <c r="E50" s="961"/>
      <c r="F50" s="961"/>
      <c r="G50" s="961"/>
      <c r="H50" s="961"/>
      <c r="I50" s="961"/>
      <c r="J50" s="961"/>
      <c r="K50" s="961"/>
      <c r="L50" s="961"/>
      <c r="M50" s="961"/>
      <c r="N50" s="961"/>
    </row>
    <row r="51" spans="2:14">
      <c r="B51" s="961"/>
      <c r="C51" s="961"/>
      <c r="D51" s="961"/>
      <c r="E51" s="961"/>
      <c r="F51" s="961"/>
      <c r="G51" s="961"/>
      <c r="H51" s="961"/>
      <c r="I51" s="961"/>
      <c r="J51" s="961"/>
      <c r="K51" s="961"/>
      <c r="L51" s="961"/>
      <c r="M51" s="961"/>
      <c r="N51" s="961"/>
    </row>
    <row r="52" spans="2:14">
      <c r="B52" s="961"/>
      <c r="C52" s="961"/>
      <c r="D52" s="961"/>
      <c r="E52" s="961"/>
      <c r="F52" s="961"/>
      <c r="G52" s="961"/>
      <c r="H52" s="961"/>
      <c r="I52" s="961"/>
      <c r="J52" s="961"/>
      <c r="K52" s="961"/>
      <c r="L52" s="961"/>
      <c r="M52" s="961"/>
      <c r="N52" s="961"/>
    </row>
    <row r="53" spans="2:14">
      <c r="B53" s="961"/>
      <c r="C53" s="961"/>
      <c r="D53" s="961"/>
      <c r="E53" s="961"/>
      <c r="F53" s="961"/>
      <c r="G53" s="961"/>
      <c r="H53" s="961"/>
      <c r="I53" s="961"/>
      <c r="J53" s="961"/>
      <c r="K53" s="961"/>
      <c r="L53" s="961"/>
      <c r="M53" s="961"/>
      <c r="N53" s="961"/>
    </row>
    <row r="54" spans="2:14">
      <c r="B54" s="961"/>
      <c r="C54" s="961"/>
      <c r="D54" s="961"/>
      <c r="E54" s="961"/>
      <c r="F54" s="961"/>
      <c r="G54" s="961"/>
      <c r="H54" s="961"/>
      <c r="I54" s="961"/>
      <c r="J54" s="961"/>
      <c r="K54" s="961"/>
      <c r="L54" s="961"/>
      <c r="M54" s="961"/>
      <c r="N54" s="961"/>
    </row>
    <row r="55" spans="2:14">
      <c r="B55" s="961"/>
      <c r="C55" s="961"/>
      <c r="D55" s="961"/>
      <c r="E55" s="961"/>
      <c r="F55" s="961"/>
      <c r="G55" s="961"/>
      <c r="H55" s="961"/>
      <c r="I55" s="961"/>
      <c r="J55" s="961"/>
      <c r="K55" s="961"/>
      <c r="L55" s="961"/>
      <c r="M55" s="961"/>
      <c r="N55" s="961"/>
    </row>
    <row r="56" spans="2:14">
      <c r="B56" s="961"/>
      <c r="C56" s="961"/>
      <c r="D56" s="961"/>
      <c r="E56" s="961"/>
      <c r="F56" s="961"/>
      <c r="G56" s="961"/>
      <c r="H56" s="961"/>
      <c r="I56" s="961"/>
      <c r="J56" s="961"/>
      <c r="K56" s="961"/>
      <c r="L56" s="961"/>
      <c r="M56" s="961"/>
      <c r="N56" s="961"/>
    </row>
    <row r="57" spans="2:14">
      <c r="B57" s="961"/>
      <c r="C57" s="961"/>
      <c r="D57" s="961"/>
      <c r="E57" s="961"/>
      <c r="F57" s="961"/>
      <c r="G57" s="961"/>
      <c r="H57" s="961"/>
      <c r="I57" s="961"/>
      <c r="J57" s="961"/>
      <c r="K57" s="961"/>
      <c r="L57" s="961"/>
      <c r="M57" s="961"/>
      <c r="N57" s="961"/>
    </row>
    <row r="58" spans="2:14">
      <c r="B58" s="961"/>
      <c r="C58" s="961"/>
      <c r="D58" s="961"/>
      <c r="E58" s="961"/>
      <c r="F58" s="961"/>
      <c r="G58" s="961"/>
      <c r="H58" s="961"/>
      <c r="I58" s="961"/>
      <c r="J58" s="961"/>
      <c r="K58" s="961"/>
      <c r="L58" s="961"/>
      <c r="M58" s="961"/>
      <c r="N58" s="961"/>
    </row>
    <row r="59" spans="2:14">
      <c r="B59" s="961"/>
      <c r="C59" s="961"/>
      <c r="D59" s="961"/>
      <c r="E59" s="961"/>
      <c r="F59" s="961"/>
      <c r="G59" s="961"/>
      <c r="H59" s="961"/>
      <c r="I59" s="961"/>
      <c r="J59" s="961"/>
      <c r="K59" s="961"/>
      <c r="L59" s="961"/>
      <c r="M59" s="961"/>
      <c r="N59" s="961"/>
    </row>
    <row r="60" spans="2:14">
      <c r="B60" s="961"/>
      <c r="C60" s="961"/>
      <c r="D60" s="961"/>
      <c r="E60" s="961"/>
      <c r="F60" s="961"/>
      <c r="G60" s="961"/>
      <c r="H60" s="961"/>
      <c r="I60" s="961"/>
      <c r="J60" s="961"/>
      <c r="K60" s="961"/>
      <c r="L60" s="961"/>
      <c r="M60" s="961"/>
      <c r="N60" s="961"/>
    </row>
    <row r="61" spans="2:14">
      <c r="B61" s="961"/>
      <c r="C61" s="961"/>
      <c r="D61" s="961"/>
      <c r="E61" s="961"/>
      <c r="F61" s="961"/>
      <c r="G61" s="961"/>
      <c r="H61" s="961"/>
      <c r="I61" s="961"/>
      <c r="J61" s="961"/>
      <c r="K61" s="961"/>
      <c r="L61" s="961"/>
      <c r="M61" s="961"/>
      <c r="N61" s="961"/>
    </row>
    <row r="62" spans="2:14">
      <c r="B62" s="961"/>
      <c r="C62" s="961"/>
      <c r="D62" s="961"/>
      <c r="E62" s="961"/>
      <c r="F62" s="961"/>
      <c r="G62" s="961"/>
      <c r="H62" s="961"/>
      <c r="I62" s="961"/>
      <c r="J62" s="961"/>
      <c r="K62" s="961"/>
      <c r="L62" s="961"/>
      <c r="M62" s="961"/>
    </row>
    <row r="63" spans="2:14">
      <c r="B63" s="961"/>
      <c r="C63" s="961"/>
      <c r="D63" s="961"/>
      <c r="E63" s="961"/>
      <c r="F63" s="961"/>
      <c r="G63" s="961"/>
      <c r="H63" s="961"/>
      <c r="I63" s="961"/>
      <c r="J63" s="961"/>
      <c r="K63" s="961"/>
      <c r="L63" s="961"/>
      <c r="M63" s="961"/>
    </row>
    <row r="64" spans="2:14">
      <c r="B64" s="961"/>
      <c r="C64" s="961"/>
      <c r="D64" s="961"/>
      <c r="E64" s="961"/>
      <c r="F64" s="961"/>
      <c r="G64" s="961"/>
      <c r="H64" s="961"/>
      <c r="I64" s="961"/>
      <c r="J64" s="961"/>
      <c r="K64" s="961"/>
      <c r="L64" s="961"/>
      <c r="M64" s="961"/>
    </row>
    <row r="65" spans="2:13">
      <c r="B65" s="961"/>
      <c r="C65" s="961"/>
      <c r="D65" s="961"/>
      <c r="E65" s="961"/>
      <c r="F65" s="961"/>
      <c r="G65" s="961"/>
      <c r="H65" s="961"/>
      <c r="I65" s="961"/>
      <c r="J65" s="961"/>
      <c r="K65" s="961"/>
      <c r="L65" s="961"/>
      <c r="M65" s="961"/>
    </row>
    <row r="66" spans="2:13">
      <c r="B66" s="961"/>
      <c r="C66" s="961"/>
      <c r="D66" s="961"/>
      <c r="E66" s="961"/>
      <c r="F66" s="961"/>
      <c r="G66" s="961"/>
      <c r="H66" s="961"/>
      <c r="I66" s="961"/>
      <c r="J66" s="961"/>
      <c r="K66" s="961"/>
      <c r="L66" s="961"/>
      <c r="M66" s="961"/>
    </row>
    <row r="67" spans="2:13">
      <c r="B67" s="961"/>
      <c r="C67" s="961"/>
      <c r="D67" s="961"/>
      <c r="E67" s="961"/>
      <c r="F67" s="961"/>
      <c r="G67" s="961"/>
      <c r="H67" s="961"/>
      <c r="I67" s="961"/>
      <c r="J67" s="961"/>
      <c r="K67" s="961"/>
      <c r="L67" s="961"/>
      <c r="M67" s="961"/>
    </row>
    <row r="68" spans="2:13">
      <c r="B68" s="961"/>
      <c r="C68" s="961"/>
      <c r="D68" s="961"/>
      <c r="E68" s="961"/>
      <c r="F68" s="961"/>
      <c r="G68" s="961"/>
      <c r="H68" s="961"/>
      <c r="I68" s="961"/>
      <c r="J68" s="961"/>
      <c r="K68" s="961"/>
      <c r="L68" s="961"/>
      <c r="M68" s="961"/>
    </row>
    <row r="69" spans="2:13">
      <c r="B69" s="961"/>
      <c r="C69" s="961"/>
      <c r="D69" s="961"/>
      <c r="E69" s="961"/>
      <c r="F69" s="961"/>
      <c r="G69" s="961"/>
      <c r="H69" s="961"/>
      <c r="I69" s="961"/>
      <c r="J69" s="961"/>
      <c r="K69" s="961"/>
      <c r="L69" s="961"/>
      <c r="M69" s="961"/>
    </row>
    <row r="70" spans="2:13">
      <c r="B70" s="961"/>
      <c r="C70" s="961"/>
      <c r="D70" s="961"/>
      <c r="E70" s="961"/>
      <c r="F70" s="961"/>
      <c r="G70" s="961"/>
      <c r="H70" s="961"/>
      <c r="I70" s="961"/>
      <c r="J70" s="961"/>
      <c r="K70" s="961"/>
      <c r="L70" s="961"/>
      <c r="M70" s="961"/>
    </row>
    <row r="71" spans="2:13">
      <c r="B71" s="961"/>
      <c r="C71" s="961"/>
      <c r="D71" s="961"/>
      <c r="E71" s="961"/>
      <c r="F71" s="961"/>
      <c r="G71" s="961"/>
      <c r="H71" s="961"/>
      <c r="I71" s="961"/>
      <c r="J71" s="961"/>
      <c r="K71" s="961"/>
      <c r="L71" s="961"/>
      <c r="M71" s="961"/>
    </row>
    <row r="72" spans="2:13">
      <c r="B72" s="961"/>
      <c r="C72" s="961"/>
      <c r="D72" s="961"/>
      <c r="E72" s="961"/>
      <c r="F72" s="961"/>
      <c r="G72" s="961"/>
      <c r="H72" s="961"/>
      <c r="I72" s="961"/>
      <c r="J72" s="961"/>
      <c r="K72" s="961"/>
      <c r="L72" s="961"/>
      <c r="M72" s="961"/>
    </row>
    <row r="73" spans="2:13">
      <c r="B73" s="961"/>
      <c r="C73" s="961"/>
      <c r="D73" s="961"/>
      <c r="E73" s="961"/>
      <c r="F73" s="961"/>
      <c r="G73" s="961"/>
      <c r="H73" s="961"/>
      <c r="I73" s="961"/>
      <c r="J73" s="961"/>
      <c r="K73" s="961"/>
      <c r="L73" s="961"/>
      <c r="M73" s="961"/>
    </row>
    <row r="74" spans="2:13">
      <c r="B74" s="961"/>
      <c r="C74" s="961"/>
      <c r="D74" s="961"/>
      <c r="E74" s="961"/>
      <c r="F74" s="961"/>
      <c r="G74" s="961"/>
      <c r="H74" s="961"/>
      <c r="I74" s="961"/>
      <c r="J74" s="961"/>
      <c r="K74" s="961"/>
      <c r="L74" s="961"/>
      <c r="M74" s="961"/>
    </row>
    <row r="75" spans="2:13">
      <c r="B75" s="961"/>
      <c r="C75" s="961"/>
      <c r="D75" s="961"/>
      <c r="E75" s="961"/>
      <c r="F75" s="961"/>
      <c r="G75" s="961"/>
      <c r="H75" s="961"/>
      <c r="I75" s="961"/>
      <c r="J75" s="961"/>
      <c r="K75" s="961"/>
      <c r="L75" s="961"/>
      <c r="M75" s="961"/>
    </row>
    <row r="76" spans="2:13">
      <c r="B76" s="961"/>
      <c r="C76" s="961"/>
      <c r="D76" s="961"/>
      <c r="E76" s="961"/>
      <c r="F76" s="961"/>
      <c r="G76" s="961"/>
      <c r="H76" s="961"/>
      <c r="I76" s="961"/>
      <c r="J76" s="961"/>
      <c r="K76" s="961"/>
      <c r="L76" s="961"/>
      <c r="M76" s="961"/>
    </row>
  </sheetData>
  <mergeCells count="12">
    <mergeCell ref="A43:L43"/>
    <mergeCell ref="J3:J4"/>
    <mergeCell ref="K3:K4"/>
    <mergeCell ref="L3:L4"/>
    <mergeCell ref="F3:F4"/>
    <mergeCell ref="G3:G4"/>
    <mergeCell ref="H3:H4"/>
    <mergeCell ref="I3:I4"/>
    <mergeCell ref="B3:B4"/>
    <mergeCell ref="C3:C4"/>
    <mergeCell ref="D3:D4"/>
    <mergeCell ref="E3:E4"/>
  </mergeCells>
  <phoneticPr fontId="35" type="noConversion"/>
  <pageMargins left="0.75" right="0.75" top="1" bottom="1" header="0.5" footer="0.5"/>
  <pageSetup scale="82" orientation="landscape" horizontalDpi="300" verticalDpi="300" r:id="rId1"/>
  <headerFooter alignWithMargins="0"/>
</worksheet>
</file>

<file path=xl/worksheets/sheet34.xml><?xml version="1.0" encoding="utf-8"?>
<worksheet xmlns="http://schemas.openxmlformats.org/spreadsheetml/2006/main" xmlns:r="http://schemas.openxmlformats.org/officeDocument/2006/relationships">
  <sheetPr codeName="Sheet65">
    <pageSetUpPr fitToPage="1"/>
  </sheetPr>
  <dimension ref="A1:O76"/>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2" ht="15.75">
      <c r="A1" s="3" t="s">
        <v>2119</v>
      </c>
    </row>
    <row r="2" spans="1:12">
      <c r="A2" s="4"/>
      <c r="B2" s="4"/>
    </row>
    <row r="3" spans="1:12">
      <c r="A3" s="2"/>
      <c r="B3" s="1166"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7"/>
      <c r="C4" s="1165"/>
      <c r="D4" s="1165"/>
      <c r="E4" s="1165"/>
      <c r="F4" s="1165"/>
      <c r="G4" s="1165"/>
      <c r="H4" s="1165"/>
      <c r="I4" s="1165"/>
      <c r="J4" s="1165"/>
      <c r="K4" s="1165"/>
      <c r="L4" s="1165"/>
    </row>
    <row r="5" spans="1:12" ht="12.75" customHeight="1">
      <c r="A5" s="120">
        <v>1981</v>
      </c>
      <c r="B5" s="10">
        <v>15.3</v>
      </c>
      <c r="C5" s="10">
        <v>13.9</v>
      </c>
      <c r="D5" s="10">
        <v>10.9</v>
      </c>
      <c r="E5" s="10">
        <v>13</v>
      </c>
      <c r="F5" s="10">
        <v>12.6</v>
      </c>
      <c r="G5" s="10">
        <v>15.9</v>
      </c>
      <c r="H5" s="10">
        <v>15.1</v>
      </c>
      <c r="I5" s="10">
        <v>14.1</v>
      </c>
      <c r="J5" s="10">
        <v>15</v>
      </c>
      <c r="K5" s="10">
        <v>16.3</v>
      </c>
      <c r="L5" s="10">
        <v>15.7</v>
      </c>
    </row>
    <row r="6" spans="1:12" ht="12.75" customHeight="1">
      <c r="A6" s="120">
        <v>1982</v>
      </c>
      <c r="B6" s="10">
        <v>15.5</v>
      </c>
      <c r="C6" s="10">
        <v>13.3</v>
      </c>
      <c r="D6" s="10">
        <v>11.4</v>
      </c>
      <c r="E6" s="10">
        <v>13.1</v>
      </c>
      <c r="F6" s="10">
        <v>13.1</v>
      </c>
      <c r="G6" s="10">
        <v>16.600000000000001</v>
      </c>
      <c r="H6" s="10">
        <v>15.3</v>
      </c>
      <c r="I6" s="10">
        <v>14.1</v>
      </c>
      <c r="J6" s="10">
        <v>14.4</v>
      </c>
      <c r="K6" s="10">
        <v>16.3</v>
      </c>
      <c r="L6" s="10">
        <v>15.7</v>
      </c>
    </row>
    <row r="7" spans="1:12" ht="12.75" customHeight="1">
      <c r="A7" s="120">
        <v>1983</v>
      </c>
      <c r="B7" s="10">
        <v>15.9</v>
      </c>
      <c r="C7" s="10">
        <v>13.1</v>
      </c>
      <c r="D7" s="10">
        <v>12</v>
      </c>
      <c r="E7" s="10">
        <v>13</v>
      </c>
      <c r="F7" s="10">
        <v>13.8</v>
      </c>
      <c r="G7" s="10">
        <v>17</v>
      </c>
      <c r="H7" s="10">
        <v>15.9</v>
      </c>
      <c r="I7" s="10">
        <v>14.5</v>
      </c>
      <c r="J7" s="10">
        <v>13.9</v>
      </c>
      <c r="K7" s="10">
        <v>16</v>
      </c>
      <c r="L7" s="10">
        <v>15.9</v>
      </c>
    </row>
    <row r="8" spans="1:12" ht="12.75" customHeight="1">
      <c r="A8" s="120">
        <v>1984</v>
      </c>
      <c r="B8" s="10">
        <v>15.8</v>
      </c>
      <c r="C8" s="10">
        <v>12.7</v>
      </c>
      <c r="D8" s="10">
        <v>11.8</v>
      </c>
      <c r="E8" s="10">
        <v>13.6</v>
      </c>
      <c r="F8" s="10">
        <v>13.7</v>
      </c>
      <c r="G8" s="10">
        <v>17</v>
      </c>
      <c r="H8" s="10">
        <v>16</v>
      </c>
      <c r="I8" s="10">
        <v>14.2</v>
      </c>
      <c r="J8" s="10">
        <v>13.7</v>
      </c>
      <c r="K8" s="10">
        <v>15.8</v>
      </c>
      <c r="L8" s="10">
        <v>15.1</v>
      </c>
    </row>
    <row r="9" spans="1:12" ht="12.75" customHeight="1">
      <c r="A9" s="120">
        <v>1985</v>
      </c>
      <c r="B9" s="10">
        <v>16.3</v>
      </c>
      <c r="C9" s="10">
        <v>13.5</v>
      </c>
      <c r="D9" s="10">
        <v>12</v>
      </c>
      <c r="E9" s="10">
        <v>14.8</v>
      </c>
      <c r="F9" s="10">
        <v>13.7</v>
      </c>
      <c r="G9" s="10">
        <v>17</v>
      </c>
      <c r="H9" s="10">
        <v>16.899999999999999</v>
      </c>
      <c r="I9" s="10">
        <v>14.2</v>
      </c>
      <c r="J9" s="10">
        <v>14.4</v>
      </c>
      <c r="K9" s="10">
        <v>16.100000000000001</v>
      </c>
      <c r="L9" s="10">
        <v>15.5</v>
      </c>
    </row>
    <row r="10" spans="1:12" ht="12.75" customHeight="1">
      <c r="A10" s="120">
        <v>1986</v>
      </c>
      <c r="B10" s="10">
        <v>17.3</v>
      </c>
      <c r="C10" s="10">
        <v>14.2</v>
      </c>
      <c r="D10" s="10">
        <v>13.4</v>
      </c>
      <c r="E10" s="10">
        <v>15.7</v>
      </c>
      <c r="F10" s="10">
        <v>14.5</v>
      </c>
      <c r="G10" s="10">
        <v>17.7</v>
      </c>
      <c r="H10" s="10">
        <v>18.100000000000001</v>
      </c>
      <c r="I10" s="10">
        <v>15.6</v>
      </c>
      <c r="J10" s="10">
        <v>15.8</v>
      </c>
      <c r="K10" s="10">
        <v>16.399999999999999</v>
      </c>
      <c r="L10" s="10">
        <v>16.7</v>
      </c>
    </row>
    <row r="11" spans="1:12" ht="12.75" customHeight="1">
      <c r="A11" s="120">
        <v>1987</v>
      </c>
      <c r="B11" s="10">
        <v>18.399999999999999</v>
      </c>
      <c r="C11" s="10">
        <v>15.2</v>
      </c>
      <c r="D11" s="10">
        <v>14.4</v>
      </c>
      <c r="E11" s="10">
        <v>16.899999999999999</v>
      </c>
      <c r="F11" s="10">
        <v>15.4</v>
      </c>
      <c r="G11" s="10">
        <v>19</v>
      </c>
      <c r="H11" s="10">
        <v>18.7</v>
      </c>
      <c r="I11" s="10">
        <v>16.8</v>
      </c>
      <c r="J11" s="10">
        <v>16.399999999999999</v>
      </c>
      <c r="K11" s="10">
        <v>18.399999999999999</v>
      </c>
      <c r="L11" s="10">
        <v>18</v>
      </c>
    </row>
    <row r="12" spans="1:12" ht="12.75" customHeight="1">
      <c r="A12" s="120">
        <v>1988</v>
      </c>
      <c r="B12" s="10">
        <v>18.3</v>
      </c>
      <c r="C12" s="10">
        <v>14.3</v>
      </c>
      <c r="D12" s="10">
        <v>13.5</v>
      </c>
      <c r="E12" s="10">
        <v>16.5</v>
      </c>
      <c r="F12" s="10">
        <v>15.5</v>
      </c>
      <c r="G12" s="10">
        <v>18.7</v>
      </c>
      <c r="H12" s="10">
        <v>18.899999999999999</v>
      </c>
      <c r="I12" s="10">
        <v>17.3</v>
      </c>
      <c r="J12" s="10">
        <v>17</v>
      </c>
      <c r="K12" s="10">
        <v>17.899999999999999</v>
      </c>
      <c r="L12" s="10">
        <v>17.899999999999999</v>
      </c>
    </row>
    <row r="13" spans="1:12" ht="12.75" customHeight="1">
      <c r="A13" s="120">
        <v>1989</v>
      </c>
      <c r="B13" s="10">
        <v>19</v>
      </c>
      <c r="C13" s="10">
        <v>15.7</v>
      </c>
      <c r="D13" s="10">
        <v>15.1</v>
      </c>
      <c r="E13" s="10">
        <v>16.8</v>
      </c>
      <c r="F13" s="10">
        <v>16.3</v>
      </c>
      <c r="G13" s="10">
        <v>19.3</v>
      </c>
      <c r="H13" s="10">
        <v>19.7</v>
      </c>
      <c r="I13" s="10">
        <v>18.100000000000001</v>
      </c>
      <c r="J13" s="10">
        <v>17.399999999999999</v>
      </c>
      <c r="K13" s="10">
        <v>18.3</v>
      </c>
      <c r="L13" s="10">
        <v>18.8</v>
      </c>
    </row>
    <row r="14" spans="1:12" ht="12.75" customHeight="1">
      <c r="A14" s="120">
        <v>1990</v>
      </c>
      <c r="B14" s="10">
        <v>19.5</v>
      </c>
      <c r="C14" s="10">
        <v>16</v>
      </c>
      <c r="D14" s="10">
        <v>15.2</v>
      </c>
      <c r="E14" s="10">
        <v>17.399999999999999</v>
      </c>
      <c r="F14" s="10">
        <v>16.7</v>
      </c>
      <c r="G14" s="10">
        <v>19.8</v>
      </c>
      <c r="H14" s="10">
        <v>20.2</v>
      </c>
      <c r="I14" s="10">
        <v>17.899999999999999</v>
      </c>
      <c r="J14" s="10">
        <v>18</v>
      </c>
      <c r="K14" s="10">
        <v>18.899999999999999</v>
      </c>
      <c r="L14" s="10">
        <v>19.2</v>
      </c>
    </row>
    <row r="15" spans="1:12" ht="12.75" customHeight="1">
      <c r="A15" s="120">
        <v>1991</v>
      </c>
      <c r="B15" s="10">
        <v>19.399999999999999</v>
      </c>
      <c r="C15" s="10">
        <v>16.3</v>
      </c>
      <c r="D15" s="10">
        <v>15.7</v>
      </c>
      <c r="E15" s="10">
        <v>17.5</v>
      </c>
      <c r="F15" s="10">
        <v>16.7</v>
      </c>
      <c r="G15" s="10">
        <v>20.100000000000001</v>
      </c>
      <c r="H15" s="10">
        <v>19.899999999999999</v>
      </c>
      <c r="I15" s="10">
        <v>17.600000000000001</v>
      </c>
      <c r="J15" s="10">
        <v>18.100000000000001</v>
      </c>
      <c r="K15" s="10">
        <v>19.5</v>
      </c>
      <c r="L15" s="10">
        <v>18.600000000000001</v>
      </c>
    </row>
    <row r="16" spans="1:12" ht="12.75" customHeight="1">
      <c r="A16" s="120">
        <v>1992</v>
      </c>
      <c r="B16" s="10">
        <v>18.8</v>
      </c>
      <c r="C16" s="10">
        <v>15.6</v>
      </c>
      <c r="D16" s="10">
        <v>15.3</v>
      </c>
      <c r="E16" s="10">
        <v>17.2</v>
      </c>
      <c r="F16" s="10">
        <v>16.2</v>
      </c>
      <c r="G16" s="10">
        <v>18.7</v>
      </c>
      <c r="H16" s="10">
        <v>19.8</v>
      </c>
      <c r="I16" s="10">
        <v>17.399999999999999</v>
      </c>
      <c r="J16" s="10">
        <v>16.100000000000001</v>
      </c>
      <c r="K16" s="10">
        <v>18.100000000000001</v>
      </c>
      <c r="L16" s="10">
        <v>19</v>
      </c>
    </row>
    <row r="17" spans="1:15" ht="12.75" customHeight="1">
      <c r="A17" s="120">
        <v>1993</v>
      </c>
      <c r="B17" s="10">
        <v>18.600000000000001</v>
      </c>
      <c r="C17" s="10">
        <v>15.3</v>
      </c>
      <c r="D17" s="10">
        <v>14.4</v>
      </c>
      <c r="E17" s="10">
        <v>16.5</v>
      </c>
      <c r="F17" s="10">
        <v>16</v>
      </c>
      <c r="G17" s="10">
        <v>19.600000000000001</v>
      </c>
      <c r="H17" s="10">
        <v>19.3</v>
      </c>
      <c r="I17" s="10">
        <v>16.600000000000001</v>
      </c>
      <c r="J17" s="10">
        <v>17.399999999999999</v>
      </c>
      <c r="K17" s="10">
        <v>17.399999999999999</v>
      </c>
      <c r="L17" s="10">
        <v>17.899999999999999</v>
      </c>
    </row>
    <row r="18" spans="1:15" ht="12.75" customHeight="1">
      <c r="A18" s="120">
        <v>1994</v>
      </c>
      <c r="B18" s="10">
        <v>19</v>
      </c>
      <c r="C18" s="10">
        <v>15.9</v>
      </c>
      <c r="D18" s="10">
        <v>14.9</v>
      </c>
      <c r="E18" s="10">
        <v>16.399999999999999</v>
      </c>
      <c r="F18" s="10">
        <v>16.5</v>
      </c>
      <c r="G18" s="10">
        <v>20.100000000000001</v>
      </c>
      <c r="H18" s="10">
        <v>19.5</v>
      </c>
      <c r="I18" s="10">
        <v>17.5</v>
      </c>
      <c r="J18" s="10">
        <v>17.8</v>
      </c>
      <c r="K18" s="10">
        <v>18</v>
      </c>
      <c r="L18" s="10">
        <v>18.3</v>
      </c>
    </row>
    <row r="19" spans="1:15" ht="12.75" customHeight="1">
      <c r="A19" s="120">
        <v>1995</v>
      </c>
      <c r="B19" s="10">
        <v>19.3</v>
      </c>
      <c r="C19" s="10">
        <v>16.100000000000001</v>
      </c>
      <c r="D19" s="10">
        <v>14.9</v>
      </c>
      <c r="E19" s="10">
        <v>16.2</v>
      </c>
      <c r="F19" s="10">
        <v>16.5</v>
      </c>
      <c r="G19" s="10">
        <v>20.2</v>
      </c>
      <c r="H19" s="10">
        <v>19.899999999999999</v>
      </c>
      <c r="I19" s="10">
        <v>17.3</v>
      </c>
      <c r="J19" s="10">
        <v>19.8</v>
      </c>
      <c r="K19" s="10">
        <v>18.100000000000001</v>
      </c>
      <c r="L19" s="10">
        <v>18.3</v>
      </c>
    </row>
    <row r="20" spans="1:15" ht="12.75" customHeight="1">
      <c r="A20" s="120">
        <v>1996</v>
      </c>
      <c r="B20" s="10">
        <v>19.600000000000001</v>
      </c>
      <c r="C20" s="10">
        <v>15.8</v>
      </c>
      <c r="D20" s="10">
        <v>15.1</v>
      </c>
      <c r="E20" s="10">
        <v>16.100000000000001</v>
      </c>
      <c r="F20" s="10">
        <v>16.8</v>
      </c>
      <c r="G20" s="10">
        <v>20.5</v>
      </c>
      <c r="H20" s="10">
        <v>20.2</v>
      </c>
      <c r="I20" s="10">
        <v>17.600000000000001</v>
      </c>
      <c r="J20" s="10">
        <v>18.8</v>
      </c>
      <c r="K20" s="10">
        <v>18.399999999999999</v>
      </c>
      <c r="L20" s="10">
        <v>19.100000000000001</v>
      </c>
    </row>
    <row r="21" spans="1:15" ht="12.75" customHeight="1">
      <c r="A21" s="120">
        <v>1997</v>
      </c>
      <c r="B21" s="10">
        <v>19.5</v>
      </c>
      <c r="C21" s="10">
        <v>15.8</v>
      </c>
      <c r="D21" s="10">
        <v>15.1</v>
      </c>
      <c r="E21" s="10">
        <v>16.7</v>
      </c>
      <c r="F21" s="10">
        <v>16.5</v>
      </c>
      <c r="G21" s="10">
        <v>20.7</v>
      </c>
      <c r="H21" s="10">
        <v>19.600000000000001</v>
      </c>
      <c r="I21" s="10">
        <v>18.100000000000001</v>
      </c>
      <c r="J21" s="10">
        <v>19.100000000000001</v>
      </c>
      <c r="K21" s="10">
        <v>20.100000000000001</v>
      </c>
      <c r="L21" s="10">
        <v>18.899999999999999</v>
      </c>
    </row>
    <row r="22" spans="1:15" ht="12.75" customHeight="1">
      <c r="A22" s="120">
        <v>1998</v>
      </c>
      <c r="B22" s="10">
        <v>19.7</v>
      </c>
      <c r="C22" s="10">
        <v>16.600000000000001</v>
      </c>
      <c r="D22" s="10">
        <v>16.100000000000001</v>
      </c>
      <c r="E22" s="10">
        <v>17.3</v>
      </c>
      <c r="F22" s="10">
        <v>17.100000000000001</v>
      </c>
      <c r="G22" s="10">
        <v>21.6</v>
      </c>
      <c r="H22" s="10">
        <v>19.600000000000001</v>
      </c>
      <c r="I22" s="10">
        <v>18.5</v>
      </c>
      <c r="J22" s="10">
        <v>18.600000000000001</v>
      </c>
      <c r="K22" s="10">
        <v>19.899999999999999</v>
      </c>
      <c r="L22" s="10">
        <v>18.399999999999999</v>
      </c>
    </row>
    <row r="23" spans="1:15" ht="12.75" customHeight="1">
      <c r="A23" s="120">
        <v>1999</v>
      </c>
      <c r="B23" s="10">
        <v>19.3</v>
      </c>
      <c r="C23" s="10">
        <v>16.7</v>
      </c>
      <c r="D23" s="10">
        <v>15.1</v>
      </c>
      <c r="E23" s="10">
        <v>17.600000000000001</v>
      </c>
      <c r="F23" s="10">
        <v>16.899999999999999</v>
      </c>
      <c r="G23" s="10">
        <v>20.8</v>
      </c>
      <c r="H23" s="10">
        <v>19.2</v>
      </c>
      <c r="I23" s="10">
        <v>17.8</v>
      </c>
      <c r="J23" s="10">
        <v>18.100000000000001</v>
      </c>
      <c r="K23" s="10">
        <v>18.899999999999999</v>
      </c>
      <c r="L23" s="10">
        <v>18.899999999999999</v>
      </c>
    </row>
    <row r="24" spans="1:15" ht="12.75" customHeight="1">
      <c r="A24" s="120">
        <v>2000</v>
      </c>
      <c r="B24" s="10">
        <v>19.600000000000001</v>
      </c>
      <c r="C24" s="10">
        <v>16.399999999999999</v>
      </c>
      <c r="D24" s="10">
        <v>16</v>
      </c>
      <c r="E24" s="10">
        <v>17.100000000000001</v>
      </c>
      <c r="F24" s="10">
        <v>16.8</v>
      </c>
      <c r="G24" s="10">
        <v>20.9</v>
      </c>
      <c r="H24" s="10">
        <v>19.7</v>
      </c>
      <c r="I24" s="10">
        <v>17.899999999999999</v>
      </c>
      <c r="J24" s="10">
        <v>17.7</v>
      </c>
      <c r="K24" s="10">
        <v>18.600000000000001</v>
      </c>
      <c r="L24" s="10">
        <v>19.8</v>
      </c>
    </row>
    <row r="25" spans="1:15" ht="12.75" customHeight="1">
      <c r="A25" s="120">
        <v>2001</v>
      </c>
      <c r="B25" s="10">
        <v>17.7</v>
      </c>
      <c r="C25" s="10">
        <v>15</v>
      </c>
      <c r="D25" s="10">
        <v>14.5</v>
      </c>
      <c r="E25" s="10">
        <v>16.8</v>
      </c>
      <c r="F25" s="10">
        <v>16.100000000000001</v>
      </c>
      <c r="G25" s="10">
        <v>19</v>
      </c>
      <c r="H25" s="10">
        <v>18</v>
      </c>
      <c r="I25" s="10">
        <v>16.399999999999999</v>
      </c>
      <c r="J25" s="10">
        <v>16.600000000000001</v>
      </c>
      <c r="K25" s="10">
        <v>16.7</v>
      </c>
      <c r="L25" s="10">
        <v>16.5</v>
      </c>
    </row>
    <row r="26" spans="1:15" ht="12.75" customHeight="1">
      <c r="A26" s="120">
        <v>2002</v>
      </c>
      <c r="B26" s="10">
        <v>17.399999999999999</v>
      </c>
      <c r="C26" s="10">
        <v>15.3</v>
      </c>
      <c r="D26" s="10">
        <v>13.7</v>
      </c>
      <c r="E26" s="10">
        <v>17.3</v>
      </c>
      <c r="F26" s="10">
        <v>15.7</v>
      </c>
      <c r="G26" s="10">
        <v>18.7</v>
      </c>
      <c r="H26" s="10">
        <v>17.8</v>
      </c>
      <c r="I26" s="10">
        <v>14.9</v>
      </c>
      <c r="J26" s="10">
        <v>16.399999999999999</v>
      </c>
      <c r="K26" s="10">
        <v>16.600000000000001</v>
      </c>
      <c r="L26" s="10">
        <v>15.9</v>
      </c>
    </row>
    <row r="27" spans="1:15" ht="12.75" customHeight="1">
      <c r="A27" s="120">
        <v>2003</v>
      </c>
      <c r="B27" s="10">
        <v>17.600000000000001</v>
      </c>
      <c r="C27" s="10">
        <v>15.6</v>
      </c>
      <c r="D27" s="10">
        <v>15.1</v>
      </c>
      <c r="E27" s="10">
        <v>16.899999999999999</v>
      </c>
      <c r="F27" s="10">
        <v>16</v>
      </c>
      <c r="G27" s="10">
        <v>18.8</v>
      </c>
      <c r="H27" s="10">
        <v>17.8</v>
      </c>
      <c r="I27" s="10">
        <v>17.100000000000001</v>
      </c>
      <c r="J27" s="10">
        <v>16.3</v>
      </c>
      <c r="K27" s="10">
        <v>17.100000000000001</v>
      </c>
      <c r="L27" s="10">
        <v>15.9</v>
      </c>
    </row>
    <row r="28" spans="1:15" ht="12.75" customHeight="1">
      <c r="A28" s="120">
        <v>2004</v>
      </c>
      <c r="B28" s="10">
        <v>17.600000000000001</v>
      </c>
      <c r="C28" s="10">
        <v>15.8</v>
      </c>
      <c r="D28" s="10">
        <v>15</v>
      </c>
      <c r="E28" s="10">
        <v>16.7</v>
      </c>
      <c r="F28" s="10">
        <v>15.7</v>
      </c>
      <c r="G28" s="10">
        <v>18.600000000000001</v>
      </c>
      <c r="H28" s="10">
        <v>17.899999999999999</v>
      </c>
      <c r="I28" s="10">
        <v>17</v>
      </c>
      <c r="J28" s="10">
        <v>16</v>
      </c>
      <c r="K28" s="10">
        <v>16.899999999999999</v>
      </c>
      <c r="L28" s="10">
        <v>16.2</v>
      </c>
    </row>
    <row r="29" spans="1:15" ht="12.75" customHeight="1">
      <c r="A29" s="120">
        <v>2005</v>
      </c>
      <c r="B29" s="10">
        <v>17.2</v>
      </c>
      <c r="C29" s="10">
        <v>16.100000000000001</v>
      </c>
      <c r="D29" s="10">
        <v>14.7</v>
      </c>
      <c r="E29" s="10">
        <v>16.2</v>
      </c>
      <c r="F29" s="10">
        <v>15</v>
      </c>
      <c r="G29" s="10">
        <v>17.899999999999999</v>
      </c>
      <c r="H29" s="10">
        <v>17.8</v>
      </c>
      <c r="I29" s="10">
        <v>16.899999999999999</v>
      </c>
      <c r="J29" s="10">
        <v>16</v>
      </c>
      <c r="K29" s="10">
        <v>16.7</v>
      </c>
      <c r="L29" s="10">
        <v>15.6</v>
      </c>
    </row>
    <row r="30" spans="1:15" ht="12.75" customHeight="1">
      <c r="A30" s="120">
        <v>2006</v>
      </c>
      <c r="B30" s="10">
        <v>17.100000000000001</v>
      </c>
      <c r="C30" s="10">
        <v>16.399999999999999</v>
      </c>
      <c r="D30" s="10">
        <v>15.2</v>
      </c>
      <c r="E30" s="10">
        <v>16.600000000000001</v>
      </c>
      <c r="F30" s="10">
        <v>15.2</v>
      </c>
      <c r="G30" s="10">
        <v>17.8</v>
      </c>
      <c r="H30" s="10">
        <v>17.399999999999999</v>
      </c>
      <c r="I30" s="10">
        <v>16.899999999999999</v>
      </c>
      <c r="J30" s="10">
        <v>16.5</v>
      </c>
      <c r="K30" s="10">
        <v>17.100000000000001</v>
      </c>
      <c r="L30" s="10">
        <v>15.7</v>
      </c>
    </row>
    <row r="31" spans="1:15" s="961" customFormat="1" ht="12.75" customHeight="1">
      <c r="A31" s="120">
        <v>2007</v>
      </c>
      <c r="B31" s="10">
        <v>16.7</v>
      </c>
      <c r="C31" s="10">
        <v>15.6</v>
      </c>
      <c r="D31" s="10">
        <v>14.4</v>
      </c>
      <c r="E31" s="10">
        <v>16.3</v>
      </c>
      <c r="F31" s="10">
        <v>14.9</v>
      </c>
      <c r="G31" s="10">
        <v>17.2</v>
      </c>
      <c r="H31" s="10">
        <v>17.100000000000001</v>
      </c>
      <c r="I31" s="10">
        <v>16.7</v>
      </c>
      <c r="J31" s="10">
        <v>16.7</v>
      </c>
      <c r="K31" s="10">
        <v>17.2</v>
      </c>
      <c r="L31" s="10">
        <v>14.5</v>
      </c>
      <c r="O31" s="6"/>
    </row>
    <row r="32" spans="1:15" s="114" customFormat="1" ht="12.75" customHeight="1">
      <c r="A32" s="738"/>
      <c r="B32" s="959"/>
      <c r="C32" s="959"/>
      <c r="D32" s="959" t="s">
        <v>802</v>
      </c>
      <c r="E32" s="959"/>
      <c r="F32" s="959"/>
      <c r="H32" s="959"/>
      <c r="I32" s="959"/>
      <c r="J32" s="959"/>
      <c r="K32" s="959"/>
      <c r="L32" s="959"/>
    </row>
    <row r="33" spans="1:13" s="114" customFormat="1" ht="12.75" customHeight="1">
      <c r="A33" s="431" t="s">
        <v>603</v>
      </c>
      <c r="B33" s="959">
        <f>((((B13/B5))^(1/8))-1)*100</f>
        <v>2.7443079574510865</v>
      </c>
      <c r="C33" s="959">
        <f t="shared" ref="C33:L33" si="0">((((C13/C5))^(1/8))-1)*100</f>
        <v>1.5337920845447828</v>
      </c>
      <c r="D33" s="959">
        <f t="shared" si="0"/>
        <v>4.1582815669813922</v>
      </c>
      <c r="E33" s="959">
        <f t="shared" si="0"/>
        <v>3.2572943813071742</v>
      </c>
      <c r="F33" s="959">
        <f t="shared" si="0"/>
        <v>3.270702758530053</v>
      </c>
      <c r="G33" s="959">
        <f t="shared" si="0"/>
        <v>2.4519014526364957</v>
      </c>
      <c r="H33" s="959">
        <f t="shared" si="0"/>
        <v>3.3799124072569908</v>
      </c>
      <c r="I33" s="959">
        <f t="shared" si="0"/>
        <v>3.1709507661503267</v>
      </c>
      <c r="J33" s="959">
        <f t="shared" si="0"/>
        <v>1.8725667514943201</v>
      </c>
      <c r="K33" s="959">
        <f t="shared" si="0"/>
        <v>1.4572147434854577</v>
      </c>
      <c r="L33" s="959">
        <f t="shared" si="0"/>
        <v>2.2780112103375938</v>
      </c>
    </row>
    <row r="34" spans="1:13" s="114" customFormat="1">
      <c r="A34" s="431" t="s">
        <v>604</v>
      </c>
      <c r="B34" s="959">
        <f>((((B24/B13))^(1/11))-1)*100</f>
        <v>0.2830415088775462</v>
      </c>
      <c r="C34" s="959">
        <f t="shared" ref="C34:L34" si="1">((((C24/C13))^(1/11))-1)*100</f>
        <v>0.39733841768889722</v>
      </c>
      <c r="D34" s="959">
        <f t="shared" si="1"/>
        <v>0.52769633298299645</v>
      </c>
      <c r="E34" s="959">
        <f t="shared" si="1"/>
        <v>0.16103476830959806</v>
      </c>
      <c r="F34" s="959">
        <f t="shared" si="1"/>
        <v>0.27504828012892002</v>
      </c>
      <c r="G34" s="959">
        <f t="shared" si="1"/>
        <v>0.72666442183093594</v>
      </c>
      <c r="H34" s="959">
        <f t="shared" si="1"/>
        <v>0</v>
      </c>
      <c r="I34" s="959">
        <f t="shared" si="1"/>
        <v>-0.10096014114869822</v>
      </c>
      <c r="J34" s="959">
        <f t="shared" si="1"/>
        <v>0.1555247541276561</v>
      </c>
      <c r="K34" s="959">
        <f t="shared" si="1"/>
        <v>0.14793222894622371</v>
      </c>
      <c r="L34" s="959">
        <f t="shared" si="1"/>
        <v>0.47224857588610281</v>
      </c>
    </row>
    <row r="35" spans="1:13" s="114" customFormat="1">
      <c r="A35" s="431" t="s">
        <v>819</v>
      </c>
      <c r="B35" s="23">
        <f t="shared" ref="B35:L35" si="2">((((B30/B5))^(1/25))-1)*100</f>
        <v>0.44589370114793692</v>
      </c>
      <c r="C35" s="23">
        <f t="shared" si="2"/>
        <v>0.66376318682586088</v>
      </c>
      <c r="D35" s="23">
        <f t="shared" si="2"/>
        <v>1.3390161438671111</v>
      </c>
      <c r="E35" s="23">
        <f t="shared" si="2"/>
        <v>0.98260956628606344</v>
      </c>
      <c r="F35" s="23">
        <f t="shared" si="2"/>
        <v>0.75321697035510837</v>
      </c>
      <c r="G35" s="23">
        <f t="shared" si="2"/>
        <v>0.45253826796387564</v>
      </c>
      <c r="H35" s="23">
        <f t="shared" si="2"/>
        <v>0.56871291616047426</v>
      </c>
      <c r="I35" s="23">
        <f t="shared" si="2"/>
        <v>0.72718655120231901</v>
      </c>
      <c r="J35" s="23">
        <f t="shared" si="2"/>
        <v>0.38196836604873496</v>
      </c>
      <c r="K35" s="23">
        <f t="shared" si="2"/>
        <v>0.19183719533928389</v>
      </c>
      <c r="L35" s="23">
        <f t="shared" si="2"/>
        <v>0</v>
      </c>
    </row>
    <row r="36" spans="1:13" s="961" customFormat="1">
      <c r="A36" s="431" t="s">
        <v>447</v>
      </c>
      <c r="B36" s="23">
        <f>((((B31/B5))^(1/26))-1)*100</f>
        <v>0.33732107838593262</v>
      </c>
      <c r="C36" s="23">
        <f t="shared" ref="C36:L36" si="3">((((C31/C5))^(1/26))-1)*100</f>
        <v>0.44476335743071083</v>
      </c>
      <c r="D36" s="23">
        <f t="shared" si="3"/>
        <v>1.0767767949243723</v>
      </c>
      <c r="E36" s="23">
        <f t="shared" si="3"/>
        <v>0.873856606584833</v>
      </c>
      <c r="F36" s="23">
        <f t="shared" si="3"/>
        <v>0.64694679160453017</v>
      </c>
      <c r="G36" s="23">
        <f t="shared" si="3"/>
        <v>0.30272758417055901</v>
      </c>
      <c r="H36" s="23">
        <f t="shared" si="3"/>
        <v>0.47954507651977174</v>
      </c>
      <c r="I36" s="23">
        <f t="shared" si="3"/>
        <v>0.65302265585127639</v>
      </c>
      <c r="J36" s="23">
        <f t="shared" si="3"/>
        <v>0.41377105655273638</v>
      </c>
      <c r="K36" s="23">
        <f t="shared" si="3"/>
        <v>0.20692254369858443</v>
      </c>
      <c r="L36" s="23">
        <f t="shared" si="3"/>
        <v>-0.30534848697433281</v>
      </c>
    </row>
    <row r="37" spans="1:13" s="114" customFormat="1">
      <c r="A37" s="431" t="s">
        <v>818</v>
      </c>
      <c r="B37" s="959">
        <f t="shared" ref="B37:L37" si="4">((((B30/B24))^(1/6))-1)*100</f>
        <v>-2.2485203795073683</v>
      </c>
      <c r="C37" s="959">
        <f t="shared" si="4"/>
        <v>0</v>
      </c>
      <c r="D37" s="959">
        <f t="shared" si="4"/>
        <v>-0.8512444610847103</v>
      </c>
      <c r="E37" s="959">
        <f t="shared" si="4"/>
        <v>-0.493375023102538</v>
      </c>
      <c r="F37" s="959">
        <f t="shared" si="4"/>
        <v>-1.6542225934636168</v>
      </c>
      <c r="G37" s="959">
        <f t="shared" si="4"/>
        <v>-2.6403614940849751</v>
      </c>
      <c r="H37" s="959">
        <f t="shared" si="4"/>
        <v>-2.0478806645636727</v>
      </c>
      <c r="I37" s="959">
        <f t="shared" si="4"/>
        <v>-0.9535428537184365</v>
      </c>
      <c r="J37" s="959">
        <f t="shared" si="4"/>
        <v>-1.1632522679141943</v>
      </c>
      <c r="K37" s="959">
        <f t="shared" si="4"/>
        <v>-1.3916115922054995</v>
      </c>
      <c r="L37" s="959">
        <f t="shared" si="4"/>
        <v>-3.7932057224268734</v>
      </c>
    </row>
    <row r="38" spans="1:13" s="961" customFormat="1">
      <c r="A38" s="431" t="s">
        <v>449</v>
      </c>
      <c r="B38" s="959">
        <f>((((B31/B24))^(1/7))-1)*100</f>
        <v>-2.2614770886544511</v>
      </c>
      <c r="C38" s="959">
        <f t="shared" ref="C38:L38" si="5">((((C31/C24))^(1/7))-1)*100</f>
        <v>-0.71188856261187317</v>
      </c>
      <c r="D38" s="959">
        <f t="shared" si="5"/>
        <v>-1.4938794558884472</v>
      </c>
      <c r="E38" s="959">
        <f t="shared" si="5"/>
        <v>-0.68213930505783837</v>
      </c>
      <c r="F38" s="959">
        <f t="shared" si="5"/>
        <v>-1.6999236294786946</v>
      </c>
      <c r="G38" s="959">
        <f t="shared" si="5"/>
        <v>-2.7450449963394852</v>
      </c>
      <c r="H38" s="959">
        <f t="shared" si="5"/>
        <v>-2.0016970794832445</v>
      </c>
      <c r="I38" s="959">
        <f t="shared" si="5"/>
        <v>-0.98641686861674627</v>
      </c>
      <c r="J38" s="959">
        <f t="shared" si="5"/>
        <v>-0.82735726317191283</v>
      </c>
      <c r="K38" s="959">
        <f t="shared" si="5"/>
        <v>-1.1116633717032309</v>
      </c>
      <c r="L38" s="959">
        <f t="shared" si="5"/>
        <v>-4.3528948384394583</v>
      </c>
    </row>
    <row r="39" spans="1:13" s="114" customFormat="1">
      <c r="A39" s="431"/>
      <c r="D39" s="959" t="s">
        <v>276</v>
      </c>
    </row>
    <row r="40" spans="1:13" s="114" customFormat="1">
      <c r="A40" s="431" t="s">
        <v>819</v>
      </c>
      <c r="B40" s="10">
        <f t="shared" ref="B40:L40" si="6">(B30/B5-1)*100</f>
        <v>11.764705882352944</v>
      </c>
      <c r="C40" s="10">
        <f t="shared" si="6"/>
        <v>17.985611510791344</v>
      </c>
      <c r="D40" s="10">
        <f t="shared" si="6"/>
        <v>39.449541284403658</v>
      </c>
      <c r="E40" s="10">
        <f t="shared" si="6"/>
        <v>27.692307692307704</v>
      </c>
      <c r="F40" s="10">
        <f t="shared" si="6"/>
        <v>20.634920634920629</v>
      </c>
      <c r="G40" s="10">
        <f t="shared" si="6"/>
        <v>11.949685534591193</v>
      </c>
      <c r="H40" s="10">
        <f t="shared" si="6"/>
        <v>15.231788079470189</v>
      </c>
      <c r="I40" s="10">
        <f t="shared" si="6"/>
        <v>19.858156028368779</v>
      </c>
      <c r="J40" s="10">
        <f t="shared" si="6"/>
        <v>10.000000000000009</v>
      </c>
      <c r="K40" s="10">
        <f t="shared" si="6"/>
        <v>4.9079754601226933</v>
      </c>
      <c r="L40" s="10">
        <f t="shared" si="6"/>
        <v>0</v>
      </c>
    </row>
    <row r="41" spans="1:13" s="961" customFormat="1">
      <c r="A41" s="431" t="s">
        <v>447</v>
      </c>
      <c r="B41" s="10">
        <f>(B31/B5-1)*100</f>
        <v>9.1503267973856097</v>
      </c>
      <c r="C41" s="10">
        <f t="shared" ref="C41:L41" si="7">(C31/C5-1)*100</f>
        <v>12.230215827338121</v>
      </c>
      <c r="D41" s="10">
        <f t="shared" si="7"/>
        <v>32.11009174311927</v>
      </c>
      <c r="E41" s="10">
        <f t="shared" si="7"/>
        <v>25.384615384615383</v>
      </c>
      <c r="F41" s="10">
        <f t="shared" si="7"/>
        <v>18.253968253968257</v>
      </c>
      <c r="G41" s="10">
        <f t="shared" si="7"/>
        <v>8.1761006289308149</v>
      </c>
      <c r="H41" s="10">
        <f t="shared" si="7"/>
        <v>13.245033112582782</v>
      </c>
      <c r="I41" s="10">
        <f t="shared" si="7"/>
        <v>18.439716312056742</v>
      </c>
      <c r="J41" s="10">
        <f t="shared" si="7"/>
        <v>11.333333333333329</v>
      </c>
      <c r="K41" s="10">
        <f t="shared" si="7"/>
        <v>5.5214723926380271</v>
      </c>
      <c r="L41" s="10">
        <f t="shared" si="7"/>
        <v>-7.6433121019108263</v>
      </c>
    </row>
    <row r="42" spans="1:13" ht="13.5" customHeight="1">
      <c r="A42" s="1170"/>
      <c r="B42" s="1170"/>
      <c r="C42" s="1170"/>
      <c r="D42" s="1170"/>
      <c r="E42" s="1170"/>
      <c r="F42" s="1170"/>
      <c r="G42" s="1170"/>
      <c r="H42" s="1170"/>
      <c r="I42" s="1170"/>
      <c r="J42" s="1170"/>
      <c r="K42" s="1170"/>
      <c r="L42" s="1170"/>
    </row>
    <row r="43" spans="1:13" ht="25.5" customHeight="1">
      <c r="A43" s="1170" t="s">
        <v>371</v>
      </c>
      <c r="B43" s="1170"/>
      <c r="C43" s="1170"/>
      <c r="D43" s="1170"/>
      <c r="E43" s="1170"/>
      <c r="F43" s="1170"/>
      <c r="G43" s="1170"/>
      <c r="H43" s="1170"/>
      <c r="I43" s="1170"/>
      <c r="J43" s="1170"/>
      <c r="K43" s="1170"/>
      <c r="L43" s="1170"/>
    </row>
    <row r="44" spans="1:13">
      <c r="A44" s="4" t="s">
        <v>1868</v>
      </c>
      <c r="B44" s="9"/>
      <c r="C44" s="9"/>
      <c r="D44" s="9"/>
      <c r="E44" s="9"/>
      <c r="F44" s="9"/>
      <c r="G44" s="9"/>
      <c r="H44" s="9"/>
      <c r="I44" s="9"/>
      <c r="J44" s="9"/>
      <c r="K44" s="9"/>
      <c r="L44" s="9"/>
    </row>
    <row r="45" spans="1:13">
      <c r="A45" s="4" t="s">
        <v>388</v>
      </c>
    </row>
    <row r="48" spans="1:13">
      <c r="B48" s="961"/>
      <c r="C48" s="961"/>
      <c r="D48" s="961"/>
      <c r="E48" s="961"/>
      <c r="F48" s="961"/>
      <c r="G48" s="961"/>
      <c r="H48" s="961"/>
      <c r="I48" s="961"/>
      <c r="J48" s="961"/>
      <c r="K48" s="961"/>
      <c r="L48" s="961"/>
      <c r="M48" s="961"/>
    </row>
    <row r="49" spans="2:13">
      <c r="B49" s="961"/>
      <c r="C49" s="961"/>
      <c r="D49" s="961"/>
      <c r="E49" s="961"/>
      <c r="F49" s="961"/>
      <c r="G49" s="961"/>
      <c r="H49" s="961"/>
      <c r="I49" s="961"/>
      <c r="J49" s="961"/>
      <c r="K49" s="961"/>
      <c r="L49" s="961"/>
      <c r="M49" s="961"/>
    </row>
    <row r="50" spans="2:13">
      <c r="B50" s="961"/>
      <c r="C50" s="961"/>
      <c r="D50" s="961"/>
      <c r="E50" s="961"/>
      <c r="F50" s="961"/>
      <c r="G50" s="961"/>
      <c r="H50" s="961"/>
      <c r="I50" s="961"/>
      <c r="J50" s="961"/>
      <c r="K50" s="961"/>
      <c r="L50" s="961"/>
      <c r="M50" s="961"/>
    </row>
    <row r="51" spans="2:13">
      <c r="B51" s="961"/>
      <c r="C51" s="961"/>
      <c r="D51" s="961"/>
      <c r="E51" s="961"/>
      <c r="F51" s="961"/>
      <c r="G51" s="961"/>
      <c r="H51" s="961"/>
      <c r="I51" s="961"/>
      <c r="J51" s="961"/>
      <c r="K51" s="961"/>
      <c r="L51" s="961"/>
      <c r="M51" s="961"/>
    </row>
    <row r="52" spans="2:13">
      <c r="B52" s="961"/>
      <c r="C52" s="961"/>
      <c r="D52" s="961"/>
      <c r="E52" s="961"/>
      <c r="F52" s="961"/>
      <c r="G52" s="961"/>
      <c r="H52" s="961"/>
      <c r="I52" s="961"/>
      <c r="J52" s="961"/>
      <c r="K52" s="961"/>
      <c r="L52" s="961"/>
      <c r="M52" s="961"/>
    </row>
    <row r="53" spans="2:13">
      <c r="B53" s="961"/>
      <c r="C53" s="961"/>
      <c r="D53" s="961"/>
      <c r="E53" s="961"/>
      <c r="F53" s="961"/>
      <c r="G53" s="961"/>
      <c r="H53" s="961"/>
      <c r="I53" s="961"/>
      <c r="J53" s="961"/>
      <c r="K53" s="961"/>
      <c r="L53" s="961"/>
      <c r="M53" s="961"/>
    </row>
    <row r="54" spans="2:13">
      <c r="B54" s="961"/>
      <c r="C54" s="961"/>
      <c r="D54" s="961"/>
      <c r="E54" s="961"/>
      <c r="F54" s="961"/>
      <c r="G54" s="961"/>
      <c r="H54" s="961"/>
      <c r="I54" s="961"/>
      <c r="J54" s="961"/>
      <c r="K54" s="961"/>
      <c r="L54" s="961"/>
      <c r="M54" s="961"/>
    </row>
    <row r="55" spans="2:13">
      <c r="B55" s="961"/>
      <c r="C55" s="961"/>
      <c r="D55" s="961"/>
      <c r="E55" s="961"/>
      <c r="F55" s="961"/>
      <c r="G55" s="961"/>
      <c r="H55" s="961"/>
      <c r="I55" s="961"/>
      <c r="J55" s="961"/>
      <c r="K55" s="961"/>
      <c r="L55" s="961"/>
      <c r="M55" s="961"/>
    </row>
    <row r="56" spans="2:13">
      <c r="B56" s="961"/>
      <c r="C56" s="961"/>
      <c r="D56" s="961"/>
      <c r="E56" s="961"/>
      <c r="F56" s="961"/>
      <c r="G56" s="961"/>
      <c r="H56" s="961"/>
      <c r="I56" s="961"/>
      <c r="J56" s="961"/>
      <c r="K56" s="961"/>
      <c r="L56" s="961"/>
      <c r="M56" s="961"/>
    </row>
    <row r="57" spans="2:13">
      <c r="B57" s="961"/>
      <c r="C57" s="961"/>
      <c r="D57" s="961"/>
      <c r="E57" s="961"/>
      <c r="F57" s="961"/>
      <c r="G57" s="961"/>
      <c r="H57" s="961"/>
      <c r="I57" s="961"/>
      <c r="J57" s="961"/>
      <c r="K57" s="961"/>
      <c r="L57" s="961"/>
      <c r="M57" s="961"/>
    </row>
    <row r="58" spans="2:13">
      <c r="B58" s="961"/>
      <c r="C58" s="961"/>
      <c r="D58" s="961"/>
      <c r="E58" s="961"/>
      <c r="F58" s="961"/>
      <c r="G58" s="961"/>
      <c r="H58" s="961"/>
      <c r="I58" s="961"/>
      <c r="J58" s="961"/>
      <c r="K58" s="961"/>
      <c r="L58" s="961"/>
      <c r="M58" s="961"/>
    </row>
    <row r="59" spans="2:13">
      <c r="B59" s="961"/>
      <c r="C59" s="961"/>
      <c r="D59" s="961"/>
      <c r="E59" s="961"/>
      <c r="F59" s="961"/>
      <c r="G59" s="961"/>
      <c r="H59" s="961"/>
      <c r="I59" s="961"/>
      <c r="J59" s="961"/>
      <c r="K59" s="961"/>
      <c r="L59" s="961"/>
      <c r="M59" s="961"/>
    </row>
    <row r="60" spans="2:13">
      <c r="B60" s="961"/>
      <c r="C60" s="961"/>
      <c r="D60" s="961"/>
      <c r="E60" s="961"/>
      <c r="F60" s="961"/>
      <c r="G60" s="961"/>
      <c r="H60" s="961"/>
      <c r="I60" s="961"/>
      <c r="J60" s="961"/>
      <c r="K60" s="961"/>
      <c r="L60" s="961"/>
      <c r="M60" s="961"/>
    </row>
    <row r="61" spans="2:13">
      <c r="B61" s="961"/>
      <c r="C61" s="961"/>
      <c r="D61" s="961"/>
      <c r="E61" s="961"/>
      <c r="F61" s="961"/>
      <c r="G61" s="961"/>
      <c r="H61" s="961"/>
      <c r="I61" s="961"/>
      <c r="J61" s="961"/>
      <c r="K61" s="961"/>
      <c r="L61" s="961"/>
      <c r="M61" s="961"/>
    </row>
    <row r="62" spans="2:13">
      <c r="B62" s="961"/>
      <c r="C62" s="961"/>
      <c r="D62" s="961"/>
      <c r="E62" s="961"/>
      <c r="F62" s="961"/>
      <c r="G62" s="961"/>
      <c r="H62" s="961"/>
      <c r="I62" s="961"/>
      <c r="J62" s="961"/>
      <c r="K62" s="961"/>
      <c r="L62" s="961"/>
      <c r="M62" s="961"/>
    </row>
    <row r="63" spans="2:13">
      <c r="B63" s="961"/>
      <c r="C63" s="961"/>
      <c r="D63" s="961"/>
      <c r="E63" s="961"/>
      <c r="F63" s="961"/>
      <c r="G63" s="961"/>
      <c r="H63" s="961"/>
      <c r="I63" s="961"/>
      <c r="J63" s="961"/>
      <c r="K63" s="961"/>
      <c r="L63" s="961"/>
      <c r="M63" s="961"/>
    </row>
    <row r="64" spans="2:13">
      <c r="B64" s="961"/>
      <c r="C64" s="961"/>
      <c r="D64" s="961"/>
      <c r="E64" s="961"/>
      <c r="F64" s="961"/>
      <c r="G64" s="961"/>
      <c r="H64" s="961"/>
      <c r="I64" s="961"/>
      <c r="J64" s="961"/>
      <c r="K64" s="961"/>
      <c r="L64" s="961"/>
      <c r="M64" s="961"/>
    </row>
    <row r="65" spans="2:13">
      <c r="B65" s="961"/>
      <c r="C65" s="961"/>
      <c r="D65" s="961"/>
      <c r="E65" s="961"/>
      <c r="F65" s="961"/>
      <c r="G65" s="961"/>
      <c r="H65" s="961"/>
      <c r="I65" s="961"/>
      <c r="J65" s="961"/>
      <c r="K65" s="961"/>
      <c r="L65" s="961"/>
      <c r="M65" s="961"/>
    </row>
    <row r="66" spans="2:13">
      <c r="B66" s="961"/>
      <c r="C66" s="961"/>
      <c r="D66" s="961"/>
      <c r="E66" s="961"/>
      <c r="F66" s="961"/>
      <c r="G66" s="961"/>
      <c r="H66" s="961"/>
      <c r="I66" s="961"/>
      <c r="J66" s="961"/>
      <c r="K66" s="961"/>
      <c r="L66" s="961"/>
      <c r="M66" s="961"/>
    </row>
    <row r="67" spans="2:13">
      <c r="B67" s="961"/>
      <c r="C67" s="961"/>
      <c r="D67" s="961"/>
      <c r="E67" s="961"/>
      <c r="F67" s="961"/>
      <c r="G67" s="961"/>
      <c r="H67" s="961"/>
      <c r="I67" s="961"/>
      <c r="J67" s="961"/>
      <c r="K67" s="961"/>
      <c r="L67" s="961"/>
      <c r="M67" s="961"/>
    </row>
    <row r="68" spans="2:13">
      <c r="B68" s="961"/>
      <c r="C68" s="961"/>
      <c r="D68" s="961"/>
      <c r="E68" s="961"/>
      <c r="F68" s="961"/>
      <c r="G68" s="961"/>
      <c r="H68" s="961"/>
      <c r="I68" s="961"/>
      <c r="J68" s="961"/>
      <c r="K68" s="961"/>
      <c r="L68" s="961"/>
      <c r="M68" s="961"/>
    </row>
    <row r="69" spans="2:13">
      <c r="B69" s="961"/>
      <c r="C69" s="961"/>
      <c r="D69" s="961"/>
      <c r="E69" s="961"/>
      <c r="F69" s="961"/>
      <c r="G69" s="961"/>
      <c r="H69" s="961"/>
      <c r="I69" s="961"/>
      <c r="J69" s="961"/>
      <c r="K69" s="961"/>
      <c r="L69" s="961"/>
      <c r="M69" s="961"/>
    </row>
    <row r="70" spans="2:13">
      <c r="B70" s="961"/>
      <c r="C70" s="961"/>
      <c r="D70" s="961"/>
      <c r="E70" s="961"/>
      <c r="F70" s="961"/>
      <c r="G70" s="961"/>
      <c r="H70" s="961"/>
      <c r="I70" s="961"/>
      <c r="J70" s="961"/>
      <c r="K70" s="961"/>
      <c r="L70" s="961"/>
      <c r="M70" s="961"/>
    </row>
    <row r="71" spans="2:13">
      <c r="B71" s="961"/>
      <c r="C71" s="961"/>
      <c r="D71" s="961"/>
      <c r="E71" s="961"/>
      <c r="F71" s="961"/>
      <c r="G71" s="961"/>
      <c r="H71" s="961"/>
      <c r="I71" s="961"/>
      <c r="J71" s="961"/>
      <c r="K71" s="961"/>
      <c r="L71" s="961"/>
      <c r="M71" s="961"/>
    </row>
    <row r="72" spans="2:13">
      <c r="B72" s="961"/>
      <c r="C72" s="961"/>
      <c r="D72" s="961"/>
      <c r="E72" s="961"/>
      <c r="F72" s="961"/>
      <c r="G72" s="961"/>
      <c r="H72" s="961"/>
      <c r="I72" s="961"/>
      <c r="J72" s="961"/>
      <c r="K72" s="961"/>
      <c r="L72" s="961"/>
      <c r="M72" s="961"/>
    </row>
    <row r="73" spans="2:13">
      <c r="B73" s="961"/>
      <c r="C73" s="961"/>
      <c r="D73" s="961"/>
      <c r="E73" s="961"/>
      <c r="F73" s="961"/>
      <c r="G73" s="961"/>
      <c r="H73" s="961"/>
      <c r="I73" s="961"/>
      <c r="J73" s="961"/>
      <c r="K73" s="961"/>
      <c r="L73" s="961"/>
      <c r="M73" s="961"/>
    </row>
    <row r="74" spans="2:13">
      <c r="B74" s="961"/>
      <c r="C74" s="961"/>
      <c r="D74" s="961"/>
      <c r="E74" s="961"/>
      <c r="F74" s="961"/>
      <c r="G74" s="961"/>
      <c r="H74" s="961"/>
      <c r="I74" s="961"/>
      <c r="J74" s="961"/>
      <c r="K74" s="961"/>
      <c r="L74" s="961"/>
      <c r="M74" s="961"/>
    </row>
    <row r="75" spans="2:13">
      <c r="B75" s="961"/>
      <c r="C75" s="961"/>
      <c r="D75" s="961"/>
      <c r="E75" s="961"/>
      <c r="F75" s="961"/>
      <c r="G75" s="961"/>
      <c r="H75" s="961"/>
      <c r="I75" s="961"/>
      <c r="J75" s="961"/>
      <c r="K75" s="961"/>
      <c r="L75" s="961"/>
      <c r="M75" s="961"/>
    </row>
    <row r="76" spans="2:13">
      <c r="B76" s="961"/>
      <c r="C76" s="961"/>
      <c r="D76" s="961"/>
      <c r="E76" s="961"/>
      <c r="F76" s="961"/>
      <c r="G76" s="961"/>
      <c r="H76" s="961"/>
      <c r="I76" s="961"/>
      <c r="J76" s="961"/>
      <c r="K76" s="961"/>
      <c r="L76" s="961"/>
      <c r="M76" s="961"/>
    </row>
  </sheetData>
  <mergeCells count="13">
    <mergeCell ref="I3:I4"/>
    <mergeCell ref="B3:B4"/>
    <mergeCell ref="C3:C4"/>
    <mergeCell ref="A43:L43"/>
    <mergeCell ref="D3:D4"/>
    <mergeCell ref="E3:E4"/>
    <mergeCell ref="A42:L42"/>
    <mergeCell ref="J3:J4"/>
    <mergeCell ref="K3:K4"/>
    <mergeCell ref="L3:L4"/>
    <mergeCell ref="F3:F4"/>
    <mergeCell ref="G3:G4"/>
    <mergeCell ref="H3:H4"/>
  </mergeCells>
  <phoneticPr fontId="35" type="noConversion"/>
  <pageMargins left="0.75" right="0.75" top="1" bottom="1" header="0.5" footer="0.5"/>
  <pageSetup scale="82" orientation="landscape" horizontalDpi="300" verticalDpi="300" r:id="rId1"/>
  <headerFooter alignWithMargins="0"/>
</worksheet>
</file>

<file path=xl/worksheets/sheet35.xml><?xml version="1.0" encoding="utf-8"?>
<worksheet xmlns="http://schemas.openxmlformats.org/spreadsheetml/2006/main" xmlns:r="http://schemas.openxmlformats.org/officeDocument/2006/relationships">
  <sheetPr codeName="Sheet104">
    <pageSetUpPr fitToPage="1"/>
  </sheetPr>
  <dimension ref="A1:L40"/>
  <sheetViews>
    <sheetView view="pageBreakPreview" zoomScale="115" zoomScaleSheetLayoutView="115" workbookViewId="0">
      <selection activeCell="H62" sqref="H62"/>
    </sheetView>
  </sheetViews>
  <sheetFormatPr defaultRowHeight="12.75"/>
  <cols>
    <col min="1" max="1" width="3.5703125" style="1" customWidth="1"/>
    <col min="2" max="2" width="14.85546875" style="1" customWidth="1"/>
    <col min="3" max="5" width="27.85546875" style="1" customWidth="1"/>
    <col min="6" max="6" width="28.140625" style="1" customWidth="1"/>
    <col min="7" max="16384" width="9.140625" style="1"/>
  </cols>
  <sheetData>
    <row r="1" spans="1:12" ht="15.75">
      <c r="A1" s="3" t="s">
        <v>1877</v>
      </c>
    </row>
    <row r="2" spans="1:12">
      <c r="A2" s="4"/>
      <c r="B2" s="4"/>
      <c r="C2" s="4"/>
    </row>
    <row r="3" spans="1:12">
      <c r="A3" s="4"/>
      <c r="B3" s="4"/>
      <c r="C3" s="1166" t="s">
        <v>1876</v>
      </c>
      <c r="D3" s="1164" t="s">
        <v>305</v>
      </c>
      <c r="E3" s="1172" t="s">
        <v>306</v>
      </c>
    </row>
    <row r="4" spans="1:12" s="4" customFormat="1">
      <c r="A4" s="667"/>
      <c r="B4" s="667"/>
      <c r="C4" s="1167"/>
      <c r="D4" s="1165"/>
      <c r="E4" s="1173"/>
    </row>
    <row r="5" spans="1:12" s="4" customFormat="1">
      <c r="C5" s="243"/>
      <c r="D5" s="640"/>
      <c r="E5" s="645"/>
    </row>
    <row r="6" spans="1:12">
      <c r="A6" s="2" t="s">
        <v>964</v>
      </c>
      <c r="B6" s="4"/>
      <c r="C6" s="20">
        <v>11500</v>
      </c>
      <c r="D6" s="21">
        <v>16.7</v>
      </c>
      <c r="E6" s="21">
        <v>100</v>
      </c>
      <c r="F6" s="300"/>
    </row>
    <row r="7" spans="1:12" ht="15">
      <c r="B7" s="4" t="s">
        <v>167</v>
      </c>
      <c r="C7" s="20">
        <v>900</v>
      </c>
      <c r="D7" s="21">
        <v>6.1</v>
      </c>
      <c r="E7" s="21">
        <v>1.6</v>
      </c>
      <c r="F7" s="121"/>
      <c r="G7" s="813">
        <v>100</v>
      </c>
      <c r="H7" s="813">
        <v>1.1000000000000001</v>
      </c>
      <c r="I7" s="813">
        <v>1.8</v>
      </c>
      <c r="J7" s="813">
        <v>8.1</v>
      </c>
      <c r="K7" s="813">
        <v>22</v>
      </c>
      <c r="L7" s="813">
        <v>67</v>
      </c>
    </row>
    <row r="8" spans="1:12">
      <c r="B8" s="4" t="s">
        <v>168</v>
      </c>
      <c r="C8" s="20">
        <v>2800</v>
      </c>
      <c r="D8" s="21">
        <v>8.3000000000000007</v>
      </c>
      <c r="E8" s="21">
        <v>4.8</v>
      </c>
      <c r="F8" s="121"/>
    </row>
    <row r="9" spans="1:12">
      <c r="B9" s="4" t="s">
        <v>169</v>
      </c>
      <c r="C9" s="20">
        <v>6500</v>
      </c>
      <c r="D9" s="21">
        <v>12.2</v>
      </c>
      <c r="E9" s="21">
        <v>11.4</v>
      </c>
      <c r="F9" s="121"/>
    </row>
    <row r="10" spans="1:12">
      <c r="B10" s="4" t="s">
        <v>170</v>
      </c>
      <c r="C10" s="20">
        <v>12400</v>
      </c>
      <c r="D10" s="21">
        <v>15.3</v>
      </c>
      <c r="E10" s="21">
        <v>21.6</v>
      </c>
      <c r="F10" s="121"/>
    </row>
    <row r="11" spans="1:12">
      <c r="B11" s="4" t="s">
        <v>171</v>
      </c>
      <c r="C11" s="20">
        <v>34800</v>
      </c>
      <c r="D11" s="21">
        <v>21.5</v>
      </c>
      <c r="E11" s="21">
        <v>60.6</v>
      </c>
      <c r="F11" s="121"/>
    </row>
    <row r="12" spans="1:12">
      <c r="B12" s="4"/>
      <c r="C12" s="242"/>
    </row>
    <row r="13" spans="1:12">
      <c r="A13" s="2" t="s">
        <v>816</v>
      </c>
      <c r="B13" s="4"/>
      <c r="C13" s="20">
        <v>14400</v>
      </c>
      <c r="D13" s="21">
        <v>16.7</v>
      </c>
      <c r="E13" s="21">
        <v>100</v>
      </c>
    </row>
    <row r="14" spans="1:12">
      <c r="B14" s="4" t="s">
        <v>167</v>
      </c>
      <c r="C14" s="20">
        <v>1600</v>
      </c>
      <c r="D14" s="21">
        <v>5.7</v>
      </c>
      <c r="E14" s="21">
        <v>2.2000000000000002</v>
      </c>
    </row>
    <row r="15" spans="1:12">
      <c r="B15" s="4" t="s">
        <v>168</v>
      </c>
      <c r="C15" s="20">
        <v>4300</v>
      </c>
      <c r="D15" s="21">
        <v>8.8000000000000007</v>
      </c>
      <c r="E15" s="21">
        <v>6</v>
      </c>
    </row>
    <row r="16" spans="1:12">
      <c r="B16" s="4" t="s">
        <v>169</v>
      </c>
      <c r="C16" s="20">
        <v>9200</v>
      </c>
      <c r="D16" s="21">
        <v>13</v>
      </c>
      <c r="E16" s="21">
        <v>12.8</v>
      </c>
    </row>
    <row r="17" spans="1:5">
      <c r="B17" s="4" t="s">
        <v>170</v>
      </c>
      <c r="C17" s="20">
        <v>16500</v>
      </c>
      <c r="D17" s="21">
        <v>16.5</v>
      </c>
      <c r="E17" s="21">
        <v>22.8</v>
      </c>
    </row>
    <row r="18" spans="1:5">
      <c r="B18" s="4" t="s">
        <v>171</v>
      </c>
      <c r="C18" s="20">
        <v>40500</v>
      </c>
      <c r="D18" s="21">
        <v>22.1</v>
      </c>
      <c r="E18" s="21">
        <v>56.1</v>
      </c>
    </row>
    <row r="19" spans="1:5">
      <c r="B19" s="4"/>
      <c r="C19" s="242"/>
    </row>
    <row r="20" spans="1:5">
      <c r="A20" s="2" t="s">
        <v>817</v>
      </c>
      <c r="B20" s="4"/>
      <c r="C20" s="20">
        <v>5900</v>
      </c>
      <c r="D20" s="21">
        <v>16.399999999999999</v>
      </c>
      <c r="E20" s="21">
        <v>100</v>
      </c>
    </row>
    <row r="21" spans="1:5">
      <c r="B21" s="4" t="s">
        <v>167</v>
      </c>
      <c r="C21" s="20">
        <v>300</v>
      </c>
      <c r="D21" s="21">
        <v>4.2</v>
      </c>
      <c r="E21" s="21">
        <v>1.1000000000000001</v>
      </c>
    </row>
    <row r="22" spans="1:5">
      <c r="B22" s="4" t="s">
        <v>168</v>
      </c>
      <c r="C22" s="20">
        <v>500</v>
      </c>
      <c r="D22" s="21">
        <v>2.6</v>
      </c>
      <c r="E22" s="21">
        <v>1.5</v>
      </c>
    </row>
    <row r="23" spans="1:5">
      <c r="B23" s="4" t="s">
        <v>169</v>
      </c>
      <c r="C23" s="20">
        <v>2400</v>
      </c>
      <c r="D23" s="21">
        <v>9.1</v>
      </c>
      <c r="E23" s="21">
        <v>8.1999999999999993</v>
      </c>
    </row>
    <row r="24" spans="1:5">
      <c r="B24" s="4" t="s">
        <v>170</v>
      </c>
      <c r="C24" s="20">
        <v>6400</v>
      </c>
      <c r="D24" s="21">
        <v>15.4</v>
      </c>
      <c r="E24" s="21">
        <v>21.7</v>
      </c>
    </row>
    <row r="25" spans="1:5">
      <c r="B25" s="4" t="s">
        <v>171</v>
      </c>
      <c r="C25" s="20">
        <v>19700</v>
      </c>
      <c r="D25" s="21">
        <v>23.1</v>
      </c>
      <c r="E25" s="21">
        <v>67.400000000000006</v>
      </c>
    </row>
    <row r="27" spans="1:5" ht="62.25" customHeight="1">
      <c r="A27" s="1170" t="s">
        <v>497</v>
      </c>
      <c r="B27" s="1170"/>
      <c r="C27" s="1170"/>
      <c r="D27" s="1170"/>
      <c r="E27" s="1170"/>
    </row>
    <row r="28" spans="1:5">
      <c r="A28" s="4" t="s">
        <v>1868</v>
      </c>
      <c r="B28" s="4"/>
      <c r="C28" s="9"/>
      <c r="D28" s="9"/>
      <c r="E28" s="9"/>
    </row>
    <row r="29" spans="1:5">
      <c r="A29" s="4" t="s">
        <v>388</v>
      </c>
    </row>
    <row r="33" spans="3:6">
      <c r="C33" s="961" t="s">
        <v>1869</v>
      </c>
      <c r="D33" s="961" t="s">
        <v>1871</v>
      </c>
      <c r="E33" s="961" t="s">
        <v>1850</v>
      </c>
      <c r="F33" s="961"/>
    </row>
    <row r="34" spans="3:6">
      <c r="C34" s="961"/>
      <c r="D34" s="961" t="s">
        <v>1873</v>
      </c>
      <c r="E34" s="961" t="s">
        <v>1874</v>
      </c>
      <c r="F34" s="961" t="s">
        <v>1875</v>
      </c>
    </row>
    <row r="35" spans="3:6">
      <c r="C35" s="961" t="s">
        <v>1852</v>
      </c>
      <c r="D35" s="961">
        <v>5900</v>
      </c>
      <c r="E35" s="961">
        <v>16.399999999999999</v>
      </c>
      <c r="F35" s="961">
        <v>100</v>
      </c>
    </row>
    <row r="36" spans="3:6">
      <c r="C36" s="961" t="s">
        <v>1853</v>
      </c>
      <c r="D36" s="961">
        <v>300</v>
      </c>
      <c r="E36" s="961">
        <v>4.2</v>
      </c>
      <c r="F36" s="961">
        <v>1.1000000000000001</v>
      </c>
    </row>
    <row r="37" spans="3:6">
      <c r="C37" s="961" t="s">
        <v>1854</v>
      </c>
      <c r="D37" s="961">
        <v>500</v>
      </c>
      <c r="E37" s="961">
        <v>2.6</v>
      </c>
      <c r="F37" s="961">
        <v>1.5</v>
      </c>
    </row>
    <row r="38" spans="3:6">
      <c r="C38" s="961" t="s">
        <v>1855</v>
      </c>
      <c r="D38" s="961">
        <v>2400</v>
      </c>
      <c r="E38" s="961">
        <v>9.1</v>
      </c>
      <c r="F38" s="961">
        <v>8.1999999999999993</v>
      </c>
    </row>
    <row r="39" spans="3:6">
      <c r="C39" s="961" t="s">
        <v>1856</v>
      </c>
      <c r="D39" s="961">
        <v>6400</v>
      </c>
      <c r="E39" s="961">
        <v>15.4</v>
      </c>
      <c r="F39" s="961">
        <v>21.7</v>
      </c>
    </row>
    <row r="40" spans="3:6">
      <c r="C40" s="961" t="s">
        <v>1857</v>
      </c>
      <c r="D40" s="961">
        <v>19700</v>
      </c>
      <c r="E40" s="961">
        <v>23.1</v>
      </c>
      <c r="F40" s="961">
        <v>67.400000000000006</v>
      </c>
    </row>
  </sheetData>
  <mergeCells count="4">
    <mergeCell ref="A27:E27"/>
    <mergeCell ref="C3:C4"/>
    <mergeCell ref="D3:D4"/>
    <mergeCell ref="E3:E4"/>
  </mergeCells>
  <phoneticPr fontId="35" type="noConversion"/>
  <pageMargins left="0.75" right="0.75" top="1" bottom="1" header="0.5" footer="0.5"/>
  <pageSetup orientation="landscape" horizontalDpi="300" verticalDpi="300" r:id="rId1"/>
  <headerFooter alignWithMargins="0"/>
</worksheet>
</file>

<file path=xl/worksheets/sheet36.xml><?xml version="1.0" encoding="utf-8"?>
<worksheet xmlns="http://schemas.openxmlformats.org/spreadsheetml/2006/main" xmlns:r="http://schemas.openxmlformats.org/officeDocument/2006/relationships">
  <sheetPr codeName="Sheet26"/>
  <dimension ref="A1:R133"/>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3" width="4.28515625" style="1" customWidth="1"/>
    <col min="14" max="14" width="11.7109375" style="1" hidden="1" customWidth="1"/>
    <col min="15" max="15" width="8.85546875" style="1" hidden="1" customWidth="1"/>
    <col min="16" max="17" width="9.42578125" style="1" hidden="1" customWidth="1"/>
    <col min="18" max="16384" width="9.140625" style="1"/>
  </cols>
  <sheetData>
    <row r="1" spans="1:18" ht="15.75">
      <c r="A1" s="4"/>
      <c r="B1" s="3" t="s">
        <v>2120</v>
      </c>
    </row>
    <row r="2" spans="1:18">
      <c r="A2" s="4"/>
      <c r="B2" s="4"/>
    </row>
    <row r="3" spans="1:18"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8" s="4" customFormat="1" ht="25.5">
      <c r="A4" s="7"/>
      <c r="B4" s="1165"/>
      <c r="C4" s="1165"/>
      <c r="D4" s="1165"/>
      <c r="E4" s="1165"/>
      <c r="F4" s="1165"/>
      <c r="G4" s="1165"/>
      <c r="H4" s="1165"/>
      <c r="I4" s="1165"/>
      <c r="J4" s="1165"/>
      <c r="K4" s="1165"/>
      <c r="L4" s="1165"/>
      <c r="N4" s="968" t="s">
        <v>282</v>
      </c>
      <c r="O4" s="968" t="s">
        <v>282</v>
      </c>
      <c r="P4" s="645" t="s">
        <v>281</v>
      </c>
      <c r="Q4" s="645" t="s">
        <v>281</v>
      </c>
    </row>
    <row r="5" spans="1:18">
      <c r="A5" s="120">
        <v>1981</v>
      </c>
      <c r="B5" s="19">
        <v>53500</v>
      </c>
      <c r="C5" s="19">
        <v>44900</v>
      </c>
      <c r="D5" s="19">
        <v>37300</v>
      </c>
      <c r="E5" s="19">
        <v>41400</v>
      </c>
      <c r="F5" s="19">
        <v>40400</v>
      </c>
      <c r="G5" s="19">
        <v>48400</v>
      </c>
      <c r="H5" s="19">
        <v>57100</v>
      </c>
      <c r="I5" s="19">
        <v>48200</v>
      </c>
      <c r="J5" s="19">
        <v>51400</v>
      </c>
      <c r="K5" s="19">
        <v>62200</v>
      </c>
      <c r="L5" s="19">
        <v>57200</v>
      </c>
      <c r="N5" s="19">
        <f>SUM(C79:L79)/10</f>
        <v>81527000</v>
      </c>
      <c r="O5" s="19">
        <f>SQRT(N5)</f>
        <v>9029.2303104971252</v>
      </c>
      <c r="P5" s="19">
        <f>Q5^2</f>
        <v>59904500</v>
      </c>
      <c r="Q5" s="19">
        <f>STDEVP(C5:L5)</f>
        <v>7739.7997390113396</v>
      </c>
      <c r="R5" s="300"/>
    </row>
    <row r="6" spans="1:18">
      <c r="A6" s="120">
        <v>1982</v>
      </c>
      <c r="B6" s="19">
        <v>51200</v>
      </c>
      <c r="C6" s="19">
        <v>41400</v>
      </c>
      <c r="D6" s="19">
        <v>36900</v>
      </c>
      <c r="E6" s="19">
        <v>40400</v>
      </c>
      <c r="F6" s="19">
        <v>38800</v>
      </c>
      <c r="G6" s="19">
        <v>45700</v>
      </c>
      <c r="H6" s="19">
        <v>54500</v>
      </c>
      <c r="I6" s="19">
        <v>46900</v>
      </c>
      <c r="J6" s="19">
        <v>49100</v>
      </c>
      <c r="K6" s="19">
        <v>62400</v>
      </c>
      <c r="L6" s="19">
        <v>53900</v>
      </c>
      <c r="N6" s="19">
        <f t="shared" ref="N6:N28" si="0">SUM(C80:L80)/10</f>
        <v>76770000</v>
      </c>
      <c r="O6" s="19">
        <f t="shared" ref="O6:O28" si="1">SQRT(N6)</f>
        <v>8761.8491199061391</v>
      </c>
      <c r="P6" s="19">
        <f t="shared" ref="P6:P28" si="2">Q6^2</f>
        <v>59129999.999999993</v>
      </c>
      <c r="Q6" s="19">
        <f t="shared" ref="Q6:Q28" si="3">STDEVP(C6:L6)</f>
        <v>7689.6033707857778</v>
      </c>
      <c r="R6" s="300"/>
    </row>
    <row r="7" spans="1:18">
      <c r="A7" s="120">
        <v>1983</v>
      </c>
      <c r="B7" s="19">
        <v>49700</v>
      </c>
      <c r="C7" s="19">
        <v>36800</v>
      </c>
      <c r="D7" s="19">
        <v>38000</v>
      </c>
      <c r="E7" s="19">
        <v>40400</v>
      </c>
      <c r="F7" s="19">
        <v>36700</v>
      </c>
      <c r="G7" s="19">
        <v>44800</v>
      </c>
      <c r="H7" s="19">
        <v>54500</v>
      </c>
      <c r="I7" s="19">
        <v>47300</v>
      </c>
      <c r="J7" s="19">
        <v>47000</v>
      </c>
      <c r="K7" s="19">
        <v>55000</v>
      </c>
      <c r="L7" s="19">
        <v>51200</v>
      </c>
      <c r="N7" s="19">
        <f t="shared" si="0"/>
        <v>64923000</v>
      </c>
      <c r="O7" s="19">
        <f t="shared" si="1"/>
        <v>8057.48099594408</v>
      </c>
      <c r="P7" s="19">
        <f t="shared" si="2"/>
        <v>44402100</v>
      </c>
      <c r="Q7" s="19">
        <f t="shared" si="3"/>
        <v>6663.4900765289658</v>
      </c>
      <c r="R7" s="300"/>
    </row>
    <row r="8" spans="1:18">
      <c r="A8" s="120">
        <v>1984</v>
      </c>
      <c r="B8" s="19">
        <v>49700</v>
      </c>
      <c r="C8" s="19">
        <v>37000</v>
      </c>
      <c r="D8" s="19">
        <v>36900</v>
      </c>
      <c r="E8" s="19">
        <v>41600</v>
      </c>
      <c r="F8" s="19">
        <v>39700</v>
      </c>
      <c r="G8" s="19">
        <v>45400</v>
      </c>
      <c r="H8" s="19">
        <v>55400</v>
      </c>
      <c r="I8" s="19">
        <v>46700</v>
      </c>
      <c r="J8" s="19">
        <v>45700</v>
      </c>
      <c r="K8" s="19">
        <v>52700</v>
      </c>
      <c r="L8" s="19">
        <v>48300</v>
      </c>
      <c r="N8" s="19">
        <f t="shared" si="0"/>
        <v>57768000</v>
      </c>
      <c r="O8" s="19">
        <f t="shared" si="1"/>
        <v>7600.5262975665046</v>
      </c>
      <c r="P8" s="19">
        <f t="shared" si="2"/>
        <v>35110400</v>
      </c>
      <c r="Q8" s="19">
        <f t="shared" si="3"/>
        <v>5925.4029398851853</v>
      </c>
      <c r="R8" s="300"/>
    </row>
    <row r="9" spans="1:18">
      <c r="A9" s="120">
        <v>1985</v>
      </c>
      <c r="B9" s="19">
        <v>50900</v>
      </c>
      <c r="C9" s="19">
        <v>37600</v>
      </c>
      <c r="D9" s="19">
        <v>36900</v>
      </c>
      <c r="E9" s="19">
        <v>44600</v>
      </c>
      <c r="F9" s="19">
        <v>40200</v>
      </c>
      <c r="G9" s="19">
        <v>45400</v>
      </c>
      <c r="H9" s="19">
        <v>57400</v>
      </c>
      <c r="I9" s="19">
        <v>46500</v>
      </c>
      <c r="J9" s="19">
        <v>46100</v>
      </c>
      <c r="K9" s="19">
        <v>55700</v>
      </c>
      <c r="L9" s="19">
        <v>49300</v>
      </c>
      <c r="N9" s="19">
        <f t="shared" si="0"/>
        <v>66757000</v>
      </c>
      <c r="O9" s="19">
        <f t="shared" si="1"/>
        <v>8170.49570099636</v>
      </c>
      <c r="P9" s="19">
        <f t="shared" si="2"/>
        <v>42452100.000000007</v>
      </c>
      <c r="Q9" s="19">
        <f t="shared" si="3"/>
        <v>6515.5276071857761</v>
      </c>
      <c r="R9" s="300"/>
    </row>
    <row r="10" spans="1:18">
      <c r="A10" s="120">
        <v>1986</v>
      </c>
      <c r="B10" s="19">
        <v>51700</v>
      </c>
      <c r="C10" s="19">
        <v>35000</v>
      </c>
      <c r="D10" s="19">
        <v>37800</v>
      </c>
      <c r="E10" s="19">
        <v>43100</v>
      </c>
      <c r="F10" s="19">
        <v>39800</v>
      </c>
      <c r="G10" s="19">
        <v>46300</v>
      </c>
      <c r="H10" s="19">
        <v>59100</v>
      </c>
      <c r="I10" s="19">
        <v>47500</v>
      </c>
      <c r="J10" s="19">
        <v>45400</v>
      </c>
      <c r="K10" s="19">
        <v>54800</v>
      </c>
      <c r="L10" s="19">
        <v>50500</v>
      </c>
      <c r="N10" s="19">
        <f t="shared" si="0"/>
        <v>83997000</v>
      </c>
      <c r="O10" s="19">
        <f t="shared" si="1"/>
        <v>9164.9877250326972</v>
      </c>
      <c r="P10" s="19">
        <f t="shared" si="2"/>
        <v>50704100.000000007</v>
      </c>
      <c r="Q10" s="19">
        <f t="shared" si="3"/>
        <v>7120.6811471937153</v>
      </c>
      <c r="R10" s="300"/>
    </row>
    <row r="11" spans="1:18">
      <c r="A11" s="120">
        <v>1987</v>
      </c>
      <c r="B11" s="19">
        <v>52300</v>
      </c>
      <c r="C11" s="19">
        <v>37600</v>
      </c>
      <c r="D11" s="19">
        <v>39500</v>
      </c>
      <c r="E11" s="19">
        <v>44500</v>
      </c>
      <c r="F11" s="19">
        <v>39000</v>
      </c>
      <c r="G11" s="19">
        <v>46900</v>
      </c>
      <c r="H11" s="19">
        <v>60300</v>
      </c>
      <c r="I11" s="19">
        <v>46100</v>
      </c>
      <c r="J11" s="19">
        <v>45300</v>
      </c>
      <c r="K11" s="19">
        <v>53600</v>
      </c>
      <c r="L11" s="19">
        <v>50400</v>
      </c>
      <c r="N11" s="19">
        <f t="shared" si="0"/>
        <v>80356000</v>
      </c>
      <c r="O11" s="19">
        <f t="shared" si="1"/>
        <v>8964.1508242554683</v>
      </c>
      <c r="P11" s="19">
        <f t="shared" si="2"/>
        <v>44595599.999999993</v>
      </c>
      <c r="Q11" s="19">
        <f t="shared" si="3"/>
        <v>6677.9937106888619</v>
      </c>
      <c r="R11" s="300"/>
    </row>
    <row r="12" spans="1:18">
      <c r="A12" s="120">
        <v>1988</v>
      </c>
      <c r="B12" s="19">
        <v>53300</v>
      </c>
      <c r="C12" s="19">
        <v>39300</v>
      </c>
      <c r="D12" s="19">
        <v>36800</v>
      </c>
      <c r="E12" s="19">
        <v>44200</v>
      </c>
      <c r="F12" s="19">
        <v>40200</v>
      </c>
      <c r="G12" s="19">
        <v>46100</v>
      </c>
      <c r="H12" s="19">
        <v>62400</v>
      </c>
      <c r="I12" s="19">
        <v>47200</v>
      </c>
      <c r="J12" s="19">
        <v>44900</v>
      </c>
      <c r="K12" s="19">
        <v>54500</v>
      </c>
      <c r="L12" s="19">
        <v>52500</v>
      </c>
      <c r="N12" s="19">
        <f t="shared" si="0"/>
        <v>96717000</v>
      </c>
      <c r="O12" s="19">
        <f t="shared" si="1"/>
        <v>9834.4801591136475</v>
      </c>
      <c r="P12" s="19">
        <f t="shared" si="2"/>
        <v>54596900.000000007</v>
      </c>
      <c r="Q12" s="19">
        <f t="shared" si="3"/>
        <v>7388.9715116516727</v>
      </c>
      <c r="R12" s="300"/>
    </row>
    <row r="13" spans="1:18">
      <c r="A13" s="120">
        <v>1989</v>
      </c>
      <c r="B13" s="19">
        <v>54600</v>
      </c>
      <c r="C13" s="19">
        <v>41400</v>
      </c>
      <c r="D13" s="19">
        <v>39400</v>
      </c>
      <c r="E13" s="19">
        <v>44800</v>
      </c>
      <c r="F13" s="19">
        <v>42400</v>
      </c>
      <c r="G13" s="19">
        <v>47800</v>
      </c>
      <c r="H13" s="19">
        <v>63900</v>
      </c>
      <c r="I13" s="19">
        <v>48700</v>
      </c>
      <c r="J13" s="19">
        <v>45200</v>
      </c>
      <c r="K13" s="19">
        <v>54900</v>
      </c>
      <c r="L13" s="19">
        <v>53300</v>
      </c>
      <c r="N13" s="19">
        <f t="shared" si="0"/>
        <v>90784000</v>
      </c>
      <c r="O13" s="19">
        <f t="shared" si="1"/>
        <v>9528.0638117090712</v>
      </c>
      <c r="P13" s="19">
        <f t="shared" si="2"/>
        <v>49567600.000000007</v>
      </c>
      <c r="Q13" s="19">
        <f t="shared" si="3"/>
        <v>7040.426123467244</v>
      </c>
      <c r="R13" s="300"/>
    </row>
    <row r="14" spans="1:18">
      <c r="A14" s="120">
        <v>1990</v>
      </c>
      <c r="B14" s="19">
        <v>52300</v>
      </c>
      <c r="C14" s="19">
        <v>38900</v>
      </c>
      <c r="D14" s="19">
        <v>38900</v>
      </c>
      <c r="E14" s="19">
        <v>44200</v>
      </c>
      <c r="F14" s="19">
        <v>40900</v>
      </c>
      <c r="G14" s="19">
        <v>45000</v>
      </c>
      <c r="H14" s="19">
        <v>60600</v>
      </c>
      <c r="I14" s="19">
        <v>46200</v>
      </c>
      <c r="J14" s="19">
        <v>43800</v>
      </c>
      <c r="K14" s="19">
        <v>54800</v>
      </c>
      <c r="L14" s="19">
        <v>52400</v>
      </c>
      <c r="N14" s="19">
        <f t="shared" si="0"/>
        <v>79259000</v>
      </c>
      <c r="O14" s="19">
        <f t="shared" si="1"/>
        <v>8902.7523833924533</v>
      </c>
      <c r="P14" s="19">
        <f t="shared" si="2"/>
        <v>46426100</v>
      </c>
      <c r="Q14" s="19">
        <f t="shared" si="3"/>
        <v>6813.6700830022583</v>
      </c>
      <c r="R14" s="300"/>
    </row>
    <row r="15" spans="1:18">
      <c r="A15" s="120">
        <v>1991</v>
      </c>
      <c r="B15" s="19">
        <v>49500</v>
      </c>
      <c r="C15" s="19">
        <v>36900</v>
      </c>
      <c r="D15" s="19">
        <v>36900</v>
      </c>
      <c r="E15" s="19">
        <v>41500</v>
      </c>
      <c r="F15" s="19">
        <v>39200</v>
      </c>
      <c r="G15" s="19">
        <v>42800</v>
      </c>
      <c r="H15" s="19">
        <v>56400</v>
      </c>
      <c r="I15" s="19">
        <v>43500</v>
      </c>
      <c r="J15" s="19">
        <v>41800</v>
      </c>
      <c r="K15" s="19">
        <v>54300</v>
      </c>
      <c r="L15" s="19">
        <v>49500</v>
      </c>
      <c r="N15" s="19">
        <f t="shared" si="0"/>
        <v>69844000</v>
      </c>
      <c r="O15" s="19">
        <f t="shared" si="1"/>
        <v>8357.2722822700944</v>
      </c>
      <c r="P15" s="19">
        <f t="shared" si="2"/>
        <v>42595600</v>
      </c>
      <c r="Q15" s="19">
        <f t="shared" si="3"/>
        <v>6526.5304718510279</v>
      </c>
      <c r="R15" s="300"/>
    </row>
    <row r="16" spans="1:18">
      <c r="A16" s="120">
        <v>1992</v>
      </c>
      <c r="B16" s="19">
        <v>48800</v>
      </c>
      <c r="C16" s="19">
        <v>35200</v>
      </c>
      <c r="D16" s="19">
        <v>37200</v>
      </c>
      <c r="E16" s="19">
        <v>40900</v>
      </c>
      <c r="F16" s="19">
        <v>38700</v>
      </c>
      <c r="G16" s="19">
        <v>41800</v>
      </c>
      <c r="H16" s="19">
        <v>55500</v>
      </c>
      <c r="I16" s="19">
        <v>43700</v>
      </c>
      <c r="J16" s="19">
        <v>42200</v>
      </c>
      <c r="K16" s="19">
        <v>50800</v>
      </c>
      <c r="L16" s="19">
        <v>51500</v>
      </c>
      <c r="N16" s="19">
        <f t="shared" si="0"/>
        <v>65869000</v>
      </c>
      <c r="O16" s="19">
        <f t="shared" si="1"/>
        <v>8115.9719072948992</v>
      </c>
      <c r="P16" s="19">
        <f t="shared" si="2"/>
        <v>40366500</v>
      </c>
      <c r="Q16" s="19">
        <f t="shared" si="3"/>
        <v>6353.4636223087009</v>
      </c>
      <c r="R16" s="300"/>
    </row>
    <row r="17" spans="1:18">
      <c r="A17" s="120">
        <v>1993</v>
      </c>
      <c r="B17" s="19">
        <v>47200</v>
      </c>
      <c r="C17" s="19">
        <v>33600</v>
      </c>
      <c r="D17" s="19">
        <v>35100</v>
      </c>
      <c r="E17" s="19">
        <v>39200</v>
      </c>
      <c r="F17" s="19">
        <v>37700</v>
      </c>
      <c r="G17" s="19">
        <v>40300</v>
      </c>
      <c r="H17" s="19">
        <v>54000</v>
      </c>
      <c r="I17" s="19">
        <v>41500</v>
      </c>
      <c r="J17" s="19">
        <v>40300</v>
      </c>
      <c r="K17" s="19">
        <v>50600</v>
      </c>
      <c r="L17" s="19">
        <v>48300</v>
      </c>
      <c r="N17" s="19">
        <f t="shared" si="0"/>
        <v>67234000</v>
      </c>
      <c r="O17" s="19">
        <f t="shared" si="1"/>
        <v>8199.634138179581</v>
      </c>
      <c r="P17" s="19">
        <f t="shared" si="2"/>
        <v>40814400</v>
      </c>
      <c r="Q17" s="19">
        <f t="shared" si="3"/>
        <v>6388.6148733508735</v>
      </c>
      <c r="R17" s="300"/>
    </row>
    <row r="18" spans="1:18">
      <c r="A18" s="120">
        <v>1994</v>
      </c>
      <c r="B18" s="19">
        <v>47800</v>
      </c>
      <c r="C18" s="19">
        <v>36400</v>
      </c>
      <c r="D18" s="19">
        <v>36300</v>
      </c>
      <c r="E18" s="19">
        <v>38700</v>
      </c>
      <c r="F18" s="19">
        <v>37700</v>
      </c>
      <c r="G18" s="19">
        <v>41600</v>
      </c>
      <c r="H18" s="19">
        <v>54200</v>
      </c>
      <c r="I18" s="19">
        <v>43500</v>
      </c>
      <c r="J18" s="19">
        <v>40800</v>
      </c>
      <c r="K18" s="19">
        <v>51500</v>
      </c>
      <c r="L18" s="19">
        <v>48600</v>
      </c>
      <c r="N18" s="19">
        <f t="shared" si="0"/>
        <v>60825000</v>
      </c>
      <c r="O18" s="19">
        <f t="shared" si="1"/>
        <v>7799.0384022647304</v>
      </c>
      <c r="P18" s="19">
        <f t="shared" si="2"/>
        <v>37108100</v>
      </c>
      <c r="Q18" s="19">
        <f t="shared" si="3"/>
        <v>6091.6418148147877</v>
      </c>
      <c r="R18" s="300"/>
    </row>
    <row r="19" spans="1:18">
      <c r="A19" s="120">
        <v>1995</v>
      </c>
      <c r="B19" s="19">
        <v>48400</v>
      </c>
      <c r="C19" s="19">
        <v>34600</v>
      </c>
      <c r="D19" s="19">
        <v>36400</v>
      </c>
      <c r="E19" s="19">
        <v>38100</v>
      </c>
      <c r="F19" s="19">
        <v>38400</v>
      </c>
      <c r="G19" s="19">
        <v>41600</v>
      </c>
      <c r="H19" s="19">
        <v>55400</v>
      </c>
      <c r="I19" s="19">
        <v>43800</v>
      </c>
      <c r="J19" s="19">
        <v>43300</v>
      </c>
      <c r="K19" s="19">
        <v>51400</v>
      </c>
      <c r="L19" s="19">
        <v>49100</v>
      </c>
      <c r="N19" s="19">
        <f t="shared" si="0"/>
        <v>69243000</v>
      </c>
      <c r="O19" s="19">
        <f t="shared" si="1"/>
        <v>8321.2378886797851</v>
      </c>
      <c r="P19" s="19">
        <f t="shared" si="2"/>
        <v>42306900</v>
      </c>
      <c r="Q19" s="19">
        <f t="shared" si="3"/>
        <v>6504.3754504179724</v>
      </c>
      <c r="R19" s="300"/>
    </row>
    <row r="20" spans="1:18">
      <c r="A20" s="120">
        <v>1996</v>
      </c>
      <c r="B20" s="19">
        <v>48600</v>
      </c>
      <c r="C20" s="19">
        <v>34100</v>
      </c>
      <c r="D20" s="19">
        <v>37400</v>
      </c>
      <c r="E20" s="19">
        <v>37500</v>
      </c>
      <c r="F20" s="19">
        <v>38600</v>
      </c>
      <c r="G20" s="19">
        <v>42100</v>
      </c>
      <c r="H20" s="19">
        <v>55500</v>
      </c>
      <c r="I20" s="19">
        <v>43900</v>
      </c>
      <c r="J20" s="19">
        <v>42300</v>
      </c>
      <c r="K20" s="19">
        <v>52200</v>
      </c>
      <c r="L20" s="19">
        <v>49300</v>
      </c>
      <c r="N20" s="19">
        <f t="shared" si="0"/>
        <v>72399000</v>
      </c>
      <c r="O20" s="19">
        <f t="shared" si="1"/>
        <v>8508.7601917083084</v>
      </c>
      <c r="P20" s="19">
        <f t="shared" si="2"/>
        <v>44202900</v>
      </c>
      <c r="Q20" s="19">
        <f t="shared" si="3"/>
        <v>6648.5261524641683</v>
      </c>
      <c r="R20" s="300"/>
    </row>
    <row r="21" spans="1:18">
      <c r="A21" s="120">
        <v>1997</v>
      </c>
      <c r="B21" s="19">
        <v>49200</v>
      </c>
      <c r="C21" s="19">
        <v>33700</v>
      </c>
      <c r="D21" s="19">
        <v>36400</v>
      </c>
      <c r="E21" s="19">
        <v>38700</v>
      </c>
      <c r="F21" s="19">
        <v>38100</v>
      </c>
      <c r="G21" s="19">
        <v>41900</v>
      </c>
      <c r="H21" s="19">
        <v>55900</v>
      </c>
      <c r="I21" s="19">
        <v>44100</v>
      </c>
      <c r="J21" s="19">
        <v>43100</v>
      </c>
      <c r="K21" s="19">
        <v>56500</v>
      </c>
      <c r="L21" s="19">
        <v>49500</v>
      </c>
      <c r="N21" s="19">
        <f t="shared" si="0"/>
        <v>85233000</v>
      </c>
      <c r="O21" s="19">
        <f t="shared" si="1"/>
        <v>9232.1720087961967</v>
      </c>
      <c r="P21" s="19">
        <f t="shared" si="2"/>
        <v>55964900</v>
      </c>
      <c r="Q21" s="19">
        <f t="shared" si="3"/>
        <v>7480.9691885476977</v>
      </c>
      <c r="R21" s="300"/>
    </row>
    <row r="22" spans="1:18">
      <c r="A22" s="120">
        <v>1998</v>
      </c>
      <c r="B22" s="19">
        <v>51700</v>
      </c>
      <c r="C22" s="19">
        <v>36900</v>
      </c>
      <c r="D22" s="19">
        <v>39400</v>
      </c>
      <c r="E22" s="19">
        <v>41100</v>
      </c>
      <c r="F22" s="19">
        <v>41000</v>
      </c>
      <c r="G22" s="19">
        <v>44400</v>
      </c>
      <c r="H22" s="19">
        <v>59300</v>
      </c>
      <c r="I22" s="19">
        <v>47000</v>
      </c>
      <c r="J22" s="19">
        <v>43800</v>
      </c>
      <c r="K22" s="19">
        <v>58600</v>
      </c>
      <c r="L22" s="19">
        <v>49700</v>
      </c>
      <c r="N22" s="19">
        <f t="shared" si="0"/>
        <v>84434000</v>
      </c>
      <c r="O22" s="19">
        <f t="shared" si="1"/>
        <v>9188.7975274243581</v>
      </c>
      <c r="P22" s="19">
        <f t="shared" si="2"/>
        <v>53297600</v>
      </c>
      <c r="Q22" s="19">
        <f t="shared" si="3"/>
        <v>7300.5205293869285</v>
      </c>
      <c r="R22" s="300"/>
    </row>
    <row r="23" spans="1:18">
      <c r="A23" s="120">
        <v>1999</v>
      </c>
      <c r="B23" s="19">
        <v>53800</v>
      </c>
      <c r="C23" s="19">
        <v>38800</v>
      </c>
      <c r="D23" s="19">
        <v>39900</v>
      </c>
      <c r="E23" s="19">
        <v>43700</v>
      </c>
      <c r="F23" s="19">
        <v>42700</v>
      </c>
      <c r="G23" s="19">
        <v>45900</v>
      </c>
      <c r="H23" s="19">
        <v>63100</v>
      </c>
      <c r="I23" s="19">
        <v>47100</v>
      </c>
      <c r="J23" s="19">
        <v>45000</v>
      </c>
      <c r="K23" s="19">
        <v>57600</v>
      </c>
      <c r="L23" s="19">
        <v>51200</v>
      </c>
      <c r="N23" s="19">
        <f t="shared" si="0"/>
        <v>93586000</v>
      </c>
      <c r="O23" s="19">
        <f t="shared" si="1"/>
        <v>9673.9857349491685</v>
      </c>
      <c r="P23" s="19">
        <f t="shared" si="2"/>
        <v>53896000.000000007</v>
      </c>
      <c r="Q23" s="19">
        <f t="shared" si="3"/>
        <v>7341.3895142540969</v>
      </c>
      <c r="R23" s="300"/>
    </row>
    <row r="24" spans="1:18">
      <c r="A24" s="120">
        <v>2000</v>
      </c>
      <c r="B24" s="19">
        <v>55800</v>
      </c>
      <c r="C24" s="19">
        <v>40200</v>
      </c>
      <c r="D24" s="19">
        <v>41400</v>
      </c>
      <c r="E24" s="19">
        <v>44600</v>
      </c>
      <c r="F24" s="19">
        <v>44000</v>
      </c>
      <c r="G24" s="19">
        <v>47800</v>
      </c>
      <c r="H24" s="19">
        <v>65700</v>
      </c>
      <c r="I24" s="19">
        <v>48200</v>
      </c>
      <c r="J24" s="19">
        <v>45700</v>
      </c>
      <c r="K24" s="19">
        <v>60000</v>
      </c>
      <c r="L24" s="19">
        <v>51900</v>
      </c>
      <c r="N24" s="19">
        <f t="shared" si="0"/>
        <v>107003000</v>
      </c>
      <c r="O24" s="19">
        <f t="shared" si="1"/>
        <v>10344.225442245543</v>
      </c>
      <c r="P24" s="19">
        <f t="shared" si="2"/>
        <v>60080499.999999993</v>
      </c>
      <c r="Q24" s="19">
        <f t="shared" si="3"/>
        <v>7751.1612033294723</v>
      </c>
      <c r="R24" s="300"/>
    </row>
    <row r="25" spans="1:18">
      <c r="A25" s="120">
        <v>2001</v>
      </c>
      <c r="B25" s="19">
        <v>56400</v>
      </c>
      <c r="C25" s="19">
        <v>38900</v>
      </c>
      <c r="D25" s="19">
        <v>41200</v>
      </c>
      <c r="E25" s="19">
        <v>45800</v>
      </c>
      <c r="F25" s="19">
        <v>44500</v>
      </c>
      <c r="G25" s="19">
        <v>48300</v>
      </c>
      <c r="H25" s="19">
        <v>65600</v>
      </c>
      <c r="I25" s="19">
        <v>49200</v>
      </c>
      <c r="J25" s="19">
        <v>47900</v>
      </c>
      <c r="K25" s="19">
        <v>62900</v>
      </c>
      <c r="L25" s="19">
        <v>52400</v>
      </c>
      <c r="N25" s="19">
        <f t="shared" si="0"/>
        <v>112385000</v>
      </c>
      <c r="O25" s="19">
        <f t="shared" si="1"/>
        <v>10601.179179695058</v>
      </c>
      <c r="P25" s="19">
        <f t="shared" si="2"/>
        <v>67092099.999999993</v>
      </c>
      <c r="Q25" s="19">
        <f t="shared" si="3"/>
        <v>8190.9767427334327</v>
      </c>
      <c r="R25" s="300"/>
    </row>
    <row r="26" spans="1:18">
      <c r="A26" s="120">
        <v>2002</v>
      </c>
      <c r="B26" s="19">
        <v>56400</v>
      </c>
      <c r="C26" s="19">
        <v>39700</v>
      </c>
      <c r="D26" s="19">
        <v>41500</v>
      </c>
      <c r="E26" s="19">
        <v>46700</v>
      </c>
      <c r="F26" s="19">
        <v>43400</v>
      </c>
      <c r="G26" s="19">
        <v>48800</v>
      </c>
      <c r="H26" s="19">
        <v>65300</v>
      </c>
      <c r="I26" s="19">
        <v>49500</v>
      </c>
      <c r="J26" s="19">
        <v>47500</v>
      </c>
      <c r="K26" s="19">
        <v>61500</v>
      </c>
      <c r="L26" s="19">
        <v>53100</v>
      </c>
      <c r="N26" s="19">
        <f t="shared" si="0"/>
        <v>106468000</v>
      </c>
      <c r="O26" s="19">
        <f t="shared" si="1"/>
        <v>10318.333198729337</v>
      </c>
      <c r="P26" s="19">
        <f t="shared" si="2"/>
        <v>61578000</v>
      </c>
      <c r="Q26" s="19">
        <f t="shared" si="3"/>
        <v>7847.165093204042</v>
      </c>
      <c r="R26" s="300"/>
    </row>
    <row r="27" spans="1:18">
      <c r="A27" s="120">
        <v>2003</v>
      </c>
      <c r="B27" s="19">
        <v>56200</v>
      </c>
      <c r="C27" s="19">
        <v>39300</v>
      </c>
      <c r="D27" s="19">
        <v>42400</v>
      </c>
      <c r="E27" s="19">
        <v>45400</v>
      </c>
      <c r="F27" s="19">
        <v>43700</v>
      </c>
      <c r="G27" s="19">
        <v>48600</v>
      </c>
      <c r="H27" s="19">
        <v>65000</v>
      </c>
      <c r="I27" s="19">
        <v>49900</v>
      </c>
      <c r="J27" s="19">
        <v>48300</v>
      </c>
      <c r="K27" s="19">
        <v>62300</v>
      </c>
      <c r="L27" s="19">
        <v>52000</v>
      </c>
      <c r="N27" s="19">
        <f t="shared" si="0"/>
        <v>104109000</v>
      </c>
      <c r="O27" s="19">
        <f t="shared" si="1"/>
        <v>10203.381792327484</v>
      </c>
      <c r="P27" s="19">
        <f t="shared" si="2"/>
        <v>61728900</v>
      </c>
      <c r="Q27" s="19">
        <f t="shared" si="3"/>
        <v>7856.7741471929812</v>
      </c>
      <c r="R27" s="300"/>
    </row>
    <row r="28" spans="1:18">
      <c r="A28" s="120">
        <v>2004</v>
      </c>
      <c r="B28" s="19">
        <v>57200</v>
      </c>
      <c r="C28" s="19">
        <v>40200</v>
      </c>
      <c r="D28" s="19">
        <v>43700</v>
      </c>
      <c r="E28" s="19">
        <v>46100</v>
      </c>
      <c r="F28" s="19">
        <v>44400</v>
      </c>
      <c r="G28" s="19">
        <v>49700</v>
      </c>
      <c r="H28" s="19">
        <v>65400</v>
      </c>
      <c r="I28" s="19">
        <v>50600</v>
      </c>
      <c r="J28" s="19">
        <v>47800</v>
      </c>
      <c r="K28" s="19">
        <v>64900</v>
      </c>
      <c r="L28" s="19">
        <v>53900</v>
      </c>
      <c r="N28" s="19">
        <f t="shared" si="0"/>
        <v>108389000</v>
      </c>
      <c r="O28" s="19">
        <f t="shared" si="1"/>
        <v>10411.003794063279</v>
      </c>
      <c r="P28" s="19">
        <f t="shared" si="2"/>
        <v>65748100</v>
      </c>
      <c r="Q28" s="19">
        <f t="shared" si="3"/>
        <v>8108.5202102479834</v>
      </c>
      <c r="R28" s="300"/>
    </row>
    <row r="29" spans="1:18">
      <c r="A29" s="120">
        <v>2005</v>
      </c>
      <c r="B29" s="19">
        <v>57900</v>
      </c>
      <c r="C29" s="19">
        <v>42400</v>
      </c>
      <c r="D29" s="19">
        <v>43900</v>
      </c>
      <c r="E29" s="19">
        <v>47700</v>
      </c>
      <c r="F29" s="19">
        <v>44000</v>
      </c>
      <c r="G29" s="19">
        <v>48300</v>
      </c>
      <c r="H29" s="19">
        <v>65900</v>
      </c>
      <c r="I29" s="19">
        <v>51600</v>
      </c>
      <c r="J29" s="19">
        <v>50500</v>
      </c>
      <c r="K29" s="19">
        <v>67800</v>
      </c>
      <c r="L29" s="19">
        <v>56400</v>
      </c>
      <c r="N29" s="19"/>
      <c r="O29" s="19"/>
      <c r="P29" s="19"/>
      <c r="Q29" s="19"/>
      <c r="R29" s="300"/>
    </row>
    <row r="30" spans="1:18">
      <c r="A30" s="120">
        <v>2006</v>
      </c>
      <c r="B30" s="19">
        <v>59200</v>
      </c>
      <c r="C30" s="19">
        <v>44200</v>
      </c>
      <c r="D30" s="19">
        <v>45700</v>
      </c>
      <c r="E30" s="19">
        <v>49000</v>
      </c>
      <c r="F30" s="19">
        <v>45100</v>
      </c>
      <c r="G30" s="19">
        <v>49100</v>
      </c>
      <c r="H30" s="19">
        <v>65800</v>
      </c>
      <c r="I30" s="19">
        <v>52900</v>
      </c>
      <c r="J30" s="19">
        <v>53700</v>
      </c>
      <c r="K30" s="19">
        <v>72800</v>
      </c>
      <c r="L30" s="19">
        <v>58400</v>
      </c>
      <c r="N30" s="19"/>
      <c r="O30" s="19"/>
      <c r="P30" s="19"/>
      <c r="Q30" s="19"/>
      <c r="R30" s="300"/>
    </row>
    <row r="31" spans="1:18" s="961" customFormat="1">
      <c r="A31" s="120">
        <v>2007</v>
      </c>
      <c r="B31" s="19">
        <v>61000</v>
      </c>
      <c r="C31" s="19">
        <v>47600</v>
      </c>
      <c r="D31" s="19">
        <v>46100</v>
      </c>
      <c r="E31" s="19">
        <v>49700</v>
      </c>
      <c r="F31" s="19">
        <v>47000</v>
      </c>
      <c r="G31" s="19">
        <v>49500</v>
      </c>
      <c r="H31" s="19">
        <v>67600</v>
      </c>
      <c r="I31" s="19">
        <v>56400</v>
      </c>
      <c r="J31" s="19">
        <v>57100</v>
      </c>
      <c r="K31" s="19">
        <v>77400</v>
      </c>
      <c r="L31" s="19">
        <v>60400</v>
      </c>
      <c r="N31" s="19"/>
      <c r="O31" s="19"/>
      <c r="P31" s="19"/>
      <c r="Q31" s="19"/>
      <c r="R31" s="300"/>
    </row>
    <row r="32" spans="1:18"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((((B13/B5))^(1/8))-1)*100</f>
        <v>0.25472673928264022</v>
      </c>
      <c r="C33" s="959">
        <f t="shared" ref="C33:L33" si="4">((((C13/C5))^(1/8))-1)*100</f>
        <v>-1.009333120262812</v>
      </c>
      <c r="D33" s="959">
        <f t="shared" si="4"/>
        <v>0.6870052487839784</v>
      </c>
      <c r="E33" s="959">
        <f t="shared" si="4"/>
        <v>0.99147358344477965</v>
      </c>
      <c r="F33" s="959">
        <f t="shared" si="4"/>
        <v>0.60580986617879695</v>
      </c>
      <c r="G33" s="959">
        <f t="shared" si="4"/>
        <v>-0.15580567455120153</v>
      </c>
      <c r="H33" s="959">
        <f t="shared" si="4"/>
        <v>1.4163774651577477</v>
      </c>
      <c r="I33" s="959">
        <f t="shared" si="4"/>
        <v>0.12908335383530201</v>
      </c>
      <c r="J33" s="959">
        <f t="shared" si="4"/>
        <v>-1.5939239836779251</v>
      </c>
      <c r="K33" s="959">
        <f t="shared" si="4"/>
        <v>-1.548407607670732</v>
      </c>
      <c r="L33" s="959">
        <f t="shared" si="4"/>
        <v>-0.87883505904196024</v>
      </c>
      <c r="M33" s="644"/>
      <c r="N33" s="644">
        <f>((((N13/N5))^(1/8))-1)*100</f>
        <v>1.3534372120398208</v>
      </c>
      <c r="O33" s="644">
        <f>((((O13/O5))^(1/8))-1)*100</f>
        <v>0.67444423091682637</v>
      </c>
      <c r="P33" s="644">
        <f>((((P13/P5))^(1/8))-1)*100</f>
        <v>-2.3398683321626979</v>
      </c>
      <c r="Q33" s="644">
        <f>((((Q13/Q5))^(1/8))-1)*100</f>
        <v>-1.1768591534162431</v>
      </c>
    </row>
    <row r="34" spans="1:17" s="114" customFormat="1">
      <c r="A34" s="431" t="s">
        <v>604</v>
      </c>
      <c r="B34" s="959">
        <f>((((B24/B13))^(1/11))-1)*100</f>
        <v>0.19783167129525658</v>
      </c>
      <c r="C34" s="959">
        <f t="shared" ref="C34:L34" si="5">((((C24/C13))^(1/11))-1)*100</f>
        <v>-0.26704176385869971</v>
      </c>
      <c r="D34" s="959">
        <f t="shared" si="5"/>
        <v>0.45115158846806835</v>
      </c>
      <c r="E34" s="959">
        <f t="shared" si="5"/>
        <v>-4.066700504843368E-2</v>
      </c>
      <c r="F34" s="959">
        <f t="shared" si="5"/>
        <v>0.33730643560097029</v>
      </c>
      <c r="G34" s="959">
        <f t="shared" si="5"/>
        <v>0</v>
      </c>
      <c r="H34" s="959">
        <f t="shared" si="5"/>
        <v>0.2528606465175276</v>
      </c>
      <c r="I34" s="959">
        <f t="shared" si="5"/>
        <v>-9.3774268353652435E-2</v>
      </c>
      <c r="J34" s="959">
        <f t="shared" si="5"/>
        <v>0.10006103734090388</v>
      </c>
      <c r="K34" s="959">
        <f t="shared" si="5"/>
        <v>0.81082602083197841</v>
      </c>
      <c r="L34" s="959">
        <f t="shared" si="5"/>
        <v>-0.2416851155495392</v>
      </c>
      <c r="M34" s="644"/>
      <c r="N34" s="644">
        <f>((((N24/N13))^(1/11))-1)*100</f>
        <v>1.5055279825773038</v>
      </c>
      <c r="O34" s="644">
        <f>((((O24/O13))^(1/11))-1)*100</f>
        <v>0.74995185238417861</v>
      </c>
      <c r="P34" s="644">
        <f>((((P24/P13))^(1/11))-1)*100</f>
        <v>1.7639954122823376</v>
      </c>
      <c r="Q34" s="644">
        <f>((((Q24/Q13))^(1/11))-1)*100</f>
        <v>0.87814203893841203</v>
      </c>
    </row>
    <row r="35" spans="1:17" s="114" customFormat="1">
      <c r="A35" s="431" t="s">
        <v>819</v>
      </c>
      <c r="B35" s="23">
        <f t="shared" ref="B35:L35" si="6">((((B30/B5))^(1/25))-1)*100</f>
        <v>0.40578062110410151</v>
      </c>
      <c r="C35" s="23">
        <f t="shared" si="6"/>
        <v>-6.2832274911961417E-2</v>
      </c>
      <c r="D35" s="23">
        <f t="shared" si="6"/>
        <v>0.81572897050197213</v>
      </c>
      <c r="E35" s="23">
        <f t="shared" si="6"/>
        <v>0.67643522716569482</v>
      </c>
      <c r="F35" s="23">
        <f t="shared" si="6"/>
        <v>0.4411801930410908</v>
      </c>
      <c r="G35" s="23">
        <f t="shared" si="6"/>
        <v>5.7453382448469092E-2</v>
      </c>
      <c r="H35" s="23">
        <f t="shared" si="6"/>
        <v>0.56887486920835784</v>
      </c>
      <c r="I35" s="23">
        <f t="shared" si="6"/>
        <v>0.37287071084490808</v>
      </c>
      <c r="J35" s="23">
        <f t="shared" si="6"/>
        <v>0.17525270458176312</v>
      </c>
      <c r="K35" s="23">
        <f t="shared" si="6"/>
        <v>0.63142898242543044</v>
      </c>
      <c r="L35" s="23">
        <f t="shared" si="6"/>
        <v>8.3082460165129213E-2</v>
      </c>
      <c r="M35" s="23"/>
      <c r="N35" s="23">
        <f>((((N28/N5))^(1/23))-1)*100</f>
        <v>1.245925404055459</v>
      </c>
      <c r="O35" s="23">
        <f>((((O28/O5))^(1/23))-1)*100</f>
        <v>0.62103428411748318</v>
      </c>
      <c r="P35" s="23">
        <f>((((P28/P5))^(1/23))-1)*100</f>
        <v>0.40551192182012308</v>
      </c>
      <c r="Q35" s="23">
        <f>((((Q28/Q5))^(1/23))-1)*100</f>
        <v>0.20255082672302471</v>
      </c>
    </row>
    <row r="36" spans="1:17" s="114" customFormat="1">
      <c r="A36" s="431" t="s">
        <v>447</v>
      </c>
      <c r="B36" s="23">
        <f>((((B31/B5))^(1/26))-1)*100</f>
        <v>0.50586060025390456</v>
      </c>
      <c r="C36" s="23">
        <f t="shared" ref="C36:L36" si="7">((((C31/C5))^(1/26))-1)*100</f>
        <v>0.22484843075956107</v>
      </c>
      <c r="D36" s="23">
        <f t="shared" si="7"/>
        <v>0.81801849554015149</v>
      </c>
      <c r="E36" s="23">
        <f t="shared" si="7"/>
        <v>0.70526014426421924</v>
      </c>
      <c r="F36" s="23">
        <f t="shared" si="7"/>
        <v>0.58368846425296272</v>
      </c>
      <c r="G36" s="23">
        <f t="shared" si="7"/>
        <v>8.6471425968515092E-2</v>
      </c>
      <c r="H36" s="23">
        <f t="shared" si="7"/>
        <v>0.65135780803367016</v>
      </c>
      <c r="I36" s="23">
        <f t="shared" si="7"/>
        <v>0.60609915208997833</v>
      </c>
      <c r="J36" s="23">
        <f t="shared" si="7"/>
        <v>0.40530354298660143</v>
      </c>
      <c r="K36" s="23">
        <f t="shared" si="7"/>
        <v>0.84443688783994997</v>
      </c>
      <c r="L36" s="23">
        <f t="shared" si="7"/>
        <v>0.20958550307914603</v>
      </c>
      <c r="M36" s="23"/>
      <c r="N36" s="23"/>
      <c r="O36" s="23"/>
      <c r="P36" s="23"/>
      <c r="Q36" s="23"/>
    </row>
    <row r="37" spans="1:17" s="114" customFormat="1">
      <c r="A37" s="431" t="s">
        <v>818</v>
      </c>
      <c r="B37" s="959">
        <f t="shared" ref="B37:L37" si="8">((((B30/B24))^(1/6))-1)*100</f>
        <v>0.99066950196642356</v>
      </c>
      <c r="C37" s="959">
        <f t="shared" si="8"/>
        <v>1.5935265678569399</v>
      </c>
      <c r="D37" s="959">
        <f t="shared" si="8"/>
        <v>1.6605940499954785</v>
      </c>
      <c r="E37" s="959">
        <f t="shared" si="8"/>
        <v>1.5804666388451682</v>
      </c>
      <c r="F37" s="959">
        <f t="shared" si="8"/>
        <v>0.41239154651442345</v>
      </c>
      <c r="G37" s="959">
        <f t="shared" si="8"/>
        <v>0.44822479072725852</v>
      </c>
      <c r="H37" s="959">
        <f t="shared" si="8"/>
        <v>2.5351760360847742E-2</v>
      </c>
      <c r="I37" s="959">
        <f t="shared" si="8"/>
        <v>1.5628249766850288</v>
      </c>
      <c r="J37" s="959">
        <f t="shared" si="8"/>
        <v>2.7250467557458302</v>
      </c>
      <c r="K37" s="959">
        <f t="shared" si="8"/>
        <v>3.2753530154169264</v>
      </c>
      <c r="L37" s="959">
        <f t="shared" si="8"/>
        <v>1.9860836594717268</v>
      </c>
      <c r="M37" s="644"/>
      <c r="N37" s="644">
        <f>((((N28/N24))^(1/4))-1)*100</f>
        <v>0.32226155940624501</v>
      </c>
      <c r="O37" s="644">
        <f>((((O28/O24))^(1/4))-1)*100</f>
        <v>0.16100117281487858</v>
      </c>
      <c r="P37" s="644">
        <f>((((P28/P24))^(1/4))-1)*100</f>
        <v>2.2792223145241541</v>
      </c>
      <c r="Q37" s="644">
        <f>((((Q28/Q24))^(1/4))-1)*100</f>
        <v>1.1331905531137387</v>
      </c>
    </row>
    <row r="38" spans="1:17" s="114" customFormat="1">
      <c r="A38" s="431" t="s">
        <v>449</v>
      </c>
      <c r="B38" s="959">
        <f>((((B31/B24))^(1/7))-1)*100</f>
        <v>1.2809923742495899</v>
      </c>
      <c r="C38" s="959">
        <f t="shared" ref="C38:L38" si="9">((((C31/C24))^(1/7))-1)*100</f>
        <v>2.4431645406220115</v>
      </c>
      <c r="D38" s="959">
        <f t="shared" si="9"/>
        <v>1.5480321962690891</v>
      </c>
      <c r="E38" s="959">
        <f t="shared" si="9"/>
        <v>1.5587534041765938</v>
      </c>
      <c r="F38" s="959">
        <f t="shared" si="9"/>
        <v>0.94670989693397267</v>
      </c>
      <c r="G38" s="959">
        <f t="shared" si="9"/>
        <v>0.50049158259455329</v>
      </c>
      <c r="H38" s="959">
        <f t="shared" si="9"/>
        <v>0.40810273132123598</v>
      </c>
      <c r="I38" s="959">
        <f t="shared" si="9"/>
        <v>2.2698073766620475</v>
      </c>
      <c r="J38" s="959">
        <f t="shared" si="9"/>
        <v>3.2326627981583922</v>
      </c>
      <c r="K38" s="959">
        <f t="shared" si="9"/>
        <v>3.704721622439533</v>
      </c>
      <c r="L38" s="959">
        <f t="shared" si="9"/>
        <v>2.190362589985817</v>
      </c>
      <c r="M38" s="644"/>
      <c r="N38" s="644"/>
      <c r="O38" s="644"/>
      <c r="P38" s="644"/>
      <c r="Q38" s="644"/>
    </row>
    <row r="39" spans="1:17" s="114" customFormat="1">
      <c r="A39" s="431"/>
      <c r="D39" s="959" t="s">
        <v>276</v>
      </c>
    </row>
    <row r="40" spans="1:17" s="114" customFormat="1">
      <c r="A40" s="431" t="s">
        <v>819</v>
      </c>
      <c r="B40" s="10">
        <f t="shared" ref="B40:L40" si="10">(B30/B5-1)*100</f>
        <v>10.65420560747663</v>
      </c>
      <c r="C40" s="10">
        <f t="shared" si="10"/>
        <v>-1.5590200445434244</v>
      </c>
      <c r="D40" s="10">
        <f t="shared" si="10"/>
        <v>22.520107238605892</v>
      </c>
      <c r="E40" s="10">
        <f t="shared" si="10"/>
        <v>18.357487922705307</v>
      </c>
      <c r="F40" s="10">
        <f t="shared" si="10"/>
        <v>11.633663366336645</v>
      </c>
      <c r="G40" s="10">
        <f t="shared" si="10"/>
        <v>1.4462809917355379</v>
      </c>
      <c r="H40" s="10">
        <f t="shared" si="10"/>
        <v>15.236427320490375</v>
      </c>
      <c r="I40" s="10">
        <f t="shared" si="10"/>
        <v>9.75103734439835</v>
      </c>
      <c r="J40" s="10">
        <f t="shared" si="10"/>
        <v>4.474708171206232</v>
      </c>
      <c r="K40" s="10">
        <f t="shared" si="10"/>
        <v>17.041800643086823</v>
      </c>
      <c r="L40" s="10">
        <f t="shared" si="10"/>
        <v>2.0979020979021046</v>
      </c>
      <c r="M40" s="10"/>
      <c r="N40" s="10">
        <f>(N28/N5-1)*100</f>
        <v>32.94859371741876</v>
      </c>
      <c r="O40" s="10">
        <f>(O28/O5-1)*100</f>
        <v>15.303336342630924</v>
      </c>
      <c r="P40" s="10">
        <f>(P28/P5-1)*100</f>
        <v>9.7548598185445137</v>
      </c>
      <c r="Q40" s="10">
        <f>(Q28/Q5-1)*100</f>
        <v>4.7639536379495917</v>
      </c>
    </row>
    <row r="41" spans="1:17" s="114" customFormat="1">
      <c r="A41" s="431" t="s">
        <v>447</v>
      </c>
      <c r="B41" s="10">
        <f>(B31/B5-1)*100</f>
        <v>14.018691588785037</v>
      </c>
      <c r="C41" s="10">
        <f t="shared" ref="C41:L41" si="11">(C31/C5-1)*100</f>
        <v>6.0133630289532336</v>
      </c>
      <c r="D41" s="10">
        <f t="shared" si="11"/>
        <v>23.592493297587126</v>
      </c>
      <c r="E41" s="10">
        <f t="shared" si="11"/>
        <v>20.048309178743963</v>
      </c>
      <c r="F41" s="10">
        <f t="shared" si="11"/>
        <v>16.336633663366328</v>
      </c>
      <c r="G41" s="10">
        <f t="shared" si="11"/>
        <v>2.2727272727272707</v>
      </c>
      <c r="H41" s="10">
        <f t="shared" si="11"/>
        <v>18.388791593695263</v>
      </c>
      <c r="I41" s="10">
        <f t="shared" si="11"/>
        <v>17.01244813278009</v>
      </c>
      <c r="J41" s="10">
        <f t="shared" si="11"/>
        <v>11.08949416342413</v>
      </c>
      <c r="K41" s="10">
        <f t="shared" si="11"/>
        <v>24.437299035369776</v>
      </c>
      <c r="L41" s="10">
        <f t="shared" si="11"/>
        <v>5.5944055944056048</v>
      </c>
      <c r="M41" s="10"/>
      <c r="N41" s="10"/>
      <c r="O41" s="10"/>
      <c r="P41" s="10"/>
      <c r="Q41" s="10"/>
    </row>
    <row r="42" spans="1:17">
      <c r="A42" s="1174"/>
      <c r="B42" s="1174"/>
      <c r="C42" s="1174"/>
      <c r="D42" s="1174"/>
      <c r="E42" s="1174"/>
      <c r="F42" s="1174"/>
      <c r="G42" s="1174"/>
      <c r="H42" s="1174"/>
      <c r="I42" s="1174"/>
      <c r="J42" s="1174"/>
      <c r="K42" s="1174"/>
      <c r="L42" s="1174"/>
      <c r="N42" s="644"/>
      <c r="O42" s="644"/>
      <c r="P42" s="644"/>
      <c r="Q42" s="644"/>
    </row>
    <row r="43" spans="1:17" ht="24" customHeight="1">
      <c r="A43" s="1170" t="s">
        <v>261</v>
      </c>
      <c r="B43" s="1170"/>
      <c r="C43" s="1170"/>
      <c r="D43" s="1170"/>
      <c r="E43" s="1170"/>
      <c r="F43" s="1170"/>
      <c r="G43" s="1170"/>
      <c r="H43" s="1170"/>
      <c r="I43" s="1170"/>
      <c r="J43" s="1170"/>
      <c r="K43" s="1170"/>
      <c r="L43" s="1170"/>
      <c r="N43" s="10"/>
      <c r="O43" s="10"/>
      <c r="P43" s="10"/>
      <c r="Q43" s="10"/>
    </row>
    <row r="44" spans="1:17">
      <c r="A44" s="4" t="s">
        <v>1868</v>
      </c>
      <c r="I44" s="300"/>
      <c r="J44" s="300"/>
      <c r="N44" s="10"/>
      <c r="O44" s="10"/>
      <c r="P44" s="10"/>
      <c r="Q44" s="10"/>
    </row>
    <row r="45" spans="1:17">
      <c r="A45" s="4" t="s">
        <v>388</v>
      </c>
      <c r="B45" s="4"/>
      <c r="C45" s="4"/>
      <c r="D45" s="4"/>
      <c r="E45" s="4"/>
      <c r="F45" s="4"/>
      <c r="G45" s="4"/>
      <c r="H45" s="4"/>
      <c r="I45" s="4"/>
      <c r="J45" s="4"/>
      <c r="K45" s="4"/>
      <c r="L45" s="4"/>
      <c r="N45" s="10"/>
      <c r="O45" s="10"/>
      <c r="P45" s="10"/>
      <c r="Q45" s="10"/>
    </row>
    <row r="46" spans="1:17" ht="27.75" customHeight="1">
      <c r="A46" s="1168" t="s">
        <v>330</v>
      </c>
      <c r="B46" s="1169"/>
      <c r="C46" s="1169"/>
      <c r="D46" s="1169"/>
      <c r="E46" s="1169"/>
      <c r="F46" s="1169"/>
      <c r="G46" s="1169"/>
      <c r="H46" s="1169"/>
      <c r="I46" s="1169"/>
      <c r="J46" s="1169"/>
      <c r="K46" s="1169"/>
      <c r="L46" s="1169"/>
    </row>
    <row r="47" spans="1:17" ht="40.5" customHeight="1">
      <c r="A47" s="1168" t="s">
        <v>331</v>
      </c>
      <c r="B47" s="1169"/>
      <c r="C47" s="1169"/>
      <c r="D47" s="1169"/>
      <c r="E47" s="1169"/>
      <c r="F47" s="1169"/>
      <c r="G47" s="1169"/>
      <c r="H47" s="1169"/>
      <c r="I47" s="1169"/>
      <c r="J47" s="1169"/>
      <c r="K47" s="1169"/>
      <c r="L47" s="1169"/>
    </row>
    <row r="49" spans="2:12">
      <c r="F49" s="27"/>
    </row>
    <row r="50" spans="2:12" hidden="1">
      <c r="B50" s="1" t="s">
        <v>278</v>
      </c>
    </row>
    <row r="51" spans="2:12" hidden="1">
      <c r="B51" s="1" t="s">
        <v>279</v>
      </c>
    </row>
    <row r="52" spans="2:12" hidden="1">
      <c r="B52" s="1">
        <v>1981</v>
      </c>
      <c r="C52" s="300">
        <f>C5-$B5</f>
        <v>-8600</v>
      </c>
      <c r="D52" s="300">
        <f t="shared" ref="D52:L52" si="12">D5-$B5</f>
        <v>-16200</v>
      </c>
      <c r="E52" s="300">
        <f t="shared" si="12"/>
        <v>-12100</v>
      </c>
      <c r="F52" s="300">
        <f t="shared" si="12"/>
        <v>-13100</v>
      </c>
      <c r="G52" s="300">
        <f t="shared" si="12"/>
        <v>-5100</v>
      </c>
      <c r="H52" s="300">
        <f t="shared" si="12"/>
        <v>3600</v>
      </c>
      <c r="I52" s="300">
        <f t="shared" si="12"/>
        <v>-5300</v>
      </c>
      <c r="J52" s="300">
        <f t="shared" si="12"/>
        <v>-2100</v>
      </c>
      <c r="K52" s="300">
        <f t="shared" si="12"/>
        <v>8700</v>
      </c>
      <c r="L52" s="300">
        <f t="shared" si="12"/>
        <v>3700</v>
      </c>
    </row>
    <row r="53" spans="2:12" hidden="1">
      <c r="B53" s="1">
        <v>1982</v>
      </c>
      <c r="C53" s="300">
        <f t="shared" ref="C53:L68" si="13">C6-$B6</f>
        <v>-9800</v>
      </c>
      <c r="D53" s="300">
        <f t="shared" si="13"/>
        <v>-14300</v>
      </c>
      <c r="E53" s="300">
        <f t="shared" si="13"/>
        <v>-10800</v>
      </c>
      <c r="F53" s="300">
        <f t="shared" si="13"/>
        <v>-12400</v>
      </c>
      <c r="G53" s="300">
        <f t="shared" si="13"/>
        <v>-5500</v>
      </c>
      <c r="H53" s="300">
        <f t="shared" si="13"/>
        <v>3300</v>
      </c>
      <c r="I53" s="300">
        <f t="shared" si="13"/>
        <v>-4300</v>
      </c>
      <c r="J53" s="300">
        <f t="shared" si="13"/>
        <v>-2100</v>
      </c>
      <c r="K53" s="300">
        <f t="shared" si="13"/>
        <v>11200</v>
      </c>
      <c r="L53" s="300">
        <f t="shared" si="13"/>
        <v>2700</v>
      </c>
    </row>
    <row r="54" spans="2:12" hidden="1">
      <c r="B54" s="1">
        <v>1983</v>
      </c>
      <c r="C54" s="300">
        <f t="shared" si="13"/>
        <v>-12900</v>
      </c>
      <c r="D54" s="300">
        <f t="shared" si="13"/>
        <v>-11700</v>
      </c>
      <c r="E54" s="300">
        <f t="shared" si="13"/>
        <v>-9300</v>
      </c>
      <c r="F54" s="300">
        <f t="shared" si="13"/>
        <v>-13000</v>
      </c>
      <c r="G54" s="300">
        <f t="shared" si="13"/>
        <v>-4900</v>
      </c>
      <c r="H54" s="300">
        <f t="shared" si="13"/>
        <v>4800</v>
      </c>
      <c r="I54" s="300">
        <f t="shared" si="13"/>
        <v>-2400</v>
      </c>
      <c r="J54" s="300">
        <f t="shared" si="13"/>
        <v>-2700</v>
      </c>
      <c r="K54" s="300">
        <f t="shared" si="13"/>
        <v>5300</v>
      </c>
      <c r="L54" s="300">
        <f t="shared" si="13"/>
        <v>1500</v>
      </c>
    </row>
    <row r="55" spans="2:12" hidden="1">
      <c r="B55" s="1">
        <v>1984</v>
      </c>
      <c r="C55" s="300">
        <f t="shared" si="13"/>
        <v>-12700</v>
      </c>
      <c r="D55" s="300">
        <f t="shared" si="13"/>
        <v>-12800</v>
      </c>
      <c r="E55" s="300">
        <f t="shared" si="13"/>
        <v>-8100</v>
      </c>
      <c r="F55" s="300">
        <f t="shared" si="13"/>
        <v>-10000</v>
      </c>
      <c r="G55" s="300">
        <f t="shared" si="13"/>
        <v>-4300</v>
      </c>
      <c r="H55" s="300">
        <f t="shared" si="13"/>
        <v>5700</v>
      </c>
      <c r="I55" s="300">
        <f t="shared" si="13"/>
        <v>-3000</v>
      </c>
      <c r="J55" s="300">
        <f t="shared" si="13"/>
        <v>-4000</v>
      </c>
      <c r="K55" s="300">
        <f t="shared" si="13"/>
        <v>3000</v>
      </c>
      <c r="L55" s="300">
        <f t="shared" si="13"/>
        <v>-1400</v>
      </c>
    </row>
    <row r="56" spans="2:12" hidden="1">
      <c r="B56" s="1">
        <v>1985</v>
      </c>
      <c r="C56" s="300">
        <f t="shared" si="13"/>
        <v>-13300</v>
      </c>
      <c r="D56" s="300">
        <f t="shared" si="13"/>
        <v>-14000</v>
      </c>
      <c r="E56" s="300">
        <f t="shared" si="13"/>
        <v>-6300</v>
      </c>
      <c r="F56" s="300">
        <f t="shared" si="13"/>
        <v>-10700</v>
      </c>
      <c r="G56" s="300">
        <f t="shared" si="13"/>
        <v>-5500</v>
      </c>
      <c r="H56" s="300">
        <f t="shared" si="13"/>
        <v>6500</v>
      </c>
      <c r="I56" s="300">
        <f t="shared" si="13"/>
        <v>-4400</v>
      </c>
      <c r="J56" s="300">
        <f t="shared" si="13"/>
        <v>-4800</v>
      </c>
      <c r="K56" s="300">
        <f t="shared" si="13"/>
        <v>4800</v>
      </c>
      <c r="L56" s="300">
        <f t="shared" si="13"/>
        <v>-1600</v>
      </c>
    </row>
    <row r="57" spans="2:12" hidden="1">
      <c r="B57" s="1">
        <v>1986</v>
      </c>
      <c r="C57" s="300">
        <f t="shared" si="13"/>
        <v>-16700</v>
      </c>
      <c r="D57" s="300">
        <f t="shared" si="13"/>
        <v>-13900</v>
      </c>
      <c r="E57" s="300">
        <f t="shared" si="13"/>
        <v>-8600</v>
      </c>
      <c r="F57" s="300">
        <f t="shared" si="13"/>
        <v>-11900</v>
      </c>
      <c r="G57" s="300">
        <f t="shared" si="13"/>
        <v>-5400</v>
      </c>
      <c r="H57" s="300">
        <f t="shared" si="13"/>
        <v>7400</v>
      </c>
      <c r="I57" s="300">
        <f t="shared" si="13"/>
        <v>-4200</v>
      </c>
      <c r="J57" s="300">
        <f t="shared" si="13"/>
        <v>-6300</v>
      </c>
      <c r="K57" s="300">
        <f t="shared" si="13"/>
        <v>3100</v>
      </c>
      <c r="L57" s="300">
        <f t="shared" si="13"/>
        <v>-1200</v>
      </c>
    </row>
    <row r="58" spans="2:12" hidden="1">
      <c r="B58" s="1">
        <v>1987</v>
      </c>
      <c r="C58" s="300">
        <f t="shared" si="13"/>
        <v>-14700</v>
      </c>
      <c r="D58" s="300">
        <f t="shared" si="13"/>
        <v>-12800</v>
      </c>
      <c r="E58" s="300">
        <f t="shared" si="13"/>
        <v>-7800</v>
      </c>
      <c r="F58" s="300">
        <f t="shared" si="13"/>
        <v>-13300</v>
      </c>
      <c r="G58" s="300">
        <f t="shared" si="13"/>
        <v>-5400</v>
      </c>
      <c r="H58" s="300">
        <f t="shared" si="13"/>
        <v>8000</v>
      </c>
      <c r="I58" s="300">
        <f t="shared" si="13"/>
        <v>-6200</v>
      </c>
      <c r="J58" s="300">
        <f t="shared" si="13"/>
        <v>-7000</v>
      </c>
      <c r="K58" s="300">
        <f t="shared" si="13"/>
        <v>1300</v>
      </c>
      <c r="L58" s="300">
        <f t="shared" si="13"/>
        <v>-1900</v>
      </c>
    </row>
    <row r="59" spans="2:12" hidden="1">
      <c r="B59" s="1">
        <v>1988</v>
      </c>
      <c r="C59" s="300">
        <f t="shared" si="13"/>
        <v>-14000</v>
      </c>
      <c r="D59" s="300">
        <f t="shared" si="13"/>
        <v>-16500</v>
      </c>
      <c r="E59" s="300">
        <f t="shared" si="13"/>
        <v>-9100</v>
      </c>
      <c r="F59" s="300">
        <f t="shared" si="13"/>
        <v>-13100</v>
      </c>
      <c r="G59" s="300">
        <f t="shared" si="13"/>
        <v>-7200</v>
      </c>
      <c r="H59" s="300">
        <f t="shared" si="13"/>
        <v>9100</v>
      </c>
      <c r="I59" s="300">
        <f t="shared" si="13"/>
        <v>-6100</v>
      </c>
      <c r="J59" s="300">
        <f t="shared" si="13"/>
        <v>-8400</v>
      </c>
      <c r="K59" s="300">
        <f t="shared" si="13"/>
        <v>1200</v>
      </c>
      <c r="L59" s="300">
        <f t="shared" si="13"/>
        <v>-800</v>
      </c>
    </row>
    <row r="60" spans="2:12" hidden="1">
      <c r="B60" s="1">
        <v>1989</v>
      </c>
      <c r="C60" s="300">
        <f t="shared" si="13"/>
        <v>-13200</v>
      </c>
      <c r="D60" s="300">
        <f t="shared" si="13"/>
        <v>-15200</v>
      </c>
      <c r="E60" s="300">
        <f t="shared" si="13"/>
        <v>-9800</v>
      </c>
      <c r="F60" s="300">
        <f t="shared" si="13"/>
        <v>-12200</v>
      </c>
      <c r="G60" s="300">
        <f t="shared" si="13"/>
        <v>-6800</v>
      </c>
      <c r="H60" s="300">
        <f t="shared" si="13"/>
        <v>9300</v>
      </c>
      <c r="I60" s="300">
        <f t="shared" si="13"/>
        <v>-5900</v>
      </c>
      <c r="J60" s="300">
        <f t="shared" si="13"/>
        <v>-9400</v>
      </c>
      <c r="K60" s="300">
        <f t="shared" si="13"/>
        <v>300</v>
      </c>
      <c r="L60" s="300">
        <f t="shared" si="13"/>
        <v>-1300</v>
      </c>
    </row>
    <row r="61" spans="2:12" hidden="1">
      <c r="B61" s="1">
        <v>1990</v>
      </c>
      <c r="C61" s="300">
        <f t="shared" si="13"/>
        <v>-13400</v>
      </c>
      <c r="D61" s="300">
        <f t="shared" si="13"/>
        <v>-13400</v>
      </c>
      <c r="E61" s="300">
        <f t="shared" si="13"/>
        <v>-8100</v>
      </c>
      <c r="F61" s="300">
        <f t="shared" si="13"/>
        <v>-11400</v>
      </c>
      <c r="G61" s="300">
        <f t="shared" si="13"/>
        <v>-7300</v>
      </c>
      <c r="H61" s="300">
        <f t="shared" si="13"/>
        <v>8300</v>
      </c>
      <c r="I61" s="300">
        <f t="shared" si="13"/>
        <v>-6100</v>
      </c>
      <c r="J61" s="300">
        <f t="shared" si="13"/>
        <v>-8500</v>
      </c>
      <c r="K61" s="300">
        <f t="shared" si="13"/>
        <v>2500</v>
      </c>
      <c r="L61" s="300">
        <f t="shared" si="13"/>
        <v>100</v>
      </c>
    </row>
    <row r="62" spans="2:12" hidden="1">
      <c r="B62" s="1">
        <v>1991</v>
      </c>
      <c r="C62" s="300">
        <f t="shared" si="13"/>
        <v>-12600</v>
      </c>
      <c r="D62" s="300">
        <f t="shared" si="13"/>
        <v>-12600</v>
      </c>
      <c r="E62" s="300">
        <f t="shared" si="13"/>
        <v>-8000</v>
      </c>
      <c r="F62" s="300">
        <f t="shared" si="13"/>
        <v>-10300</v>
      </c>
      <c r="G62" s="300">
        <f t="shared" si="13"/>
        <v>-6700</v>
      </c>
      <c r="H62" s="300">
        <f t="shared" si="13"/>
        <v>6900</v>
      </c>
      <c r="I62" s="300">
        <f t="shared" si="13"/>
        <v>-6000</v>
      </c>
      <c r="J62" s="300">
        <f t="shared" si="13"/>
        <v>-7700</v>
      </c>
      <c r="K62" s="300">
        <f t="shared" si="13"/>
        <v>4800</v>
      </c>
      <c r="L62" s="300">
        <f t="shared" si="13"/>
        <v>0</v>
      </c>
    </row>
    <row r="63" spans="2:12" hidden="1">
      <c r="B63" s="1">
        <v>1992</v>
      </c>
      <c r="C63" s="300">
        <f t="shared" si="13"/>
        <v>-13600</v>
      </c>
      <c r="D63" s="300">
        <f t="shared" si="13"/>
        <v>-11600</v>
      </c>
      <c r="E63" s="300">
        <f t="shared" si="13"/>
        <v>-7900</v>
      </c>
      <c r="F63" s="300">
        <f t="shared" si="13"/>
        <v>-10100</v>
      </c>
      <c r="G63" s="300">
        <f t="shared" si="13"/>
        <v>-7000</v>
      </c>
      <c r="H63" s="300">
        <f t="shared" si="13"/>
        <v>6700</v>
      </c>
      <c r="I63" s="300">
        <f t="shared" si="13"/>
        <v>-5100</v>
      </c>
      <c r="J63" s="300">
        <f t="shared" si="13"/>
        <v>-6600</v>
      </c>
      <c r="K63" s="300">
        <f t="shared" si="13"/>
        <v>2000</v>
      </c>
      <c r="L63" s="300">
        <f t="shared" si="13"/>
        <v>2700</v>
      </c>
    </row>
    <row r="64" spans="2:12" hidden="1">
      <c r="B64" s="1">
        <v>1993</v>
      </c>
      <c r="C64" s="300">
        <f t="shared" si="13"/>
        <v>-13600</v>
      </c>
      <c r="D64" s="300">
        <f t="shared" si="13"/>
        <v>-12100</v>
      </c>
      <c r="E64" s="300">
        <f t="shared" si="13"/>
        <v>-8000</v>
      </c>
      <c r="F64" s="300">
        <f t="shared" si="13"/>
        <v>-9500</v>
      </c>
      <c r="G64" s="300">
        <f t="shared" si="13"/>
        <v>-6900</v>
      </c>
      <c r="H64" s="300">
        <f t="shared" si="13"/>
        <v>6800</v>
      </c>
      <c r="I64" s="300">
        <f t="shared" si="13"/>
        <v>-5700</v>
      </c>
      <c r="J64" s="300">
        <f t="shared" si="13"/>
        <v>-6900</v>
      </c>
      <c r="K64" s="300">
        <f t="shared" si="13"/>
        <v>3400</v>
      </c>
      <c r="L64" s="300">
        <f t="shared" si="13"/>
        <v>1100</v>
      </c>
    </row>
    <row r="65" spans="2:12" hidden="1">
      <c r="B65" s="1">
        <v>1994</v>
      </c>
      <c r="C65" s="300">
        <f t="shared" si="13"/>
        <v>-11400</v>
      </c>
      <c r="D65" s="300">
        <f t="shared" si="13"/>
        <v>-11500</v>
      </c>
      <c r="E65" s="300">
        <f t="shared" si="13"/>
        <v>-9100</v>
      </c>
      <c r="F65" s="300">
        <f t="shared" si="13"/>
        <v>-10100</v>
      </c>
      <c r="G65" s="300">
        <f t="shared" si="13"/>
        <v>-6200</v>
      </c>
      <c r="H65" s="300">
        <f t="shared" si="13"/>
        <v>6400</v>
      </c>
      <c r="I65" s="300">
        <f t="shared" si="13"/>
        <v>-4300</v>
      </c>
      <c r="J65" s="300">
        <f t="shared" si="13"/>
        <v>-7000</v>
      </c>
      <c r="K65" s="300">
        <f t="shared" si="13"/>
        <v>3700</v>
      </c>
      <c r="L65" s="300">
        <f t="shared" si="13"/>
        <v>800</v>
      </c>
    </row>
    <row r="66" spans="2:12" hidden="1">
      <c r="B66" s="1">
        <v>1995</v>
      </c>
      <c r="C66" s="300">
        <f t="shared" si="13"/>
        <v>-13800</v>
      </c>
      <c r="D66" s="300">
        <f t="shared" si="13"/>
        <v>-12000</v>
      </c>
      <c r="E66" s="300">
        <f t="shared" si="13"/>
        <v>-10300</v>
      </c>
      <c r="F66" s="300">
        <f t="shared" si="13"/>
        <v>-10000</v>
      </c>
      <c r="G66" s="300">
        <f t="shared" si="13"/>
        <v>-6800</v>
      </c>
      <c r="H66" s="300">
        <f t="shared" si="13"/>
        <v>7000</v>
      </c>
      <c r="I66" s="300">
        <f t="shared" si="13"/>
        <v>-4600</v>
      </c>
      <c r="J66" s="300">
        <f t="shared" si="13"/>
        <v>-5100</v>
      </c>
      <c r="K66" s="300">
        <f t="shared" si="13"/>
        <v>3000</v>
      </c>
      <c r="L66" s="300">
        <f t="shared" si="13"/>
        <v>700</v>
      </c>
    </row>
    <row r="67" spans="2:12" hidden="1">
      <c r="B67" s="1">
        <v>1996</v>
      </c>
      <c r="C67" s="300">
        <f t="shared" si="13"/>
        <v>-14500</v>
      </c>
      <c r="D67" s="300">
        <f t="shared" si="13"/>
        <v>-11200</v>
      </c>
      <c r="E67" s="300">
        <f t="shared" si="13"/>
        <v>-11100</v>
      </c>
      <c r="F67" s="300">
        <f t="shared" si="13"/>
        <v>-10000</v>
      </c>
      <c r="G67" s="300">
        <f t="shared" si="13"/>
        <v>-6500</v>
      </c>
      <c r="H67" s="300">
        <f t="shared" si="13"/>
        <v>6900</v>
      </c>
      <c r="I67" s="300">
        <f t="shared" si="13"/>
        <v>-4700</v>
      </c>
      <c r="J67" s="300">
        <f t="shared" si="13"/>
        <v>-6300</v>
      </c>
      <c r="K67" s="300">
        <f t="shared" si="13"/>
        <v>3600</v>
      </c>
      <c r="L67" s="300">
        <f t="shared" si="13"/>
        <v>700</v>
      </c>
    </row>
    <row r="68" spans="2:12" hidden="1">
      <c r="B68" s="1">
        <v>1997</v>
      </c>
      <c r="C68" s="300">
        <f t="shared" si="13"/>
        <v>-15500</v>
      </c>
      <c r="D68" s="300">
        <f t="shared" si="13"/>
        <v>-12800</v>
      </c>
      <c r="E68" s="300">
        <f t="shared" si="13"/>
        <v>-10500</v>
      </c>
      <c r="F68" s="300">
        <f t="shared" si="13"/>
        <v>-11100</v>
      </c>
      <c r="G68" s="300">
        <f t="shared" si="13"/>
        <v>-7300</v>
      </c>
      <c r="H68" s="300">
        <f t="shared" si="13"/>
        <v>6700</v>
      </c>
      <c r="I68" s="300">
        <f t="shared" si="13"/>
        <v>-5100</v>
      </c>
      <c r="J68" s="300">
        <f t="shared" si="13"/>
        <v>-6100</v>
      </c>
      <c r="K68" s="300">
        <f t="shared" si="13"/>
        <v>7300</v>
      </c>
      <c r="L68" s="300">
        <f t="shared" si="13"/>
        <v>300</v>
      </c>
    </row>
    <row r="69" spans="2:12" hidden="1">
      <c r="B69" s="1">
        <v>1998</v>
      </c>
      <c r="C69" s="300">
        <f t="shared" ref="C69:L75" si="14">C22-$B22</f>
        <v>-14800</v>
      </c>
      <c r="D69" s="300">
        <f t="shared" si="14"/>
        <v>-12300</v>
      </c>
      <c r="E69" s="300">
        <f t="shared" si="14"/>
        <v>-10600</v>
      </c>
      <c r="F69" s="300">
        <f t="shared" si="14"/>
        <v>-10700</v>
      </c>
      <c r="G69" s="300">
        <f t="shared" si="14"/>
        <v>-7300</v>
      </c>
      <c r="H69" s="300">
        <f t="shared" si="14"/>
        <v>7600</v>
      </c>
      <c r="I69" s="300">
        <f t="shared" si="14"/>
        <v>-4700</v>
      </c>
      <c r="J69" s="300">
        <f t="shared" si="14"/>
        <v>-7900</v>
      </c>
      <c r="K69" s="300">
        <f t="shared" si="14"/>
        <v>6900</v>
      </c>
      <c r="L69" s="300">
        <f t="shared" si="14"/>
        <v>-2000</v>
      </c>
    </row>
    <row r="70" spans="2:12" hidden="1">
      <c r="B70" s="1">
        <v>1999</v>
      </c>
      <c r="C70" s="300">
        <f t="shared" si="14"/>
        <v>-15000</v>
      </c>
      <c r="D70" s="300">
        <f t="shared" si="14"/>
        <v>-13900</v>
      </c>
      <c r="E70" s="300">
        <f t="shared" si="14"/>
        <v>-10100</v>
      </c>
      <c r="F70" s="300">
        <f t="shared" si="14"/>
        <v>-11100</v>
      </c>
      <c r="G70" s="300">
        <f t="shared" si="14"/>
        <v>-7900</v>
      </c>
      <c r="H70" s="300">
        <f t="shared" si="14"/>
        <v>9300</v>
      </c>
      <c r="I70" s="300">
        <f t="shared" si="14"/>
        <v>-6700</v>
      </c>
      <c r="J70" s="300">
        <f t="shared" si="14"/>
        <v>-8800</v>
      </c>
      <c r="K70" s="300">
        <f t="shared" si="14"/>
        <v>3800</v>
      </c>
      <c r="L70" s="300">
        <f t="shared" si="14"/>
        <v>-2600</v>
      </c>
    </row>
    <row r="71" spans="2:12" hidden="1">
      <c r="B71" s="1">
        <v>2000</v>
      </c>
      <c r="C71" s="300">
        <f t="shared" si="14"/>
        <v>-15600</v>
      </c>
      <c r="D71" s="300">
        <f t="shared" si="14"/>
        <v>-14400</v>
      </c>
      <c r="E71" s="300">
        <f t="shared" si="14"/>
        <v>-11200</v>
      </c>
      <c r="F71" s="300">
        <f t="shared" si="14"/>
        <v>-11800</v>
      </c>
      <c r="G71" s="300">
        <f t="shared" si="14"/>
        <v>-8000</v>
      </c>
      <c r="H71" s="300">
        <f t="shared" si="14"/>
        <v>9900</v>
      </c>
      <c r="I71" s="300">
        <f t="shared" si="14"/>
        <v>-7600</v>
      </c>
      <c r="J71" s="300">
        <f t="shared" si="14"/>
        <v>-10100</v>
      </c>
      <c r="K71" s="300">
        <f t="shared" si="14"/>
        <v>4200</v>
      </c>
      <c r="L71" s="300">
        <f t="shared" si="14"/>
        <v>-3900</v>
      </c>
    </row>
    <row r="72" spans="2:12" hidden="1">
      <c r="B72" s="1">
        <v>2001</v>
      </c>
      <c r="C72" s="300">
        <f t="shared" si="14"/>
        <v>-17500</v>
      </c>
      <c r="D72" s="300">
        <f t="shared" si="14"/>
        <v>-15200</v>
      </c>
      <c r="E72" s="300">
        <f t="shared" si="14"/>
        <v>-10600</v>
      </c>
      <c r="F72" s="300">
        <f t="shared" si="14"/>
        <v>-11900</v>
      </c>
      <c r="G72" s="300">
        <f t="shared" si="14"/>
        <v>-8100</v>
      </c>
      <c r="H72" s="300">
        <f t="shared" si="14"/>
        <v>9200</v>
      </c>
      <c r="I72" s="300">
        <f t="shared" si="14"/>
        <v>-7200</v>
      </c>
      <c r="J72" s="300">
        <f t="shared" si="14"/>
        <v>-8500</v>
      </c>
      <c r="K72" s="300">
        <f t="shared" si="14"/>
        <v>6500</v>
      </c>
      <c r="L72" s="300">
        <f t="shared" si="14"/>
        <v>-4000</v>
      </c>
    </row>
    <row r="73" spans="2:12" hidden="1">
      <c r="B73" s="1">
        <v>2002</v>
      </c>
      <c r="C73" s="300">
        <f t="shared" si="14"/>
        <v>-16700</v>
      </c>
      <c r="D73" s="300">
        <f t="shared" si="14"/>
        <v>-14900</v>
      </c>
      <c r="E73" s="300">
        <f t="shared" si="14"/>
        <v>-9700</v>
      </c>
      <c r="F73" s="300">
        <f t="shared" si="14"/>
        <v>-13000</v>
      </c>
      <c r="G73" s="300">
        <f t="shared" si="14"/>
        <v>-7600</v>
      </c>
      <c r="H73" s="300">
        <f t="shared" si="14"/>
        <v>8900</v>
      </c>
      <c r="I73" s="300">
        <f t="shared" si="14"/>
        <v>-6900</v>
      </c>
      <c r="J73" s="300">
        <f t="shared" si="14"/>
        <v>-8900</v>
      </c>
      <c r="K73" s="300">
        <f t="shared" si="14"/>
        <v>5100</v>
      </c>
      <c r="L73" s="300">
        <f t="shared" si="14"/>
        <v>-3300</v>
      </c>
    </row>
    <row r="74" spans="2:12" hidden="1">
      <c r="B74" s="1">
        <v>2003</v>
      </c>
      <c r="C74" s="300">
        <f t="shared" si="14"/>
        <v>-16900</v>
      </c>
      <c r="D74" s="300">
        <f t="shared" si="14"/>
        <v>-13800</v>
      </c>
      <c r="E74" s="300">
        <f t="shared" si="14"/>
        <v>-10800</v>
      </c>
      <c r="F74" s="300">
        <f t="shared" si="14"/>
        <v>-12500</v>
      </c>
      <c r="G74" s="300">
        <f t="shared" si="14"/>
        <v>-7600</v>
      </c>
      <c r="H74" s="300">
        <f t="shared" si="14"/>
        <v>8800</v>
      </c>
      <c r="I74" s="300">
        <f t="shared" si="14"/>
        <v>-6300</v>
      </c>
      <c r="J74" s="300">
        <f t="shared" si="14"/>
        <v>-7900</v>
      </c>
      <c r="K74" s="300">
        <f t="shared" si="14"/>
        <v>6100</v>
      </c>
      <c r="L74" s="300">
        <f t="shared" si="14"/>
        <v>-4200</v>
      </c>
    </row>
    <row r="75" spans="2:12" hidden="1">
      <c r="B75" s="1">
        <v>2004</v>
      </c>
      <c r="C75" s="300">
        <f t="shared" si="14"/>
        <v>-17000</v>
      </c>
      <c r="D75" s="300">
        <f t="shared" si="14"/>
        <v>-13500</v>
      </c>
      <c r="E75" s="300">
        <f t="shared" si="14"/>
        <v>-11100</v>
      </c>
      <c r="F75" s="300">
        <f t="shared" si="14"/>
        <v>-12800</v>
      </c>
      <c r="G75" s="300">
        <f t="shared" si="14"/>
        <v>-7500</v>
      </c>
      <c r="H75" s="300">
        <f t="shared" si="14"/>
        <v>8200</v>
      </c>
      <c r="I75" s="300">
        <f t="shared" si="14"/>
        <v>-6600</v>
      </c>
      <c r="J75" s="300">
        <f t="shared" si="14"/>
        <v>-9400</v>
      </c>
      <c r="K75" s="300">
        <f t="shared" si="14"/>
        <v>7700</v>
      </c>
      <c r="L75" s="300">
        <f t="shared" si="14"/>
        <v>-3300</v>
      </c>
    </row>
    <row r="76" spans="2:12" hidden="1">
      <c r="C76" s="300"/>
      <c r="D76" s="300"/>
      <c r="E76" s="300"/>
      <c r="F76" s="300"/>
      <c r="G76" s="300"/>
      <c r="H76" s="300"/>
      <c r="I76" s="300"/>
      <c r="J76" s="300"/>
      <c r="K76" s="300"/>
      <c r="L76" s="300"/>
    </row>
    <row r="77" spans="2:12" hidden="1"/>
    <row r="78" spans="2:12" hidden="1">
      <c r="B78" s="1" t="s">
        <v>280</v>
      </c>
    </row>
    <row r="79" spans="2:12" hidden="1">
      <c r="B79" s="1">
        <v>1981</v>
      </c>
      <c r="C79" s="300">
        <f>C52^2</f>
        <v>73960000</v>
      </c>
      <c r="D79" s="300">
        <f t="shared" ref="D79:L79" si="15">D52^2</f>
        <v>262440000</v>
      </c>
      <c r="E79" s="300">
        <f t="shared" si="15"/>
        <v>146410000</v>
      </c>
      <c r="F79" s="300">
        <f t="shared" si="15"/>
        <v>171610000</v>
      </c>
      <c r="G79" s="300">
        <f t="shared" si="15"/>
        <v>26010000</v>
      </c>
      <c r="H79" s="300">
        <f t="shared" si="15"/>
        <v>12960000</v>
      </c>
      <c r="I79" s="300">
        <f t="shared" si="15"/>
        <v>28090000</v>
      </c>
      <c r="J79" s="300">
        <f t="shared" si="15"/>
        <v>4410000</v>
      </c>
      <c r="K79" s="300">
        <f t="shared" si="15"/>
        <v>75690000</v>
      </c>
      <c r="L79" s="300">
        <f t="shared" si="15"/>
        <v>13690000</v>
      </c>
    </row>
    <row r="80" spans="2:12" hidden="1">
      <c r="B80" s="1">
        <v>1982</v>
      </c>
      <c r="C80" s="300">
        <f t="shared" ref="C80:L95" si="16">C53^2</f>
        <v>96040000</v>
      </c>
      <c r="D80" s="300">
        <f t="shared" si="16"/>
        <v>204490000</v>
      </c>
      <c r="E80" s="300">
        <f t="shared" si="16"/>
        <v>116640000</v>
      </c>
      <c r="F80" s="300">
        <f t="shared" si="16"/>
        <v>153760000</v>
      </c>
      <c r="G80" s="300">
        <f t="shared" si="16"/>
        <v>30250000</v>
      </c>
      <c r="H80" s="300">
        <f t="shared" si="16"/>
        <v>10890000</v>
      </c>
      <c r="I80" s="300">
        <f t="shared" si="16"/>
        <v>18490000</v>
      </c>
      <c r="J80" s="300">
        <f t="shared" si="16"/>
        <v>4410000</v>
      </c>
      <c r="K80" s="300">
        <f t="shared" si="16"/>
        <v>125440000</v>
      </c>
      <c r="L80" s="300">
        <f t="shared" si="16"/>
        <v>7290000</v>
      </c>
    </row>
    <row r="81" spans="2:12" hidden="1">
      <c r="B81" s="1">
        <v>1983</v>
      </c>
      <c r="C81" s="300">
        <f t="shared" si="16"/>
        <v>166410000</v>
      </c>
      <c r="D81" s="300">
        <f t="shared" si="16"/>
        <v>136890000</v>
      </c>
      <c r="E81" s="300">
        <f t="shared" si="16"/>
        <v>86490000</v>
      </c>
      <c r="F81" s="300">
        <f t="shared" si="16"/>
        <v>169000000</v>
      </c>
      <c r="G81" s="300">
        <f t="shared" si="16"/>
        <v>24010000</v>
      </c>
      <c r="H81" s="300">
        <f t="shared" si="16"/>
        <v>23040000</v>
      </c>
      <c r="I81" s="300">
        <f t="shared" si="16"/>
        <v>5760000</v>
      </c>
      <c r="J81" s="300">
        <f t="shared" si="16"/>
        <v>7290000</v>
      </c>
      <c r="K81" s="300">
        <f t="shared" si="16"/>
        <v>28090000</v>
      </c>
      <c r="L81" s="300">
        <f t="shared" si="16"/>
        <v>2250000</v>
      </c>
    </row>
    <row r="82" spans="2:12" hidden="1">
      <c r="B82" s="1">
        <v>1984</v>
      </c>
      <c r="C82" s="300">
        <f t="shared" si="16"/>
        <v>161290000</v>
      </c>
      <c r="D82" s="300">
        <f t="shared" si="16"/>
        <v>163840000</v>
      </c>
      <c r="E82" s="300">
        <f t="shared" si="16"/>
        <v>65610000</v>
      </c>
      <c r="F82" s="300">
        <f t="shared" si="16"/>
        <v>100000000</v>
      </c>
      <c r="G82" s="300">
        <f t="shared" si="16"/>
        <v>18490000</v>
      </c>
      <c r="H82" s="300">
        <f t="shared" si="16"/>
        <v>32490000</v>
      </c>
      <c r="I82" s="300">
        <f t="shared" si="16"/>
        <v>9000000</v>
      </c>
      <c r="J82" s="300">
        <f t="shared" si="16"/>
        <v>16000000</v>
      </c>
      <c r="K82" s="300">
        <f t="shared" si="16"/>
        <v>9000000</v>
      </c>
      <c r="L82" s="300">
        <f t="shared" si="16"/>
        <v>1960000</v>
      </c>
    </row>
    <row r="83" spans="2:12" hidden="1">
      <c r="B83" s="1">
        <v>1985</v>
      </c>
      <c r="C83" s="300">
        <f t="shared" si="16"/>
        <v>176890000</v>
      </c>
      <c r="D83" s="300">
        <f t="shared" si="16"/>
        <v>196000000</v>
      </c>
      <c r="E83" s="300">
        <f t="shared" si="16"/>
        <v>39690000</v>
      </c>
      <c r="F83" s="300">
        <f t="shared" si="16"/>
        <v>114490000</v>
      </c>
      <c r="G83" s="300">
        <f t="shared" si="16"/>
        <v>30250000</v>
      </c>
      <c r="H83" s="300">
        <f t="shared" si="16"/>
        <v>42250000</v>
      </c>
      <c r="I83" s="300">
        <f t="shared" si="16"/>
        <v>19360000</v>
      </c>
      <c r="J83" s="300">
        <f t="shared" si="16"/>
        <v>23040000</v>
      </c>
      <c r="K83" s="300">
        <f t="shared" si="16"/>
        <v>23040000</v>
      </c>
      <c r="L83" s="300">
        <f t="shared" si="16"/>
        <v>2560000</v>
      </c>
    </row>
    <row r="84" spans="2:12" hidden="1">
      <c r="B84" s="1">
        <v>1986</v>
      </c>
      <c r="C84" s="300">
        <f t="shared" si="16"/>
        <v>278890000</v>
      </c>
      <c r="D84" s="300">
        <f t="shared" si="16"/>
        <v>193210000</v>
      </c>
      <c r="E84" s="300">
        <f t="shared" si="16"/>
        <v>73960000</v>
      </c>
      <c r="F84" s="300">
        <f t="shared" si="16"/>
        <v>141610000</v>
      </c>
      <c r="G84" s="300">
        <f t="shared" si="16"/>
        <v>29160000</v>
      </c>
      <c r="H84" s="300">
        <f t="shared" si="16"/>
        <v>54760000</v>
      </c>
      <c r="I84" s="300">
        <f t="shared" si="16"/>
        <v>17640000</v>
      </c>
      <c r="J84" s="300">
        <f t="shared" si="16"/>
        <v>39690000</v>
      </c>
      <c r="K84" s="300">
        <f t="shared" si="16"/>
        <v>9610000</v>
      </c>
      <c r="L84" s="300">
        <f t="shared" si="16"/>
        <v>1440000</v>
      </c>
    </row>
    <row r="85" spans="2:12" hidden="1">
      <c r="B85" s="1">
        <v>1987</v>
      </c>
      <c r="C85" s="300">
        <f t="shared" si="16"/>
        <v>216090000</v>
      </c>
      <c r="D85" s="300">
        <f t="shared" si="16"/>
        <v>163840000</v>
      </c>
      <c r="E85" s="300">
        <f t="shared" si="16"/>
        <v>60840000</v>
      </c>
      <c r="F85" s="300">
        <f t="shared" si="16"/>
        <v>176890000</v>
      </c>
      <c r="G85" s="300">
        <f t="shared" si="16"/>
        <v>29160000</v>
      </c>
      <c r="H85" s="300">
        <f t="shared" si="16"/>
        <v>64000000</v>
      </c>
      <c r="I85" s="300">
        <f t="shared" si="16"/>
        <v>38440000</v>
      </c>
      <c r="J85" s="300">
        <f t="shared" si="16"/>
        <v>49000000</v>
      </c>
      <c r="K85" s="300">
        <f t="shared" si="16"/>
        <v>1690000</v>
      </c>
      <c r="L85" s="300">
        <f t="shared" si="16"/>
        <v>3610000</v>
      </c>
    </row>
    <row r="86" spans="2:12" hidden="1">
      <c r="B86" s="1">
        <v>1988</v>
      </c>
      <c r="C86" s="300">
        <f t="shared" si="16"/>
        <v>196000000</v>
      </c>
      <c r="D86" s="300">
        <f t="shared" si="16"/>
        <v>272250000</v>
      </c>
      <c r="E86" s="300">
        <f t="shared" si="16"/>
        <v>82810000</v>
      </c>
      <c r="F86" s="300">
        <f t="shared" si="16"/>
        <v>171610000</v>
      </c>
      <c r="G86" s="300">
        <f t="shared" si="16"/>
        <v>51840000</v>
      </c>
      <c r="H86" s="300">
        <f t="shared" si="16"/>
        <v>82810000</v>
      </c>
      <c r="I86" s="300">
        <f t="shared" si="16"/>
        <v>37210000</v>
      </c>
      <c r="J86" s="300">
        <f t="shared" si="16"/>
        <v>70560000</v>
      </c>
      <c r="K86" s="300">
        <f t="shared" si="16"/>
        <v>1440000</v>
      </c>
      <c r="L86" s="300">
        <f t="shared" si="16"/>
        <v>640000</v>
      </c>
    </row>
    <row r="87" spans="2:12" hidden="1">
      <c r="B87" s="1">
        <v>1989</v>
      </c>
      <c r="C87" s="300">
        <f t="shared" si="16"/>
        <v>174240000</v>
      </c>
      <c r="D87" s="300">
        <f t="shared" si="16"/>
        <v>231040000</v>
      </c>
      <c r="E87" s="300">
        <f t="shared" si="16"/>
        <v>96040000</v>
      </c>
      <c r="F87" s="300">
        <f t="shared" si="16"/>
        <v>148840000</v>
      </c>
      <c r="G87" s="300">
        <f t="shared" si="16"/>
        <v>46240000</v>
      </c>
      <c r="H87" s="300">
        <f t="shared" si="16"/>
        <v>86490000</v>
      </c>
      <c r="I87" s="300">
        <f t="shared" si="16"/>
        <v>34810000</v>
      </c>
      <c r="J87" s="300">
        <f t="shared" si="16"/>
        <v>88360000</v>
      </c>
      <c r="K87" s="300">
        <f t="shared" si="16"/>
        <v>90000</v>
      </c>
      <c r="L87" s="300">
        <f t="shared" si="16"/>
        <v>1690000</v>
      </c>
    </row>
    <row r="88" spans="2:12" hidden="1">
      <c r="B88" s="1">
        <v>1990</v>
      </c>
      <c r="C88" s="300">
        <f t="shared" si="16"/>
        <v>179560000</v>
      </c>
      <c r="D88" s="300">
        <f t="shared" si="16"/>
        <v>179560000</v>
      </c>
      <c r="E88" s="300">
        <f t="shared" si="16"/>
        <v>65610000</v>
      </c>
      <c r="F88" s="300">
        <f t="shared" si="16"/>
        <v>129960000</v>
      </c>
      <c r="G88" s="300">
        <f t="shared" si="16"/>
        <v>53290000</v>
      </c>
      <c r="H88" s="300">
        <f t="shared" si="16"/>
        <v>68890000</v>
      </c>
      <c r="I88" s="300">
        <f t="shared" si="16"/>
        <v>37210000</v>
      </c>
      <c r="J88" s="300">
        <f t="shared" si="16"/>
        <v>72250000</v>
      </c>
      <c r="K88" s="300">
        <f t="shared" si="16"/>
        <v>6250000</v>
      </c>
      <c r="L88" s="300">
        <f t="shared" si="16"/>
        <v>10000</v>
      </c>
    </row>
    <row r="89" spans="2:12" hidden="1">
      <c r="B89" s="1">
        <v>1991</v>
      </c>
      <c r="C89" s="300">
        <f t="shared" si="16"/>
        <v>158760000</v>
      </c>
      <c r="D89" s="300">
        <f t="shared" si="16"/>
        <v>158760000</v>
      </c>
      <c r="E89" s="300">
        <f t="shared" si="16"/>
        <v>64000000</v>
      </c>
      <c r="F89" s="300">
        <f t="shared" si="16"/>
        <v>106090000</v>
      </c>
      <c r="G89" s="300">
        <f t="shared" si="16"/>
        <v>44890000</v>
      </c>
      <c r="H89" s="300">
        <f t="shared" si="16"/>
        <v>47610000</v>
      </c>
      <c r="I89" s="300">
        <f t="shared" si="16"/>
        <v>36000000</v>
      </c>
      <c r="J89" s="300">
        <f t="shared" si="16"/>
        <v>59290000</v>
      </c>
      <c r="K89" s="300">
        <f t="shared" si="16"/>
        <v>23040000</v>
      </c>
      <c r="L89" s="300">
        <f t="shared" si="16"/>
        <v>0</v>
      </c>
    </row>
    <row r="90" spans="2:12" hidden="1">
      <c r="B90" s="1">
        <v>1992</v>
      </c>
      <c r="C90" s="300">
        <f t="shared" si="16"/>
        <v>184960000</v>
      </c>
      <c r="D90" s="300">
        <f t="shared" si="16"/>
        <v>134560000</v>
      </c>
      <c r="E90" s="300">
        <f t="shared" si="16"/>
        <v>62410000</v>
      </c>
      <c r="F90" s="300">
        <f t="shared" si="16"/>
        <v>102010000</v>
      </c>
      <c r="G90" s="300">
        <f t="shared" si="16"/>
        <v>49000000</v>
      </c>
      <c r="H90" s="300">
        <f t="shared" si="16"/>
        <v>44890000</v>
      </c>
      <c r="I90" s="300">
        <f t="shared" si="16"/>
        <v>26010000</v>
      </c>
      <c r="J90" s="300">
        <f t="shared" si="16"/>
        <v>43560000</v>
      </c>
      <c r="K90" s="300">
        <f t="shared" si="16"/>
        <v>4000000</v>
      </c>
      <c r="L90" s="300">
        <f t="shared" si="16"/>
        <v>7290000</v>
      </c>
    </row>
    <row r="91" spans="2:12" hidden="1">
      <c r="B91" s="1">
        <v>1993</v>
      </c>
      <c r="C91" s="300">
        <f t="shared" si="16"/>
        <v>184960000</v>
      </c>
      <c r="D91" s="300">
        <f t="shared" si="16"/>
        <v>146410000</v>
      </c>
      <c r="E91" s="300">
        <f t="shared" si="16"/>
        <v>64000000</v>
      </c>
      <c r="F91" s="300">
        <f t="shared" si="16"/>
        <v>90250000</v>
      </c>
      <c r="G91" s="300">
        <f t="shared" si="16"/>
        <v>47610000</v>
      </c>
      <c r="H91" s="300">
        <f t="shared" si="16"/>
        <v>46240000</v>
      </c>
      <c r="I91" s="300">
        <f t="shared" si="16"/>
        <v>32490000</v>
      </c>
      <c r="J91" s="300">
        <f t="shared" si="16"/>
        <v>47610000</v>
      </c>
      <c r="K91" s="300">
        <f t="shared" si="16"/>
        <v>11560000</v>
      </c>
      <c r="L91" s="300">
        <f t="shared" si="16"/>
        <v>1210000</v>
      </c>
    </row>
    <row r="92" spans="2:12" hidden="1">
      <c r="B92" s="1">
        <v>1994</v>
      </c>
      <c r="C92" s="300">
        <f t="shared" si="16"/>
        <v>129960000</v>
      </c>
      <c r="D92" s="300">
        <f t="shared" si="16"/>
        <v>132250000</v>
      </c>
      <c r="E92" s="300">
        <f t="shared" si="16"/>
        <v>82810000</v>
      </c>
      <c r="F92" s="300">
        <f t="shared" si="16"/>
        <v>102010000</v>
      </c>
      <c r="G92" s="300">
        <f t="shared" si="16"/>
        <v>38440000</v>
      </c>
      <c r="H92" s="300">
        <f t="shared" si="16"/>
        <v>40960000</v>
      </c>
      <c r="I92" s="300">
        <f t="shared" si="16"/>
        <v>18490000</v>
      </c>
      <c r="J92" s="300">
        <f t="shared" si="16"/>
        <v>49000000</v>
      </c>
      <c r="K92" s="300">
        <f t="shared" si="16"/>
        <v>13690000</v>
      </c>
      <c r="L92" s="300">
        <f t="shared" si="16"/>
        <v>640000</v>
      </c>
    </row>
    <row r="93" spans="2:12" hidden="1">
      <c r="B93" s="1">
        <v>1995</v>
      </c>
      <c r="C93" s="300">
        <f t="shared" si="16"/>
        <v>190440000</v>
      </c>
      <c r="D93" s="300">
        <f t="shared" si="16"/>
        <v>144000000</v>
      </c>
      <c r="E93" s="300">
        <f t="shared" si="16"/>
        <v>106090000</v>
      </c>
      <c r="F93" s="300">
        <f t="shared" si="16"/>
        <v>100000000</v>
      </c>
      <c r="G93" s="300">
        <f t="shared" si="16"/>
        <v>46240000</v>
      </c>
      <c r="H93" s="300">
        <f t="shared" si="16"/>
        <v>49000000</v>
      </c>
      <c r="I93" s="300">
        <f t="shared" si="16"/>
        <v>21160000</v>
      </c>
      <c r="J93" s="300">
        <f t="shared" si="16"/>
        <v>26010000</v>
      </c>
      <c r="K93" s="300">
        <f t="shared" si="16"/>
        <v>9000000</v>
      </c>
      <c r="L93" s="300">
        <f t="shared" si="16"/>
        <v>490000</v>
      </c>
    </row>
    <row r="94" spans="2:12" hidden="1">
      <c r="B94" s="1">
        <v>1996</v>
      </c>
      <c r="C94" s="300">
        <f t="shared" si="16"/>
        <v>210250000</v>
      </c>
      <c r="D94" s="300">
        <f t="shared" si="16"/>
        <v>125440000</v>
      </c>
      <c r="E94" s="300">
        <f t="shared" si="16"/>
        <v>123210000</v>
      </c>
      <c r="F94" s="300">
        <f t="shared" si="16"/>
        <v>100000000</v>
      </c>
      <c r="G94" s="300">
        <f t="shared" si="16"/>
        <v>42250000</v>
      </c>
      <c r="H94" s="300">
        <f t="shared" si="16"/>
        <v>47610000</v>
      </c>
      <c r="I94" s="300">
        <f t="shared" si="16"/>
        <v>22090000</v>
      </c>
      <c r="J94" s="300">
        <f t="shared" si="16"/>
        <v>39690000</v>
      </c>
      <c r="K94" s="300">
        <f t="shared" si="16"/>
        <v>12960000</v>
      </c>
      <c r="L94" s="300">
        <f t="shared" si="16"/>
        <v>490000</v>
      </c>
    </row>
    <row r="95" spans="2:12" hidden="1">
      <c r="B95" s="1">
        <v>1997</v>
      </c>
      <c r="C95" s="300">
        <f t="shared" si="16"/>
        <v>240250000</v>
      </c>
      <c r="D95" s="300">
        <f t="shared" si="16"/>
        <v>163840000</v>
      </c>
      <c r="E95" s="300">
        <f t="shared" si="16"/>
        <v>110250000</v>
      </c>
      <c r="F95" s="300">
        <f t="shared" si="16"/>
        <v>123210000</v>
      </c>
      <c r="G95" s="300">
        <f t="shared" si="16"/>
        <v>53290000</v>
      </c>
      <c r="H95" s="300">
        <f t="shared" si="16"/>
        <v>44890000</v>
      </c>
      <c r="I95" s="300">
        <f t="shared" si="16"/>
        <v>26010000</v>
      </c>
      <c r="J95" s="300">
        <f t="shared" si="16"/>
        <v>37210000</v>
      </c>
      <c r="K95" s="300">
        <f t="shared" si="16"/>
        <v>53290000</v>
      </c>
      <c r="L95" s="300">
        <f t="shared" si="16"/>
        <v>90000</v>
      </c>
    </row>
    <row r="96" spans="2:12" hidden="1">
      <c r="B96" s="1">
        <v>1998</v>
      </c>
      <c r="C96" s="300">
        <f t="shared" ref="C96:L102" si="17">C69^2</f>
        <v>219040000</v>
      </c>
      <c r="D96" s="300">
        <f t="shared" si="17"/>
        <v>151290000</v>
      </c>
      <c r="E96" s="300">
        <f t="shared" si="17"/>
        <v>112360000</v>
      </c>
      <c r="F96" s="300">
        <f t="shared" si="17"/>
        <v>114490000</v>
      </c>
      <c r="G96" s="300">
        <f t="shared" si="17"/>
        <v>53290000</v>
      </c>
      <c r="H96" s="300">
        <f t="shared" si="17"/>
        <v>57760000</v>
      </c>
      <c r="I96" s="300">
        <f t="shared" si="17"/>
        <v>22090000</v>
      </c>
      <c r="J96" s="300">
        <f t="shared" si="17"/>
        <v>62410000</v>
      </c>
      <c r="K96" s="300">
        <f t="shared" si="17"/>
        <v>47610000</v>
      </c>
      <c r="L96" s="300">
        <f t="shared" si="17"/>
        <v>4000000</v>
      </c>
    </row>
    <row r="97" spans="2:13" hidden="1">
      <c r="B97" s="1">
        <v>1999</v>
      </c>
      <c r="C97" s="300">
        <f t="shared" si="17"/>
        <v>225000000</v>
      </c>
      <c r="D97" s="300">
        <f t="shared" si="17"/>
        <v>193210000</v>
      </c>
      <c r="E97" s="300">
        <f t="shared" si="17"/>
        <v>102010000</v>
      </c>
      <c r="F97" s="300">
        <f t="shared" si="17"/>
        <v>123210000</v>
      </c>
      <c r="G97" s="300">
        <f t="shared" si="17"/>
        <v>62410000</v>
      </c>
      <c r="H97" s="300">
        <f t="shared" si="17"/>
        <v>86490000</v>
      </c>
      <c r="I97" s="300">
        <f t="shared" si="17"/>
        <v>44890000</v>
      </c>
      <c r="J97" s="300">
        <f t="shared" si="17"/>
        <v>77440000</v>
      </c>
      <c r="K97" s="300">
        <f t="shared" si="17"/>
        <v>14440000</v>
      </c>
      <c r="L97" s="300">
        <f t="shared" si="17"/>
        <v>6760000</v>
      </c>
    </row>
    <row r="98" spans="2:13" hidden="1">
      <c r="B98" s="1">
        <v>2000</v>
      </c>
      <c r="C98" s="300">
        <f t="shared" si="17"/>
        <v>243360000</v>
      </c>
      <c r="D98" s="300">
        <f t="shared" si="17"/>
        <v>207360000</v>
      </c>
      <c r="E98" s="300">
        <f t="shared" si="17"/>
        <v>125440000</v>
      </c>
      <c r="F98" s="300">
        <f t="shared" si="17"/>
        <v>139240000</v>
      </c>
      <c r="G98" s="300">
        <f t="shared" si="17"/>
        <v>64000000</v>
      </c>
      <c r="H98" s="300">
        <f t="shared" si="17"/>
        <v>98010000</v>
      </c>
      <c r="I98" s="300">
        <f t="shared" si="17"/>
        <v>57760000</v>
      </c>
      <c r="J98" s="300">
        <f t="shared" si="17"/>
        <v>102010000</v>
      </c>
      <c r="K98" s="300">
        <f t="shared" si="17"/>
        <v>17640000</v>
      </c>
      <c r="L98" s="300">
        <f t="shared" si="17"/>
        <v>15210000</v>
      </c>
    </row>
    <row r="99" spans="2:13" hidden="1">
      <c r="B99" s="1">
        <v>2001</v>
      </c>
      <c r="C99" s="300">
        <f t="shared" si="17"/>
        <v>306250000</v>
      </c>
      <c r="D99" s="300">
        <f t="shared" si="17"/>
        <v>231040000</v>
      </c>
      <c r="E99" s="300">
        <f t="shared" si="17"/>
        <v>112360000</v>
      </c>
      <c r="F99" s="300">
        <f t="shared" si="17"/>
        <v>141610000</v>
      </c>
      <c r="G99" s="300">
        <f t="shared" si="17"/>
        <v>65610000</v>
      </c>
      <c r="H99" s="300">
        <f t="shared" si="17"/>
        <v>84640000</v>
      </c>
      <c r="I99" s="300">
        <f t="shared" si="17"/>
        <v>51840000</v>
      </c>
      <c r="J99" s="300">
        <f t="shared" si="17"/>
        <v>72250000</v>
      </c>
      <c r="K99" s="300">
        <f t="shared" si="17"/>
        <v>42250000</v>
      </c>
      <c r="L99" s="300">
        <f t="shared" si="17"/>
        <v>16000000</v>
      </c>
    </row>
    <row r="100" spans="2:13" hidden="1">
      <c r="B100" s="1">
        <v>2002</v>
      </c>
      <c r="C100" s="300">
        <f t="shared" si="17"/>
        <v>278890000</v>
      </c>
      <c r="D100" s="300">
        <f t="shared" si="17"/>
        <v>222010000</v>
      </c>
      <c r="E100" s="300">
        <f t="shared" si="17"/>
        <v>94090000</v>
      </c>
      <c r="F100" s="300">
        <f t="shared" si="17"/>
        <v>169000000</v>
      </c>
      <c r="G100" s="300">
        <f t="shared" si="17"/>
        <v>57760000</v>
      </c>
      <c r="H100" s="300">
        <f t="shared" si="17"/>
        <v>79210000</v>
      </c>
      <c r="I100" s="300">
        <f t="shared" si="17"/>
        <v>47610000</v>
      </c>
      <c r="J100" s="300">
        <f t="shared" si="17"/>
        <v>79210000</v>
      </c>
      <c r="K100" s="300">
        <f t="shared" si="17"/>
        <v>26010000</v>
      </c>
      <c r="L100" s="300">
        <f t="shared" si="17"/>
        <v>10890000</v>
      </c>
    </row>
    <row r="101" spans="2:13" hidden="1">
      <c r="B101" s="1">
        <v>2003</v>
      </c>
      <c r="C101" s="300">
        <f t="shared" si="17"/>
        <v>285610000</v>
      </c>
      <c r="D101" s="300">
        <f t="shared" si="17"/>
        <v>190440000</v>
      </c>
      <c r="E101" s="300">
        <f t="shared" si="17"/>
        <v>116640000</v>
      </c>
      <c r="F101" s="300">
        <f t="shared" si="17"/>
        <v>156250000</v>
      </c>
      <c r="G101" s="300">
        <f t="shared" si="17"/>
        <v>57760000</v>
      </c>
      <c r="H101" s="300">
        <f t="shared" si="17"/>
        <v>77440000</v>
      </c>
      <c r="I101" s="300">
        <f t="shared" si="17"/>
        <v>39690000</v>
      </c>
      <c r="J101" s="300">
        <f t="shared" si="17"/>
        <v>62410000</v>
      </c>
      <c r="K101" s="300">
        <f t="shared" si="17"/>
        <v>37210000</v>
      </c>
      <c r="L101" s="300">
        <f t="shared" si="17"/>
        <v>17640000</v>
      </c>
    </row>
    <row r="102" spans="2:13" hidden="1">
      <c r="B102" s="1">
        <v>2004</v>
      </c>
      <c r="C102" s="300">
        <f t="shared" si="17"/>
        <v>289000000</v>
      </c>
      <c r="D102" s="300">
        <f t="shared" si="17"/>
        <v>182250000</v>
      </c>
      <c r="E102" s="300">
        <f t="shared" si="17"/>
        <v>123210000</v>
      </c>
      <c r="F102" s="300">
        <f t="shared" si="17"/>
        <v>163840000</v>
      </c>
      <c r="G102" s="300">
        <f t="shared" si="17"/>
        <v>56250000</v>
      </c>
      <c r="H102" s="300">
        <f t="shared" si="17"/>
        <v>67240000</v>
      </c>
      <c r="I102" s="300">
        <f t="shared" si="17"/>
        <v>43560000</v>
      </c>
      <c r="J102" s="300">
        <f t="shared" si="17"/>
        <v>88360000</v>
      </c>
      <c r="K102" s="300">
        <f t="shared" si="17"/>
        <v>59290000</v>
      </c>
      <c r="L102" s="300">
        <f t="shared" si="17"/>
        <v>10890000</v>
      </c>
    </row>
    <row r="103" spans="2:13">
      <c r="C103" s="300"/>
      <c r="D103" s="300"/>
      <c r="E103" s="300"/>
      <c r="F103" s="300"/>
      <c r="G103" s="300"/>
      <c r="H103" s="300"/>
      <c r="I103" s="300"/>
      <c r="J103" s="300"/>
      <c r="K103" s="300"/>
      <c r="L103" s="300"/>
    </row>
    <row r="105" spans="2:13">
      <c r="B105" s="961"/>
      <c r="C105" s="961"/>
      <c r="D105" s="961"/>
      <c r="E105" s="961"/>
      <c r="F105" s="961"/>
      <c r="G105" s="961"/>
      <c r="H105" s="961"/>
      <c r="I105" s="961"/>
      <c r="J105" s="961"/>
      <c r="K105" s="961"/>
      <c r="L105" s="961"/>
      <c r="M105" s="961"/>
    </row>
    <row r="106" spans="2:13">
      <c r="B106" s="961"/>
      <c r="C106" s="961"/>
      <c r="D106" s="961"/>
      <c r="E106" s="961"/>
      <c r="F106" s="961"/>
      <c r="G106" s="961"/>
      <c r="H106" s="961"/>
      <c r="I106" s="961"/>
      <c r="J106" s="961"/>
      <c r="K106" s="961"/>
      <c r="L106" s="961"/>
      <c r="M106" s="961"/>
    </row>
    <row r="107" spans="2:13">
      <c r="B107" s="961"/>
      <c r="C107" s="961"/>
      <c r="D107" s="961"/>
      <c r="E107" s="961"/>
      <c r="F107" s="961"/>
      <c r="G107" s="961"/>
      <c r="H107" s="961"/>
      <c r="I107" s="961"/>
      <c r="J107" s="961"/>
      <c r="K107" s="961"/>
      <c r="L107" s="961"/>
      <c r="M107" s="961"/>
    </row>
    <row r="108" spans="2:13">
      <c r="B108" s="961"/>
      <c r="C108" s="961"/>
      <c r="D108" s="961"/>
      <c r="E108" s="961"/>
      <c r="F108" s="961"/>
      <c r="G108" s="961"/>
      <c r="H108" s="961"/>
      <c r="I108" s="961"/>
      <c r="J108" s="961"/>
      <c r="K108" s="961"/>
      <c r="L108" s="961"/>
      <c r="M108" s="961"/>
    </row>
    <row r="109" spans="2:13">
      <c r="B109" s="961"/>
      <c r="C109" s="961"/>
      <c r="D109" s="961"/>
      <c r="E109" s="961"/>
      <c r="F109" s="961"/>
      <c r="G109" s="961"/>
      <c r="H109" s="961"/>
      <c r="I109" s="961"/>
      <c r="J109" s="961"/>
      <c r="K109" s="961"/>
      <c r="L109" s="961"/>
      <c r="M109" s="961"/>
    </row>
    <row r="110" spans="2:13">
      <c r="B110" s="961"/>
      <c r="C110" s="961"/>
      <c r="D110" s="961"/>
      <c r="E110" s="961"/>
      <c r="F110" s="961"/>
      <c r="G110" s="961"/>
      <c r="H110" s="961"/>
      <c r="I110" s="961"/>
      <c r="J110" s="961"/>
      <c r="K110" s="961"/>
      <c r="L110" s="961"/>
      <c r="M110" s="961"/>
    </row>
    <row r="111" spans="2:13">
      <c r="B111" s="961"/>
      <c r="C111" s="961"/>
      <c r="D111" s="961"/>
      <c r="E111" s="961"/>
      <c r="F111" s="961"/>
      <c r="G111" s="961"/>
      <c r="H111" s="961"/>
      <c r="I111" s="961"/>
      <c r="J111" s="961"/>
      <c r="K111" s="961"/>
      <c r="L111" s="961"/>
      <c r="M111" s="961"/>
    </row>
    <row r="112" spans="2:13">
      <c r="B112" s="961"/>
      <c r="C112" s="961"/>
      <c r="D112" s="961"/>
      <c r="E112" s="961"/>
      <c r="F112" s="961"/>
      <c r="G112" s="961"/>
      <c r="H112" s="961"/>
      <c r="I112" s="961"/>
      <c r="J112" s="961"/>
      <c r="K112" s="961"/>
      <c r="L112" s="961"/>
      <c r="M112" s="961"/>
    </row>
    <row r="113" spans="2:13">
      <c r="B113" s="961"/>
      <c r="C113" s="961"/>
      <c r="D113" s="961"/>
      <c r="E113" s="961"/>
      <c r="F113" s="961"/>
      <c r="G113" s="961"/>
      <c r="H113" s="961"/>
      <c r="I113" s="961"/>
      <c r="J113" s="961"/>
      <c r="K113" s="961"/>
      <c r="L113" s="961"/>
      <c r="M113" s="961"/>
    </row>
    <row r="114" spans="2:13">
      <c r="B114" s="961"/>
      <c r="C114" s="961"/>
      <c r="D114" s="961"/>
      <c r="E114" s="961"/>
      <c r="F114" s="961"/>
      <c r="G114" s="961"/>
      <c r="H114" s="961"/>
      <c r="I114" s="961"/>
      <c r="J114" s="961"/>
      <c r="K114" s="961"/>
      <c r="L114" s="961"/>
      <c r="M114" s="961"/>
    </row>
    <row r="115" spans="2:13">
      <c r="B115" s="961"/>
      <c r="C115" s="961"/>
      <c r="D115" s="961"/>
      <c r="E115" s="961"/>
      <c r="F115" s="961"/>
      <c r="G115" s="961"/>
      <c r="H115" s="961"/>
      <c r="I115" s="961"/>
      <c r="J115" s="961"/>
      <c r="K115" s="961"/>
      <c r="L115" s="961"/>
      <c r="M115" s="961"/>
    </row>
    <row r="116" spans="2:13">
      <c r="B116" s="961"/>
      <c r="C116" s="961"/>
      <c r="D116" s="961"/>
      <c r="E116" s="961"/>
      <c r="F116" s="961"/>
      <c r="G116" s="961"/>
      <c r="H116" s="961"/>
      <c r="I116" s="961"/>
      <c r="J116" s="961"/>
      <c r="K116" s="961"/>
      <c r="L116" s="961"/>
      <c r="M116" s="961"/>
    </row>
    <row r="117" spans="2:13">
      <c r="B117" s="961"/>
      <c r="C117" s="961"/>
      <c r="D117" s="961"/>
      <c r="E117" s="961"/>
      <c r="F117" s="961"/>
      <c r="G117" s="961"/>
      <c r="H117" s="961"/>
      <c r="I117" s="961"/>
      <c r="J117" s="961"/>
      <c r="K117" s="961"/>
      <c r="L117" s="961"/>
      <c r="M117" s="961"/>
    </row>
    <row r="118" spans="2:13">
      <c r="B118" s="961"/>
      <c r="C118" s="961"/>
      <c r="D118" s="961"/>
      <c r="E118" s="961"/>
      <c r="F118" s="961"/>
      <c r="G118" s="961"/>
      <c r="H118" s="961"/>
      <c r="I118" s="961"/>
      <c r="J118" s="961"/>
      <c r="K118" s="961"/>
      <c r="L118" s="961"/>
      <c r="M118" s="961"/>
    </row>
    <row r="119" spans="2:13">
      <c r="B119" s="961"/>
      <c r="C119" s="961"/>
      <c r="D119" s="961"/>
      <c r="E119" s="961"/>
      <c r="F119" s="961"/>
      <c r="G119" s="961"/>
      <c r="H119" s="961"/>
      <c r="I119" s="961"/>
      <c r="J119" s="961"/>
      <c r="K119" s="961"/>
      <c r="L119" s="961"/>
      <c r="M119" s="961"/>
    </row>
    <row r="120" spans="2:13">
      <c r="B120" s="961"/>
      <c r="C120" s="961"/>
      <c r="D120" s="961"/>
      <c r="E120" s="961"/>
      <c r="F120" s="961"/>
      <c r="G120" s="961"/>
      <c r="H120" s="961"/>
      <c r="I120" s="961"/>
      <c r="J120" s="961"/>
      <c r="K120" s="961"/>
      <c r="L120" s="961"/>
      <c r="M120" s="961"/>
    </row>
    <row r="121" spans="2:13">
      <c r="B121" s="961"/>
      <c r="C121" s="961"/>
      <c r="D121" s="961"/>
      <c r="E121" s="961"/>
      <c r="F121" s="961"/>
      <c r="G121" s="961"/>
      <c r="H121" s="961"/>
      <c r="I121" s="961"/>
      <c r="J121" s="961"/>
      <c r="K121" s="961"/>
      <c r="L121" s="961"/>
      <c r="M121" s="961"/>
    </row>
    <row r="122" spans="2:13">
      <c r="B122" s="961"/>
      <c r="C122" s="961"/>
      <c r="D122" s="961"/>
      <c r="E122" s="961"/>
      <c r="F122" s="961"/>
      <c r="G122" s="961"/>
      <c r="H122" s="961"/>
      <c r="I122" s="961"/>
      <c r="J122" s="961"/>
      <c r="K122" s="961"/>
      <c r="L122" s="961"/>
      <c r="M122" s="961"/>
    </row>
    <row r="123" spans="2:13">
      <c r="B123" s="961"/>
      <c r="C123" s="961"/>
      <c r="D123" s="961"/>
      <c r="E123" s="961"/>
      <c r="F123" s="961"/>
      <c r="G123" s="961"/>
      <c r="H123" s="961"/>
      <c r="I123" s="961"/>
      <c r="J123" s="961"/>
      <c r="K123" s="961"/>
      <c r="L123" s="961"/>
      <c r="M123" s="961"/>
    </row>
    <row r="124" spans="2:13">
      <c r="B124" s="961"/>
      <c r="C124" s="961"/>
      <c r="D124" s="961"/>
      <c r="E124" s="961"/>
      <c r="F124" s="961"/>
      <c r="G124" s="961"/>
      <c r="H124" s="961"/>
      <c r="I124" s="961"/>
      <c r="J124" s="961"/>
      <c r="K124" s="961"/>
      <c r="L124" s="961"/>
      <c r="M124" s="961"/>
    </row>
    <row r="125" spans="2:13">
      <c r="B125" s="961"/>
      <c r="C125" s="961"/>
      <c r="D125" s="961"/>
      <c r="E125" s="961"/>
      <c r="F125" s="961"/>
      <c r="G125" s="961"/>
      <c r="H125" s="961"/>
      <c r="I125" s="961"/>
      <c r="J125" s="961"/>
      <c r="K125" s="961"/>
      <c r="L125" s="961"/>
      <c r="M125" s="961"/>
    </row>
    <row r="126" spans="2:13">
      <c r="B126" s="961"/>
      <c r="C126" s="961"/>
      <c r="D126" s="961"/>
      <c r="E126" s="961"/>
      <c r="F126" s="961"/>
      <c r="G126" s="961"/>
      <c r="H126" s="961"/>
      <c r="I126" s="961"/>
      <c r="J126" s="961"/>
      <c r="K126" s="961"/>
      <c r="L126" s="961"/>
      <c r="M126" s="961"/>
    </row>
    <row r="127" spans="2:13">
      <c r="B127" s="961"/>
      <c r="C127" s="961"/>
      <c r="D127" s="961"/>
      <c r="E127" s="961"/>
      <c r="F127" s="961"/>
      <c r="G127" s="961"/>
      <c r="H127" s="961"/>
      <c r="I127" s="961"/>
      <c r="J127" s="961"/>
      <c r="K127" s="961"/>
      <c r="L127" s="961"/>
      <c r="M127" s="961"/>
    </row>
    <row r="128" spans="2:13">
      <c r="B128" s="961"/>
      <c r="C128" s="961"/>
      <c r="D128" s="961"/>
      <c r="E128" s="961"/>
      <c r="F128" s="961"/>
      <c r="G128" s="961"/>
      <c r="H128" s="961"/>
      <c r="I128" s="961"/>
      <c r="J128" s="961"/>
      <c r="K128" s="961"/>
      <c r="L128" s="961"/>
      <c r="M128" s="961"/>
    </row>
    <row r="129" spans="2:13">
      <c r="B129" s="961"/>
      <c r="C129" s="961"/>
      <c r="D129" s="961"/>
      <c r="E129" s="961"/>
      <c r="F129" s="961"/>
      <c r="G129" s="961"/>
      <c r="H129" s="961"/>
      <c r="I129" s="961"/>
      <c r="J129" s="961"/>
      <c r="K129" s="961"/>
      <c r="L129" s="961"/>
      <c r="M129" s="961"/>
    </row>
    <row r="130" spans="2:13">
      <c r="B130" s="961"/>
      <c r="C130" s="961"/>
      <c r="D130" s="961"/>
      <c r="E130" s="961"/>
      <c r="F130" s="961"/>
      <c r="G130" s="961"/>
      <c r="H130" s="961"/>
      <c r="I130" s="961"/>
      <c r="J130" s="961"/>
      <c r="K130" s="961"/>
      <c r="L130" s="961"/>
      <c r="M130" s="961"/>
    </row>
    <row r="131" spans="2:13">
      <c r="B131" s="961"/>
      <c r="C131" s="961"/>
      <c r="D131" s="961"/>
      <c r="E131" s="961"/>
      <c r="F131" s="961"/>
      <c r="G131" s="961"/>
      <c r="H131" s="961"/>
      <c r="I131" s="961"/>
      <c r="J131" s="961"/>
      <c r="K131" s="961"/>
      <c r="L131" s="961"/>
      <c r="M131" s="961"/>
    </row>
    <row r="132" spans="2:13">
      <c r="B132" s="961"/>
      <c r="C132" s="961"/>
      <c r="D132" s="961"/>
      <c r="E132" s="961"/>
      <c r="F132" s="961"/>
      <c r="G132" s="961"/>
      <c r="H132" s="961"/>
      <c r="I132" s="961"/>
      <c r="J132" s="961"/>
      <c r="K132" s="961"/>
      <c r="L132" s="961"/>
      <c r="M132" s="961"/>
    </row>
    <row r="133" spans="2:13">
      <c r="B133" s="961"/>
      <c r="C133" s="961"/>
      <c r="D133" s="961"/>
      <c r="E133" s="961"/>
      <c r="F133" s="961"/>
      <c r="G133" s="961"/>
      <c r="H133" s="961"/>
      <c r="I133" s="961"/>
      <c r="J133" s="961"/>
      <c r="K133" s="961"/>
      <c r="L133" s="961"/>
      <c r="M133" s="961"/>
    </row>
  </sheetData>
  <mergeCells count="15">
    <mergeCell ref="A42:L42"/>
    <mergeCell ref="A47:L47"/>
    <mergeCell ref="A46:L46"/>
    <mergeCell ref="A43:L43"/>
    <mergeCell ref="J3:J4"/>
    <mergeCell ref="K3:K4"/>
    <mergeCell ref="L3:L4"/>
    <mergeCell ref="F3:F4"/>
    <mergeCell ref="G3:G4"/>
    <mergeCell ref="H3:H4"/>
    <mergeCell ref="I3:I4"/>
    <mergeCell ref="B3:B4"/>
    <mergeCell ref="C3:C4"/>
    <mergeCell ref="D3:D4"/>
    <mergeCell ref="E3:E4"/>
  </mergeCells>
  <phoneticPr fontId="35" type="noConversion"/>
  <pageMargins left="0.74803149606299213" right="0.74803149606299213" top="0.98425196850393704" bottom="0.98425196850393704" header="0.51181102362204722" footer="0.51181102362204722"/>
  <pageSetup scale="71" orientation="landscape" horizontalDpi="300" verticalDpi="300" r:id="rId1"/>
  <headerFooter alignWithMargins="0"/>
</worksheet>
</file>

<file path=xl/worksheets/sheet37.xml><?xml version="1.0" encoding="utf-8"?>
<worksheet xmlns="http://schemas.openxmlformats.org/spreadsheetml/2006/main" xmlns:r="http://schemas.openxmlformats.org/officeDocument/2006/relationships">
  <sheetPr codeName="Sheet27">
    <pageSetUpPr fitToPage="1"/>
  </sheetPr>
  <dimension ref="A1:Q132"/>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3" width="8.85546875" style="1" customWidth="1"/>
    <col min="14" max="15" width="8.85546875" style="1" hidden="1" customWidth="1"/>
    <col min="16" max="17" width="9.42578125" style="1" hidden="1" customWidth="1"/>
    <col min="18" max="16384" width="8.85546875" style="1"/>
  </cols>
  <sheetData>
    <row r="1" spans="1:17" ht="15.75">
      <c r="A1" s="4"/>
      <c r="B1" s="3" t="s">
        <v>2121</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N4" s="968" t="s">
        <v>282</v>
      </c>
      <c r="O4" s="968" t="s">
        <v>282</v>
      </c>
      <c r="P4" s="645" t="s">
        <v>281</v>
      </c>
      <c r="Q4" s="645" t="s">
        <v>281</v>
      </c>
    </row>
    <row r="5" spans="1:17">
      <c r="A5" s="120">
        <v>1981</v>
      </c>
      <c r="B5" s="19">
        <v>58700</v>
      </c>
      <c r="C5" s="19">
        <v>53700</v>
      </c>
      <c r="D5" s="19">
        <v>45500</v>
      </c>
      <c r="E5" s="19">
        <v>48200</v>
      </c>
      <c r="F5" s="19">
        <v>48200</v>
      </c>
      <c r="G5" s="19">
        <v>54300</v>
      </c>
      <c r="H5" s="19">
        <v>61900</v>
      </c>
      <c r="I5" s="19">
        <v>53300</v>
      </c>
      <c r="J5" s="19">
        <v>56300</v>
      </c>
      <c r="K5" s="19">
        <v>65600</v>
      </c>
      <c r="L5" s="19">
        <v>61700</v>
      </c>
      <c r="N5" s="19">
        <f>SUM(C79:L79)/10</f>
        <v>54087000</v>
      </c>
      <c r="O5" s="19">
        <f>SQRT(N5)</f>
        <v>7354.3864461965823</v>
      </c>
      <c r="P5" s="19">
        <f>Q5^2</f>
        <v>39418100</v>
      </c>
      <c r="Q5" s="19">
        <f>STDEVP(C5:L5)</f>
        <v>6278.383549927481</v>
      </c>
    </row>
    <row r="6" spans="1:17">
      <c r="A6" s="120">
        <v>1982</v>
      </c>
      <c r="B6" s="19">
        <v>57300</v>
      </c>
      <c r="C6" s="19">
        <v>51400</v>
      </c>
      <c r="D6" s="19">
        <v>45700</v>
      </c>
      <c r="E6" s="19">
        <v>48100</v>
      </c>
      <c r="F6" s="19">
        <v>47500</v>
      </c>
      <c r="G6" s="19">
        <v>52800</v>
      </c>
      <c r="H6" s="19">
        <v>60100</v>
      </c>
      <c r="I6" s="19">
        <v>52900</v>
      </c>
      <c r="J6" s="19">
        <v>54700</v>
      </c>
      <c r="K6" s="19">
        <v>66600</v>
      </c>
      <c r="L6" s="19">
        <v>59600</v>
      </c>
      <c r="N6" s="19">
        <f t="shared" ref="N6:N28" si="0">SUM(C80:L80)/10</f>
        <v>49604000</v>
      </c>
      <c r="O6" s="19">
        <f t="shared" ref="O6:O28" si="1">SQRT(N6)</f>
        <v>7043.0107198555361</v>
      </c>
      <c r="P6" s="19">
        <f t="shared" ref="P6:P28" si="2">Q6^2</f>
        <v>38314400</v>
      </c>
      <c r="Q6" s="19">
        <f t="shared" ref="Q6:Q28" si="3">STDEVP(C6:L6)</f>
        <v>6189.8626802215895</v>
      </c>
    </row>
    <row r="7" spans="1:17">
      <c r="A7" s="120">
        <v>1983</v>
      </c>
      <c r="B7" s="19">
        <v>56000</v>
      </c>
      <c r="C7" s="19">
        <v>46800</v>
      </c>
      <c r="D7" s="19">
        <v>47900</v>
      </c>
      <c r="E7" s="19">
        <v>48200</v>
      </c>
      <c r="F7" s="19">
        <v>45400</v>
      </c>
      <c r="G7" s="19">
        <v>51900</v>
      </c>
      <c r="H7" s="19">
        <v>60100</v>
      </c>
      <c r="I7" s="19">
        <v>53900</v>
      </c>
      <c r="J7" s="19">
        <v>52600</v>
      </c>
      <c r="K7" s="19">
        <v>60300</v>
      </c>
      <c r="L7" s="19">
        <v>57100</v>
      </c>
      <c r="N7" s="19">
        <f t="shared" si="0"/>
        <v>39274000</v>
      </c>
      <c r="O7" s="19">
        <f t="shared" si="1"/>
        <v>6266.8971588817376</v>
      </c>
      <c r="P7" s="19">
        <f t="shared" si="2"/>
        <v>26457599.999999996</v>
      </c>
      <c r="Q7" s="19">
        <f t="shared" si="3"/>
        <v>5143.6951698171224</v>
      </c>
    </row>
    <row r="8" spans="1:17">
      <c r="A8" s="120">
        <v>1984</v>
      </c>
      <c r="B8" s="19">
        <v>56100</v>
      </c>
      <c r="C8" s="19">
        <v>47800</v>
      </c>
      <c r="D8" s="19">
        <v>46400</v>
      </c>
      <c r="E8" s="19">
        <v>49400</v>
      </c>
      <c r="F8" s="19">
        <v>48700</v>
      </c>
      <c r="G8" s="19">
        <v>52800</v>
      </c>
      <c r="H8" s="19">
        <v>60900</v>
      </c>
      <c r="I8" s="19">
        <v>53000</v>
      </c>
      <c r="J8" s="19">
        <v>51800</v>
      </c>
      <c r="K8" s="19">
        <v>58100</v>
      </c>
      <c r="L8" s="19">
        <v>55000</v>
      </c>
      <c r="N8" s="19">
        <f t="shared" si="0"/>
        <v>32987000</v>
      </c>
      <c r="O8" s="19">
        <f t="shared" si="1"/>
        <v>5743.4310303162865</v>
      </c>
      <c r="P8" s="19">
        <f t="shared" si="2"/>
        <v>19222899.999999996</v>
      </c>
      <c r="Q8" s="19">
        <f t="shared" si="3"/>
        <v>4384.392774375945</v>
      </c>
    </row>
    <row r="9" spans="1:17">
      <c r="A9" s="120">
        <v>1985</v>
      </c>
      <c r="B9" s="19">
        <v>57400</v>
      </c>
      <c r="C9" s="19">
        <v>48300</v>
      </c>
      <c r="D9" s="19">
        <v>46800</v>
      </c>
      <c r="E9" s="19">
        <v>52400</v>
      </c>
      <c r="F9" s="19">
        <v>49300</v>
      </c>
      <c r="G9" s="19">
        <v>52900</v>
      </c>
      <c r="H9" s="19">
        <v>62900</v>
      </c>
      <c r="I9" s="19">
        <v>52900</v>
      </c>
      <c r="J9" s="19">
        <v>52100</v>
      </c>
      <c r="K9" s="19">
        <v>61000</v>
      </c>
      <c r="L9" s="19">
        <v>55700</v>
      </c>
      <c r="N9" s="19">
        <f t="shared" si="0"/>
        <v>40047000</v>
      </c>
      <c r="O9" s="19">
        <f t="shared" si="1"/>
        <v>6328.2699057483314</v>
      </c>
      <c r="P9" s="19">
        <f t="shared" si="2"/>
        <v>24286099.999999996</v>
      </c>
      <c r="Q9" s="19">
        <f t="shared" si="3"/>
        <v>4928.0929374353318</v>
      </c>
    </row>
    <row r="10" spans="1:17">
      <c r="A10" s="120">
        <v>1986</v>
      </c>
      <c r="B10" s="19">
        <v>58200</v>
      </c>
      <c r="C10" s="19">
        <v>46200</v>
      </c>
      <c r="D10" s="19">
        <v>47500</v>
      </c>
      <c r="E10" s="19">
        <v>51300</v>
      </c>
      <c r="F10" s="19">
        <v>49100</v>
      </c>
      <c r="G10" s="19">
        <v>53500</v>
      </c>
      <c r="H10" s="19">
        <v>64700</v>
      </c>
      <c r="I10" s="19">
        <v>54000</v>
      </c>
      <c r="J10" s="19">
        <v>51700</v>
      </c>
      <c r="K10" s="19">
        <v>60400</v>
      </c>
      <c r="L10" s="19">
        <v>57000</v>
      </c>
      <c r="N10" s="19">
        <f t="shared" si="0"/>
        <v>51942000</v>
      </c>
      <c r="O10" s="19">
        <f t="shared" si="1"/>
        <v>7207.079852478395</v>
      </c>
      <c r="P10" s="19">
        <f t="shared" si="2"/>
        <v>30226400.000000004</v>
      </c>
      <c r="Q10" s="19">
        <f t="shared" si="3"/>
        <v>5497.8541268389436</v>
      </c>
    </row>
    <row r="11" spans="1:17">
      <c r="A11" s="120">
        <v>1987</v>
      </c>
      <c r="B11" s="19">
        <v>58800</v>
      </c>
      <c r="C11" s="19">
        <v>48900</v>
      </c>
      <c r="D11" s="19">
        <v>49400</v>
      </c>
      <c r="E11" s="19">
        <v>52600</v>
      </c>
      <c r="F11" s="19">
        <v>48400</v>
      </c>
      <c r="G11" s="19">
        <v>54000</v>
      </c>
      <c r="H11" s="19">
        <v>66100</v>
      </c>
      <c r="I11" s="19">
        <v>52900</v>
      </c>
      <c r="J11" s="19">
        <v>51900</v>
      </c>
      <c r="K11" s="19">
        <v>59100</v>
      </c>
      <c r="L11" s="19">
        <v>56500</v>
      </c>
      <c r="N11" s="19">
        <f t="shared" si="0"/>
        <v>49710000</v>
      </c>
      <c r="O11" s="19">
        <f t="shared" si="1"/>
        <v>7050.5318948289287</v>
      </c>
      <c r="P11" s="19">
        <f t="shared" si="2"/>
        <v>26477600</v>
      </c>
      <c r="Q11" s="19">
        <f t="shared" si="3"/>
        <v>5145.6389302009911</v>
      </c>
    </row>
    <row r="12" spans="1:17">
      <c r="A12" s="120">
        <v>1988</v>
      </c>
      <c r="B12" s="19">
        <v>59900</v>
      </c>
      <c r="C12" s="19">
        <v>50500</v>
      </c>
      <c r="D12" s="19">
        <v>47200</v>
      </c>
      <c r="E12" s="19">
        <v>51900</v>
      </c>
      <c r="F12" s="19">
        <v>49900</v>
      </c>
      <c r="G12" s="19">
        <v>53400</v>
      </c>
      <c r="H12" s="19">
        <v>68400</v>
      </c>
      <c r="I12" s="19">
        <v>54100</v>
      </c>
      <c r="J12" s="19">
        <v>51700</v>
      </c>
      <c r="K12" s="19">
        <v>59900</v>
      </c>
      <c r="L12" s="19">
        <v>58600</v>
      </c>
      <c r="N12" s="19">
        <f t="shared" si="0"/>
        <v>63072000</v>
      </c>
      <c r="O12" s="19">
        <f t="shared" si="1"/>
        <v>7941.7882117316631</v>
      </c>
      <c r="P12" s="19">
        <f t="shared" si="2"/>
        <v>34556400</v>
      </c>
      <c r="Q12" s="19">
        <f t="shared" si="3"/>
        <v>5878.4691884877648</v>
      </c>
    </row>
    <row r="13" spans="1:17">
      <c r="A13" s="120">
        <v>1989</v>
      </c>
      <c r="B13" s="19">
        <v>61400</v>
      </c>
      <c r="C13" s="19">
        <v>53100</v>
      </c>
      <c r="D13" s="19">
        <v>49700</v>
      </c>
      <c r="E13" s="19">
        <v>53100</v>
      </c>
      <c r="F13" s="19">
        <v>51600</v>
      </c>
      <c r="G13" s="19">
        <v>55100</v>
      </c>
      <c r="H13" s="19">
        <v>70100</v>
      </c>
      <c r="I13" s="19">
        <v>56000</v>
      </c>
      <c r="J13" s="19">
        <v>52100</v>
      </c>
      <c r="K13" s="19">
        <v>60500</v>
      </c>
      <c r="L13" s="19">
        <v>59600</v>
      </c>
      <c r="N13" s="19">
        <f t="shared" si="0"/>
        <v>60579000</v>
      </c>
      <c r="O13" s="19">
        <f t="shared" si="1"/>
        <v>7783.2512486749392</v>
      </c>
      <c r="P13" s="19">
        <f t="shared" si="2"/>
        <v>32382900</v>
      </c>
      <c r="Q13" s="19">
        <f t="shared" si="3"/>
        <v>5690.5975081708248</v>
      </c>
    </row>
    <row r="14" spans="1:17">
      <c r="A14" s="120">
        <v>1990</v>
      </c>
      <c r="B14" s="19">
        <v>59600</v>
      </c>
      <c r="C14" s="19">
        <v>51200</v>
      </c>
      <c r="D14" s="19">
        <v>49500</v>
      </c>
      <c r="E14" s="19">
        <v>52900</v>
      </c>
      <c r="F14" s="19">
        <v>50300</v>
      </c>
      <c r="G14" s="19">
        <v>52900</v>
      </c>
      <c r="H14" s="19">
        <v>67500</v>
      </c>
      <c r="I14" s="19">
        <v>53500</v>
      </c>
      <c r="J14" s="19">
        <v>51100</v>
      </c>
      <c r="K14" s="19">
        <v>60700</v>
      </c>
      <c r="L14" s="19">
        <v>59200</v>
      </c>
      <c r="N14" s="19">
        <f t="shared" si="0"/>
        <v>52208000</v>
      </c>
      <c r="O14" s="19">
        <f t="shared" si="1"/>
        <v>7225.5103625972333</v>
      </c>
      <c r="P14" s="19">
        <f t="shared" si="2"/>
        <v>29929600</v>
      </c>
      <c r="Q14" s="19">
        <f t="shared" si="3"/>
        <v>5470.795189001321</v>
      </c>
    </row>
    <row r="15" spans="1:17">
      <c r="A15" s="120">
        <v>1991</v>
      </c>
      <c r="B15" s="19">
        <v>57400</v>
      </c>
      <c r="C15" s="19">
        <v>49400</v>
      </c>
      <c r="D15" s="19">
        <v>48000</v>
      </c>
      <c r="E15" s="19">
        <v>50300</v>
      </c>
      <c r="F15" s="19">
        <v>48900</v>
      </c>
      <c r="G15" s="19">
        <v>51400</v>
      </c>
      <c r="H15" s="19">
        <v>64200</v>
      </c>
      <c r="I15" s="19">
        <v>51000</v>
      </c>
      <c r="J15" s="19">
        <v>49300</v>
      </c>
      <c r="K15" s="19">
        <v>60500</v>
      </c>
      <c r="L15" s="19">
        <v>56800</v>
      </c>
      <c r="N15" s="19">
        <f t="shared" si="0"/>
        <v>47380000</v>
      </c>
      <c r="O15" s="19">
        <f t="shared" si="1"/>
        <v>6883.3131557412089</v>
      </c>
      <c r="P15" s="19">
        <f t="shared" si="2"/>
        <v>27843599.999999996</v>
      </c>
      <c r="Q15" s="19">
        <f t="shared" si="3"/>
        <v>5276.7035164011249</v>
      </c>
    </row>
    <row r="16" spans="1:17">
      <c r="A16" s="120">
        <v>1992</v>
      </c>
      <c r="B16" s="19">
        <v>57100</v>
      </c>
      <c r="C16" s="19">
        <v>48600</v>
      </c>
      <c r="D16" s="19">
        <v>49100</v>
      </c>
      <c r="E16" s="19">
        <v>50900</v>
      </c>
      <c r="F16" s="19">
        <v>48900</v>
      </c>
      <c r="G16" s="19">
        <v>50700</v>
      </c>
      <c r="H16" s="19">
        <v>63800</v>
      </c>
      <c r="I16" s="19">
        <v>51800</v>
      </c>
      <c r="J16" s="19">
        <v>50100</v>
      </c>
      <c r="K16" s="19">
        <v>57400</v>
      </c>
      <c r="L16" s="19">
        <v>58700</v>
      </c>
      <c r="N16" s="19">
        <f t="shared" si="0"/>
        <v>40752000</v>
      </c>
      <c r="O16" s="19">
        <f t="shared" si="1"/>
        <v>6383.729317569786</v>
      </c>
      <c r="P16" s="19">
        <f t="shared" si="2"/>
        <v>23942000</v>
      </c>
      <c r="Q16" s="19">
        <f t="shared" si="3"/>
        <v>4893.0563046014504</v>
      </c>
    </row>
    <row r="17" spans="1:17">
      <c r="A17" s="120">
        <v>1993</v>
      </c>
      <c r="B17" s="19">
        <v>55700</v>
      </c>
      <c r="C17" s="19">
        <v>47200</v>
      </c>
      <c r="D17" s="19">
        <v>46900</v>
      </c>
      <c r="E17" s="19">
        <v>49200</v>
      </c>
      <c r="F17" s="19">
        <v>48100</v>
      </c>
      <c r="G17" s="19">
        <v>49200</v>
      </c>
      <c r="H17" s="19">
        <v>62500</v>
      </c>
      <c r="I17" s="19">
        <v>49500</v>
      </c>
      <c r="J17" s="19">
        <v>48500</v>
      </c>
      <c r="K17" s="19">
        <v>57300</v>
      </c>
      <c r="L17" s="19">
        <v>55900</v>
      </c>
      <c r="N17" s="19">
        <f t="shared" si="0"/>
        <v>43107000</v>
      </c>
      <c r="O17" s="19">
        <f t="shared" si="1"/>
        <v>6565.5921286659286</v>
      </c>
      <c r="P17" s="19">
        <f t="shared" si="2"/>
        <v>24874100</v>
      </c>
      <c r="Q17" s="19">
        <f t="shared" si="3"/>
        <v>4987.3941091515917</v>
      </c>
    </row>
    <row r="18" spans="1:17">
      <c r="A18" s="120">
        <v>1994</v>
      </c>
      <c r="B18" s="19">
        <v>56300</v>
      </c>
      <c r="C18" s="19">
        <v>48200</v>
      </c>
      <c r="D18" s="19">
        <v>48100</v>
      </c>
      <c r="E18" s="19">
        <v>48400</v>
      </c>
      <c r="F18" s="19">
        <v>47900</v>
      </c>
      <c r="G18" s="19">
        <v>50400</v>
      </c>
      <c r="H18" s="19">
        <v>62900</v>
      </c>
      <c r="I18" s="19">
        <v>51600</v>
      </c>
      <c r="J18" s="19">
        <v>48900</v>
      </c>
      <c r="K18" s="19">
        <v>57800</v>
      </c>
      <c r="L18" s="19">
        <v>56400</v>
      </c>
      <c r="N18" s="19">
        <f t="shared" si="0"/>
        <v>42330000</v>
      </c>
      <c r="O18" s="19">
        <f t="shared" si="1"/>
        <v>6506.1509358452486</v>
      </c>
      <c r="P18" s="19">
        <f t="shared" si="2"/>
        <v>24352400.000000004</v>
      </c>
      <c r="Q18" s="19">
        <f t="shared" si="3"/>
        <v>4934.8150927871657</v>
      </c>
    </row>
    <row r="19" spans="1:17">
      <c r="A19" s="120">
        <v>1995</v>
      </c>
      <c r="B19" s="19">
        <v>56500</v>
      </c>
      <c r="C19" s="19">
        <v>47100</v>
      </c>
      <c r="D19" s="19">
        <v>47700</v>
      </c>
      <c r="E19" s="19">
        <v>47500</v>
      </c>
      <c r="F19" s="19">
        <v>48200</v>
      </c>
      <c r="G19" s="19">
        <v>50100</v>
      </c>
      <c r="H19" s="19">
        <v>63600</v>
      </c>
      <c r="I19" s="19">
        <v>51600</v>
      </c>
      <c r="J19" s="19">
        <v>51000</v>
      </c>
      <c r="K19" s="19">
        <v>57600</v>
      </c>
      <c r="L19" s="19">
        <v>56400</v>
      </c>
      <c r="N19" s="19">
        <f t="shared" si="0"/>
        <v>46254000</v>
      </c>
      <c r="O19" s="19">
        <f t="shared" si="1"/>
        <v>6801.0293338582214</v>
      </c>
      <c r="P19" s="19">
        <f t="shared" si="2"/>
        <v>26717599.999999996</v>
      </c>
      <c r="Q19" s="19">
        <f t="shared" si="3"/>
        <v>5168.9070411451585</v>
      </c>
    </row>
    <row r="20" spans="1:17">
      <c r="A20" s="120">
        <v>1996</v>
      </c>
      <c r="B20" s="19">
        <v>56700</v>
      </c>
      <c r="C20" s="19">
        <v>46000</v>
      </c>
      <c r="D20" s="19">
        <v>48100</v>
      </c>
      <c r="E20" s="19">
        <v>46900</v>
      </c>
      <c r="F20" s="19">
        <v>48300</v>
      </c>
      <c r="G20" s="19">
        <v>50500</v>
      </c>
      <c r="H20" s="19">
        <v>63700</v>
      </c>
      <c r="I20" s="19">
        <v>51700</v>
      </c>
      <c r="J20" s="19">
        <v>50000</v>
      </c>
      <c r="K20" s="19">
        <v>58300</v>
      </c>
      <c r="L20" s="19">
        <v>56900</v>
      </c>
      <c r="N20" s="19">
        <f t="shared" si="0"/>
        <v>51498000</v>
      </c>
      <c r="O20" s="19">
        <f t="shared" si="1"/>
        <v>7176.2106992478975</v>
      </c>
      <c r="P20" s="19">
        <f t="shared" si="2"/>
        <v>29782399.999999996</v>
      </c>
      <c r="Q20" s="19">
        <f t="shared" si="3"/>
        <v>5457.3253522215437</v>
      </c>
    </row>
    <row r="21" spans="1:17">
      <c r="A21" s="120">
        <v>1997</v>
      </c>
      <c r="B21" s="19">
        <v>57100</v>
      </c>
      <c r="C21" s="19">
        <v>45100</v>
      </c>
      <c r="D21" s="19">
        <v>46800</v>
      </c>
      <c r="E21" s="19">
        <v>47600</v>
      </c>
      <c r="F21" s="19">
        <v>47600</v>
      </c>
      <c r="G21" s="19">
        <v>50100</v>
      </c>
      <c r="H21" s="19">
        <v>63900</v>
      </c>
      <c r="I21" s="19">
        <v>51700</v>
      </c>
      <c r="J21" s="19">
        <v>50600</v>
      </c>
      <c r="K21" s="19">
        <v>62300</v>
      </c>
      <c r="L21" s="19">
        <v>56900</v>
      </c>
      <c r="N21" s="19">
        <f t="shared" si="0"/>
        <v>62432000</v>
      </c>
      <c r="O21" s="19">
        <f t="shared" si="1"/>
        <v>7901.3922823765688</v>
      </c>
      <c r="P21" s="19">
        <f t="shared" si="2"/>
        <v>39006399.999999993</v>
      </c>
      <c r="Q21" s="19">
        <f t="shared" si="3"/>
        <v>6245.5103874703464</v>
      </c>
    </row>
    <row r="22" spans="1:17">
      <c r="A22" s="120">
        <v>1998</v>
      </c>
      <c r="B22" s="19">
        <v>59700</v>
      </c>
      <c r="C22" s="19">
        <v>48200</v>
      </c>
      <c r="D22" s="19">
        <v>49200</v>
      </c>
      <c r="E22" s="19">
        <v>49900</v>
      </c>
      <c r="F22" s="19">
        <v>50200</v>
      </c>
      <c r="G22" s="19">
        <v>52700</v>
      </c>
      <c r="H22" s="19">
        <v>67400</v>
      </c>
      <c r="I22" s="19">
        <v>54600</v>
      </c>
      <c r="J22" s="19">
        <v>51500</v>
      </c>
      <c r="K22" s="19">
        <v>64500</v>
      </c>
      <c r="L22" s="19">
        <v>57500</v>
      </c>
      <c r="N22" s="19">
        <f t="shared" si="0"/>
        <v>65821000</v>
      </c>
      <c r="O22" s="19">
        <f t="shared" si="1"/>
        <v>8113.0142363982077</v>
      </c>
      <c r="P22" s="19">
        <f t="shared" si="2"/>
        <v>39504100</v>
      </c>
      <c r="Q22" s="19">
        <f t="shared" si="3"/>
        <v>6285.2287150110933</v>
      </c>
    </row>
    <row r="23" spans="1:17">
      <c r="A23" s="120">
        <v>1999</v>
      </c>
      <c r="B23" s="19">
        <v>61300</v>
      </c>
      <c r="C23" s="19">
        <v>50000</v>
      </c>
      <c r="D23" s="19">
        <v>49500</v>
      </c>
      <c r="E23" s="19">
        <v>52000</v>
      </c>
      <c r="F23" s="19">
        <v>51500</v>
      </c>
      <c r="G23" s="19">
        <v>53700</v>
      </c>
      <c r="H23" s="19">
        <v>70500</v>
      </c>
      <c r="I23" s="19">
        <v>54300</v>
      </c>
      <c r="J23" s="19">
        <v>52600</v>
      </c>
      <c r="K23" s="19">
        <v>63400</v>
      </c>
      <c r="L23" s="19">
        <v>58500</v>
      </c>
      <c r="N23" s="19">
        <f t="shared" si="0"/>
        <v>72880000</v>
      </c>
      <c r="O23" s="19">
        <f t="shared" si="1"/>
        <v>8536.9783881652183</v>
      </c>
      <c r="P23" s="19">
        <f t="shared" si="2"/>
        <v>40389999.999999993</v>
      </c>
      <c r="Q23" s="19">
        <f t="shared" si="3"/>
        <v>6355.3127381742588</v>
      </c>
    </row>
    <row r="24" spans="1:17">
      <c r="A24" s="120">
        <v>2000</v>
      </c>
      <c r="B24" s="19">
        <v>63100</v>
      </c>
      <c r="C24" s="19">
        <v>51000</v>
      </c>
      <c r="D24" s="19">
        <v>50900</v>
      </c>
      <c r="E24" s="19">
        <v>53000</v>
      </c>
      <c r="F24" s="19">
        <v>52600</v>
      </c>
      <c r="G24" s="19">
        <v>55300</v>
      </c>
      <c r="H24" s="19">
        <v>72900</v>
      </c>
      <c r="I24" s="19">
        <v>55400</v>
      </c>
      <c r="J24" s="19">
        <v>53000</v>
      </c>
      <c r="K24" s="19">
        <v>66100</v>
      </c>
      <c r="L24" s="19">
        <v>59000</v>
      </c>
      <c r="N24" s="19">
        <f t="shared" si="0"/>
        <v>85150000</v>
      </c>
      <c r="O24" s="19">
        <f t="shared" si="1"/>
        <v>9227.6757637012797</v>
      </c>
      <c r="P24" s="19">
        <f t="shared" si="2"/>
        <v>46957599.999999993</v>
      </c>
      <c r="Q24" s="19">
        <f t="shared" si="3"/>
        <v>6852.5615648456596</v>
      </c>
    </row>
    <row r="25" spans="1:17">
      <c r="A25" s="120">
        <v>2001</v>
      </c>
      <c r="B25" s="19">
        <v>64000</v>
      </c>
      <c r="C25" s="19">
        <v>50700</v>
      </c>
      <c r="D25" s="19">
        <v>51100</v>
      </c>
      <c r="E25" s="19">
        <v>54400</v>
      </c>
      <c r="F25" s="19">
        <v>53800</v>
      </c>
      <c r="G25" s="19">
        <v>56300</v>
      </c>
      <c r="H25" s="19">
        <v>73200</v>
      </c>
      <c r="I25" s="19">
        <v>56500</v>
      </c>
      <c r="J25" s="19">
        <v>55500</v>
      </c>
      <c r="K25" s="19">
        <v>69100</v>
      </c>
      <c r="L25" s="19">
        <v>59800</v>
      </c>
      <c r="N25" s="19">
        <f t="shared" si="0"/>
        <v>85558000</v>
      </c>
      <c r="O25" s="19">
        <f t="shared" si="1"/>
        <v>9249.7567535584421</v>
      </c>
      <c r="P25" s="19">
        <f t="shared" si="2"/>
        <v>50036400</v>
      </c>
      <c r="Q25" s="19">
        <f t="shared" si="3"/>
        <v>7073.64121227533</v>
      </c>
    </row>
    <row r="26" spans="1:17">
      <c r="A26" s="120">
        <v>2002</v>
      </c>
      <c r="B26" s="19">
        <v>64000</v>
      </c>
      <c r="C26" s="19">
        <v>51300</v>
      </c>
      <c r="D26" s="19">
        <v>51800</v>
      </c>
      <c r="E26" s="19">
        <v>55200</v>
      </c>
      <c r="F26" s="19">
        <v>52600</v>
      </c>
      <c r="G26" s="19">
        <v>56800</v>
      </c>
      <c r="H26" s="19">
        <v>72900</v>
      </c>
      <c r="I26" s="19">
        <v>56600</v>
      </c>
      <c r="J26" s="19">
        <v>55200</v>
      </c>
      <c r="K26" s="19">
        <v>67600</v>
      </c>
      <c r="L26" s="19">
        <v>60600</v>
      </c>
      <c r="N26" s="19">
        <f t="shared" si="0"/>
        <v>80530000</v>
      </c>
      <c r="O26" s="19">
        <f t="shared" si="1"/>
        <v>8973.8509013689327</v>
      </c>
      <c r="P26" s="19">
        <f t="shared" si="2"/>
        <v>45246400.000000007</v>
      </c>
      <c r="Q26" s="19">
        <f t="shared" si="3"/>
        <v>6726.5444323218444</v>
      </c>
    </row>
    <row r="27" spans="1:17">
      <c r="A27" s="120">
        <v>2003</v>
      </c>
      <c r="B27" s="19">
        <v>63700</v>
      </c>
      <c r="C27" s="19">
        <v>51000</v>
      </c>
      <c r="D27" s="19">
        <v>52400</v>
      </c>
      <c r="E27" s="19">
        <v>53900</v>
      </c>
      <c r="F27" s="19">
        <v>52900</v>
      </c>
      <c r="G27" s="19">
        <v>56300</v>
      </c>
      <c r="H27" s="19">
        <v>72600</v>
      </c>
      <c r="I27" s="19">
        <v>57000</v>
      </c>
      <c r="J27" s="19">
        <v>56000</v>
      </c>
      <c r="K27" s="19">
        <v>68300</v>
      </c>
      <c r="L27" s="19">
        <v>59300</v>
      </c>
      <c r="N27" s="19">
        <f t="shared" si="0"/>
        <v>78033000</v>
      </c>
      <c r="O27" s="19">
        <f t="shared" si="1"/>
        <v>8833.6289258718589</v>
      </c>
      <c r="P27" s="19">
        <f t="shared" si="2"/>
        <v>45200100</v>
      </c>
      <c r="Q27" s="19">
        <f t="shared" si="3"/>
        <v>6723.1019626359976</v>
      </c>
    </row>
    <row r="28" spans="1:17">
      <c r="A28" s="120">
        <v>2004</v>
      </c>
      <c r="B28" s="19">
        <v>64800</v>
      </c>
      <c r="C28" s="19">
        <v>51400</v>
      </c>
      <c r="D28" s="19">
        <v>53600</v>
      </c>
      <c r="E28" s="19">
        <v>54500</v>
      </c>
      <c r="F28" s="19">
        <v>53600</v>
      </c>
      <c r="G28" s="19">
        <v>57500</v>
      </c>
      <c r="H28" s="19">
        <v>73100</v>
      </c>
      <c r="I28" s="19">
        <v>57900</v>
      </c>
      <c r="J28" s="19">
        <v>55400</v>
      </c>
      <c r="K28" s="19">
        <v>70800</v>
      </c>
      <c r="L28" s="19">
        <v>61400</v>
      </c>
      <c r="N28" s="19">
        <f t="shared" si="0"/>
        <v>84224000</v>
      </c>
      <c r="O28" s="19">
        <f t="shared" si="1"/>
        <v>9177.3634558079921</v>
      </c>
      <c r="P28" s="19">
        <f t="shared" si="2"/>
        <v>49649600.000000007</v>
      </c>
      <c r="Q28" s="19">
        <f t="shared" si="3"/>
        <v>7046.2472281349883</v>
      </c>
    </row>
    <row r="29" spans="1:17">
      <c r="A29" s="120">
        <v>2005</v>
      </c>
      <c r="B29" s="19">
        <v>65400</v>
      </c>
      <c r="C29" s="19">
        <v>53600</v>
      </c>
      <c r="D29" s="19">
        <v>53800</v>
      </c>
      <c r="E29" s="19">
        <v>56000</v>
      </c>
      <c r="F29" s="19">
        <v>52700</v>
      </c>
      <c r="G29" s="19">
        <v>56400</v>
      </c>
      <c r="H29" s="19">
        <v>73300</v>
      </c>
      <c r="I29" s="19">
        <v>58900</v>
      </c>
      <c r="J29" s="19">
        <v>57900</v>
      </c>
      <c r="K29" s="19">
        <v>73600</v>
      </c>
      <c r="L29" s="19">
        <v>63300</v>
      </c>
      <c r="N29" s="19"/>
      <c r="O29" s="19"/>
      <c r="P29" s="19"/>
      <c r="Q29" s="19"/>
    </row>
    <row r="30" spans="1:17">
      <c r="A30" s="120">
        <v>2006</v>
      </c>
      <c r="B30" s="19">
        <v>66900</v>
      </c>
      <c r="C30" s="19">
        <v>55500</v>
      </c>
      <c r="D30" s="19">
        <v>55800</v>
      </c>
      <c r="E30" s="19">
        <v>57300</v>
      </c>
      <c r="F30" s="19">
        <v>54200</v>
      </c>
      <c r="G30" s="19">
        <v>57500</v>
      </c>
      <c r="H30" s="19">
        <v>73500</v>
      </c>
      <c r="I30" s="19">
        <v>60200</v>
      </c>
      <c r="J30" s="19">
        <v>61100</v>
      </c>
      <c r="K30" s="19">
        <v>79500</v>
      </c>
      <c r="L30" s="19">
        <v>65400</v>
      </c>
      <c r="N30" s="19"/>
      <c r="O30" s="19"/>
      <c r="P30" s="19"/>
      <c r="Q30" s="19"/>
    </row>
    <row r="31" spans="1:17" s="961" customFormat="1">
      <c r="A31" s="120">
        <v>2007</v>
      </c>
      <c r="B31" s="19">
        <v>68800</v>
      </c>
      <c r="C31" s="19">
        <v>59200</v>
      </c>
      <c r="D31" s="19">
        <v>56700</v>
      </c>
      <c r="E31" s="19">
        <v>58200</v>
      </c>
      <c r="F31" s="19">
        <v>56300</v>
      </c>
      <c r="G31" s="19">
        <v>58100</v>
      </c>
      <c r="H31" s="19">
        <v>75600</v>
      </c>
      <c r="I31" s="19">
        <v>63800</v>
      </c>
      <c r="J31" s="19">
        <v>64300</v>
      </c>
      <c r="K31" s="19">
        <v>83200</v>
      </c>
      <c r="L31" s="19">
        <v>67300</v>
      </c>
      <c r="N31" s="19"/>
      <c r="O31" s="19"/>
      <c r="P31" s="19"/>
      <c r="Q31" s="19"/>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((((B13/B5))^(1/8))-1)*100</f>
        <v>0.56370924874362682</v>
      </c>
      <c r="C33" s="959">
        <f t="shared" ref="C33:L33" si="4">((((C13/C5))^(1/8))-1)*100</f>
        <v>-0.14035232969822342</v>
      </c>
      <c r="D33" s="959">
        <f t="shared" si="4"/>
        <v>1.1097703570037032</v>
      </c>
      <c r="E33" s="959">
        <f t="shared" si="4"/>
        <v>1.2175766806099331</v>
      </c>
      <c r="F33" s="959">
        <f t="shared" si="4"/>
        <v>0.85567327630626799</v>
      </c>
      <c r="G33" s="959">
        <f t="shared" si="4"/>
        <v>0.18298583035221139</v>
      </c>
      <c r="H33" s="959">
        <f t="shared" si="4"/>
        <v>1.5671862280422388</v>
      </c>
      <c r="I33" s="959">
        <f t="shared" si="4"/>
        <v>0.61960364555402325</v>
      </c>
      <c r="J33" s="959">
        <f t="shared" si="4"/>
        <v>-0.96443899677044476</v>
      </c>
      <c r="K33" s="959">
        <f t="shared" si="4"/>
        <v>-1.0065541285926849</v>
      </c>
      <c r="L33" s="959">
        <f t="shared" si="4"/>
        <v>-0.431918995800884</v>
      </c>
      <c r="M33" s="959"/>
      <c r="N33" s="959">
        <f>((((N13/N5))^(1/8))-1)*100</f>
        <v>1.427016505002543</v>
      </c>
      <c r="O33" s="959">
        <f>((((O13/O5))^(1/8))-1)*100</f>
        <v>0.71098078412430432</v>
      </c>
      <c r="P33" s="959">
        <f>((((P13/P5))^(1/8))-1)*100</f>
        <v>-2.4274834059621164</v>
      </c>
      <c r="Q33" s="959">
        <f>((((Q13/Q5))^(1/8))-1)*100</f>
        <v>-1.2211983297844009</v>
      </c>
    </row>
    <row r="34" spans="1:17" s="114" customFormat="1">
      <c r="A34" s="431" t="s">
        <v>604</v>
      </c>
      <c r="B34" s="959">
        <f>((((B24/B13))^(1/11))-1)*100</f>
        <v>0.24858969483041449</v>
      </c>
      <c r="C34" s="959">
        <f t="shared" ref="C34:L34" si="5">((((C24/C13))^(1/11))-1)*100</f>
        <v>-0.36615796015913027</v>
      </c>
      <c r="D34" s="959">
        <f t="shared" si="5"/>
        <v>0.21712620059266552</v>
      </c>
      <c r="E34" s="959">
        <f t="shared" si="5"/>
        <v>-1.7135029020465264E-2</v>
      </c>
      <c r="F34" s="959">
        <f t="shared" si="5"/>
        <v>0.17464730612795076</v>
      </c>
      <c r="G34" s="959">
        <f t="shared" si="5"/>
        <v>3.2943537641161313E-2</v>
      </c>
      <c r="H34" s="959">
        <f t="shared" si="5"/>
        <v>0.35668775828043842</v>
      </c>
      <c r="I34" s="959">
        <f t="shared" si="5"/>
        <v>-9.788022041213873E-2</v>
      </c>
      <c r="J34" s="959">
        <f t="shared" si="5"/>
        <v>0.15582095481958547</v>
      </c>
      <c r="K34" s="959">
        <f t="shared" si="5"/>
        <v>0.80802322661068793</v>
      </c>
      <c r="L34" s="959">
        <f t="shared" si="5"/>
        <v>-9.1940710110449686E-2</v>
      </c>
      <c r="M34" s="959"/>
      <c r="N34" s="959">
        <f>((((N24/N13))^(1/11))-1)*100</f>
        <v>3.1435441365864625</v>
      </c>
      <c r="O34" s="959">
        <f>((((O24/O13))^(1/11))-1)*100</f>
        <v>1.5596101492057146</v>
      </c>
      <c r="P34" s="959">
        <f>((((P24/P13))^(1/11))-1)*100</f>
        <v>3.4360273028609667</v>
      </c>
      <c r="Q34" s="959">
        <f>((((Q24/Q13))^(1/11))-1)*100</f>
        <v>1.7035040216712316</v>
      </c>
    </row>
    <row r="35" spans="1:17" s="114" customFormat="1">
      <c r="A35" s="431" t="s">
        <v>819</v>
      </c>
      <c r="B35" s="23">
        <f t="shared" ref="B35:L35" si="6">((((B30/B5))^(1/25))-1)*100</f>
        <v>0.52440718740265346</v>
      </c>
      <c r="C35" s="23">
        <f t="shared" si="6"/>
        <v>0.1319670769647896</v>
      </c>
      <c r="D35" s="23">
        <f t="shared" si="6"/>
        <v>0.8195865451679385</v>
      </c>
      <c r="E35" s="23">
        <f t="shared" si="6"/>
        <v>0.69416464135318989</v>
      </c>
      <c r="F35" s="23">
        <f t="shared" si="6"/>
        <v>0.47039042812606624</v>
      </c>
      <c r="G35" s="23">
        <f t="shared" si="6"/>
        <v>0.22930538704297732</v>
      </c>
      <c r="H35" s="23">
        <f t="shared" si="6"/>
        <v>0.68942658433648329</v>
      </c>
      <c r="I35" s="23">
        <f t="shared" si="6"/>
        <v>0.48813158398304246</v>
      </c>
      <c r="J35" s="23">
        <f t="shared" si="6"/>
        <v>0.32780543486266023</v>
      </c>
      <c r="K35" s="23">
        <f t="shared" si="6"/>
        <v>0.77168758152732497</v>
      </c>
      <c r="L35" s="23">
        <f t="shared" si="6"/>
        <v>0.23322485724925901</v>
      </c>
      <c r="M35" s="23"/>
      <c r="N35" s="23">
        <f>((((N28/N5))^(1/23))-1)*100</f>
        <v>1.9442506311002195</v>
      </c>
      <c r="O35" s="23">
        <f>((((O28/O5))^(1/23))-1)*100</f>
        <v>0.96744556098278256</v>
      </c>
      <c r="P35" s="23">
        <f>((((P28/P5))^(1/23))-1)*100</f>
        <v>1.0083772995308493</v>
      </c>
      <c r="Q35" s="23">
        <f>((((Q28/Q5))^(1/23))-1)*100</f>
        <v>0.50292398708151609</v>
      </c>
    </row>
    <row r="36" spans="1:17" s="114" customFormat="1">
      <c r="A36" s="431" t="s">
        <v>447</v>
      </c>
      <c r="B36" s="23">
        <f>((((B31/B5))^(1/26))-1)*100</f>
        <v>0.61249898953885662</v>
      </c>
      <c r="C36" s="23">
        <f t="shared" ref="C36:L36" si="7">((((C31/C5))^(1/26))-1)*100</f>
        <v>0.37573697574269094</v>
      </c>
      <c r="D36" s="23">
        <f t="shared" si="7"/>
        <v>0.84998388751267306</v>
      </c>
      <c r="E36" s="23">
        <f t="shared" si="7"/>
        <v>0.72773650824289327</v>
      </c>
      <c r="F36" s="23">
        <f t="shared" si="7"/>
        <v>0.59923254283391625</v>
      </c>
      <c r="G36" s="23">
        <f t="shared" si="7"/>
        <v>0.26049808092094562</v>
      </c>
      <c r="H36" s="23">
        <f t="shared" si="7"/>
        <v>0.77194929662272038</v>
      </c>
      <c r="I36" s="23">
        <f t="shared" si="7"/>
        <v>0.69400040313996048</v>
      </c>
      <c r="J36" s="23">
        <f t="shared" si="7"/>
        <v>0.51232753251726493</v>
      </c>
      <c r="K36" s="23">
        <f t="shared" si="7"/>
        <v>0.91831259084700356</v>
      </c>
      <c r="L36" s="23">
        <f t="shared" si="7"/>
        <v>0.33469850623961683</v>
      </c>
      <c r="M36" s="23"/>
      <c r="N36" s="23"/>
      <c r="O36" s="23"/>
      <c r="P36" s="23"/>
      <c r="Q36" s="23"/>
    </row>
    <row r="37" spans="1:17" s="114" customFormat="1">
      <c r="A37" s="431" t="s">
        <v>818</v>
      </c>
      <c r="B37" s="959">
        <f t="shared" ref="B37:L37" si="8">((((B30/B24))^(1/6))-1)*100</f>
        <v>0.9794016772804115</v>
      </c>
      <c r="C37" s="959">
        <f t="shared" si="8"/>
        <v>1.4192671037864146</v>
      </c>
      <c r="D37" s="959">
        <f t="shared" si="8"/>
        <v>1.5436420452377364</v>
      </c>
      <c r="E37" s="959">
        <f t="shared" si="8"/>
        <v>1.3086338050872115</v>
      </c>
      <c r="F37" s="959">
        <f t="shared" si="8"/>
        <v>0.50066229108023386</v>
      </c>
      <c r="G37" s="959">
        <f t="shared" si="8"/>
        <v>0.65231904781981598</v>
      </c>
      <c r="H37" s="959">
        <f t="shared" si="8"/>
        <v>0.13670614451184449</v>
      </c>
      <c r="I37" s="959">
        <f t="shared" si="8"/>
        <v>1.3945131840070957</v>
      </c>
      <c r="J37" s="959">
        <f t="shared" si="8"/>
        <v>2.3986482081167937</v>
      </c>
      <c r="K37" s="959">
        <f t="shared" si="8"/>
        <v>3.1242836756493642</v>
      </c>
      <c r="L37" s="959">
        <f t="shared" si="8"/>
        <v>1.7312285947291617</v>
      </c>
      <c r="M37" s="959"/>
      <c r="N37" s="959">
        <f>((((N28/N24))^(1/4))-1)*100</f>
        <v>-0.27298897671724776</v>
      </c>
      <c r="O37" s="959">
        <f>((((O28/O24))^(1/4))-1)*100</f>
        <v>-0.13658776945244533</v>
      </c>
      <c r="P37" s="959">
        <f>((((P28/P24))^(1/4))-1)*100</f>
        <v>1.4033879953629036</v>
      </c>
      <c r="Q37" s="959">
        <f>((((Q28/Q24))^(1/4))-1)*100</f>
        <v>0.69924925011253247</v>
      </c>
    </row>
    <row r="38" spans="1:17" s="114" customFormat="1">
      <c r="A38" s="431" t="s">
        <v>449</v>
      </c>
      <c r="B38" s="959">
        <f>((((B31/B24))^(1/7))-1)*100</f>
        <v>1.2431345484125167</v>
      </c>
      <c r="C38" s="959">
        <f t="shared" ref="C38:L38" si="9">((((C31/C24))^(1/7))-1)*100</f>
        <v>2.1527867226532882</v>
      </c>
      <c r="D38" s="959">
        <f t="shared" si="9"/>
        <v>1.5535336084662177</v>
      </c>
      <c r="E38" s="959">
        <f t="shared" si="9"/>
        <v>1.3460276329761767</v>
      </c>
      <c r="F38" s="959">
        <f t="shared" si="9"/>
        <v>0.97585089354532695</v>
      </c>
      <c r="G38" s="959">
        <f t="shared" si="9"/>
        <v>0.70810608893951965</v>
      </c>
      <c r="H38" s="959">
        <f t="shared" si="9"/>
        <v>0.52088971162380648</v>
      </c>
      <c r="I38" s="959">
        <f t="shared" si="9"/>
        <v>2.0372397911769813</v>
      </c>
      <c r="J38" s="959">
        <f t="shared" si="9"/>
        <v>2.7994353132300143</v>
      </c>
      <c r="K38" s="959">
        <f t="shared" si="9"/>
        <v>3.3414503556754349</v>
      </c>
      <c r="L38" s="959">
        <f t="shared" si="9"/>
        <v>1.8981150575626549</v>
      </c>
      <c r="M38" s="959"/>
      <c r="N38" s="959"/>
      <c r="O38" s="959"/>
      <c r="P38" s="959"/>
      <c r="Q38" s="959"/>
    </row>
    <row r="39" spans="1:17" s="114" customFormat="1">
      <c r="A39" s="431"/>
      <c r="D39" s="959" t="s">
        <v>276</v>
      </c>
    </row>
    <row r="40" spans="1:17" s="114" customFormat="1">
      <c r="A40" s="431" t="s">
        <v>819</v>
      </c>
      <c r="B40" s="10">
        <f t="shared" ref="B40:L40" si="10">(B30/B5-1)*100</f>
        <v>13.969335604770027</v>
      </c>
      <c r="C40" s="10">
        <f t="shared" si="10"/>
        <v>3.3519553072625774</v>
      </c>
      <c r="D40" s="10">
        <f t="shared" si="10"/>
        <v>22.637362637362646</v>
      </c>
      <c r="E40" s="10">
        <f t="shared" si="10"/>
        <v>18.879668049792532</v>
      </c>
      <c r="F40" s="10">
        <f t="shared" si="10"/>
        <v>12.448132780082988</v>
      </c>
      <c r="G40" s="10">
        <f t="shared" si="10"/>
        <v>5.8931860036832484</v>
      </c>
      <c r="H40" s="10">
        <f t="shared" si="10"/>
        <v>18.739903069466891</v>
      </c>
      <c r="I40" s="10">
        <f t="shared" si="10"/>
        <v>12.945590994371493</v>
      </c>
      <c r="J40" s="10">
        <f t="shared" si="10"/>
        <v>8.5257548845470765</v>
      </c>
      <c r="K40" s="10">
        <f t="shared" si="10"/>
        <v>21.189024390243905</v>
      </c>
      <c r="L40" s="10">
        <f t="shared" si="10"/>
        <v>5.9967585089141018</v>
      </c>
      <c r="M40" s="10"/>
      <c r="N40" s="10">
        <f>(N28/N5-1)*100</f>
        <v>55.719488971471897</v>
      </c>
      <c r="O40" s="10">
        <f>(O28/O5-1)*100</f>
        <v>24.78761515930654</v>
      </c>
      <c r="P40" s="10">
        <f>(P28/P5-1)*100</f>
        <v>25.956350001649</v>
      </c>
      <c r="Q40" s="10">
        <f>(Q28/Q5-1)*100</f>
        <v>12.23027666438723</v>
      </c>
    </row>
    <row r="41" spans="1:17" s="114" customFormat="1">
      <c r="A41" s="431" t="s">
        <v>447</v>
      </c>
      <c r="B41" s="10">
        <f>(B31/B5-1)*100</f>
        <v>17.206132879045999</v>
      </c>
      <c r="C41" s="10">
        <f t="shared" ref="C41:L41" si="11">(C31/C5-1)*100</f>
        <v>10.242085661080068</v>
      </c>
      <c r="D41" s="10">
        <f t="shared" si="11"/>
        <v>24.615384615384617</v>
      </c>
      <c r="E41" s="10">
        <f t="shared" si="11"/>
        <v>20.746887966804973</v>
      </c>
      <c r="F41" s="10">
        <f t="shared" si="11"/>
        <v>16.804979253112041</v>
      </c>
      <c r="G41" s="10">
        <f t="shared" si="11"/>
        <v>6.9981583793738533</v>
      </c>
      <c r="H41" s="10">
        <f t="shared" si="11"/>
        <v>22.132471728594517</v>
      </c>
      <c r="I41" s="10">
        <f t="shared" si="11"/>
        <v>19.699812382739211</v>
      </c>
      <c r="J41" s="10">
        <f t="shared" si="11"/>
        <v>14.209591474245119</v>
      </c>
      <c r="K41" s="10">
        <f t="shared" si="11"/>
        <v>26.829268292682929</v>
      </c>
      <c r="L41" s="10">
        <f t="shared" si="11"/>
        <v>9.0761750405186312</v>
      </c>
      <c r="M41" s="10"/>
      <c r="N41" s="10"/>
      <c r="O41" s="10"/>
      <c r="P41" s="10"/>
      <c r="Q41" s="10"/>
    </row>
    <row r="42" spans="1:17">
      <c r="B42" s="1025">
        <f>B41-'11a'!B41</f>
        <v>3.1874412902609617</v>
      </c>
      <c r="N42" s="644"/>
      <c r="O42" s="644"/>
      <c r="P42" s="644"/>
      <c r="Q42" s="644"/>
    </row>
    <row r="43" spans="1:17" ht="24" customHeight="1">
      <c r="A43" s="1174" t="s">
        <v>812</v>
      </c>
      <c r="B43" s="1174"/>
      <c r="C43" s="1174"/>
      <c r="D43" s="1174"/>
      <c r="E43" s="1174"/>
      <c r="F43" s="1174"/>
      <c r="G43" s="1174"/>
      <c r="H43" s="1174"/>
      <c r="I43" s="1174"/>
      <c r="J43" s="1174"/>
      <c r="K43" s="1174"/>
      <c r="L43" s="1174"/>
      <c r="N43" s="10"/>
      <c r="O43" s="10"/>
      <c r="P43" s="10"/>
      <c r="Q43" s="10"/>
    </row>
    <row r="44" spans="1:17">
      <c r="A44" s="4" t="s">
        <v>1868</v>
      </c>
      <c r="N44" s="10"/>
      <c r="O44" s="10"/>
      <c r="P44" s="10"/>
      <c r="Q44" s="10"/>
    </row>
    <row r="45" spans="1:17">
      <c r="A45" s="4" t="s">
        <v>388</v>
      </c>
      <c r="B45" s="4"/>
      <c r="C45" s="4"/>
      <c r="D45" s="4"/>
      <c r="E45" s="4"/>
      <c r="F45" s="4"/>
      <c r="G45" s="4"/>
      <c r="H45" s="4"/>
      <c r="I45" s="4"/>
      <c r="J45" s="4"/>
      <c r="K45" s="4"/>
      <c r="L45" s="4"/>
      <c r="N45" s="10"/>
      <c r="O45" s="10"/>
      <c r="P45" s="10"/>
      <c r="Q45" s="10"/>
    </row>
    <row r="46" spans="1:17" ht="37.5" customHeight="1">
      <c r="A46" s="1168" t="s">
        <v>233</v>
      </c>
      <c r="B46" s="1169"/>
      <c r="C46" s="1169"/>
      <c r="D46" s="1169"/>
      <c r="E46" s="1169"/>
      <c r="F46" s="1169"/>
      <c r="G46" s="1169"/>
      <c r="H46" s="1169"/>
      <c r="I46" s="1169"/>
      <c r="J46" s="1169"/>
      <c r="K46" s="1169"/>
      <c r="L46" s="1169"/>
    </row>
    <row r="47" spans="1:17" ht="40.5" customHeight="1">
      <c r="A47" s="1168" t="s">
        <v>978</v>
      </c>
      <c r="B47" s="1169"/>
      <c r="C47" s="1169"/>
      <c r="D47" s="1169"/>
      <c r="E47" s="1169"/>
      <c r="F47" s="1169"/>
      <c r="G47" s="1169"/>
      <c r="H47" s="1169"/>
      <c r="I47" s="1169"/>
      <c r="J47" s="1169"/>
      <c r="K47" s="1169"/>
      <c r="L47" s="1169"/>
    </row>
    <row r="49" spans="2:12">
      <c r="F49" s="27"/>
    </row>
    <row r="50" spans="2:12" hidden="1">
      <c r="B50" s="1" t="s">
        <v>278</v>
      </c>
    </row>
    <row r="51" spans="2:12" hidden="1">
      <c r="B51" s="1" t="s">
        <v>279</v>
      </c>
    </row>
    <row r="52" spans="2:12" hidden="1">
      <c r="B52" s="1">
        <v>1981</v>
      </c>
      <c r="C52" s="300">
        <f>C5-$B5</f>
        <v>-5000</v>
      </c>
      <c r="D52" s="300">
        <f t="shared" ref="D52:L52" si="12">D5-$B5</f>
        <v>-13200</v>
      </c>
      <c r="E52" s="300">
        <f t="shared" si="12"/>
        <v>-10500</v>
      </c>
      <c r="F52" s="300">
        <f t="shared" si="12"/>
        <v>-10500</v>
      </c>
      <c r="G52" s="300">
        <f t="shared" si="12"/>
        <v>-4400</v>
      </c>
      <c r="H52" s="300">
        <f t="shared" si="12"/>
        <v>3200</v>
      </c>
      <c r="I52" s="300">
        <f t="shared" si="12"/>
        <v>-5400</v>
      </c>
      <c r="J52" s="300">
        <f t="shared" si="12"/>
        <v>-2400</v>
      </c>
      <c r="K52" s="300">
        <f t="shared" si="12"/>
        <v>6900</v>
      </c>
      <c r="L52" s="300">
        <f t="shared" si="12"/>
        <v>3000</v>
      </c>
    </row>
    <row r="53" spans="2:12" hidden="1">
      <c r="B53" s="1">
        <v>1982</v>
      </c>
      <c r="C53" s="300">
        <f t="shared" ref="C53:L68" si="13">C6-$B6</f>
        <v>-5900</v>
      </c>
      <c r="D53" s="300">
        <f t="shared" si="13"/>
        <v>-11600</v>
      </c>
      <c r="E53" s="300">
        <f t="shared" si="13"/>
        <v>-9200</v>
      </c>
      <c r="F53" s="300">
        <f t="shared" si="13"/>
        <v>-9800</v>
      </c>
      <c r="G53" s="300">
        <f t="shared" si="13"/>
        <v>-4500</v>
      </c>
      <c r="H53" s="300">
        <f t="shared" si="13"/>
        <v>2800</v>
      </c>
      <c r="I53" s="300">
        <f t="shared" si="13"/>
        <v>-4400</v>
      </c>
      <c r="J53" s="300">
        <f t="shared" si="13"/>
        <v>-2600</v>
      </c>
      <c r="K53" s="300">
        <f t="shared" si="13"/>
        <v>9300</v>
      </c>
      <c r="L53" s="300">
        <f t="shared" si="13"/>
        <v>2300</v>
      </c>
    </row>
    <row r="54" spans="2:12" hidden="1">
      <c r="B54" s="1">
        <v>1983</v>
      </c>
      <c r="C54" s="300">
        <f t="shared" si="13"/>
        <v>-9200</v>
      </c>
      <c r="D54" s="300">
        <f t="shared" si="13"/>
        <v>-8100</v>
      </c>
      <c r="E54" s="300">
        <f t="shared" si="13"/>
        <v>-7800</v>
      </c>
      <c r="F54" s="300">
        <f t="shared" si="13"/>
        <v>-10600</v>
      </c>
      <c r="G54" s="300">
        <f t="shared" si="13"/>
        <v>-4100</v>
      </c>
      <c r="H54" s="300">
        <f t="shared" si="13"/>
        <v>4100</v>
      </c>
      <c r="I54" s="300">
        <f t="shared" si="13"/>
        <v>-2100</v>
      </c>
      <c r="J54" s="300">
        <f t="shared" si="13"/>
        <v>-3400</v>
      </c>
      <c r="K54" s="300">
        <f t="shared" si="13"/>
        <v>4300</v>
      </c>
      <c r="L54" s="300">
        <f t="shared" si="13"/>
        <v>1100</v>
      </c>
    </row>
    <row r="55" spans="2:12" hidden="1">
      <c r="B55" s="1">
        <v>1984</v>
      </c>
      <c r="C55" s="300">
        <f t="shared" si="13"/>
        <v>-8300</v>
      </c>
      <c r="D55" s="300">
        <f t="shared" si="13"/>
        <v>-9700</v>
      </c>
      <c r="E55" s="300">
        <f t="shared" si="13"/>
        <v>-6700</v>
      </c>
      <c r="F55" s="300">
        <f t="shared" si="13"/>
        <v>-7400</v>
      </c>
      <c r="G55" s="300">
        <f t="shared" si="13"/>
        <v>-3300</v>
      </c>
      <c r="H55" s="300">
        <f t="shared" si="13"/>
        <v>4800</v>
      </c>
      <c r="I55" s="300">
        <f t="shared" si="13"/>
        <v>-3100</v>
      </c>
      <c r="J55" s="300">
        <f t="shared" si="13"/>
        <v>-4300</v>
      </c>
      <c r="K55" s="300">
        <f t="shared" si="13"/>
        <v>2000</v>
      </c>
      <c r="L55" s="300">
        <f t="shared" si="13"/>
        <v>-1100</v>
      </c>
    </row>
    <row r="56" spans="2:12" hidden="1">
      <c r="B56" s="1">
        <v>1985</v>
      </c>
      <c r="C56" s="300">
        <f t="shared" si="13"/>
        <v>-9100</v>
      </c>
      <c r="D56" s="300">
        <f t="shared" si="13"/>
        <v>-10600</v>
      </c>
      <c r="E56" s="300">
        <f t="shared" si="13"/>
        <v>-5000</v>
      </c>
      <c r="F56" s="300">
        <f t="shared" si="13"/>
        <v>-8100</v>
      </c>
      <c r="G56" s="300">
        <f t="shared" si="13"/>
        <v>-4500</v>
      </c>
      <c r="H56" s="300">
        <f t="shared" si="13"/>
        <v>5500</v>
      </c>
      <c r="I56" s="300">
        <f t="shared" si="13"/>
        <v>-4500</v>
      </c>
      <c r="J56" s="300">
        <f t="shared" si="13"/>
        <v>-5300</v>
      </c>
      <c r="K56" s="300">
        <f t="shared" si="13"/>
        <v>3600</v>
      </c>
      <c r="L56" s="300">
        <f t="shared" si="13"/>
        <v>-1700</v>
      </c>
    </row>
    <row r="57" spans="2:12" hidden="1">
      <c r="B57" s="1">
        <v>1986</v>
      </c>
      <c r="C57" s="300">
        <f t="shared" si="13"/>
        <v>-12000</v>
      </c>
      <c r="D57" s="300">
        <f t="shared" si="13"/>
        <v>-10700</v>
      </c>
      <c r="E57" s="300">
        <f t="shared" si="13"/>
        <v>-6900</v>
      </c>
      <c r="F57" s="300">
        <f t="shared" si="13"/>
        <v>-9100</v>
      </c>
      <c r="G57" s="300">
        <f t="shared" si="13"/>
        <v>-4700</v>
      </c>
      <c r="H57" s="300">
        <f t="shared" si="13"/>
        <v>6500</v>
      </c>
      <c r="I57" s="300">
        <f t="shared" si="13"/>
        <v>-4200</v>
      </c>
      <c r="J57" s="300">
        <f t="shared" si="13"/>
        <v>-6500</v>
      </c>
      <c r="K57" s="300">
        <f t="shared" si="13"/>
        <v>2200</v>
      </c>
      <c r="L57" s="300">
        <f t="shared" si="13"/>
        <v>-1200</v>
      </c>
    </row>
    <row r="58" spans="2:12" hidden="1">
      <c r="B58" s="1">
        <v>1987</v>
      </c>
      <c r="C58" s="300">
        <f t="shared" si="13"/>
        <v>-9900</v>
      </c>
      <c r="D58" s="300">
        <f t="shared" si="13"/>
        <v>-9400</v>
      </c>
      <c r="E58" s="300">
        <f t="shared" si="13"/>
        <v>-6200</v>
      </c>
      <c r="F58" s="300">
        <f t="shared" si="13"/>
        <v>-10400</v>
      </c>
      <c r="G58" s="300">
        <f t="shared" si="13"/>
        <v>-4800</v>
      </c>
      <c r="H58" s="300">
        <f t="shared" si="13"/>
        <v>7300</v>
      </c>
      <c r="I58" s="300">
        <f t="shared" si="13"/>
        <v>-5900</v>
      </c>
      <c r="J58" s="300">
        <f t="shared" si="13"/>
        <v>-6900</v>
      </c>
      <c r="K58" s="300">
        <f t="shared" si="13"/>
        <v>300</v>
      </c>
      <c r="L58" s="300">
        <f t="shared" si="13"/>
        <v>-2300</v>
      </c>
    </row>
    <row r="59" spans="2:12" hidden="1">
      <c r="B59" s="1">
        <v>1988</v>
      </c>
      <c r="C59" s="300">
        <f t="shared" si="13"/>
        <v>-9400</v>
      </c>
      <c r="D59" s="300">
        <f t="shared" si="13"/>
        <v>-12700</v>
      </c>
      <c r="E59" s="300">
        <f t="shared" si="13"/>
        <v>-8000</v>
      </c>
      <c r="F59" s="300">
        <f t="shared" si="13"/>
        <v>-10000</v>
      </c>
      <c r="G59" s="300">
        <f t="shared" si="13"/>
        <v>-6500</v>
      </c>
      <c r="H59" s="300">
        <f t="shared" si="13"/>
        <v>8500</v>
      </c>
      <c r="I59" s="300">
        <f t="shared" si="13"/>
        <v>-5800</v>
      </c>
      <c r="J59" s="300">
        <f t="shared" si="13"/>
        <v>-8200</v>
      </c>
      <c r="K59" s="300">
        <f t="shared" si="13"/>
        <v>0</v>
      </c>
      <c r="L59" s="300">
        <f t="shared" si="13"/>
        <v>-1300</v>
      </c>
    </row>
    <row r="60" spans="2:12" hidden="1">
      <c r="B60" s="1">
        <v>1989</v>
      </c>
      <c r="C60" s="300">
        <f t="shared" si="13"/>
        <v>-8300</v>
      </c>
      <c r="D60" s="300">
        <f t="shared" si="13"/>
        <v>-11700</v>
      </c>
      <c r="E60" s="300">
        <f t="shared" si="13"/>
        <v>-8300</v>
      </c>
      <c r="F60" s="300">
        <f t="shared" si="13"/>
        <v>-9800</v>
      </c>
      <c r="G60" s="300">
        <f t="shared" si="13"/>
        <v>-6300</v>
      </c>
      <c r="H60" s="300">
        <f t="shared" si="13"/>
        <v>8700</v>
      </c>
      <c r="I60" s="300">
        <f t="shared" si="13"/>
        <v>-5400</v>
      </c>
      <c r="J60" s="300">
        <f t="shared" si="13"/>
        <v>-9300</v>
      </c>
      <c r="K60" s="300">
        <f t="shared" si="13"/>
        <v>-900</v>
      </c>
      <c r="L60" s="300">
        <f t="shared" si="13"/>
        <v>-1800</v>
      </c>
    </row>
    <row r="61" spans="2:12" hidden="1">
      <c r="B61" s="1">
        <v>1990</v>
      </c>
      <c r="C61" s="300">
        <f t="shared" si="13"/>
        <v>-8400</v>
      </c>
      <c r="D61" s="300">
        <f t="shared" si="13"/>
        <v>-10100</v>
      </c>
      <c r="E61" s="300">
        <f t="shared" si="13"/>
        <v>-6700</v>
      </c>
      <c r="F61" s="300">
        <f t="shared" si="13"/>
        <v>-9300</v>
      </c>
      <c r="G61" s="300">
        <f t="shared" si="13"/>
        <v>-6700</v>
      </c>
      <c r="H61" s="300">
        <f t="shared" si="13"/>
        <v>7900</v>
      </c>
      <c r="I61" s="300">
        <f t="shared" si="13"/>
        <v>-6100</v>
      </c>
      <c r="J61" s="300">
        <f t="shared" si="13"/>
        <v>-8500</v>
      </c>
      <c r="K61" s="300">
        <f t="shared" si="13"/>
        <v>1100</v>
      </c>
      <c r="L61" s="300">
        <f t="shared" si="13"/>
        <v>-400</v>
      </c>
    </row>
    <row r="62" spans="2:12" hidden="1">
      <c r="B62" s="1">
        <v>1991</v>
      </c>
      <c r="C62" s="300">
        <f t="shared" si="13"/>
        <v>-8000</v>
      </c>
      <c r="D62" s="300">
        <f t="shared" si="13"/>
        <v>-9400</v>
      </c>
      <c r="E62" s="300">
        <f t="shared" si="13"/>
        <v>-7100</v>
      </c>
      <c r="F62" s="300">
        <f t="shared" si="13"/>
        <v>-8500</v>
      </c>
      <c r="G62" s="300">
        <f t="shared" si="13"/>
        <v>-6000</v>
      </c>
      <c r="H62" s="300">
        <f t="shared" si="13"/>
        <v>6800</v>
      </c>
      <c r="I62" s="300">
        <f t="shared" si="13"/>
        <v>-6400</v>
      </c>
      <c r="J62" s="300">
        <f t="shared" si="13"/>
        <v>-8100</v>
      </c>
      <c r="K62" s="300">
        <f t="shared" si="13"/>
        <v>3100</v>
      </c>
      <c r="L62" s="300">
        <f t="shared" si="13"/>
        <v>-600</v>
      </c>
    </row>
    <row r="63" spans="2:12" hidden="1">
      <c r="B63" s="1">
        <v>1992</v>
      </c>
      <c r="C63" s="300">
        <f t="shared" si="13"/>
        <v>-8500</v>
      </c>
      <c r="D63" s="300">
        <f t="shared" si="13"/>
        <v>-8000</v>
      </c>
      <c r="E63" s="300">
        <f t="shared" si="13"/>
        <v>-6200</v>
      </c>
      <c r="F63" s="300">
        <f t="shared" si="13"/>
        <v>-8200</v>
      </c>
      <c r="G63" s="300">
        <f t="shared" si="13"/>
        <v>-6400</v>
      </c>
      <c r="H63" s="300">
        <f t="shared" si="13"/>
        <v>6700</v>
      </c>
      <c r="I63" s="300">
        <f t="shared" si="13"/>
        <v>-5300</v>
      </c>
      <c r="J63" s="300">
        <f t="shared" si="13"/>
        <v>-7000</v>
      </c>
      <c r="K63" s="300">
        <f t="shared" si="13"/>
        <v>300</v>
      </c>
      <c r="L63" s="300">
        <f t="shared" si="13"/>
        <v>1600</v>
      </c>
    </row>
    <row r="64" spans="2:12" hidden="1">
      <c r="B64" s="1">
        <v>1993</v>
      </c>
      <c r="C64" s="300">
        <f t="shared" si="13"/>
        <v>-8500</v>
      </c>
      <c r="D64" s="300">
        <f t="shared" si="13"/>
        <v>-8800</v>
      </c>
      <c r="E64" s="300">
        <f t="shared" si="13"/>
        <v>-6500</v>
      </c>
      <c r="F64" s="300">
        <f t="shared" si="13"/>
        <v>-7600</v>
      </c>
      <c r="G64" s="300">
        <f t="shared" si="13"/>
        <v>-6500</v>
      </c>
      <c r="H64" s="300">
        <f t="shared" si="13"/>
        <v>6800</v>
      </c>
      <c r="I64" s="300">
        <f t="shared" si="13"/>
        <v>-6200</v>
      </c>
      <c r="J64" s="300">
        <f t="shared" si="13"/>
        <v>-7200</v>
      </c>
      <c r="K64" s="300">
        <f t="shared" si="13"/>
        <v>1600</v>
      </c>
      <c r="L64" s="300">
        <f t="shared" si="13"/>
        <v>200</v>
      </c>
    </row>
    <row r="65" spans="2:12" hidden="1">
      <c r="B65" s="1">
        <v>1994</v>
      </c>
      <c r="C65" s="300">
        <f t="shared" si="13"/>
        <v>-8100</v>
      </c>
      <c r="D65" s="300">
        <f t="shared" si="13"/>
        <v>-8200</v>
      </c>
      <c r="E65" s="300">
        <f t="shared" si="13"/>
        <v>-7900</v>
      </c>
      <c r="F65" s="300">
        <f t="shared" si="13"/>
        <v>-8400</v>
      </c>
      <c r="G65" s="300">
        <f t="shared" si="13"/>
        <v>-5900</v>
      </c>
      <c r="H65" s="300">
        <f t="shared" si="13"/>
        <v>6600</v>
      </c>
      <c r="I65" s="300">
        <f t="shared" si="13"/>
        <v>-4700</v>
      </c>
      <c r="J65" s="300">
        <f t="shared" si="13"/>
        <v>-7400</v>
      </c>
      <c r="K65" s="300">
        <f t="shared" si="13"/>
        <v>1500</v>
      </c>
      <c r="L65" s="300">
        <f t="shared" si="13"/>
        <v>100</v>
      </c>
    </row>
    <row r="66" spans="2:12" hidden="1">
      <c r="B66" s="1">
        <v>1995</v>
      </c>
      <c r="C66" s="300">
        <f t="shared" si="13"/>
        <v>-9400</v>
      </c>
      <c r="D66" s="300">
        <f t="shared" si="13"/>
        <v>-8800</v>
      </c>
      <c r="E66" s="300">
        <f t="shared" si="13"/>
        <v>-9000</v>
      </c>
      <c r="F66" s="300">
        <f t="shared" si="13"/>
        <v>-8300</v>
      </c>
      <c r="G66" s="300">
        <f t="shared" si="13"/>
        <v>-6400</v>
      </c>
      <c r="H66" s="300">
        <f t="shared" si="13"/>
        <v>7100</v>
      </c>
      <c r="I66" s="300">
        <f t="shared" si="13"/>
        <v>-4900</v>
      </c>
      <c r="J66" s="300">
        <f t="shared" si="13"/>
        <v>-5500</v>
      </c>
      <c r="K66" s="300">
        <f t="shared" si="13"/>
        <v>1100</v>
      </c>
      <c r="L66" s="300">
        <f t="shared" si="13"/>
        <v>-100</v>
      </c>
    </row>
    <row r="67" spans="2:12" hidden="1">
      <c r="B67" s="1">
        <v>1996</v>
      </c>
      <c r="C67" s="300">
        <f t="shared" si="13"/>
        <v>-10700</v>
      </c>
      <c r="D67" s="300">
        <f t="shared" si="13"/>
        <v>-8600</v>
      </c>
      <c r="E67" s="300">
        <f t="shared" si="13"/>
        <v>-9800</v>
      </c>
      <c r="F67" s="300">
        <f t="shared" si="13"/>
        <v>-8400</v>
      </c>
      <c r="G67" s="300">
        <f t="shared" si="13"/>
        <v>-6200</v>
      </c>
      <c r="H67" s="300">
        <f t="shared" si="13"/>
        <v>7000</v>
      </c>
      <c r="I67" s="300">
        <f t="shared" si="13"/>
        <v>-5000</v>
      </c>
      <c r="J67" s="300">
        <f t="shared" si="13"/>
        <v>-6700</v>
      </c>
      <c r="K67" s="300">
        <f t="shared" si="13"/>
        <v>1600</v>
      </c>
      <c r="L67" s="300">
        <f t="shared" si="13"/>
        <v>200</v>
      </c>
    </row>
    <row r="68" spans="2:12" hidden="1">
      <c r="B68" s="1">
        <v>1997</v>
      </c>
      <c r="C68" s="300">
        <f t="shared" si="13"/>
        <v>-12000</v>
      </c>
      <c r="D68" s="300">
        <f t="shared" si="13"/>
        <v>-10300</v>
      </c>
      <c r="E68" s="300">
        <f t="shared" si="13"/>
        <v>-9500</v>
      </c>
      <c r="F68" s="300">
        <f t="shared" si="13"/>
        <v>-9500</v>
      </c>
      <c r="G68" s="300">
        <f t="shared" si="13"/>
        <v>-7000</v>
      </c>
      <c r="H68" s="300">
        <f t="shared" si="13"/>
        <v>6800</v>
      </c>
      <c r="I68" s="300">
        <f t="shared" si="13"/>
        <v>-5400</v>
      </c>
      <c r="J68" s="300">
        <f t="shared" si="13"/>
        <v>-6500</v>
      </c>
      <c r="K68" s="300">
        <f t="shared" si="13"/>
        <v>5200</v>
      </c>
      <c r="L68" s="300">
        <f t="shared" si="13"/>
        <v>-200</v>
      </c>
    </row>
    <row r="69" spans="2:12" hidden="1">
      <c r="B69" s="1">
        <v>1998</v>
      </c>
      <c r="C69" s="300">
        <f t="shared" ref="C69:L75" si="14">C22-$B22</f>
        <v>-11500</v>
      </c>
      <c r="D69" s="300">
        <f t="shared" si="14"/>
        <v>-10500</v>
      </c>
      <c r="E69" s="300">
        <f t="shared" si="14"/>
        <v>-9800</v>
      </c>
      <c r="F69" s="300">
        <f t="shared" si="14"/>
        <v>-9500</v>
      </c>
      <c r="G69" s="300">
        <f t="shared" si="14"/>
        <v>-7000</v>
      </c>
      <c r="H69" s="300">
        <f t="shared" si="14"/>
        <v>7700</v>
      </c>
      <c r="I69" s="300">
        <f t="shared" si="14"/>
        <v>-5100</v>
      </c>
      <c r="J69" s="300">
        <f t="shared" si="14"/>
        <v>-8200</v>
      </c>
      <c r="K69" s="300">
        <f t="shared" si="14"/>
        <v>4800</v>
      </c>
      <c r="L69" s="300">
        <f t="shared" si="14"/>
        <v>-2200</v>
      </c>
    </row>
    <row r="70" spans="2:12" hidden="1">
      <c r="B70" s="1">
        <v>1999</v>
      </c>
      <c r="C70" s="300">
        <f t="shared" si="14"/>
        <v>-11300</v>
      </c>
      <c r="D70" s="300">
        <f t="shared" si="14"/>
        <v>-11800</v>
      </c>
      <c r="E70" s="300">
        <f t="shared" si="14"/>
        <v>-9300</v>
      </c>
      <c r="F70" s="300">
        <f t="shared" si="14"/>
        <v>-9800</v>
      </c>
      <c r="G70" s="300">
        <f t="shared" si="14"/>
        <v>-7600</v>
      </c>
      <c r="H70" s="300">
        <f t="shared" si="14"/>
        <v>9200</v>
      </c>
      <c r="I70" s="300">
        <f t="shared" si="14"/>
        <v>-7000</v>
      </c>
      <c r="J70" s="300">
        <f t="shared" si="14"/>
        <v>-8700</v>
      </c>
      <c r="K70" s="300">
        <f t="shared" si="14"/>
        <v>2100</v>
      </c>
      <c r="L70" s="300">
        <f t="shared" si="14"/>
        <v>-2800</v>
      </c>
    </row>
    <row r="71" spans="2:12" hidden="1">
      <c r="B71" s="1">
        <v>2000</v>
      </c>
      <c r="C71" s="300">
        <f t="shared" si="14"/>
        <v>-12100</v>
      </c>
      <c r="D71" s="300">
        <f t="shared" si="14"/>
        <v>-12200</v>
      </c>
      <c r="E71" s="300">
        <f t="shared" si="14"/>
        <v>-10100</v>
      </c>
      <c r="F71" s="300">
        <f t="shared" si="14"/>
        <v>-10500</v>
      </c>
      <c r="G71" s="300">
        <f t="shared" si="14"/>
        <v>-7800</v>
      </c>
      <c r="H71" s="300">
        <f t="shared" si="14"/>
        <v>9800</v>
      </c>
      <c r="I71" s="300">
        <f t="shared" si="14"/>
        <v>-7700</v>
      </c>
      <c r="J71" s="300">
        <f t="shared" si="14"/>
        <v>-10100</v>
      </c>
      <c r="K71" s="300">
        <f t="shared" si="14"/>
        <v>3000</v>
      </c>
      <c r="L71" s="300">
        <f t="shared" si="14"/>
        <v>-4100</v>
      </c>
    </row>
    <row r="72" spans="2:12" hidden="1">
      <c r="B72" s="1">
        <v>2001</v>
      </c>
      <c r="C72" s="300">
        <f t="shared" si="14"/>
        <v>-13300</v>
      </c>
      <c r="D72" s="300">
        <f t="shared" si="14"/>
        <v>-12900</v>
      </c>
      <c r="E72" s="300">
        <f t="shared" si="14"/>
        <v>-9600</v>
      </c>
      <c r="F72" s="300">
        <f t="shared" si="14"/>
        <v>-10200</v>
      </c>
      <c r="G72" s="300">
        <f t="shared" si="14"/>
        <v>-7700</v>
      </c>
      <c r="H72" s="300">
        <f t="shared" si="14"/>
        <v>9200</v>
      </c>
      <c r="I72" s="300">
        <f t="shared" si="14"/>
        <v>-7500</v>
      </c>
      <c r="J72" s="300">
        <f t="shared" si="14"/>
        <v>-8500</v>
      </c>
      <c r="K72" s="300">
        <f t="shared" si="14"/>
        <v>5100</v>
      </c>
      <c r="L72" s="300">
        <f t="shared" si="14"/>
        <v>-4200</v>
      </c>
    </row>
    <row r="73" spans="2:12" hidden="1">
      <c r="B73" s="1">
        <v>2002</v>
      </c>
      <c r="C73" s="300">
        <f t="shared" si="14"/>
        <v>-12700</v>
      </c>
      <c r="D73" s="300">
        <f t="shared" si="14"/>
        <v>-12200</v>
      </c>
      <c r="E73" s="300">
        <f t="shared" si="14"/>
        <v>-8800</v>
      </c>
      <c r="F73" s="300">
        <f t="shared" si="14"/>
        <v>-11400</v>
      </c>
      <c r="G73" s="300">
        <f t="shared" si="14"/>
        <v>-7200</v>
      </c>
      <c r="H73" s="300">
        <f t="shared" si="14"/>
        <v>8900</v>
      </c>
      <c r="I73" s="300">
        <f t="shared" si="14"/>
        <v>-7400</v>
      </c>
      <c r="J73" s="300">
        <f t="shared" si="14"/>
        <v>-8800</v>
      </c>
      <c r="K73" s="300">
        <f t="shared" si="14"/>
        <v>3600</v>
      </c>
      <c r="L73" s="300">
        <f t="shared" si="14"/>
        <v>-3400</v>
      </c>
    </row>
    <row r="74" spans="2:12" hidden="1">
      <c r="B74" s="1">
        <v>2003</v>
      </c>
      <c r="C74" s="300">
        <f t="shared" si="14"/>
        <v>-12700</v>
      </c>
      <c r="D74" s="300">
        <f t="shared" si="14"/>
        <v>-11300</v>
      </c>
      <c r="E74" s="300">
        <f t="shared" si="14"/>
        <v>-9800</v>
      </c>
      <c r="F74" s="300">
        <f t="shared" si="14"/>
        <v>-10800</v>
      </c>
      <c r="G74" s="300">
        <f t="shared" si="14"/>
        <v>-7400</v>
      </c>
      <c r="H74" s="300">
        <f t="shared" si="14"/>
        <v>8900</v>
      </c>
      <c r="I74" s="300">
        <f t="shared" si="14"/>
        <v>-6700</v>
      </c>
      <c r="J74" s="300">
        <f t="shared" si="14"/>
        <v>-7700</v>
      </c>
      <c r="K74" s="300">
        <f t="shared" si="14"/>
        <v>4600</v>
      </c>
      <c r="L74" s="300">
        <f t="shared" si="14"/>
        <v>-4400</v>
      </c>
    </row>
    <row r="75" spans="2:12" hidden="1">
      <c r="B75" s="1">
        <v>2004</v>
      </c>
      <c r="C75" s="300">
        <f t="shared" si="14"/>
        <v>-13400</v>
      </c>
      <c r="D75" s="300">
        <f t="shared" si="14"/>
        <v>-11200</v>
      </c>
      <c r="E75" s="300">
        <f t="shared" si="14"/>
        <v>-10300</v>
      </c>
      <c r="F75" s="300">
        <f t="shared" si="14"/>
        <v>-11200</v>
      </c>
      <c r="G75" s="300">
        <f t="shared" si="14"/>
        <v>-7300</v>
      </c>
      <c r="H75" s="300">
        <f t="shared" si="14"/>
        <v>8300</v>
      </c>
      <c r="I75" s="300">
        <f t="shared" si="14"/>
        <v>-6900</v>
      </c>
      <c r="J75" s="300">
        <f t="shared" si="14"/>
        <v>-9400</v>
      </c>
      <c r="K75" s="300">
        <f t="shared" si="14"/>
        <v>6000</v>
      </c>
      <c r="L75" s="300">
        <f t="shared" si="14"/>
        <v>-3400</v>
      </c>
    </row>
    <row r="76" spans="2:12" hidden="1">
      <c r="B76" s="1">
        <v>2005</v>
      </c>
      <c r="C76" s="300"/>
      <c r="D76" s="300"/>
      <c r="E76" s="300"/>
      <c r="F76" s="300"/>
      <c r="G76" s="300"/>
      <c r="H76" s="300"/>
      <c r="I76" s="300"/>
      <c r="J76" s="300"/>
      <c r="K76" s="300"/>
      <c r="L76" s="300"/>
    </row>
    <row r="77" spans="2:12" hidden="1"/>
    <row r="78" spans="2:12" hidden="1">
      <c r="B78" s="1" t="s">
        <v>280</v>
      </c>
    </row>
    <row r="79" spans="2:12" hidden="1">
      <c r="B79" s="1">
        <v>1981</v>
      </c>
      <c r="C79" s="300">
        <f>C52^2</f>
        <v>25000000</v>
      </c>
      <c r="D79" s="300">
        <f t="shared" ref="D79:L79" si="15">D52^2</f>
        <v>174240000</v>
      </c>
      <c r="E79" s="300">
        <f t="shared" si="15"/>
        <v>110250000</v>
      </c>
      <c r="F79" s="300">
        <f t="shared" si="15"/>
        <v>110250000</v>
      </c>
      <c r="G79" s="300">
        <f t="shared" si="15"/>
        <v>19360000</v>
      </c>
      <c r="H79" s="300">
        <f t="shared" si="15"/>
        <v>10240000</v>
      </c>
      <c r="I79" s="300">
        <f t="shared" si="15"/>
        <v>29160000</v>
      </c>
      <c r="J79" s="300">
        <f t="shared" si="15"/>
        <v>5760000</v>
      </c>
      <c r="K79" s="300">
        <f t="shared" si="15"/>
        <v>47610000</v>
      </c>
      <c r="L79" s="300">
        <f t="shared" si="15"/>
        <v>9000000</v>
      </c>
    </row>
    <row r="80" spans="2:12" hidden="1">
      <c r="B80" s="1">
        <v>1982</v>
      </c>
      <c r="C80" s="300">
        <f t="shared" ref="C80:L95" si="16">C53^2</f>
        <v>34810000</v>
      </c>
      <c r="D80" s="300">
        <f t="shared" si="16"/>
        <v>134560000</v>
      </c>
      <c r="E80" s="300">
        <f t="shared" si="16"/>
        <v>84640000</v>
      </c>
      <c r="F80" s="300">
        <f t="shared" si="16"/>
        <v>96040000</v>
      </c>
      <c r="G80" s="300">
        <f t="shared" si="16"/>
        <v>20250000</v>
      </c>
      <c r="H80" s="300">
        <f t="shared" si="16"/>
        <v>7840000</v>
      </c>
      <c r="I80" s="300">
        <f t="shared" si="16"/>
        <v>19360000</v>
      </c>
      <c r="J80" s="300">
        <f t="shared" si="16"/>
        <v>6760000</v>
      </c>
      <c r="K80" s="300">
        <f t="shared" si="16"/>
        <v>86490000</v>
      </c>
      <c r="L80" s="300">
        <f t="shared" si="16"/>
        <v>5290000</v>
      </c>
    </row>
    <row r="81" spans="2:12" hidden="1">
      <c r="B81" s="1">
        <v>1983</v>
      </c>
      <c r="C81" s="300">
        <f t="shared" si="16"/>
        <v>84640000</v>
      </c>
      <c r="D81" s="300">
        <f t="shared" si="16"/>
        <v>65610000</v>
      </c>
      <c r="E81" s="300">
        <f t="shared" si="16"/>
        <v>60840000</v>
      </c>
      <c r="F81" s="300">
        <f t="shared" si="16"/>
        <v>112360000</v>
      </c>
      <c r="G81" s="300">
        <f t="shared" si="16"/>
        <v>16810000</v>
      </c>
      <c r="H81" s="300">
        <f t="shared" si="16"/>
        <v>16810000</v>
      </c>
      <c r="I81" s="300">
        <f t="shared" si="16"/>
        <v>4410000</v>
      </c>
      <c r="J81" s="300">
        <f t="shared" si="16"/>
        <v>11560000</v>
      </c>
      <c r="K81" s="300">
        <f t="shared" si="16"/>
        <v>18490000</v>
      </c>
      <c r="L81" s="300">
        <f t="shared" si="16"/>
        <v>1210000</v>
      </c>
    </row>
    <row r="82" spans="2:12" hidden="1">
      <c r="B82" s="1">
        <v>1984</v>
      </c>
      <c r="C82" s="300">
        <f t="shared" si="16"/>
        <v>68890000</v>
      </c>
      <c r="D82" s="300">
        <f t="shared" si="16"/>
        <v>94090000</v>
      </c>
      <c r="E82" s="300">
        <f t="shared" si="16"/>
        <v>44890000</v>
      </c>
      <c r="F82" s="300">
        <f t="shared" si="16"/>
        <v>54760000</v>
      </c>
      <c r="G82" s="300">
        <f t="shared" si="16"/>
        <v>10890000</v>
      </c>
      <c r="H82" s="300">
        <f t="shared" si="16"/>
        <v>23040000</v>
      </c>
      <c r="I82" s="300">
        <f t="shared" si="16"/>
        <v>9610000</v>
      </c>
      <c r="J82" s="300">
        <f t="shared" si="16"/>
        <v>18490000</v>
      </c>
      <c r="K82" s="300">
        <f t="shared" si="16"/>
        <v>4000000</v>
      </c>
      <c r="L82" s="300">
        <f t="shared" si="16"/>
        <v>1210000</v>
      </c>
    </row>
    <row r="83" spans="2:12" hidden="1">
      <c r="B83" s="1">
        <v>1985</v>
      </c>
      <c r="C83" s="300">
        <f t="shared" si="16"/>
        <v>82810000</v>
      </c>
      <c r="D83" s="300">
        <f t="shared" si="16"/>
        <v>112360000</v>
      </c>
      <c r="E83" s="300">
        <f t="shared" si="16"/>
        <v>25000000</v>
      </c>
      <c r="F83" s="300">
        <f t="shared" si="16"/>
        <v>65610000</v>
      </c>
      <c r="G83" s="300">
        <f t="shared" si="16"/>
        <v>20250000</v>
      </c>
      <c r="H83" s="300">
        <f t="shared" si="16"/>
        <v>30250000</v>
      </c>
      <c r="I83" s="300">
        <f t="shared" si="16"/>
        <v>20250000</v>
      </c>
      <c r="J83" s="300">
        <f t="shared" si="16"/>
        <v>28090000</v>
      </c>
      <c r="K83" s="300">
        <f t="shared" si="16"/>
        <v>12960000</v>
      </c>
      <c r="L83" s="300">
        <f t="shared" si="16"/>
        <v>2890000</v>
      </c>
    </row>
    <row r="84" spans="2:12" hidden="1">
      <c r="B84" s="1">
        <v>1986</v>
      </c>
      <c r="C84" s="300">
        <f t="shared" si="16"/>
        <v>144000000</v>
      </c>
      <c r="D84" s="300">
        <f t="shared" si="16"/>
        <v>114490000</v>
      </c>
      <c r="E84" s="300">
        <f t="shared" si="16"/>
        <v>47610000</v>
      </c>
      <c r="F84" s="300">
        <f t="shared" si="16"/>
        <v>82810000</v>
      </c>
      <c r="G84" s="300">
        <f t="shared" si="16"/>
        <v>22090000</v>
      </c>
      <c r="H84" s="300">
        <f t="shared" si="16"/>
        <v>42250000</v>
      </c>
      <c r="I84" s="300">
        <f t="shared" si="16"/>
        <v>17640000</v>
      </c>
      <c r="J84" s="300">
        <f t="shared" si="16"/>
        <v>42250000</v>
      </c>
      <c r="K84" s="300">
        <f t="shared" si="16"/>
        <v>4840000</v>
      </c>
      <c r="L84" s="300">
        <f t="shared" si="16"/>
        <v>1440000</v>
      </c>
    </row>
    <row r="85" spans="2:12" hidden="1">
      <c r="B85" s="1">
        <v>1987</v>
      </c>
      <c r="C85" s="300">
        <f t="shared" si="16"/>
        <v>98010000</v>
      </c>
      <c r="D85" s="300">
        <f t="shared" si="16"/>
        <v>88360000</v>
      </c>
      <c r="E85" s="300">
        <f t="shared" si="16"/>
        <v>38440000</v>
      </c>
      <c r="F85" s="300">
        <f t="shared" si="16"/>
        <v>108160000</v>
      </c>
      <c r="G85" s="300">
        <f t="shared" si="16"/>
        <v>23040000</v>
      </c>
      <c r="H85" s="300">
        <f t="shared" si="16"/>
        <v>53290000</v>
      </c>
      <c r="I85" s="300">
        <f t="shared" si="16"/>
        <v>34810000</v>
      </c>
      <c r="J85" s="300">
        <f t="shared" si="16"/>
        <v>47610000</v>
      </c>
      <c r="K85" s="300">
        <f t="shared" si="16"/>
        <v>90000</v>
      </c>
      <c r="L85" s="300">
        <f t="shared" si="16"/>
        <v>5290000</v>
      </c>
    </row>
    <row r="86" spans="2:12" hidden="1">
      <c r="B86" s="1">
        <v>1988</v>
      </c>
      <c r="C86" s="300">
        <f t="shared" si="16"/>
        <v>88360000</v>
      </c>
      <c r="D86" s="300">
        <f t="shared" si="16"/>
        <v>161290000</v>
      </c>
      <c r="E86" s="300">
        <f t="shared" si="16"/>
        <v>64000000</v>
      </c>
      <c r="F86" s="300">
        <f t="shared" si="16"/>
        <v>100000000</v>
      </c>
      <c r="G86" s="300">
        <f t="shared" si="16"/>
        <v>42250000</v>
      </c>
      <c r="H86" s="300">
        <f t="shared" si="16"/>
        <v>72250000</v>
      </c>
      <c r="I86" s="300">
        <f t="shared" si="16"/>
        <v>33640000</v>
      </c>
      <c r="J86" s="300">
        <f t="shared" si="16"/>
        <v>67240000</v>
      </c>
      <c r="K86" s="300">
        <f t="shared" si="16"/>
        <v>0</v>
      </c>
      <c r="L86" s="300">
        <f t="shared" si="16"/>
        <v>1690000</v>
      </c>
    </row>
    <row r="87" spans="2:12" hidden="1">
      <c r="B87" s="1">
        <v>1989</v>
      </c>
      <c r="C87" s="300">
        <f t="shared" si="16"/>
        <v>68890000</v>
      </c>
      <c r="D87" s="300">
        <f t="shared" si="16"/>
        <v>136890000</v>
      </c>
      <c r="E87" s="300">
        <f t="shared" si="16"/>
        <v>68890000</v>
      </c>
      <c r="F87" s="300">
        <f t="shared" si="16"/>
        <v>96040000</v>
      </c>
      <c r="G87" s="300">
        <f t="shared" si="16"/>
        <v>39690000</v>
      </c>
      <c r="H87" s="300">
        <f t="shared" si="16"/>
        <v>75690000</v>
      </c>
      <c r="I87" s="300">
        <f t="shared" si="16"/>
        <v>29160000</v>
      </c>
      <c r="J87" s="300">
        <f t="shared" si="16"/>
        <v>86490000</v>
      </c>
      <c r="K87" s="300">
        <f t="shared" si="16"/>
        <v>810000</v>
      </c>
      <c r="L87" s="300">
        <f t="shared" si="16"/>
        <v>3240000</v>
      </c>
    </row>
    <row r="88" spans="2:12" hidden="1">
      <c r="B88" s="1">
        <v>1990</v>
      </c>
      <c r="C88" s="300">
        <f t="shared" si="16"/>
        <v>70560000</v>
      </c>
      <c r="D88" s="300">
        <f t="shared" si="16"/>
        <v>102010000</v>
      </c>
      <c r="E88" s="300">
        <f t="shared" si="16"/>
        <v>44890000</v>
      </c>
      <c r="F88" s="300">
        <f t="shared" si="16"/>
        <v>86490000</v>
      </c>
      <c r="G88" s="300">
        <f t="shared" si="16"/>
        <v>44890000</v>
      </c>
      <c r="H88" s="300">
        <f t="shared" si="16"/>
        <v>62410000</v>
      </c>
      <c r="I88" s="300">
        <f t="shared" si="16"/>
        <v>37210000</v>
      </c>
      <c r="J88" s="300">
        <f t="shared" si="16"/>
        <v>72250000</v>
      </c>
      <c r="K88" s="300">
        <f t="shared" si="16"/>
        <v>1210000</v>
      </c>
      <c r="L88" s="300">
        <f t="shared" si="16"/>
        <v>160000</v>
      </c>
    </row>
    <row r="89" spans="2:12" hidden="1">
      <c r="B89" s="1">
        <v>1991</v>
      </c>
      <c r="C89" s="300">
        <f t="shared" si="16"/>
        <v>64000000</v>
      </c>
      <c r="D89" s="300">
        <f t="shared" si="16"/>
        <v>88360000</v>
      </c>
      <c r="E89" s="300">
        <f t="shared" si="16"/>
        <v>50410000</v>
      </c>
      <c r="F89" s="300">
        <f t="shared" si="16"/>
        <v>72250000</v>
      </c>
      <c r="G89" s="300">
        <f t="shared" si="16"/>
        <v>36000000</v>
      </c>
      <c r="H89" s="300">
        <f t="shared" si="16"/>
        <v>46240000</v>
      </c>
      <c r="I89" s="300">
        <f t="shared" si="16"/>
        <v>40960000</v>
      </c>
      <c r="J89" s="300">
        <f t="shared" si="16"/>
        <v>65610000</v>
      </c>
      <c r="K89" s="300">
        <f t="shared" si="16"/>
        <v>9610000</v>
      </c>
      <c r="L89" s="300">
        <f t="shared" si="16"/>
        <v>360000</v>
      </c>
    </row>
    <row r="90" spans="2:12" hidden="1">
      <c r="B90" s="1">
        <v>1992</v>
      </c>
      <c r="C90" s="300">
        <f t="shared" si="16"/>
        <v>72250000</v>
      </c>
      <c r="D90" s="300">
        <f t="shared" si="16"/>
        <v>64000000</v>
      </c>
      <c r="E90" s="300">
        <f t="shared" si="16"/>
        <v>38440000</v>
      </c>
      <c r="F90" s="300">
        <f t="shared" si="16"/>
        <v>67240000</v>
      </c>
      <c r="G90" s="300">
        <f t="shared" si="16"/>
        <v>40960000</v>
      </c>
      <c r="H90" s="300">
        <f t="shared" si="16"/>
        <v>44890000</v>
      </c>
      <c r="I90" s="300">
        <f t="shared" si="16"/>
        <v>28090000</v>
      </c>
      <c r="J90" s="300">
        <f t="shared" si="16"/>
        <v>49000000</v>
      </c>
      <c r="K90" s="300">
        <f t="shared" si="16"/>
        <v>90000</v>
      </c>
      <c r="L90" s="300">
        <f t="shared" si="16"/>
        <v>2560000</v>
      </c>
    </row>
    <row r="91" spans="2:12" hidden="1">
      <c r="B91" s="1">
        <v>1993</v>
      </c>
      <c r="C91" s="300">
        <f t="shared" si="16"/>
        <v>72250000</v>
      </c>
      <c r="D91" s="300">
        <f t="shared" si="16"/>
        <v>77440000</v>
      </c>
      <c r="E91" s="300">
        <f t="shared" si="16"/>
        <v>42250000</v>
      </c>
      <c r="F91" s="300">
        <f t="shared" si="16"/>
        <v>57760000</v>
      </c>
      <c r="G91" s="300">
        <f t="shared" si="16"/>
        <v>42250000</v>
      </c>
      <c r="H91" s="300">
        <f t="shared" si="16"/>
        <v>46240000</v>
      </c>
      <c r="I91" s="300">
        <f t="shared" si="16"/>
        <v>38440000</v>
      </c>
      <c r="J91" s="300">
        <f t="shared" si="16"/>
        <v>51840000</v>
      </c>
      <c r="K91" s="300">
        <f t="shared" si="16"/>
        <v>2560000</v>
      </c>
      <c r="L91" s="300">
        <f t="shared" si="16"/>
        <v>40000</v>
      </c>
    </row>
    <row r="92" spans="2:12" hidden="1">
      <c r="B92" s="1">
        <v>1994</v>
      </c>
      <c r="C92" s="300">
        <f t="shared" si="16"/>
        <v>65610000</v>
      </c>
      <c r="D92" s="300">
        <f t="shared" si="16"/>
        <v>67240000</v>
      </c>
      <c r="E92" s="300">
        <f t="shared" si="16"/>
        <v>62410000</v>
      </c>
      <c r="F92" s="300">
        <f t="shared" si="16"/>
        <v>70560000</v>
      </c>
      <c r="G92" s="300">
        <f t="shared" si="16"/>
        <v>34810000</v>
      </c>
      <c r="H92" s="300">
        <f t="shared" si="16"/>
        <v>43560000</v>
      </c>
      <c r="I92" s="300">
        <f t="shared" si="16"/>
        <v>22090000</v>
      </c>
      <c r="J92" s="300">
        <f t="shared" si="16"/>
        <v>54760000</v>
      </c>
      <c r="K92" s="300">
        <f t="shared" si="16"/>
        <v>2250000</v>
      </c>
      <c r="L92" s="300">
        <f t="shared" si="16"/>
        <v>10000</v>
      </c>
    </row>
    <row r="93" spans="2:12" hidden="1">
      <c r="B93" s="1">
        <v>1995</v>
      </c>
      <c r="C93" s="300">
        <f t="shared" si="16"/>
        <v>88360000</v>
      </c>
      <c r="D93" s="300">
        <f t="shared" si="16"/>
        <v>77440000</v>
      </c>
      <c r="E93" s="300">
        <f t="shared" si="16"/>
        <v>81000000</v>
      </c>
      <c r="F93" s="300">
        <f t="shared" si="16"/>
        <v>68890000</v>
      </c>
      <c r="G93" s="300">
        <f t="shared" si="16"/>
        <v>40960000</v>
      </c>
      <c r="H93" s="300">
        <f t="shared" si="16"/>
        <v>50410000</v>
      </c>
      <c r="I93" s="300">
        <f t="shared" si="16"/>
        <v>24010000</v>
      </c>
      <c r="J93" s="300">
        <f t="shared" si="16"/>
        <v>30250000</v>
      </c>
      <c r="K93" s="300">
        <f t="shared" si="16"/>
        <v>1210000</v>
      </c>
      <c r="L93" s="300">
        <f t="shared" si="16"/>
        <v>10000</v>
      </c>
    </row>
    <row r="94" spans="2:12" hidden="1">
      <c r="B94" s="1">
        <v>1996</v>
      </c>
      <c r="C94" s="300">
        <f t="shared" si="16"/>
        <v>114490000</v>
      </c>
      <c r="D94" s="300">
        <f t="shared" si="16"/>
        <v>73960000</v>
      </c>
      <c r="E94" s="300">
        <f t="shared" si="16"/>
        <v>96040000</v>
      </c>
      <c r="F94" s="300">
        <f t="shared" si="16"/>
        <v>70560000</v>
      </c>
      <c r="G94" s="300">
        <f t="shared" si="16"/>
        <v>38440000</v>
      </c>
      <c r="H94" s="300">
        <f t="shared" si="16"/>
        <v>49000000</v>
      </c>
      <c r="I94" s="300">
        <f t="shared" si="16"/>
        <v>25000000</v>
      </c>
      <c r="J94" s="300">
        <f t="shared" si="16"/>
        <v>44890000</v>
      </c>
      <c r="K94" s="300">
        <f t="shared" si="16"/>
        <v>2560000</v>
      </c>
      <c r="L94" s="300">
        <f t="shared" si="16"/>
        <v>40000</v>
      </c>
    </row>
    <row r="95" spans="2:12" hidden="1">
      <c r="B95" s="1">
        <v>1997</v>
      </c>
      <c r="C95" s="300">
        <f t="shared" si="16"/>
        <v>144000000</v>
      </c>
      <c r="D95" s="300">
        <f t="shared" si="16"/>
        <v>106090000</v>
      </c>
      <c r="E95" s="300">
        <f t="shared" si="16"/>
        <v>90250000</v>
      </c>
      <c r="F95" s="300">
        <f t="shared" si="16"/>
        <v>90250000</v>
      </c>
      <c r="G95" s="300">
        <f t="shared" si="16"/>
        <v>49000000</v>
      </c>
      <c r="H95" s="300">
        <f t="shared" si="16"/>
        <v>46240000</v>
      </c>
      <c r="I95" s="300">
        <f t="shared" si="16"/>
        <v>29160000</v>
      </c>
      <c r="J95" s="300">
        <f t="shared" si="16"/>
        <v>42250000</v>
      </c>
      <c r="K95" s="300">
        <f t="shared" si="16"/>
        <v>27040000</v>
      </c>
      <c r="L95" s="300">
        <f t="shared" si="16"/>
        <v>40000</v>
      </c>
    </row>
    <row r="96" spans="2:12" hidden="1">
      <c r="B96" s="1">
        <v>1998</v>
      </c>
      <c r="C96" s="300">
        <f t="shared" ref="C96:L102" si="17">C69^2</f>
        <v>132250000</v>
      </c>
      <c r="D96" s="300">
        <f t="shared" si="17"/>
        <v>110250000</v>
      </c>
      <c r="E96" s="300">
        <f t="shared" si="17"/>
        <v>96040000</v>
      </c>
      <c r="F96" s="300">
        <f t="shared" si="17"/>
        <v>90250000</v>
      </c>
      <c r="G96" s="300">
        <f t="shared" si="17"/>
        <v>49000000</v>
      </c>
      <c r="H96" s="300">
        <f t="shared" si="17"/>
        <v>59290000</v>
      </c>
      <c r="I96" s="300">
        <f t="shared" si="17"/>
        <v>26010000</v>
      </c>
      <c r="J96" s="300">
        <f t="shared" si="17"/>
        <v>67240000</v>
      </c>
      <c r="K96" s="300">
        <f t="shared" si="17"/>
        <v>23040000</v>
      </c>
      <c r="L96" s="300">
        <f t="shared" si="17"/>
        <v>4840000</v>
      </c>
    </row>
    <row r="97" spans="2:13" hidden="1">
      <c r="B97" s="1">
        <v>1999</v>
      </c>
      <c r="C97" s="300">
        <f t="shared" si="17"/>
        <v>127690000</v>
      </c>
      <c r="D97" s="300">
        <f t="shared" si="17"/>
        <v>139240000</v>
      </c>
      <c r="E97" s="300">
        <f t="shared" si="17"/>
        <v>86490000</v>
      </c>
      <c r="F97" s="300">
        <f t="shared" si="17"/>
        <v>96040000</v>
      </c>
      <c r="G97" s="300">
        <f t="shared" si="17"/>
        <v>57760000</v>
      </c>
      <c r="H97" s="300">
        <f t="shared" si="17"/>
        <v>84640000</v>
      </c>
      <c r="I97" s="300">
        <f t="shared" si="17"/>
        <v>49000000</v>
      </c>
      <c r="J97" s="300">
        <f t="shared" si="17"/>
        <v>75690000</v>
      </c>
      <c r="K97" s="300">
        <f t="shared" si="17"/>
        <v>4410000</v>
      </c>
      <c r="L97" s="300">
        <f t="shared" si="17"/>
        <v>7840000</v>
      </c>
    </row>
    <row r="98" spans="2:13" hidden="1">
      <c r="B98" s="1">
        <v>2000</v>
      </c>
      <c r="C98" s="300">
        <f t="shared" si="17"/>
        <v>146410000</v>
      </c>
      <c r="D98" s="300">
        <f t="shared" si="17"/>
        <v>148840000</v>
      </c>
      <c r="E98" s="300">
        <f t="shared" si="17"/>
        <v>102010000</v>
      </c>
      <c r="F98" s="300">
        <f t="shared" si="17"/>
        <v>110250000</v>
      </c>
      <c r="G98" s="300">
        <f t="shared" si="17"/>
        <v>60840000</v>
      </c>
      <c r="H98" s="300">
        <f t="shared" si="17"/>
        <v>96040000</v>
      </c>
      <c r="I98" s="300">
        <f t="shared" si="17"/>
        <v>59290000</v>
      </c>
      <c r="J98" s="300">
        <f t="shared" si="17"/>
        <v>102010000</v>
      </c>
      <c r="K98" s="300">
        <f t="shared" si="17"/>
        <v>9000000</v>
      </c>
      <c r="L98" s="300">
        <f t="shared" si="17"/>
        <v>16810000</v>
      </c>
    </row>
    <row r="99" spans="2:13" hidden="1">
      <c r="B99" s="1">
        <v>2001</v>
      </c>
      <c r="C99" s="300">
        <f t="shared" si="17"/>
        <v>176890000</v>
      </c>
      <c r="D99" s="300">
        <f t="shared" si="17"/>
        <v>166410000</v>
      </c>
      <c r="E99" s="300">
        <f t="shared" si="17"/>
        <v>92160000</v>
      </c>
      <c r="F99" s="300">
        <f t="shared" si="17"/>
        <v>104040000</v>
      </c>
      <c r="G99" s="300">
        <f t="shared" si="17"/>
        <v>59290000</v>
      </c>
      <c r="H99" s="300">
        <f t="shared" si="17"/>
        <v>84640000</v>
      </c>
      <c r="I99" s="300">
        <f t="shared" si="17"/>
        <v>56250000</v>
      </c>
      <c r="J99" s="300">
        <f t="shared" si="17"/>
        <v>72250000</v>
      </c>
      <c r="K99" s="300">
        <f t="shared" si="17"/>
        <v>26010000</v>
      </c>
      <c r="L99" s="300">
        <f t="shared" si="17"/>
        <v>17640000</v>
      </c>
    </row>
    <row r="100" spans="2:13" hidden="1">
      <c r="B100" s="1">
        <v>2002</v>
      </c>
      <c r="C100" s="300">
        <f t="shared" si="17"/>
        <v>161290000</v>
      </c>
      <c r="D100" s="300">
        <f t="shared" si="17"/>
        <v>148840000</v>
      </c>
      <c r="E100" s="300">
        <f t="shared" si="17"/>
        <v>77440000</v>
      </c>
      <c r="F100" s="300">
        <f t="shared" si="17"/>
        <v>129960000</v>
      </c>
      <c r="G100" s="300">
        <f t="shared" si="17"/>
        <v>51840000</v>
      </c>
      <c r="H100" s="300">
        <f t="shared" si="17"/>
        <v>79210000</v>
      </c>
      <c r="I100" s="300">
        <f t="shared" si="17"/>
        <v>54760000</v>
      </c>
      <c r="J100" s="300">
        <f t="shared" si="17"/>
        <v>77440000</v>
      </c>
      <c r="K100" s="300">
        <f t="shared" si="17"/>
        <v>12960000</v>
      </c>
      <c r="L100" s="300">
        <f t="shared" si="17"/>
        <v>11560000</v>
      </c>
    </row>
    <row r="101" spans="2:13" hidden="1">
      <c r="B101" s="1">
        <v>2003</v>
      </c>
      <c r="C101" s="300">
        <f t="shared" si="17"/>
        <v>161290000</v>
      </c>
      <c r="D101" s="300">
        <f t="shared" si="17"/>
        <v>127690000</v>
      </c>
      <c r="E101" s="300">
        <f t="shared" si="17"/>
        <v>96040000</v>
      </c>
      <c r="F101" s="300">
        <f t="shared" si="17"/>
        <v>116640000</v>
      </c>
      <c r="G101" s="300">
        <f t="shared" si="17"/>
        <v>54760000</v>
      </c>
      <c r="H101" s="300">
        <f t="shared" si="17"/>
        <v>79210000</v>
      </c>
      <c r="I101" s="300">
        <f t="shared" si="17"/>
        <v>44890000</v>
      </c>
      <c r="J101" s="300">
        <f t="shared" si="17"/>
        <v>59290000</v>
      </c>
      <c r="K101" s="300">
        <f t="shared" si="17"/>
        <v>21160000</v>
      </c>
      <c r="L101" s="300">
        <f t="shared" si="17"/>
        <v>19360000</v>
      </c>
    </row>
    <row r="102" spans="2:13" hidden="1">
      <c r="B102" s="1">
        <v>2004</v>
      </c>
      <c r="C102" s="300">
        <f t="shared" si="17"/>
        <v>179560000</v>
      </c>
      <c r="D102" s="300">
        <f t="shared" si="17"/>
        <v>125440000</v>
      </c>
      <c r="E102" s="300">
        <f t="shared" si="17"/>
        <v>106090000</v>
      </c>
      <c r="F102" s="300">
        <f t="shared" si="17"/>
        <v>125440000</v>
      </c>
      <c r="G102" s="300">
        <f t="shared" si="17"/>
        <v>53290000</v>
      </c>
      <c r="H102" s="300">
        <f t="shared" si="17"/>
        <v>68890000</v>
      </c>
      <c r="I102" s="300">
        <f t="shared" si="17"/>
        <v>47610000</v>
      </c>
      <c r="J102" s="300">
        <f t="shared" si="17"/>
        <v>88360000</v>
      </c>
      <c r="K102" s="300">
        <f t="shared" si="17"/>
        <v>36000000</v>
      </c>
      <c r="L102" s="300">
        <f t="shared" si="17"/>
        <v>11560000</v>
      </c>
    </row>
    <row r="103" spans="2:13" hidden="1">
      <c r="B103" s="1">
        <v>2005</v>
      </c>
      <c r="C103" s="300"/>
      <c r="D103" s="300"/>
      <c r="E103" s="300"/>
      <c r="F103" s="300"/>
      <c r="G103" s="300"/>
      <c r="H103" s="300"/>
      <c r="I103" s="300"/>
      <c r="J103" s="300"/>
      <c r="K103" s="300"/>
      <c r="L103" s="300"/>
    </row>
    <row r="104" spans="2:13">
      <c r="B104" s="961" t="s">
        <v>1851</v>
      </c>
      <c r="C104" s="961"/>
      <c r="D104" s="961"/>
      <c r="E104" s="961"/>
      <c r="F104" s="961"/>
      <c r="G104" s="961"/>
      <c r="H104" s="961"/>
      <c r="I104" s="961"/>
      <c r="J104" s="961"/>
      <c r="K104" s="961"/>
      <c r="L104" s="961"/>
      <c r="M104" s="961"/>
    </row>
    <row r="105" spans="2:13">
      <c r="B105" s="961"/>
      <c r="C105" s="961" t="s">
        <v>375</v>
      </c>
      <c r="D105" s="961" t="s">
        <v>1858</v>
      </c>
      <c r="E105" s="961" t="s">
        <v>1859</v>
      </c>
      <c r="F105" s="961" t="s">
        <v>1860</v>
      </c>
      <c r="G105" s="961" t="s">
        <v>1861</v>
      </c>
      <c r="H105" s="961" t="s">
        <v>1862</v>
      </c>
      <c r="I105" s="961" t="s">
        <v>1863</v>
      </c>
      <c r="J105" s="961" t="s">
        <v>1864</v>
      </c>
      <c r="K105" s="961" t="s">
        <v>1865</v>
      </c>
      <c r="L105" s="961" t="s">
        <v>1866</v>
      </c>
      <c r="M105" s="961" t="s">
        <v>1867</v>
      </c>
    </row>
    <row r="106" spans="2:13">
      <c r="B106" s="961">
        <v>1981</v>
      </c>
      <c r="C106" s="961">
        <v>58700</v>
      </c>
      <c r="D106" s="961">
        <v>53700</v>
      </c>
      <c r="E106" s="961">
        <v>45500</v>
      </c>
      <c r="F106" s="961">
        <v>48200</v>
      </c>
      <c r="G106" s="961">
        <v>48200</v>
      </c>
      <c r="H106" s="961">
        <v>54300</v>
      </c>
      <c r="I106" s="961">
        <v>61900</v>
      </c>
      <c r="J106" s="961">
        <v>53300</v>
      </c>
      <c r="K106" s="961">
        <v>56300</v>
      </c>
      <c r="L106" s="961">
        <v>65600</v>
      </c>
      <c r="M106" s="961">
        <v>61700</v>
      </c>
    </row>
    <row r="107" spans="2:13">
      <c r="B107" s="961">
        <v>1982</v>
      </c>
      <c r="C107" s="961">
        <v>57300</v>
      </c>
      <c r="D107" s="961">
        <v>51400</v>
      </c>
      <c r="E107" s="961">
        <v>45700</v>
      </c>
      <c r="F107" s="961">
        <v>48100</v>
      </c>
      <c r="G107" s="961">
        <v>47500</v>
      </c>
      <c r="H107" s="961">
        <v>52800</v>
      </c>
      <c r="I107" s="961">
        <v>60100</v>
      </c>
      <c r="J107" s="961">
        <v>52900</v>
      </c>
      <c r="K107" s="961">
        <v>54700</v>
      </c>
      <c r="L107" s="961">
        <v>66600</v>
      </c>
      <c r="M107" s="961">
        <v>59600</v>
      </c>
    </row>
    <row r="108" spans="2:13">
      <c r="B108" s="961">
        <v>1983</v>
      </c>
      <c r="C108" s="961">
        <v>56000</v>
      </c>
      <c r="D108" s="961">
        <v>46800</v>
      </c>
      <c r="E108" s="961">
        <v>47900</v>
      </c>
      <c r="F108" s="961">
        <v>48200</v>
      </c>
      <c r="G108" s="961">
        <v>45400</v>
      </c>
      <c r="H108" s="961">
        <v>51900</v>
      </c>
      <c r="I108" s="961">
        <v>60100</v>
      </c>
      <c r="J108" s="961">
        <v>53900</v>
      </c>
      <c r="K108" s="961">
        <v>52600</v>
      </c>
      <c r="L108" s="961">
        <v>60300</v>
      </c>
      <c r="M108" s="961">
        <v>57100</v>
      </c>
    </row>
    <row r="109" spans="2:13">
      <c r="B109" s="961">
        <v>1984</v>
      </c>
      <c r="C109" s="961">
        <v>56100</v>
      </c>
      <c r="D109" s="961">
        <v>47800</v>
      </c>
      <c r="E109" s="961">
        <v>46400</v>
      </c>
      <c r="F109" s="961">
        <v>49400</v>
      </c>
      <c r="G109" s="961">
        <v>48700</v>
      </c>
      <c r="H109" s="961">
        <v>52800</v>
      </c>
      <c r="I109" s="961">
        <v>60900</v>
      </c>
      <c r="J109" s="961">
        <v>53000</v>
      </c>
      <c r="K109" s="961">
        <v>51800</v>
      </c>
      <c r="L109" s="961">
        <v>58100</v>
      </c>
      <c r="M109" s="961">
        <v>55000</v>
      </c>
    </row>
    <row r="110" spans="2:13">
      <c r="B110" s="961">
        <v>1985</v>
      </c>
      <c r="C110" s="961">
        <v>57400</v>
      </c>
      <c r="D110" s="961">
        <v>48300</v>
      </c>
      <c r="E110" s="961">
        <v>46800</v>
      </c>
      <c r="F110" s="961">
        <v>52400</v>
      </c>
      <c r="G110" s="961">
        <v>49300</v>
      </c>
      <c r="H110" s="961">
        <v>52900</v>
      </c>
      <c r="I110" s="961">
        <v>62900</v>
      </c>
      <c r="J110" s="961">
        <v>52900</v>
      </c>
      <c r="K110" s="961">
        <v>52100</v>
      </c>
      <c r="L110" s="961">
        <v>61000</v>
      </c>
      <c r="M110" s="961">
        <v>55700</v>
      </c>
    </row>
    <row r="111" spans="2:13">
      <c r="B111" s="961">
        <v>1986</v>
      </c>
      <c r="C111" s="961">
        <v>58200</v>
      </c>
      <c r="D111" s="961">
        <v>46200</v>
      </c>
      <c r="E111" s="961">
        <v>47500</v>
      </c>
      <c r="F111" s="961">
        <v>51300</v>
      </c>
      <c r="G111" s="961">
        <v>49100</v>
      </c>
      <c r="H111" s="961">
        <v>53500</v>
      </c>
      <c r="I111" s="961">
        <v>64700</v>
      </c>
      <c r="J111" s="961">
        <v>54000</v>
      </c>
      <c r="K111" s="961">
        <v>51700</v>
      </c>
      <c r="L111" s="961">
        <v>60400</v>
      </c>
      <c r="M111" s="961">
        <v>57000</v>
      </c>
    </row>
    <row r="112" spans="2:13">
      <c r="B112" s="961">
        <v>1987</v>
      </c>
      <c r="C112" s="961">
        <v>58800</v>
      </c>
      <c r="D112" s="961">
        <v>48900</v>
      </c>
      <c r="E112" s="961">
        <v>49400</v>
      </c>
      <c r="F112" s="961">
        <v>52600</v>
      </c>
      <c r="G112" s="961">
        <v>48400</v>
      </c>
      <c r="H112" s="961">
        <v>54000</v>
      </c>
      <c r="I112" s="961">
        <v>66100</v>
      </c>
      <c r="J112" s="961">
        <v>52900</v>
      </c>
      <c r="K112" s="961">
        <v>51900</v>
      </c>
      <c r="L112" s="961">
        <v>59100</v>
      </c>
      <c r="M112" s="961">
        <v>56500</v>
      </c>
    </row>
    <row r="113" spans="2:13">
      <c r="B113" s="961">
        <v>1988</v>
      </c>
      <c r="C113" s="961">
        <v>59900</v>
      </c>
      <c r="D113" s="961">
        <v>50500</v>
      </c>
      <c r="E113" s="961">
        <v>47200</v>
      </c>
      <c r="F113" s="961">
        <v>51900</v>
      </c>
      <c r="G113" s="961">
        <v>49900</v>
      </c>
      <c r="H113" s="961">
        <v>53400</v>
      </c>
      <c r="I113" s="961">
        <v>68400</v>
      </c>
      <c r="J113" s="961">
        <v>54100</v>
      </c>
      <c r="K113" s="961">
        <v>51700</v>
      </c>
      <c r="L113" s="961">
        <v>59900</v>
      </c>
      <c r="M113" s="961">
        <v>58600</v>
      </c>
    </row>
    <row r="114" spans="2:13">
      <c r="B114" s="961">
        <v>1989</v>
      </c>
      <c r="C114" s="961">
        <v>61400</v>
      </c>
      <c r="D114" s="961">
        <v>53100</v>
      </c>
      <c r="E114" s="961">
        <v>49700</v>
      </c>
      <c r="F114" s="961">
        <v>53100</v>
      </c>
      <c r="G114" s="961">
        <v>51600</v>
      </c>
      <c r="H114" s="961">
        <v>55100</v>
      </c>
      <c r="I114" s="961">
        <v>70100</v>
      </c>
      <c r="J114" s="961">
        <v>56000</v>
      </c>
      <c r="K114" s="961">
        <v>52100</v>
      </c>
      <c r="L114" s="961">
        <v>60500</v>
      </c>
      <c r="M114" s="961">
        <v>59600</v>
      </c>
    </row>
    <row r="115" spans="2:13">
      <c r="B115" s="961">
        <v>1990</v>
      </c>
      <c r="C115" s="961">
        <v>59600</v>
      </c>
      <c r="D115" s="961">
        <v>51200</v>
      </c>
      <c r="E115" s="961">
        <v>49500</v>
      </c>
      <c r="F115" s="961">
        <v>52900</v>
      </c>
      <c r="G115" s="961">
        <v>50300</v>
      </c>
      <c r="H115" s="961">
        <v>52900</v>
      </c>
      <c r="I115" s="961">
        <v>67500</v>
      </c>
      <c r="J115" s="961">
        <v>53500</v>
      </c>
      <c r="K115" s="961">
        <v>51100</v>
      </c>
      <c r="L115" s="961">
        <v>60700</v>
      </c>
      <c r="M115" s="961">
        <v>59200</v>
      </c>
    </row>
    <row r="116" spans="2:13">
      <c r="B116" s="961">
        <v>1991</v>
      </c>
      <c r="C116" s="961">
        <v>57400</v>
      </c>
      <c r="D116" s="961">
        <v>49400</v>
      </c>
      <c r="E116" s="961">
        <v>48000</v>
      </c>
      <c r="F116" s="961">
        <v>50300</v>
      </c>
      <c r="G116" s="961">
        <v>48900</v>
      </c>
      <c r="H116" s="961">
        <v>51400</v>
      </c>
      <c r="I116" s="961">
        <v>64200</v>
      </c>
      <c r="J116" s="961">
        <v>51000</v>
      </c>
      <c r="K116" s="961">
        <v>49300</v>
      </c>
      <c r="L116" s="961">
        <v>60500</v>
      </c>
      <c r="M116" s="961">
        <v>56800</v>
      </c>
    </row>
    <row r="117" spans="2:13">
      <c r="B117" s="961">
        <v>1992</v>
      </c>
      <c r="C117" s="961">
        <v>57100</v>
      </c>
      <c r="D117" s="961">
        <v>48600</v>
      </c>
      <c r="E117" s="961">
        <v>49100</v>
      </c>
      <c r="F117" s="961">
        <v>50900</v>
      </c>
      <c r="G117" s="961">
        <v>48900</v>
      </c>
      <c r="H117" s="961">
        <v>50700</v>
      </c>
      <c r="I117" s="961">
        <v>63800</v>
      </c>
      <c r="J117" s="961">
        <v>51800</v>
      </c>
      <c r="K117" s="961">
        <v>50100</v>
      </c>
      <c r="L117" s="961">
        <v>57400</v>
      </c>
      <c r="M117" s="961">
        <v>58700</v>
      </c>
    </row>
    <row r="118" spans="2:13">
      <c r="B118" s="961">
        <v>1993</v>
      </c>
      <c r="C118" s="961">
        <v>55700</v>
      </c>
      <c r="D118" s="961">
        <v>47200</v>
      </c>
      <c r="E118" s="961">
        <v>46900</v>
      </c>
      <c r="F118" s="961">
        <v>49200</v>
      </c>
      <c r="G118" s="961">
        <v>48100</v>
      </c>
      <c r="H118" s="961">
        <v>49200</v>
      </c>
      <c r="I118" s="961">
        <v>62500</v>
      </c>
      <c r="J118" s="961">
        <v>49500</v>
      </c>
      <c r="K118" s="961">
        <v>48500</v>
      </c>
      <c r="L118" s="961">
        <v>57300</v>
      </c>
      <c r="M118" s="961">
        <v>55900</v>
      </c>
    </row>
    <row r="119" spans="2:13">
      <c r="B119" s="961">
        <v>1994</v>
      </c>
      <c r="C119" s="961">
        <v>56300</v>
      </c>
      <c r="D119" s="961">
        <v>48200</v>
      </c>
      <c r="E119" s="961">
        <v>48100</v>
      </c>
      <c r="F119" s="961">
        <v>48400</v>
      </c>
      <c r="G119" s="961">
        <v>47900</v>
      </c>
      <c r="H119" s="961">
        <v>50400</v>
      </c>
      <c r="I119" s="961">
        <v>62900</v>
      </c>
      <c r="J119" s="961">
        <v>51600</v>
      </c>
      <c r="K119" s="961">
        <v>48900</v>
      </c>
      <c r="L119" s="961">
        <v>57800</v>
      </c>
      <c r="M119" s="961">
        <v>56400</v>
      </c>
    </row>
    <row r="120" spans="2:13">
      <c r="B120" s="961">
        <v>1995</v>
      </c>
      <c r="C120" s="961">
        <v>56500</v>
      </c>
      <c r="D120" s="961">
        <v>47100</v>
      </c>
      <c r="E120" s="961">
        <v>47700</v>
      </c>
      <c r="F120" s="961">
        <v>47500</v>
      </c>
      <c r="G120" s="961">
        <v>48200</v>
      </c>
      <c r="H120" s="961">
        <v>50100</v>
      </c>
      <c r="I120" s="961">
        <v>63600</v>
      </c>
      <c r="J120" s="961">
        <v>51600</v>
      </c>
      <c r="K120" s="961">
        <v>51000</v>
      </c>
      <c r="L120" s="961">
        <v>57600</v>
      </c>
      <c r="M120" s="961">
        <v>56400</v>
      </c>
    </row>
    <row r="121" spans="2:13">
      <c r="B121" s="961">
        <v>1996</v>
      </c>
      <c r="C121" s="961">
        <v>56700</v>
      </c>
      <c r="D121" s="961">
        <v>46000</v>
      </c>
      <c r="E121" s="961">
        <v>48100</v>
      </c>
      <c r="F121" s="961">
        <v>46900</v>
      </c>
      <c r="G121" s="961">
        <v>48300</v>
      </c>
      <c r="H121" s="961">
        <v>50500</v>
      </c>
      <c r="I121" s="961">
        <v>63700</v>
      </c>
      <c r="J121" s="961">
        <v>51700</v>
      </c>
      <c r="K121" s="961">
        <v>50000</v>
      </c>
      <c r="L121" s="961">
        <v>58300</v>
      </c>
      <c r="M121" s="961">
        <v>56900</v>
      </c>
    </row>
    <row r="122" spans="2:13">
      <c r="B122" s="961">
        <v>1997</v>
      </c>
      <c r="C122" s="961">
        <v>57100</v>
      </c>
      <c r="D122" s="961">
        <v>45100</v>
      </c>
      <c r="E122" s="961">
        <v>46800</v>
      </c>
      <c r="F122" s="961">
        <v>47600</v>
      </c>
      <c r="G122" s="961">
        <v>47600</v>
      </c>
      <c r="H122" s="961">
        <v>50100</v>
      </c>
      <c r="I122" s="961">
        <v>63900</v>
      </c>
      <c r="J122" s="961">
        <v>51700</v>
      </c>
      <c r="K122" s="961">
        <v>50600</v>
      </c>
      <c r="L122" s="961">
        <v>62300</v>
      </c>
      <c r="M122" s="961">
        <v>56900</v>
      </c>
    </row>
    <row r="123" spans="2:13">
      <c r="B123" s="961">
        <v>1998</v>
      </c>
      <c r="C123" s="961">
        <v>59700</v>
      </c>
      <c r="D123" s="961">
        <v>48200</v>
      </c>
      <c r="E123" s="961">
        <v>49200</v>
      </c>
      <c r="F123" s="961">
        <v>49900</v>
      </c>
      <c r="G123" s="961">
        <v>50200</v>
      </c>
      <c r="H123" s="961">
        <v>52700</v>
      </c>
      <c r="I123" s="961">
        <v>67400</v>
      </c>
      <c r="J123" s="961">
        <v>54600</v>
      </c>
      <c r="K123" s="961">
        <v>51500</v>
      </c>
      <c r="L123" s="961">
        <v>64500</v>
      </c>
      <c r="M123" s="961">
        <v>57500</v>
      </c>
    </row>
    <row r="124" spans="2:13">
      <c r="B124" s="961">
        <v>1999</v>
      </c>
      <c r="C124" s="961">
        <v>61300</v>
      </c>
      <c r="D124" s="961">
        <v>50000</v>
      </c>
      <c r="E124" s="961">
        <v>49500</v>
      </c>
      <c r="F124" s="961">
        <v>52000</v>
      </c>
      <c r="G124" s="961">
        <v>51500</v>
      </c>
      <c r="H124" s="961">
        <v>53700</v>
      </c>
      <c r="I124" s="961">
        <v>70500</v>
      </c>
      <c r="J124" s="961">
        <v>54300</v>
      </c>
      <c r="K124" s="961">
        <v>52600</v>
      </c>
      <c r="L124" s="961">
        <v>63400</v>
      </c>
      <c r="M124" s="961">
        <v>58500</v>
      </c>
    </row>
    <row r="125" spans="2:13">
      <c r="B125" s="961">
        <v>2000</v>
      </c>
      <c r="C125" s="961">
        <v>63100</v>
      </c>
      <c r="D125" s="961">
        <v>51000</v>
      </c>
      <c r="E125" s="961">
        <v>50900</v>
      </c>
      <c r="F125" s="961">
        <v>53000</v>
      </c>
      <c r="G125" s="961">
        <v>52600</v>
      </c>
      <c r="H125" s="961">
        <v>55300</v>
      </c>
      <c r="I125" s="961">
        <v>72900</v>
      </c>
      <c r="J125" s="961">
        <v>55400</v>
      </c>
      <c r="K125" s="961">
        <v>53000</v>
      </c>
      <c r="L125" s="961">
        <v>66100</v>
      </c>
      <c r="M125" s="961">
        <v>59000</v>
      </c>
    </row>
    <row r="126" spans="2:13">
      <c r="B126" s="961">
        <v>2001</v>
      </c>
      <c r="C126" s="961">
        <v>64000</v>
      </c>
      <c r="D126" s="961">
        <v>50700</v>
      </c>
      <c r="E126" s="961">
        <v>51100</v>
      </c>
      <c r="F126" s="961">
        <v>54400</v>
      </c>
      <c r="G126" s="961">
        <v>53800</v>
      </c>
      <c r="H126" s="961">
        <v>56300</v>
      </c>
      <c r="I126" s="961">
        <v>73200</v>
      </c>
      <c r="J126" s="961">
        <v>56500</v>
      </c>
      <c r="K126" s="961">
        <v>55500</v>
      </c>
      <c r="L126" s="961">
        <v>69100</v>
      </c>
      <c r="M126" s="961">
        <v>59800</v>
      </c>
    </row>
    <row r="127" spans="2:13">
      <c r="B127" s="961">
        <v>2002</v>
      </c>
      <c r="C127" s="961">
        <v>64000</v>
      </c>
      <c r="D127" s="961">
        <v>51300</v>
      </c>
      <c r="E127" s="961">
        <v>51800</v>
      </c>
      <c r="F127" s="961">
        <v>55200</v>
      </c>
      <c r="G127" s="961">
        <v>52600</v>
      </c>
      <c r="H127" s="961">
        <v>56800</v>
      </c>
      <c r="I127" s="961">
        <v>72900</v>
      </c>
      <c r="J127" s="961">
        <v>56600</v>
      </c>
      <c r="K127" s="961">
        <v>55200</v>
      </c>
      <c r="L127" s="961">
        <v>67600</v>
      </c>
      <c r="M127" s="961">
        <v>60600</v>
      </c>
    </row>
    <row r="128" spans="2:13">
      <c r="B128" s="961">
        <v>2003</v>
      </c>
      <c r="C128" s="961">
        <v>63700</v>
      </c>
      <c r="D128" s="961">
        <v>51000</v>
      </c>
      <c r="E128" s="961">
        <v>52400</v>
      </c>
      <c r="F128" s="961">
        <v>53900</v>
      </c>
      <c r="G128" s="961">
        <v>52900</v>
      </c>
      <c r="H128" s="961">
        <v>56300</v>
      </c>
      <c r="I128" s="961">
        <v>72600</v>
      </c>
      <c r="J128" s="961">
        <v>57000</v>
      </c>
      <c r="K128" s="961">
        <v>56000</v>
      </c>
      <c r="L128" s="961">
        <v>68300</v>
      </c>
      <c r="M128" s="961">
        <v>59300</v>
      </c>
    </row>
    <row r="129" spans="2:13">
      <c r="B129" s="961">
        <v>2004</v>
      </c>
      <c r="C129" s="961">
        <v>64800</v>
      </c>
      <c r="D129" s="961">
        <v>51400</v>
      </c>
      <c r="E129" s="961">
        <v>53600</v>
      </c>
      <c r="F129" s="961">
        <v>54500</v>
      </c>
      <c r="G129" s="961">
        <v>53600</v>
      </c>
      <c r="H129" s="961">
        <v>57500</v>
      </c>
      <c r="I129" s="961">
        <v>73100</v>
      </c>
      <c r="J129" s="961">
        <v>57900</v>
      </c>
      <c r="K129" s="961">
        <v>55400</v>
      </c>
      <c r="L129" s="961">
        <v>70800</v>
      </c>
      <c r="M129" s="961">
        <v>61400</v>
      </c>
    </row>
    <row r="130" spans="2:13">
      <c r="B130" s="961">
        <v>2005</v>
      </c>
      <c r="C130" s="961">
        <v>65400</v>
      </c>
      <c r="D130" s="961">
        <v>53600</v>
      </c>
      <c r="E130" s="961">
        <v>53800</v>
      </c>
      <c r="F130" s="961">
        <v>56000</v>
      </c>
      <c r="G130" s="961">
        <v>52700</v>
      </c>
      <c r="H130" s="961">
        <v>56400</v>
      </c>
      <c r="I130" s="961">
        <v>73300</v>
      </c>
      <c r="J130" s="961">
        <v>58900</v>
      </c>
      <c r="K130" s="961">
        <v>57900</v>
      </c>
      <c r="L130" s="961">
        <v>73600</v>
      </c>
      <c r="M130" s="961">
        <v>63300</v>
      </c>
    </row>
    <row r="131" spans="2:13">
      <c r="B131" s="961">
        <v>2006</v>
      </c>
      <c r="C131" s="961">
        <v>66900</v>
      </c>
      <c r="D131" s="961">
        <v>55500</v>
      </c>
      <c r="E131" s="961">
        <v>55800</v>
      </c>
      <c r="F131" s="961">
        <v>57300</v>
      </c>
      <c r="G131" s="961">
        <v>54200</v>
      </c>
      <c r="H131" s="961">
        <v>57500</v>
      </c>
      <c r="I131" s="961">
        <v>73500</v>
      </c>
      <c r="J131" s="961">
        <v>60200</v>
      </c>
      <c r="K131" s="961">
        <v>61100</v>
      </c>
      <c r="L131" s="961">
        <v>79500</v>
      </c>
      <c r="M131" s="961">
        <v>65400</v>
      </c>
    </row>
    <row r="132" spans="2:13">
      <c r="B132" s="961">
        <v>2007</v>
      </c>
      <c r="C132" s="961">
        <v>68800</v>
      </c>
      <c r="D132" s="961">
        <v>59200</v>
      </c>
      <c r="E132" s="961">
        <v>56700</v>
      </c>
      <c r="F132" s="961">
        <v>58200</v>
      </c>
      <c r="G132" s="961">
        <v>56300</v>
      </c>
      <c r="H132" s="961">
        <v>58100</v>
      </c>
      <c r="I132" s="961">
        <v>75600</v>
      </c>
      <c r="J132" s="961">
        <v>63800</v>
      </c>
      <c r="K132" s="961">
        <v>64300</v>
      </c>
      <c r="L132" s="961">
        <v>83200</v>
      </c>
      <c r="M132" s="961">
        <v>67300</v>
      </c>
    </row>
  </sheetData>
  <mergeCells count="14">
    <mergeCell ref="B3:B4"/>
    <mergeCell ref="C3:C4"/>
    <mergeCell ref="D3:D4"/>
    <mergeCell ref="E3:E4"/>
    <mergeCell ref="A47:L47"/>
    <mergeCell ref="A43:L43"/>
    <mergeCell ref="J3:J4"/>
    <mergeCell ref="K3:K4"/>
    <mergeCell ref="L3:L4"/>
    <mergeCell ref="F3:F4"/>
    <mergeCell ref="G3:G4"/>
    <mergeCell ref="A46:L46"/>
    <mergeCell ref="H3:H4"/>
    <mergeCell ref="I3:I4"/>
  </mergeCells>
  <phoneticPr fontId="35" type="noConversion"/>
  <pageMargins left="0.75" right="0.75" top="1" bottom="1" header="0.5" footer="0.5"/>
  <pageSetup scale="66" orientation="landscape" horizontalDpi="300" verticalDpi="300" r:id="rId1"/>
  <headerFooter alignWithMargins="0"/>
</worksheet>
</file>

<file path=xl/worksheets/sheet38.xml><?xml version="1.0" encoding="utf-8"?>
<worksheet xmlns="http://schemas.openxmlformats.org/spreadsheetml/2006/main" xmlns:r="http://schemas.openxmlformats.org/officeDocument/2006/relationships">
  <sheetPr codeName="Sheet54">
    <pageSetUpPr fitToPage="1"/>
  </sheetPr>
  <dimension ref="A1:Q138"/>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7" width="9.7109375" style="1" bestFit="1" customWidth="1"/>
    <col min="8" max="15" width="8.85546875" style="1" customWidth="1"/>
    <col min="16" max="17" width="9.42578125" style="1" customWidth="1"/>
    <col min="18" max="16384" width="9.140625" style="1"/>
  </cols>
  <sheetData>
    <row r="1" spans="1:17" ht="15.75">
      <c r="A1" s="4"/>
      <c r="B1" s="3" t="s">
        <v>2122</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ht="12.75" customHeight="1">
      <c r="A4" s="7"/>
      <c r="B4" s="1165"/>
      <c r="C4" s="1165"/>
      <c r="D4" s="1165"/>
      <c r="E4" s="1165"/>
      <c r="F4" s="1165"/>
      <c r="G4" s="1165"/>
      <c r="H4" s="1165"/>
      <c r="I4" s="1165"/>
      <c r="J4" s="1165"/>
      <c r="K4" s="1165"/>
      <c r="L4" s="1165"/>
      <c r="N4" s="968" t="s">
        <v>282</v>
      </c>
      <c r="O4" s="968" t="s">
        <v>282</v>
      </c>
      <c r="P4" s="645" t="s">
        <v>281</v>
      </c>
      <c r="Q4" s="645" t="s">
        <v>281</v>
      </c>
    </row>
    <row r="5" spans="1:17" ht="12.75" customHeight="1">
      <c r="A5" s="120">
        <v>1981</v>
      </c>
      <c r="B5" s="415">
        <v>49700</v>
      </c>
      <c r="C5" s="415">
        <v>46200</v>
      </c>
      <c r="D5" s="415">
        <v>40600</v>
      </c>
      <c r="E5" s="415">
        <v>42000</v>
      </c>
      <c r="F5" s="415">
        <v>42100</v>
      </c>
      <c r="G5" s="415">
        <v>45700</v>
      </c>
      <c r="H5" s="415">
        <v>52600</v>
      </c>
      <c r="I5" s="415">
        <v>45700</v>
      </c>
      <c r="J5" s="415">
        <v>47900</v>
      </c>
      <c r="K5" s="415">
        <v>54900</v>
      </c>
      <c r="L5" s="415">
        <v>52000</v>
      </c>
      <c r="N5" s="19">
        <f t="shared" ref="N5:N29" si="0">SUM(C82:L82)/10</f>
        <v>28809000</v>
      </c>
      <c r="O5" s="19">
        <f>SQRT(N5)</f>
        <v>5367.4016059914875</v>
      </c>
      <c r="P5" s="19">
        <f>Q5^2</f>
        <v>21356099.999999996</v>
      </c>
      <c r="Q5" s="19">
        <f>STDEVP(C5:L5)</f>
        <v>4621.2660602912702</v>
      </c>
    </row>
    <row r="6" spans="1:17" ht="12.75" customHeight="1">
      <c r="A6" s="120">
        <v>1982</v>
      </c>
      <c r="B6" s="415">
        <v>48400</v>
      </c>
      <c r="C6" s="415">
        <v>44600</v>
      </c>
      <c r="D6" s="415">
        <v>40500</v>
      </c>
      <c r="E6" s="415">
        <v>41700</v>
      </c>
      <c r="F6" s="415">
        <v>41200</v>
      </c>
      <c r="G6" s="415">
        <v>44000</v>
      </c>
      <c r="H6" s="415">
        <v>50900</v>
      </c>
      <c r="I6" s="415">
        <v>45400</v>
      </c>
      <c r="J6" s="415">
        <v>46800</v>
      </c>
      <c r="K6" s="415">
        <v>55700</v>
      </c>
      <c r="L6" s="415">
        <v>50300</v>
      </c>
      <c r="N6" s="19">
        <f t="shared" si="0"/>
        <v>26765000</v>
      </c>
      <c r="O6" s="19">
        <f t="shared" ref="O6:O28" si="1">SQRT(N6)</f>
        <v>5173.490117899134</v>
      </c>
      <c r="P6" s="19">
        <f t="shared" ref="P6:P28" si="2">Q6^2</f>
        <v>21520899.999999996</v>
      </c>
      <c r="Q6" s="19">
        <f t="shared" ref="Q6:Q28" si="3">STDEVP(C6:L6)</f>
        <v>4639.0624052711337</v>
      </c>
    </row>
    <row r="7" spans="1:17" ht="12.75" customHeight="1">
      <c r="A7" s="120">
        <v>1983</v>
      </c>
      <c r="B7" s="415">
        <v>47100</v>
      </c>
      <c r="C7" s="415">
        <v>40700</v>
      </c>
      <c r="D7" s="415">
        <v>42200</v>
      </c>
      <c r="E7" s="415">
        <v>41900</v>
      </c>
      <c r="F7" s="415">
        <v>39200</v>
      </c>
      <c r="G7" s="415">
        <v>43000</v>
      </c>
      <c r="H7" s="415">
        <v>50500</v>
      </c>
      <c r="I7" s="415">
        <v>46100</v>
      </c>
      <c r="J7" s="415">
        <v>45300</v>
      </c>
      <c r="K7" s="415">
        <v>50600</v>
      </c>
      <c r="L7" s="415">
        <v>48000</v>
      </c>
      <c r="N7" s="19">
        <f t="shared" si="0"/>
        <v>20009000</v>
      </c>
      <c r="O7" s="19">
        <f t="shared" si="1"/>
        <v>4473.1420724139762</v>
      </c>
      <c r="P7" s="19">
        <f t="shared" si="2"/>
        <v>14486500</v>
      </c>
      <c r="Q7" s="19">
        <f t="shared" si="3"/>
        <v>3806.1135032996585</v>
      </c>
    </row>
    <row r="8" spans="1:17" ht="12.75" customHeight="1">
      <c r="A8" s="120">
        <v>1984</v>
      </c>
      <c r="B8" s="415">
        <v>47300</v>
      </c>
      <c r="C8" s="415">
        <v>41700</v>
      </c>
      <c r="D8" s="415">
        <v>40900</v>
      </c>
      <c r="E8" s="415">
        <v>42700</v>
      </c>
      <c r="F8" s="415">
        <v>42100</v>
      </c>
      <c r="G8" s="415">
        <v>43800</v>
      </c>
      <c r="H8" s="415">
        <v>51100</v>
      </c>
      <c r="I8" s="415">
        <v>45500</v>
      </c>
      <c r="J8" s="415">
        <v>44800</v>
      </c>
      <c r="K8" s="415">
        <v>48900</v>
      </c>
      <c r="L8" s="415">
        <v>46700</v>
      </c>
      <c r="N8" s="19">
        <f t="shared" si="0"/>
        <v>15962000</v>
      </c>
      <c r="O8" s="19">
        <f t="shared" si="1"/>
        <v>3995.2471763333992</v>
      </c>
      <c r="P8" s="19">
        <f t="shared" si="2"/>
        <v>9811600.0000000019</v>
      </c>
      <c r="Q8" s="19">
        <f t="shared" si="3"/>
        <v>3132.3473626020473</v>
      </c>
    </row>
    <row r="9" spans="1:17" ht="12.75" customHeight="1">
      <c r="A9" s="120">
        <v>1985</v>
      </c>
      <c r="B9" s="415">
        <v>48000</v>
      </c>
      <c r="C9" s="415">
        <v>41800</v>
      </c>
      <c r="D9" s="415">
        <v>41200</v>
      </c>
      <c r="E9" s="415">
        <v>44700</v>
      </c>
      <c r="F9" s="415">
        <v>42500</v>
      </c>
      <c r="G9" s="415">
        <v>43900</v>
      </c>
      <c r="H9" s="415">
        <v>52300</v>
      </c>
      <c r="I9" s="415">
        <v>45400</v>
      </c>
      <c r="J9" s="415">
        <v>44600</v>
      </c>
      <c r="K9" s="415">
        <v>51200</v>
      </c>
      <c r="L9" s="415">
        <v>47100</v>
      </c>
      <c r="N9" s="19">
        <f t="shared" si="0"/>
        <v>19049000</v>
      </c>
      <c r="O9" s="19">
        <f t="shared" si="1"/>
        <v>4364.5160098228534</v>
      </c>
      <c r="P9" s="19">
        <f t="shared" si="2"/>
        <v>12648100</v>
      </c>
      <c r="Q9" s="19">
        <f t="shared" si="3"/>
        <v>3556.4167359858152</v>
      </c>
    </row>
    <row r="10" spans="1:17" ht="12.75" customHeight="1">
      <c r="A10" s="120">
        <v>1986</v>
      </c>
      <c r="B10" s="415">
        <v>48200</v>
      </c>
      <c r="C10" s="415">
        <v>39600</v>
      </c>
      <c r="D10" s="415">
        <v>41200</v>
      </c>
      <c r="E10" s="415">
        <v>43200</v>
      </c>
      <c r="F10" s="415">
        <v>42000</v>
      </c>
      <c r="G10" s="415">
        <v>44000</v>
      </c>
      <c r="H10" s="415">
        <v>53000</v>
      </c>
      <c r="I10" s="415">
        <v>45600</v>
      </c>
      <c r="J10" s="415">
        <v>43500</v>
      </c>
      <c r="K10" s="415">
        <v>50400</v>
      </c>
      <c r="L10" s="415">
        <v>47500</v>
      </c>
      <c r="N10" s="19">
        <f t="shared" si="0"/>
        <v>26126000</v>
      </c>
      <c r="O10" s="19">
        <f t="shared" si="1"/>
        <v>5111.3598973267381</v>
      </c>
      <c r="P10" s="19">
        <f t="shared" si="2"/>
        <v>15886000</v>
      </c>
      <c r="Q10" s="19">
        <f t="shared" si="3"/>
        <v>3985.7245263565319</v>
      </c>
    </row>
    <row r="11" spans="1:17" ht="12.75" customHeight="1">
      <c r="A11" s="120">
        <v>1987</v>
      </c>
      <c r="B11" s="415">
        <v>48000</v>
      </c>
      <c r="C11" s="415">
        <v>41500</v>
      </c>
      <c r="D11" s="415">
        <v>42200</v>
      </c>
      <c r="E11" s="415">
        <v>43700</v>
      </c>
      <c r="F11" s="415">
        <v>41000</v>
      </c>
      <c r="G11" s="415">
        <v>43700</v>
      </c>
      <c r="H11" s="415">
        <v>53700</v>
      </c>
      <c r="I11" s="415">
        <v>44000</v>
      </c>
      <c r="J11" s="415">
        <v>43400</v>
      </c>
      <c r="K11" s="415">
        <v>48200</v>
      </c>
      <c r="L11" s="415">
        <v>46300</v>
      </c>
      <c r="N11" s="19">
        <f t="shared" si="0"/>
        <v>23445000</v>
      </c>
      <c r="O11" s="19">
        <f t="shared" si="1"/>
        <v>4842.0037174706922</v>
      </c>
      <c r="P11" s="19">
        <f t="shared" si="2"/>
        <v>13012100</v>
      </c>
      <c r="Q11" s="19">
        <f t="shared" si="3"/>
        <v>3607.2288532889065</v>
      </c>
    </row>
    <row r="12" spans="1:17" ht="12.75" customHeight="1">
      <c r="A12" s="120">
        <v>1988</v>
      </c>
      <c r="B12" s="415">
        <v>48900</v>
      </c>
      <c r="C12" s="415">
        <v>43300</v>
      </c>
      <c r="D12" s="415">
        <v>40900</v>
      </c>
      <c r="E12" s="415">
        <v>43400</v>
      </c>
      <c r="F12" s="415">
        <v>42200</v>
      </c>
      <c r="G12" s="415">
        <v>43400</v>
      </c>
      <c r="H12" s="415">
        <v>55400</v>
      </c>
      <c r="I12" s="415">
        <v>44800</v>
      </c>
      <c r="J12" s="415">
        <v>42900</v>
      </c>
      <c r="K12" s="415">
        <v>49200</v>
      </c>
      <c r="L12" s="415">
        <v>48100</v>
      </c>
      <c r="N12" s="19">
        <f t="shared" si="0"/>
        <v>29654000</v>
      </c>
      <c r="O12" s="19">
        <f t="shared" si="1"/>
        <v>5445.5486408625529</v>
      </c>
      <c r="P12" s="19">
        <f t="shared" si="2"/>
        <v>17122399.999999996</v>
      </c>
      <c r="Q12" s="19">
        <f t="shared" si="3"/>
        <v>4137.9221838985804</v>
      </c>
    </row>
    <row r="13" spans="1:17" ht="12.75" customHeight="1">
      <c r="A13" s="120">
        <v>1989</v>
      </c>
      <c r="B13" s="415">
        <v>49700</v>
      </c>
      <c r="C13" s="415">
        <v>44700</v>
      </c>
      <c r="D13" s="415">
        <v>42200</v>
      </c>
      <c r="E13" s="415">
        <v>44100</v>
      </c>
      <c r="F13" s="415">
        <v>43200</v>
      </c>
      <c r="G13" s="415">
        <v>44500</v>
      </c>
      <c r="H13" s="415">
        <v>56300</v>
      </c>
      <c r="I13" s="415">
        <v>45800</v>
      </c>
      <c r="J13" s="415">
        <v>43000</v>
      </c>
      <c r="K13" s="415">
        <v>49400</v>
      </c>
      <c r="L13" s="415">
        <v>48400</v>
      </c>
      <c r="N13" s="19">
        <f t="shared" si="0"/>
        <v>28734000</v>
      </c>
      <c r="O13" s="19">
        <f t="shared" si="1"/>
        <v>5360.4104320471579</v>
      </c>
      <c r="P13" s="19">
        <f t="shared" si="2"/>
        <v>16202400.000000002</v>
      </c>
      <c r="Q13" s="19">
        <f t="shared" si="3"/>
        <v>4025.2204908551284</v>
      </c>
    </row>
    <row r="14" spans="1:17" ht="12.75" customHeight="1">
      <c r="A14" s="120">
        <v>1990</v>
      </c>
      <c r="B14" s="415">
        <v>48000</v>
      </c>
      <c r="C14" s="415">
        <v>43000</v>
      </c>
      <c r="D14" s="415">
        <v>42000</v>
      </c>
      <c r="E14" s="415">
        <v>43700</v>
      </c>
      <c r="F14" s="415">
        <v>41900</v>
      </c>
      <c r="G14" s="415">
        <v>42400</v>
      </c>
      <c r="H14" s="415">
        <v>53800</v>
      </c>
      <c r="I14" s="415">
        <v>44000</v>
      </c>
      <c r="J14" s="415">
        <v>41900</v>
      </c>
      <c r="K14" s="415">
        <v>49200</v>
      </c>
      <c r="L14" s="415">
        <v>47800</v>
      </c>
      <c r="N14" s="19">
        <f t="shared" si="0"/>
        <v>23639000</v>
      </c>
      <c r="O14" s="19">
        <f t="shared" si="1"/>
        <v>4861.9954751110163</v>
      </c>
      <c r="P14" s="19">
        <f t="shared" si="2"/>
        <v>14458100</v>
      </c>
      <c r="Q14" s="19">
        <f t="shared" si="3"/>
        <v>3802.380833109698</v>
      </c>
    </row>
    <row r="15" spans="1:17" ht="12.75" customHeight="1">
      <c r="A15" s="120">
        <v>1991</v>
      </c>
      <c r="B15" s="415">
        <v>46300</v>
      </c>
      <c r="C15" s="415">
        <v>41300</v>
      </c>
      <c r="D15" s="415">
        <v>40500</v>
      </c>
      <c r="E15" s="415">
        <v>41500</v>
      </c>
      <c r="F15" s="415">
        <v>40800</v>
      </c>
      <c r="G15" s="415">
        <v>41100</v>
      </c>
      <c r="H15" s="415">
        <v>51400</v>
      </c>
      <c r="I15" s="415">
        <v>42000</v>
      </c>
      <c r="J15" s="415">
        <v>40300</v>
      </c>
      <c r="K15" s="415">
        <v>48700</v>
      </c>
      <c r="L15" s="415">
        <v>46200</v>
      </c>
      <c r="N15" s="19">
        <f t="shared" si="0"/>
        <v>22524000</v>
      </c>
      <c r="O15" s="19">
        <f t="shared" si="1"/>
        <v>4745.9456381210266</v>
      </c>
      <c r="P15" s="19">
        <f t="shared" si="2"/>
        <v>13997599.999999998</v>
      </c>
      <c r="Q15" s="19">
        <f t="shared" si="3"/>
        <v>3741.3366595376042</v>
      </c>
    </row>
    <row r="16" spans="1:17" ht="12.75" customHeight="1">
      <c r="A16" s="120">
        <v>1992</v>
      </c>
      <c r="B16" s="415">
        <v>46400</v>
      </c>
      <c r="C16" s="415">
        <v>41000</v>
      </c>
      <c r="D16" s="415">
        <v>41600</v>
      </c>
      <c r="E16" s="415">
        <v>42100</v>
      </c>
      <c r="F16" s="415">
        <v>40900</v>
      </c>
      <c r="G16" s="415">
        <v>41200</v>
      </c>
      <c r="H16" s="415">
        <v>51200</v>
      </c>
      <c r="I16" s="415">
        <v>42800</v>
      </c>
      <c r="J16" s="415">
        <v>42100</v>
      </c>
      <c r="K16" s="415">
        <v>47000</v>
      </c>
      <c r="L16" s="415">
        <v>47600</v>
      </c>
      <c r="N16" s="19">
        <f t="shared" si="0"/>
        <v>18427000</v>
      </c>
      <c r="O16" s="19">
        <f t="shared" si="1"/>
        <v>4292.6681679347166</v>
      </c>
      <c r="P16" s="19">
        <f t="shared" si="2"/>
        <v>11404500</v>
      </c>
      <c r="Q16" s="19">
        <f t="shared" si="3"/>
        <v>3377.0549299648651</v>
      </c>
    </row>
    <row r="17" spans="1:17" ht="12.75" customHeight="1">
      <c r="A17" s="120">
        <v>1993</v>
      </c>
      <c r="B17" s="415">
        <v>45300</v>
      </c>
      <c r="C17" s="415">
        <v>40000</v>
      </c>
      <c r="D17" s="415">
        <v>40100</v>
      </c>
      <c r="E17" s="415">
        <v>41100</v>
      </c>
      <c r="F17" s="415">
        <v>40400</v>
      </c>
      <c r="G17" s="415">
        <v>39600</v>
      </c>
      <c r="H17" s="415">
        <v>50500</v>
      </c>
      <c r="I17" s="415">
        <v>41300</v>
      </c>
      <c r="J17" s="415">
        <v>40000</v>
      </c>
      <c r="K17" s="415">
        <v>47300</v>
      </c>
      <c r="L17" s="415">
        <v>45900</v>
      </c>
      <c r="N17" s="19">
        <f t="shared" si="0"/>
        <v>20476000</v>
      </c>
      <c r="O17" s="19">
        <f t="shared" si="1"/>
        <v>4525.0414362743686</v>
      </c>
      <c r="P17" s="19">
        <f t="shared" si="2"/>
        <v>13293599.999999998</v>
      </c>
      <c r="Q17" s="19">
        <f t="shared" si="3"/>
        <v>3646.0389465829899</v>
      </c>
    </row>
    <row r="18" spans="1:17" ht="12.75" customHeight="1">
      <c r="A18" s="120">
        <v>1994</v>
      </c>
      <c r="B18" s="415">
        <v>45600</v>
      </c>
      <c r="C18" s="415">
        <v>40500</v>
      </c>
      <c r="D18" s="415">
        <v>41000</v>
      </c>
      <c r="E18" s="415">
        <v>40500</v>
      </c>
      <c r="F18" s="415">
        <v>40000</v>
      </c>
      <c r="G18" s="415">
        <v>40300</v>
      </c>
      <c r="H18" s="415">
        <v>50600</v>
      </c>
      <c r="I18" s="415">
        <v>42600</v>
      </c>
      <c r="J18" s="415">
        <v>40200</v>
      </c>
      <c r="K18" s="415">
        <v>47400</v>
      </c>
      <c r="L18" s="415">
        <v>46100</v>
      </c>
      <c r="N18" s="19">
        <f t="shared" si="0"/>
        <v>19928000</v>
      </c>
      <c r="O18" s="19">
        <f t="shared" si="1"/>
        <v>4464.0788523501687</v>
      </c>
      <c r="P18" s="19">
        <f t="shared" si="2"/>
        <v>12745600</v>
      </c>
      <c r="Q18" s="19">
        <f t="shared" si="3"/>
        <v>3570.0980378695485</v>
      </c>
    </row>
    <row r="19" spans="1:17" ht="12.75" customHeight="1">
      <c r="A19" s="120">
        <v>1995</v>
      </c>
      <c r="B19" s="415">
        <v>45600</v>
      </c>
      <c r="C19" s="415">
        <v>39500</v>
      </c>
      <c r="D19" s="415">
        <v>40600</v>
      </c>
      <c r="E19" s="415">
        <v>39800</v>
      </c>
      <c r="F19" s="415">
        <v>40300</v>
      </c>
      <c r="G19" s="415">
        <v>40000</v>
      </c>
      <c r="H19" s="415">
        <v>50900</v>
      </c>
      <c r="I19" s="415">
        <v>42700</v>
      </c>
      <c r="J19" s="415">
        <v>40900</v>
      </c>
      <c r="K19" s="415">
        <v>47200</v>
      </c>
      <c r="L19" s="415">
        <v>46100</v>
      </c>
      <c r="N19" s="19">
        <f t="shared" si="0"/>
        <v>21670000</v>
      </c>
      <c r="O19" s="19">
        <f t="shared" si="1"/>
        <v>4655.1047249229532</v>
      </c>
      <c r="P19" s="19">
        <f t="shared" si="2"/>
        <v>13829999.999999998</v>
      </c>
      <c r="Q19" s="19">
        <f t="shared" si="3"/>
        <v>3718.8707963574102</v>
      </c>
    </row>
    <row r="20" spans="1:17" ht="12.75" customHeight="1">
      <c r="A20" s="120">
        <v>1996</v>
      </c>
      <c r="B20" s="415">
        <v>45600</v>
      </c>
      <c r="C20" s="415">
        <v>38800</v>
      </c>
      <c r="D20" s="415">
        <v>40800</v>
      </c>
      <c r="E20" s="415">
        <v>39400</v>
      </c>
      <c r="F20" s="415">
        <v>40200</v>
      </c>
      <c r="G20" s="415">
        <v>40100</v>
      </c>
      <c r="H20" s="415">
        <v>50800</v>
      </c>
      <c r="I20" s="415">
        <v>42600</v>
      </c>
      <c r="J20" s="415">
        <v>40600</v>
      </c>
      <c r="K20" s="415">
        <v>47600</v>
      </c>
      <c r="L20" s="415">
        <v>46100</v>
      </c>
      <c r="N20" s="19">
        <f t="shared" si="0"/>
        <v>23242000</v>
      </c>
      <c r="O20" s="19">
        <f t="shared" si="1"/>
        <v>4820.9957477682965</v>
      </c>
      <c r="P20" s="19">
        <f t="shared" si="2"/>
        <v>14832000.000000002</v>
      </c>
      <c r="Q20" s="19">
        <f t="shared" si="3"/>
        <v>3851.2335686114911</v>
      </c>
    </row>
    <row r="21" spans="1:17" ht="12.75" customHeight="1">
      <c r="A21" s="120">
        <v>1997</v>
      </c>
      <c r="B21" s="415">
        <v>45900</v>
      </c>
      <c r="C21" s="415">
        <v>38000</v>
      </c>
      <c r="D21" s="415">
        <v>39700</v>
      </c>
      <c r="E21" s="415">
        <v>39600</v>
      </c>
      <c r="F21" s="415">
        <v>39700</v>
      </c>
      <c r="G21" s="415">
        <v>39700</v>
      </c>
      <c r="H21" s="415">
        <v>51400</v>
      </c>
      <c r="I21" s="415">
        <v>42300</v>
      </c>
      <c r="J21" s="415">
        <v>41000</v>
      </c>
      <c r="K21" s="415">
        <v>49700</v>
      </c>
      <c r="L21" s="415">
        <v>46100</v>
      </c>
      <c r="N21" s="19">
        <f t="shared" si="0"/>
        <v>29912000</v>
      </c>
      <c r="O21" s="19">
        <f t="shared" si="1"/>
        <v>5469.1864111584273</v>
      </c>
      <c r="P21" s="19">
        <f t="shared" si="2"/>
        <v>19799600</v>
      </c>
      <c r="Q21" s="19">
        <f t="shared" si="3"/>
        <v>4449.6741453728946</v>
      </c>
    </row>
    <row r="22" spans="1:17" ht="12.75" customHeight="1">
      <c r="A22" s="120">
        <v>1998</v>
      </c>
      <c r="B22" s="415">
        <v>47900</v>
      </c>
      <c r="C22" s="415">
        <v>40200</v>
      </c>
      <c r="D22" s="415">
        <v>41300</v>
      </c>
      <c r="E22" s="415">
        <v>41200</v>
      </c>
      <c r="F22" s="415">
        <v>41600</v>
      </c>
      <c r="G22" s="415">
        <v>41400</v>
      </c>
      <c r="H22" s="415">
        <v>54200</v>
      </c>
      <c r="I22" s="415">
        <v>44500</v>
      </c>
      <c r="J22" s="415">
        <v>41900</v>
      </c>
      <c r="K22" s="415">
        <v>51700</v>
      </c>
      <c r="L22" s="415">
        <v>46900</v>
      </c>
      <c r="N22" s="19">
        <f t="shared" si="0"/>
        <v>33237000</v>
      </c>
      <c r="O22" s="19">
        <f t="shared" si="1"/>
        <v>5765.1539441718296</v>
      </c>
      <c r="P22" s="19">
        <f t="shared" si="2"/>
        <v>21608900</v>
      </c>
      <c r="Q22" s="19">
        <f t="shared" si="3"/>
        <v>4648.5374043886104</v>
      </c>
    </row>
    <row r="23" spans="1:17" ht="12.75" customHeight="1">
      <c r="A23" s="120">
        <v>1999</v>
      </c>
      <c r="B23" s="415">
        <v>49500</v>
      </c>
      <c r="C23" s="415">
        <v>41600</v>
      </c>
      <c r="D23" s="415">
        <v>42100</v>
      </c>
      <c r="E23" s="415">
        <v>42800</v>
      </c>
      <c r="F23" s="415">
        <v>42800</v>
      </c>
      <c r="G23" s="415">
        <v>42500</v>
      </c>
      <c r="H23" s="415">
        <v>57000</v>
      </c>
      <c r="I23" s="415">
        <v>44600</v>
      </c>
      <c r="J23" s="415">
        <v>43100</v>
      </c>
      <c r="K23" s="415">
        <v>51400</v>
      </c>
      <c r="L23" s="415">
        <v>47500</v>
      </c>
      <c r="N23" s="19">
        <f t="shared" si="0"/>
        <v>38478000</v>
      </c>
      <c r="O23" s="19">
        <f t="shared" si="1"/>
        <v>6203.0637591435416</v>
      </c>
      <c r="P23" s="19">
        <f t="shared" si="2"/>
        <v>22796400.000000004</v>
      </c>
      <c r="Q23" s="19">
        <f t="shared" si="3"/>
        <v>4774.5575711263555</v>
      </c>
    </row>
    <row r="24" spans="1:17" ht="12.75" customHeight="1">
      <c r="A24" s="120">
        <v>2000</v>
      </c>
      <c r="B24" s="415">
        <v>50700</v>
      </c>
      <c r="C24" s="415">
        <v>42600</v>
      </c>
      <c r="D24" s="415">
        <v>42700</v>
      </c>
      <c r="E24" s="415">
        <v>43900</v>
      </c>
      <c r="F24" s="415">
        <v>43800</v>
      </c>
      <c r="G24" s="415">
        <v>43700</v>
      </c>
      <c r="H24" s="415">
        <v>58500</v>
      </c>
      <c r="I24" s="415">
        <v>45500</v>
      </c>
      <c r="J24" s="415">
        <v>43600</v>
      </c>
      <c r="K24" s="415">
        <v>53800</v>
      </c>
      <c r="L24" s="415">
        <v>47300</v>
      </c>
      <c r="N24" s="19">
        <f t="shared" si="0"/>
        <v>43192000</v>
      </c>
      <c r="O24" s="19">
        <f t="shared" si="1"/>
        <v>6572.0620812649058</v>
      </c>
      <c r="P24" s="19">
        <f t="shared" si="2"/>
        <v>25886399.999999996</v>
      </c>
      <c r="Q24" s="19">
        <f t="shared" si="3"/>
        <v>5087.8679228140345</v>
      </c>
    </row>
    <row r="25" spans="1:17" ht="12.75" customHeight="1">
      <c r="A25" s="120">
        <v>2001</v>
      </c>
      <c r="B25" s="415">
        <v>52700</v>
      </c>
      <c r="C25" s="415">
        <v>43100</v>
      </c>
      <c r="D25" s="415">
        <v>43700</v>
      </c>
      <c r="E25" s="415">
        <v>45300</v>
      </c>
      <c r="F25" s="415">
        <v>45100</v>
      </c>
      <c r="G25" s="415">
        <v>45600</v>
      </c>
      <c r="H25" s="415">
        <v>60000</v>
      </c>
      <c r="I25" s="415">
        <v>47200</v>
      </c>
      <c r="J25" s="415">
        <v>46300</v>
      </c>
      <c r="K25" s="415">
        <v>57500</v>
      </c>
      <c r="L25" s="415">
        <v>49900</v>
      </c>
      <c r="N25" s="19">
        <f t="shared" si="0"/>
        <v>49147000</v>
      </c>
      <c r="O25" s="19">
        <f t="shared" si="1"/>
        <v>7010.492136790398</v>
      </c>
      <c r="P25" s="19">
        <f t="shared" si="2"/>
        <v>30398100.000000004</v>
      </c>
      <c r="Q25" s="19">
        <f t="shared" si="3"/>
        <v>5513.4471975344068</v>
      </c>
    </row>
    <row r="26" spans="1:17" ht="12.75" customHeight="1">
      <c r="A26" s="120">
        <v>2002</v>
      </c>
      <c r="B26" s="415">
        <v>52900</v>
      </c>
      <c r="C26" s="415">
        <v>43400</v>
      </c>
      <c r="D26" s="415">
        <v>44700</v>
      </c>
      <c r="E26" s="415">
        <v>45600</v>
      </c>
      <c r="F26" s="415">
        <v>44400</v>
      </c>
      <c r="G26" s="415">
        <v>46200</v>
      </c>
      <c r="H26" s="415">
        <v>59900</v>
      </c>
      <c r="I26" s="415">
        <v>48200</v>
      </c>
      <c r="J26" s="415">
        <v>46200</v>
      </c>
      <c r="K26" s="415">
        <v>56400</v>
      </c>
      <c r="L26" s="415">
        <v>51000</v>
      </c>
      <c r="N26" s="19">
        <f t="shared" si="0"/>
        <v>45976000</v>
      </c>
      <c r="O26" s="19">
        <f t="shared" si="1"/>
        <v>6780.5604488124727</v>
      </c>
      <c r="P26" s="19">
        <f t="shared" si="2"/>
        <v>27486000.000000004</v>
      </c>
      <c r="Q26" s="19">
        <f t="shared" si="3"/>
        <v>5242.709223292858</v>
      </c>
    </row>
    <row r="27" spans="1:17" ht="12.75" customHeight="1">
      <c r="A27" s="120">
        <v>2003</v>
      </c>
      <c r="B27" s="415">
        <v>52500</v>
      </c>
      <c r="C27" s="415">
        <v>43000</v>
      </c>
      <c r="D27" s="415">
        <v>44500</v>
      </c>
      <c r="E27" s="415">
        <v>44800</v>
      </c>
      <c r="F27" s="415">
        <v>44400</v>
      </c>
      <c r="G27" s="415">
        <v>45700</v>
      </c>
      <c r="H27" s="415">
        <v>59600</v>
      </c>
      <c r="I27" s="415">
        <v>47200</v>
      </c>
      <c r="J27" s="415">
        <v>46800</v>
      </c>
      <c r="K27" s="415">
        <v>56700</v>
      </c>
      <c r="L27" s="415">
        <v>49900</v>
      </c>
      <c r="N27" s="19">
        <f t="shared" si="0"/>
        <v>46078000</v>
      </c>
      <c r="O27" s="19">
        <f t="shared" si="1"/>
        <v>6788.0777838796157</v>
      </c>
      <c r="P27" s="19">
        <f t="shared" si="2"/>
        <v>28100400</v>
      </c>
      <c r="Q27" s="19">
        <f t="shared" si="3"/>
        <v>5300.9810412790575</v>
      </c>
    </row>
    <row r="28" spans="1:17" ht="12.75" customHeight="1">
      <c r="A28" s="120">
        <v>2004</v>
      </c>
      <c r="B28" s="415">
        <v>53500</v>
      </c>
      <c r="C28" s="415">
        <v>43300</v>
      </c>
      <c r="D28" s="415">
        <v>45500</v>
      </c>
      <c r="E28" s="415">
        <v>45400</v>
      </c>
      <c r="F28" s="415">
        <v>45200</v>
      </c>
      <c r="G28" s="415">
        <v>46800</v>
      </c>
      <c r="H28" s="415">
        <v>60000</v>
      </c>
      <c r="I28" s="415">
        <v>48100</v>
      </c>
      <c r="J28" s="415">
        <v>46500</v>
      </c>
      <c r="K28" s="415">
        <v>58800</v>
      </c>
      <c r="L28" s="415">
        <v>51400</v>
      </c>
      <c r="N28" s="19">
        <f t="shared" si="0"/>
        <v>50034000</v>
      </c>
      <c r="O28" s="19">
        <f t="shared" si="1"/>
        <v>7073.4715663526913</v>
      </c>
      <c r="P28" s="19">
        <f t="shared" si="2"/>
        <v>30674000</v>
      </c>
      <c r="Q28" s="19">
        <f t="shared" si="3"/>
        <v>5538.411324558695</v>
      </c>
    </row>
    <row r="29" spans="1:17" ht="12.75" customHeight="1">
      <c r="A29" s="120">
        <v>2005</v>
      </c>
      <c r="B29" s="415">
        <v>54100</v>
      </c>
      <c r="C29" s="415">
        <v>45000</v>
      </c>
      <c r="D29" s="415">
        <v>45900</v>
      </c>
      <c r="E29" s="415">
        <v>46900</v>
      </c>
      <c r="F29" s="415">
        <v>44800</v>
      </c>
      <c r="G29" s="415">
        <v>46300</v>
      </c>
      <c r="H29" s="415">
        <v>60300</v>
      </c>
      <c r="I29" s="415">
        <v>48900</v>
      </c>
      <c r="J29" s="415">
        <v>48600</v>
      </c>
      <c r="K29" s="415">
        <v>61300</v>
      </c>
      <c r="L29" s="415">
        <v>53400</v>
      </c>
      <c r="N29" s="19">
        <f t="shared" si="0"/>
        <v>49728000</v>
      </c>
      <c r="O29" s="19">
        <f>SQRT(N29)</f>
        <v>7051.8082787324838</v>
      </c>
      <c r="P29" s="19">
        <f>Q29^2</f>
        <v>34046399.999999993</v>
      </c>
      <c r="Q29" s="19">
        <f>STDEVP(C29:L29)</f>
        <v>5834.9293054843429</v>
      </c>
    </row>
    <row r="30" spans="1:17" ht="12.75" customHeight="1">
      <c r="A30" s="120">
        <v>2006</v>
      </c>
      <c r="B30" s="415">
        <v>55400</v>
      </c>
      <c r="C30" s="415">
        <v>46400</v>
      </c>
      <c r="D30" s="415">
        <v>47300</v>
      </c>
      <c r="E30" s="415">
        <v>47800</v>
      </c>
      <c r="F30" s="415">
        <v>45900</v>
      </c>
      <c r="G30" s="415">
        <v>47200</v>
      </c>
      <c r="H30" s="415">
        <v>60700</v>
      </c>
      <c r="I30" s="415">
        <v>50100</v>
      </c>
      <c r="J30" s="415">
        <v>51000</v>
      </c>
      <c r="K30" s="415">
        <v>65900</v>
      </c>
      <c r="L30" s="415">
        <v>55100</v>
      </c>
      <c r="N30" s="19">
        <f>SUM(C107:L107)/10</f>
        <v>54774000</v>
      </c>
      <c r="O30" s="19">
        <f>SQRT(N30)</f>
        <v>7400.9458854932864</v>
      </c>
      <c r="P30" s="19">
        <f>Q30^2</f>
        <v>41378400</v>
      </c>
      <c r="Q30" s="19">
        <f>STDEVP(C30:L30)</f>
        <v>6432.6044492102883</v>
      </c>
    </row>
    <row r="31" spans="1:17" s="961" customFormat="1" ht="12.75" customHeight="1">
      <c r="A31" s="120">
        <v>2007</v>
      </c>
      <c r="B31" s="415">
        <v>57400</v>
      </c>
      <c r="C31" s="415">
        <v>50000</v>
      </c>
      <c r="D31" s="415">
        <v>48500</v>
      </c>
      <c r="E31" s="415">
        <v>48700</v>
      </c>
      <c r="F31" s="415">
        <v>47900</v>
      </c>
      <c r="G31" s="415">
        <v>48100</v>
      </c>
      <c r="H31" s="415">
        <v>62700</v>
      </c>
      <c r="I31" s="415">
        <v>53100</v>
      </c>
      <c r="J31" s="415">
        <v>53600</v>
      </c>
      <c r="K31" s="415">
        <v>68900</v>
      </c>
      <c r="L31" s="415">
        <v>57600</v>
      </c>
      <c r="N31" s="19">
        <f>SUM(C108:L108)/10</f>
        <v>57971000</v>
      </c>
      <c r="O31" s="19">
        <f>SQRT(N31)</f>
        <v>7613.868924535016</v>
      </c>
      <c r="P31" s="19">
        <f>Q31^2</f>
        <v>45790900</v>
      </c>
      <c r="Q31" s="19">
        <f>STDEVP(C31:L31)</f>
        <v>6766.8973688094311</v>
      </c>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((((B13/B5))^(1/8))-1)*100</f>
        <v>0</v>
      </c>
      <c r="C33" s="959">
        <f t="shared" ref="C33:L33" si="4">((((C13/C5))^(1/8))-1)*100</f>
        <v>-0.41172876919716161</v>
      </c>
      <c r="D33" s="959">
        <f t="shared" si="4"/>
        <v>0.48432099138977502</v>
      </c>
      <c r="E33" s="959">
        <f t="shared" si="4"/>
        <v>0.61174058871256154</v>
      </c>
      <c r="F33" s="959">
        <f t="shared" si="4"/>
        <v>0.32292973024414806</v>
      </c>
      <c r="G33" s="959">
        <f t="shared" si="4"/>
        <v>-0.33206131198908473</v>
      </c>
      <c r="H33" s="959">
        <f t="shared" si="4"/>
        <v>0.85335064695779561</v>
      </c>
      <c r="I33" s="959">
        <f t="shared" si="4"/>
        <v>2.7326148161588293E-2</v>
      </c>
      <c r="J33" s="959">
        <f t="shared" si="4"/>
        <v>-1.3398849039576777</v>
      </c>
      <c r="K33" s="959">
        <f t="shared" si="4"/>
        <v>-1.3108688368838384</v>
      </c>
      <c r="L33" s="959">
        <f t="shared" si="4"/>
        <v>-0.89278956411090737</v>
      </c>
      <c r="M33" s="959"/>
      <c r="N33" s="959">
        <f>((((N13/N5))^(1/8))-1)*100</f>
        <v>-3.2579038571034502E-2</v>
      </c>
      <c r="O33" s="959">
        <f>((((O13/O5))^(1/8))-1)*100</f>
        <v>-1.629084624387156E-2</v>
      </c>
      <c r="P33" s="959">
        <f>((((P13/P5))^(1/8))-1)*100</f>
        <v>-3.3933159614095931</v>
      </c>
      <c r="Q33" s="959">
        <f>((((Q13/Q5))^(1/8))-1)*100</f>
        <v>-1.7113007316759687</v>
      </c>
    </row>
    <row r="34" spans="1:17" s="114" customFormat="1">
      <c r="A34" s="431" t="s">
        <v>604</v>
      </c>
      <c r="B34" s="959">
        <f>((((B24/B13))^(1/11))-1)*100</f>
        <v>0.18126388012194017</v>
      </c>
      <c r="C34" s="959">
        <f t="shared" ref="C34:L34" si="5">((((C24/C13))^(1/11))-1)*100</f>
        <v>-0.43649230336112455</v>
      </c>
      <c r="D34" s="959">
        <f t="shared" si="5"/>
        <v>0.10713643368807091</v>
      </c>
      <c r="E34" s="959">
        <f t="shared" si="5"/>
        <v>-4.1313848675317288E-2</v>
      </c>
      <c r="F34" s="959">
        <f t="shared" si="5"/>
        <v>0.12547248851022541</v>
      </c>
      <c r="G34" s="959">
        <f t="shared" si="5"/>
        <v>-0.16478305675835525</v>
      </c>
      <c r="H34" s="959">
        <f t="shared" si="5"/>
        <v>0.34908259806516462</v>
      </c>
      <c r="I34" s="959">
        <f t="shared" si="5"/>
        <v>-5.9725476898009333E-2</v>
      </c>
      <c r="J34" s="959">
        <f t="shared" si="5"/>
        <v>0.12605242174232867</v>
      </c>
      <c r="K34" s="959">
        <f t="shared" si="5"/>
        <v>0.7786800935871252</v>
      </c>
      <c r="L34" s="959">
        <f t="shared" si="5"/>
        <v>-0.20877737644462435</v>
      </c>
      <c r="M34" s="959"/>
      <c r="N34" s="959">
        <f>((((N24/N13))^(1/11))-1)*100</f>
        <v>3.774719004721705</v>
      </c>
      <c r="O34" s="959">
        <f>((((O24/O13))^(1/11))-1)*100</f>
        <v>1.8698772968347654</v>
      </c>
      <c r="P34" s="959">
        <f>((((P24/P13))^(1/11))-1)*100</f>
        <v>4.3516452516940252</v>
      </c>
      <c r="Q34" s="959">
        <f>((((Q24/Q13))^(1/11))-1)*100</f>
        <v>2.1526530500769914</v>
      </c>
    </row>
    <row r="35" spans="1:17" s="114" customFormat="1">
      <c r="A35" s="431" t="s">
        <v>819</v>
      </c>
      <c r="B35" s="23">
        <f t="shared" ref="B35:L35" si="6">((((B30/B5))^(1/25))-1)*100</f>
        <v>0.43524308589728555</v>
      </c>
      <c r="C35" s="23">
        <f t="shared" si="6"/>
        <v>1.7280137421837871E-2</v>
      </c>
      <c r="D35" s="23">
        <f t="shared" si="6"/>
        <v>0.61283913752463448</v>
      </c>
      <c r="E35" s="23">
        <f t="shared" si="6"/>
        <v>0.51876503507632954</v>
      </c>
      <c r="F35" s="23">
        <f t="shared" si="6"/>
        <v>0.34626763152905138</v>
      </c>
      <c r="G35" s="23">
        <f t="shared" si="6"/>
        <v>0.12926585514203559</v>
      </c>
      <c r="H35" s="23">
        <f t="shared" si="6"/>
        <v>0.57455458298634188</v>
      </c>
      <c r="I35" s="23">
        <f t="shared" si="6"/>
        <v>0.36836765280561234</v>
      </c>
      <c r="J35" s="23">
        <f t="shared" si="6"/>
        <v>0.25115538126236903</v>
      </c>
      <c r="K35" s="23">
        <f t="shared" si="6"/>
        <v>0.73317503477980939</v>
      </c>
      <c r="L35" s="23">
        <f t="shared" si="6"/>
        <v>0.23189244590338109</v>
      </c>
      <c r="M35" s="23"/>
      <c r="N35" s="23">
        <f>((((N28/N5))^(1/23))-1)*100</f>
        <v>2.4290983056461934</v>
      </c>
      <c r="O35" s="23">
        <f>((((O28/O5))^(1/23))-1)*100</f>
        <v>1.2072617481799996</v>
      </c>
      <c r="P35" s="23">
        <f>((((P28/P5))^(1/23))-1)*100</f>
        <v>1.5867087026144366</v>
      </c>
      <c r="Q35" s="23">
        <f>((((Q28/Q5))^(1/23))-1)*100</f>
        <v>0.79023201809511612</v>
      </c>
    </row>
    <row r="36" spans="1:17" s="114" customFormat="1">
      <c r="A36" s="431" t="s">
        <v>447</v>
      </c>
      <c r="B36" s="23">
        <f>((((B31/B5))^(1/26))-1)*100</f>
        <v>0.55553498211120544</v>
      </c>
      <c r="C36" s="23">
        <f t="shared" ref="C36:L36" si="7">((((C31/C5))^(1/26))-1)*100</f>
        <v>0.30447492208098836</v>
      </c>
      <c r="D36" s="23">
        <f t="shared" si="7"/>
        <v>0.68617319014550038</v>
      </c>
      <c r="E36" s="23">
        <f t="shared" si="7"/>
        <v>0.57089037192641356</v>
      </c>
      <c r="F36" s="23">
        <f t="shared" si="7"/>
        <v>0.4976486539059799</v>
      </c>
      <c r="G36" s="23">
        <f t="shared" si="7"/>
        <v>0.19705497251876203</v>
      </c>
      <c r="H36" s="23">
        <f t="shared" si="7"/>
        <v>0.67784600015663443</v>
      </c>
      <c r="I36" s="23">
        <f t="shared" si="7"/>
        <v>0.57889465778786509</v>
      </c>
      <c r="J36" s="23">
        <f t="shared" si="7"/>
        <v>0.43337314039599839</v>
      </c>
      <c r="K36" s="23">
        <f t="shared" si="7"/>
        <v>0.87745351877093203</v>
      </c>
      <c r="L36" s="23">
        <f t="shared" si="7"/>
        <v>0.39415494436823018</v>
      </c>
      <c r="M36" s="23"/>
      <c r="N36" s="23"/>
      <c r="O36" s="23"/>
      <c r="P36" s="23"/>
      <c r="Q36" s="23"/>
    </row>
    <row r="37" spans="1:17" s="114" customFormat="1">
      <c r="A37" s="431" t="s">
        <v>818</v>
      </c>
      <c r="B37" s="959">
        <f t="shared" ref="B37:L37" si="8">((((B30/B24))^(1/6))-1)*100</f>
        <v>1.4885312865950295</v>
      </c>
      <c r="C37" s="959">
        <f t="shared" si="8"/>
        <v>1.4342751880733529</v>
      </c>
      <c r="D37" s="959">
        <f t="shared" si="8"/>
        <v>1.7198109343703472</v>
      </c>
      <c r="E37" s="959">
        <f t="shared" si="8"/>
        <v>1.4286307552513478</v>
      </c>
      <c r="F37" s="959">
        <f t="shared" si="8"/>
        <v>0.783575672289194</v>
      </c>
      <c r="G37" s="959">
        <f t="shared" si="8"/>
        <v>1.2923764301503438</v>
      </c>
      <c r="H37" s="959">
        <f t="shared" si="8"/>
        <v>0.61717914739651825</v>
      </c>
      <c r="I37" s="959">
        <f t="shared" si="8"/>
        <v>1.6180963546017724</v>
      </c>
      <c r="J37" s="959">
        <f t="shared" si="8"/>
        <v>2.647241104612319</v>
      </c>
      <c r="K37" s="959">
        <f t="shared" si="8"/>
        <v>3.4388911892701435</v>
      </c>
      <c r="L37" s="959">
        <f t="shared" si="8"/>
        <v>2.5766259398113833</v>
      </c>
      <c r="M37" s="959"/>
      <c r="N37" s="959">
        <f>((((N28/N24))^(1/4))-1)*100</f>
        <v>3.7445944785920116</v>
      </c>
      <c r="O37" s="959">
        <f>((((O28/O24))^(1/4))-1)*100</f>
        <v>1.8550904366551491</v>
      </c>
      <c r="P37" s="959">
        <f>((((P28/P24))^(1/4))-1)*100</f>
        <v>4.3337191697687016</v>
      </c>
      <c r="Q37" s="959">
        <f>((((Q28/Q24))^(1/4))-1)*100</f>
        <v>2.1438785095654778</v>
      </c>
    </row>
    <row r="38" spans="1:17" s="114" customFormat="1">
      <c r="A38" s="431" t="s">
        <v>449</v>
      </c>
      <c r="B38" s="959">
        <f>((((B31/B24))^(1/7))-1)*100</f>
        <v>1.7889329903947537</v>
      </c>
      <c r="C38" s="959">
        <f t="shared" ref="C38:L38" si="9">((((C31/C24))^(1/7))-1)*100</f>
        <v>2.3145034174853363</v>
      </c>
      <c r="D38" s="959">
        <f t="shared" si="9"/>
        <v>1.8361519738329779</v>
      </c>
      <c r="E38" s="959">
        <f t="shared" si="9"/>
        <v>1.4933943419505491</v>
      </c>
      <c r="F38" s="959">
        <f t="shared" si="9"/>
        <v>1.2865151204906056</v>
      </c>
      <c r="G38" s="959">
        <f t="shared" si="9"/>
        <v>1.3799210049866062</v>
      </c>
      <c r="H38" s="959">
        <f t="shared" si="9"/>
        <v>0.99541726401619623</v>
      </c>
      <c r="I38" s="959">
        <f t="shared" si="9"/>
        <v>2.2311634836974958</v>
      </c>
      <c r="J38" s="959">
        <f t="shared" si="9"/>
        <v>2.9938246292995352</v>
      </c>
      <c r="K38" s="959">
        <f t="shared" si="9"/>
        <v>3.5972280561483716</v>
      </c>
      <c r="L38" s="959">
        <f t="shared" si="9"/>
        <v>2.8544411798637981</v>
      </c>
      <c r="M38" s="959"/>
      <c r="N38" s="959"/>
      <c r="O38" s="959"/>
      <c r="P38" s="959"/>
      <c r="Q38" s="959"/>
    </row>
    <row r="39" spans="1:17" s="114" customFormat="1">
      <c r="A39" s="431"/>
      <c r="D39" s="959" t="s">
        <v>276</v>
      </c>
    </row>
    <row r="40" spans="1:17" s="114" customFormat="1">
      <c r="A40" s="431" t="s">
        <v>819</v>
      </c>
      <c r="B40" s="10">
        <f t="shared" ref="B40:L40" si="10">(B30/B5-1)*100</f>
        <v>11.468812877263579</v>
      </c>
      <c r="C40" s="10">
        <f t="shared" si="10"/>
        <v>0.43290043290042934</v>
      </c>
      <c r="D40" s="10">
        <f t="shared" si="10"/>
        <v>16.502463054187189</v>
      </c>
      <c r="E40" s="10">
        <f t="shared" si="10"/>
        <v>13.809523809523805</v>
      </c>
      <c r="F40" s="10">
        <f t="shared" si="10"/>
        <v>9.0261282660332611</v>
      </c>
      <c r="G40" s="10">
        <f t="shared" si="10"/>
        <v>3.2822757111597323</v>
      </c>
      <c r="H40" s="10">
        <f t="shared" si="10"/>
        <v>15.399239543726239</v>
      </c>
      <c r="I40" s="10">
        <f t="shared" si="10"/>
        <v>9.6280087527352407</v>
      </c>
      <c r="J40" s="10">
        <f t="shared" si="10"/>
        <v>6.4718162839248361</v>
      </c>
      <c r="K40" s="10">
        <f t="shared" si="10"/>
        <v>20.036429872495454</v>
      </c>
      <c r="L40" s="10">
        <f t="shared" si="10"/>
        <v>5.9615384615384626</v>
      </c>
      <c r="M40" s="10"/>
      <c r="N40" s="10">
        <f>(N28/N5-1)*100</f>
        <v>73.674893262522119</v>
      </c>
      <c r="O40" s="10">
        <f>(O28/O5-1)*100</f>
        <v>31.785770575780337</v>
      </c>
      <c r="P40" s="10">
        <f>(P28/P5-1)*100</f>
        <v>43.631093692200373</v>
      </c>
      <c r="Q40" s="10">
        <f>(Q28/Q5-1)*100</f>
        <v>19.8461904660304</v>
      </c>
    </row>
    <row r="41" spans="1:17" s="114" customFormat="1">
      <c r="A41" s="431" t="s">
        <v>447</v>
      </c>
      <c r="B41" s="10">
        <f>(B31/B5-1)*100</f>
        <v>15.492957746478876</v>
      </c>
      <c r="C41" s="10">
        <f t="shared" ref="C41:L41" si="11">(C31/C5-1)*100</f>
        <v>8.2251082251082241</v>
      </c>
      <c r="D41" s="10">
        <f t="shared" si="11"/>
        <v>19.458128078817726</v>
      </c>
      <c r="E41" s="10">
        <f t="shared" si="11"/>
        <v>15.952380952380963</v>
      </c>
      <c r="F41" s="10">
        <f t="shared" si="11"/>
        <v>13.776722090261284</v>
      </c>
      <c r="G41" s="10">
        <f t="shared" si="11"/>
        <v>5.2516411378555894</v>
      </c>
      <c r="H41" s="10">
        <f t="shared" si="11"/>
        <v>19.201520912547522</v>
      </c>
      <c r="I41" s="10">
        <f t="shared" si="11"/>
        <v>16.192560175054705</v>
      </c>
      <c r="J41" s="10">
        <f t="shared" si="11"/>
        <v>11.89979123173277</v>
      </c>
      <c r="K41" s="10">
        <f t="shared" si="11"/>
        <v>25.500910746812377</v>
      </c>
      <c r="L41" s="10">
        <f t="shared" si="11"/>
        <v>10.769230769230775</v>
      </c>
      <c r="M41" s="10"/>
      <c r="N41" s="10"/>
      <c r="O41" s="10"/>
      <c r="P41" s="10"/>
      <c r="Q41" s="10"/>
    </row>
    <row r="42" spans="1:17">
      <c r="A42" s="4"/>
      <c r="N42" s="644"/>
      <c r="O42" s="644"/>
      <c r="P42" s="644"/>
      <c r="Q42" s="644"/>
    </row>
    <row r="43" spans="1:17" ht="27.75" customHeight="1">
      <c r="A43" s="1170" t="s">
        <v>1029</v>
      </c>
      <c r="B43" s="1170"/>
      <c r="C43" s="1170"/>
      <c r="D43" s="1170"/>
      <c r="E43" s="1170"/>
      <c r="F43" s="1170"/>
      <c r="G43" s="1170"/>
      <c r="H43" s="1170"/>
      <c r="I43" s="1170"/>
      <c r="J43" s="1170"/>
      <c r="K43" s="1170"/>
      <c r="L43" s="1170"/>
      <c r="N43" s="10"/>
      <c r="O43" s="10"/>
      <c r="P43" s="10"/>
      <c r="Q43" s="10"/>
    </row>
    <row r="44" spans="1:17">
      <c r="A44" s="4" t="s">
        <v>1868</v>
      </c>
      <c r="B44" s="643"/>
      <c r="C44" s="643"/>
      <c r="D44" s="643"/>
      <c r="E44" s="643"/>
      <c r="F44" s="643"/>
      <c r="G44" s="643"/>
      <c r="H44" s="643"/>
      <c r="I44" s="643"/>
      <c r="J44" s="643"/>
      <c r="K44" s="643"/>
      <c r="L44" s="643"/>
      <c r="N44" s="10"/>
      <c r="O44" s="10"/>
      <c r="P44" s="10"/>
      <c r="Q44" s="10"/>
    </row>
    <row r="45" spans="1:17">
      <c r="A45" s="4" t="s">
        <v>388</v>
      </c>
      <c r="B45" s="643"/>
      <c r="C45" s="643"/>
      <c r="D45" s="643"/>
      <c r="E45" s="643"/>
      <c r="F45" s="643"/>
      <c r="G45" s="643"/>
      <c r="H45" s="643"/>
      <c r="I45" s="643"/>
      <c r="J45" s="643"/>
      <c r="K45" s="643"/>
      <c r="L45" s="643"/>
      <c r="N45" s="10"/>
      <c r="O45" s="10"/>
      <c r="P45" s="10"/>
      <c r="Q45" s="10"/>
    </row>
    <row r="46" spans="1:17" ht="15" customHeight="1">
      <c r="A46" s="1168" t="s">
        <v>979</v>
      </c>
      <c r="B46" s="1169"/>
      <c r="C46" s="1169"/>
      <c r="D46" s="1169"/>
      <c r="E46" s="1169"/>
      <c r="F46" s="1169"/>
      <c r="G46" s="1169"/>
      <c r="H46" s="1169"/>
      <c r="I46" s="1169"/>
      <c r="J46" s="1169"/>
      <c r="K46" s="1169"/>
      <c r="L46" s="1169"/>
    </row>
    <row r="47" spans="1:17" ht="41.25" customHeight="1">
      <c r="A47" s="1168" t="s">
        <v>724</v>
      </c>
      <c r="B47" s="1169"/>
      <c r="C47" s="1169"/>
      <c r="D47" s="1169"/>
      <c r="E47" s="1169"/>
      <c r="F47" s="1169"/>
      <c r="G47" s="1169"/>
      <c r="H47" s="1169"/>
      <c r="I47" s="1169"/>
      <c r="J47" s="1169"/>
      <c r="K47" s="1169"/>
      <c r="L47" s="1169"/>
    </row>
    <row r="49" spans="1:12" ht="15.75">
      <c r="A49" s="8"/>
      <c r="B49" s="4"/>
      <c r="F49" s="27"/>
    </row>
    <row r="50" spans="1:12">
      <c r="B50" s="1" t="s">
        <v>278</v>
      </c>
    </row>
    <row r="51" spans="1:12">
      <c r="B51" s="1" t="s">
        <v>279</v>
      </c>
    </row>
    <row r="52" spans="1:12">
      <c r="B52" s="1">
        <v>1981</v>
      </c>
      <c r="C52" s="300">
        <f>C5-$B5</f>
        <v>-3500</v>
      </c>
      <c r="D52" s="300">
        <f t="shared" ref="D52:L52" si="12">D5-$B5</f>
        <v>-9100</v>
      </c>
      <c r="E52" s="300">
        <f t="shared" si="12"/>
        <v>-7700</v>
      </c>
      <c r="F52" s="300">
        <f t="shared" si="12"/>
        <v>-7600</v>
      </c>
      <c r="G52" s="300">
        <f t="shared" si="12"/>
        <v>-4000</v>
      </c>
      <c r="H52" s="300">
        <f t="shared" si="12"/>
        <v>2900</v>
      </c>
      <c r="I52" s="300">
        <f t="shared" si="12"/>
        <v>-4000</v>
      </c>
      <c r="J52" s="300">
        <f t="shared" si="12"/>
        <v>-1800</v>
      </c>
      <c r="K52" s="300">
        <f t="shared" si="12"/>
        <v>5200</v>
      </c>
      <c r="L52" s="300">
        <f t="shared" si="12"/>
        <v>2300</v>
      </c>
    </row>
    <row r="53" spans="1:12">
      <c r="B53" s="1">
        <v>1982</v>
      </c>
      <c r="C53" s="300">
        <f t="shared" ref="C53:L68" si="13">C6-$B6</f>
        <v>-3800</v>
      </c>
      <c r="D53" s="300">
        <f t="shared" si="13"/>
        <v>-7900</v>
      </c>
      <c r="E53" s="300">
        <f t="shared" si="13"/>
        <v>-6700</v>
      </c>
      <c r="F53" s="300">
        <f t="shared" si="13"/>
        <v>-7200</v>
      </c>
      <c r="G53" s="300">
        <f t="shared" si="13"/>
        <v>-4400</v>
      </c>
      <c r="H53" s="300">
        <f t="shared" si="13"/>
        <v>2500</v>
      </c>
      <c r="I53" s="300">
        <f t="shared" si="13"/>
        <v>-3000</v>
      </c>
      <c r="J53" s="300">
        <f t="shared" si="13"/>
        <v>-1600</v>
      </c>
      <c r="K53" s="300">
        <f t="shared" si="13"/>
        <v>7300</v>
      </c>
      <c r="L53" s="300">
        <f t="shared" si="13"/>
        <v>1900</v>
      </c>
    </row>
    <row r="54" spans="1:12">
      <c r="B54" s="1">
        <v>1983</v>
      </c>
      <c r="C54" s="300">
        <f t="shared" si="13"/>
        <v>-6400</v>
      </c>
      <c r="D54" s="300">
        <f t="shared" si="13"/>
        <v>-4900</v>
      </c>
      <c r="E54" s="300">
        <f t="shared" si="13"/>
        <v>-5200</v>
      </c>
      <c r="F54" s="300">
        <f t="shared" si="13"/>
        <v>-7900</v>
      </c>
      <c r="G54" s="300">
        <f t="shared" si="13"/>
        <v>-4100</v>
      </c>
      <c r="H54" s="300">
        <f t="shared" si="13"/>
        <v>3400</v>
      </c>
      <c r="I54" s="300">
        <f t="shared" si="13"/>
        <v>-1000</v>
      </c>
      <c r="J54" s="300">
        <f t="shared" si="13"/>
        <v>-1800</v>
      </c>
      <c r="K54" s="300">
        <f t="shared" si="13"/>
        <v>3500</v>
      </c>
      <c r="L54" s="300">
        <f t="shared" si="13"/>
        <v>900</v>
      </c>
    </row>
    <row r="55" spans="1:12">
      <c r="B55" s="1">
        <v>1984</v>
      </c>
      <c r="C55" s="300">
        <f t="shared" si="13"/>
        <v>-5600</v>
      </c>
      <c r="D55" s="300">
        <f t="shared" si="13"/>
        <v>-6400</v>
      </c>
      <c r="E55" s="300">
        <f t="shared" si="13"/>
        <v>-4600</v>
      </c>
      <c r="F55" s="300">
        <f t="shared" si="13"/>
        <v>-5200</v>
      </c>
      <c r="G55" s="300">
        <f t="shared" si="13"/>
        <v>-3500</v>
      </c>
      <c r="H55" s="300">
        <f t="shared" si="13"/>
        <v>3800</v>
      </c>
      <c r="I55" s="300">
        <f t="shared" si="13"/>
        <v>-1800</v>
      </c>
      <c r="J55" s="300">
        <f t="shared" si="13"/>
        <v>-2500</v>
      </c>
      <c r="K55" s="300">
        <f t="shared" si="13"/>
        <v>1600</v>
      </c>
      <c r="L55" s="300">
        <f t="shared" si="13"/>
        <v>-600</v>
      </c>
    </row>
    <row r="56" spans="1:12">
      <c r="B56" s="1">
        <v>1985</v>
      </c>
      <c r="C56" s="300">
        <f t="shared" si="13"/>
        <v>-6200</v>
      </c>
      <c r="D56" s="300">
        <f t="shared" si="13"/>
        <v>-6800</v>
      </c>
      <c r="E56" s="300">
        <f t="shared" si="13"/>
        <v>-3300</v>
      </c>
      <c r="F56" s="300">
        <f t="shared" si="13"/>
        <v>-5500</v>
      </c>
      <c r="G56" s="300">
        <f t="shared" si="13"/>
        <v>-4100</v>
      </c>
      <c r="H56" s="300">
        <f t="shared" si="13"/>
        <v>4300</v>
      </c>
      <c r="I56" s="300">
        <f t="shared" si="13"/>
        <v>-2600</v>
      </c>
      <c r="J56" s="300">
        <f t="shared" si="13"/>
        <v>-3400</v>
      </c>
      <c r="K56" s="300">
        <f t="shared" si="13"/>
        <v>3200</v>
      </c>
      <c r="L56" s="300">
        <f t="shared" si="13"/>
        <v>-900</v>
      </c>
    </row>
    <row r="57" spans="1:12">
      <c r="B57" s="1">
        <v>1986</v>
      </c>
      <c r="C57" s="300">
        <f t="shared" si="13"/>
        <v>-8600</v>
      </c>
      <c r="D57" s="300">
        <f t="shared" si="13"/>
        <v>-7000</v>
      </c>
      <c r="E57" s="300">
        <f t="shared" si="13"/>
        <v>-5000</v>
      </c>
      <c r="F57" s="300">
        <f t="shared" si="13"/>
        <v>-6200</v>
      </c>
      <c r="G57" s="300">
        <f t="shared" si="13"/>
        <v>-4200</v>
      </c>
      <c r="H57" s="300">
        <f t="shared" si="13"/>
        <v>4800</v>
      </c>
      <c r="I57" s="300">
        <f t="shared" si="13"/>
        <v>-2600</v>
      </c>
      <c r="J57" s="300">
        <f t="shared" si="13"/>
        <v>-4700</v>
      </c>
      <c r="K57" s="300">
        <f t="shared" si="13"/>
        <v>2200</v>
      </c>
      <c r="L57" s="300">
        <f t="shared" si="13"/>
        <v>-700</v>
      </c>
    </row>
    <row r="58" spans="1:12">
      <c r="B58" s="1">
        <v>1987</v>
      </c>
      <c r="C58" s="300">
        <f t="shared" si="13"/>
        <v>-6500</v>
      </c>
      <c r="D58" s="300">
        <f t="shared" si="13"/>
        <v>-5800</v>
      </c>
      <c r="E58" s="300">
        <f t="shared" si="13"/>
        <v>-4300</v>
      </c>
      <c r="F58" s="300">
        <f t="shared" si="13"/>
        <v>-7000</v>
      </c>
      <c r="G58" s="300">
        <f t="shared" si="13"/>
        <v>-4300</v>
      </c>
      <c r="H58" s="300">
        <f t="shared" si="13"/>
        <v>5700</v>
      </c>
      <c r="I58" s="300">
        <f t="shared" si="13"/>
        <v>-4000</v>
      </c>
      <c r="J58" s="300">
        <f t="shared" si="13"/>
        <v>-4600</v>
      </c>
      <c r="K58" s="300">
        <f t="shared" si="13"/>
        <v>200</v>
      </c>
      <c r="L58" s="300">
        <f t="shared" si="13"/>
        <v>-1700</v>
      </c>
    </row>
    <row r="59" spans="1:12">
      <c r="B59" s="1">
        <v>1988</v>
      </c>
      <c r="C59" s="300">
        <f t="shared" si="13"/>
        <v>-5600</v>
      </c>
      <c r="D59" s="300">
        <f t="shared" si="13"/>
        <v>-8000</v>
      </c>
      <c r="E59" s="300">
        <f t="shared" si="13"/>
        <v>-5500</v>
      </c>
      <c r="F59" s="300">
        <f t="shared" si="13"/>
        <v>-6700</v>
      </c>
      <c r="G59" s="300">
        <f t="shared" si="13"/>
        <v>-5500</v>
      </c>
      <c r="H59" s="300">
        <f t="shared" si="13"/>
        <v>6500</v>
      </c>
      <c r="I59" s="300">
        <f t="shared" si="13"/>
        <v>-4100</v>
      </c>
      <c r="J59" s="300">
        <f t="shared" si="13"/>
        <v>-6000</v>
      </c>
      <c r="K59" s="300">
        <f t="shared" si="13"/>
        <v>300</v>
      </c>
      <c r="L59" s="300">
        <f t="shared" si="13"/>
        <v>-800</v>
      </c>
    </row>
    <row r="60" spans="1:12">
      <c r="B60" s="1">
        <v>1989</v>
      </c>
      <c r="C60" s="300">
        <f t="shared" si="13"/>
        <v>-5000</v>
      </c>
      <c r="D60" s="300">
        <f t="shared" si="13"/>
        <v>-7500</v>
      </c>
      <c r="E60" s="300">
        <f t="shared" si="13"/>
        <v>-5600</v>
      </c>
      <c r="F60" s="300">
        <f t="shared" si="13"/>
        <v>-6500</v>
      </c>
      <c r="G60" s="300">
        <f t="shared" si="13"/>
        <v>-5200</v>
      </c>
      <c r="H60" s="300">
        <f t="shared" si="13"/>
        <v>6600</v>
      </c>
      <c r="I60" s="300">
        <f t="shared" si="13"/>
        <v>-3900</v>
      </c>
      <c r="J60" s="300">
        <f t="shared" si="13"/>
        <v>-6700</v>
      </c>
      <c r="K60" s="300">
        <f t="shared" si="13"/>
        <v>-300</v>
      </c>
      <c r="L60" s="300">
        <f t="shared" si="13"/>
        <v>-1300</v>
      </c>
    </row>
    <row r="61" spans="1:12">
      <c r="B61" s="1">
        <v>1990</v>
      </c>
      <c r="C61" s="300">
        <f t="shared" si="13"/>
        <v>-5000</v>
      </c>
      <c r="D61" s="300">
        <f t="shared" si="13"/>
        <v>-6000</v>
      </c>
      <c r="E61" s="300">
        <f t="shared" si="13"/>
        <v>-4300</v>
      </c>
      <c r="F61" s="300">
        <f t="shared" si="13"/>
        <v>-6100</v>
      </c>
      <c r="G61" s="300">
        <f t="shared" si="13"/>
        <v>-5600</v>
      </c>
      <c r="H61" s="300">
        <f t="shared" si="13"/>
        <v>5800</v>
      </c>
      <c r="I61" s="300">
        <f t="shared" si="13"/>
        <v>-4000</v>
      </c>
      <c r="J61" s="300">
        <f t="shared" si="13"/>
        <v>-6100</v>
      </c>
      <c r="K61" s="300">
        <f t="shared" si="13"/>
        <v>1200</v>
      </c>
      <c r="L61" s="300">
        <f t="shared" si="13"/>
        <v>-200</v>
      </c>
    </row>
    <row r="62" spans="1:12">
      <c r="B62" s="1">
        <v>1991</v>
      </c>
      <c r="C62" s="300">
        <f t="shared" si="13"/>
        <v>-5000</v>
      </c>
      <c r="D62" s="300">
        <f t="shared" si="13"/>
        <v>-5800</v>
      </c>
      <c r="E62" s="300">
        <f t="shared" si="13"/>
        <v>-4800</v>
      </c>
      <c r="F62" s="300">
        <f t="shared" si="13"/>
        <v>-5500</v>
      </c>
      <c r="G62" s="300">
        <f t="shared" si="13"/>
        <v>-5200</v>
      </c>
      <c r="H62" s="300">
        <f t="shared" si="13"/>
        <v>5100</v>
      </c>
      <c r="I62" s="300">
        <f t="shared" si="13"/>
        <v>-4300</v>
      </c>
      <c r="J62" s="300">
        <f t="shared" si="13"/>
        <v>-6000</v>
      </c>
      <c r="K62" s="300">
        <f t="shared" si="13"/>
        <v>2400</v>
      </c>
      <c r="L62" s="300">
        <f t="shared" si="13"/>
        <v>-100</v>
      </c>
    </row>
    <row r="63" spans="1:12">
      <c r="B63" s="1">
        <v>1992</v>
      </c>
      <c r="C63" s="300">
        <f t="shared" si="13"/>
        <v>-5400</v>
      </c>
      <c r="D63" s="300">
        <f t="shared" si="13"/>
        <v>-4800</v>
      </c>
      <c r="E63" s="300">
        <f t="shared" si="13"/>
        <v>-4300</v>
      </c>
      <c r="F63" s="300">
        <f t="shared" si="13"/>
        <v>-5500</v>
      </c>
      <c r="G63" s="300">
        <f t="shared" si="13"/>
        <v>-5200</v>
      </c>
      <c r="H63" s="300">
        <f t="shared" si="13"/>
        <v>4800</v>
      </c>
      <c r="I63" s="300">
        <f t="shared" si="13"/>
        <v>-3600</v>
      </c>
      <c r="J63" s="300">
        <f t="shared" si="13"/>
        <v>-4300</v>
      </c>
      <c r="K63" s="300">
        <f t="shared" si="13"/>
        <v>600</v>
      </c>
      <c r="L63" s="300">
        <f t="shared" si="13"/>
        <v>1200</v>
      </c>
    </row>
    <row r="64" spans="1:12">
      <c r="B64" s="1">
        <v>1993</v>
      </c>
      <c r="C64" s="300">
        <f t="shared" si="13"/>
        <v>-5300</v>
      </c>
      <c r="D64" s="300">
        <f t="shared" si="13"/>
        <v>-5200</v>
      </c>
      <c r="E64" s="300">
        <f t="shared" si="13"/>
        <v>-4200</v>
      </c>
      <c r="F64" s="300">
        <f t="shared" si="13"/>
        <v>-4900</v>
      </c>
      <c r="G64" s="300">
        <f t="shared" si="13"/>
        <v>-5700</v>
      </c>
      <c r="H64" s="300">
        <f t="shared" si="13"/>
        <v>5200</v>
      </c>
      <c r="I64" s="300">
        <f t="shared" si="13"/>
        <v>-4000</v>
      </c>
      <c r="J64" s="300">
        <f t="shared" si="13"/>
        <v>-5300</v>
      </c>
      <c r="K64" s="300">
        <f t="shared" si="13"/>
        <v>2000</v>
      </c>
      <c r="L64" s="300">
        <f t="shared" si="13"/>
        <v>600</v>
      </c>
    </row>
    <row r="65" spans="2:12">
      <c r="B65" s="1">
        <v>1994</v>
      </c>
      <c r="C65" s="300">
        <f t="shared" si="13"/>
        <v>-5100</v>
      </c>
      <c r="D65" s="300">
        <f t="shared" si="13"/>
        <v>-4600</v>
      </c>
      <c r="E65" s="300">
        <f t="shared" si="13"/>
        <v>-5100</v>
      </c>
      <c r="F65" s="300">
        <f t="shared" si="13"/>
        <v>-5600</v>
      </c>
      <c r="G65" s="300">
        <f t="shared" si="13"/>
        <v>-5300</v>
      </c>
      <c r="H65" s="300">
        <f t="shared" si="13"/>
        <v>5000</v>
      </c>
      <c r="I65" s="300">
        <f t="shared" si="13"/>
        <v>-3000</v>
      </c>
      <c r="J65" s="300">
        <f t="shared" si="13"/>
        <v>-5400</v>
      </c>
      <c r="K65" s="300">
        <f t="shared" si="13"/>
        <v>1800</v>
      </c>
      <c r="L65" s="300">
        <f t="shared" si="13"/>
        <v>500</v>
      </c>
    </row>
    <row r="66" spans="2:12">
      <c r="B66" s="1">
        <v>1995</v>
      </c>
      <c r="C66" s="300">
        <f t="shared" si="13"/>
        <v>-6100</v>
      </c>
      <c r="D66" s="300">
        <f t="shared" si="13"/>
        <v>-5000</v>
      </c>
      <c r="E66" s="300">
        <f t="shared" si="13"/>
        <v>-5800</v>
      </c>
      <c r="F66" s="300">
        <f t="shared" si="13"/>
        <v>-5300</v>
      </c>
      <c r="G66" s="300">
        <f t="shared" si="13"/>
        <v>-5600</v>
      </c>
      <c r="H66" s="300">
        <f t="shared" si="13"/>
        <v>5300</v>
      </c>
      <c r="I66" s="300">
        <f t="shared" si="13"/>
        <v>-2900</v>
      </c>
      <c r="J66" s="300">
        <f t="shared" si="13"/>
        <v>-4700</v>
      </c>
      <c r="K66" s="300">
        <f t="shared" si="13"/>
        <v>1600</v>
      </c>
      <c r="L66" s="300">
        <f t="shared" si="13"/>
        <v>500</v>
      </c>
    </row>
    <row r="67" spans="2:12">
      <c r="B67" s="1">
        <v>1996</v>
      </c>
      <c r="C67" s="300">
        <f t="shared" si="13"/>
        <v>-6800</v>
      </c>
      <c r="D67" s="300">
        <f t="shared" si="13"/>
        <v>-4800</v>
      </c>
      <c r="E67" s="300">
        <f t="shared" si="13"/>
        <v>-6200</v>
      </c>
      <c r="F67" s="300">
        <f t="shared" si="13"/>
        <v>-5400</v>
      </c>
      <c r="G67" s="300">
        <f t="shared" si="13"/>
        <v>-5500</v>
      </c>
      <c r="H67" s="300">
        <f t="shared" si="13"/>
        <v>5200</v>
      </c>
      <c r="I67" s="300">
        <f t="shared" si="13"/>
        <v>-3000</v>
      </c>
      <c r="J67" s="300">
        <f t="shared" si="13"/>
        <v>-5000</v>
      </c>
      <c r="K67" s="300">
        <f t="shared" si="13"/>
        <v>2000</v>
      </c>
      <c r="L67" s="300">
        <f t="shared" si="13"/>
        <v>500</v>
      </c>
    </row>
    <row r="68" spans="2:12">
      <c r="B68" s="1">
        <v>1997</v>
      </c>
      <c r="C68" s="300">
        <f t="shared" si="13"/>
        <v>-7900</v>
      </c>
      <c r="D68" s="300">
        <f t="shared" si="13"/>
        <v>-6200</v>
      </c>
      <c r="E68" s="300">
        <f t="shared" si="13"/>
        <v>-6300</v>
      </c>
      <c r="F68" s="300">
        <f t="shared" si="13"/>
        <v>-6200</v>
      </c>
      <c r="G68" s="300">
        <f t="shared" si="13"/>
        <v>-6200</v>
      </c>
      <c r="H68" s="300">
        <f t="shared" si="13"/>
        <v>5500</v>
      </c>
      <c r="I68" s="300">
        <f t="shared" si="13"/>
        <v>-3600</v>
      </c>
      <c r="J68" s="300">
        <f t="shared" si="13"/>
        <v>-4900</v>
      </c>
      <c r="K68" s="300">
        <f t="shared" si="13"/>
        <v>3800</v>
      </c>
      <c r="L68" s="300">
        <f t="shared" si="13"/>
        <v>200</v>
      </c>
    </row>
    <row r="69" spans="2:12">
      <c r="B69" s="1">
        <v>1998</v>
      </c>
      <c r="C69" s="300">
        <f t="shared" ref="C69:L75" si="14">C22-$B22</f>
        <v>-7700</v>
      </c>
      <c r="D69" s="300">
        <f t="shared" si="14"/>
        <v>-6600</v>
      </c>
      <c r="E69" s="300">
        <f t="shared" si="14"/>
        <v>-6700</v>
      </c>
      <c r="F69" s="300">
        <f t="shared" si="14"/>
        <v>-6300</v>
      </c>
      <c r="G69" s="300">
        <f t="shared" si="14"/>
        <v>-6500</v>
      </c>
      <c r="H69" s="300">
        <f t="shared" si="14"/>
        <v>6300</v>
      </c>
      <c r="I69" s="300">
        <f t="shared" si="14"/>
        <v>-3400</v>
      </c>
      <c r="J69" s="300">
        <f t="shared" si="14"/>
        <v>-6000</v>
      </c>
      <c r="K69" s="300">
        <f t="shared" si="14"/>
        <v>3800</v>
      </c>
      <c r="L69" s="300">
        <f t="shared" si="14"/>
        <v>-1000</v>
      </c>
    </row>
    <row r="70" spans="2:12">
      <c r="B70" s="1">
        <v>1999</v>
      </c>
      <c r="C70" s="300">
        <f t="shared" si="14"/>
        <v>-7900</v>
      </c>
      <c r="D70" s="300">
        <f t="shared" si="14"/>
        <v>-7400</v>
      </c>
      <c r="E70" s="300">
        <f t="shared" si="14"/>
        <v>-6700</v>
      </c>
      <c r="F70" s="300">
        <f t="shared" si="14"/>
        <v>-6700</v>
      </c>
      <c r="G70" s="300">
        <f t="shared" si="14"/>
        <v>-7000</v>
      </c>
      <c r="H70" s="300">
        <f t="shared" si="14"/>
        <v>7500</v>
      </c>
      <c r="I70" s="300">
        <f t="shared" si="14"/>
        <v>-4900</v>
      </c>
      <c r="J70" s="300">
        <f t="shared" si="14"/>
        <v>-6400</v>
      </c>
      <c r="K70" s="300">
        <f t="shared" si="14"/>
        <v>1900</v>
      </c>
      <c r="L70" s="300">
        <f t="shared" si="14"/>
        <v>-2000</v>
      </c>
    </row>
    <row r="71" spans="2:12">
      <c r="B71" s="1">
        <v>2000</v>
      </c>
      <c r="C71" s="300">
        <f t="shared" si="14"/>
        <v>-8100</v>
      </c>
      <c r="D71" s="300">
        <f t="shared" si="14"/>
        <v>-8000</v>
      </c>
      <c r="E71" s="300">
        <f t="shared" si="14"/>
        <v>-6800</v>
      </c>
      <c r="F71" s="300">
        <f t="shared" si="14"/>
        <v>-6900</v>
      </c>
      <c r="G71" s="300">
        <f t="shared" si="14"/>
        <v>-7000</v>
      </c>
      <c r="H71" s="300">
        <f t="shared" si="14"/>
        <v>7800</v>
      </c>
      <c r="I71" s="300">
        <f t="shared" si="14"/>
        <v>-5200</v>
      </c>
      <c r="J71" s="300">
        <f t="shared" si="14"/>
        <v>-7100</v>
      </c>
      <c r="K71" s="300">
        <f t="shared" si="14"/>
        <v>3100</v>
      </c>
      <c r="L71" s="300">
        <f t="shared" si="14"/>
        <v>-3400</v>
      </c>
    </row>
    <row r="72" spans="2:12">
      <c r="B72" s="1">
        <v>2001</v>
      </c>
      <c r="C72" s="300">
        <f t="shared" si="14"/>
        <v>-9600</v>
      </c>
      <c r="D72" s="300">
        <f t="shared" si="14"/>
        <v>-9000</v>
      </c>
      <c r="E72" s="300">
        <f t="shared" si="14"/>
        <v>-7400</v>
      </c>
      <c r="F72" s="300">
        <f t="shared" si="14"/>
        <v>-7600</v>
      </c>
      <c r="G72" s="300">
        <f t="shared" si="14"/>
        <v>-7100</v>
      </c>
      <c r="H72" s="300">
        <f t="shared" si="14"/>
        <v>7300</v>
      </c>
      <c r="I72" s="300">
        <f t="shared" si="14"/>
        <v>-5500</v>
      </c>
      <c r="J72" s="300">
        <f t="shared" si="14"/>
        <v>-6400</v>
      </c>
      <c r="K72" s="300">
        <f t="shared" si="14"/>
        <v>4800</v>
      </c>
      <c r="L72" s="300">
        <f t="shared" si="14"/>
        <v>-2800</v>
      </c>
    </row>
    <row r="73" spans="2:12">
      <c r="B73" s="1">
        <v>2002</v>
      </c>
      <c r="C73" s="300">
        <f t="shared" si="14"/>
        <v>-9500</v>
      </c>
      <c r="D73" s="300">
        <f t="shared" si="14"/>
        <v>-8200</v>
      </c>
      <c r="E73" s="300">
        <f t="shared" si="14"/>
        <v>-7300</v>
      </c>
      <c r="F73" s="300">
        <f t="shared" si="14"/>
        <v>-8500</v>
      </c>
      <c r="G73" s="300">
        <f t="shared" si="14"/>
        <v>-6700</v>
      </c>
      <c r="H73" s="300">
        <f t="shared" si="14"/>
        <v>7000</v>
      </c>
      <c r="I73" s="300">
        <f t="shared" si="14"/>
        <v>-4700</v>
      </c>
      <c r="J73" s="300">
        <f t="shared" si="14"/>
        <v>-6700</v>
      </c>
      <c r="K73" s="300">
        <f t="shared" si="14"/>
        <v>3500</v>
      </c>
      <c r="L73" s="300">
        <f t="shared" si="14"/>
        <v>-1900</v>
      </c>
    </row>
    <row r="74" spans="2:12">
      <c r="B74" s="1">
        <v>2003</v>
      </c>
      <c r="C74" s="300">
        <f t="shared" si="14"/>
        <v>-9500</v>
      </c>
      <c r="D74" s="300">
        <f t="shared" si="14"/>
        <v>-8000</v>
      </c>
      <c r="E74" s="300">
        <f t="shared" si="14"/>
        <v>-7700</v>
      </c>
      <c r="F74" s="300">
        <f t="shared" si="14"/>
        <v>-8100</v>
      </c>
      <c r="G74" s="300">
        <f t="shared" si="14"/>
        <v>-6800</v>
      </c>
      <c r="H74" s="300">
        <f t="shared" si="14"/>
        <v>7100</v>
      </c>
      <c r="I74" s="300">
        <f t="shared" si="14"/>
        <v>-5300</v>
      </c>
      <c r="J74" s="300">
        <f t="shared" si="14"/>
        <v>-5700</v>
      </c>
      <c r="K74" s="300">
        <f t="shared" si="14"/>
        <v>4200</v>
      </c>
      <c r="L74" s="300">
        <f t="shared" si="14"/>
        <v>-2600</v>
      </c>
    </row>
    <row r="75" spans="2:12">
      <c r="B75" s="1">
        <v>2004</v>
      </c>
      <c r="C75" s="300">
        <f t="shared" si="14"/>
        <v>-10200</v>
      </c>
      <c r="D75" s="300">
        <f t="shared" si="14"/>
        <v>-8000</v>
      </c>
      <c r="E75" s="300">
        <f t="shared" si="14"/>
        <v>-8100</v>
      </c>
      <c r="F75" s="300">
        <f t="shared" si="14"/>
        <v>-8300</v>
      </c>
      <c r="G75" s="300">
        <f t="shared" si="14"/>
        <v>-6700</v>
      </c>
      <c r="H75" s="300">
        <f t="shared" si="14"/>
        <v>6500</v>
      </c>
      <c r="I75" s="300">
        <f t="shared" si="14"/>
        <v>-5400</v>
      </c>
      <c r="J75" s="300">
        <f t="shared" si="14"/>
        <v>-7000</v>
      </c>
      <c r="K75" s="300">
        <f t="shared" si="14"/>
        <v>5300</v>
      </c>
      <c r="L75" s="300">
        <f t="shared" si="14"/>
        <v>-2100</v>
      </c>
    </row>
    <row r="76" spans="2:12">
      <c r="B76" s="1">
        <v>2005</v>
      </c>
      <c r="C76" s="300">
        <f t="shared" ref="C76:L76" si="15">C29-$B29</f>
        <v>-9100</v>
      </c>
      <c r="D76" s="300">
        <f t="shared" si="15"/>
        <v>-8200</v>
      </c>
      <c r="E76" s="300">
        <f t="shared" si="15"/>
        <v>-7200</v>
      </c>
      <c r="F76" s="300">
        <f t="shared" si="15"/>
        <v>-9300</v>
      </c>
      <c r="G76" s="300">
        <f t="shared" si="15"/>
        <v>-7800</v>
      </c>
      <c r="H76" s="300">
        <f t="shared" si="15"/>
        <v>6200</v>
      </c>
      <c r="I76" s="300">
        <f t="shared" si="15"/>
        <v>-5200</v>
      </c>
      <c r="J76" s="300">
        <f t="shared" si="15"/>
        <v>-5500</v>
      </c>
      <c r="K76" s="300">
        <f t="shared" si="15"/>
        <v>7200</v>
      </c>
      <c r="L76" s="300">
        <f t="shared" si="15"/>
        <v>-700</v>
      </c>
    </row>
    <row r="77" spans="2:12" s="961" customFormat="1">
      <c r="B77" s="961">
        <v>2006</v>
      </c>
      <c r="C77" s="300">
        <f t="shared" ref="C77:L77" si="16">C30-$B30</f>
        <v>-9000</v>
      </c>
      <c r="D77" s="300">
        <f t="shared" si="16"/>
        <v>-8100</v>
      </c>
      <c r="E77" s="300">
        <f t="shared" si="16"/>
        <v>-7600</v>
      </c>
      <c r="F77" s="300">
        <f t="shared" si="16"/>
        <v>-9500</v>
      </c>
      <c r="G77" s="300">
        <f t="shared" si="16"/>
        <v>-8200</v>
      </c>
      <c r="H77" s="300">
        <f t="shared" si="16"/>
        <v>5300</v>
      </c>
      <c r="I77" s="300">
        <f t="shared" si="16"/>
        <v>-5300</v>
      </c>
      <c r="J77" s="300">
        <f t="shared" si="16"/>
        <v>-4400</v>
      </c>
      <c r="K77" s="300">
        <f t="shared" si="16"/>
        <v>10500</v>
      </c>
      <c r="L77" s="300">
        <f t="shared" si="16"/>
        <v>-300</v>
      </c>
    </row>
    <row r="78" spans="2:12" s="961" customFormat="1">
      <c r="B78" s="961">
        <v>2007</v>
      </c>
      <c r="C78" s="300">
        <f t="shared" ref="C78:L78" si="17">C31-$B31</f>
        <v>-7400</v>
      </c>
      <c r="D78" s="300">
        <f t="shared" si="17"/>
        <v>-8900</v>
      </c>
      <c r="E78" s="300">
        <f t="shared" si="17"/>
        <v>-8700</v>
      </c>
      <c r="F78" s="300">
        <f t="shared" si="17"/>
        <v>-9500</v>
      </c>
      <c r="G78" s="300">
        <f t="shared" si="17"/>
        <v>-9300</v>
      </c>
      <c r="H78" s="300">
        <f t="shared" si="17"/>
        <v>5300</v>
      </c>
      <c r="I78" s="300">
        <f t="shared" si="17"/>
        <v>-4300</v>
      </c>
      <c r="J78" s="300">
        <f t="shared" si="17"/>
        <v>-3800</v>
      </c>
      <c r="K78" s="300">
        <f t="shared" si="17"/>
        <v>11500</v>
      </c>
      <c r="L78" s="300">
        <f t="shared" si="17"/>
        <v>200</v>
      </c>
    </row>
    <row r="79" spans="2:12" s="961" customFormat="1">
      <c r="C79" s="300"/>
      <c r="D79" s="300"/>
      <c r="E79" s="300"/>
      <c r="F79" s="300"/>
      <c r="G79" s="300"/>
      <c r="H79" s="300"/>
      <c r="I79" s="300"/>
      <c r="J79" s="300"/>
      <c r="K79" s="300"/>
      <c r="L79" s="300"/>
    </row>
    <row r="81" spans="2:12">
      <c r="B81" s="1" t="s">
        <v>280</v>
      </c>
    </row>
    <row r="82" spans="2:12">
      <c r="B82" s="1">
        <v>1981</v>
      </c>
      <c r="C82" s="300">
        <f>C52^2</f>
        <v>12250000</v>
      </c>
      <c r="D82" s="300">
        <f t="shared" ref="D82:L82" si="18">D52^2</f>
        <v>82810000</v>
      </c>
      <c r="E82" s="300">
        <f t="shared" si="18"/>
        <v>59290000</v>
      </c>
      <c r="F82" s="300">
        <f t="shared" si="18"/>
        <v>57760000</v>
      </c>
      <c r="G82" s="300">
        <f t="shared" si="18"/>
        <v>16000000</v>
      </c>
      <c r="H82" s="300">
        <f t="shared" si="18"/>
        <v>8410000</v>
      </c>
      <c r="I82" s="300">
        <f t="shared" si="18"/>
        <v>16000000</v>
      </c>
      <c r="J82" s="300">
        <f t="shared" si="18"/>
        <v>3240000</v>
      </c>
      <c r="K82" s="300">
        <f t="shared" si="18"/>
        <v>27040000</v>
      </c>
      <c r="L82" s="300">
        <f t="shared" si="18"/>
        <v>5290000</v>
      </c>
    </row>
    <row r="83" spans="2:12">
      <c r="B83" s="1">
        <v>1982</v>
      </c>
      <c r="C83" s="300">
        <f t="shared" ref="C83:L98" si="19">C53^2</f>
        <v>14440000</v>
      </c>
      <c r="D83" s="300">
        <f t="shared" si="19"/>
        <v>62410000</v>
      </c>
      <c r="E83" s="300">
        <f t="shared" si="19"/>
        <v>44890000</v>
      </c>
      <c r="F83" s="300">
        <f t="shared" si="19"/>
        <v>51840000</v>
      </c>
      <c r="G83" s="300">
        <f t="shared" si="19"/>
        <v>19360000</v>
      </c>
      <c r="H83" s="300">
        <f t="shared" si="19"/>
        <v>6250000</v>
      </c>
      <c r="I83" s="300">
        <f t="shared" si="19"/>
        <v>9000000</v>
      </c>
      <c r="J83" s="300">
        <f t="shared" si="19"/>
        <v>2560000</v>
      </c>
      <c r="K83" s="300">
        <f t="shared" si="19"/>
        <v>53290000</v>
      </c>
      <c r="L83" s="300">
        <f t="shared" si="19"/>
        <v>3610000</v>
      </c>
    </row>
    <row r="84" spans="2:12">
      <c r="B84" s="1">
        <v>1983</v>
      </c>
      <c r="C84" s="300">
        <f t="shared" si="19"/>
        <v>40960000</v>
      </c>
      <c r="D84" s="300">
        <f t="shared" si="19"/>
        <v>24010000</v>
      </c>
      <c r="E84" s="300">
        <f t="shared" si="19"/>
        <v>27040000</v>
      </c>
      <c r="F84" s="300">
        <f t="shared" si="19"/>
        <v>62410000</v>
      </c>
      <c r="G84" s="300">
        <f t="shared" si="19"/>
        <v>16810000</v>
      </c>
      <c r="H84" s="300">
        <f t="shared" si="19"/>
        <v>11560000</v>
      </c>
      <c r="I84" s="300">
        <f t="shared" si="19"/>
        <v>1000000</v>
      </c>
      <c r="J84" s="300">
        <f t="shared" si="19"/>
        <v>3240000</v>
      </c>
      <c r="K84" s="300">
        <f t="shared" si="19"/>
        <v>12250000</v>
      </c>
      <c r="L84" s="300">
        <f t="shared" si="19"/>
        <v>810000</v>
      </c>
    </row>
    <row r="85" spans="2:12">
      <c r="B85" s="1">
        <v>1984</v>
      </c>
      <c r="C85" s="300">
        <f t="shared" si="19"/>
        <v>31360000</v>
      </c>
      <c r="D85" s="300">
        <f t="shared" si="19"/>
        <v>40960000</v>
      </c>
      <c r="E85" s="300">
        <f t="shared" si="19"/>
        <v>21160000</v>
      </c>
      <c r="F85" s="300">
        <f t="shared" si="19"/>
        <v>27040000</v>
      </c>
      <c r="G85" s="300">
        <f t="shared" si="19"/>
        <v>12250000</v>
      </c>
      <c r="H85" s="300">
        <f t="shared" si="19"/>
        <v>14440000</v>
      </c>
      <c r="I85" s="300">
        <f t="shared" si="19"/>
        <v>3240000</v>
      </c>
      <c r="J85" s="300">
        <f t="shared" si="19"/>
        <v>6250000</v>
      </c>
      <c r="K85" s="300">
        <f t="shared" si="19"/>
        <v>2560000</v>
      </c>
      <c r="L85" s="300">
        <f t="shared" si="19"/>
        <v>360000</v>
      </c>
    </row>
    <row r="86" spans="2:12">
      <c r="B86" s="1">
        <v>1985</v>
      </c>
      <c r="C86" s="300">
        <f t="shared" si="19"/>
        <v>38440000</v>
      </c>
      <c r="D86" s="300">
        <f t="shared" si="19"/>
        <v>46240000</v>
      </c>
      <c r="E86" s="300">
        <f t="shared" si="19"/>
        <v>10890000</v>
      </c>
      <c r="F86" s="300">
        <f t="shared" si="19"/>
        <v>30250000</v>
      </c>
      <c r="G86" s="300">
        <f t="shared" si="19"/>
        <v>16810000</v>
      </c>
      <c r="H86" s="300">
        <f t="shared" si="19"/>
        <v>18490000</v>
      </c>
      <c r="I86" s="300">
        <f t="shared" si="19"/>
        <v>6760000</v>
      </c>
      <c r="J86" s="300">
        <f t="shared" si="19"/>
        <v>11560000</v>
      </c>
      <c r="K86" s="300">
        <f t="shared" si="19"/>
        <v>10240000</v>
      </c>
      <c r="L86" s="300">
        <f t="shared" si="19"/>
        <v>810000</v>
      </c>
    </row>
    <row r="87" spans="2:12">
      <c r="B87" s="1">
        <v>1986</v>
      </c>
      <c r="C87" s="300">
        <f t="shared" si="19"/>
        <v>73960000</v>
      </c>
      <c r="D87" s="300">
        <f t="shared" si="19"/>
        <v>49000000</v>
      </c>
      <c r="E87" s="300">
        <f t="shared" si="19"/>
        <v>25000000</v>
      </c>
      <c r="F87" s="300">
        <f t="shared" si="19"/>
        <v>38440000</v>
      </c>
      <c r="G87" s="300">
        <f t="shared" si="19"/>
        <v>17640000</v>
      </c>
      <c r="H87" s="300">
        <f t="shared" si="19"/>
        <v>23040000</v>
      </c>
      <c r="I87" s="300">
        <f t="shared" si="19"/>
        <v>6760000</v>
      </c>
      <c r="J87" s="300">
        <f t="shared" si="19"/>
        <v>22090000</v>
      </c>
      <c r="K87" s="300">
        <f t="shared" si="19"/>
        <v>4840000</v>
      </c>
      <c r="L87" s="300">
        <f t="shared" si="19"/>
        <v>490000</v>
      </c>
    </row>
    <row r="88" spans="2:12">
      <c r="B88" s="1">
        <v>1987</v>
      </c>
      <c r="C88" s="300">
        <f t="shared" si="19"/>
        <v>42250000</v>
      </c>
      <c r="D88" s="300">
        <f t="shared" si="19"/>
        <v>33640000</v>
      </c>
      <c r="E88" s="300">
        <f t="shared" si="19"/>
        <v>18490000</v>
      </c>
      <c r="F88" s="300">
        <f t="shared" si="19"/>
        <v>49000000</v>
      </c>
      <c r="G88" s="300">
        <f t="shared" si="19"/>
        <v>18490000</v>
      </c>
      <c r="H88" s="300">
        <f t="shared" si="19"/>
        <v>32490000</v>
      </c>
      <c r="I88" s="300">
        <f t="shared" si="19"/>
        <v>16000000</v>
      </c>
      <c r="J88" s="300">
        <f t="shared" si="19"/>
        <v>21160000</v>
      </c>
      <c r="K88" s="300">
        <f t="shared" si="19"/>
        <v>40000</v>
      </c>
      <c r="L88" s="300">
        <f t="shared" si="19"/>
        <v>2890000</v>
      </c>
    </row>
    <row r="89" spans="2:12">
      <c r="B89" s="1">
        <v>1988</v>
      </c>
      <c r="C89" s="300">
        <f t="shared" si="19"/>
        <v>31360000</v>
      </c>
      <c r="D89" s="300">
        <f t="shared" si="19"/>
        <v>64000000</v>
      </c>
      <c r="E89" s="300">
        <f t="shared" si="19"/>
        <v>30250000</v>
      </c>
      <c r="F89" s="300">
        <f t="shared" si="19"/>
        <v>44890000</v>
      </c>
      <c r="G89" s="300">
        <f t="shared" si="19"/>
        <v>30250000</v>
      </c>
      <c r="H89" s="300">
        <f t="shared" si="19"/>
        <v>42250000</v>
      </c>
      <c r="I89" s="300">
        <f t="shared" si="19"/>
        <v>16810000</v>
      </c>
      <c r="J89" s="300">
        <f t="shared" si="19"/>
        <v>36000000</v>
      </c>
      <c r="K89" s="300">
        <f t="shared" si="19"/>
        <v>90000</v>
      </c>
      <c r="L89" s="300">
        <f t="shared" si="19"/>
        <v>640000</v>
      </c>
    </row>
    <row r="90" spans="2:12">
      <c r="B90" s="1">
        <v>1989</v>
      </c>
      <c r="C90" s="300">
        <f t="shared" si="19"/>
        <v>25000000</v>
      </c>
      <c r="D90" s="300">
        <f t="shared" si="19"/>
        <v>56250000</v>
      </c>
      <c r="E90" s="300">
        <f t="shared" si="19"/>
        <v>31360000</v>
      </c>
      <c r="F90" s="300">
        <f t="shared" si="19"/>
        <v>42250000</v>
      </c>
      <c r="G90" s="300">
        <f t="shared" si="19"/>
        <v>27040000</v>
      </c>
      <c r="H90" s="300">
        <f t="shared" si="19"/>
        <v>43560000</v>
      </c>
      <c r="I90" s="300">
        <f t="shared" si="19"/>
        <v>15210000</v>
      </c>
      <c r="J90" s="300">
        <f t="shared" si="19"/>
        <v>44890000</v>
      </c>
      <c r="K90" s="300">
        <f t="shared" si="19"/>
        <v>90000</v>
      </c>
      <c r="L90" s="300">
        <f t="shared" si="19"/>
        <v>1690000</v>
      </c>
    </row>
    <row r="91" spans="2:12">
      <c r="B91" s="1">
        <v>1990</v>
      </c>
      <c r="C91" s="300">
        <f t="shared" si="19"/>
        <v>25000000</v>
      </c>
      <c r="D91" s="300">
        <f t="shared" si="19"/>
        <v>36000000</v>
      </c>
      <c r="E91" s="300">
        <f t="shared" si="19"/>
        <v>18490000</v>
      </c>
      <c r="F91" s="300">
        <f t="shared" si="19"/>
        <v>37210000</v>
      </c>
      <c r="G91" s="300">
        <f t="shared" si="19"/>
        <v>31360000</v>
      </c>
      <c r="H91" s="300">
        <f t="shared" si="19"/>
        <v>33640000</v>
      </c>
      <c r="I91" s="300">
        <f t="shared" si="19"/>
        <v>16000000</v>
      </c>
      <c r="J91" s="300">
        <f t="shared" si="19"/>
        <v>37210000</v>
      </c>
      <c r="K91" s="300">
        <f t="shared" si="19"/>
        <v>1440000</v>
      </c>
      <c r="L91" s="300">
        <f t="shared" si="19"/>
        <v>40000</v>
      </c>
    </row>
    <row r="92" spans="2:12">
      <c r="B92" s="1">
        <v>1991</v>
      </c>
      <c r="C92" s="300">
        <f t="shared" si="19"/>
        <v>25000000</v>
      </c>
      <c r="D92" s="300">
        <f t="shared" si="19"/>
        <v>33640000</v>
      </c>
      <c r="E92" s="300">
        <f t="shared" si="19"/>
        <v>23040000</v>
      </c>
      <c r="F92" s="300">
        <f t="shared" si="19"/>
        <v>30250000</v>
      </c>
      <c r="G92" s="300">
        <f t="shared" si="19"/>
        <v>27040000</v>
      </c>
      <c r="H92" s="300">
        <f t="shared" si="19"/>
        <v>26010000</v>
      </c>
      <c r="I92" s="300">
        <f t="shared" si="19"/>
        <v>18490000</v>
      </c>
      <c r="J92" s="300">
        <f t="shared" si="19"/>
        <v>36000000</v>
      </c>
      <c r="K92" s="300">
        <f t="shared" si="19"/>
        <v>5760000</v>
      </c>
      <c r="L92" s="300">
        <f t="shared" si="19"/>
        <v>10000</v>
      </c>
    </row>
    <row r="93" spans="2:12">
      <c r="B93" s="1">
        <v>1992</v>
      </c>
      <c r="C93" s="300">
        <f t="shared" si="19"/>
        <v>29160000</v>
      </c>
      <c r="D93" s="300">
        <f t="shared" si="19"/>
        <v>23040000</v>
      </c>
      <c r="E93" s="300">
        <f t="shared" si="19"/>
        <v>18490000</v>
      </c>
      <c r="F93" s="300">
        <f t="shared" si="19"/>
        <v>30250000</v>
      </c>
      <c r="G93" s="300">
        <f t="shared" si="19"/>
        <v>27040000</v>
      </c>
      <c r="H93" s="300">
        <f t="shared" si="19"/>
        <v>23040000</v>
      </c>
      <c r="I93" s="300">
        <f t="shared" si="19"/>
        <v>12960000</v>
      </c>
      <c r="J93" s="300">
        <f t="shared" si="19"/>
        <v>18490000</v>
      </c>
      <c r="K93" s="300">
        <f t="shared" si="19"/>
        <v>360000</v>
      </c>
      <c r="L93" s="300">
        <f t="shared" si="19"/>
        <v>1440000</v>
      </c>
    </row>
    <row r="94" spans="2:12">
      <c r="B94" s="1">
        <v>1993</v>
      </c>
      <c r="C94" s="300">
        <f t="shared" si="19"/>
        <v>28090000</v>
      </c>
      <c r="D94" s="300">
        <f t="shared" si="19"/>
        <v>27040000</v>
      </c>
      <c r="E94" s="300">
        <f t="shared" si="19"/>
        <v>17640000</v>
      </c>
      <c r="F94" s="300">
        <f t="shared" si="19"/>
        <v>24010000</v>
      </c>
      <c r="G94" s="300">
        <f t="shared" si="19"/>
        <v>32490000</v>
      </c>
      <c r="H94" s="300">
        <f t="shared" si="19"/>
        <v>27040000</v>
      </c>
      <c r="I94" s="300">
        <f t="shared" si="19"/>
        <v>16000000</v>
      </c>
      <c r="J94" s="300">
        <f t="shared" si="19"/>
        <v>28090000</v>
      </c>
      <c r="K94" s="300">
        <f t="shared" si="19"/>
        <v>4000000</v>
      </c>
      <c r="L94" s="300">
        <f t="shared" si="19"/>
        <v>360000</v>
      </c>
    </row>
    <row r="95" spans="2:12">
      <c r="B95" s="1">
        <v>1994</v>
      </c>
      <c r="C95" s="300">
        <f t="shared" si="19"/>
        <v>26010000</v>
      </c>
      <c r="D95" s="300">
        <f t="shared" si="19"/>
        <v>21160000</v>
      </c>
      <c r="E95" s="300">
        <f t="shared" si="19"/>
        <v>26010000</v>
      </c>
      <c r="F95" s="300">
        <f t="shared" si="19"/>
        <v>31360000</v>
      </c>
      <c r="G95" s="300">
        <f t="shared" si="19"/>
        <v>28090000</v>
      </c>
      <c r="H95" s="300">
        <f t="shared" si="19"/>
        <v>25000000</v>
      </c>
      <c r="I95" s="300">
        <f t="shared" si="19"/>
        <v>9000000</v>
      </c>
      <c r="J95" s="300">
        <f t="shared" si="19"/>
        <v>29160000</v>
      </c>
      <c r="K95" s="300">
        <f t="shared" si="19"/>
        <v>3240000</v>
      </c>
      <c r="L95" s="300">
        <f t="shared" si="19"/>
        <v>250000</v>
      </c>
    </row>
    <row r="96" spans="2:12">
      <c r="B96" s="1">
        <v>1995</v>
      </c>
      <c r="C96" s="300">
        <f t="shared" si="19"/>
        <v>37210000</v>
      </c>
      <c r="D96" s="300">
        <f t="shared" si="19"/>
        <v>25000000</v>
      </c>
      <c r="E96" s="300">
        <f t="shared" si="19"/>
        <v>33640000</v>
      </c>
      <c r="F96" s="300">
        <f t="shared" si="19"/>
        <v>28090000</v>
      </c>
      <c r="G96" s="300">
        <f t="shared" si="19"/>
        <v>31360000</v>
      </c>
      <c r="H96" s="300">
        <f t="shared" si="19"/>
        <v>28090000</v>
      </c>
      <c r="I96" s="300">
        <f t="shared" si="19"/>
        <v>8410000</v>
      </c>
      <c r="J96" s="300">
        <f t="shared" si="19"/>
        <v>22090000</v>
      </c>
      <c r="K96" s="300">
        <f t="shared" si="19"/>
        <v>2560000</v>
      </c>
      <c r="L96" s="300">
        <f t="shared" si="19"/>
        <v>250000</v>
      </c>
    </row>
    <row r="97" spans="2:14">
      <c r="B97" s="1">
        <v>1996</v>
      </c>
      <c r="C97" s="300">
        <f t="shared" si="19"/>
        <v>46240000</v>
      </c>
      <c r="D97" s="300">
        <f t="shared" si="19"/>
        <v>23040000</v>
      </c>
      <c r="E97" s="300">
        <f t="shared" si="19"/>
        <v>38440000</v>
      </c>
      <c r="F97" s="300">
        <f t="shared" si="19"/>
        <v>29160000</v>
      </c>
      <c r="G97" s="300">
        <f t="shared" si="19"/>
        <v>30250000</v>
      </c>
      <c r="H97" s="300">
        <f t="shared" si="19"/>
        <v>27040000</v>
      </c>
      <c r="I97" s="300">
        <f t="shared" si="19"/>
        <v>9000000</v>
      </c>
      <c r="J97" s="300">
        <f t="shared" si="19"/>
        <v>25000000</v>
      </c>
      <c r="K97" s="300">
        <f t="shared" si="19"/>
        <v>4000000</v>
      </c>
      <c r="L97" s="300">
        <f t="shared" si="19"/>
        <v>250000</v>
      </c>
    </row>
    <row r="98" spans="2:14">
      <c r="B98" s="1">
        <v>1997</v>
      </c>
      <c r="C98" s="300">
        <f t="shared" si="19"/>
        <v>62410000</v>
      </c>
      <c r="D98" s="300">
        <f t="shared" si="19"/>
        <v>38440000</v>
      </c>
      <c r="E98" s="300">
        <f t="shared" si="19"/>
        <v>39690000</v>
      </c>
      <c r="F98" s="300">
        <f t="shared" si="19"/>
        <v>38440000</v>
      </c>
      <c r="G98" s="300">
        <f t="shared" si="19"/>
        <v>38440000</v>
      </c>
      <c r="H98" s="300">
        <f t="shared" si="19"/>
        <v>30250000</v>
      </c>
      <c r="I98" s="300">
        <f t="shared" si="19"/>
        <v>12960000</v>
      </c>
      <c r="J98" s="300">
        <f t="shared" si="19"/>
        <v>24010000</v>
      </c>
      <c r="K98" s="300">
        <f t="shared" si="19"/>
        <v>14440000</v>
      </c>
      <c r="L98" s="300">
        <f t="shared" si="19"/>
        <v>40000</v>
      </c>
    </row>
    <row r="99" spans="2:14">
      <c r="B99" s="1">
        <v>1998</v>
      </c>
      <c r="C99" s="300">
        <f t="shared" ref="C99:L105" si="20">C69^2</f>
        <v>59290000</v>
      </c>
      <c r="D99" s="300">
        <f t="shared" si="20"/>
        <v>43560000</v>
      </c>
      <c r="E99" s="300">
        <f t="shared" si="20"/>
        <v>44890000</v>
      </c>
      <c r="F99" s="300">
        <f t="shared" si="20"/>
        <v>39690000</v>
      </c>
      <c r="G99" s="300">
        <f t="shared" si="20"/>
        <v>42250000</v>
      </c>
      <c r="H99" s="300">
        <f t="shared" si="20"/>
        <v>39690000</v>
      </c>
      <c r="I99" s="300">
        <f t="shared" si="20"/>
        <v>11560000</v>
      </c>
      <c r="J99" s="300">
        <f t="shared" si="20"/>
        <v>36000000</v>
      </c>
      <c r="K99" s="300">
        <f t="shared" si="20"/>
        <v>14440000</v>
      </c>
      <c r="L99" s="300">
        <f t="shared" si="20"/>
        <v>1000000</v>
      </c>
    </row>
    <row r="100" spans="2:14">
      <c r="B100" s="1">
        <v>1999</v>
      </c>
      <c r="C100" s="300">
        <f t="shared" si="20"/>
        <v>62410000</v>
      </c>
      <c r="D100" s="300">
        <f t="shared" si="20"/>
        <v>54760000</v>
      </c>
      <c r="E100" s="300">
        <f t="shared" si="20"/>
        <v>44890000</v>
      </c>
      <c r="F100" s="300">
        <f t="shared" si="20"/>
        <v>44890000</v>
      </c>
      <c r="G100" s="300">
        <f t="shared" si="20"/>
        <v>49000000</v>
      </c>
      <c r="H100" s="300">
        <f t="shared" si="20"/>
        <v>56250000</v>
      </c>
      <c r="I100" s="300">
        <f t="shared" si="20"/>
        <v>24010000</v>
      </c>
      <c r="J100" s="300">
        <f t="shared" si="20"/>
        <v>40960000</v>
      </c>
      <c r="K100" s="300">
        <f t="shared" si="20"/>
        <v>3610000</v>
      </c>
      <c r="L100" s="300">
        <f t="shared" si="20"/>
        <v>4000000</v>
      </c>
    </row>
    <row r="101" spans="2:14">
      <c r="B101" s="1">
        <v>2000</v>
      </c>
      <c r="C101" s="300">
        <f t="shared" si="20"/>
        <v>65610000</v>
      </c>
      <c r="D101" s="300">
        <f t="shared" si="20"/>
        <v>64000000</v>
      </c>
      <c r="E101" s="300">
        <f t="shared" si="20"/>
        <v>46240000</v>
      </c>
      <c r="F101" s="300">
        <f t="shared" si="20"/>
        <v>47610000</v>
      </c>
      <c r="G101" s="300">
        <f t="shared" si="20"/>
        <v>49000000</v>
      </c>
      <c r="H101" s="300">
        <f t="shared" si="20"/>
        <v>60840000</v>
      </c>
      <c r="I101" s="300">
        <f t="shared" si="20"/>
        <v>27040000</v>
      </c>
      <c r="J101" s="300">
        <f t="shared" si="20"/>
        <v>50410000</v>
      </c>
      <c r="K101" s="300">
        <f t="shared" si="20"/>
        <v>9610000</v>
      </c>
      <c r="L101" s="300">
        <f t="shared" si="20"/>
        <v>11560000</v>
      </c>
    </row>
    <row r="102" spans="2:14">
      <c r="B102" s="1">
        <v>2001</v>
      </c>
      <c r="C102" s="300">
        <f t="shared" si="20"/>
        <v>92160000</v>
      </c>
      <c r="D102" s="300">
        <f t="shared" si="20"/>
        <v>81000000</v>
      </c>
      <c r="E102" s="300">
        <f t="shared" si="20"/>
        <v>54760000</v>
      </c>
      <c r="F102" s="300">
        <f t="shared" si="20"/>
        <v>57760000</v>
      </c>
      <c r="G102" s="300">
        <f t="shared" si="20"/>
        <v>50410000</v>
      </c>
      <c r="H102" s="300">
        <f t="shared" si="20"/>
        <v>53290000</v>
      </c>
      <c r="I102" s="300">
        <f t="shared" si="20"/>
        <v>30250000</v>
      </c>
      <c r="J102" s="300">
        <f t="shared" si="20"/>
        <v>40960000</v>
      </c>
      <c r="K102" s="300">
        <f t="shared" si="20"/>
        <v>23040000</v>
      </c>
      <c r="L102" s="300">
        <f t="shared" si="20"/>
        <v>7840000</v>
      </c>
    </row>
    <row r="103" spans="2:14">
      <c r="B103" s="1">
        <v>2002</v>
      </c>
      <c r="C103" s="300">
        <f t="shared" si="20"/>
        <v>90250000</v>
      </c>
      <c r="D103" s="300">
        <f t="shared" si="20"/>
        <v>67240000</v>
      </c>
      <c r="E103" s="300">
        <f t="shared" si="20"/>
        <v>53290000</v>
      </c>
      <c r="F103" s="300">
        <f t="shared" si="20"/>
        <v>72250000</v>
      </c>
      <c r="G103" s="300">
        <f t="shared" si="20"/>
        <v>44890000</v>
      </c>
      <c r="H103" s="300">
        <f t="shared" si="20"/>
        <v>49000000</v>
      </c>
      <c r="I103" s="300">
        <f t="shared" si="20"/>
        <v>22090000</v>
      </c>
      <c r="J103" s="300">
        <f t="shared" si="20"/>
        <v>44890000</v>
      </c>
      <c r="K103" s="300">
        <f t="shared" si="20"/>
        <v>12250000</v>
      </c>
      <c r="L103" s="300">
        <f t="shared" si="20"/>
        <v>3610000</v>
      </c>
    </row>
    <row r="104" spans="2:14">
      <c r="B104" s="1">
        <v>2003</v>
      </c>
      <c r="C104" s="300">
        <f t="shared" si="20"/>
        <v>90250000</v>
      </c>
      <c r="D104" s="300">
        <f t="shared" si="20"/>
        <v>64000000</v>
      </c>
      <c r="E104" s="300">
        <f t="shared" si="20"/>
        <v>59290000</v>
      </c>
      <c r="F104" s="300">
        <f t="shared" si="20"/>
        <v>65610000</v>
      </c>
      <c r="G104" s="300">
        <f t="shared" si="20"/>
        <v>46240000</v>
      </c>
      <c r="H104" s="300">
        <f t="shared" si="20"/>
        <v>50410000</v>
      </c>
      <c r="I104" s="300">
        <f t="shared" si="20"/>
        <v>28090000</v>
      </c>
      <c r="J104" s="300">
        <f t="shared" si="20"/>
        <v>32490000</v>
      </c>
      <c r="K104" s="300">
        <f t="shared" si="20"/>
        <v>17640000</v>
      </c>
      <c r="L104" s="300">
        <f t="shared" si="20"/>
        <v>6760000</v>
      </c>
    </row>
    <row r="105" spans="2:14">
      <c r="B105" s="1">
        <v>2004</v>
      </c>
      <c r="C105" s="300">
        <f t="shared" si="20"/>
        <v>104040000</v>
      </c>
      <c r="D105" s="300">
        <f t="shared" si="20"/>
        <v>64000000</v>
      </c>
      <c r="E105" s="300">
        <f t="shared" si="20"/>
        <v>65610000</v>
      </c>
      <c r="F105" s="300">
        <f t="shared" si="20"/>
        <v>68890000</v>
      </c>
      <c r="G105" s="300">
        <f t="shared" si="20"/>
        <v>44890000</v>
      </c>
      <c r="H105" s="300">
        <f t="shared" si="20"/>
        <v>42250000</v>
      </c>
      <c r="I105" s="300">
        <f t="shared" si="20"/>
        <v>29160000</v>
      </c>
      <c r="J105" s="300">
        <f t="shared" si="20"/>
        <v>49000000</v>
      </c>
      <c r="K105" s="300">
        <f t="shared" si="20"/>
        <v>28090000</v>
      </c>
      <c r="L105" s="300">
        <f t="shared" si="20"/>
        <v>4410000</v>
      </c>
    </row>
    <row r="106" spans="2:14">
      <c r="B106" s="1">
        <v>2005</v>
      </c>
      <c r="C106" s="300">
        <f t="shared" ref="C106:L106" si="21">C76^2</f>
        <v>82810000</v>
      </c>
      <c r="D106" s="300">
        <f t="shared" si="21"/>
        <v>67240000</v>
      </c>
      <c r="E106" s="300">
        <f t="shared" si="21"/>
        <v>51840000</v>
      </c>
      <c r="F106" s="300">
        <f t="shared" si="21"/>
        <v>86490000</v>
      </c>
      <c r="G106" s="300">
        <f t="shared" si="21"/>
        <v>60840000</v>
      </c>
      <c r="H106" s="300">
        <f t="shared" si="21"/>
        <v>38440000</v>
      </c>
      <c r="I106" s="300">
        <f t="shared" si="21"/>
        <v>27040000</v>
      </c>
      <c r="J106" s="300">
        <f t="shared" si="21"/>
        <v>30250000</v>
      </c>
      <c r="K106" s="300">
        <f t="shared" si="21"/>
        <v>51840000</v>
      </c>
      <c r="L106" s="300">
        <f t="shared" si="21"/>
        <v>490000</v>
      </c>
    </row>
    <row r="107" spans="2:14" s="961" customFormat="1">
      <c r="B107" s="961">
        <v>2006</v>
      </c>
      <c r="C107" s="300">
        <f t="shared" ref="C107:L107" si="22">C77^2</f>
        <v>81000000</v>
      </c>
      <c r="D107" s="300">
        <f t="shared" si="22"/>
        <v>65610000</v>
      </c>
      <c r="E107" s="300">
        <f t="shared" si="22"/>
        <v>57760000</v>
      </c>
      <c r="F107" s="300">
        <f t="shared" si="22"/>
        <v>90250000</v>
      </c>
      <c r="G107" s="300">
        <f t="shared" si="22"/>
        <v>67240000</v>
      </c>
      <c r="H107" s="300">
        <f t="shared" si="22"/>
        <v>28090000</v>
      </c>
      <c r="I107" s="300">
        <f t="shared" si="22"/>
        <v>28090000</v>
      </c>
      <c r="J107" s="300">
        <f t="shared" si="22"/>
        <v>19360000</v>
      </c>
      <c r="K107" s="300">
        <f t="shared" si="22"/>
        <v>110250000</v>
      </c>
      <c r="L107" s="300">
        <f t="shared" si="22"/>
        <v>90000</v>
      </c>
    </row>
    <row r="108" spans="2:14" s="961" customFormat="1">
      <c r="B108" s="961">
        <v>2007</v>
      </c>
      <c r="C108" s="300">
        <f t="shared" ref="C108:L108" si="23">C78^2</f>
        <v>54760000</v>
      </c>
      <c r="D108" s="300">
        <f t="shared" si="23"/>
        <v>79210000</v>
      </c>
      <c r="E108" s="300">
        <f t="shared" si="23"/>
        <v>75690000</v>
      </c>
      <c r="F108" s="300">
        <f t="shared" si="23"/>
        <v>90250000</v>
      </c>
      <c r="G108" s="300">
        <f t="shared" si="23"/>
        <v>86490000</v>
      </c>
      <c r="H108" s="300">
        <f t="shared" si="23"/>
        <v>28090000</v>
      </c>
      <c r="I108" s="300">
        <f t="shared" si="23"/>
        <v>18490000</v>
      </c>
      <c r="J108" s="300">
        <f t="shared" si="23"/>
        <v>14440000</v>
      </c>
      <c r="K108" s="300">
        <f t="shared" si="23"/>
        <v>132250000</v>
      </c>
      <c r="L108" s="300">
        <f t="shared" si="23"/>
        <v>40000</v>
      </c>
    </row>
    <row r="109" spans="2:14" s="961" customFormat="1">
      <c r="C109" s="300"/>
      <c r="D109" s="300"/>
      <c r="E109" s="300"/>
      <c r="F109" s="300"/>
      <c r="G109" s="300"/>
      <c r="H109" s="300"/>
      <c r="I109" s="300"/>
      <c r="J109" s="300"/>
      <c r="K109" s="300"/>
      <c r="L109" s="300"/>
    </row>
    <row r="110" spans="2:14">
      <c r="C110" s="961"/>
      <c r="D110" s="961"/>
      <c r="E110" s="961"/>
      <c r="F110" s="961"/>
      <c r="G110" s="961"/>
      <c r="H110" s="961"/>
      <c r="I110" s="961"/>
      <c r="J110" s="961"/>
      <c r="K110" s="961"/>
      <c r="L110" s="961"/>
      <c r="M110" s="961"/>
      <c r="N110" s="961"/>
    </row>
    <row r="111" spans="2:14">
      <c r="C111" s="961"/>
      <c r="D111" s="961"/>
      <c r="E111" s="961"/>
      <c r="F111" s="961"/>
      <c r="G111" s="961"/>
      <c r="H111" s="961"/>
      <c r="I111" s="961"/>
      <c r="J111" s="961"/>
      <c r="K111" s="961"/>
      <c r="L111" s="961"/>
      <c r="M111" s="961"/>
      <c r="N111" s="961"/>
    </row>
    <row r="112" spans="2:14">
      <c r="C112" s="961"/>
      <c r="D112" s="415"/>
      <c r="E112" s="415"/>
      <c r="F112" s="415"/>
      <c r="G112" s="415"/>
      <c r="H112" s="415"/>
      <c r="I112" s="415"/>
      <c r="J112" s="415"/>
      <c r="K112" s="415"/>
      <c r="L112" s="415"/>
      <c r="M112" s="415"/>
      <c r="N112" s="961"/>
    </row>
    <row r="113" spans="3:14">
      <c r="C113" s="961"/>
      <c r="D113" s="415"/>
      <c r="E113" s="415"/>
      <c r="F113" s="415"/>
      <c r="G113" s="415"/>
      <c r="H113" s="415"/>
      <c r="I113" s="415"/>
      <c r="J113" s="415"/>
      <c r="K113" s="415"/>
      <c r="L113" s="415"/>
      <c r="M113" s="415"/>
      <c r="N113" s="961"/>
    </row>
    <row r="114" spans="3:14">
      <c r="C114" s="961"/>
      <c r="D114" s="415"/>
      <c r="E114" s="415"/>
      <c r="F114" s="415"/>
      <c r="G114" s="415"/>
      <c r="H114" s="415"/>
      <c r="I114" s="415"/>
      <c r="J114" s="415"/>
      <c r="K114" s="415"/>
      <c r="L114" s="415"/>
      <c r="M114" s="415"/>
      <c r="N114" s="961"/>
    </row>
    <row r="115" spans="3:14">
      <c r="C115" s="961"/>
      <c r="D115" s="415"/>
      <c r="E115" s="415"/>
      <c r="F115" s="415"/>
      <c r="G115" s="415"/>
      <c r="H115" s="415"/>
      <c r="I115" s="415"/>
      <c r="J115" s="415"/>
      <c r="K115" s="415"/>
      <c r="L115" s="415"/>
      <c r="M115" s="415"/>
      <c r="N115" s="961"/>
    </row>
    <row r="116" spans="3:14">
      <c r="C116" s="961"/>
      <c r="D116" s="415"/>
      <c r="E116" s="415"/>
      <c r="F116" s="415"/>
      <c r="G116" s="415"/>
      <c r="H116" s="415"/>
      <c r="I116" s="415"/>
      <c r="J116" s="415"/>
      <c r="K116" s="415"/>
      <c r="L116" s="415"/>
      <c r="M116" s="415"/>
      <c r="N116" s="961"/>
    </row>
    <row r="117" spans="3:14">
      <c r="C117" s="961"/>
      <c r="D117" s="415"/>
      <c r="E117" s="415"/>
      <c r="F117" s="415"/>
      <c r="G117" s="415"/>
      <c r="H117" s="415"/>
      <c r="I117" s="415"/>
      <c r="J117" s="415"/>
      <c r="K117" s="415"/>
      <c r="L117" s="415"/>
      <c r="M117" s="415"/>
      <c r="N117" s="961"/>
    </row>
    <row r="118" spans="3:14">
      <c r="C118" s="961"/>
      <c r="D118" s="415"/>
      <c r="E118" s="415"/>
      <c r="F118" s="415"/>
      <c r="G118" s="415"/>
      <c r="H118" s="415"/>
      <c r="I118" s="415"/>
      <c r="J118" s="415"/>
      <c r="K118" s="415"/>
      <c r="L118" s="415"/>
      <c r="M118" s="415"/>
      <c r="N118" s="961"/>
    </row>
    <row r="119" spans="3:14">
      <c r="C119" s="961"/>
      <c r="D119" s="415"/>
      <c r="E119" s="415"/>
      <c r="F119" s="415"/>
      <c r="G119" s="415"/>
      <c r="H119" s="415"/>
      <c r="I119" s="415"/>
      <c r="J119" s="415"/>
      <c r="K119" s="415"/>
      <c r="L119" s="415"/>
      <c r="M119" s="415"/>
      <c r="N119" s="961"/>
    </row>
    <row r="120" spans="3:14">
      <c r="C120" s="961"/>
      <c r="D120" s="415"/>
      <c r="E120" s="415"/>
      <c r="F120" s="415"/>
      <c r="G120" s="415"/>
      <c r="H120" s="415"/>
      <c r="I120" s="415"/>
      <c r="J120" s="415"/>
      <c r="K120" s="415"/>
      <c r="L120" s="415"/>
      <c r="M120" s="415"/>
      <c r="N120" s="961"/>
    </row>
    <row r="121" spans="3:14">
      <c r="C121" s="961"/>
      <c r="D121" s="415"/>
      <c r="E121" s="415"/>
      <c r="F121" s="415"/>
      <c r="G121" s="415"/>
      <c r="H121" s="415"/>
      <c r="I121" s="415"/>
      <c r="J121" s="415"/>
      <c r="K121" s="415"/>
      <c r="L121" s="415"/>
      <c r="M121" s="415"/>
      <c r="N121" s="961"/>
    </row>
    <row r="122" spans="3:14">
      <c r="C122" s="961"/>
      <c r="D122" s="415"/>
      <c r="E122" s="415"/>
      <c r="F122" s="415"/>
      <c r="G122" s="415"/>
      <c r="H122" s="415"/>
      <c r="I122" s="415"/>
      <c r="J122" s="415"/>
      <c r="K122" s="415"/>
      <c r="L122" s="415"/>
      <c r="M122" s="415"/>
      <c r="N122" s="961"/>
    </row>
    <row r="123" spans="3:14">
      <c r="C123" s="961"/>
      <c r="D123" s="415"/>
      <c r="E123" s="415"/>
      <c r="F123" s="415"/>
      <c r="G123" s="415"/>
      <c r="H123" s="415"/>
      <c r="I123" s="415"/>
      <c r="J123" s="415"/>
      <c r="K123" s="415"/>
      <c r="L123" s="415"/>
      <c r="M123" s="415"/>
      <c r="N123" s="961"/>
    </row>
    <row r="124" spans="3:14">
      <c r="C124" s="961"/>
      <c r="D124" s="415"/>
      <c r="E124" s="415"/>
      <c r="F124" s="415"/>
      <c r="G124" s="415"/>
      <c r="H124" s="415"/>
      <c r="I124" s="415"/>
      <c r="J124" s="415"/>
      <c r="K124" s="415"/>
      <c r="L124" s="415"/>
      <c r="M124" s="415"/>
      <c r="N124" s="961"/>
    </row>
    <row r="125" spans="3:14">
      <c r="C125" s="961"/>
      <c r="D125" s="415"/>
      <c r="E125" s="415"/>
      <c r="F125" s="415"/>
      <c r="G125" s="415"/>
      <c r="H125" s="415"/>
      <c r="I125" s="415"/>
      <c r="J125" s="415"/>
      <c r="K125" s="415"/>
      <c r="L125" s="415"/>
      <c r="M125" s="415"/>
      <c r="N125" s="961"/>
    </row>
    <row r="126" spans="3:14">
      <c r="C126" s="961"/>
      <c r="D126" s="415"/>
      <c r="E126" s="415"/>
      <c r="F126" s="415"/>
      <c r="G126" s="415"/>
      <c r="H126" s="415"/>
      <c r="I126" s="415"/>
      <c r="J126" s="415"/>
      <c r="K126" s="415"/>
      <c r="L126" s="415"/>
      <c r="M126" s="415"/>
      <c r="N126" s="961"/>
    </row>
    <row r="127" spans="3:14">
      <c r="C127" s="961"/>
      <c r="D127" s="415"/>
      <c r="E127" s="415"/>
      <c r="F127" s="415"/>
      <c r="G127" s="415"/>
      <c r="H127" s="415"/>
      <c r="I127" s="415"/>
      <c r="J127" s="415"/>
      <c r="K127" s="415"/>
      <c r="L127" s="415"/>
      <c r="M127" s="415"/>
      <c r="N127" s="961"/>
    </row>
    <row r="128" spans="3:14">
      <c r="C128" s="961"/>
      <c r="D128" s="415"/>
      <c r="E128" s="415"/>
      <c r="F128" s="415"/>
      <c r="G128" s="415"/>
      <c r="H128" s="415"/>
      <c r="I128" s="415"/>
      <c r="J128" s="415"/>
      <c r="K128" s="415"/>
      <c r="L128" s="415"/>
      <c r="M128" s="415"/>
      <c r="N128" s="961"/>
    </row>
    <row r="129" spans="3:14">
      <c r="C129" s="961"/>
      <c r="D129" s="415"/>
      <c r="E129" s="415"/>
      <c r="F129" s="415"/>
      <c r="G129" s="415"/>
      <c r="H129" s="415"/>
      <c r="I129" s="415"/>
      <c r="J129" s="415"/>
      <c r="K129" s="415"/>
      <c r="L129" s="415"/>
      <c r="M129" s="415"/>
      <c r="N129" s="961"/>
    </row>
    <row r="130" spans="3:14">
      <c r="C130" s="961"/>
      <c r="D130" s="415"/>
      <c r="E130" s="415"/>
      <c r="F130" s="415"/>
      <c r="G130" s="415"/>
      <c r="H130" s="415"/>
      <c r="I130" s="415"/>
      <c r="J130" s="415"/>
      <c r="K130" s="415"/>
      <c r="L130" s="415"/>
      <c r="M130" s="415"/>
      <c r="N130" s="961"/>
    </row>
    <row r="131" spans="3:14">
      <c r="C131" s="961"/>
      <c r="D131" s="415"/>
      <c r="E131" s="415"/>
      <c r="F131" s="415"/>
      <c r="G131" s="415"/>
      <c r="H131" s="415"/>
      <c r="I131" s="415"/>
      <c r="J131" s="415"/>
      <c r="K131" s="415"/>
      <c r="L131" s="415"/>
      <c r="M131" s="415"/>
      <c r="N131" s="961"/>
    </row>
    <row r="132" spans="3:14">
      <c r="C132" s="961"/>
      <c r="D132" s="415"/>
      <c r="E132" s="415"/>
      <c r="F132" s="415"/>
      <c r="G132" s="415"/>
      <c r="H132" s="415"/>
      <c r="I132" s="415"/>
      <c r="J132" s="415"/>
      <c r="K132" s="415"/>
      <c r="L132" s="415"/>
      <c r="M132" s="415"/>
      <c r="N132" s="961"/>
    </row>
    <row r="133" spans="3:14">
      <c r="C133" s="961"/>
      <c r="D133" s="415"/>
      <c r="E133" s="415"/>
      <c r="F133" s="415"/>
      <c r="G133" s="415"/>
      <c r="H133" s="415"/>
      <c r="I133" s="415"/>
      <c r="J133" s="415"/>
      <c r="K133" s="415"/>
      <c r="L133" s="415"/>
      <c r="M133" s="415"/>
      <c r="N133" s="961"/>
    </row>
    <row r="134" spans="3:14">
      <c r="C134" s="961"/>
      <c r="D134" s="415"/>
      <c r="E134" s="415"/>
      <c r="F134" s="415"/>
      <c r="G134" s="415"/>
      <c r="H134" s="415"/>
      <c r="I134" s="415"/>
      <c r="J134" s="415"/>
      <c r="K134" s="415"/>
      <c r="L134" s="415"/>
      <c r="M134" s="415"/>
      <c r="N134" s="961"/>
    </row>
    <row r="135" spans="3:14">
      <c r="C135" s="961"/>
      <c r="D135" s="415"/>
      <c r="E135" s="415"/>
      <c r="F135" s="415"/>
      <c r="G135" s="415"/>
      <c r="H135" s="415"/>
      <c r="I135" s="415"/>
      <c r="J135" s="415"/>
      <c r="K135" s="415"/>
      <c r="L135" s="415"/>
      <c r="M135" s="415"/>
      <c r="N135" s="961"/>
    </row>
    <row r="136" spans="3:14">
      <c r="C136" s="961"/>
      <c r="D136" s="415"/>
      <c r="E136" s="415"/>
      <c r="F136" s="415"/>
      <c r="G136" s="415"/>
      <c r="H136" s="415"/>
      <c r="I136" s="415"/>
      <c r="J136" s="415"/>
      <c r="K136" s="415"/>
      <c r="L136" s="415"/>
      <c r="M136" s="415"/>
      <c r="N136" s="961"/>
    </row>
    <row r="137" spans="3:14">
      <c r="C137" s="961"/>
      <c r="D137" s="415"/>
      <c r="E137" s="415"/>
      <c r="F137" s="415"/>
      <c r="G137" s="415"/>
      <c r="H137" s="415"/>
      <c r="I137" s="415"/>
      <c r="J137" s="415"/>
      <c r="K137" s="415"/>
      <c r="L137" s="415"/>
      <c r="M137" s="415"/>
      <c r="N137" s="961"/>
    </row>
    <row r="138" spans="3:14">
      <c r="C138" s="961"/>
      <c r="D138" s="415"/>
      <c r="E138" s="415"/>
      <c r="F138" s="415"/>
      <c r="G138" s="415"/>
      <c r="H138" s="415"/>
      <c r="I138" s="415"/>
      <c r="J138" s="415"/>
      <c r="K138" s="415"/>
      <c r="L138" s="415"/>
      <c r="M138" s="415"/>
      <c r="N138" s="961"/>
    </row>
  </sheetData>
  <mergeCells count="14">
    <mergeCell ref="A47:L47"/>
    <mergeCell ref="A43:L43"/>
    <mergeCell ref="H3:H4"/>
    <mergeCell ref="I3:I4"/>
    <mergeCell ref="J3:J4"/>
    <mergeCell ref="K3:K4"/>
    <mergeCell ref="B3:B4"/>
    <mergeCell ref="C3:C4"/>
    <mergeCell ref="D3:D4"/>
    <mergeCell ref="E3:E4"/>
    <mergeCell ref="F3:F4"/>
    <mergeCell ref="G3:G4"/>
    <mergeCell ref="L3:L4"/>
    <mergeCell ref="A46:L46"/>
  </mergeCells>
  <phoneticPr fontId="35" type="noConversion"/>
  <pageMargins left="0.75" right="0.75" top="1" bottom="1" header="0.5" footer="0.5"/>
  <pageSetup scale="72" orientation="landscape" horizontalDpi="300" verticalDpi="300" r:id="rId1"/>
  <headerFooter alignWithMargins="0"/>
</worksheet>
</file>

<file path=xl/worksheets/sheet39.xml><?xml version="1.0" encoding="utf-8"?>
<worksheet xmlns="http://schemas.openxmlformats.org/spreadsheetml/2006/main" xmlns:r="http://schemas.openxmlformats.org/officeDocument/2006/relationships">
  <sheetPr codeName="Sheet34">
    <pageSetUpPr fitToPage="1"/>
  </sheetPr>
  <dimension ref="A1:Q10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5" width="8.85546875" style="1" customWidth="1"/>
    <col min="16" max="17" width="9.42578125" style="1" hidden="1" customWidth="1"/>
    <col min="18" max="16384" width="8.85546875" style="1"/>
  </cols>
  <sheetData>
    <row r="1" spans="1:17" ht="15.75">
      <c r="A1" s="4"/>
      <c r="B1" s="3" t="s">
        <v>2123</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N4" s="968" t="s">
        <v>282</v>
      </c>
      <c r="O4" s="968" t="s">
        <v>282</v>
      </c>
      <c r="P4" s="645" t="s">
        <v>281</v>
      </c>
      <c r="Q4" s="645" t="s">
        <v>281</v>
      </c>
    </row>
    <row r="5" spans="1:17">
      <c r="A5" s="2">
        <v>1981</v>
      </c>
      <c r="B5" s="135">
        <f>'11a'!B5/'11a'!$B5*100</f>
        <v>100</v>
      </c>
      <c r="C5" s="10">
        <f>'11a'!C5/'11a'!$B5*100</f>
        <v>83.925233644859816</v>
      </c>
      <c r="D5" s="10">
        <f>'11a'!D5/'11a'!$B5*100</f>
        <v>69.719626168224309</v>
      </c>
      <c r="E5" s="10">
        <f>'11a'!E5/'11a'!$B5*100</f>
        <v>77.383177570093451</v>
      </c>
      <c r="F5" s="10">
        <f>'11a'!F5/'11a'!$B5*100</f>
        <v>75.514018691588774</v>
      </c>
      <c r="G5" s="10">
        <f>'11a'!G5/'11a'!$B5*100</f>
        <v>90.467289719626166</v>
      </c>
      <c r="H5" s="10">
        <f>'11a'!H5/'11a'!$B5*100</f>
        <v>106.72897196261681</v>
      </c>
      <c r="I5" s="10">
        <f>'11a'!I5/'11a'!$B5*100</f>
        <v>90.09345794392523</v>
      </c>
      <c r="J5" s="10">
        <f>'11a'!J5/'11a'!$B5*100</f>
        <v>96.074766355140184</v>
      </c>
      <c r="K5" s="10">
        <f>'11a'!K5/'11a'!$B5*100</f>
        <v>116.26168224299064</v>
      </c>
      <c r="L5" s="10">
        <f>'11a'!L5/'11a'!$B5*100</f>
        <v>106.91588785046729</v>
      </c>
      <c r="M5" s="133"/>
      <c r="N5" s="19">
        <f>SUM(C81:L81)/10</f>
        <v>284.8353567997205</v>
      </c>
      <c r="O5" s="19">
        <f>SQRT(N5)</f>
        <v>16.877066000929204</v>
      </c>
      <c r="P5" s="19">
        <f>Q5^2</f>
        <v>209.29164119136985</v>
      </c>
      <c r="Q5" s="19">
        <f>STDEVP(C5:L5)</f>
        <v>14.466915400021175</v>
      </c>
    </row>
    <row r="6" spans="1:17">
      <c r="A6" s="2">
        <v>1982</v>
      </c>
      <c r="B6" s="135">
        <f>'11a'!B6/'11a'!$B6*100</f>
        <v>100</v>
      </c>
      <c r="C6" s="10">
        <f>'11a'!C6/'11a'!$B6*100</f>
        <v>80.859375</v>
      </c>
      <c r="D6" s="10">
        <f>'11a'!D6/'11a'!$B6*100</f>
        <v>72.0703125</v>
      </c>
      <c r="E6" s="10">
        <f>'11a'!E6/'11a'!$B6*100</f>
        <v>78.90625</v>
      </c>
      <c r="F6" s="10">
        <f>'11a'!F6/'11a'!$B6*100</f>
        <v>75.78125</v>
      </c>
      <c r="G6" s="10">
        <f>'11a'!G6/'11a'!$B6*100</f>
        <v>89.2578125</v>
      </c>
      <c r="H6" s="10">
        <f>'11a'!H6/'11a'!$B6*100</f>
        <v>106.4453125</v>
      </c>
      <c r="I6" s="10">
        <f>'11a'!I6/'11a'!$B6*100</f>
        <v>91.6015625</v>
      </c>
      <c r="J6" s="10">
        <f>'11a'!J6/'11a'!$B6*100</f>
        <v>95.8984375</v>
      </c>
      <c r="K6" s="10">
        <f>'11a'!K6/'11a'!$B6*100</f>
        <v>121.875</v>
      </c>
      <c r="L6" s="10">
        <f>'11a'!L6/'11a'!$B6*100</f>
        <v>105.2734375</v>
      </c>
      <c r="N6" s="19">
        <f t="shared" ref="N6:N28" si="0">SUM(C82:L82)/10</f>
        <v>292.85430908203125</v>
      </c>
      <c r="O6" s="19">
        <f t="shared" ref="O6:O29" si="1">SQRT(N6)</f>
        <v>17.112986562316678</v>
      </c>
      <c r="P6" s="19">
        <f t="shared" ref="P6:P28" si="2">Q6^2</f>
        <v>225.56304931640622</v>
      </c>
      <c r="Q6" s="19">
        <f t="shared" ref="Q6:Q28" si="3">STDEVP(C6:L6)</f>
        <v>15.018756583565972</v>
      </c>
    </row>
    <row r="7" spans="1:17">
      <c r="A7" s="2">
        <v>1983</v>
      </c>
      <c r="B7" s="135">
        <f>'11a'!B7/'11a'!$B7*100</f>
        <v>100</v>
      </c>
      <c r="C7" s="10">
        <f>'11a'!C7/'11a'!$B7*100</f>
        <v>74.044265593561363</v>
      </c>
      <c r="D7" s="10">
        <f>'11a'!D7/'11a'!$B7*100</f>
        <v>76.458752515090538</v>
      </c>
      <c r="E7" s="10">
        <f>'11a'!E7/'11a'!$B7*100</f>
        <v>81.287726358148888</v>
      </c>
      <c r="F7" s="10">
        <f>'11a'!F7/'11a'!$B7*100</f>
        <v>73.843058350100605</v>
      </c>
      <c r="G7" s="10">
        <f>'11a'!G7/'11a'!$B7*100</f>
        <v>90.140845070422543</v>
      </c>
      <c r="H7" s="10">
        <f>'11a'!H7/'11a'!$B7*100</f>
        <v>109.6579476861167</v>
      </c>
      <c r="I7" s="10">
        <f>'11a'!I7/'11a'!$B7*100</f>
        <v>95.17102615694165</v>
      </c>
      <c r="J7" s="10">
        <f>'11a'!J7/'11a'!$B7*100</f>
        <v>94.567404426559349</v>
      </c>
      <c r="K7" s="10">
        <f>'11a'!K7/'11a'!$B7*100</f>
        <v>110.66398390342052</v>
      </c>
      <c r="L7" s="10">
        <f>'11a'!L7/'11a'!$B7*100</f>
        <v>103.01810865191148</v>
      </c>
      <c r="N7" s="19">
        <f t="shared" si="0"/>
        <v>262.83657680489381</v>
      </c>
      <c r="O7" s="19">
        <f t="shared" si="1"/>
        <v>16.212235404314047</v>
      </c>
      <c r="P7" s="19">
        <f t="shared" si="2"/>
        <v>179.75903712010481</v>
      </c>
      <c r="Q7" s="19">
        <f t="shared" si="3"/>
        <v>13.407424701265519</v>
      </c>
    </row>
    <row r="8" spans="1:17">
      <c r="A8" s="2">
        <v>1984</v>
      </c>
      <c r="B8" s="135">
        <f>'11a'!B8/'11a'!$B8*100</f>
        <v>100</v>
      </c>
      <c r="C8" s="10">
        <f>'11a'!C8/'11a'!$B8*100</f>
        <v>74.446680080482892</v>
      </c>
      <c r="D8" s="10">
        <f>'11a'!D8/'11a'!$B8*100</f>
        <v>74.245472837022135</v>
      </c>
      <c r="E8" s="10">
        <f>'11a'!E8/'11a'!$B8*100</f>
        <v>83.702213279678077</v>
      </c>
      <c r="F8" s="10">
        <f>'11a'!F8/'11a'!$B8*100</f>
        <v>79.879275653923543</v>
      </c>
      <c r="G8" s="10">
        <f>'11a'!G8/'11a'!$B8*100</f>
        <v>91.348088531187116</v>
      </c>
      <c r="H8" s="10">
        <f>'11a'!H8/'11a'!$B8*100</f>
        <v>111.46881287726357</v>
      </c>
      <c r="I8" s="10">
        <f>'11a'!I8/'11a'!$B8*100</f>
        <v>93.963782696177063</v>
      </c>
      <c r="J8" s="10">
        <f>'11a'!J8/'11a'!$B8*100</f>
        <v>91.951710261569417</v>
      </c>
      <c r="K8" s="10">
        <f>'11a'!K8/'11a'!$B8*100</f>
        <v>106.03621730382294</v>
      </c>
      <c r="L8" s="10">
        <f>'11a'!L8/'11a'!$B8*100</f>
        <v>97.183098591549296</v>
      </c>
      <c r="N8" s="19">
        <f t="shared" si="0"/>
        <v>233.87002093041141</v>
      </c>
      <c r="O8" s="19">
        <f t="shared" si="1"/>
        <v>15.292809451844073</v>
      </c>
      <c r="P8" s="19">
        <f t="shared" si="2"/>
        <v>142.1421891510021</v>
      </c>
      <c r="Q8" s="19">
        <f t="shared" si="3"/>
        <v>11.922339919286067</v>
      </c>
    </row>
    <row r="9" spans="1:17">
      <c r="A9" s="2">
        <v>1985</v>
      </c>
      <c r="B9" s="135">
        <f>'11a'!B9/'11a'!$B9*100</f>
        <v>100</v>
      </c>
      <c r="C9" s="10">
        <f>'11a'!C9/'11a'!$B9*100</f>
        <v>73.870333988212181</v>
      </c>
      <c r="D9" s="10">
        <f>'11a'!D9/'11a'!$B9*100</f>
        <v>72.495088408644406</v>
      </c>
      <c r="E9" s="10">
        <f>'11a'!E9/'11a'!$B9*100</f>
        <v>87.622789783889971</v>
      </c>
      <c r="F9" s="10">
        <f>'11a'!F9/'11a'!$B9*100</f>
        <v>78.978388998035371</v>
      </c>
      <c r="G9" s="10">
        <f>'11a'!G9/'11a'!$B9*100</f>
        <v>89.194499017681721</v>
      </c>
      <c r="H9" s="10">
        <f>'11a'!H9/'11a'!$B9*100</f>
        <v>112.77013752455795</v>
      </c>
      <c r="I9" s="10">
        <f>'11a'!I9/'11a'!$B9*100</f>
        <v>91.355599214145371</v>
      </c>
      <c r="J9" s="10">
        <f>'11a'!J9/'11a'!$B9*100</f>
        <v>90.56974459724951</v>
      </c>
      <c r="K9" s="10">
        <f>'11a'!K9/'11a'!$B9*100</f>
        <v>109.43025540275049</v>
      </c>
      <c r="L9" s="10">
        <f>'11a'!L9/'11a'!$B9*100</f>
        <v>96.856581532416513</v>
      </c>
      <c r="N9" s="19">
        <f t="shared" si="0"/>
        <v>257.66845117936089</v>
      </c>
      <c r="O9" s="19">
        <f t="shared" si="1"/>
        <v>16.052054422389705</v>
      </c>
      <c r="P9" s="19">
        <f t="shared" si="2"/>
        <v>163.85647731790436</v>
      </c>
      <c r="Q9" s="19">
        <f t="shared" si="3"/>
        <v>12.800643629048672</v>
      </c>
    </row>
    <row r="10" spans="1:17">
      <c r="A10" s="2">
        <v>1986</v>
      </c>
      <c r="B10" s="135">
        <f>'11a'!B10/'11a'!$B10*100</f>
        <v>100</v>
      </c>
      <c r="C10" s="10">
        <f>'11a'!C10/'11a'!$B10*100</f>
        <v>67.698259187620891</v>
      </c>
      <c r="D10" s="10">
        <f>'11a'!D10/'11a'!$B10*100</f>
        <v>73.114119922630564</v>
      </c>
      <c r="E10" s="10">
        <f>'11a'!E10/'11a'!$B10*100</f>
        <v>83.36557059961315</v>
      </c>
      <c r="F10" s="10">
        <f>'11a'!F10/'11a'!$B10*100</f>
        <v>76.9825918762089</v>
      </c>
      <c r="G10" s="10">
        <f>'11a'!G10/'11a'!$B10*100</f>
        <v>89.555125725338485</v>
      </c>
      <c r="H10" s="10">
        <f>'11a'!H10/'11a'!$B10*100</f>
        <v>114.31334622823985</v>
      </c>
      <c r="I10" s="10">
        <f>'11a'!I10/'11a'!$B10*100</f>
        <v>91.876208897485483</v>
      </c>
      <c r="J10" s="10">
        <f>'11a'!J10/'11a'!$B10*100</f>
        <v>87.814313346228232</v>
      </c>
      <c r="K10" s="10">
        <f>'11a'!K10/'11a'!$B10*100</f>
        <v>105.9961315280464</v>
      </c>
      <c r="L10" s="10">
        <f>'11a'!L10/'11a'!$B10*100</f>
        <v>97.678916827853001</v>
      </c>
      <c r="N10" s="19">
        <f t="shared" si="0"/>
        <v>314.25535656162435</v>
      </c>
      <c r="O10" s="19">
        <f t="shared" si="1"/>
        <v>17.727248984589355</v>
      </c>
      <c r="P10" s="19">
        <f t="shared" si="2"/>
        <v>189.69766806714935</v>
      </c>
      <c r="Q10" s="19">
        <f t="shared" si="3"/>
        <v>13.773077654146489</v>
      </c>
    </row>
    <row r="11" spans="1:17">
      <c r="A11" s="2">
        <v>1987</v>
      </c>
      <c r="B11" s="135">
        <f>'11a'!B11/'11a'!$B11*100</f>
        <v>100</v>
      </c>
      <c r="C11" s="10">
        <f>'11a'!C11/'11a'!$B11*100</f>
        <v>71.892925430210326</v>
      </c>
      <c r="D11" s="10">
        <f>'11a'!D11/'11a'!$B11*100</f>
        <v>75.525812619502858</v>
      </c>
      <c r="E11" s="10">
        <f>'11a'!E11/'11a'!$B11*100</f>
        <v>85.086042065009565</v>
      </c>
      <c r="F11" s="10">
        <f>'11a'!F11/'11a'!$B11*100</f>
        <v>74.569789674952204</v>
      </c>
      <c r="G11" s="10">
        <f>'11a'!G11/'11a'!$B11*100</f>
        <v>89.674952198852779</v>
      </c>
      <c r="H11" s="10">
        <f>'11a'!H11/'11a'!$B11*100</f>
        <v>115.2963671128107</v>
      </c>
      <c r="I11" s="10">
        <f>'11a'!I11/'11a'!$B11*100</f>
        <v>88.145315487571708</v>
      </c>
      <c r="J11" s="10">
        <f>'11a'!J11/'11a'!$B11*100</f>
        <v>86.615678776290622</v>
      </c>
      <c r="K11" s="10">
        <f>'11a'!K11/'11a'!$B11*100</f>
        <v>102.48565965583174</v>
      </c>
      <c r="L11" s="10">
        <f>'11a'!L11/'11a'!$B11*100</f>
        <v>96.367112810707454</v>
      </c>
      <c r="N11" s="19">
        <f t="shared" si="0"/>
        <v>293.77506589794865</v>
      </c>
      <c r="O11" s="19">
        <f t="shared" si="1"/>
        <v>17.139867732802042</v>
      </c>
      <c r="P11" s="19">
        <f t="shared" si="2"/>
        <v>163.03792285278669</v>
      </c>
      <c r="Q11" s="19">
        <f t="shared" si="3"/>
        <v>12.768630421967217</v>
      </c>
    </row>
    <row r="12" spans="1:17">
      <c r="A12" s="2">
        <v>1988</v>
      </c>
      <c r="B12" s="135">
        <f>'11a'!B12/'11a'!$B12*100</f>
        <v>100</v>
      </c>
      <c r="C12" s="10">
        <f>'11a'!C12/'11a'!$B12*100</f>
        <v>73.733583489681052</v>
      </c>
      <c r="D12" s="10">
        <f>'11a'!D12/'11a'!$B12*100</f>
        <v>69.043151969981238</v>
      </c>
      <c r="E12" s="10">
        <f>'11a'!E12/'11a'!$B12*100</f>
        <v>82.926829268292678</v>
      </c>
      <c r="F12" s="10">
        <f>'11a'!F12/'11a'!$B12*100</f>
        <v>75.422138836772973</v>
      </c>
      <c r="G12" s="10">
        <f>'11a'!G12/'11a'!$B12*100</f>
        <v>86.491557223264536</v>
      </c>
      <c r="H12" s="10">
        <f>'11a'!H12/'11a'!$B12*100</f>
        <v>117.07317073170731</v>
      </c>
      <c r="I12" s="10">
        <f>'11a'!I12/'11a'!$B12*100</f>
        <v>88.555347091932461</v>
      </c>
      <c r="J12" s="10">
        <f>'11a'!J12/'11a'!$B12*100</f>
        <v>84.240150093808637</v>
      </c>
      <c r="K12" s="10">
        <f>'11a'!K12/'11a'!$B12*100</f>
        <v>102.25140712945591</v>
      </c>
      <c r="L12" s="10">
        <f>'11a'!L12/'11a'!$B12*100</f>
        <v>98.499061913696067</v>
      </c>
      <c r="N12" s="19">
        <f t="shared" si="0"/>
        <v>340.44612779797876</v>
      </c>
      <c r="O12" s="19">
        <f t="shared" si="1"/>
        <v>18.451182287267631</v>
      </c>
      <c r="P12" s="19">
        <f t="shared" si="2"/>
        <v>192.18237946558861</v>
      </c>
      <c r="Q12" s="19">
        <f t="shared" si="3"/>
        <v>13.862985950565939</v>
      </c>
    </row>
    <row r="13" spans="1:17">
      <c r="A13" s="2">
        <v>1989</v>
      </c>
      <c r="B13" s="135">
        <f>'11a'!B13/'11a'!$B13*100</f>
        <v>100</v>
      </c>
      <c r="C13" s="10">
        <f>'11a'!C13/'11a'!$B13*100</f>
        <v>75.824175824175825</v>
      </c>
      <c r="D13" s="10">
        <f>'11a'!D13/'11a'!$B13*100</f>
        <v>72.161172161172161</v>
      </c>
      <c r="E13" s="10">
        <f>'11a'!E13/'11a'!$B13*100</f>
        <v>82.051282051282044</v>
      </c>
      <c r="F13" s="10">
        <f>'11a'!F13/'11a'!$B13*100</f>
        <v>77.655677655677664</v>
      </c>
      <c r="G13" s="10">
        <f>'11a'!G13/'11a'!$B13*100</f>
        <v>87.545787545787547</v>
      </c>
      <c r="H13" s="10">
        <f>'11a'!H13/'11a'!$B13*100</f>
        <v>117.03296703296704</v>
      </c>
      <c r="I13" s="10">
        <f>'11a'!I13/'11a'!$B13*100</f>
        <v>89.194139194139197</v>
      </c>
      <c r="J13" s="10">
        <f>'11a'!J13/'11a'!$B13*100</f>
        <v>82.783882783882774</v>
      </c>
      <c r="K13" s="10">
        <f>'11a'!K13/'11a'!$B13*100</f>
        <v>100.54945054945054</v>
      </c>
      <c r="L13" s="10">
        <f>'11a'!L13/'11a'!$B13*100</f>
        <v>97.61904761904762</v>
      </c>
      <c r="N13" s="19">
        <f t="shared" si="0"/>
        <v>304.52575507520567</v>
      </c>
      <c r="O13" s="19">
        <f t="shared" si="1"/>
        <v>17.450666321811486</v>
      </c>
      <c r="P13" s="19">
        <f t="shared" si="2"/>
        <v>166.26950582994493</v>
      </c>
      <c r="Q13" s="19">
        <f t="shared" si="3"/>
        <v>12.894553339683579</v>
      </c>
    </row>
    <row r="14" spans="1:17">
      <c r="A14" s="2">
        <v>1990</v>
      </c>
      <c r="B14" s="135">
        <f>'11a'!B14/'11a'!$B14*100</f>
        <v>100</v>
      </c>
      <c r="C14" s="10">
        <f>'11a'!C14/'11a'!$B14*100</f>
        <v>74.378585086042065</v>
      </c>
      <c r="D14" s="10">
        <f>'11a'!D14/'11a'!$B14*100</f>
        <v>74.378585086042065</v>
      </c>
      <c r="E14" s="10">
        <f>'11a'!E14/'11a'!$B14*100</f>
        <v>84.512428298279161</v>
      </c>
      <c r="F14" s="10">
        <f>'11a'!F14/'11a'!$B14*100</f>
        <v>78.202676864244751</v>
      </c>
      <c r="G14" s="10">
        <f>'11a'!G14/'11a'!$B14*100</f>
        <v>86.042065009560233</v>
      </c>
      <c r="H14" s="10">
        <f>'11a'!H14/'11a'!$B14*100</f>
        <v>115.8699808795411</v>
      </c>
      <c r="I14" s="10">
        <f>'11a'!I14/'11a'!$B14*100</f>
        <v>88.336520076481833</v>
      </c>
      <c r="J14" s="10">
        <f>'11a'!J14/'11a'!$B14*100</f>
        <v>83.747609942638618</v>
      </c>
      <c r="K14" s="10">
        <f>'11a'!K14/'11a'!$B14*100</f>
        <v>104.78011472275335</v>
      </c>
      <c r="L14" s="10">
        <f>'11a'!L14/'11a'!$B14*100</f>
        <v>100.19120458891013</v>
      </c>
      <c r="N14" s="19">
        <f t="shared" si="0"/>
        <v>289.76452222616251</v>
      </c>
      <c r="O14" s="19">
        <f t="shared" si="1"/>
        <v>17.022471096352682</v>
      </c>
      <c r="P14" s="19">
        <f t="shared" si="2"/>
        <v>169.73008346463899</v>
      </c>
      <c r="Q14" s="19">
        <f t="shared" si="3"/>
        <v>13.028049871897137</v>
      </c>
    </row>
    <row r="15" spans="1:17">
      <c r="A15" s="2">
        <v>1991</v>
      </c>
      <c r="B15" s="135">
        <f>'11a'!B15/'11a'!$B15*100</f>
        <v>100</v>
      </c>
      <c r="C15" s="10">
        <f>'11a'!C15/'11a'!$B15*100</f>
        <v>74.545454545454547</v>
      </c>
      <c r="D15" s="10">
        <f>'11a'!D15/'11a'!$B15*100</f>
        <v>74.545454545454547</v>
      </c>
      <c r="E15" s="10">
        <f>'11a'!E15/'11a'!$B15*100</f>
        <v>83.838383838383834</v>
      </c>
      <c r="F15" s="10">
        <f>'11a'!F15/'11a'!$B15*100</f>
        <v>79.191919191919197</v>
      </c>
      <c r="G15" s="10">
        <f>'11a'!G15/'11a'!$B15*100</f>
        <v>86.464646464646464</v>
      </c>
      <c r="H15" s="10">
        <f>'11a'!H15/'11a'!$B15*100</f>
        <v>113.93939393939394</v>
      </c>
      <c r="I15" s="10">
        <f>'11a'!I15/'11a'!$B15*100</f>
        <v>87.878787878787875</v>
      </c>
      <c r="J15" s="10">
        <f>'11a'!J15/'11a'!$B15*100</f>
        <v>84.444444444444443</v>
      </c>
      <c r="K15" s="10">
        <f>'11a'!K15/'11a'!$B15*100</f>
        <v>109.69696969696969</v>
      </c>
      <c r="L15" s="10">
        <f>'11a'!L15/'11a'!$B15*100</f>
        <v>100</v>
      </c>
      <c r="N15" s="19">
        <f t="shared" si="0"/>
        <v>285.04846444240383</v>
      </c>
      <c r="O15" s="19">
        <f t="shared" si="1"/>
        <v>16.883378348020393</v>
      </c>
      <c r="P15" s="19">
        <f t="shared" si="2"/>
        <v>173.84185287215513</v>
      </c>
      <c r="Q15" s="19">
        <f t="shared" si="3"/>
        <v>13.184910044143461</v>
      </c>
    </row>
    <row r="16" spans="1:17">
      <c r="A16" s="2">
        <v>1992</v>
      </c>
      <c r="B16" s="135">
        <f>'11a'!B16/'11a'!$B16*100</f>
        <v>100</v>
      </c>
      <c r="C16" s="10">
        <f>'11a'!C16/'11a'!$B16*100</f>
        <v>72.131147540983605</v>
      </c>
      <c r="D16" s="10">
        <f>'11a'!D16/'11a'!$B16*100</f>
        <v>76.229508196721312</v>
      </c>
      <c r="E16" s="10">
        <f>'11a'!E16/'11a'!$B16*100</f>
        <v>83.811475409836063</v>
      </c>
      <c r="F16" s="10">
        <f>'11a'!F16/'11a'!$B16*100</f>
        <v>79.303278688524586</v>
      </c>
      <c r="G16" s="10">
        <f>'11a'!G16/'11a'!$B16*100</f>
        <v>85.655737704918039</v>
      </c>
      <c r="H16" s="10">
        <f>'11a'!H16/'11a'!$B16*100</f>
        <v>113.72950819672131</v>
      </c>
      <c r="I16" s="10">
        <f>'11a'!I16/'11a'!$B16*100</f>
        <v>89.549180327868854</v>
      </c>
      <c r="J16" s="10">
        <f>'11a'!J16/'11a'!$B16*100</f>
        <v>86.47540983606558</v>
      </c>
      <c r="K16" s="10">
        <f>'11a'!K16/'11a'!$B16*100</f>
        <v>104.09836065573769</v>
      </c>
      <c r="L16" s="10">
        <f>'11a'!L16/'11a'!$B16*100</f>
        <v>105.5327868852459</v>
      </c>
      <c r="N16" s="19">
        <f t="shared" si="0"/>
        <v>276.59315372211768</v>
      </c>
      <c r="O16" s="19">
        <f t="shared" si="1"/>
        <v>16.631089973964954</v>
      </c>
      <c r="P16" s="19">
        <f t="shared" si="2"/>
        <v>169.50458546090056</v>
      </c>
      <c r="Q16" s="19">
        <f t="shared" si="3"/>
        <v>13.019392668665484</v>
      </c>
    </row>
    <row r="17" spans="1:17">
      <c r="A17" s="2">
        <v>1993</v>
      </c>
      <c r="B17" s="135">
        <f>'11a'!B17/'11a'!$B17*100</f>
        <v>100</v>
      </c>
      <c r="C17" s="10">
        <f>'11a'!C17/'11a'!$B17*100</f>
        <v>71.186440677966104</v>
      </c>
      <c r="D17" s="10">
        <f>'11a'!D17/'11a'!$B17*100</f>
        <v>74.364406779661024</v>
      </c>
      <c r="E17" s="10">
        <f>'11a'!E17/'11a'!$B17*100</f>
        <v>83.050847457627114</v>
      </c>
      <c r="F17" s="10">
        <f>'11a'!F17/'11a'!$B17*100</f>
        <v>79.872881355932208</v>
      </c>
      <c r="G17" s="10">
        <f>'11a'!G17/'11a'!$B17*100</f>
        <v>85.381355932203391</v>
      </c>
      <c r="H17" s="10">
        <f>'11a'!H17/'11a'!$B17*100</f>
        <v>114.40677966101696</v>
      </c>
      <c r="I17" s="10">
        <f>'11a'!I17/'11a'!$B17*100</f>
        <v>87.923728813559322</v>
      </c>
      <c r="J17" s="10">
        <f>'11a'!J17/'11a'!$B17*100</f>
        <v>85.381355932203391</v>
      </c>
      <c r="K17" s="10">
        <f>'11a'!K17/'11a'!$B17*100</f>
        <v>107.20338983050848</v>
      </c>
      <c r="L17" s="10">
        <f>'11a'!L17/'11a'!$B17*100</f>
        <v>102.33050847457628</v>
      </c>
      <c r="N17" s="19">
        <f t="shared" si="0"/>
        <v>301.79007469118068</v>
      </c>
      <c r="O17" s="19">
        <f t="shared" si="1"/>
        <v>17.372106224956738</v>
      </c>
      <c r="P17" s="19">
        <f t="shared" si="2"/>
        <v>183.20166618787565</v>
      </c>
      <c r="Q17" s="19">
        <f t="shared" si="3"/>
        <v>13.535201002861969</v>
      </c>
    </row>
    <row r="18" spans="1:17">
      <c r="A18" s="2">
        <v>1994</v>
      </c>
      <c r="B18" s="135">
        <f>'11a'!B18/'11a'!$B18*100</f>
        <v>100</v>
      </c>
      <c r="C18" s="10">
        <f>'11a'!C18/'11a'!$B18*100</f>
        <v>76.15062761506276</v>
      </c>
      <c r="D18" s="10">
        <f>'11a'!D18/'11a'!$B18*100</f>
        <v>75.941422594142267</v>
      </c>
      <c r="E18" s="10">
        <f>'11a'!E18/'11a'!$B18*100</f>
        <v>80.962343096234306</v>
      </c>
      <c r="F18" s="10">
        <f>'11a'!F18/'11a'!$B18*100</f>
        <v>78.870292887029294</v>
      </c>
      <c r="G18" s="10">
        <f>'11a'!G18/'11a'!$B18*100</f>
        <v>87.029288702928881</v>
      </c>
      <c r="H18" s="10">
        <f>'11a'!H18/'11a'!$B18*100</f>
        <v>113.38912133891212</v>
      </c>
      <c r="I18" s="10">
        <f>'11a'!I18/'11a'!$B18*100</f>
        <v>91.004184100418399</v>
      </c>
      <c r="J18" s="10">
        <f>'11a'!J18/'11a'!$B18*100</f>
        <v>85.355648535564853</v>
      </c>
      <c r="K18" s="10">
        <f>'11a'!K18/'11a'!$B18*100</f>
        <v>107.74058577405859</v>
      </c>
      <c r="L18" s="10">
        <f>'11a'!L18/'11a'!$B18*100</f>
        <v>101.67364016736403</v>
      </c>
      <c r="N18" s="19">
        <f t="shared" si="0"/>
        <v>266.21120078429993</v>
      </c>
      <c r="O18" s="19">
        <f t="shared" si="1"/>
        <v>16.31597992105592</v>
      </c>
      <c r="P18" s="19">
        <f t="shared" si="2"/>
        <v>162.4100593477045</v>
      </c>
      <c r="Q18" s="19">
        <f t="shared" si="3"/>
        <v>12.744020533085488</v>
      </c>
    </row>
    <row r="19" spans="1:17">
      <c r="A19" s="2">
        <v>1995</v>
      </c>
      <c r="B19" s="135">
        <f>'11a'!B19/'11a'!$B19*100</f>
        <v>100</v>
      </c>
      <c r="C19" s="10">
        <f>'11a'!C19/'11a'!$B19*100</f>
        <v>71.487603305785115</v>
      </c>
      <c r="D19" s="10">
        <f>'11a'!D19/'11a'!$B19*100</f>
        <v>75.206611570247944</v>
      </c>
      <c r="E19" s="10">
        <f>'11a'!E19/'11a'!$B19*100</f>
        <v>78.719008264462815</v>
      </c>
      <c r="F19" s="10">
        <f>'11a'!F19/'11a'!$B19*100</f>
        <v>79.338842975206617</v>
      </c>
      <c r="G19" s="10">
        <f>'11a'!G19/'11a'!$B19*100</f>
        <v>85.950413223140501</v>
      </c>
      <c r="H19" s="10">
        <f>'11a'!H19/'11a'!$B19*100</f>
        <v>114.46280991735537</v>
      </c>
      <c r="I19" s="10">
        <f>'11a'!I19/'11a'!$B19*100</f>
        <v>90.495867768595033</v>
      </c>
      <c r="J19" s="10">
        <f>'11a'!J19/'11a'!$B19*100</f>
        <v>89.462809917355372</v>
      </c>
      <c r="K19" s="10">
        <f>'11a'!K19/'11a'!$B19*100</f>
        <v>106.19834710743801</v>
      </c>
      <c r="L19" s="10">
        <f>'11a'!L19/'11a'!$B19*100</f>
        <v>101.44628099173553</v>
      </c>
      <c r="N19" s="19">
        <f t="shared" si="0"/>
        <v>295.58687931152235</v>
      </c>
      <c r="O19" s="19">
        <f t="shared" si="1"/>
        <v>17.192640265867322</v>
      </c>
      <c r="P19" s="19">
        <f t="shared" si="2"/>
        <v>180.6011372173997</v>
      </c>
      <c r="Q19" s="19">
        <f t="shared" si="3"/>
        <v>13.438792252929565</v>
      </c>
    </row>
    <row r="20" spans="1:17">
      <c r="A20" s="2">
        <v>1996</v>
      </c>
      <c r="B20" s="135">
        <f>'11a'!B20/'11a'!$B20*100</f>
        <v>100</v>
      </c>
      <c r="C20" s="10">
        <f>'11a'!C20/'11a'!$B20*100</f>
        <v>70.164609053497941</v>
      </c>
      <c r="D20" s="10">
        <f>'11a'!D20/'11a'!$B20*100</f>
        <v>76.954732510288068</v>
      </c>
      <c r="E20" s="10">
        <f>'11a'!E20/'11a'!$B20*100</f>
        <v>77.160493827160494</v>
      </c>
      <c r="F20" s="10">
        <f>'11a'!F20/'11a'!$B20*100</f>
        <v>79.423868312757207</v>
      </c>
      <c r="G20" s="10">
        <f>'11a'!G20/'11a'!$B20*100</f>
        <v>86.625514403292186</v>
      </c>
      <c r="H20" s="10">
        <f>'11a'!H20/'11a'!$B20*100</f>
        <v>114.19753086419753</v>
      </c>
      <c r="I20" s="10">
        <f>'11a'!I20/'11a'!$B20*100</f>
        <v>90.329218106995896</v>
      </c>
      <c r="J20" s="10">
        <f>'11a'!J20/'11a'!$B20*100</f>
        <v>87.037037037037038</v>
      </c>
      <c r="K20" s="10">
        <f>'11a'!K20/'11a'!$B20*100</f>
        <v>107.40740740740742</v>
      </c>
      <c r="L20" s="10">
        <f>'11a'!L20/'11a'!$B20*100</f>
        <v>101.440329218107</v>
      </c>
      <c r="N20" s="19">
        <f t="shared" si="0"/>
        <v>306.52085556063605</v>
      </c>
      <c r="O20" s="19">
        <f t="shared" si="1"/>
        <v>17.507737019975941</v>
      </c>
      <c r="P20" s="19">
        <f t="shared" si="2"/>
        <v>187.14499822181654</v>
      </c>
      <c r="Q20" s="19">
        <f t="shared" si="3"/>
        <v>13.680094963918069</v>
      </c>
    </row>
    <row r="21" spans="1:17">
      <c r="A21" s="2">
        <v>1997</v>
      </c>
      <c r="B21" s="135">
        <f>'11a'!B21/'11a'!$B21*100</f>
        <v>100</v>
      </c>
      <c r="C21" s="10">
        <f>'11a'!C21/'11a'!$B21*100</f>
        <v>68.495934959349597</v>
      </c>
      <c r="D21" s="10">
        <f>'11a'!D21/'11a'!$B21*100</f>
        <v>73.983739837398375</v>
      </c>
      <c r="E21" s="10">
        <f>'11a'!E21/'11a'!$B21*100</f>
        <v>78.658536585365852</v>
      </c>
      <c r="F21" s="10">
        <f>'11a'!F21/'11a'!$B21*100</f>
        <v>77.439024390243901</v>
      </c>
      <c r="G21" s="10">
        <f>'11a'!G21/'11a'!$B21*100</f>
        <v>85.162601626016269</v>
      </c>
      <c r="H21" s="10">
        <f>'11a'!H21/'11a'!$B21*100</f>
        <v>113.6178861788618</v>
      </c>
      <c r="I21" s="10">
        <f>'11a'!I21/'11a'!$B21*100</f>
        <v>89.634146341463421</v>
      </c>
      <c r="J21" s="10">
        <f>'11a'!J21/'11a'!$B21*100</f>
        <v>87.601626016260155</v>
      </c>
      <c r="K21" s="10">
        <f>'11a'!K21/'11a'!$B21*100</f>
        <v>114.83739837398375</v>
      </c>
      <c r="L21" s="10">
        <f>'11a'!L21/'11a'!$B21*100</f>
        <v>100.60975609756098</v>
      </c>
      <c r="N21" s="19">
        <f t="shared" si="0"/>
        <v>352.1093595082292</v>
      </c>
      <c r="O21" s="19">
        <f t="shared" si="1"/>
        <v>18.764577253650806</v>
      </c>
      <c r="P21" s="19">
        <f t="shared" si="2"/>
        <v>231.19877387797928</v>
      </c>
      <c r="Q21" s="19">
        <f t="shared" si="3"/>
        <v>15.205221927942363</v>
      </c>
    </row>
    <row r="22" spans="1:17">
      <c r="A22" s="2">
        <v>1998</v>
      </c>
      <c r="B22" s="135">
        <f>'11a'!B22/'11a'!$B22*100</f>
        <v>100</v>
      </c>
      <c r="C22" s="10">
        <f>'11a'!C22/'11a'!$B22*100</f>
        <v>71.373307543520312</v>
      </c>
      <c r="D22" s="10">
        <f>'11a'!D22/'11a'!$B22*100</f>
        <v>76.208897485493239</v>
      </c>
      <c r="E22" s="10">
        <f>'11a'!E22/'11a'!$B22*100</f>
        <v>79.497098646034814</v>
      </c>
      <c r="F22" s="10">
        <f>'11a'!F22/'11a'!$B22*100</f>
        <v>79.303675048355899</v>
      </c>
      <c r="G22" s="10">
        <f>'11a'!G22/'11a'!$B22*100</f>
        <v>85.880077369439064</v>
      </c>
      <c r="H22" s="10">
        <f>'11a'!H22/'11a'!$B22*100</f>
        <v>114.70019342359767</v>
      </c>
      <c r="I22" s="10">
        <f>'11a'!I22/'11a'!$B22*100</f>
        <v>90.909090909090907</v>
      </c>
      <c r="J22" s="10">
        <f>'11a'!J22/'11a'!$B22*100</f>
        <v>84.719535783365572</v>
      </c>
      <c r="K22" s="10">
        <f>'11a'!K22/'11a'!$B22*100</f>
        <v>113.34622823984526</v>
      </c>
      <c r="L22" s="10">
        <f>'11a'!L22/'11a'!$B22*100</f>
        <v>96.131528046421664</v>
      </c>
      <c r="N22" s="19">
        <f t="shared" si="0"/>
        <v>315.89029103330103</v>
      </c>
      <c r="O22" s="19">
        <f t="shared" si="1"/>
        <v>17.773302760975547</v>
      </c>
      <c r="P22" s="19">
        <f t="shared" si="2"/>
        <v>199.4006487360119</v>
      </c>
      <c r="Q22" s="19">
        <f t="shared" si="3"/>
        <v>14.120929457228087</v>
      </c>
    </row>
    <row r="23" spans="1:17">
      <c r="A23" s="2">
        <v>1999</v>
      </c>
      <c r="B23" s="135">
        <f>'11a'!B23/'11a'!$B23*100</f>
        <v>100</v>
      </c>
      <c r="C23" s="10">
        <f>'11a'!C23/'11a'!$B23*100</f>
        <v>72.118959107806688</v>
      </c>
      <c r="D23" s="10">
        <f>'11a'!D23/'11a'!$B23*100</f>
        <v>74.163568773234203</v>
      </c>
      <c r="E23" s="10">
        <f>'11a'!E23/'11a'!$B23*100</f>
        <v>81.226765799256512</v>
      </c>
      <c r="F23" s="10">
        <f>'11a'!F23/'11a'!$B23*100</f>
        <v>79.368029739776944</v>
      </c>
      <c r="G23" s="10">
        <f>'11a'!G23/'11a'!$B23*100</f>
        <v>85.315985130111528</v>
      </c>
      <c r="H23" s="10">
        <f>'11a'!H23/'11a'!$B23*100</f>
        <v>117.28624535315986</v>
      </c>
      <c r="I23" s="10">
        <f>'11a'!I23/'11a'!$B23*100</f>
        <v>87.54646840148699</v>
      </c>
      <c r="J23" s="10">
        <f>'11a'!J23/'11a'!$B23*100</f>
        <v>83.643122676579935</v>
      </c>
      <c r="K23" s="10">
        <f>'11a'!K23/'11a'!$B23*100</f>
        <v>107.06319702602229</v>
      </c>
      <c r="L23" s="10">
        <f>'11a'!L23/'11a'!$B23*100</f>
        <v>95.167286245353154</v>
      </c>
      <c r="N23" s="19">
        <f t="shared" si="0"/>
        <v>323.33024695623328</v>
      </c>
      <c r="O23" s="19">
        <f t="shared" si="1"/>
        <v>17.981386124440832</v>
      </c>
      <c r="P23" s="19">
        <f t="shared" si="2"/>
        <v>186.20527632288056</v>
      </c>
      <c r="Q23" s="19">
        <f t="shared" si="3"/>
        <v>13.645705416829156</v>
      </c>
    </row>
    <row r="24" spans="1:17">
      <c r="A24" s="2">
        <v>2000</v>
      </c>
      <c r="B24" s="135">
        <f>'11a'!B24/'11a'!$B24*100</f>
        <v>100</v>
      </c>
      <c r="C24" s="10">
        <f>'11a'!C24/'11a'!$B24*100</f>
        <v>72.043010752688176</v>
      </c>
      <c r="D24" s="10">
        <f>'11a'!D24/'11a'!$B24*100</f>
        <v>74.193548387096769</v>
      </c>
      <c r="E24" s="10">
        <f>'11a'!E24/'11a'!$B24*100</f>
        <v>79.928315412186379</v>
      </c>
      <c r="F24" s="10">
        <f>'11a'!F24/'11a'!$B24*100</f>
        <v>78.853046594982075</v>
      </c>
      <c r="G24" s="10">
        <f>'11a'!G24/'11a'!$B24*100</f>
        <v>85.663082437275989</v>
      </c>
      <c r="H24" s="10">
        <f>'11a'!H24/'11a'!$B24*100</f>
        <v>117.74193548387098</v>
      </c>
      <c r="I24" s="10">
        <f>'11a'!I24/'11a'!$B24*100</f>
        <v>86.379928315412187</v>
      </c>
      <c r="J24" s="10">
        <f>'11a'!J24/'11a'!$B24*100</f>
        <v>81.899641577060933</v>
      </c>
      <c r="K24" s="10">
        <f>'11a'!K24/'11a'!$B24*100</f>
        <v>107.5268817204301</v>
      </c>
      <c r="L24" s="10">
        <f>'11a'!L24/'11a'!$B24*100</f>
        <v>93.010752688172033</v>
      </c>
      <c r="N24" s="19">
        <f t="shared" si="0"/>
        <v>343.6588687195694</v>
      </c>
      <c r="O24" s="19">
        <f t="shared" si="1"/>
        <v>18.53803842696334</v>
      </c>
      <c r="P24" s="19">
        <f t="shared" si="2"/>
        <v>192.95904471936402</v>
      </c>
      <c r="Q24" s="19">
        <f t="shared" si="3"/>
        <v>13.890969898439922</v>
      </c>
    </row>
    <row r="25" spans="1:17">
      <c r="A25" s="2">
        <v>2001</v>
      </c>
      <c r="B25" s="135">
        <f>'11a'!B25/'11a'!$B25*100</f>
        <v>100</v>
      </c>
      <c r="C25" s="10">
        <f>'11a'!C25/'11a'!$B25*100</f>
        <v>68.971631205673759</v>
      </c>
      <c r="D25" s="10">
        <f>'11a'!D25/'11a'!$B25*100</f>
        <v>73.049645390070921</v>
      </c>
      <c r="E25" s="10">
        <f>'11a'!E25/'11a'!$B25*100</f>
        <v>81.205673758865245</v>
      </c>
      <c r="F25" s="10">
        <f>'11a'!F25/'11a'!$B25*100</f>
        <v>78.900709219858157</v>
      </c>
      <c r="G25" s="10">
        <f>'11a'!G25/'11a'!$B25*100</f>
        <v>85.638297872340431</v>
      </c>
      <c r="H25" s="10">
        <f>'11a'!H25/'11a'!$B25*100</f>
        <v>116.31205673758865</v>
      </c>
      <c r="I25" s="10">
        <f>'11a'!I25/'11a'!$B25*100</f>
        <v>87.2340425531915</v>
      </c>
      <c r="J25" s="10">
        <f>'11a'!J25/'11a'!$B25*100</f>
        <v>84.929078014184398</v>
      </c>
      <c r="K25" s="10">
        <f>'11a'!K25/'11a'!$B25*100</f>
        <v>111.52482269503545</v>
      </c>
      <c r="L25" s="10">
        <f>'11a'!L25/'11a'!$B25*100</f>
        <v>92.907801418439718</v>
      </c>
      <c r="N25" s="19">
        <f t="shared" si="0"/>
        <v>353.30529148433169</v>
      </c>
      <c r="O25" s="19">
        <f t="shared" si="1"/>
        <v>18.796416985274924</v>
      </c>
      <c r="P25" s="19">
        <f t="shared" si="2"/>
        <v>210.91777325084203</v>
      </c>
      <c r="Q25" s="19">
        <f t="shared" si="3"/>
        <v>14.523008409101815</v>
      </c>
    </row>
    <row r="26" spans="1:17">
      <c r="A26" s="2">
        <v>2002</v>
      </c>
      <c r="B26" s="135">
        <f>'11a'!B26/'11a'!$B26*100</f>
        <v>100</v>
      </c>
      <c r="C26" s="10">
        <f>'11a'!C26/'11a'!$B26*100</f>
        <v>70.39007092198581</v>
      </c>
      <c r="D26" s="10">
        <f>'11a'!D26/'11a'!$B26*100</f>
        <v>73.581560283687935</v>
      </c>
      <c r="E26" s="10">
        <f>'11a'!E26/'11a'!$B26*100</f>
        <v>82.801418439716315</v>
      </c>
      <c r="F26" s="10">
        <f>'11a'!F26/'11a'!$B26*100</f>
        <v>76.950354609929079</v>
      </c>
      <c r="G26" s="10">
        <f>'11a'!G26/'11a'!$B26*100</f>
        <v>86.524822695035468</v>
      </c>
      <c r="H26" s="10">
        <f>'11a'!H26/'11a'!$B26*100</f>
        <v>115.78014184397163</v>
      </c>
      <c r="I26" s="10">
        <f>'11a'!I26/'11a'!$B26*100</f>
        <v>87.7659574468085</v>
      </c>
      <c r="J26" s="10">
        <f>'11a'!J26/'11a'!$B26*100</f>
        <v>84.219858156028366</v>
      </c>
      <c r="K26" s="10">
        <f>'11a'!K26/'11a'!$B26*100</f>
        <v>109.04255319148936</v>
      </c>
      <c r="L26" s="10">
        <f>'11a'!L26/'11a'!$B26*100</f>
        <v>94.148936170212778</v>
      </c>
      <c r="N26" s="19">
        <f t="shared" si="0"/>
        <v>334.70398873296119</v>
      </c>
      <c r="O26" s="19">
        <f t="shared" si="1"/>
        <v>18.29491701902365</v>
      </c>
      <c r="P26" s="19">
        <f t="shared" si="2"/>
        <v>193.58306926210878</v>
      </c>
      <c r="Q26" s="19">
        <f t="shared" si="3"/>
        <v>13.913413285822742</v>
      </c>
    </row>
    <row r="27" spans="1:17">
      <c r="A27" s="2">
        <v>2003</v>
      </c>
      <c r="B27" s="135">
        <f>'11a'!B27/'11a'!$B27*100</f>
        <v>100</v>
      </c>
      <c r="C27" s="10">
        <f>'11a'!C27/'11a'!$B27*100</f>
        <v>69.928825622775804</v>
      </c>
      <c r="D27" s="10">
        <f>'11a'!D27/'11a'!$B27*100</f>
        <v>75.444839857651246</v>
      </c>
      <c r="E27" s="10">
        <f>'11a'!E27/'11a'!$B27*100</f>
        <v>80.782918149466184</v>
      </c>
      <c r="F27" s="10">
        <f>'11a'!F27/'11a'!$B27*100</f>
        <v>77.758007117437728</v>
      </c>
      <c r="G27" s="10">
        <f>'11a'!G27/'11a'!$B27*100</f>
        <v>86.47686832740213</v>
      </c>
      <c r="H27" s="10">
        <f>'11a'!H27/'11a'!$B27*100</f>
        <v>115.65836298932383</v>
      </c>
      <c r="I27" s="10">
        <f>'11a'!I27/'11a'!$B27*100</f>
        <v>88.790035587188612</v>
      </c>
      <c r="J27" s="10">
        <f>'11a'!J27/'11a'!$B27*100</f>
        <v>85.943060498220632</v>
      </c>
      <c r="K27" s="10">
        <f>'11a'!K27/'11a'!$B27*100</f>
        <v>110.85409252669038</v>
      </c>
      <c r="L27" s="10">
        <f>'11a'!L27/'11a'!$B27*100</f>
        <v>92.52669039145907</v>
      </c>
      <c r="N27" s="19">
        <f t="shared" si="0"/>
        <v>329.62158533959803</v>
      </c>
      <c r="O27" s="19">
        <f t="shared" si="1"/>
        <v>18.155483616241074</v>
      </c>
      <c r="P27" s="19">
        <f t="shared" si="2"/>
        <v>195.44110383607213</v>
      </c>
      <c r="Q27" s="19">
        <f t="shared" si="3"/>
        <v>13.980025172941289</v>
      </c>
    </row>
    <row r="28" spans="1:17">
      <c r="A28" s="120">
        <v>2004</v>
      </c>
      <c r="B28" s="135">
        <f>'11a'!B28/'11a'!$B28*100</f>
        <v>100</v>
      </c>
      <c r="C28" s="10">
        <f>'11a'!C28/'11a'!$B28*100</f>
        <v>70.27972027972028</v>
      </c>
      <c r="D28" s="10">
        <f>'11a'!D28/'11a'!$B28*100</f>
        <v>76.3986013986014</v>
      </c>
      <c r="E28" s="10">
        <f>'11a'!E28/'11a'!$B28*100</f>
        <v>80.5944055944056</v>
      </c>
      <c r="F28" s="10">
        <f>'11a'!F28/'11a'!$B28*100</f>
        <v>77.622377622377627</v>
      </c>
      <c r="G28" s="10">
        <f>'11a'!G28/'11a'!$B28*100</f>
        <v>86.888111888111879</v>
      </c>
      <c r="H28" s="10">
        <f>'11a'!H28/'11a'!$B28*100</f>
        <v>114.33566433566433</v>
      </c>
      <c r="I28" s="10">
        <f>'11a'!I28/'11a'!$B28*100</f>
        <v>88.461538461538453</v>
      </c>
      <c r="J28" s="10">
        <f>'11a'!J28/'11a'!$B28*100</f>
        <v>83.56643356643356</v>
      </c>
      <c r="K28" s="10">
        <f>'11a'!K28/'11a'!$B28*100</f>
        <v>113.46153846153845</v>
      </c>
      <c r="L28" s="10">
        <f>'11a'!L28/'11a'!$B28*100</f>
        <v>94.230769230769226</v>
      </c>
      <c r="N28" s="19">
        <f t="shared" si="0"/>
        <v>331.27842437282999</v>
      </c>
      <c r="O28" s="19">
        <f t="shared" si="1"/>
        <v>18.201055584026712</v>
      </c>
      <c r="P28" s="19">
        <f t="shared" si="2"/>
        <v>200.95145239375648</v>
      </c>
      <c r="Q28" s="19">
        <f t="shared" si="3"/>
        <v>14.175734633300543</v>
      </c>
    </row>
    <row r="29" spans="1:17">
      <c r="A29" s="120">
        <v>2005</v>
      </c>
      <c r="B29" s="135">
        <f>'11a'!B29/'11a'!$B29*100</f>
        <v>100</v>
      </c>
      <c r="C29" s="10">
        <f>'11a'!C29/'11a'!$B29*100</f>
        <v>73.229706390328147</v>
      </c>
      <c r="D29" s="10">
        <f>'11a'!D29/'11a'!$B29*100</f>
        <v>75.82037996545769</v>
      </c>
      <c r="E29" s="10">
        <f>'11a'!E29/'11a'!$B29*100</f>
        <v>82.383419689119179</v>
      </c>
      <c r="F29" s="10">
        <f>'11a'!F29/'11a'!$B29*100</f>
        <v>75.993091537132983</v>
      </c>
      <c r="G29" s="10">
        <f>'11a'!G29/'11a'!$B29*100</f>
        <v>83.419689119170982</v>
      </c>
      <c r="H29" s="10">
        <f>'11a'!H29/'11a'!$B29*100</f>
        <v>113.81692573402418</v>
      </c>
      <c r="I29" s="10">
        <f>'11a'!I29/'11a'!$B29*100</f>
        <v>89.119170984455948</v>
      </c>
      <c r="J29" s="10">
        <f>'11a'!J29/'11a'!$B29*100</f>
        <v>87.219343696027636</v>
      </c>
      <c r="K29" s="10">
        <f>'11a'!K29/'11a'!$B29*100</f>
        <v>117.09844559585491</v>
      </c>
      <c r="L29" s="10">
        <f>'11a'!L29/'11a'!$B29*100</f>
        <v>97.409326424870471</v>
      </c>
      <c r="N29" s="19">
        <f>SUM(C105:L105)/10</f>
        <v>323.45983933946025</v>
      </c>
      <c r="O29" s="19">
        <f t="shared" si="1"/>
        <v>17.984989278269261</v>
      </c>
      <c r="P29" s="19"/>
      <c r="Q29" s="19"/>
    </row>
    <row r="30" spans="1:17">
      <c r="A30" s="120">
        <v>2006</v>
      </c>
      <c r="B30" s="135">
        <f>'11a'!B30/'11a'!$B30*100</f>
        <v>100</v>
      </c>
      <c r="C30" s="10">
        <f>'11a'!C30/'11a'!$B30*100</f>
        <v>74.662162162162161</v>
      </c>
      <c r="D30" s="10">
        <f>'11a'!D30/'11a'!$B30*100</f>
        <v>77.195945945945937</v>
      </c>
      <c r="E30" s="10">
        <f>'11a'!E30/'11a'!$B30*100</f>
        <v>82.770270270270274</v>
      </c>
      <c r="F30" s="10">
        <f>'11a'!F30/'11a'!$B30*100</f>
        <v>76.182432432432435</v>
      </c>
      <c r="G30" s="10">
        <f>'11a'!G30/'11a'!$B30*100</f>
        <v>82.939189189189193</v>
      </c>
      <c r="H30" s="10">
        <f>'11a'!H30/'11a'!$B30*100</f>
        <v>111.14864864864865</v>
      </c>
      <c r="I30" s="10">
        <f>'11a'!I30/'11a'!$B30*100</f>
        <v>89.358108108108098</v>
      </c>
      <c r="J30" s="10">
        <f>'11a'!J30/'11a'!$B30*100</f>
        <v>90.709459459459467</v>
      </c>
      <c r="K30" s="10">
        <f>'11a'!K30/'11a'!$B30*100</f>
        <v>122.97297297297298</v>
      </c>
      <c r="L30" s="10">
        <f>'11a'!L30/'11a'!$B30*100</f>
        <v>98.648648648648646</v>
      </c>
      <c r="N30" s="19">
        <f>SUM(C106:L106)/10</f>
        <v>317.06822954711475</v>
      </c>
      <c r="O30" s="19">
        <f>SQRT(N30)</f>
        <v>17.806409788250825</v>
      </c>
      <c r="P30" s="19"/>
      <c r="Q30" s="19"/>
    </row>
    <row r="31" spans="1:17" s="961" customFormat="1">
      <c r="A31" s="120">
        <v>2007</v>
      </c>
      <c r="B31" s="135">
        <f>'11a'!B31/'11a'!$B31*100</f>
        <v>100</v>
      </c>
      <c r="C31" s="10">
        <f>'11a'!C31/'11a'!$B31*100</f>
        <v>78.032786885245898</v>
      </c>
      <c r="D31" s="10">
        <f>'11a'!D31/'11a'!$B31*100</f>
        <v>75.573770491803288</v>
      </c>
      <c r="E31" s="10">
        <f>'11a'!E31/'11a'!$B31*100</f>
        <v>81.475409836065566</v>
      </c>
      <c r="F31" s="10">
        <f>'11a'!F31/'11a'!$B31*100</f>
        <v>77.049180327868854</v>
      </c>
      <c r="G31" s="10">
        <f>'11a'!G31/'11a'!$B31*100</f>
        <v>81.147540983606561</v>
      </c>
      <c r="H31" s="10">
        <f>'11a'!H31/'11a'!$B31*100</f>
        <v>110.81967213114754</v>
      </c>
      <c r="I31" s="10">
        <f>'11a'!I31/'11a'!$B31*100</f>
        <v>92.459016393442624</v>
      </c>
      <c r="J31" s="10">
        <f>'11a'!J31/'11a'!$B31*100</f>
        <v>93.606557377049185</v>
      </c>
      <c r="K31" s="10">
        <f>'11a'!K31/'11a'!$B31*100</f>
        <v>126.88524590163934</v>
      </c>
      <c r="L31" s="10">
        <f>'11a'!L31/'11a'!$B31*100</f>
        <v>99.016393442622956</v>
      </c>
      <c r="N31" s="19">
        <f>SUM(C107:L107)/10</f>
        <v>324.31066917495292</v>
      </c>
      <c r="O31" s="19">
        <f>SQRT(N31)</f>
        <v>18.008627631636813</v>
      </c>
      <c r="P31" s="19"/>
      <c r="Q31" s="19"/>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((((B13/B5))^(1/8))-1)*100</f>
        <v>0</v>
      </c>
      <c r="C33" s="959">
        <f t="shared" ref="C33:L33" si="4">((((C13/C5))^(1/8))-1)*100</f>
        <v>-1.2608481421855555</v>
      </c>
      <c r="D33" s="959">
        <f t="shared" si="4"/>
        <v>0.43118017829275601</v>
      </c>
      <c r="E33" s="959">
        <f t="shared" si="4"/>
        <v>0.73487492123747167</v>
      </c>
      <c r="F33" s="959">
        <f t="shared" si="4"/>
        <v>0.35019109653471325</v>
      </c>
      <c r="G33" s="959">
        <f t="shared" si="4"/>
        <v>-0.40948933500306595</v>
      </c>
      <c r="H33" s="959">
        <f t="shared" si="4"/>
        <v>1.15869920916154</v>
      </c>
      <c r="I33" s="959">
        <f t="shared" si="4"/>
        <v>-0.12532415132313623</v>
      </c>
      <c r="J33" s="959">
        <f t="shared" si="4"/>
        <v>-1.8439536798779299</v>
      </c>
      <c r="K33" s="959">
        <f t="shared" si="4"/>
        <v>-1.7985529516653109</v>
      </c>
      <c r="L33" s="959">
        <f t="shared" si="4"/>
        <v>-1.1306816498263261</v>
      </c>
      <c r="M33" s="644"/>
      <c r="N33" s="959">
        <f>((((N13/N5))^(1/8))-1)*100</f>
        <v>0.8390548380310614</v>
      </c>
      <c r="O33" s="959">
        <f>((((O13/O5))^(1/8))-1)*100</f>
        <v>0.41865107540084434</v>
      </c>
      <c r="P33" s="644">
        <f>((((P13/P5))^(1/8))-1)*100</f>
        <v>-2.8355066820315411</v>
      </c>
      <c r="Q33" s="644">
        <f>((((Q13/Q5))^(1/8))-1)*100</f>
        <v>-1.4279485259800162</v>
      </c>
    </row>
    <row r="34" spans="1:17" s="114" customFormat="1">
      <c r="A34" s="431" t="s">
        <v>604</v>
      </c>
      <c r="B34" s="959">
        <f>((((B24/B13))^(1/11))-1)*100</f>
        <v>0</v>
      </c>
      <c r="C34" s="959">
        <f t="shared" ref="C34:L34" si="5">((((C24/C13))^(1/11))-1)*100</f>
        <v>-0.46395558406793214</v>
      </c>
      <c r="D34" s="959">
        <f t="shared" si="5"/>
        <v>0.25281975961699565</v>
      </c>
      <c r="E34" s="959">
        <f t="shared" si="5"/>
        <v>-0.23802778200441299</v>
      </c>
      <c r="F34" s="959">
        <f t="shared" si="5"/>
        <v>0.13919938383821773</v>
      </c>
      <c r="G34" s="959">
        <f t="shared" si="5"/>
        <v>-0.19744107032602098</v>
      </c>
      <c r="H34" s="959">
        <f t="shared" si="5"/>
        <v>5.4920325424601124E-2</v>
      </c>
      <c r="I34" s="959">
        <f t="shared" si="5"/>
        <v>-0.29103018976053274</v>
      </c>
      <c r="J34" s="959">
        <f t="shared" si="5"/>
        <v>-9.7577594568210024E-2</v>
      </c>
      <c r="K34" s="959">
        <f t="shared" si="5"/>
        <v>0.61178404693194022</v>
      </c>
      <c r="L34" s="959">
        <f t="shared" si="5"/>
        <v>-0.43864900019660036</v>
      </c>
      <c r="M34" s="644"/>
      <c r="N34" s="959">
        <f>((((N24/N13))^(1/11))-1)*100</f>
        <v>1.1050964795582097</v>
      </c>
      <c r="O34" s="959">
        <f>((((O24/O13))^(1/11))-1)*100</f>
        <v>0.55103006909387187</v>
      </c>
      <c r="P34" s="644"/>
      <c r="Q34" s="644"/>
    </row>
    <row r="35" spans="1:17" s="114" customFormat="1">
      <c r="A35" s="431" t="s">
        <v>819</v>
      </c>
      <c r="B35" s="23">
        <f t="shared" ref="B35:L35" si="6">((((B30/B5))^(1/25))-1)*100</f>
        <v>0</v>
      </c>
      <c r="C35" s="23">
        <f t="shared" si="6"/>
        <v>-0.46671904059434333</v>
      </c>
      <c r="D35" s="23">
        <f t="shared" si="6"/>
        <v>0.40829158128341536</v>
      </c>
      <c r="E35" s="23">
        <f t="shared" si="6"/>
        <v>0.26956078065161204</v>
      </c>
      <c r="F35" s="23">
        <f t="shared" si="6"/>
        <v>3.5256507860426112E-2</v>
      </c>
      <c r="G35" s="23">
        <f t="shared" si="6"/>
        <v>-0.34691950652732118</v>
      </c>
      <c r="H35" s="23">
        <f t="shared" si="6"/>
        <v>0.16243511787406018</v>
      </c>
      <c r="I35" s="23">
        <f t="shared" si="6"/>
        <v>-3.2776907918674603E-2</v>
      </c>
      <c r="J35" s="23">
        <f t="shared" si="6"/>
        <v>-0.22959625939494854</v>
      </c>
      <c r="K35" s="23">
        <f t="shared" si="6"/>
        <v>0.2247364244623018</v>
      </c>
      <c r="L35" s="23">
        <f t="shared" si="6"/>
        <v>-0.32139400634384474</v>
      </c>
      <c r="M35" s="23"/>
      <c r="N35" s="23">
        <f>((((N30/N5))^(1/25))-1)*100</f>
        <v>0.42974343202462073</v>
      </c>
      <c r="O35" s="23">
        <f>((((O30/O5))^(1/25))-1)*100</f>
        <v>0.21464136144209167</v>
      </c>
      <c r="P35" s="644"/>
      <c r="Q35" s="644"/>
    </row>
    <row r="36" spans="1:17" s="114" customFormat="1">
      <c r="A36" s="431" t="s">
        <v>447</v>
      </c>
      <c r="B36" s="23">
        <f>((((B31/B5))^(1/26))-1)*100</f>
        <v>0</v>
      </c>
      <c r="C36" s="23">
        <f t="shared" ref="C36:L36" si="7">((((C31/C5))^(1/26))-1)*100</f>
        <v>-0.27959779441322219</v>
      </c>
      <c r="D36" s="23">
        <f t="shared" si="7"/>
        <v>0.31058675924164891</v>
      </c>
      <c r="E36" s="23">
        <f t="shared" si="7"/>
        <v>0.19839593713186776</v>
      </c>
      <c r="F36" s="23">
        <f t="shared" si="7"/>
        <v>7.7436145050890914E-2</v>
      </c>
      <c r="G36" s="23">
        <f t="shared" si="7"/>
        <v>-0.41727832763248651</v>
      </c>
      <c r="H36" s="23">
        <f t="shared" si="7"/>
        <v>0.14476489919177382</v>
      </c>
      <c r="I36" s="23">
        <f t="shared" si="7"/>
        <v>9.9734036639675949E-2</v>
      </c>
      <c r="J36" s="23">
        <f t="shared" si="7"/>
        <v>-0.10005093898676209</v>
      </c>
      <c r="K36" s="23">
        <f t="shared" si="7"/>
        <v>0.3368721839343225</v>
      </c>
      <c r="L36" s="23">
        <f t="shared" si="7"/>
        <v>-0.29478390156084666</v>
      </c>
      <c r="M36" s="23"/>
      <c r="N36" s="23">
        <f>((((N31/N5))^(1/26))-1)*100</f>
        <v>0.50044264424367046</v>
      </c>
      <c r="O36" s="23">
        <f>((((O31/O5))^(1/26))-1)*100</f>
        <v>0.24990904945683123</v>
      </c>
      <c r="P36" s="644"/>
      <c r="Q36" s="644"/>
    </row>
    <row r="37" spans="1:17" s="114" customFormat="1">
      <c r="A37" s="431" t="s">
        <v>818</v>
      </c>
      <c r="B37" s="959">
        <f t="shared" ref="B37:L37" si="8">((((B30/B24))^(1/6))-1)*100</f>
        <v>0</v>
      </c>
      <c r="C37" s="959">
        <f t="shared" si="8"/>
        <v>0.59694333037247915</v>
      </c>
      <c r="D37" s="959">
        <f t="shared" si="8"/>
        <v>0.66335291302928034</v>
      </c>
      <c r="E37" s="959">
        <f t="shared" si="8"/>
        <v>0.58401151293216991</v>
      </c>
      <c r="F37" s="959">
        <f t="shared" si="8"/>
        <v>-0.57260532909005901</v>
      </c>
      <c r="G37" s="959">
        <f t="shared" si="8"/>
        <v>-0.53712359162902956</v>
      </c>
      <c r="H37" s="959">
        <f t="shared" si="8"/>
        <v>-0.95584844259971602</v>
      </c>
      <c r="I37" s="959">
        <f t="shared" si="8"/>
        <v>0.5665429069241501</v>
      </c>
      <c r="J37" s="959">
        <f t="shared" si="8"/>
        <v>1.7173638538416025</v>
      </c>
      <c r="K37" s="959">
        <f t="shared" si="8"/>
        <v>2.26227187592416</v>
      </c>
      <c r="L37" s="959">
        <f t="shared" si="8"/>
        <v>0.98564962725187222</v>
      </c>
      <c r="M37" s="644"/>
      <c r="N37" s="959">
        <f>((((N30/N24))^(1/6))-1)*100</f>
        <v>-1.3332411914328213</v>
      </c>
      <c r="O37" s="959">
        <f>((((O30/O24))^(1/6))-1)*100</f>
        <v>-0.66885744713937045</v>
      </c>
      <c r="P37" s="644">
        <f>((((P24/P13))^(1/11))-1)*100</f>
        <v>1.3625442751269645</v>
      </c>
      <c r="Q37" s="644">
        <f>((((Q24/Q13))^(1/11))-1)*100</f>
        <v>0.67896715557174137</v>
      </c>
    </row>
    <row r="38" spans="1:17" s="114" customFormat="1">
      <c r="A38" s="431" t="s">
        <v>449</v>
      </c>
      <c r="B38" s="959">
        <f>((((B31/B24))^(1/7))-1)*100</f>
        <v>0</v>
      </c>
      <c r="C38" s="959">
        <f t="shared" ref="C38:L38" si="9">((((C31/C24))^(1/7))-1)*100</f>
        <v>1.1474731231680524</v>
      </c>
      <c r="D38" s="959">
        <f t="shared" si="9"/>
        <v>0.26366232770780318</v>
      </c>
      <c r="E38" s="959">
        <f t="shared" si="9"/>
        <v>0.27424793479571274</v>
      </c>
      <c r="F38" s="959">
        <f t="shared" si="9"/>
        <v>-0.33005450428486016</v>
      </c>
      <c r="G38" s="959">
        <f t="shared" si="9"/>
        <v>-0.77062909175591443</v>
      </c>
      <c r="H38" s="959">
        <f t="shared" si="9"/>
        <v>-0.8618494176112601</v>
      </c>
      <c r="I38" s="959">
        <f t="shared" si="9"/>
        <v>0.97630856415646949</v>
      </c>
      <c r="J38" s="959">
        <f t="shared" si="9"/>
        <v>1.9269858817112073</v>
      </c>
      <c r="K38" s="959">
        <f t="shared" si="9"/>
        <v>2.3930741508079612</v>
      </c>
      <c r="L38" s="959">
        <f t="shared" si="9"/>
        <v>0.89786858759830501</v>
      </c>
      <c r="M38" s="644"/>
      <c r="N38" s="959">
        <f>((((N31/N24))^(1/7))-1)*100</f>
        <v>-0.82440573705044873</v>
      </c>
      <c r="O38" s="959">
        <f>((((O31/O24))^(1/7))-1)*100</f>
        <v>-0.41305594459204453</v>
      </c>
      <c r="P38" s="23">
        <f>((((P28/P5))^(1/23))-1)*100</f>
        <v>-0.17664963043786397</v>
      </c>
      <c r="Q38" s="23">
        <f>((((Q28/Q5))^(1/23))-1)*100</f>
        <v>-8.8363856074236136E-2</v>
      </c>
    </row>
    <row r="39" spans="1:17" s="114" customFormat="1">
      <c r="A39" s="431"/>
      <c r="D39" s="959" t="s">
        <v>276</v>
      </c>
      <c r="M39" s="644"/>
      <c r="P39" s="644">
        <f>((((P28/P24))^(1/4))-1)*100</f>
        <v>1.0197995118513603</v>
      </c>
      <c r="Q39" s="644">
        <f>((((Q28/Q24))^(1/4))-1)*100</f>
        <v>0.50860635381000385</v>
      </c>
    </row>
    <row r="40" spans="1:17" s="114" customFormat="1">
      <c r="A40" s="431" t="s">
        <v>819</v>
      </c>
      <c r="B40" s="10">
        <f t="shared" ref="B40:L40" si="10">(B30/B5-1)*100</f>
        <v>0</v>
      </c>
      <c r="C40" s="10">
        <f t="shared" si="10"/>
        <v>-11.037290074038408</v>
      </c>
      <c r="D40" s="10">
        <f t="shared" si="10"/>
        <v>10.723407724077937</v>
      </c>
      <c r="E40" s="10">
        <f t="shared" si="10"/>
        <v>6.96158114636376</v>
      </c>
      <c r="F40" s="10">
        <f t="shared" si="10"/>
        <v>0.88515185978059741</v>
      </c>
      <c r="G40" s="10">
        <f t="shared" si="10"/>
        <v>-8.3213507929416952</v>
      </c>
      <c r="H40" s="10">
        <f t="shared" si="10"/>
        <v>4.1410280683485734</v>
      </c>
      <c r="I40" s="10">
        <f t="shared" si="10"/>
        <v>-0.81620780531569403</v>
      </c>
      <c r="J40" s="10">
        <f t="shared" si="10"/>
        <v>-5.5845120412240874</v>
      </c>
      <c r="K40" s="10">
        <f t="shared" si="10"/>
        <v>5.772573216303134</v>
      </c>
      <c r="L40" s="10">
        <f t="shared" si="10"/>
        <v>-7.7324702324702344</v>
      </c>
      <c r="M40" s="10"/>
      <c r="N40" s="10">
        <f>(N30/N5-1)*100</f>
        <v>11.316317296261257</v>
      </c>
      <c r="O40" s="10">
        <f>(O30/O5-1)*100</f>
        <v>5.5065482784178998</v>
      </c>
    </row>
    <row r="41" spans="1:17" s="114" customFormat="1">
      <c r="A41" s="431" t="s">
        <v>447</v>
      </c>
      <c r="B41" s="10">
        <f>(B31/B5-1)*100</f>
        <v>0</v>
      </c>
      <c r="C41" s="10">
        <f t="shared" ref="C41:L41" si="11">(C31/C5-1)*100</f>
        <v>-7.0210668516557773</v>
      </c>
      <c r="D41" s="10">
        <f t="shared" si="11"/>
        <v>8.3966949413264214</v>
      </c>
      <c r="E41" s="10">
        <f t="shared" si="11"/>
        <v>5.2882711649639758</v>
      </c>
      <c r="F41" s="10">
        <f t="shared" si="11"/>
        <v>2.0329491965590085</v>
      </c>
      <c r="G41" s="10">
        <f t="shared" si="11"/>
        <v>-10.301788375558862</v>
      </c>
      <c r="H41" s="10">
        <f t="shared" si="11"/>
        <v>3.8327926272573309</v>
      </c>
      <c r="I41" s="10">
        <f t="shared" si="11"/>
        <v>2.6256717230120463</v>
      </c>
      <c r="J41" s="10">
        <f t="shared" si="11"/>
        <v>-2.5690502009312888</v>
      </c>
      <c r="K41" s="10">
        <f t="shared" si="11"/>
        <v>9.1376311211849739</v>
      </c>
      <c r="L41" s="10">
        <f t="shared" si="11"/>
        <v>-7.388513126218033</v>
      </c>
      <c r="M41" s="10"/>
      <c r="N41" s="10">
        <f>(N31/N5-1)*100</f>
        <v>13.858993075423975</v>
      </c>
      <c r="O41" s="10">
        <f>(O31/O5-1)*100</f>
        <v>6.7047295462689283</v>
      </c>
      <c r="P41" s="10">
        <f>(P28/P5-1)*100</f>
        <v>-3.9849602927941818</v>
      </c>
      <c r="Q41" s="10">
        <f>(Q28/Q5-1)*100</f>
        <v>-2.0127356707996369</v>
      </c>
    </row>
    <row r="42" spans="1:17">
      <c r="A42" s="4"/>
      <c r="N42" s="644"/>
      <c r="O42" s="644"/>
      <c r="P42" s="644"/>
      <c r="Q42" s="644"/>
    </row>
    <row r="43" spans="1:17">
      <c r="A43" s="9" t="s">
        <v>283</v>
      </c>
      <c r="N43" s="10"/>
      <c r="O43" s="10"/>
      <c r="P43" s="10"/>
      <c r="Q43" s="10"/>
    </row>
    <row r="44" spans="1:17" ht="27.75" customHeight="1">
      <c r="A44" s="1168" t="s">
        <v>330</v>
      </c>
      <c r="B44" s="1169"/>
      <c r="C44" s="1169"/>
      <c r="D44" s="1169"/>
      <c r="E44" s="1169"/>
      <c r="F44" s="1169"/>
      <c r="G44" s="1169"/>
      <c r="H44" s="1169"/>
      <c r="I44" s="1169"/>
      <c r="J44" s="1169"/>
      <c r="K44" s="1169"/>
      <c r="L44" s="1169"/>
      <c r="N44" s="10"/>
      <c r="O44" s="10"/>
      <c r="P44" s="10"/>
      <c r="Q44" s="10"/>
    </row>
    <row r="45" spans="1:17" ht="39" customHeight="1">
      <c r="A45" s="1168" t="s">
        <v>1160</v>
      </c>
      <c r="B45" s="1169"/>
      <c r="C45" s="1169"/>
      <c r="D45" s="1169"/>
      <c r="E45" s="1169"/>
      <c r="F45" s="1169"/>
      <c r="G45" s="1169"/>
      <c r="H45" s="1169"/>
      <c r="I45" s="1169"/>
      <c r="J45" s="1169"/>
      <c r="K45" s="1169"/>
      <c r="L45" s="1169"/>
      <c r="N45" s="10"/>
      <c r="O45" s="10"/>
      <c r="P45" s="10"/>
      <c r="Q45" s="10"/>
    </row>
    <row r="50" spans="2:12">
      <c r="B50" s="1" t="s">
        <v>278</v>
      </c>
    </row>
    <row r="51" spans="2:12">
      <c r="B51" s="1" t="s">
        <v>279</v>
      </c>
    </row>
    <row r="52" spans="2:12">
      <c r="B52" s="1">
        <v>1981</v>
      </c>
      <c r="C52" s="300">
        <f>C5-$B5</f>
        <v>-16.074766355140184</v>
      </c>
      <c r="D52" s="300">
        <f t="shared" ref="D52:L52" si="12">D5-$B5</f>
        <v>-30.280373831775691</v>
      </c>
      <c r="E52" s="300">
        <f t="shared" si="12"/>
        <v>-22.616822429906549</v>
      </c>
      <c r="F52" s="300">
        <f t="shared" si="12"/>
        <v>-24.485981308411226</v>
      </c>
      <c r="G52" s="300">
        <f t="shared" si="12"/>
        <v>-9.5327102803738342</v>
      </c>
      <c r="H52" s="300">
        <f t="shared" si="12"/>
        <v>6.7289719626168107</v>
      </c>
      <c r="I52" s="300">
        <f t="shared" si="12"/>
        <v>-9.9065420560747697</v>
      </c>
      <c r="J52" s="300">
        <f t="shared" si="12"/>
        <v>-3.9252336448598157</v>
      </c>
      <c r="K52" s="300">
        <f t="shared" si="12"/>
        <v>16.261682242990645</v>
      </c>
      <c r="L52" s="300">
        <f t="shared" si="12"/>
        <v>6.9158878504672856</v>
      </c>
    </row>
    <row r="53" spans="2:12">
      <c r="B53" s="1">
        <v>1982</v>
      </c>
      <c r="C53" s="300">
        <f t="shared" ref="C53:L68" si="13">C6-$B6</f>
        <v>-19.140625</v>
      </c>
      <c r="D53" s="300">
        <f t="shared" si="13"/>
        <v>-27.9296875</v>
      </c>
      <c r="E53" s="300">
        <f t="shared" si="13"/>
        <v>-21.09375</v>
      </c>
      <c r="F53" s="300">
        <f t="shared" si="13"/>
        <v>-24.21875</v>
      </c>
      <c r="G53" s="300">
        <f t="shared" si="13"/>
        <v>-10.7421875</v>
      </c>
      <c r="H53" s="300">
        <f t="shared" si="13"/>
        <v>6.4453125</v>
      </c>
      <c r="I53" s="300">
        <f t="shared" si="13"/>
        <v>-8.3984375</v>
      </c>
      <c r="J53" s="300">
        <f t="shared" si="13"/>
        <v>-4.1015625</v>
      </c>
      <c r="K53" s="300">
        <f t="shared" si="13"/>
        <v>21.875</v>
      </c>
      <c r="L53" s="300">
        <f t="shared" si="13"/>
        <v>5.2734375</v>
      </c>
    </row>
    <row r="54" spans="2:12">
      <c r="B54" s="1">
        <v>1983</v>
      </c>
      <c r="C54" s="300">
        <f t="shared" si="13"/>
        <v>-25.955734406438637</v>
      </c>
      <c r="D54" s="300">
        <f t="shared" si="13"/>
        <v>-23.541247484909462</v>
      </c>
      <c r="E54" s="300">
        <f t="shared" si="13"/>
        <v>-18.712273641851112</v>
      </c>
      <c r="F54" s="300">
        <f t="shared" si="13"/>
        <v>-26.156941649899395</v>
      </c>
      <c r="G54" s="300">
        <f t="shared" si="13"/>
        <v>-9.859154929577457</v>
      </c>
      <c r="H54" s="300">
        <f t="shared" si="13"/>
        <v>9.6579476861166995</v>
      </c>
      <c r="I54" s="300">
        <f t="shared" si="13"/>
        <v>-4.8289738430583498</v>
      </c>
      <c r="J54" s="300">
        <f t="shared" si="13"/>
        <v>-5.4325955734406506</v>
      </c>
      <c r="K54" s="300">
        <f t="shared" si="13"/>
        <v>10.663983903420515</v>
      </c>
      <c r="L54" s="300">
        <f t="shared" si="13"/>
        <v>3.0181086519114757</v>
      </c>
    </row>
    <row r="55" spans="2:12">
      <c r="B55" s="1">
        <v>1984</v>
      </c>
      <c r="C55" s="300">
        <f t="shared" si="13"/>
        <v>-25.553319919517108</v>
      </c>
      <c r="D55" s="300">
        <f t="shared" si="13"/>
        <v>-25.754527162977865</v>
      </c>
      <c r="E55" s="300">
        <f t="shared" si="13"/>
        <v>-16.297786720321923</v>
      </c>
      <c r="F55" s="300">
        <f t="shared" si="13"/>
        <v>-20.120724346076457</v>
      </c>
      <c r="G55" s="300">
        <f t="shared" si="13"/>
        <v>-8.6519114688128838</v>
      </c>
      <c r="H55" s="300">
        <f t="shared" si="13"/>
        <v>11.468812877263574</v>
      </c>
      <c r="I55" s="300">
        <f t="shared" si="13"/>
        <v>-6.0362173038229372</v>
      </c>
      <c r="J55" s="300">
        <f t="shared" si="13"/>
        <v>-8.0482897384305829</v>
      </c>
      <c r="K55" s="300">
        <f t="shared" si="13"/>
        <v>6.0362173038229372</v>
      </c>
      <c r="L55" s="300">
        <f t="shared" si="13"/>
        <v>-2.816901408450704</v>
      </c>
    </row>
    <row r="56" spans="2:12">
      <c r="B56" s="1">
        <v>1985</v>
      </c>
      <c r="C56" s="300">
        <f t="shared" si="13"/>
        <v>-26.129666011787819</v>
      </c>
      <c r="D56" s="300">
        <f t="shared" si="13"/>
        <v>-27.504911591355594</v>
      </c>
      <c r="E56" s="300">
        <f t="shared" si="13"/>
        <v>-12.377210216110029</v>
      </c>
      <c r="F56" s="300">
        <f t="shared" si="13"/>
        <v>-21.021611001964629</v>
      </c>
      <c r="G56" s="300">
        <f t="shared" si="13"/>
        <v>-10.805500982318279</v>
      </c>
      <c r="H56" s="300">
        <f t="shared" si="13"/>
        <v>12.770137524557953</v>
      </c>
      <c r="I56" s="300">
        <f t="shared" si="13"/>
        <v>-8.6444007858546286</v>
      </c>
      <c r="J56" s="300">
        <f t="shared" si="13"/>
        <v>-9.4302554027504897</v>
      </c>
      <c r="K56" s="300">
        <f t="shared" si="13"/>
        <v>9.4302554027504897</v>
      </c>
      <c r="L56" s="300">
        <f t="shared" si="13"/>
        <v>-3.1434184675834871</v>
      </c>
    </row>
    <row r="57" spans="2:12">
      <c r="B57" s="1">
        <v>1986</v>
      </c>
      <c r="C57" s="300">
        <f t="shared" si="13"/>
        <v>-32.301740812379109</v>
      </c>
      <c r="D57" s="300">
        <f t="shared" si="13"/>
        <v>-26.885880077369436</v>
      </c>
      <c r="E57" s="300">
        <f t="shared" si="13"/>
        <v>-16.63442940038685</v>
      </c>
      <c r="F57" s="300">
        <f t="shared" si="13"/>
        <v>-23.0174081237911</v>
      </c>
      <c r="G57" s="300">
        <f t="shared" si="13"/>
        <v>-10.444874274661515</v>
      </c>
      <c r="H57" s="300">
        <f t="shared" si="13"/>
        <v>14.313346228239851</v>
      </c>
      <c r="I57" s="300">
        <f t="shared" si="13"/>
        <v>-8.1237911025145166</v>
      </c>
      <c r="J57" s="300">
        <f t="shared" si="13"/>
        <v>-12.185686653771768</v>
      </c>
      <c r="K57" s="300">
        <f t="shared" si="13"/>
        <v>5.9961315280464049</v>
      </c>
      <c r="L57" s="300">
        <f t="shared" si="13"/>
        <v>-2.3210831721469987</v>
      </c>
    </row>
    <row r="58" spans="2:12">
      <c r="B58" s="1">
        <v>1987</v>
      </c>
      <c r="C58" s="300">
        <f t="shared" si="13"/>
        <v>-28.107074569789674</v>
      </c>
      <c r="D58" s="300">
        <f t="shared" si="13"/>
        <v>-24.474187380497142</v>
      </c>
      <c r="E58" s="300">
        <f t="shared" si="13"/>
        <v>-14.913957934990435</v>
      </c>
      <c r="F58" s="300">
        <f t="shared" si="13"/>
        <v>-25.430210325047796</v>
      </c>
      <c r="G58" s="300">
        <f t="shared" si="13"/>
        <v>-10.325047801147221</v>
      </c>
      <c r="H58" s="300">
        <f t="shared" si="13"/>
        <v>15.296367112810699</v>
      </c>
      <c r="I58" s="300">
        <f t="shared" si="13"/>
        <v>-11.854684512428292</v>
      </c>
      <c r="J58" s="300">
        <f t="shared" si="13"/>
        <v>-13.384321223709378</v>
      </c>
      <c r="K58" s="300">
        <f t="shared" si="13"/>
        <v>2.4856596558317392</v>
      </c>
      <c r="L58" s="300">
        <f t="shared" si="13"/>
        <v>-3.6328871892925463</v>
      </c>
    </row>
    <row r="59" spans="2:12">
      <c r="B59" s="1">
        <v>1988</v>
      </c>
      <c r="C59" s="300">
        <f t="shared" si="13"/>
        <v>-26.266416510318948</v>
      </c>
      <c r="D59" s="300">
        <f t="shared" si="13"/>
        <v>-30.956848030018762</v>
      </c>
      <c r="E59" s="300">
        <f t="shared" si="13"/>
        <v>-17.073170731707322</v>
      </c>
      <c r="F59" s="300">
        <f t="shared" si="13"/>
        <v>-24.577861163227027</v>
      </c>
      <c r="G59" s="300">
        <f t="shared" si="13"/>
        <v>-13.508442776735464</v>
      </c>
      <c r="H59" s="300">
        <f t="shared" si="13"/>
        <v>17.073170731707307</v>
      </c>
      <c r="I59" s="300">
        <f t="shared" si="13"/>
        <v>-11.444652908067539</v>
      </c>
      <c r="J59" s="300">
        <f t="shared" si="13"/>
        <v>-15.759849906191363</v>
      </c>
      <c r="K59" s="300">
        <f t="shared" si="13"/>
        <v>2.251407129455913</v>
      </c>
      <c r="L59" s="300">
        <f t="shared" si="13"/>
        <v>-1.5009380863039326</v>
      </c>
    </row>
    <row r="60" spans="2:12">
      <c r="B60" s="1">
        <v>1989</v>
      </c>
      <c r="C60" s="300">
        <f t="shared" si="13"/>
        <v>-24.175824175824175</v>
      </c>
      <c r="D60" s="300">
        <f t="shared" si="13"/>
        <v>-27.838827838827839</v>
      </c>
      <c r="E60" s="300">
        <f t="shared" si="13"/>
        <v>-17.948717948717956</v>
      </c>
      <c r="F60" s="300">
        <f t="shared" si="13"/>
        <v>-22.344322344322336</v>
      </c>
      <c r="G60" s="300">
        <f t="shared" si="13"/>
        <v>-12.454212454212453</v>
      </c>
      <c r="H60" s="300">
        <f t="shared" si="13"/>
        <v>17.032967032967036</v>
      </c>
      <c r="I60" s="300">
        <f t="shared" si="13"/>
        <v>-10.805860805860803</v>
      </c>
      <c r="J60" s="300">
        <f t="shared" si="13"/>
        <v>-17.216117216117226</v>
      </c>
      <c r="K60" s="300">
        <f t="shared" si="13"/>
        <v>0.54945054945054039</v>
      </c>
      <c r="L60" s="300">
        <f t="shared" si="13"/>
        <v>-2.3809523809523796</v>
      </c>
    </row>
    <row r="61" spans="2:12">
      <c r="B61" s="1">
        <v>1990</v>
      </c>
      <c r="C61" s="300">
        <f t="shared" si="13"/>
        <v>-25.621414913957935</v>
      </c>
      <c r="D61" s="300">
        <f t="shared" si="13"/>
        <v>-25.621414913957935</v>
      </c>
      <c r="E61" s="300">
        <f t="shared" si="13"/>
        <v>-15.487571701720839</v>
      </c>
      <c r="F61" s="300">
        <f t="shared" si="13"/>
        <v>-21.797323135755249</v>
      </c>
      <c r="G61" s="300">
        <f t="shared" si="13"/>
        <v>-13.957934990439767</v>
      </c>
      <c r="H61" s="300">
        <f t="shared" si="13"/>
        <v>15.869980879541103</v>
      </c>
      <c r="I61" s="300">
        <f t="shared" si="13"/>
        <v>-11.663479923518167</v>
      </c>
      <c r="J61" s="300">
        <f t="shared" si="13"/>
        <v>-16.252390057361382</v>
      </c>
      <c r="K61" s="300">
        <f t="shared" si="13"/>
        <v>4.7801147227533534</v>
      </c>
      <c r="L61" s="300">
        <f t="shared" si="13"/>
        <v>0.19120458891012504</v>
      </c>
    </row>
    <row r="62" spans="2:12">
      <c r="B62" s="1">
        <v>1991</v>
      </c>
      <c r="C62" s="300">
        <f t="shared" si="13"/>
        <v>-25.454545454545453</v>
      </c>
      <c r="D62" s="300">
        <f t="shared" si="13"/>
        <v>-25.454545454545453</v>
      </c>
      <c r="E62" s="300">
        <f t="shared" si="13"/>
        <v>-16.161616161616166</v>
      </c>
      <c r="F62" s="300">
        <f t="shared" si="13"/>
        <v>-20.808080808080803</v>
      </c>
      <c r="G62" s="300">
        <f t="shared" si="13"/>
        <v>-13.535353535353536</v>
      </c>
      <c r="H62" s="300">
        <f t="shared" si="13"/>
        <v>13.939393939393938</v>
      </c>
      <c r="I62" s="300">
        <f t="shared" si="13"/>
        <v>-12.121212121212125</v>
      </c>
      <c r="J62" s="300">
        <f t="shared" si="13"/>
        <v>-15.555555555555557</v>
      </c>
      <c r="K62" s="300">
        <f t="shared" si="13"/>
        <v>9.6969696969696884</v>
      </c>
      <c r="L62" s="300">
        <f t="shared" si="13"/>
        <v>0</v>
      </c>
    </row>
    <row r="63" spans="2:12">
      <c r="B63" s="1">
        <v>1992</v>
      </c>
      <c r="C63" s="300">
        <f t="shared" si="13"/>
        <v>-27.868852459016395</v>
      </c>
      <c r="D63" s="300">
        <f t="shared" si="13"/>
        <v>-23.770491803278688</v>
      </c>
      <c r="E63" s="300">
        <f t="shared" si="13"/>
        <v>-16.188524590163937</v>
      </c>
      <c r="F63" s="300">
        <f t="shared" si="13"/>
        <v>-20.696721311475414</v>
      </c>
      <c r="G63" s="300">
        <f t="shared" si="13"/>
        <v>-14.344262295081961</v>
      </c>
      <c r="H63" s="300">
        <f t="shared" si="13"/>
        <v>13.729508196721312</v>
      </c>
      <c r="I63" s="300">
        <f t="shared" si="13"/>
        <v>-10.450819672131146</v>
      </c>
      <c r="J63" s="300">
        <f t="shared" si="13"/>
        <v>-13.52459016393442</v>
      </c>
      <c r="K63" s="300">
        <f t="shared" si="13"/>
        <v>4.098360655737693</v>
      </c>
      <c r="L63" s="300">
        <f t="shared" si="13"/>
        <v>5.5327868852458977</v>
      </c>
    </row>
    <row r="64" spans="2:12">
      <c r="B64" s="1">
        <v>1993</v>
      </c>
      <c r="C64" s="300">
        <f t="shared" si="13"/>
        <v>-28.813559322033896</v>
      </c>
      <c r="D64" s="300">
        <f t="shared" si="13"/>
        <v>-25.635593220338976</v>
      </c>
      <c r="E64" s="300">
        <f t="shared" si="13"/>
        <v>-16.949152542372886</v>
      </c>
      <c r="F64" s="300">
        <f t="shared" si="13"/>
        <v>-20.127118644067792</v>
      </c>
      <c r="G64" s="300">
        <f t="shared" si="13"/>
        <v>-14.618644067796609</v>
      </c>
      <c r="H64" s="300">
        <f t="shared" si="13"/>
        <v>14.406779661016955</v>
      </c>
      <c r="I64" s="300">
        <f t="shared" si="13"/>
        <v>-12.076271186440678</v>
      </c>
      <c r="J64" s="300">
        <f t="shared" si="13"/>
        <v>-14.618644067796609</v>
      </c>
      <c r="K64" s="300">
        <f t="shared" si="13"/>
        <v>7.2033898305084847</v>
      </c>
      <c r="L64" s="300">
        <f t="shared" si="13"/>
        <v>2.330508474576277</v>
      </c>
    </row>
    <row r="65" spans="2:12">
      <c r="B65" s="1">
        <v>1994</v>
      </c>
      <c r="C65" s="300">
        <f t="shared" si="13"/>
        <v>-23.84937238493724</v>
      </c>
      <c r="D65" s="300">
        <f t="shared" si="13"/>
        <v>-24.058577405857733</v>
      </c>
      <c r="E65" s="300">
        <f t="shared" si="13"/>
        <v>-19.037656903765694</v>
      </c>
      <c r="F65" s="300">
        <f t="shared" si="13"/>
        <v>-21.129707112970706</v>
      </c>
      <c r="G65" s="300">
        <f t="shared" si="13"/>
        <v>-12.970711297071119</v>
      </c>
      <c r="H65" s="300">
        <f t="shared" si="13"/>
        <v>13.389121338912119</v>
      </c>
      <c r="I65" s="300">
        <f t="shared" si="13"/>
        <v>-8.9958158995816007</v>
      </c>
      <c r="J65" s="300">
        <f t="shared" si="13"/>
        <v>-14.644351464435147</v>
      </c>
      <c r="K65" s="300">
        <f t="shared" si="13"/>
        <v>7.7405857740585873</v>
      </c>
      <c r="L65" s="300">
        <f t="shared" si="13"/>
        <v>1.6736401673640273</v>
      </c>
    </row>
    <row r="66" spans="2:12">
      <c r="B66" s="1">
        <v>1995</v>
      </c>
      <c r="C66" s="300">
        <f t="shared" si="13"/>
        <v>-28.512396694214885</v>
      </c>
      <c r="D66" s="300">
        <f t="shared" si="13"/>
        <v>-24.793388429752056</v>
      </c>
      <c r="E66" s="300">
        <f t="shared" si="13"/>
        <v>-21.280991735537185</v>
      </c>
      <c r="F66" s="300">
        <f t="shared" si="13"/>
        <v>-20.661157024793383</v>
      </c>
      <c r="G66" s="300">
        <f t="shared" si="13"/>
        <v>-14.049586776859499</v>
      </c>
      <c r="H66" s="300">
        <f t="shared" si="13"/>
        <v>14.462809917355372</v>
      </c>
      <c r="I66" s="300">
        <f t="shared" si="13"/>
        <v>-9.5041322314049665</v>
      </c>
      <c r="J66" s="300">
        <f t="shared" si="13"/>
        <v>-10.537190082644628</v>
      </c>
      <c r="K66" s="300">
        <f t="shared" si="13"/>
        <v>6.1983471074380105</v>
      </c>
      <c r="L66" s="300">
        <f t="shared" si="13"/>
        <v>1.4462809917355344</v>
      </c>
    </row>
    <row r="67" spans="2:12">
      <c r="B67" s="1">
        <v>1996</v>
      </c>
      <c r="C67" s="300">
        <f t="shared" si="13"/>
        <v>-29.835390946502059</v>
      </c>
      <c r="D67" s="300">
        <f t="shared" si="13"/>
        <v>-23.045267489711932</v>
      </c>
      <c r="E67" s="300">
        <f t="shared" si="13"/>
        <v>-22.839506172839506</v>
      </c>
      <c r="F67" s="300">
        <f t="shared" si="13"/>
        <v>-20.576131687242793</v>
      </c>
      <c r="G67" s="300">
        <f t="shared" si="13"/>
        <v>-13.374485596707814</v>
      </c>
      <c r="H67" s="300">
        <f t="shared" si="13"/>
        <v>14.197530864197532</v>
      </c>
      <c r="I67" s="300">
        <f t="shared" si="13"/>
        <v>-9.6707818930041043</v>
      </c>
      <c r="J67" s="300">
        <f t="shared" si="13"/>
        <v>-12.962962962962962</v>
      </c>
      <c r="K67" s="300">
        <f t="shared" si="13"/>
        <v>7.407407407407419</v>
      </c>
      <c r="L67" s="300">
        <f t="shared" si="13"/>
        <v>1.4403292181069958</v>
      </c>
    </row>
    <row r="68" spans="2:12">
      <c r="B68" s="1">
        <v>1997</v>
      </c>
      <c r="C68" s="300">
        <f t="shared" si="13"/>
        <v>-31.504065040650403</v>
      </c>
      <c r="D68" s="300">
        <f t="shared" si="13"/>
        <v>-26.016260162601625</v>
      </c>
      <c r="E68" s="300">
        <f t="shared" si="13"/>
        <v>-21.341463414634148</v>
      </c>
      <c r="F68" s="300">
        <f t="shared" si="13"/>
        <v>-22.560975609756099</v>
      </c>
      <c r="G68" s="300">
        <f t="shared" si="13"/>
        <v>-14.837398373983731</v>
      </c>
      <c r="H68" s="300">
        <f t="shared" si="13"/>
        <v>13.617886178861795</v>
      </c>
      <c r="I68" s="300">
        <f t="shared" si="13"/>
        <v>-10.365853658536579</v>
      </c>
      <c r="J68" s="300">
        <f t="shared" si="13"/>
        <v>-12.398373983739845</v>
      </c>
      <c r="K68" s="300">
        <f t="shared" si="13"/>
        <v>14.837398373983746</v>
      </c>
      <c r="L68" s="300">
        <f t="shared" si="13"/>
        <v>0.60975609756097526</v>
      </c>
    </row>
    <row r="69" spans="2:12">
      <c r="B69" s="1">
        <v>1998</v>
      </c>
      <c r="C69" s="300">
        <f t="shared" ref="C69:L78" si="14">C22-$B22</f>
        <v>-28.626692456479688</v>
      </c>
      <c r="D69" s="300">
        <f t="shared" si="14"/>
        <v>-23.791102514506761</v>
      </c>
      <c r="E69" s="300">
        <f t="shared" si="14"/>
        <v>-20.502901353965186</v>
      </c>
      <c r="F69" s="300">
        <f t="shared" si="14"/>
        <v>-20.696324951644101</v>
      </c>
      <c r="G69" s="300">
        <f t="shared" si="14"/>
        <v>-14.119922630560936</v>
      </c>
      <c r="H69" s="300">
        <f t="shared" si="14"/>
        <v>14.700193423597668</v>
      </c>
      <c r="I69" s="300">
        <f t="shared" si="14"/>
        <v>-9.0909090909090935</v>
      </c>
      <c r="J69" s="300">
        <f t="shared" si="14"/>
        <v>-15.280464216634428</v>
      </c>
      <c r="K69" s="300">
        <f t="shared" si="14"/>
        <v>13.34622823984526</v>
      </c>
      <c r="L69" s="300">
        <f t="shared" si="14"/>
        <v>-3.8684719535783358</v>
      </c>
    </row>
    <row r="70" spans="2:12">
      <c r="B70" s="1">
        <v>1999</v>
      </c>
      <c r="C70" s="300">
        <f t="shared" si="14"/>
        <v>-27.881040892193312</v>
      </c>
      <c r="D70" s="300">
        <f t="shared" si="14"/>
        <v>-25.836431226765797</v>
      </c>
      <c r="E70" s="300">
        <f t="shared" si="14"/>
        <v>-18.773234200743488</v>
      </c>
      <c r="F70" s="300">
        <f t="shared" si="14"/>
        <v>-20.631970260223056</v>
      </c>
      <c r="G70" s="300">
        <f t="shared" si="14"/>
        <v>-14.684014869888472</v>
      </c>
      <c r="H70" s="300">
        <f t="shared" si="14"/>
        <v>17.286245353159856</v>
      </c>
      <c r="I70" s="300">
        <f t="shared" si="14"/>
        <v>-12.45353159851301</v>
      </c>
      <c r="J70" s="300">
        <f t="shared" si="14"/>
        <v>-16.356877323420065</v>
      </c>
      <c r="K70" s="300">
        <f t="shared" si="14"/>
        <v>7.0631970260222943</v>
      </c>
      <c r="L70" s="300">
        <f t="shared" si="14"/>
        <v>-4.8327137546468464</v>
      </c>
    </row>
    <row r="71" spans="2:12">
      <c r="B71" s="1">
        <v>2000</v>
      </c>
      <c r="C71" s="300">
        <f t="shared" si="14"/>
        <v>-27.956989247311824</v>
      </c>
      <c r="D71" s="300">
        <f t="shared" si="14"/>
        <v>-25.806451612903231</v>
      </c>
      <c r="E71" s="300">
        <f t="shared" si="14"/>
        <v>-20.071684587813621</v>
      </c>
      <c r="F71" s="300">
        <f t="shared" si="14"/>
        <v>-21.146953405017925</v>
      </c>
      <c r="G71" s="300">
        <f t="shared" si="14"/>
        <v>-14.336917562724011</v>
      </c>
      <c r="H71" s="300">
        <f t="shared" si="14"/>
        <v>17.741935483870975</v>
      </c>
      <c r="I71" s="300">
        <f t="shared" si="14"/>
        <v>-13.620071684587813</v>
      </c>
      <c r="J71" s="300">
        <f t="shared" si="14"/>
        <v>-18.100358422939067</v>
      </c>
      <c r="K71" s="300">
        <f t="shared" si="14"/>
        <v>7.5268817204300973</v>
      </c>
      <c r="L71" s="300">
        <f t="shared" si="14"/>
        <v>-6.9892473118279668</v>
      </c>
    </row>
    <row r="72" spans="2:12">
      <c r="B72" s="1">
        <v>2001</v>
      </c>
      <c r="C72" s="300">
        <f t="shared" si="14"/>
        <v>-31.028368794326241</v>
      </c>
      <c r="D72" s="300">
        <f t="shared" si="14"/>
        <v>-26.950354609929079</v>
      </c>
      <c r="E72" s="300">
        <f t="shared" si="14"/>
        <v>-18.794326241134755</v>
      </c>
      <c r="F72" s="300">
        <f t="shared" si="14"/>
        <v>-21.099290780141843</v>
      </c>
      <c r="G72" s="300">
        <f t="shared" si="14"/>
        <v>-14.361702127659569</v>
      </c>
      <c r="H72" s="300">
        <f t="shared" si="14"/>
        <v>16.312056737588648</v>
      </c>
      <c r="I72" s="300">
        <f t="shared" si="14"/>
        <v>-12.7659574468085</v>
      </c>
      <c r="J72" s="300">
        <f t="shared" si="14"/>
        <v>-15.070921985815602</v>
      </c>
      <c r="K72" s="300">
        <f t="shared" si="14"/>
        <v>11.524822695035454</v>
      </c>
      <c r="L72" s="300">
        <f t="shared" si="14"/>
        <v>-7.0921985815602824</v>
      </c>
    </row>
    <row r="73" spans="2:12">
      <c r="B73" s="1">
        <v>2002</v>
      </c>
      <c r="C73" s="300">
        <f t="shared" si="14"/>
        <v>-29.60992907801419</v>
      </c>
      <c r="D73" s="300">
        <f t="shared" si="14"/>
        <v>-26.418439716312065</v>
      </c>
      <c r="E73" s="300">
        <f t="shared" si="14"/>
        <v>-17.198581560283685</v>
      </c>
      <c r="F73" s="300">
        <f t="shared" si="14"/>
        <v>-23.049645390070921</v>
      </c>
      <c r="G73" s="300">
        <f t="shared" si="14"/>
        <v>-13.475177304964532</v>
      </c>
      <c r="H73" s="300">
        <f t="shared" si="14"/>
        <v>15.780141843971634</v>
      </c>
      <c r="I73" s="300">
        <f t="shared" si="14"/>
        <v>-12.2340425531915</v>
      </c>
      <c r="J73" s="300">
        <f t="shared" si="14"/>
        <v>-15.780141843971634</v>
      </c>
      <c r="K73" s="300">
        <f t="shared" si="14"/>
        <v>9.0425531914893611</v>
      </c>
      <c r="L73" s="300">
        <f t="shared" si="14"/>
        <v>-5.8510638297872219</v>
      </c>
    </row>
    <row r="74" spans="2:12">
      <c r="B74" s="1">
        <v>2003</v>
      </c>
      <c r="C74" s="300">
        <f t="shared" si="14"/>
        <v>-30.071174377224196</v>
      </c>
      <c r="D74" s="300">
        <f t="shared" si="14"/>
        <v>-24.555160142348754</v>
      </c>
      <c r="E74" s="300">
        <f t="shared" si="14"/>
        <v>-19.217081850533816</v>
      </c>
      <c r="F74" s="300">
        <f t="shared" si="14"/>
        <v>-22.241992882562272</v>
      </c>
      <c r="G74" s="300">
        <f t="shared" si="14"/>
        <v>-13.52313167259787</v>
      </c>
      <c r="H74" s="300">
        <f t="shared" si="14"/>
        <v>15.658362989323834</v>
      </c>
      <c r="I74" s="300">
        <f t="shared" si="14"/>
        <v>-11.209964412811388</v>
      </c>
      <c r="J74" s="300">
        <f t="shared" si="14"/>
        <v>-14.056939501779368</v>
      </c>
      <c r="K74" s="300">
        <f t="shared" si="14"/>
        <v>10.85409252669038</v>
      </c>
      <c r="L74" s="300">
        <f t="shared" si="14"/>
        <v>-7.4733096085409301</v>
      </c>
    </row>
    <row r="75" spans="2:12">
      <c r="B75" s="1">
        <v>2004</v>
      </c>
      <c r="C75" s="300">
        <f t="shared" si="14"/>
        <v>-29.72027972027972</v>
      </c>
      <c r="D75" s="300">
        <f t="shared" si="14"/>
        <v>-23.6013986013986</v>
      </c>
      <c r="E75" s="300">
        <f t="shared" si="14"/>
        <v>-19.4055944055944</v>
      </c>
      <c r="F75" s="300">
        <f t="shared" si="14"/>
        <v>-22.377622377622373</v>
      </c>
      <c r="G75" s="300">
        <f t="shared" si="14"/>
        <v>-13.111888111888121</v>
      </c>
      <c r="H75" s="300">
        <f t="shared" si="14"/>
        <v>14.335664335664333</v>
      </c>
      <c r="I75" s="300">
        <f t="shared" si="14"/>
        <v>-11.538461538461547</v>
      </c>
      <c r="J75" s="300">
        <f t="shared" si="14"/>
        <v>-16.43356643356644</v>
      </c>
      <c r="K75" s="300">
        <f t="shared" si="14"/>
        <v>13.461538461538453</v>
      </c>
      <c r="L75" s="300">
        <f t="shared" si="14"/>
        <v>-5.7692307692307736</v>
      </c>
    </row>
    <row r="76" spans="2:12">
      <c r="B76" s="1">
        <v>2005</v>
      </c>
      <c r="C76" s="300">
        <f t="shared" si="14"/>
        <v>-26.770293609671853</v>
      </c>
      <c r="D76" s="300">
        <f t="shared" si="14"/>
        <v>-24.17962003454231</v>
      </c>
      <c r="E76" s="300">
        <f t="shared" si="14"/>
        <v>-17.616580310880821</v>
      </c>
      <c r="F76" s="300">
        <f t="shared" si="14"/>
        <v>-24.006908462867017</v>
      </c>
      <c r="G76" s="300">
        <f t="shared" si="14"/>
        <v>-16.580310880829018</v>
      </c>
      <c r="H76" s="300">
        <f t="shared" si="14"/>
        <v>13.816925734024181</v>
      </c>
      <c r="I76" s="300">
        <f t="shared" si="14"/>
        <v>-10.880829015544052</v>
      </c>
      <c r="J76" s="300">
        <f t="shared" si="14"/>
        <v>-12.780656303972364</v>
      </c>
      <c r="K76" s="300">
        <f t="shared" si="14"/>
        <v>17.098445595854912</v>
      </c>
      <c r="L76" s="300">
        <f t="shared" si="14"/>
        <v>-2.5906735751295287</v>
      </c>
    </row>
    <row r="77" spans="2:12">
      <c r="B77" s="1">
        <v>2006</v>
      </c>
      <c r="C77" s="300">
        <f t="shared" si="14"/>
        <v>-25.337837837837839</v>
      </c>
      <c r="D77" s="300">
        <f t="shared" si="14"/>
        <v>-22.804054054054063</v>
      </c>
      <c r="E77" s="300">
        <f t="shared" si="14"/>
        <v>-17.229729729729726</v>
      </c>
      <c r="F77" s="300">
        <f t="shared" si="14"/>
        <v>-23.817567567567565</v>
      </c>
      <c r="G77" s="300">
        <f t="shared" si="14"/>
        <v>-17.060810810810807</v>
      </c>
      <c r="H77" s="300">
        <f t="shared" si="14"/>
        <v>11.148648648648646</v>
      </c>
      <c r="I77" s="300">
        <f t="shared" si="14"/>
        <v>-10.641891891891902</v>
      </c>
      <c r="J77" s="300">
        <f t="shared" si="14"/>
        <v>-9.2905405405405332</v>
      </c>
      <c r="K77" s="300">
        <f t="shared" si="14"/>
        <v>22.972972972972983</v>
      </c>
      <c r="L77" s="300">
        <f t="shared" si="14"/>
        <v>-1.3513513513513544</v>
      </c>
    </row>
    <row r="78" spans="2:12" s="961" customFormat="1">
      <c r="B78" s="961">
        <v>2007</v>
      </c>
      <c r="C78" s="300">
        <f t="shared" si="14"/>
        <v>-21.967213114754102</v>
      </c>
      <c r="D78" s="300">
        <f t="shared" si="14"/>
        <v>-24.426229508196712</v>
      </c>
      <c r="E78" s="300">
        <f t="shared" si="14"/>
        <v>-18.524590163934434</v>
      </c>
      <c r="F78" s="300">
        <f t="shared" si="14"/>
        <v>-22.950819672131146</v>
      </c>
      <c r="G78" s="300">
        <f t="shared" si="14"/>
        <v>-18.852459016393439</v>
      </c>
      <c r="H78" s="300">
        <f t="shared" si="14"/>
        <v>10.819672131147541</v>
      </c>
      <c r="I78" s="300">
        <f t="shared" si="14"/>
        <v>-7.5409836065573757</v>
      </c>
      <c r="J78" s="300">
        <f t="shared" si="14"/>
        <v>-6.3934426229508148</v>
      </c>
      <c r="K78" s="300">
        <f t="shared" si="14"/>
        <v>26.885245901639337</v>
      </c>
      <c r="L78" s="300">
        <f t="shared" si="14"/>
        <v>-0.98360655737704406</v>
      </c>
    </row>
    <row r="80" spans="2:12">
      <c r="B80" s="1" t="s">
        <v>280</v>
      </c>
    </row>
    <row r="81" spans="2:12">
      <c r="B81" s="1">
        <v>1981</v>
      </c>
      <c r="C81" s="300">
        <f>C52^2</f>
        <v>258.39811337234687</v>
      </c>
      <c r="D81" s="300">
        <f t="shared" ref="D81:L81" si="15">D52^2</f>
        <v>916.90103939208609</v>
      </c>
      <c r="E81" s="300">
        <f t="shared" si="15"/>
        <v>511.52065682592394</v>
      </c>
      <c r="F81" s="300">
        <f t="shared" si="15"/>
        <v>599.56328063586398</v>
      </c>
      <c r="G81" s="300">
        <f t="shared" si="15"/>
        <v>90.87256528954498</v>
      </c>
      <c r="H81" s="300">
        <f t="shared" si="15"/>
        <v>45.279063673683133</v>
      </c>
      <c r="I81" s="300">
        <f t="shared" si="15"/>
        <v>98.139575508778123</v>
      </c>
      <c r="J81" s="300">
        <f t="shared" si="15"/>
        <v>15.407459166739475</v>
      </c>
      <c r="K81" s="300">
        <f t="shared" si="15"/>
        <v>264.44230937199723</v>
      </c>
      <c r="L81" s="300">
        <f t="shared" si="15"/>
        <v>47.829504760241015</v>
      </c>
    </row>
    <row r="82" spans="2:12">
      <c r="B82" s="1">
        <v>1982</v>
      </c>
      <c r="C82" s="300">
        <f t="shared" ref="C82:L97" si="16">C53^2</f>
        <v>366.363525390625</v>
      </c>
      <c r="D82" s="300">
        <f t="shared" si="16"/>
        <v>780.06744384765625</v>
      </c>
      <c r="E82" s="300">
        <f t="shared" si="16"/>
        <v>444.9462890625</v>
      </c>
      <c r="F82" s="300">
        <f t="shared" si="16"/>
        <v>586.5478515625</v>
      </c>
      <c r="G82" s="300">
        <f t="shared" si="16"/>
        <v>115.39459228515625</v>
      </c>
      <c r="H82" s="300">
        <f t="shared" si="16"/>
        <v>41.54205322265625</v>
      </c>
      <c r="I82" s="300">
        <f t="shared" si="16"/>
        <v>70.53375244140625</v>
      </c>
      <c r="J82" s="300">
        <f t="shared" si="16"/>
        <v>16.82281494140625</v>
      </c>
      <c r="K82" s="300">
        <f t="shared" si="16"/>
        <v>478.515625</v>
      </c>
      <c r="L82" s="300">
        <f t="shared" si="16"/>
        <v>27.80914306640625</v>
      </c>
    </row>
    <row r="83" spans="2:12">
      <c r="B83" s="1">
        <v>1983</v>
      </c>
      <c r="C83" s="300">
        <f t="shared" si="16"/>
        <v>673.70014857758247</v>
      </c>
      <c r="D83" s="300">
        <f t="shared" si="16"/>
        <v>554.19033314575609</v>
      </c>
      <c r="E83" s="300">
        <f t="shared" si="16"/>
        <v>350.14918484751587</v>
      </c>
      <c r="F83" s="300">
        <f t="shared" si="16"/>
        <v>684.1855964762417</v>
      </c>
      <c r="G83" s="300">
        <f t="shared" si="16"/>
        <v>97.202935925411467</v>
      </c>
      <c r="H83" s="300">
        <f t="shared" si="16"/>
        <v>93.275953507766914</v>
      </c>
      <c r="I83" s="300">
        <f t="shared" si="16"/>
        <v>23.318988376941729</v>
      </c>
      <c r="J83" s="300">
        <f t="shared" si="16"/>
        <v>29.51309466456695</v>
      </c>
      <c r="K83" s="300">
        <f t="shared" si="16"/>
        <v>113.72055269241184</v>
      </c>
      <c r="L83" s="300">
        <f t="shared" si="16"/>
        <v>9.1089798347429056</v>
      </c>
    </row>
    <row r="84" spans="2:12">
      <c r="B84" s="1">
        <v>1984</v>
      </c>
      <c r="C84" s="300">
        <f t="shared" si="16"/>
        <v>652.97215890918983</v>
      </c>
      <c r="D84" s="300">
        <f t="shared" si="16"/>
        <v>663.29566938856465</v>
      </c>
      <c r="E84" s="300">
        <f t="shared" si="16"/>
        <v>265.61785198110164</v>
      </c>
      <c r="F84" s="300">
        <f t="shared" si="16"/>
        <v>404.84354821079387</v>
      </c>
      <c r="G84" s="300">
        <f t="shared" si="16"/>
        <v>74.855572064175917</v>
      </c>
      <c r="H84" s="300">
        <f t="shared" si="16"/>
        <v>131.53366881368677</v>
      </c>
      <c r="I84" s="300">
        <f t="shared" si="16"/>
        <v>36.435919338971452</v>
      </c>
      <c r="J84" s="300">
        <f t="shared" si="16"/>
        <v>64.774967713727023</v>
      </c>
      <c r="K84" s="300">
        <f t="shared" si="16"/>
        <v>36.435919338971452</v>
      </c>
      <c r="L84" s="300">
        <f t="shared" si="16"/>
        <v>7.9349335449315603</v>
      </c>
    </row>
    <row r="85" spans="2:12">
      <c r="B85" s="1">
        <v>1985</v>
      </c>
      <c r="C85" s="300">
        <f t="shared" si="16"/>
        <v>682.75944588757955</v>
      </c>
      <c r="D85" s="300">
        <f t="shared" si="16"/>
        <v>756.52016164828729</v>
      </c>
      <c r="E85" s="300">
        <f t="shared" si="16"/>
        <v>153.19533273377849</v>
      </c>
      <c r="F85" s="300">
        <f t="shared" si="16"/>
        <v>441.90812911792034</v>
      </c>
      <c r="G85" s="300">
        <f t="shared" si="16"/>
        <v>116.75885147888128</v>
      </c>
      <c r="H85" s="300">
        <f t="shared" si="16"/>
        <v>163.07641239612312</v>
      </c>
      <c r="I85" s="300">
        <f t="shared" si="16"/>
        <v>74.725664946484116</v>
      </c>
      <c r="J85" s="300">
        <f t="shared" si="16"/>
        <v>88.929716961104802</v>
      </c>
      <c r="K85" s="300">
        <f t="shared" si="16"/>
        <v>88.929716961104802</v>
      </c>
      <c r="L85" s="300">
        <f t="shared" si="16"/>
        <v>9.8810796623449182</v>
      </c>
    </row>
    <row r="86" spans="2:12">
      <c r="B86" s="1">
        <v>1986</v>
      </c>
      <c r="C86" s="300">
        <f t="shared" si="16"/>
        <v>1043.4024595101182</v>
      </c>
      <c r="D86" s="300">
        <f t="shared" si="16"/>
        <v>722.85054753469069</v>
      </c>
      <c r="E86" s="300">
        <f t="shared" si="16"/>
        <v>276.7042414764544</v>
      </c>
      <c r="F86" s="300">
        <f t="shared" si="16"/>
        <v>529.80107673716452</v>
      </c>
      <c r="G86" s="300">
        <f t="shared" si="16"/>
        <v>109.09539861348591</v>
      </c>
      <c r="H86" s="300">
        <f t="shared" si="16"/>
        <v>204.87188024946798</v>
      </c>
      <c r="I86" s="300">
        <f t="shared" si="16"/>
        <v>65.995981877294028</v>
      </c>
      <c r="J86" s="300">
        <f t="shared" si="16"/>
        <v>148.49095922391137</v>
      </c>
      <c r="K86" s="300">
        <f t="shared" si="16"/>
        <v>35.953593301632118</v>
      </c>
      <c r="L86" s="300">
        <f t="shared" si="16"/>
        <v>5.387427092023974</v>
      </c>
    </row>
    <row r="87" spans="2:12">
      <c r="B87" s="1">
        <v>1987</v>
      </c>
      <c r="C87" s="300">
        <f t="shared" si="16"/>
        <v>790.0076408717174</v>
      </c>
      <c r="D87" s="300">
        <f t="shared" si="16"/>
        <v>598.98584793568557</v>
      </c>
      <c r="E87" s="300">
        <f t="shared" si="16"/>
        <v>222.42614128666418</v>
      </c>
      <c r="F87" s="300">
        <f t="shared" si="16"/>
        <v>646.69559717616755</v>
      </c>
      <c r="G87" s="300">
        <f t="shared" si="16"/>
        <v>106.60661209597507</v>
      </c>
      <c r="H87" s="300">
        <f t="shared" si="16"/>
        <v>233.97884684987673</v>
      </c>
      <c r="I87" s="300">
        <f t="shared" si="16"/>
        <v>140.53354488920723</v>
      </c>
      <c r="J87" s="300">
        <f t="shared" si="16"/>
        <v>179.14005461943731</v>
      </c>
      <c r="K87" s="300">
        <f t="shared" si="16"/>
        <v>6.1785039246295606</v>
      </c>
      <c r="L87" s="300">
        <f t="shared" si="16"/>
        <v>13.197869330125897</v>
      </c>
    </row>
    <row r="88" spans="2:12">
      <c r="B88" s="1">
        <v>1988</v>
      </c>
      <c r="C88" s="300">
        <f t="shared" si="16"/>
        <v>689.92463629355575</v>
      </c>
      <c r="D88" s="300">
        <f t="shared" si="16"/>
        <v>958.32643995367653</v>
      </c>
      <c r="E88" s="300">
        <f t="shared" si="16"/>
        <v>291.4931588340275</v>
      </c>
      <c r="F88" s="300">
        <f t="shared" si="16"/>
        <v>604.07125935886336</v>
      </c>
      <c r="G88" s="300">
        <f t="shared" si="16"/>
        <v>182.47802625233652</v>
      </c>
      <c r="H88" s="300">
        <f t="shared" si="16"/>
        <v>291.49315883402704</v>
      </c>
      <c r="I88" s="300">
        <f t="shared" si="16"/>
        <v>130.98008018613876</v>
      </c>
      <c r="J88" s="300">
        <f t="shared" si="16"/>
        <v>248.37286906567991</v>
      </c>
      <c r="K88" s="300">
        <f t="shared" si="16"/>
        <v>5.068834062564914</v>
      </c>
      <c r="L88" s="300">
        <f t="shared" si="16"/>
        <v>2.2528151389177111</v>
      </c>
    </row>
    <row r="89" spans="2:12">
      <c r="B89" s="1">
        <v>1989</v>
      </c>
      <c r="C89" s="300">
        <f t="shared" si="16"/>
        <v>584.47047458036468</v>
      </c>
      <c r="D89" s="300">
        <f t="shared" si="16"/>
        <v>775.00033543989593</v>
      </c>
      <c r="E89" s="300">
        <f t="shared" si="16"/>
        <v>322.15647600263009</v>
      </c>
      <c r="F89" s="300">
        <f t="shared" si="16"/>
        <v>499.26874102698241</v>
      </c>
      <c r="G89" s="300">
        <f t="shared" si="16"/>
        <v>155.10740785466055</v>
      </c>
      <c r="H89" s="300">
        <f t="shared" si="16"/>
        <v>290.12196594614187</v>
      </c>
      <c r="I89" s="300">
        <f t="shared" si="16"/>
        <v>116.76662775563868</v>
      </c>
      <c r="J89" s="300">
        <f t="shared" si="16"/>
        <v>296.39469199908797</v>
      </c>
      <c r="K89" s="300">
        <f t="shared" si="16"/>
        <v>0.30189590629150076</v>
      </c>
      <c r="L89" s="300">
        <f t="shared" si="16"/>
        <v>5.6689342403628054</v>
      </c>
    </row>
    <row r="90" spans="2:12">
      <c r="B90" s="1">
        <v>1990</v>
      </c>
      <c r="C90" s="300">
        <f t="shared" si="16"/>
        <v>656.45690219318612</v>
      </c>
      <c r="D90" s="300">
        <f t="shared" si="16"/>
        <v>656.45690219318612</v>
      </c>
      <c r="E90" s="300">
        <f t="shared" si="16"/>
        <v>239.86487721594412</v>
      </c>
      <c r="F90" s="300">
        <f t="shared" si="16"/>
        <v>475.12329588453105</v>
      </c>
      <c r="G90" s="300">
        <f t="shared" si="16"/>
        <v>194.82394919734278</v>
      </c>
      <c r="H90" s="300">
        <f t="shared" si="16"/>
        <v>251.85629311700021</v>
      </c>
      <c r="I90" s="300">
        <f t="shared" si="16"/>
        <v>136.03676392631135</v>
      </c>
      <c r="J90" s="300">
        <f t="shared" si="16"/>
        <v>264.14018257661911</v>
      </c>
      <c r="K90" s="300">
        <f t="shared" si="16"/>
        <v>22.849496762683369</v>
      </c>
      <c r="L90" s="300">
        <f t="shared" si="16"/>
        <v>3.6559194820289909E-2</v>
      </c>
    </row>
    <row r="91" spans="2:12">
      <c r="B91" s="1">
        <v>1991</v>
      </c>
      <c r="C91" s="300">
        <f t="shared" si="16"/>
        <v>647.93388429752065</v>
      </c>
      <c r="D91" s="300">
        <f t="shared" si="16"/>
        <v>647.93388429752065</v>
      </c>
      <c r="E91" s="300">
        <f t="shared" si="16"/>
        <v>261.19783695541287</v>
      </c>
      <c r="F91" s="300">
        <f t="shared" si="16"/>
        <v>432.9762269156206</v>
      </c>
      <c r="G91" s="300">
        <f t="shared" si="16"/>
        <v>183.20579532700748</v>
      </c>
      <c r="H91" s="300">
        <f t="shared" si="16"/>
        <v>194.30670339761244</v>
      </c>
      <c r="I91" s="300">
        <f t="shared" si="16"/>
        <v>146.92378328741972</v>
      </c>
      <c r="J91" s="300">
        <f t="shared" si="16"/>
        <v>241.97530864197535</v>
      </c>
      <c r="K91" s="300">
        <f t="shared" si="16"/>
        <v>94.031221303948413</v>
      </c>
      <c r="L91" s="300">
        <f t="shared" si="16"/>
        <v>0</v>
      </c>
    </row>
    <row r="92" spans="2:12">
      <c r="B92" s="1">
        <v>1992</v>
      </c>
      <c r="C92" s="300">
        <f t="shared" si="16"/>
        <v>776.67293738242415</v>
      </c>
      <c r="D92" s="300">
        <f t="shared" si="16"/>
        <v>565.03628056973923</v>
      </c>
      <c r="E92" s="300">
        <f t="shared" si="16"/>
        <v>262.06832840634246</v>
      </c>
      <c r="F92" s="300">
        <f t="shared" si="16"/>
        <v>428.35427304488059</v>
      </c>
      <c r="G92" s="300">
        <f t="shared" si="16"/>
        <v>205.75786079011002</v>
      </c>
      <c r="H92" s="300">
        <f t="shared" si="16"/>
        <v>188.49939532383769</v>
      </c>
      <c r="I92" s="300">
        <f t="shared" si="16"/>
        <v>109.21963181940336</v>
      </c>
      <c r="J92" s="300">
        <f t="shared" si="16"/>
        <v>182.91453910239164</v>
      </c>
      <c r="K92" s="300">
        <f t="shared" si="16"/>
        <v>16.796560064498692</v>
      </c>
      <c r="L92" s="300">
        <f t="shared" si="16"/>
        <v>30.611730717549001</v>
      </c>
    </row>
    <row r="93" spans="2:12">
      <c r="B93" s="1">
        <v>1993</v>
      </c>
      <c r="C93" s="300">
        <f t="shared" si="16"/>
        <v>830.22120080436639</v>
      </c>
      <c r="D93" s="300">
        <f t="shared" si="16"/>
        <v>657.18363975868965</v>
      </c>
      <c r="E93" s="300">
        <f t="shared" si="16"/>
        <v>287.27377190462528</v>
      </c>
      <c r="F93" s="300">
        <f t="shared" si="16"/>
        <v>405.10090491238134</v>
      </c>
      <c r="G93" s="300">
        <f t="shared" si="16"/>
        <v>213.70475438092498</v>
      </c>
      <c r="H93" s="300">
        <f t="shared" si="16"/>
        <v>207.55530020109182</v>
      </c>
      <c r="I93" s="300">
        <f t="shared" si="16"/>
        <v>145.83632576845736</v>
      </c>
      <c r="J93" s="300">
        <f t="shared" si="16"/>
        <v>213.70475438092498</v>
      </c>
      <c r="K93" s="300">
        <f t="shared" si="16"/>
        <v>51.888825050273056</v>
      </c>
      <c r="L93" s="300">
        <f t="shared" si="16"/>
        <v>5.431269750071845</v>
      </c>
    </row>
    <row r="94" spans="2:12">
      <c r="B94" s="1">
        <v>1994</v>
      </c>
      <c r="C94" s="300">
        <f t="shared" si="16"/>
        <v>568.79256315540704</v>
      </c>
      <c r="D94" s="300">
        <f t="shared" si="16"/>
        <v>578.81514679364818</v>
      </c>
      <c r="E94" s="300">
        <f t="shared" si="16"/>
        <v>362.43238038549759</v>
      </c>
      <c r="F94" s="300">
        <f t="shared" si="16"/>
        <v>446.46452267992487</v>
      </c>
      <c r="G94" s="300">
        <f t="shared" si="16"/>
        <v>168.23935155196835</v>
      </c>
      <c r="H94" s="300">
        <f t="shared" si="16"/>
        <v>179.26857022811186</v>
      </c>
      <c r="I94" s="300">
        <f t="shared" si="16"/>
        <v>80.924703699165121</v>
      </c>
      <c r="J94" s="300">
        <f t="shared" si="16"/>
        <v>214.45702981390383</v>
      </c>
      <c r="K94" s="300">
        <f t="shared" si="16"/>
        <v>59.916668125558182</v>
      </c>
      <c r="L94" s="300">
        <f t="shared" si="16"/>
        <v>2.8010714098142895</v>
      </c>
    </row>
    <row r="95" spans="2:12">
      <c r="B95" s="1">
        <v>1995</v>
      </c>
      <c r="C95" s="300">
        <f t="shared" si="16"/>
        <v>812.95676524827593</v>
      </c>
      <c r="D95" s="300">
        <f t="shared" si="16"/>
        <v>614.71210982856314</v>
      </c>
      <c r="E95" s="300">
        <f t="shared" si="16"/>
        <v>452.88060924800197</v>
      </c>
      <c r="F95" s="300">
        <f t="shared" si="16"/>
        <v>426.88340960316896</v>
      </c>
      <c r="G95" s="300">
        <f t="shared" si="16"/>
        <v>197.39088860050529</v>
      </c>
      <c r="H95" s="300">
        <f t="shared" si="16"/>
        <v>209.1728707055529</v>
      </c>
      <c r="I95" s="300">
        <f t="shared" si="16"/>
        <v>90.328529472030752</v>
      </c>
      <c r="J95" s="300">
        <f t="shared" si="16"/>
        <v>111.0323748377843</v>
      </c>
      <c r="K95" s="300">
        <f t="shared" si="16"/>
        <v>38.419506864285154</v>
      </c>
      <c r="L95" s="300">
        <f t="shared" si="16"/>
        <v>2.0917287070555211</v>
      </c>
    </row>
    <row r="96" spans="2:12">
      <c r="B96" s="1">
        <v>1996</v>
      </c>
      <c r="C96" s="300">
        <f t="shared" si="16"/>
        <v>890.1505529306171</v>
      </c>
      <c r="D96" s="300">
        <f t="shared" si="16"/>
        <v>531.08435367237371</v>
      </c>
      <c r="E96" s="300">
        <f t="shared" si="16"/>
        <v>521.64304221917394</v>
      </c>
      <c r="F96" s="300">
        <f t="shared" si="16"/>
        <v>423.37719521075695</v>
      </c>
      <c r="G96" s="300">
        <f t="shared" si="16"/>
        <v>178.87686497654477</v>
      </c>
      <c r="H96" s="300">
        <f t="shared" si="16"/>
        <v>201.56988263984152</v>
      </c>
      <c r="I96" s="300">
        <f t="shared" si="16"/>
        <v>93.524022422056049</v>
      </c>
      <c r="J96" s="300">
        <f t="shared" si="16"/>
        <v>168.03840877914951</v>
      </c>
      <c r="K96" s="300">
        <f t="shared" si="16"/>
        <v>54.869684499314303</v>
      </c>
      <c r="L96" s="300">
        <f t="shared" si="16"/>
        <v>2.0745482565327098</v>
      </c>
    </row>
    <row r="97" spans="2:12">
      <c r="B97" s="1">
        <v>1997</v>
      </c>
      <c r="C97" s="300">
        <f t="shared" si="16"/>
        <v>992.50611408553084</v>
      </c>
      <c r="D97" s="300">
        <f t="shared" si="16"/>
        <v>676.84579284817232</v>
      </c>
      <c r="E97" s="300">
        <f t="shared" si="16"/>
        <v>455.45806067816784</v>
      </c>
      <c r="F97" s="300">
        <f t="shared" si="16"/>
        <v>508.99762046400957</v>
      </c>
      <c r="G97" s="300">
        <f t="shared" si="16"/>
        <v>220.14839050829508</v>
      </c>
      <c r="H97" s="300">
        <f t="shared" si="16"/>
        <v>185.44682398043511</v>
      </c>
      <c r="I97" s="300">
        <f t="shared" si="16"/>
        <v>107.45092207019619</v>
      </c>
      <c r="J97" s="300">
        <f t="shared" si="16"/>
        <v>153.71967744067703</v>
      </c>
      <c r="K97" s="300">
        <f t="shared" si="16"/>
        <v>220.14839050829551</v>
      </c>
      <c r="L97" s="300">
        <f t="shared" si="16"/>
        <v>0.37180249851278957</v>
      </c>
    </row>
    <row r="98" spans="2:12">
      <c r="B98" s="1">
        <v>1998</v>
      </c>
      <c r="C98" s="300">
        <f t="shared" ref="C98:L107" si="17">C69^2</f>
        <v>819.48752099787112</v>
      </c>
      <c r="D98" s="300">
        <f t="shared" si="17"/>
        <v>566.01655885576997</v>
      </c>
      <c r="E98" s="300">
        <f t="shared" si="17"/>
        <v>420.36896393042747</v>
      </c>
      <c r="F98" s="300">
        <f t="shared" si="17"/>
        <v>428.33786650404619</v>
      </c>
      <c r="G98" s="300">
        <f t="shared" si="17"/>
        <v>199.37221509302685</v>
      </c>
      <c r="H98" s="300">
        <f t="shared" si="17"/>
        <v>216.09568669118411</v>
      </c>
      <c r="I98" s="300">
        <f t="shared" si="17"/>
        <v>82.644628099173602</v>
      </c>
      <c r="J98" s="300">
        <f t="shared" si="17"/>
        <v>233.49258667584522</v>
      </c>
      <c r="K98" s="300">
        <f t="shared" si="17"/>
        <v>178.12180823004311</v>
      </c>
      <c r="L98" s="300">
        <f t="shared" si="17"/>
        <v>14.965075255622185</v>
      </c>
    </row>
    <row r="99" spans="2:12">
      <c r="B99" s="1">
        <v>1999</v>
      </c>
      <c r="C99" s="300">
        <f t="shared" si="17"/>
        <v>777.35244123215557</v>
      </c>
      <c r="D99" s="300">
        <f t="shared" si="17"/>
        <v>667.5211785353988</v>
      </c>
      <c r="E99" s="300">
        <f t="shared" si="17"/>
        <v>352.43432235596498</v>
      </c>
      <c r="F99" s="300">
        <f t="shared" si="17"/>
        <v>425.67819681872868</v>
      </c>
      <c r="G99" s="300">
        <f t="shared" si="17"/>
        <v>215.62029269910576</v>
      </c>
      <c r="H99" s="300">
        <f t="shared" si="17"/>
        <v>298.81427840964074</v>
      </c>
      <c r="I99" s="300">
        <f t="shared" si="17"/>
        <v>155.090449275162</v>
      </c>
      <c r="J99" s="300">
        <f t="shared" si="17"/>
        <v>267.54743577341355</v>
      </c>
      <c r="K99" s="300">
        <f t="shared" si="17"/>
        <v>49.888752228410183</v>
      </c>
      <c r="L99" s="300">
        <f t="shared" si="17"/>
        <v>23.35512223435282</v>
      </c>
    </row>
    <row r="100" spans="2:12">
      <c r="B100" s="1">
        <v>2000</v>
      </c>
      <c r="C100" s="300">
        <f t="shared" si="17"/>
        <v>781.59324777430902</v>
      </c>
      <c r="D100" s="300">
        <f t="shared" si="17"/>
        <v>665.97294484911583</v>
      </c>
      <c r="E100" s="300">
        <f t="shared" si="17"/>
        <v>402.87252219267486</v>
      </c>
      <c r="F100" s="300">
        <f t="shared" si="17"/>
        <v>447.1936383139992</v>
      </c>
      <c r="G100" s="300">
        <f t="shared" si="17"/>
        <v>205.54720520034419</v>
      </c>
      <c r="H100" s="300">
        <f t="shared" si="17"/>
        <v>314.77627471384</v>
      </c>
      <c r="I100" s="300">
        <f t="shared" si="17"/>
        <v>185.5063526933107</v>
      </c>
      <c r="J100" s="300">
        <f t="shared" si="17"/>
        <v>327.62297503886123</v>
      </c>
      <c r="K100" s="300">
        <f t="shared" si="17"/>
        <v>56.653948433344745</v>
      </c>
      <c r="L100" s="300">
        <f t="shared" si="17"/>
        <v>48.849577985894463</v>
      </c>
    </row>
    <row r="101" spans="2:12">
      <c r="B101" s="1">
        <v>2001</v>
      </c>
      <c r="C101" s="300">
        <f t="shared" si="17"/>
        <v>962.75967003671849</v>
      </c>
      <c r="D101" s="300">
        <f t="shared" si="17"/>
        <v>726.3216136009255</v>
      </c>
      <c r="E101" s="300">
        <f t="shared" si="17"/>
        <v>353.22669885820642</v>
      </c>
      <c r="F101" s="300">
        <f t="shared" si="17"/>
        <v>445.18007142497856</v>
      </c>
      <c r="G101" s="300">
        <f t="shared" si="17"/>
        <v>206.25848800362141</v>
      </c>
      <c r="H101" s="300">
        <f t="shared" si="17"/>
        <v>266.08319501031121</v>
      </c>
      <c r="I101" s="300">
        <f t="shared" si="17"/>
        <v>162.96966953372538</v>
      </c>
      <c r="J101" s="300">
        <f t="shared" si="17"/>
        <v>227.13268950254007</v>
      </c>
      <c r="K101" s="300">
        <f t="shared" si="17"/>
        <v>132.82153815200425</v>
      </c>
      <c r="L101" s="300">
        <f t="shared" si="17"/>
        <v>50.29928072028568</v>
      </c>
    </row>
    <row r="102" spans="2:12">
      <c r="B102" s="1">
        <v>2002</v>
      </c>
      <c r="C102" s="300">
        <f t="shared" si="17"/>
        <v>876.74790000503026</v>
      </c>
      <c r="D102" s="300">
        <f t="shared" si="17"/>
        <v>697.93395704441468</v>
      </c>
      <c r="E102" s="300">
        <f t="shared" si="17"/>
        <v>295.79120768573</v>
      </c>
      <c r="F102" s="300">
        <f t="shared" si="17"/>
        <v>531.28615260801769</v>
      </c>
      <c r="G102" s="300">
        <f t="shared" si="17"/>
        <v>181.58040340023121</v>
      </c>
      <c r="H102" s="300">
        <f t="shared" si="17"/>
        <v>249.01287661586449</v>
      </c>
      <c r="I102" s="300">
        <f t="shared" si="17"/>
        <v>149.67179719330039</v>
      </c>
      <c r="J102" s="300">
        <f t="shared" si="17"/>
        <v>249.01287661586449</v>
      </c>
      <c r="K102" s="300">
        <f t="shared" si="17"/>
        <v>81.767768220914434</v>
      </c>
      <c r="L102" s="300">
        <f t="shared" si="17"/>
        <v>34.234947940244311</v>
      </c>
    </row>
    <row r="103" spans="2:12">
      <c r="B103" s="1">
        <v>2003</v>
      </c>
      <c r="C103" s="300">
        <f t="shared" si="17"/>
        <v>904.27552842542502</v>
      </c>
      <c r="D103" s="300">
        <f t="shared" si="17"/>
        <v>602.95588961639282</v>
      </c>
      <c r="E103" s="300">
        <f t="shared" si="17"/>
        <v>369.29623485011621</v>
      </c>
      <c r="F103" s="300">
        <f t="shared" si="17"/>
        <v>494.70624738795078</v>
      </c>
      <c r="G103" s="300">
        <f t="shared" si="17"/>
        <v>182.87509023441967</v>
      </c>
      <c r="H103" s="300">
        <f t="shared" si="17"/>
        <v>245.18433150542643</v>
      </c>
      <c r="I103" s="300">
        <f t="shared" si="17"/>
        <v>125.66330213649776</v>
      </c>
      <c r="J103" s="300">
        <f t="shared" si="17"/>
        <v>197.59754815668518</v>
      </c>
      <c r="K103" s="300">
        <f t="shared" si="17"/>
        <v>117.81132457795596</v>
      </c>
      <c r="L103" s="300">
        <f t="shared" si="17"/>
        <v>55.850356505110192</v>
      </c>
    </row>
    <row r="104" spans="2:12">
      <c r="B104" s="1">
        <v>2004</v>
      </c>
      <c r="C104" s="300">
        <f t="shared" si="17"/>
        <v>883.29502665167001</v>
      </c>
      <c r="D104" s="300">
        <f t="shared" si="17"/>
        <v>557.02601594209978</v>
      </c>
      <c r="E104" s="300">
        <f t="shared" si="17"/>
        <v>376.57709423443669</v>
      </c>
      <c r="F104" s="300">
        <f t="shared" si="17"/>
        <v>500.75798327546556</v>
      </c>
      <c r="G104" s="300">
        <f t="shared" si="17"/>
        <v>171.92160985867301</v>
      </c>
      <c r="H104" s="300">
        <f t="shared" si="17"/>
        <v>205.51127194483831</v>
      </c>
      <c r="I104" s="300">
        <f t="shared" si="17"/>
        <v>133.1360946745564</v>
      </c>
      <c r="J104" s="300">
        <f t="shared" si="17"/>
        <v>270.06210572644164</v>
      </c>
      <c r="K104" s="300">
        <f t="shared" si="17"/>
        <v>181.21301775147904</v>
      </c>
      <c r="L104" s="300">
        <f t="shared" si="17"/>
        <v>33.284023668639101</v>
      </c>
    </row>
    <row r="105" spans="2:12">
      <c r="B105" s="1">
        <v>2005</v>
      </c>
      <c r="C105" s="300">
        <f t="shared" si="17"/>
        <v>716.64861994803766</v>
      </c>
      <c r="D105" s="300">
        <f t="shared" si="17"/>
        <v>584.65402501483982</v>
      </c>
      <c r="E105" s="300">
        <f t="shared" si="17"/>
        <v>310.3439018497138</v>
      </c>
      <c r="F105" s="300">
        <f t="shared" si="17"/>
        <v>576.33165394447599</v>
      </c>
      <c r="G105" s="300">
        <f t="shared" si="17"/>
        <v>274.90670890493709</v>
      </c>
      <c r="H105" s="300">
        <f t="shared" si="17"/>
        <v>190.90743673953966</v>
      </c>
      <c r="I105" s="300">
        <f t="shared" si="17"/>
        <v>118.39244006550534</v>
      </c>
      <c r="J105" s="300">
        <f t="shared" si="17"/>
        <v>163.34517556026853</v>
      </c>
      <c r="K105" s="300">
        <f t="shared" si="17"/>
        <v>292.35684179441023</v>
      </c>
      <c r="L105" s="300">
        <f t="shared" si="17"/>
        <v>6.7115895728744137</v>
      </c>
    </row>
    <row r="106" spans="2:12">
      <c r="B106" s="1">
        <v>2006</v>
      </c>
      <c r="C106" s="300">
        <f t="shared" si="17"/>
        <v>642.00602629656692</v>
      </c>
      <c r="D106" s="300">
        <f t="shared" si="17"/>
        <v>520.02488130021959</v>
      </c>
      <c r="E106" s="300">
        <f t="shared" si="17"/>
        <v>296.86358655953239</v>
      </c>
      <c r="F106" s="300">
        <f t="shared" si="17"/>
        <v>567.27652483564634</v>
      </c>
      <c r="G106" s="300">
        <f t="shared" si="17"/>
        <v>291.07126552227891</v>
      </c>
      <c r="H106" s="300">
        <f t="shared" si="17"/>
        <v>124.29236669101527</v>
      </c>
      <c r="I106" s="300">
        <f t="shared" si="17"/>
        <v>113.24986303871461</v>
      </c>
      <c r="J106" s="300">
        <f t="shared" si="17"/>
        <v>86.314143535427178</v>
      </c>
      <c r="K106" s="300">
        <f t="shared" si="17"/>
        <v>527.75748721694708</v>
      </c>
      <c r="L106" s="300">
        <f t="shared" si="17"/>
        <v>1.8261504747991317</v>
      </c>
    </row>
    <row r="107" spans="2:12">
      <c r="B107" s="1">
        <v>2007</v>
      </c>
      <c r="C107" s="300">
        <f t="shared" si="17"/>
        <v>482.55845202902464</v>
      </c>
      <c r="D107" s="300">
        <f t="shared" si="17"/>
        <v>596.6406879870998</v>
      </c>
      <c r="E107" s="300">
        <f t="shared" si="17"/>
        <v>343.16044074173635</v>
      </c>
      <c r="F107" s="300">
        <f t="shared" si="17"/>
        <v>526.74012362268206</v>
      </c>
      <c r="G107" s="300">
        <f t="shared" si="17"/>
        <v>355.41521096479426</v>
      </c>
      <c r="H107" s="300">
        <f t="shared" si="17"/>
        <v>117.06530502553078</v>
      </c>
      <c r="I107" s="300">
        <f t="shared" si="17"/>
        <v>56.866433754367087</v>
      </c>
      <c r="J107" s="300">
        <f t="shared" si="17"/>
        <v>40.876108572964192</v>
      </c>
      <c r="K107" s="300">
        <f t="shared" si="17"/>
        <v>722.81644719161477</v>
      </c>
      <c r="L107" s="300">
        <f t="shared" si="17"/>
        <v>0.96748185971512024</v>
      </c>
    </row>
  </sheetData>
  <mergeCells count="13">
    <mergeCell ref="C3:C4"/>
    <mergeCell ref="D3:D4"/>
    <mergeCell ref="E3:E4"/>
    <mergeCell ref="A45:L45"/>
    <mergeCell ref="A44:L44"/>
    <mergeCell ref="J3:J4"/>
    <mergeCell ref="K3:K4"/>
    <mergeCell ref="L3:L4"/>
    <mergeCell ref="F3:F4"/>
    <mergeCell ref="G3:G4"/>
    <mergeCell ref="H3:H4"/>
    <mergeCell ref="I3:I4"/>
    <mergeCell ref="B3:B4"/>
  </mergeCells>
  <phoneticPr fontId="35" type="noConversion"/>
  <pageMargins left="0.75" right="0.75" top="1" bottom="1" header="0.5" footer="0.5"/>
  <pageSetup scale="74"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51">
    <pageSetUpPr fitToPage="1"/>
  </sheetPr>
  <dimension ref="A1:N45"/>
  <sheetViews>
    <sheetView view="pageBreakPreview" zoomScale="85" zoomScaleNormal="100"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2" ht="15.75">
      <c r="A1" s="3" t="s">
        <v>2089</v>
      </c>
    </row>
    <row r="2" spans="1:12">
      <c r="A2" s="4"/>
      <c r="B2" s="4"/>
    </row>
    <row r="3" spans="1:12">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5"/>
      <c r="C4" s="1165"/>
      <c r="D4" s="1165"/>
      <c r="E4" s="1165"/>
      <c r="F4" s="1165"/>
      <c r="G4" s="1165"/>
      <c r="H4" s="1165"/>
      <c r="I4" s="1165"/>
      <c r="J4" s="1165"/>
      <c r="K4" s="1165"/>
      <c r="L4" s="1165"/>
    </row>
    <row r="5" spans="1:12" ht="12.75" customHeight="1">
      <c r="A5" s="2">
        <v>1981</v>
      </c>
      <c r="B5" s="19">
        <v>2521</v>
      </c>
      <c r="C5" s="19">
        <v>26</v>
      </c>
      <c r="D5" s="19">
        <v>9</v>
      </c>
      <c r="E5" s="19">
        <v>74</v>
      </c>
      <c r="F5" s="19">
        <v>52</v>
      </c>
      <c r="G5" s="19">
        <v>624</v>
      </c>
      <c r="H5" s="19">
        <v>892</v>
      </c>
      <c r="I5" s="19">
        <v>112</v>
      </c>
      <c r="J5" s="19">
        <v>102</v>
      </c>
      <c r="K5" s="19">
        <v>276</v>
      </c>
      <c r="L5" s="19">
        <v>354</v>
      </c>
    </row>
    <row r="6" spans="1:12" ht="12.75" customHeight="1">
      <c r="A6" s="2">
        <v>1982</v>
      </c>
      <c r="B6" s="19">
        <v>2602</v>
      </c>
      <c r="C6" s="19">
        <v>27</v>
      </c>
      <c r="D6" s="19">
        <v>10</v>
      </c>
      <c r="E6" s="19">
        <v>76</v>
      </c>
      <c r="F6" s="19">
        <v>54</v>
      </c>
      <c r="G6" s="19">
        <v>648</v>
      </c>
      <c r="H6" s="19">
        <v>921</v>
      </c>
      <c r="I6" s="19">
        <v>115</v>
      </c>
      <c r="J6" s="19">
        <v>105</v>
      </c>
      <c r="K6" s="19">
        <v>281</v>
      </c>
      <c r="L6" s="19">
        <v>366</v>
      </c>
    </row>
    <row r="7" spans="1:12" ht="12.75" customHeight="1">
      <c r="A7" s="2">
        <v>1983</v>
      </c>
      <c r="B7" s="19">
        <v>2677</v>
      </c>
      <c r="C7" s="19">
        <v>28</v>
      </c>
      <c r="D7" s="19">
        <v>10</v>
      </c>
      <c r="E7" s="19">
        <v>78</v>
      </c>
      <c r="F7" s="19">
        <v>55</v>
      </c>
      <c r="G7" s="19">
        <v>672</v>
      </c>
      <c r="H7" s="19">
        <v>950</v>
      </c>
      <c r="I7" s="19">
        <v>118</v>
      </c>
      <c r="J7" s="19">
        <v>108</v>
      </c>
      <c r="K7" s="19">
        <v>281</v>
      </c>
      <c r="L7" s="19">
        <v>378</v>
      </c>
    </row>
    <row r="8" spans="1:12" ht="12.75" customHeight="1">
      <c r="A8" s="2">
        <v>1984</v>
      </c>
      <c r="B8" s="19">
        <v>2754</v>
      </c>
      <c r="C8" s="19">
        <v>28</v>
      </c>
      <c r="D8" s="19">
        <v>10</v>
      </c>
      <c r="E8" s="19">
        <v>80</v>
      </c>
      <c r="F8" s="19">
        <v>57</v>
      </c>
      <c r="G8" s="19">
        <v>697</v>
      </c>
      <c r="H8" s="19">
        <v>979</v>
      </c>
      <c r="I8" s="19">
        <v>121</v>
      </c>
      <c r="J8" s="19">
        <v>111</v>
      </c>
      <c r="K8" s="19">
        <v>281</v>
      </c>
      <c r="L8" s="19">
        <v>390</v>
      </c>
    </row>
    <row r="9" spans="1:12" ht="12.75" customHeight="1">
      <c r="A9" s="2">
        <v>1985</v>
      </c>
      <c r="B9" s="19">
        <v>2830</v>
      </c>
      <c r="C9" s="19">
        <v>29</v>
      </c>
      <c r="D9" s="19">
        <v>11</v>
      </c>
      <c r="E9" s="19">
        <v>82</v>
      </c>
      <c r="F9" s="19">
        <v>59</v>
      </c>
      <c r="G9" s="19">
        <v>722</v>
      </c>
      <c r="H9" s="19">
        <v>1007</v>
      </c>
      <c r="I9" s="19">
        <v>123</v>
      </c>
      <c r="J9" s="19">
        <v>113</v>
      </c>
      <c r="K9" s="19">
        <v>284</v>
      </c>
      <c r="L9" s="19">
        <v>401</v>
      </c>
    </row>
    <row r="10" spans="1:12" ht="12.75" customHeight="1">
      <c r="A10" s="2">
        <v>1986</v>
      </c>
      <c r="B10" s="19">
        <v>2921</v>
      </c>
      <c r="C10" s="19">
        <v>30</v>
      </c>
      <c r="D10" s="19">
        <v>11</v>
      </c>
      <c r="E10" s="19">
        <v>84</v>
      </c>
      <c r="F10" s="19">
        <v>61</v>
      </c>
      <c r="G10" s="19">
        <v>751</v>
      </c>
      <c r="H10" s="19">
        <v>1045</v>
      </c>
      <c r="I10" s="19">
        <v>125</v>
      </c>
      <c r="J10" s="19">
        <v>115</v>
      </c>
      <c r="K10" s="19">
        <v>288</v>
      </c>
      <c r="L10" s="19">
        <v>412</v>
      </c>
    </row>
    <row r="11" spans="1:12" ht="12.75" customHeight="1">
      <c r="A11" s="2">
        <v>1987</v>
      </c>
      <c r="B11" s="19">
        <v>3030</v>
      </c>
      <c r="C11" s="19">
        <v>31</v>
      </c>
      <c r="D11" s="19">
        <v>11</v>
      </c>
      <c r="E11" s="19">
        <v>87</v>
      </c>
      <c r="F11" s="19">
        <v>63</v>
      </c>
      <c r="G11" s="19">
        <v>782</v>
      </c>
      <c r="H11" s="19">
        <v>1091</v>
      </c>
      <c r="I11" s="19">
        <v>129</v>
      </c>
      <c r="J11" s="19">
        <v>117</v>
      </c>
      <c r="K11" s="19">
        <v>293</v>
      </c>
      <c r="L11" s="19">
        <v>426</v>
      </c>
    </row>
    <row r="12" spans="1:12" ht="12.75" customHeight="1">
      <c r="A12" s="2">
        <v>1988</v>
      </c>
      <c r="B12" s="19">
        <v>3141</v>
      </c>
      <c r="C12" s="19">
        <v>33</v>
      </c>
      <c r="D12" s="19">
        <v>12</v>
      </c>
      <c r="E12" s="19">
        <v>91</v>
      </c>
      <c r="F12" s="19">
        <v>66</v>
      </c>
      <c r="G12" s="19">
        <v>814</v>
      </c>
      <c r="H12" s="19">
        <v>1135</v>
      </c>
      <c r="I12" s="19">
        <v>131</v>
      </c>
      <c r="J12" s="19">
        <v>118</v>
      </c>
      <c r="K12" s="19">
        <v>300</v>
      </c>
      <c r="L12" s="19">
        <v>441</v>
      </c>
    </row>
    <row r="13" spans="1:12" ht="12.75" customHeight="1">
      <c r="A13" s="2">
        <v>1989</v>
      </c>
      <c r="B13" s="19">
        <v>3256</v>
      </c>
      <c r="C13" s="19">
        <v>34</v>
      </c>
      <c r="D13" s="19">
        <v>12</v>
      </c>
      <c r="E13" s="19">
        <v>94</v>
      </c>
      <c r="F13" s="19">
        <v>69</v>
      </c>
      <c r="G13" s="19">
        <v>849</v>
      </c>
      <c r="H13" s="19">
        <v>1179</v>
      </c>
      <c r="I13" s="19">
        <v>134</v>
      </c>
      <c r="J13" s="19">
        <v>119</v>
      </c>
      <c r="K13" s="19">
        <v>308</v>
      </c>
      <c r="L13" s="19">
        <v>458</v>
      </c>
    </row>
    <row r="14" spans="1:12" ht="12.75" customHeight="1">
      <c r="A14" s="2">
        <v>1990</v>
      </c>
      <c r="B14" s="19">
        <v>3370</v>
      </c>
      <c r="C14" s="19">
        <v>36</v>
      </c>
      <c r="D14" s="19">
        <v>13</v>
      </c>
      <c r="E14" s="19">
        <v>98</v>
      </c>
      <c r="F14" s="19">
        <v>72</v>
      </c>
      <c r="G14" s="19">
        <v>883</v>
      </c>
      <c r="H14" s="19">
        <v>1221</v>
      </c>
      <c r="I14" s="19">
        <v>137</v>
      </c>
      <c r="J14" s="19">
        <v>120</v>
      </c>
      <c r="K14" s="19">
        <v>317</v>
      </c>
      <c r="L14" s="19">
        <v>474</v>
      </c>
    </row>
    <row r="15" spans="1:12" ht="12.75" customHeight="1">
      <c r="A15" s="2">
        <v>1991</v>
      </c>
      <c r="B15" s="19">
        <v>3455</v>
      </c>
      <c r="C15" s="19">
        <v>37</v>
      </c>
      <c r="D15" s="19">
        <v>13</v>
      </c>
      <c r="E15" s="19">
        <v>100</v>
      </c>
      <c r="F15" s="19">
        <v>74</v>
      </c>
      <c r="G15" s="19">
        <v>910</v>
      </c>
      <c r="H15" s="19">
        <v>1246</v>
      </c>
      <c r="I15" s="19">
        <v>138</v>
      </c>
      <c r="J15" s="19">
        <v>122</v>
      </c>
      <c r="K15" s="19">
        <v>323</v>
      </c>
      <c r="L15" s="19">
        <v>491</v>
      </c>
    </row>
    <row r="16" spans="1:12" ht="12.75" customHeight="1">
      <c r="A16" s="2">
        <v>1992</v>
      </c>
      <c r="B16" s="19">
        <v>3517</v>
      </c>
      <c r="C16" s="19">
        <v>38</v>
      </c>
      <c r="D16" s="19">
        <v>13</v>
      </c>
      <c r="E16" s="19">
        <v>102</v>
      </c>
      <c r="F16" s="19">
        <v>75</v>
      </c>
      <c r="G16" s="19">
        <v>932</v>
      </c>
      <c r="H16" s="19">
        <v>1258</v>
      </c>
      <c r="I16" s="19">
        <v>139</v>
      </c>
      <c r="J16" s="19">
        <v>123</v>
      </c>
      <c r="K16" s="19">
        <v>327</v>
      </c>
      <c r="L16" s="19">
        <v>509</v>
      </c>
    </row>
    <row r="17" spans="1:12" ht="12.75" customHeight="1">
      <c r="A17" s="2">
        <v>1993</v>
      </c>
      <c r="B17" s="19">
        <v>3575</v>
      </c>
      <c r="C17" s="19">
        <v>39</v>
      </c>
      <c r="D17" s="19">
        <v>14</v>
      </c>
      <c r="E17" s="19">
        <v>103</v>
      </c>
      <c r="F17" s="19">
        <v>76</v>
      </c>
      <c r="G17" s="19">
        <v>953</v>
      </c>
      <c r="H17" s="19">
        <v>1266</v>
      </c>
      <c r="I17" s="19">
        <v>141</v>
      </c>
      <c r="J17" s="19">
        <v>124</v>
      </c>
      <c r="K17" s="19">
        <v>331</v>
      </c>
      <c r="L17" s="19">
        <v>528</v>
      </c>
    </row>
    <row r="18" spans="1:12" ht="12.75" customHeight="1">
      <c r="A18" s="2">
        <v>1994</v>
      </c>
      <c r="B18" s="19">
        <v>3639</v>
      </c>
      <c r="C18" s="19">
        <v>39</v>
      </c>
      <c r="D18" s="19">
        <v>14</v>
      </c>
      <c r="E18" s="19">
        <v>104</v>
      </c>
      <c r="F18" s="19">
        <v>78</v>
      </c>
      <c r="G18" s="19">
        <v>973</v>
      </c>
      <c r="H18" s="19">
        <v>1279</v>
      </c>
      <c r="I18" s="19">
        <v>142</v>
      </c>
      <c r="J18" s="19">
        <v>126</v>
      </c>
      <c r="K18" s="19">
        <v>335</v>
      </c>
      <c r="L18" s="19">
        <v>548</v>
      </c>
    </row>
    <row r="19" spans="1:12" ht="12.75" customHeight="1">
      <c r="A19" s="2">
        <v>1995</v>
      </c>
      <c r="B19" s="19">
        <v>3705</v>
      </c>
      <c r="C19" s="19">
        <v>40</v>
      </c>
      <c r="D19" s="19">
        <v>14</v>
      </c>
      <c r="E19" s="19">
        <v>106</v>
      </c>
      <c r="F19" s="19">
        <v>79</v>
      </c>
      <c r="G19" s="19">
        <v>995</v>
      </c>
      <c r="H19" s="19">
        <v>1292</v>
      </c>
      <c r="I19" s="19">
        <v>143</v>
      </c>
      <c r="J19" s="19">
        <v>128</v>
      </c>
      <c r="K19" s="19">
        <v>340</v>
      </c>
      <c r="L19" s="19">
        <v>568</v>
      </c>
    </row>
    <row r="20" spans="1:12" ht="12.75" customHeight="1">
      <c r="A20" s="2">
        <v>1996</v>
      </c>
      <c r="B20" s="19">
        <v>3779</v>
      </c>
      <c r="C20" s="19">
        <v>40</v>
      </c>
      <c r="D20" s="19">
        <v>15</v>
      </c>
      <c r="E20" s="19">
        <v>108</v>
      </c>
      <c r="F20" s="19">
        <v>81</v>
      </c>
      <c r="G20" s="19">
        <v>1017</v>
      </c>
      <c r="H20" s="19">
        <v>1310</v>
      </c>
      <c r="I20" s="19">
        <v>145</v>
      </c>
      <c r="J20" s="19">
        <v>129</v>
      </c>
      <c r="K20" s="19">
        <v>350</v>
      </c>
      <c r="L20" s="19">
        <v>585</v>
      </c>
    </row>
    <row r="21" spans="1:12" ht="12.75" customHeight="1">
      <c r="A21" s="2">
        <v>1997</v>
      </c>
      <c r="B21" s="19">
        <v>3856</v>
      </c>
      <c r="C21" s="19">
        <v>41</v>
      </c>
      <c r="D21" s="19">
        <v>15</v>
      </c>
      <c r="E21" s="19">
        <v>111</v>
      </c>
      <c r="F21" s="19">
        <v>82</v>
      </c>
      <c r="G21" s="19">
        <v>1039</v>
      </c>
      <c r="H21" s="19">
        <v>1330</v>
      </c>
      <c r="I21" s="19">
        <v>146</v>
      </c>
      <c r="J21" s="19">
        <v>130</v>
      </c>
      <c r="K21" s="19">
        <v>364</v>
      </c>
      <c r="L21" s="19">
        <v>596</v>
      </c>
    </row>
    <row r="22" spans="1:12" ht="12.75" customHeight="1">
      <c r="A22" s="2">
        <v>1998</v>
      </c>
      <c r="B22" s="19">
        <v>3927</v>
      </c>
      <c r="C22" s="19">
        <v>43</v>
      </c>
      <c r="D22" s="19">
        <v>15</v>
      </c>
      <c r="E22" s="19">
        <v>114</v>
      </c>
      <c r="F22" s="19">
        <v>84</v>
      </c>
      <c r="G22" s="19">
        <v>1064</v>
      </c>
      <c r="H22" s="19">
        <v>1349</v>
      </c>
      <c r="I22" s="19">
        <v>148</v>
      </c>
      <c r="J22" s="19">
        <v>132</v>
      </c>
      <c r="K22" s="19">
        <v>377</v>
      </c>
      <c r="L22" s="19">
        <v>603</v>
      </c>
    </row>
    <row r="23" spans="1:12" ht="12.75" customHeight="1">
      <c r="A23" s="2">
        <v>1999</v>
      </c>
      <c r="B23" s="19">
        <v>4004</v>
      </c>
      <c r="C23" s="19">
        <v>44</v>
      </c>
      <c r="D23" s="19">
        <v>15</v>
      </c>
      <c r="E23" s="19">
        <v>117</v>
      </c>
      <c r="F23" s="19">
        <v>85</v>
      </c>
      <c r="G23" s="19">
        <v>1089</v>
      </c>
      <c r="H23" s="19">
        <v>1371</v>
      </c>
      <c r="I23" s="19">
        <v>150</v>
      </c>
      <c r="J23" s="19">
        <v>132</v>
      </c>
      <c r="K23" s="19">
        <v>390</v>
      </c>
      <c r="L23" s="19">
        <v>611</v>
      </c>
    </row>
    <row r="24" spans="1:12" ht="12.75" customHeight="1">
      <c r="A24" s="2">
        <v>2000</v>
      </c>
      <c r="B24" s="19">
        <v>4093</v>
      </c>
      <c r="C24" s="19">
        <v>45</v>
      </c>
      <c r="D24" s="19">
        <v>15</v>
      </c>
      <c r="E24" s="19">
        <v>120</v>
      </c>
      <c r="F24" s="19">
        <v>87</v>
      </c>
      <c r="G24" s="19">
        <v>1118</v>
      </c>
      <c r="H24" s="19">
        <v>1399</v>
      </c>
      <c r="I24" s="19">
        <v>152</v>
      </c>
      <c r="J24" s="19">
        <v>133</v>
      </c>
      <c r="K24" s="19">
        <v>404</v>
      </c>
      <c r="L24" s="19">
        <v>619</v>
      </c>
    </row>
    <row r="25" spans="1:12" ht="12.75" customHeight="1">
      <c r="A25" s="2">
        <v>2001</v>
      </c>
      <c r="B25" s="19">
        <v>4185</v>
      </c>
      <c r="C25" s="19">
        <v>47</v>
      </c>
      <c r="D25" s="19">
        <v>15</v>
      </c>
      <c r="E25" s="19">
        <v>122</v>
      </c>
      <c r="F25" s="19">
        <v>88</v>
      </c>
      <c r="G25" s="19">
        <v>1147</v>
      </c>
      <c r="H25" s="19">
        <v>1431</v>
      </c>
      <c r="I25" s="19">
        <v>154</v>
      </c>
      <c r="J25" s="19">
        <v>134</v>
      </c>
      <c r="K25" s="19">
        <v>419</v>
      </c>
      <c r="L25" s="19">
        <v>628</v>
      </c>
    </row>
    <row r="26" spans="1:12" ht="12.75" customHeight="1">
      <c r="A26" s="2">
        <v>2002</v>
      </c>
      <c r="B26" s="19">
        <v>4275</v>
      </c>
      <c r="C26" s="19">
        <v>48</v>
      </c>
      <c r="D26" s="19">
        <v>16</v>
      </c>
      <c r="E26" s="19">
        <v>125</v>
      </c>
      <c r="F26" s="19">
        <v>89</v>
      </c>
      <c r="G26" s="19">
        <v>1178</v>
      </c>
      <c r="H26" s="19">
        <v>1460</v>
      </c>
      <c r="I26" s="19">
        <v>156</v>
      </c>
      <c r="J26" s="19">
        <v>135</v>
      </c>
      <c r="K26" s="19">
        <v>433</v>
      </c>
      <c r="L26" s="19">
        <v>636</v>
      </c>
    </row>
    <row r="27" spans="1:12" ht="12.75" customHeight="1">
      <c r="A27" s="2">
        <v>2003</v>
      </c>
      <c r="B27" s="19">
        <v>4366</v>
      </c>
      <c r="C27" s="19">
        <v>49</v>
      </c>
      <c r="D27" s="19">
        <v>16</v>
      </c>
      <c r="E27" s="19">
        <v>129</v>
      </c>
      <c r="F27" s="19">
        <v>90</v>
      </c>
      <c r="G27" s="19">
        <v>1208</v>
      </c>
      <c r="H27" s="19">
        <v>1488</v>
      </c>
      <c r="I27" s="19">
        <v>159</v>
      </c>
      <c r="J27" s="19">
        <v>136</v>
      </c>
      <c r="K27" s="19">
        <v>447</v>
      </c>
      <c r="L27" s="19">
        <v>644</v>
      </c>
    </row>
    <row r="28" spans="1:12" ht="12.75" customHeight="1">
      <c r="A28" s="2">
        <v>2004</v>
      </c>
      <c r="B28" s="19">
        <v>4461</v>
      </c>
      <c r="C28" s="19">
        <v>51</v>
      </c>
      <c r="D28" s="19">
        <v>16</v>
      </c>
      <c r="E28" s="19">
        <v>132</v>
      </c>
      <c r="F28" s="19">
        <v>91</v>
      </c>
      <c r="G28" s="19">
        <v>1241</v>
      </c>
      <c r="H28" s="19">
        <v>1517</v>
      </c>
      <c r="I28" s="19">
        <v>161</v>
      </c>
      <c r="J28" s="19">
        <v>138</v>
      </c>
      <c r="K28" s="19">
        <v>461</v>
      </c>
      <c r="L28" s="19">
        <v>654</v>
      </c>
    </row>
    <row r="29" spans="1:12" ht="12.75" customHeight="1">
      <c r="A29" s="2">
        <v>2005</v>
      </c>
      <c r="B29" s="19">
        <v>4569</v>
      </c>
      <c r="C29" s="19">
        <v>52</v>
      </c>
      <c r="D29" s="19">
        <v>16</v>
      </c>
      <c r="E29" s="19">
        <v>135</v>
      </c>
      <c r="F29" s="19">
        <v>93</v>
      </c>
      <c r="G29" s="19">
        <v>1275</v>
      </c>
      <c r="H29" s="19">
        <v>1550</v>
      </c>
      <c r="I29" s="19">
        <v>163</v>
      </c>
      <c r="J29" s="19">
        <v>139</v>
      </c>
      <c r="K29" s="19">
        <v>479</v>
      </c>
      <c r="L29" s="19">
        <v>667</v>
      </c>
    </row>
    <row r="30" spans="1:12" ht="12.75" customHeight="1">
      <c r="A30" s="2">
        <v>2006</v>
      </c>
      <c r="B30" s="19">
        <v>4670</v>
      </c>
      <c r="C30" s="19">
        <v>53</v>
      </c>
      <c r="D30" s="19">
        <v>16</v>
      </c>
      <c r="E30" s="19">
        <v>137</v>
      </c>
      <c r="F30" s="19">
        <v>93</v>
      </c>
      <c r="G30" s="19">
        <v>1308</v>
      </c>
      <c r="H30" s="19">
        <v>1575</v>
      </c>
      <c r="I30" s="19">
        <v>165</v>
      </c>
      <c r="J30" s="19">
        <v>140</v>
      </c>
      <c r="K30" s="19">
        <v>505</v>
      </c>
      <c r="L30" s="19">
        <v>678</v>
      </c>
    </row>
    <row r="31" spans="1:12" s="961" customFormat="1" ht="12.75" customHeight="1">
      <c r="A31" s="2">
        <v>2007</v>
      </c>
      <c r="B31" s="19">
        <v>4769</v>
      </c>
      <c r="C31" s="19">
        <v>44</v>
      </c>
      <c r="D31" s="19">
        <v>16</v>
      </c>
      <c r="E31" s="19">
        <v>141</v>
      </c>
      <c r="F31" s="19">
        <v>94</v>
      </c>
      <c r="G31" s="19">
        <v>1337</v>
      </c>
      <c r="H31" s="19">
        <v>1603</v>
      </c>
      <c r="I31" s="19">
        <v>167</v>
      </c>
      <c r="J31" s="19">
        <v>143</v>
      </c>
      <c r="K31" s="19">
        <v>524</v>
      </c>
      <c r="L31" s="19">
        <v>690</v>
      </c>
    </row>
    <row r="32" spans="1:12" ht="12.75" customHeight="1">
      <c r="A32" s="961"/>
      <c r="B32" s="1053"/>
      <c r="C32" s="960"/>
      <c r="D32" s="962" t="s">
        <v>802</v>
      </c>
      <c r="E32" s="960"/>
      <c r="F32" s="960"/>
      <c r="G32" s="960"/>
      <c r="H32" s="960"/>
      <c r="I32" s="960"/>
      <c r="J32" s="960"/>
      <c r="K32" s="960"/>
      <c r="L32" s="960"/>
    </row>
    <row r="33" spans="1:14" ht="12.75" customHeight="1">
      <c r="A33" s="448" t="s">
        <v>603</v>
      </c>
      <c r="B33" s="27">
        <f>((((B13/B5))^(1/8))-1)*100</f>
        <v>3.2497345589185045</v>
      </c>
      <c r="C33" s="27">
        <f t="shared" ref="C33:L33" si="0">((((C13/C5))^(1/8))-1)*100</f>
        <v>3.4101566782169579</v>
      </c>
      <c r="D33" s="27">
        <f t="shared" si="0"/>
        <v>3.6614649628077478</v>
      </c>
      <c r="E33" s="27">
        <f t="shared" si="0"/>
        <v>3.035531743098363</v>
      </c>
      <c r="F33" s="27">
        <f t="shared" si="0"/>
        <v>3.5990369818375667</v>
      </c>
      <c r="G33" s="27">
        <f t="shared" si="0"/>
        <v>3.9238883297953553</v>
      </c>
      <c r="H33" s="27">
        <f t="shared" si="0"/>
        <v>3.5484539211101618</v>
      </c>
      <c r="I33" s="27">
        <f t="shared" si="0"/>
        <v>2.2670779068233893</v>
      </c>
      <c r="J33" s="27">
        <f t="shared" si="0"/>
        <v>1.9455677126480886</v>
      </c>
      <c r="K33" s="27">
        <f t="shared" si="0"/>
        <v>1.3806810326708607</v>
      </c>
      <c r="L33" s="27">
        <f t="shared" si="0"/>
        <v>3.2720449911004534</v>
      </c>
    </row>
    <row r="34" spans="1:14" ht="12.75" customHeight="1">
      <c r="A34" s="448" t="s">
        <v>604</v>
      </c>
      <c r="B34" s="27">
        <f>((((B24/B13))^(1/11))-1)*100</f>
        <v>2.1015855172903386</v>
      </c>
      <c r="C34" s="27">
        <f t="shared" ref="C34:L34" si="1">((((C24/C13))^(1/11))-1)*100</f>
        <v>2.5809438284751796</v>
      </c>
      <c r="D34" s="27">
        <f t="shared" si="1"/>
        <v>2.0492932168465039</v>
      </c>
      <c r="E34" s="27">
        <f t="shared" si="1"/>
        <v>2.2447971153686908</v>
      </c>
      <c r="F34" s="27">
        <f t="shared" si="1"/>
        <v>2.129647489036901</v>
      </c>
      <c r="G34" s="27">
        <f t="shared" si="1"/>
        <v>2.5337255210589493</v>
      </c>
      <c r="H34" s="27">
        <f t="shared" si="1"/>
        <v>1.5675322901664623</v>
      </c>
      <c r="I34" s="27">
        <f t="shared" si="1"/>
        <v>1.1524144518498591</v>
      </c>
      <c r="J34" s="27">
        <f t="shared" si="1"/>
        <v>1.0162714531225969</v>
      </c>
      <c r="K34" s="27">
        <f t="shared" si="1"/>
        <v>2.4971706336494481</v>
      </c>
      <c r="L34" s="27">
        <f t="shared" si="1"/>
        <v>2.7763517226567336</v>
      </c>
    </row>
    <row r="35" spans="1:14" ht="12.75" customHeight="1">
      <c r="A35" s="448" t="s">
        <v>447</v>
      </c>
      <c r="B35" s="27">
        <f>((((B31/B5))^(1/26))-1)*100</f>
        <v>2.4821549780106311</v>
      </c>
      <c r="C35" s="27">
        <f t="shared" ref="C35:L35" si="2">((((C31/C5))^(1/26))-1)*100</f>
        <v>2.0440452066626813</v>
      </c>
      <c r="D35" s="27">
        <f t="shared" si="2"/>
        <v>2.2376061343984732</v>
      </c>
      <c r="E35" s="27">
        <f t="shared" si="2"/>
        <v>2.5105930149144529</v>
      </c>
      <c r="F35" s="27">
        <f t="shared" si="2"/>
        <v>2.3032437581141263</v>
      </c>
      <c r="G35" s="27">
        <f t="shared" si="2"/>
        <v>2.9742704486594995</v>
      </c>
      <c r="H35" s="27">
        <f t="shared" si="2"/>
        <v>2.2800902610473406</v>
      </c>
      <c r="I35" s="27">
        <f t="shared" si="2"/>
        <v>1.5483841497470729</v>
      </c>
      <c r="J35" s="27">
        <f t="shared" si="2"/>
        <v>1.3079872745881405</v>
      </c>
      <c r="K35" s="27">
        <f t="shared" si="2"/>
        <v>2.4963845389020856</v>
      </c>
      <c r="L35" s="27">
        <f t="shared" si="2"/>
        <v>2.6001312846546387</v>
      </c>
    </row>
    <row r="36" spans="1:14" ht="12.75" customHeight="1">
      <c r="A36" s="448" t="s">
        <v>449</v>
      </c>
      <c r="B36" s="27">
        <f>((((B31/B24))^(1/7))-1)*100</f>
        <v>2.2077090810328492</v>
      </c>
      <c r="C36" s="27">
        <f t="shared" ref="C36:L36" si="3">((((C31/C24))^(1/7))-1)*100</f>
        <v>-0.32052601295424754</v>
      </c>
      <c r="D36" s="27">
        <f t="shared" si="3"/>
        <v>0.92624219083128345</v>
      </c>
      <c r="E36" s="27">
        <f t="shared" si="3"/>
        <v>2.3305738364113537</v>
      </c>
      <c r="F36" s="27">
        <f t="shared" si="3"/>
        <v>1.1116572614985998</v>
      </c>
      <c r="G36" s="27">
        <f t="shared" si="3"/>
        <v>2.5884610238703587</v>
      </c>
      <c r="H36" s="27">
        <f t="shared" si="3"/>
        <v>1.9635893946374106</v>
      </c>
      <c r="I36" s="27">
        <f t="shared" si="3"/>
        <v>1.3535543083836865</v>
      </c>
      <c r="J36" s="27">
        <f t="shared" si="3"/>
        <v>1.0410314455331582</v>
      </c>
      <c r="K36" s="27">
        <f t="shared" si="3"/>
        <v>3.7852660894294843</v>
      </c>
      <c r="L36" s="27">
        <f t="shared" si="3"/>
        <v>1.5633272902157769</v>
      </c>
    </row>
    <row r="37" spans="1:14" ht="12.75" customHeight="1">
      <c r="A37" s="448"/>
      <c r="B37" s="961"/>
      <c r="C37" s="961"/>
      <c r="D37" s="27" t="s">
        <v>276</v>
      </c>
      <c r="E37" s="961"/>
      <c r="F37" s="961"/>
      <c r="G37" s="961"/>
      <c r="H37" s="961"/>
      <c r="I37" s="961"/>
      <c r="J37" s="961"/>
      <c r="K37" s="961"/>
      <c r="L37" s="961"/>
    </row>
    <row r="38" spans="1:14" ht="12.75" customHeight="1">
      <c r="A38" s="448" t="s">
        <v>447</v>
      </c>
      <c r="B38" s="12">
        <f>(B31/B5-1)*100</f>
        <v>89.170963903213021</v>
      </c>
      <c r="C38" s="12">
        <f t="shared" ref="C38:L38" si="4">(C31/C5-1)*100</f>
        <v>69.230769230769226</v>
      </c>
      <c r="D38" s="12">
        <f t="shared" si="4"/>
        <v>77.777777777777771</v>
      </c>
      <c r="E38" s="12">
        <f t="shared" si="4"/>
        <v>90.540540540540547</v>
      </c>
      <c r="F38" s="12">
        <f t="shared" si="4"/>
        <v>80.769230769230774</v>
      </c>
      <c r="G38" s="12">
        <f t="shared" si="4"/>
        <v>114.26282051282053</v>
      </c>
      <c r="H38" s="12">
        <f t="shared" si="4"/>
        <v>79.708520179372201</v>
      </c>
      <c r="I38" s="12">
        <f t="shared" si="4"/>
        <v>49.107142857142861</v>
      </c>
      <c r="J38" s="12">
        <f t="shared" si="4"/>
        <v>40.196078431372541</v>
      </c>
      <c r="K38" s="12">
        <f t="shared" si="4"/>
        <v>89.85507246376811</v>
      </c>
      <c r="L38" s="12">
        <f t="shared" si="4"/>
        <v>94.915254237288124</v>
      </c>
    </row>
    <row r="39" spans="1:14" ht="12.75" customHeight="1">
      <c r="A39" s="4"/>
    </row>
    <row r="40" spans="1:14" ht="25.5" customHeight="1">
      <c r="A40" s="1170" t="s">
        <v>1263</v>
      </c>
      <c r="B40" s="1170"/>
      <c r="C40" s="1170"/>
      <c r="D40" s="1170"/>
      <c r="E40" s="1170"/>
      <c r="F40" s="1170"/>
      <c r="G40" s="1170"/>
      <c r="H40" s="1170"/>
      <c r="I40" s="1170"/>
      <c r="J40" s="1170"/>
      <c r="K40" s="1170"/>
      <c r="L40" s="1170"/>
      <c r="M40" s="643"/>
      <c r="N40" s="643"/>
    </row>
    <row r="41" spans="1:14">
      <c r="A41" s="4" t="s">
        <v>1917</v>
      </c>
      <c r="B41" s="9"/>
      <c r="C41" s="9"/>
      <c r="D41" s="9"/>
      <c r="E41" s="9"/>
      <c r="F41" s="9"/>
      <c r="G41" s="9"/>
      <c r="H41" s="9"/>
      <c r="I41" s="9"/>
      <c r="J41" s="9"/>
      <c r="K41" s="9"/>
      <c r="L41" s="9"/>
    </row>
    <row r="42" spans="1:14">
      <c r="A42" s="4" t="s">
        <v>388</v>
      </c>
      <c r="B42" s="9"/>
      <c r="C42" s="9"/>
      <c r="D42" s="9"/>
      <c r="E42" s="9"/>
      <c r="F42" s="9"/>
      <c r="G42" s="9"/>
      <c r="H42" s="9"/>
      <c r="I42" s="9"/>
      <c r="J42" s="9"/>
      <c r="K42" s="9"/>
      <c r="L42" s="9"/>
    </row>
    <row r="43" spans="1:14" s="16" customFormat="1" ht="15.75">
      <c r="A43" s="1168" t="s">
        <v>1032</v>
      </c>
      <c r="B43" s="1169"/>
      <c r="C43" s="1169"/>
      <c r="D43" s="1169"/>
      <c r="E43" s="1169"/>
      <c r="F43" s="1169"/>
      <c r="G43" s="1169"/>
      <c r="H43" s="1169"/>
      <c r="I43" s="1169"/>
      <c r="J43" s="1169"/>
      <c r="K43" s="1169"/>
      <c r="L43" s="1169"/>
    </row>
    <row r="44" spans="1:14" ht="12.75" customHeight="1"/>
    <row r="45" spans="1:14" s="16" customFormat="1" ht="29.25" customHeight="1">
      <c r="A45" s="1"/>
      <c r="B45" s="1"/>
      <c r="C45" s="1"/>
      <c r="D45" s="1"/>
      <c r="E45" s="1"/>
      <c r="F45" s="1"/>
      <c r="G45" s="1"/>
      <c r="H45" s="1"/>
      <c r="I45" s="1"/>
      <c r="J45" s="1"/>
      <c r="K45" s="1"/>
      <c r="L45" s="1"/>
      <c r="M45" s="1"/>
      <c r="N45" s="1"/>
    </row>
  </sheetData>
  <mergeCells count="13">
    <mergeCell ref="A43:L43"/>
    <mergeCell ref="A40:L40"/>
    <mergeCell ref="J3:J4"/>
    <mergeCell ref="K3:K4"/>
    <mergeCell ref="L3:L4"/>
    <mergeCell ref="F3:F4"/>
    <mergeCell ref="G3:G4"/>
    <mergeCell ref="H3:H4"/>
    <mergeCell ref="I3:I4"/>
    <mergeCell ref="B3:B4"/>
    <mergeCell ref="C3:C4"/>
    <mergeCell ref="D3:D4"/>
    <mergeCell ref="E3:E4"/>
  </mergeCells>
  <phoneticPr fontId="35" type="noConversion"/>
  <pageMargins left="0.75" right="0.75" top="1" bottom="1" header="0.5" footer="0.5"/>
  <pageSetup scale="83"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sheetPr codeName="Sheet35">
    <pageSetUpPr fitToPage="1"/>
  </sheetPr>
  <dimension ref="A1:Q107"/>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5" width="8.85546875" style="1" customWidth="1"/>
    <col min="16" max="17" width="9.42578125" style="1" hidden="1" customWidth="1"/>
    <col min="18" max="16384" width="8.85546875" style="1"/>
  </cols>
  <sheetData>
    <row r="1" spans="1:17" ht="15.75">
      <c r="A1" s="4"/>
      <c r="B1" s="3" t="s">
        <v>2124</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M4" s="1054"/>
      <c r="N4" s="968" t="s">
        <v>282</v>
      </c>
      <c r="O4" s="968" t="s">
        <v>282</v>
      </c>
      <c r="P4" s="645" t="s">
        <v>281</v>
      </c>
      <c r="Q4" s="645" t="s">
        <v>281</v>
      </c>
    </row>
    <row r="5" spans="1:17">
      <c r="A5" s="2">
        <v>1981</v>
      </c>
      <c r="B5" s="135">
        <f>'11b'!B5/'11b'!$B5*100</f>
        <v>100</v>
      </c>
      <c r="C5" s="10">
        <f>'11b'!C5/'11b'!$B5*100</f>
        <v>91.482112436115841</v>
      </c>
      <c r="D5" s="10">
        <f>'11b'!D5/'11b'!$B5*100</f>
        <v>77.512776831345832</v>
      </c>
      <c r="E5" s="10">
        <f>'11b'!E5/'11b'!$B5*100</f>
        <v>82.112436115843266</v>
      </c>
      <c r="F5" s="10">
        <f>'11b'!F5/'11b'!$B5*100</f>
        <v>82.112436115843266</v>
      </c>
      <c r="G5" s="10">
        <f>'11b'!G5/'11b'!$B5*100</f>
        <v>92.504258943781949</v>
      </c>
      <c r="H5" s="10">
        <f>'11b'!H5/'11b'!$B5*100</f>
        <v>105.45144804088586</v>
      </c>
      <c r="I5" s="10">
        <f>'11b'!I5/'11b'!$B5*100</f>
        <v>90.800681431005117</v>
      </c>
      <c r="J5" s="10">
        <f>'11b'!J5/'11b'!$B5*100</f>
        <v>95.911413969335598</v>
      </c>
      <c r="K5" s="10">
        <f>'11b'!K5/'11b'!$B5*100</f>
        <v>111.75468483816013</v>
      </c>
      <c r="L5" s="10">
        <f>'11b'!L5/'11b'!$B5*100</f>
        <v>105.1107325383305</v>
      </c>
      <c r="N5" s="19">
        <f>SUM(C81:L81)/10</f>
        <v>156.97001181185772</v>
      </c>
      <c r="O5" s="19">
        <f>SQRT(N5)</f>
        <v>12.528767370011215</v>
      </c>
      <c r="P5" s="19">
        <f>Q5^2</f>
        <v>114.39827726812453</v>
      </c>
      <c r="Q5" s="19">
        <f>STDEVP(C5:L5)</f>
        <v>10.695713032244486</v>
      </c>
    </row>
    <row r="6" spans="1:17">
      <c r="A6" s="2">
        <v>1982</v>
      </c>
      <c r="B6" s="135">
        <f>'11b'!B6/'11b'!$B6*100</f>
        <v>100</v>
      </c>
      <c r="C6" s="10">
        <f>'11b'!C6/'11b'!$B6*100</f>
        <v>89.703315881326347</v>
      </c>
      <c r="D6" s="10">
        <f>'11b'!D6/'11b'!$B6*100</f>
        <v>79.755671902268759</v>
      </c>
      <c r="E6" s="10">
        <f>'11b'!E6/'11b'!$B6*100</f>
        <v>83.944153577661424</v>
      </c>
      <c r="F6" s="10">
        <f>'11b'!F6/'11b'!$B6*100</f>
        <v>82.897033158813258</v>
      </c>
      <c r="G6" s="10">
        <f>'11b'!G6/'11b'!$B6*100</f>
        <v>92.146596858638745</v>
      </c>
      <c r="H6" s="10">
        <f>'11b'!H6/'11b'!$B6*100</f>
        <v>104.88656195462478</v>
      </c>
      <c r="I6" s="10">
        <f>'11b'!I6/'11b'!$B6*100</f>
        <v>92.32111692844677</v>
      </c>
      <c r="J6" s="10">
        <f>'11b'!J6/'11b'!$B6*100</f>
        <v>95.462478184991269</v>
      </c>
      <c r="K6" s="10">
        <f>'11b'!K6/'11b'!$B6*100</f>
        <v>116.2303664921466</v>
      </c>
      <c r="L6" s="10">
        <f>'11b'!L6/'11b'!$B6*100</f>
        <v>104.01396160558465</v>
      </c>
      <c r="N6" s="19">
        <f t="shared" ref="N6:N28" si="0">SUM(C82:L82)/10</f>
        <v>151.0801665402692</v>
      </c>
      <c r="O6" s="19">
        <f t="shared" ref="O6:O29" si="1">SQRT(N6)</f>
        <v>12.291467224878778</v>
      </c>
      <c r="P6" s="19">
        <f t="shared" ref="P6:P28" si="2">Q6^2</f>
        <v>116.69514419987564</v>
      </c>
      <c r="Q6" s="19">
        <f t="shared" ref="Q6:Q28" si="3">STDEVP(C6:L6)</f>
        <v>10.802552670543923</v>
      </c>
    </row>
    <row r="7" spans="1:17">
      <c r="A7" s="2">
        <v>1983</v>
      </c>
      <c r="B7" s="135">
        <f>'11b'!B7/'11b'!$B7*100</f>
        <v>100</v>
      </c>
      <c r="C7" s="10">
        <f>'11b'!C7/'11b'!$B7*100</f>
        <v>83.571428571428569</v>
      </c>
      <c r="D7" s="10">
        <f>'11b'!D7/'11b'!$B7*100</f>
        <v>85.535714285714278</v>
      </c>
      <c r="E7" s="10">
        <f>'11b'!E7/'11b'!$B7*100</f>
        <v>86.071428571428584</v>
      </c>
      <c r="F7" s="10">
        <f>'11b'!F7/'11b'!$B7*100</f>
        <v>81.071428571428569</v>
      </c>
      <c r="G7" s="10">
        <f>'11b'!G7/'11b'!$B7*100</f>
        <v>92.678571428571431</v>
      </c>
      <c r="H7" s="10">
        <f>'11b'!H7/'11b'!$B7*100</f>
        <v>107.32142857142857</v>
      </c>
      <c r="I7" s="10">
        <f>'11b'!I7/'11b'!$B7*100</f>
        <v>96.25</v>
      </c>
      <c r="J7" s="10">
        <f>'11b'!J7/'11b'!$B7*100</f>
        <v>93.928571428571431</v>
      </c>
      <c r="K7" s="10">
        <f>'11b'!K7/'11b'!$B7*100</f>
        <v>107.67857142857142</v>
      </c>
      <c r="L7" s="10">
        <f>'11b'!L7/'11b'!$B7*100</f>
        <v>101.96428571428571</v>
      </c>
      <c r="N7" s="19">
        <f t="shared" si="0"/>
        <v>125.23596938775509</v>
      </c>
      <c r="O7" s="19">
        <f t="shared" si="1"/>
        <v>11.19088778371739</v>
      </c>
      <c r="P7" s="19">
        <f t="shared" si="2"/>
        <v>84.367346938776308</v>
      </c>
      <c r="Q7" s="19">
        <f t="shared" si="3"/>
        <v>9.1851699461020484</v>
      </c>
    </row>
    <row r="8" spans="1:17">
      <c r="A8" s="2">
        <v>1984</v>
      </c>
      <c r="B8" s="135">
        <f>'11b'!B8/'11b'!$B8*100</f>
        <v>100</v>
      </c>
      <c r="C8" s="10">
        <f>'11b'!C8/'11b'!$B8*100</f>
        <v>85.204991087344027</v>
      </c>
      <c r="D8" s="10">
        <f>'11b'!D8/'11b'!$B8*100</f>
        <v>82.709447415329777</v>
      </c>
      <c r="E8" s="10">
        <f>'11b'!E8/'11b'!$B8*100</f>
        <v>88.057040998217474</v>
      </c>
      <c r="F8" s="10">
        <f>'11b'!F8/'11b'!$B8*100</f>
        <v>86.809269162210327</v>
      </c>
      <c r="G8" s="10">
        <f>'11b'!G8/'11b'!$B8*100</f>
        <v>94.117647058823522</v>
      </c>
      <c r="H8" s="10">
        <f>'11b'!H8/'11b'!$B8*100</f>
        <v>108.55614973262031</v>
      </c>
      <c r="I8" s="10">
        <f>'11b'!I8/'11b'!$B8*100</f>
        <v>94.474153297682705</v>
      </c>
      <c r="J8" s="10">
        <f>'11b'!J8/'11b'!$B8*100</f>
        <v>92.335115864527623</v>
      </c>
      <c r="K8" s="10">
        <f>'11b'!K8/'11b'!$B8*100</f>
        <v>103.5650623885918</v>
      </c>
      <c r="L8" s="10">
        <f>'11b'!L8/'11b'!$B8*100</f>
        <v>98.039215686274503</v>
      </c>
      <c r="N8" s="19">
        <f t="shared" si="0"/>
        <v>104.81346970809065</v>
      </c>
      <c r="O8" s="19">
        <f t="shared" si="1"/>
        <v>10.237844973825823</v>
      </c>
      <c r="P8" s="19">
        <f t="shared" si="2"/>
        <v>61.079178065648293</v>
      </c>
      <c r="Q8" s="19">
        <f t="shared" si="3"/>
        <v>7.8153168883704449</v>
      </c>
    </row>
    <row r="9" spans="1:17">
      <c r="A9" s="2">
        <v>1985</v>
      </c>
      <c r="B9" s="135">
        <f>'11b'!B9/'11b'!$B9*100</f>
        <v>100</v>
      </c>
      <c r="C9" s="10">
        <f>'11b'!C9/'11b'!$B9*100</f>
        <v>84.146341463414629</v>
      </c>
      <c r="D9" s="10">
        <f>'11b'!D9/'11b'!$B9*100</f>
        <v>81.533101045296164</v>
      </c>
      <c r="E9" s="10">
        <f>'11b'!E9/'11b'!$B9*100</f>
        <v>91.289198606271782</v>
      </c>
      <c r="F9" s="10">
        <f>'11b'!F9/'11b'!$B9*100</f>
        <v>85.888501742160287</v>
      </c>
      <c r="G9" s="10">
        <f>'11b'!G9/'11b'!$B9*100</f>
        <v>92.160278745644604</v>
      </c>
      <c r="H9" s="10">
        <f>'11b'!H9/'11b'!$B9*100</f>
        <v>109.58188153310104</v>
      </c>
      <c r="I9" s="10">
        <f>'11b'!I9/'11b'!$B9*100</f>
        <v>92.160278745644604</v>
      </c>
      <c r="J9" s="10">
        <f>'11b'!J9/'11b'!$B9*100</f>
        <v>90.766550522648089</v>
      </c>
      <c r="K9" s="10">
        <f>'11b'!K9/'11b'!$B9*100</f>
        <v>106.27177700348432</v>
      </c>
      <c r="L9" s="10">
        <f>'11b'!L9/'11b'!$B9*100</f>
        <v>97.038327526132406</v>
      </c>
      <c r="N9" s="19">
        <f t="shared" si="0"/>
        <v>121.54754822809545</v>
      </c>
      <c r="O9" s="19">
        <f t="shared" si="1"/>
        <v>11.024860462976184</v>
      </c>
      <c r="P9" s="19">
        <f t="shared" si="2"/>
        <v>73.711287013314418</v>
      </c>
      <c r="Q9" s="19">
        <f t="shared" si="3"/>
        <v>8.5855277655665656</v>
      </c>
    </row>
    <row r="10" spans="1:17">
      <c r="A10" s="2">
        <v>1986</v>
      </c>
      <c r="B10" s="135">
        <f>'11b'!B10/'11b'!$B10*100</f>
        <v>100</v>
      </c>
      <c r="C10" s="10">
        <f>'11b'!C10/'11b'!$B10*100</f>
        <v>79.381443298969074</v>
      </c>
      <c r="D10" s="10">
        <f>'11b'!D10/'11b'!$B10*100</f>
        <v>81.615120274914091</v>
      </c>
      <c r="E10" s="10">
        <f>'11b'!E10/'11b'!$B10*100</f>
        <v>88.144329896907209</v>
      </c>
      <c r="F10" s="10">
        <f>'11b'!F10/'11b'!$B10*100</f>
        <v>84.364261168384886</v>
      </c>
      <c r="G10" s="10">
        <f>'11b'!G10/'11b'!$B10*100</f>
        <v>91.924398625429546</v>
      </c>
      <c r="H10" s="10">
        <f>'11b'!H10/'11b'!$B10*100</f>
        <v>111.1683848797251</v>
      </c>
      <c r="I10" s="10">
        <f>'11b'!I10/'11b'!$B10*100</f>
        <v>92.783505154639172</v>
      </c>
      <c r="J10" s="10">
        <f>'11b'!J10/'11b'!$B10*100</f>
        <v>88.831615120274904</v>
      </c>
      <c r="K10" s="10">
        <f>'11b'!K10/'11b'!$B10*100</f>
        <v>103.78006872852235</v>
      </c>
      <c r="L10" s="10">
        <f>'11b'!L10/'11b'!$B10*100</f>
        <v>97.9381443298969</v>
      </c>
      <c r="N10" s="19">
        <f t="shared" si="0"/>
        <v>153.34608707974641</v>
      </c>
      <c r="O10" s="19">
        <f t="shared" si="1"/>
        <v>12.383298715598619</v>
      </c>
      <c r="P10" s="19">
        <f t="shared" si="2"/>
        <v>89.23607420791059</v>
      </c>
      <c r="Q10" s="19">
        <f t="shared" si="3"/>
        <v>9.4464847540188508</v>
      </c>
    </row>
    <row r="11" spans="1:17">
      <c r="A11" s="2">
        <v>1987</v>
      </c>
      <c r="B11" s="135">
        <f>'11b'!B11/'11b'!$B11*100</f>
        <v>100</v>
      </c>
      <c r="C11" s="10">
        <f>'11b'!C11/'11b'!$B11*100</f>
        <v>83.16326530612244</v>
      </c>
      <c r="D11" s="10">
        <f>'11b'!D11/'11b'!$B11*100</f>
        <v>84.013605442176882</v>
      </c>
      <c r="E11" s="10">
        <f>'11b'!E11/'11b'!$B11*100</f>
        <v>89.455782312925166</v>
      </c>
      <c r="F11" s="10">
        <f>'11b'!F11/'11b'!$B11*100</f>
        <v>82.312925170068027</v>
      </c>
      <c r="G11" s="10">
        <f>'11b'!G11/'11b'!$B11*100</f>
        <v>91.83673469387756</v>
      </c>
      <c r="H11" s="10">
        <f>'11b'!H11/'11b'!$B11*100</f>
        <v>112.41496598639455</v>
      </c>
      <c r="I11" s="10">
        <f>'11b'!I11/'11b'!$B11*100</f>
        <v>89.965986394557831</v>
      </c>
      <c r="J11" s="10">
        <f>'11b'!J11/'11b'!$B11*100</f>
        <v>88.265306122448976</v>
      </c>
      <c r="K11" s="10">
        <f>'11b'!K11/'11b'!$B11*100</f>
        <v>100.51020408163265</v>
      </c>
      <c r="L11" s="10">
        <f>'11b'!L11/'11b'!$B11*100</f>
        <v>96.088435374149668</v>
      </c>
      <c r="N11" s="19">
        <f t="shared" si="0"/>
        <v>143.77689851450776</v>
      </c>
      <c r="O11" s="19">
        <f t="shared" si="1"/>
        <v>11.990700501409739</v>
      </c>
      <c r="P11" s="19">
        <f t="shared" si="2"/>
        <v>76.581516960522862</v>
      </c>
      <c r="Q11" s="19">
        <f t="shared" si="3"/>
        <v>8.7510866159879175</v>
      </c>
    </row>
    <row r="12" spans="1:17">
      <c r="A12" s="2">
        <v>1988</v>
      </c>
      <c r="B12" s="135">
        <f>'11b'!B12/'11b'!$B12*100</f>
        <v>100</v>
      </c>
      <c r="C12" s="10">
        <f>'11b'!C12/'11b'!$B12*100</f>
        <v>84.307178631051755</v>
      </c>
      <c r="D12" s="10">
        <f>'11b'!D12/'11b'!$B12*100</f>
        <v>78.797996661101834</v>
      </c>
      <c r="E12" s="10">
        <f>'11b'!E12/'11b'!$B12*100</f>
        <v>86.644407345575956</v>
      </c>
      <c r="F12" s="10">
        <f>'11b'!F12/'11b'!$B12*100</f>
        <v>83.305509181969953</v>
      </c>
      <c r="G12" s="10">
        <f>'11b'!G12/'11b'!$B12*100</f>
        <v>89.14858096828047</v>
      </c>
      <c r="H12" s="10">
        <f>'11b'!H12/'11b'!$B12*100</f>
        <v>114.19031719532555</v>
      </c>
      <c r="I12" s="10">
        <f>'11b'!I12/'11b'!$B12*100</f>
        <v>90.317195325542571</v>
      </c>
      <c r="J12" s="10">
        <f>'11b'!J12/'11b'!$B12*100</f>
        <v>86.31051752921536</v>
      </c>
      <c r="K12" s="10">
        <f>'11b'!K12/'11b'!$B12*100</f>
        <v>100</v>
      </c>
      <c r="L12" s="10">
        <f>'11b'!L12/'11b'!$B12*100</f>
        <v>97.829716193656097</v>
      </c>
      <c r="N12" s="19">
        <f t="shared" si="0"/>
        <v>175.78546325121724</v>
      </c>
      <c r="O12" s="19">
        <f t="shared" si="1"/>
        <v>13.258411037949353</v>
      </c>
      <c r="P12" s="19">
        <f t="shared" si="2"/>
        <v>96.31076836463879</v>
      </c>
      <c r="Q12" s="19">
        <f t="shared" si="3"/>
        <v>9.813804989128263</v>
      </c>
    </row>
    <row r="13" spans="1:17">
      <c r="A13" s="2">
        <v>1989</v>
      </c>
      <c r="B13" s="135">
        <f>'11b'!B13/'11b'!$B13*100</f>
        <v>100</v>
      </c>
      <c r="C13" s="10">
        <f>'11b'!C13/'11b'!$B13*100</f>
        <v>86.482084690553748</v>
      </c>
      <c r="D13" s="10">
        <f>'11b'!D13/'11b'!$B13*100</f>
        <v>80.944625407166129</v>
      </c>
      <c r="E13" s="10">
        <f>'11b'!E13/'11b'!$B13*100</f>
        <v>86.482084690553748</v>
      </c>
      <c r="F13" s="10">
        <f>'11b'!F13/'11b'!$B13*100</f>
        <v>84.039087947882734</v>
      </c>
      <c r="G13" s="10">
        <f>'11b'!G13/'11b'!$B13*100</f>
        <v>89.739413680781752</v>
      </c>
      <c r="H13" s="10">
        <f>'11b'!H13/'11b'!$B13*100</f>
        <v>114.16938110749186</v>
      </c>
      <c r="I13" s="10">
        <f>'11b'!I13/'11b'!$B13*100</f>
        <v>91.205211726384363</v>
      </c>
      <c r="J13" s="10">
        <f>'11b'!J13/'11b'!$B13*100</f>
        <v>84.853420195439739</v>
      </c>
      <c r="K13" s="10">
        <f>'11b'!K13/'11b'!$B13*100</f>
        <v>98.534201954397389</v>
      </c>
      <c r="L13" s="10">
        <f>'11b'!L13/'11b'!$B13*100</f>
        <v>97.068403908794792</v>
      </c>
      <c r="N13" s="19">
        <f t="shared" si="0"/>
        <v>160.68870757249414</v>
      </c>
      <c r="O13" s="19">
        <f t="shared" si="1"/>
        <v>12.676304965268631</v>
      </c>
      <c r="P13" s="19">
        <f t="shared" si="2"/>
        <v>85.897197848252247</v>
      </c>
      <c r="Q13" s="19">
        <f t="shared" si="3"/>
        <v>9.2680741175420174</v>
      </c>
    </row>
    <row r="14" spans="1:17">
      <c r="A14" s="2">
        <v>1990</v>
      </c>
      <c r="B14" s="135">
        <f>'11b'!B14/'11b'!$B14*100</f>
        <v>100</v>
      </c>
      <c r="C14" s="10">
        <f>'11b'!C14/'11b'!$B14*100</f>
        <v>85.90604026845638</v>
      </c>
      <c r="D14" s="10">
        <f>'11b'!D14/'11b'!$B14*100</f>
        <v>83.053691275167779</v>
      </c>
      <c r="E14" s="10">
        <f>'11b'!E14/'11b'!$B14*100</f>
        <v>88.758389261744966</v>
      </c>
      <c r="F14" s="10">
        <f>'11b'!F14/'11b'!$B14*100</f>
        <v>84.395973154362409</v>
      </c>
      <c r="G14" s="10">
        <f>'11b'!G14/'11b'!$B14*100</f>
        <v>88.758389261744966</v>
      </c>
      <c r="H14" s="10">
        <f>'11b'!H14/'11b'!$B14*100</f>
        <v>113.25503355704699</v>
      </c>
      <c r="I14" s="10">
        <f>'11b'!I14/'11b'!$B14*100</f>
        <v>89.765100671140942</v>
      </c>
      <c r="J14" s="10">
        <f>'11b'!J14/'11b'!$B14*100</f>
        <v>85.738255033557039</v>
      </c>
      <c r="K14" s="10">
        <f>'11b'!K14/'11b'!$B14*100</f>
        <v>101.84563758389262</v>
      </c>
      <c r="L14" s="10">
        <f>'11b'!L14/'11b'!$B14*100</f>
        <v>99.328859060402692</v>
      </c>
      <c r="N14" s="19">
        <f t="shared" si="0"/>
        <v>146.97536147020409</v>
      </c>
      <c r="O14" s="19">
        <f t="shared" si="1"/>
        <v>12.123339534559118</v>
      </c>
      <c r="P14" s="19">
        <f t="shared" si="2"/>
        <v>84.257465879915998</v>
      </c>
      <c r="Q14" s="19">
        <f t="shared" si="3"/>
        <v>9.1791865587270856</v>
      </c>
    </row>
    <row r="15" spans="1:17">
      <c r="A15" s="2">
        <v>1991</v>
      </c>
      <c r="B15" s="135">
        <f>'11b'!B15/'11b'!$B15*100</f>
        <v>100</v>
      </c>
      <c r="C15" s="10">
        <f>'11b'!C15/'11b'!$B15*100</f>
        <v>86.062717770034851</v>
      </c>
      <c r="D15" s="10">
        <f>'11b'!D15/'11b'!$B15*100</f>
        <v>83.623693379790936</v>
      </c>
      <c r="E15" s="10">
        <f>'11b'!E15/'11b'!$B15*100</f>
        <v>87.63066202090593</v>
      </c>
      <c r="F15" s="10">
        <f>'11b'!F15/'11b'!$B15*100</f>
        <v>85.191637630662015</v>
      </c>
      <c r="G15" s="10">
        <f>'11b'!G15/'11b'!$B15*100</f>
        <v>89.547038327526124</v>
      </c>
      <c r="H15" s="10">
        <f>'11b'!H15/'11b'!$B15*100</f>
        <v>111.84668989547038</v>
      </c>
      <c r="I15" s="10">
        <f>'11b'!I15/'11b'!$B15*100</f>
        <v>88.850174216027881</v>
      </c>
      <c r="J15" s="10">
        <f>'11b'!J15/'11b'!$B15*100</f>
        <v>85.888501742160287</v>
      </c>
      <c r="K15" s="10">
        <f>'11b'!K15/'11b'!$B15*100</f>
        <v>105.40069686411148</v>
      </c>
      <c r="L15" s="10">
        <f>'11b'!L15/'11b'!$B15*100</f>
        <v>98.954703832752614</v>
      </c>
      <c r="N15" s="19">
        <f t="shared" si="0"/>
        <v>143.80410105743661</v>
      </c>
      <c r="O15" s="19">
        <f t="shared" si="1"/>
        <v>11.991834766099664</v>
      </c>
      <c r="P15" s="19">
        <f t="shared" si="2"/>
        <v>84.508735082371857</v>
      </c>
      <c r="Q15" s="19">
        <f t="shared" si="3"/>
        <v>9.1928632689914327</v>
      </c>
    </row>
    <row r="16" spans="1:17">
      <c r="A16" s="2">
        <v>1992</v>
      </c>
      <c r="B16" s="135">
        <f>'11b'!B16/'11b'!$B16*100</f>
        <v>100</v>
      </c>
      <c r="C16" s="10">
        <f>'11b'!C16/'11b'!$B16*100</f>
        <v>85.113835376532393</v>
      </c>
      <c r="D16" s="10">
        <f>'11b'!D16/'11b'!$B16*100</f>
        <v>85.98949211908932</v>
      </c>
      <c r="E16" s="10">
        <f>'11b'!E16/'11b'!$B16*100</f>
        <v>89.141856392294216</v>
      </c>
      <c r="F16" s="10">
        <f>'11b'!F16/'11b'!$B16*100</f>
        <v>85.639229422066549</v>
      </c>
      <c r="G16" s="10">
        <f>'11b'!G16/'11b'!$B16*100</f>
        <v>88.791593695271459</v>
      </c>
      <c r="H16" s="10">
        <f>'11b'!H16/'11b'!$B16*100</f>
        <v>111.7338003502627</v>
      </c>
      <c r="I16" s="10">
        <f>'11b'!I16/'11b'!$B16*100</f>
        <v>90.71803852889667</v>
      </c>
      <c r="J16" s="10">
        <f>'11b'!J16/'11b'!$B16*100</f>
        <v>87.74080560420316</v>
      </c>
      <c r="K16" s="10">
        <f>'11b'!K16/'11b'!$B16*100</f>
        <v>100.52539404553416</v>
      </c>
      <c r="L16" s="10">
        <f>'11b'!L16/'11b'!$B16*100</f>
        <v>102.80210157618212</v>
      </c>
      <c r="N16" s="19">
        <f t="shared" si="0"/>
        <v>124.99041531586518</v>
      </c>
      <c r="O16" s="19">
        <f t="shared" si="1"/>
        <v>11.179911239176507</v>
      </c>
      <c r="P16" s="19">
        <f t="shared" si="2"/>
        <v>73.432482417853322</v>
      </c>
      <c r="Q16" s="19">
        <f t="shared" si="3"/>
        <v>8.5692754896696677</v>
      </c>
    </row>
    <row r="17" spans="1:17">
      <c r="A17" s="2">
        <v>1993</v>
      </c>
      <c r="B17" s="135">
        <f>'11b'!B17/'11b'!$B17*100</f>
        <v>100</v>
      </c>
      <c r="C17" s="10">
        <f>'11b'!C17/'11b'!$B17*100</f>
        <v>84.739676840215438</v>
      </c>
      <c r="D17" s="10">
        <f>'11b'!D17/'11b'!$B17*100</f>
        <v>84.201077199281869</v>
      </c>
      <c r="E17" s="10">
        <f>'11b'!E17/'11b'!$B17*100</f>
        <v>88.330341113105931</v>
      </c>
      <c r="F17" s="10">
        <f>'11b'!F17/'11b'!$B17*100</f>
        <v>86.355475763016159</v>
      </c>
      <c r="G17" s="10">
        <f>'11b'!G17/'11b'!$B17*100</f>
        <v>88.330341113105931</v>
      </c>
      <c r="H17" s="10">
        <f>'11b'!H17/'11b'!$B17*100</f>
        <v>112.20825852782765</v>
      </c>
      <c r="I17" s="10">
        <f>'11b'!I17/'11b'!$B17*100</f>
        <v>88.8689407540395</v>
      </c>
      <c r="J17" s="10">
        <f>'11b'!J17/'11b'!$B17*100</f>
        <v>87.07360861759426</v>
      </c>
      <c r="K17" s="10">
        <f>'11b'!K17/'11b'!$B17*100</f>
        <v>102.87253141831239</v>
      </c>
      <c r="L17" s="10">
        <f>'11b'!L17/'11b'!$B17*100</f>
        <v>100.35906642728905</v>
      </c>
      <c r="N17" s="19">
        <f t="shared" si="0"/>
        <v>138.94323591695701</v>
      </c>
      <c r="O17" s="19">
        <f t="shared" si="1"/>
        <v>11.787418543385867</v>
      </c>
      <c r="P17" s="19">
        <f t="shared" si="2"/>
        <v>80.174633923075177</v>
      </c>
      <c r="Q17" s="19">
        <f t="shared" si="3"/>
        <v>8.9540289212775708</v>
      </c>
    </row>
    <row r="18" spans="1:17">
      <c r="A18" s="2">
        <v>1994</v>
      </c>
      <c r="B18" s="135">
        <f>'11b'!B18/'11b'!$B18*100</f>
        <v>100</v>
      </c>
      <c r="C18" s="10">
        <f>'11b'!C18/'11b'!$B18*100</f>
        <v>85.612788632326826</v>
      </c>
      <c r="D18" s="10">
        <f>'11b'!D18/'11b'!$B18*100</f>
        <v>85.435168738898753</v>
      </c>
      <c r="E18" s="10">
        <f>'11b'!E18/'11b'!$B18*100</f>
        <v>85.968028419182957</v>
      </c>
      <c r="F18" s="10">
        <f>'11b'!F18/'11b'!$B18*100</f>
        <v>85.079928952042621</v>
      </c>
      <c r="G18" s="10">
        <f>'11b'!G18/'11b'!$B18*100</f>
        <v>89.520426287744229</v>
      </c>
      <c r="H18" s="10">
        <f>'11b'!H18/'11b'!$B18*100</f>
        <v>111.72291296625222</v>
      </c>
      <c r="I18" s="10">
        <f>'11b'!I18/'11b'!$B18*100</f>
        <v>91.651865008880989</v>
      </c>
      <c r="J18" s="10">
        <f>'11b'!J18/'11b'!$B18*100</f>
        <v>86.856127886323264</v>
      </c>
      <c r="K18" s="10">
        <f>'11b'!K18/'11b'!$B18*100</f>
        <v>102.66429840142095</v>
      </c>
      <c r="L18" s="10">
        <f>'11b'!L18/'11b'!$B18*100</f>
        <v>100.17761989342806</v>
      </c>
      <c r="N18" s="19">
        <f t="shared" si="0"/>
        <v>133.54618274973265</v>
      </c>
      <c r="O18" s="19">
        <f t="shared" si="1"/>
        <v>11.556218358517317</v>
      </c>
      <c r="P18" s="19">
        <f t="shared" si="2"/>
        <v>76.828964346669366</v>
      </c>
      <c r="Q18" s="19">
        <f t="shared" si="3"/>
        <v>8.7652133086804778</v>
      </c>
    </row>
    <row r="19" spans="1:17">
      <c r="A19" s="2">
        <v>1995</v>
      </c>
      <c r="B19" s="135">
        <f>'11b'!B19/'11b'!$B19*100</f>
        <v>100</v>
      </c>
      <c r="C19" s="10">
        <f>'11b'!C19/'11b'!$B19*100</f>
        <v>83.362831858407077</v>
      </c>
      <c r="D19" s="10">
        <f>'11b'!D19/'11b'!$B19*100</f>
        <v>84.424778761061944</v>
      </c>
      <c r="E19" s="10">
        <f>'11b'!E19/'11b'!$B19*100</f>
        <v>84.070796460176993</v>
      </c>
      <c r="F19" s="10">
        <f>'11b'!F19/'11b'!$B19*100</f>
        <v>85.309734513274336</v>
      </c>
      <c r="G19" s="10">
        <f>'11b'!G19/'11b'!$B19*100</f>
        <v>88.672566371681413</v>
      </c>
      <c r="H19" s="10">
        <f>'11b'!H19/'11b'!$B19*100</f>
        <v>112.56637168141592</v>
      </c>
      <c r="I19" s="10">
        <f>'11b'!I19/'11b'!$B19*100</f>
        <v>91.327433628318587</v>
      </c>
      <c r="J19" s="10">
        <f>'11b'!J19/'11b'!$B19*100</f>
        <v>90.265486725663706</v>
      </c>
      <c r="K19" s="10">
        <f>'11b'!K19/'11b'!$B19*100</f>
        <v>101.94690265486726</v>
      </c>
      <c r="L19" s="10">
        <f>'11b'!L19/'11b'!$B19*100</f>
        <v>99.823008849557525</v>
      </c>
      <c r="N19" s="19">
        <f t="shared" si="0"/>
        <v>144.89466677108626</v>
      </c>
      <c r="O19" s="19">
        <f t="shared" si="1"/>
        <v>12.037220059926057</v>
      </c>
      <c r="P19" s="19">
        <f t="shared" si="2"/>
        <v>83.695199310834269</v>
      </c>
      <c r="Q19" s="19">
        <f t="shared" si="3"/>
        <v>9.148508037425243</v>
      </c>
    </row>
    <row r="20" spans="1:17">
      <c r="A20" s="2">
        <v>1996</v>
      </c>
      <c r="B20" s="135">
        <f>'11b'!B20/'11b'!$B20*100</f>
        <v>100</v>
      </c>
      <c r="C20" s="10">
        <f>'11b'!C20/'11b'!$B20*100</f>
        <v>81.128747795414455</v>
      </c>
      <c r="D20" s="10">
        <f>'11b'!D20/'11b'!$B20*100</f>
        <v>84.832451499118164</v>
      </c>
      <c r="E20" s="10">
        <f>'11b'!E20/'11b'!$B20*100</f>
        <v>82.716049382716051</v>
      </c>
      <c r="F20" s="10">
        <f>'11b'!F20/'11b'!$B20*100</f>
        <v>85.18518518518519</v>
      </c>
      <c r="G20" s="10">
        <f>'11b'!G20/'11b'!$B20*100</f>
        <v>89.065255731922406</v>
      </c>
      <c r="H20" s="10">
        <f>'11b'!H20/'11b'!$B20*100</f>
        <v>112.34567901234568</v>
      </c>
      <c r="I20" s="10">
        <f>'11b'!I20/'11b'!$B20*100</f>
        <v>91.181657848324519</v>
      </c>
      <c r="J20" s="10">
        <f>'11b'!J20/'11b'!$B20*100</f>
        <v>88.183421516754848</v>
      </c>
      <c r="K20" s="10">
        <f>'11b'!K20/'11b'!$B20*100</f>
        <v>102.82186948853615</v>
      </c>
      <c r="L20" s="10">
        <f>'11b'!L20/'11b'!$B20*100</f>
        <v>100.35273368606703</v>
      </c>
      <c r="N20" s="19">
        <f t="shared" si="0"/>
        <v>160.18588505360992</v>
      </c>
      <c r="O20" s="19">
        <f t="shared" si="1"/>
        <v>12.656456259696469</v>
      </c>
      <c r="P20" s="19">
        <f t="shared" si="2"/>
        <v>92.638939434939545</v>
      </c>
      <c r="Q20" s="19">
        <f t="shared" si="3"/>
        <v>9.6249124377803845</v>
      </c>
    </row>
    <row r="21" spans="1:17">
      <c r="A21" s="2">
        <v>1997</v>
      </c>
      <c r="B21" s="135">
        <f>'11b'!B21/'11b'!$B21*100</f>
        <v>100</v>
      </c>
      <c r="C21" s="10">
        <f>'11b'!C21/'11b'!$B21*100</f>
        <v>78.984238178633987</v>
      </c>
      <c r="D21" s="10">
        <f>'11b'!D21/'11b'!$B21*100</f>
        <v>81.961471103327497</v>
      </c>
      <c r="E21" s="10">
        <f>'11b'!E21/'11b'!$B21*100</f>
        <v>83.362521891418567</v>
      </c>
      <c r="F21" s="10">
        <f>'11b'!F21/'11b'!$B21*100</f>
        <v>83.362521891418567</v>
      </c>
      <c r="G21" s="10">
        <f>'11b'!G21/'11b'!$B21*100</f>
        <v>87.74080560420316</v>
      </c>
      <c r="H21" s="10">
        <f>'11b'!H21/'11b'!$B21*100</f>
        <v>111.90893169877407</v>
      </c>
      <c r="I21" s="10">
        <f>'11b'!I21/'11b'!$B21*100</f>
        <v>90.542907180385285</v>
      </c>
      <c r="J21" s="10">
        <f>'11b'!J21/'11b'!$B21*100</f>
        <v>88.616462346760073</v>
      </c>
      <c r="K21" s="10">
        <f>'11b'!K21/'11b'!$B21*100</f>
        <v>109.10683012259194</v>
      </c>
      <c r="L21" s="10">
        <f>'11b'!L21/'11b'!$B21*100</f>
        <v>99.649737302977243</v>
      </c>
      <c r="N21" s="19">
        <f t="shared" si="0"/>
        <v>191.48511996957427</v>
      </c>
      <c r="O21" s="19">
        <f t="shared" si="1"/>
        <v>13.837814855300467</v>
      </c>
      <c r="P21" s="19">
        <f t="shared" si="2"/>
        <v>119.63648743562865</v>
      </c>
      <c r="Q21" s="19">
        <f t="shared" si="3"/>
        <v>10.937846562995325</v>
      </c>
    </row>
    <row r="22" spans="1:17">
      <c r="A22" s="2">
        <v>1998</v>
      </c>
      <c r="B22" s="135">
        <f>'11b'!B22/'11b'!$B22*100</f>
        <v>100</v>
      </c>
      <c r="C22" s="10">
        <f>'11b'!C22/'11b'!$B22*100</f>
        <v>80.737018425460633</v>
      </c>
      <c r="D22" s="10">
        <f>'11b'!D22/'11b'!$B22*100</f>
        <v>82.412060301507537</v>
      </c>
      <c r="E22" s="10">
        <f>'11b'!E22/'11b'!$B22*100</f>
        <v>83.584589614740366</v>
      </c>
      <c r="F22" s="10">
        <f>'11b'!F22/'11b'!$B22*100</f>
        <v>84.087102177554442</v>
      </c>
      <c r="G22" s="10">
        <f>'11b'!G22/'11b'!$B22*100</f>
        <v>88.274706867671696</v>
      </c>
      <c r="H22" s="10">
        <f>'11b'!H22/'11b'!$B22*100</f>
        <v>112.89782244556115</v>
      </c>
      <c r="I22" s="10">
        <f>'11b'!I22/'11b'!$B22*100</f>
        <v>91.457286432160799</v>
      </c>
      <c r="J22" s="10">
        <f>'11b'!J22/'11b'!$B22*100</f>
        <v>86.264656616415408</v>
      </c>
      <c r="K22" s="10">
        <f>'11b'!K22/'11b'!$B22*100</f>
        <v>108.04020100502511</v>
      </c>
      <c r="L22" s="10">
        <f>'11b'!L22/'11b'!$B22*100</f>
        <v>96.314907872696821</v>
      </c>
      <c r="N22" s="19">
        <f t="shared" si="0"/>
        <v>184.67827692342226</v>
      </c>
      <c r="O22" s="19">
        <f t="shared" si="1"/>
        <v>13.589638586931672</v>
      </c>
      <c r="P22" s="19">
        <f t="shared" si="2"/>
        <v>110.83923245484706</v>
      </c>
      <c r="Q22" s="19">
        <f t="shared" si="3"/>
        <v>10.528021298175981</v>
      </c>
    </row>
    <row r="23" spans="1:17">
      <c r="A23" s="2">
        <v>1999</v>
      </c>
      <c r="B23" s="135">
        <f>'11b'!B23/'11b'!$B23*100</f>
        <v>100</v>
      </c>
      <c r="C23" s="10">
        <f>'11b'!C23/'11b'!$B23*100</f>
        <v>81.566068515497562</v>
      </c>
      <c r="D23" s="10">
        <f>'11b'!D23/'11b'!$B23*100</f>
        <v>80.750407830342567</v>
      </c>
      <c r="E23" s="10">
        <f>'11b'!E23/'11b'!$B23*100</f>
        <v>84.828711256117444</v>
      </c>
      <c r="F23" s="10">
        <f>'11b'!F23/'11b'!$B23*100</f>
        <v>84.013050570962477</v>
      </c>
      <c r="G23" s="10">
        <f>'11b'!G23/'11b'!$B23*100</f>
        <v>87.601957585644371</v>
      </c>
      <c r="H23" s="10">
        <f>'11b'!H23/'11b'!$B23*100</f>
        <v>115.00815660685156</v>
      </c>
      <c r="I23" s="10">
        <f>'11b'!I23/'11b'!$B23*100</f>
        <v>88.580750407830351</v>
      </c>
      <c r="J23" s="10">
        <f>'11b'!J23/'11b'!$B23*100</f>
        <v>85.807504078303424</v>
      </c>
      <c r="K23" s="10">
        <f>'11b'!K23/'11b'!$B23*100</f>
        <v>103.42577487765089</v>
      </c>
      <c r="L23" s="10">
        <f>'11b'!L23/'11b'!$B23*100</f>
        <v>95.43230016313214</v>
      </c>
      <c r="N23" s="19">
        <f t="shared" si="0"/>
        <v>193.94894203619782</v>
      </c>
      <c r="O23" s="19">
        <f t="shared" si="1"/>
        <v>13.926555282488122</v>
      </c>
      <c r="P23" s="19">
        <f t="shared" si="2"/>
        <v>107.48624820036</v>
      </c>
      <c r="Q23" s="19">
        <f t="shared" si="3"/>
        <v>10.367557484786857</v>
      </c>
    </row>
    <row r="24" spans="1:17">
      <c r="A24" s="2">
        <v>2000</v>
      </c>
      <c r="B24" s="135">
        <f>'11b'!B24/'11b'!$B24*100</f>
        <v>100</v>
      </c>
      <c r="C24" s="10">
        <f>'11b'!C24/'11b'!$B24*100</f>
        <v>80.824088748019022</v>
      </c>
      <c r="D24" s="10">
        <f>'11b'!D24/'11b'!$B24*100</f>
        <v>80.665610142630754</v>
      </c>
      <c r="E24" s="10">
        <f>'11b'!E24/'11b'!$B24*100</f>
        <v>83.993660855784469</v>
      </c>
      <c r="F24" s="10">
        <f>'11b'!F24/'11b'!$B24*100</f>
        <v>83.359746434231369</v>
      </c>
      <c r="G24" s="10">
        <f>'11b'!G24/'11b'!$B24*100</f>
        <v>87.638668779714735</v>
      </c>
      <c r="H24" s="10">
        <f>'11b'!H24/'11b'!$B24*100</f>
        <v>115.53090332805071</v>
      </c>
      <c r="I24" s="10">
        <f>'11b'!I24/'11b'!$B24*100</f>
        <v>87.797147385103017</v>
      </c>
      <c r="J24" s="10">
        <f>'11b'!J24/'11b'!$B24*100</f>
        <v>83.993660855784469</v>
      </c>
      <c r="K24" s="10">
        <f>'11b'!K24/'11b'!$B24*100</f>
        <v>104.75435816164817</v>
      </c>
      <c r="L24" s="10">
        <f>'11b'!L24/'11b'!$B24*100</f>
        <v>93.502377179080824</v>
      </c>
      <c r="N24" s="19">
        <f t="shared" si="0"/>
        <v>213.85821313488765</v>
      </c>
      <c r="O24" s="19">
        <f t="shared" si="1"/>
        <v>14.62389186006542</v>
      </c>
      <c r="P24" s="19">
        <f t="shared" si="2"/>
        <v>117.93621173344438</v>
      </c>
      <c r="Q24" s="19">
        <f t="shared" si="3"/>
        <v>10.859844001340184</v>
      </c>
    </row>
    <row r="25" spans="1:17">
      <c r="A25" s="2">
        <v>2001</v>
      </c>
      <c r="B25" s="135">
        <f>'11b'!B25/'11b'!$B25*100</f>
        <v>100</v>
      </c>
      <c r="C25" s="10">
        <f>'11b'!C25/'11b'!$B25*100</f>
        <v>79.21875</v>
      </c>
      <c r="D25" s="10">
        <f>'11b'!D25/'11b'!$B25*100</f>
        <v>79.84375</v>
      </c>
      <c r="E25" s="10">
        <f>'11b'!E25/'11b'!$B25*100</f>
        <v>85</v>
      </c>
      <c r="F25" s="10">
        <f>'11b'!F25/'11b'!$B25*100</f>
        <v>84.0625</v>
      </c>
      <c r="G25" s="10">
        <f>'11b'!G25/'11b'!$B25*100</f>
        <v>87.96875</v>
      </c>
      <c r="H25" s="10">
        <f>'11b'!H25/'11b'!$B25*100</f>
        <v>114.375</v>
      </c>
      <c r="I25" s="10">
        <f>'11b'!I25/'11b'!$B25*100</f>
        <v>88.28125</v>
      </c>
      <c r="J25" s="10">
        <f>'11b'!J25/'11b'!$B25*100</f>
        <v>86.71875</v>
      </c>
      <c r="K25" s="10">
        <f>'11b'!K25/'11b'!$B25*100</f>
        <v>107.96874999999999</v>
      </c>
      <c r="L25" s="10">
        <f>'11b'!L25/'11b'!$B25*100</f>
        <v>93.4375</v>
      </c>
      <c r="N25" s="19">
        <f t="shared" si="0"/>
        <v>208.8818359375</v>
      </c>
      <c r="O25" s="19">
        <f t="shared" si="1"/>
        <v>14.452744927435065</v>
      </c>
      <c r="P25" s="19">
        <f t="shared" si="2"/>
        <v>122.1591796875</v>
      </c>
      <c r="Q25" s="19">
        <f t="shared" si="3"/>
        <v>11.052564394180203</v>
      </c>
    </row>
    <row r="26" spans="1:17">
      <c r="A26" s="2">
        <v>2002</v>
      </c>
      <c r="B26" s="135">
        <f>'11b'!B26/'11b'!$B26*100</f>
        <v>100</v>
      </c>
      <c r="C26" s="10">
        <f>'11b'!C26/'11b'!$B26*100</f>
        <v>80.15625</v>
      </c>
      <c r="D26" s="10">
        <f>'11b'!D26/'11b'!$B26*100</f>
        <v>80.9375</v>
      </c>
      <c r="E26" s="10">
        <f>'11b'!E26/'11b'!$B26*100</f>
        <v>86.25</v>
      </c>
      <c r="F26" s="10">
        <f>'11b'!F26/'11b'!$B26*100</f>
        <v>82.1875</v>
      </c>
      <c r="G26" s="10">
        <f>'11b'!G26/'11b'!$B26*100</f>
        <v>88.75</v>
      </c>
      <c r="H26" s="10">
        <f>'11b'!H26/'11b'!$B26*100</f>
        <v>113.90625000000001</v>
      </c>
      <c r="I26" s="10">
        <f>'11b'!I26/'11b'!$B26*100</f>
        <v>88.4375</v>
      </c>
      <c r="J26" s="10">
        <f>'11b'!J26/'11b'!$B26*100</f>
        <v>86.25</v>
      </c>
      <c r="K26" s="10">
        <f>'11b'!K26/'11b'!$B26*100</f>
        <v>105.62499999999999</v>
      </c>
      <c r="L26" s="10">
        <f>'11b'!L26/'11b'!$B26*100</f>
        <v>94.6875</v>
      </c>
      <c r="N26" s="19">
        <f t="shared" si="0"/>
        <v>196.60644531250003</v>
      </c>
      <c r="O26" s="19">
        <f t="shared" si="1"/>
        <v>14.021642033388957</v>
      </c>
      <c r="P26" s="19">
        <f t="shared" si="2"/>
        <v>110.46484375000001</v>
      </c>
      <c r="Q26" s="19">
        <f t="shared" si="3"/>
        <v>10.510225675502882</v>
      </c>
    </row>
    <row r="27" spans="1:17">
      <c r="A27" s="2">
        <v>2003</v>
      </c>
      <c r="B27" s="135">
        <f>'11b'!B27/'11b'!$B27*100</f>
        <v>100</v>
      </c>
      <c r="C27" s="10">
        <f>'11b'!C27/'11b'!$B27*100</f>
        <v>80.062794348508632</v>
      </c>
      <c r="D27" s="10">
        <f>'11b'!D27/'11b'!$B27*100</f>
        <v>82.260596546310822</v>
      </c>
      <c r="E27" s="10">
        <f>'11b'!E27/'11b'!$B27*100</f>
        <v>84.615384615384613</v>
      </c>
      <c r="F27" s="10">
        <f>'11b'!F27/'11b'!$B27*100</f>
        <v>83.045525902668757</v>
      </c>
      <c r="G27" s="10">
        <f>'11b'!G27/'11b'!$B27*100</f>
        <v>88.383045525902673</v>
      </c>
      <c r="H27" s="10">
        <f>'11b'!H27/'11b'!$B27*100</f>
        <v>113.9717425431711</v>
      </c>
      <c r="I27" s="10">
        <f>'11b'!I27/'11b'!$B27*100</f>
        <v>89.481946624803768</v>
      </c>
      <c r="J27" s="10">
        <f>'11b'!J27/'11b'!$B27*100</f>
        <v>87.912087912087912</v>
      </c>
      <c r="K27" s="10">
        <f>'11b'!K27/'11b'!$B27*100</f>
        <v>107.22135007849293</v>
      </c>
      <c r="L27" s="10">
        <f>'11b'!L27/'11b'!$B27*100</f>
        <v>93.092621664050228</v>
      </c>
      <c r="N27" s="19">
        <f t="shared" si="0"/>
        <v>192.30892453588129</v>
      </c>
      <c r="O27" s="19">
        <f t="shared" si="1"/>
        <v>13.867549334178742</v>
      </c>
      <c r="P27" s="19">
        <f t="shared" si="2"/>
        <v>111.39367472626152</v>
      </c>
      <c r="Q27" s="19">
        <f t="shared" si="3"/>
        <v>10.554320192521237</v>
      </c>
    </row>
    <row r="28" spans="1:17">
      <c r="A28" s="120">
        <v>2004</v>
      </c>
      <c r="B28" s="135">
        <f>'11b'!B28/'11b'!$B28*100</f>
        <v>100</v>
      </c>
      <c r="C28" s="10">
        <f>'11b'!C28/'11b'!$B28*100</f>
        <v>79.320987654320987</v>
      </c>
      <c r="D28" s="10">
        <f>'11b'!D28/'11b'!$B28*100</f>
        <v>82.716049382716051</v>
      </c>
      <c r="E28" s="10">
        <f>'11b'!E28/'11b'!$B28*100</f>
        <v>84.104938271604937</v>
      </c>
      <c r="F28" s="10">
        <f>'11b'!F28/'11b'!$B28*100</f>
        <v>82.716049382716051</v>
      </c>
      <c r="G28" s="10">
        <f>'11b'!G28/'11b'!$B28*100</f>
        <v>88.73456790123457</v>
      </c>
      <c r="H28" s="10">
        <f>'11b'!H28/'11b'!$B28*100</f>
        <v>112.80864197530865</v>
      </c>
      <c r="I28" s="10">
        <f>'11b'!I28/'11b'!$B28*100</f>
        <v>89.351851851851848</v>
      </c>
      <c r="J28" s="10">
        <f>'11b'!J28/'11b'!$B28*100</f>
        <v>85.493827160493822</v>
      </c>
      <c r="K28" s="10">
        <f>'11b'!K28/'11b'!$B28*100</f>
        <v>109.25925925925925</v>
      </c>
      <c r="L28" s="10">
        <f>'11b'!L28/'11b'!$B28*100</f>
        <v>94.753086419753089</v>
      </c>
      <c r="N28" s="19">
        <f t="shared" si="0"/>
        <v>200.57918000304829</v>
      </c>
      <c r="O28" s="19">
        <f t="shared" si="1"/>
        <v>14.162597925629616</v>
      </c>
      <c r="P28" s="19">
        <f t="shared" si="2"/>
        <v>118.24035970126396</v>
      </c>
      <c r="Q28" s="19">
        <f t="shared" si="3"/>
        <v>10.873838315023079</v>
      </c>
    </row>
    <row r="29" spans="1:17">
      <c r="A29" s="120">
        <v>2005</v>
      </c>
      <c r="B29" s="135">
        <f>'11b'!B29/'11b'!$B29*100</f>
        <v>100</v>
      </c>
      <c r="C29" s="10">
        <f>'11b'!C29/'11b'!$B29*100</f>
        <v>81.957186544342505</v>
      </c>
      <c r="D29" s="10">
        <f>'11b'!D29/'11b'!$B29*100</f>
        <v>82.262996941896034</v>
      </c>
      <c r="E29" s="10">
        <f>'11b'!E29/'11b'!$B29*100</f>
        <v>85.62691131498471</v>
      </c>
      <c r="F29" s="10">
        <f>'11b'!F29/'11b'!$B29*100</f>
        <v>80.581039755351682</v>
      </c>
      <c r="G29" s="10">
        <f>'11b'!G29/'11b'!$B29*100</f>
        <v>86.238532110091754</v>
      </c>
      <c r="H29" s="10">
        <f>'11b'!H29/'11b'!$B29*100</f>
        <v>112.07951070336391</v>
      </c>
      <c r="I29" s="10">
        <f>'11b'!I29/'11b'!$B29*100</f>
        <v>90.061162079510709</v>
      </c>
      <c r="J29" s="10">
        <f>'11b'!J29/'11b'!$B29*100</f>
        <v>88.532110091743121</v>
      </c>
      <c r="K29" s="10">
        <f>'11b'!K29/'11b'!$B29*100</f>
        <v>112.53822629969419</v>
      </c>
      <c r="L29" s="10">
        <f>'11b'!L29/'11b'!$B29*100</f>
        <v>96.788990825688074</v>
      </c>
      <c r="N29" s="19">
        <f>SUM(C105:L105)/10</f>
        <v>195.69293643445641</v>
      </c>
      <c r="O29" s="19">
        <f t="shared" si="1"/>
        <v>13.989029145528878</v>
      </c>
      <c r="P29" s="19"/>
      <c r="Q29" s="19"/>
    </row>
    <row r="30" spans="1:17">
      <c r="A30" s="2">
        <v>2006</v>
      </c>
      <c r="B30" s="135">
        <f>'11b'!B30/'11b'!$B30*100</f>
        <v>100</v>
      </c>
      <c r="C30" s="10">
        <f>'11b'!C30/'11b'!$B30*100</f>
        <v>82.959641255605376</v>
      </c>
      <c r="D30" s="10">
        <f>'11b'!D30/'11b'!$B30*100</f>
        <v>83.408071748878925</v>
      </c>
      <c r="E30" s="10">
        <f>'11b'!E30/'11b'!$B30*100</f>
        <v>85.650224215246638</v>
      </c>
      <c r="F30" s="10">
        <f>'11b'!F30/'11b'!$B30*100</f>
        <v>81.016442451420033</v>
      </c>
      <c r="G30" s="10">
        <f>'11b'!G30/'11b'!$B30*100</f>
        <v>85.949177877428994</v>
      </c>
      <c r="H30" s="10">
        <f>'11b'!H30/'11b'!$B30*100</f>
        <v>109.86547085201795</v>
      </c>
      <c r="I30" s="10">
        <f>'11b'!I30/'11b'!$B30*100</f>
        <v>89.985052316890872</v>
      </c>
      <c r="J30" s="10">
        <f>'11b'!J30/'11b'!$B30*100</f>
        <v>91.330343796711517</v>
      </c>
      <c r="K30" s="10">
        <f>'11b'!K30/'11b'!$B30*100</f>
        <v>118.8340807174888</v>
      </c>
      <c r="L30" s="10">
        <f>'11b'!L30/'11b'!$B30*100</f>
        <v>97.757847533632287</v>
      </c>
      <c r="N30" s="19">
        <f>SUM(C106:L106)/10</f>
        <v>196.19225088870576</v>
      </c>
      <c r="O30" s="19">
        <f>SQRT(N30)</f>
        <v>14.006864420301417</v>
      </c>
      <c r="P30" s="19"/>
      <c r="Q30" s="19"/>
    </row>
    <row r="31" spans="1:17" s="961" customFormat="1">
      <c r="A31" s="2">
        <v>2007</v>
      </c>
      <c r="B31" s="135">
        <f>'11b'!B31/'11b'!$B31*100</f>
        <v>100</v>
      </c>
      <c r="C31" s="10">
        <f>'11b'!C31/'11b'!$B31*100</f>
        <v>86.04651162790698</v>
      </c>
      <c r="D31" s="10">
        <f>'11b'!D31/'11b'!$B31*100</f>
        <v>82.412790697674424</v>
      </c>
      <c r="E31" s="10">
        <f>'11b'!E31/'11b'!$B31*100</f>
        <v>84.593023255813947</v>
      </c>
      <c r="F31" s="10">
        <f>'11b'!F31/'11b'!$B31*100</f>
        <v>81.831395348837205</v>
      </c>
      <c r="G31" s="10">
        <f>'11b'!G31/'11b'!$B31*100</f>
        <v>84.447674418604649</v>
      </c>
      <c r="H31" s="10">
        <f>'11b'!H31/'11b'!$B31*100</f>
        <v>109.88372093023256</v>
      </c>
      <c r="I31" s="10">
        <f>'11b'!I31/'11b'!$B31*100</f>
        <v>92.732558139534888</v>
      </c>
      <c r="J31" s="10">
        <f>'11b'!J31/'11b'!$B31*100</f>
        <v>93.45930232558139</v>
      </c>
      <c r="K31" s="10">
        <f>'11b'!K31/'11b'!$B31*100</f>
        <v>120.93023255813952</v>
      </c>
      <c r="L31" s="10">
        <f>'11b'!L31/'11b'!$B31*100</f>
        <v>97.819767441860463</v>
      </c>
      <c r="N31" s="19">
        <f>SUM(C107:L107)/10</f>
        <v>194.94701527852885</v>
      </c>
      <c r="O31" s="19">
        <f>SQRT(N31)</f>
        <v>13.962342757522064</v>
      </c>
      <c r="P31" s="19"/>
      <c r="Q31" s="19"/>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((((B13/B5))^(1/8))-1)*100</f>
        <v>0</v>
      </c>
      <c r="C33" s="959">
        <f t="shared" ref="C33:L33" si="4">((((C13/C5))^(1/8))-1)*100</f>
        <v>-0.70011496562875086</v>
      </c>
      <c r="D33" s="959">
        <f t="shared" si="4"/>
        <v>0.54300016610306923</v>
      </c>
      <c r="E33" s="959">
        <f t="shared" si="4"/>
        <v>0.65020218203066804</v>
      </c>
      <c r="F33" s="959">
        <f t="shared" si="4"/>
        <v>0.29032742501620135</v>
      </c>
      <c r="G33" s="959">
        <f t="shared" si="4"/>
        <v>-0.37858927562992584</v>
      </c>
      <c r="H33" s="959">
        <f t="shared" si="4"/>
        <v>0.99785199531228219</v>
      </c>
      <c r="I33" s="959">
        <f t="shared" si="4"/>
        <v>5.5581081115607667E-2</v>
      </c>
      <c r="J33" s="959">
        <f t="shared" si="4"/>
        <v>-1.5195822199976727</v>
      </c>
      <c r="K33" s="959">
        <f t="shared" si="4"/>
        <v>-1.5614612757095747</v>
      </c>
      <c r="L33" s="959">
        <f t="shared" si="4"/>
        <v>-0.99004725659216364</v>
      </c>
      <c r="M33" s="959"/>
      <c r="N33" s="959">
        <f>((((N13/N5))^(1/8))-1)*100</f>
        <v>0.29310647573010939</v>
      </c>
      <c r="O33" s="959">
        <f>((((O13/O5))^(1/8))-1)*100</f>
        <v>0.14644600570212774</v>
      </c>
      <c r="P33" s="959">
        <f>((((P13/P5))^(1/8))-1)*100</f>
        <v>-3.5183017989284249</v>
      </c>
      <c r="Q33" s="959">
        <f>((((Q13/Q5))^(1/8))-1)*100</f>
        <v>-1.7749022901623279</v>
      </c>
    </row>
    <row r="34" spans="1:17" s="114" customFormat="1">
      <c r="A34" s="431" t="s">
        <v>604</v>
      </c>
      <c r="B34" s="959">
        <f>((((B24/B13))^(1/11))-1)*100</f>
        <v>0</v>
      </c>
      <c r="C34" s="959">
        <f t="shared" ref="C34:L34" si="5">((((C24/C13))^(1/11))-1)*100</f>
        <v>-0.61322324519568205</v>
      </c>
      <c r="D34" s="959">
        <f t="shared" si="5"/>
        <v>-3.1385473185729929E-2</v>
      </c>
      <c r="E34" s="959">
        <f t="shared" si="5"/>
        <v>-0.26506579759354443</v>
      </c>
      <c r="F34" s="959">
        <f t="shared" si="5"/>
        <v>-7.3759031351516846E-2</v>
      </c>
      <c r="G34" s="959">
        <f t="shared" si="5"/>
        <v>-0.21511141238566012</v>
      </c>
      <c r="H34" s="959">
        <f t="shared" si="5"/>
        <v>0.1078300091593265</v>
      </c>
      <c r="I34" s="959">
        <f t="shared" si="5"/>
        <v>-0.34561076250274603</v>
      </c>
      <c r="J34" s="959">
        <f t="shared" si="5"/>
        <v>-9.2538698343025416E-2</v>
      </c>
      <c r="K34" s="959">
        <f t="shared" si="5"/>
        <v>0.55804628622033725</v>
      </c>
      <c r="L34" s="959">
        <f t="shared" si="5"/>
        <v>-0.33968598059831434</v>
      </c>
      <c r="M34" s="959"/>
      <c r="N34" s="959">
        <f>((((N24/N13))^(1/11))-1)*100</f>
        <v>2.6326415584377205</v>
      </c>
      <c r="O34" s="959">
        <f>((((O24/O13))^(1/11))-1)*100</f>
        <v>1.3077694742302137</v>
      </c>
      <c r="P34" s="959"/>
      <c r="Q34" s="959"/>
    </row>
    <row r="35" spans="1:17" s="114" customFormat="1">
      <c r="A35" s="431" t="s">
        <v>819</v>
      </c>
      <c r="B35" s="23">
        <f t="shared" ref="B35:L35" si="6">((((B30/B5))^(1/25))-1)*100</f>
        <v>0</v>
      </c>
      <c r="C35" s="23">
        <f t="shared" si="6"/>
        <v>-0.39039286220933223</v>
      </c>
      <c r="D35" s="23">
        <f t="shared" si="6"/>
        <v>0.29363949116856247</v>
      </c>
      <c r="E35" s="23">
        <f t="shared" si="6"/>
        <v>0.16887187768646061</v>
      </c>
      <c r="F35" s="23">
        <f t="shared" si="6"/>
        <v>-5.3734969235774699E-2</v>
      </c>
      <c r="G35" s="23">
        <f t="shared" si="6"/>
        <v>-0.29356233835783341</v>
      </c>
      <c r="H35" s="23">
        <f t="shared" si="6"/>
        <v>0.16415853776305944</v>
      </c>
      <c r="I35" s="23">
        <f t="shared" si="6"/>
        <v>-3.6086363933474086E-2</v>
      </c>
      <c r="J35" s="23">
        <f t="shared" si="6"/>
        <v>-0.19557613721957745</v>
      </c>
      <c r="K35" s="23">
        <f t="shared" si="6"/>
        <v>0.24599040277220041</v>
      </c>
      <c r="L35" s="23">
        <f t="shared" si="6"/>
        <v>-0.28966331491073749</v>
      </c>
      <c r="M35" s="23"/>
      <c r="N35" s="23">
        <f>((((N30/N5))^(1/25))-1)*100</f>
        <v>0.89615270205849473</v>
      </c>
      <c r="O35" s="23">
        <f>((((O30/O5))^(1/25))-1)*100</f>
        <v>0.44707696197958668</v>
      </c>
      <c r="P35" s="959"/>
      <c r="Q35" s="959"/>
    </row>
    <row r="36" spans="1:17" s="114" customFormat="1">
      <c r="A36" s="431" t="s">
        <v>447</v>
      </c>
      <c r="B36" s="23">
        <f>((((B31/B5))^(1/26))-1)*100</f>
        <v>0</v>
      </c>
      <c r="C36" s="23">
        <f t="shared" ref="C36:L36" si="7">((((C31/C5))^(1/26))-1)*100</f>
        <v>-0.23532067702719539</v>
      </c>
      <c r="D36" s="23">
        <f t="shared" si="7"/>
        <v>0.23603916050083384</v>
      </c>
      <c r="E36" s="23">
        <f t="shared" si="7"/>
        <v>0.11453598694135536</v>
      </c>
      <c r="F36" s="23">
        <f t="shared" si="7"/>
        <v>-1.3185684520489183E-2</v>
      </c>
      <c r="G36" s="23">
        <f t="shared" si="7"/>
        <v>-0.34985803170888286</v>
      </c>
      <c r="H36" s="23">
        <f t="shared" si="7"/>
        <v>0.15847962100656865</v>
      </c>
      <c r="I36" s="23">
        <f t="shared" si="7"/>
        <v>8.1005257219168847E-2</v>
      </c>
      <c r="J36" s="23">
        <f t="shared" si="7"/>
        <v>-9.9561642964451913E-2</v>
      </c>
      <c r="K36" s="23">
        <f t="shared" si="7"/>
        <v>0.30395189899807828</v>
      </c>
      <c r="L36" s="23">
        <f t="shared" si="7"/>
        <v>-0.27610931652550796</v>
      </c>
      <c r="M36" s="23"/>
      <c r="N36" s="23">
        <f>((((N31/N5))^(1/26))-1)*100</f>
        <v>0.83683988279095178</v>
      </c>
      <c r="O36" s="23">
        <f>((((O31/O5))^(1/26))-1)*100</f>
        <v>0.41754820886186206</v>
      </c>
      <c r="P36" s="959"/>
      <c r="Q36" s="959"/>
    </row>
    <row r="37" spans="1:17" s="114" customFormat="1">
      <c r="A37" s="431" t="s">
        <v>818</v>
      </c>
      <c r="B37" s="959">
        <f t="shared" ref="B37:L37" si="8">((((B30/B24))^(1/6))-1)*100</f>
        <v>0</v>
      </c>
      <c r="C37" s="959">
        <f t="shared" si="8"/>
        <v>0.43559916101680862</v>
      </c>
      <c r="D37" s="959">
        <f t="shared" si="8"/>
        <v>0.55876778688050965</v>
      </c>
      <c r="E37" s="959">
        <f t="shared" si="8"/>
        <v>0.32603889737730096</v>
      </c>
      <c r="F37" s="959">
        <f t="shared" si="8"/>
        <v>-0.47409608122869207</v>
      </c>
      <c r="G37" s="959">
        <f t="shared" si="8"/>
        <v>-0.3239102470679267</v>
      </c>
      <c r="H37" s="959">
        <f t="shared" si="8"/>
        <v>-0.83452220826353285</v>
      </c>
      <c r="I37" s="959">
        <f t="shared" si="8"/>
        <v>0.41108533010854043</v>
      </c>
      <c r="J37" s="959">
        <f t="shared" si="8"/>
        <v>1.40548122415316</v>
      </c>
      <c r="K37" s="959">
        <f t="shared" si="8"/>
        <v>2.1240787356056945</v>
      </c>
      <c r="L37" s="959">
        <f t="shared" si="8"/>
        <v>0.74453492985779857</v>
      </c>
      <c r="M37" s="959"/>
      <c r="N37" s="959">
        <f>((((N30/N24))^(1/6))-1)*100</f>
        <v>-1.4266946913168432</v>
      </c>
      <c r="O37" s="959">
        <f>((((O30/O24))^(1/6))-1)*100</f>
        <v>-0.71590998116407567</v>
      </c>
      <c r="P37" s="959">
        <f>((((P24/P13))^(1/11))-1)*100</f>
        <v>2.9236759631347642</v>
      </c>
      <c r="Q37" s="959">
        <f>((((Q24/Q13))^(1/11))-1)*100</f>
        <v>1.4513065283709103</v>
      </c>
    </row>
    <row r="38" spans="1:17" s="114" customFormat="1">
      <c r="A38" s="431" t="s">
        <v>449</v>
      </c>
      <c r="B38" s="959">
        <f>((((B31/B24))^(1/7))-1)*100</f>
        <v>0</v>
      </c>
      <c r="C38" s="959">
        <f t="shared" ref="C38:L38" si="9">((((C31/C24))^(1/7))-1)*100</f>
        <v>0.89848282384599187</v>
      </c>
      <c r="D38" s="959">
        <f t="shared" si="9"/>
        <v>0.30658776166720969</v>
      </c>
      <c r="E38" s="959">
        <f t="shared" si="9"/>
        <v>0.10162969076628059</v>
      </c>
      <c r="F38" s="959">
        <f t="shared" si="9"/>
        <v>-0.26400175780747492</v>
      </c>
      <c r="G38" s="959">
        <f t="shared" si="9"/>
        <v>-0.52845900303211124</v>
      </c>
      <c r="H38" s="959">
        <f t="shared" si="9"/>
        <v>-0.71337660574244399</v>
      </c>
      <c r="I38" s="959">
        <f t="shared" si="9"/>
        <v>0.78435465901613988</v>
      </c>
      <c r="J38" s="959">
        <f t="shared" si="9"/>
        <v>1.5371914073574189</v>
      </c>
      <c r="K38" s="959">
        <f t="shared" si="9"/>
        <v>2.0725512071730012</v>
      </c>
      <c r="L38" s="959">
        <f t="shared" si="9"/>
        <v>0.6469381969173682</v>
      </c>
      <c r="M38" s="959"/>
      <c r="N38" s="959">
        <f>((((N31/N24))^(1/7))-1)*100</f>
        <v>-1.3139405036183383</v>
      </c>
      <c r="O38" s="959">
        <f>((((O31/O24))^(1/7))-1)*100</f>
        <v>-0.65914259662257502</v>
      </c>
      <c r="P38" s="23">
        <f>((((P28/P5))^(1/23))-1)*100</f>
        <v>0.14372701160998425</v>
      </c>
      <c r="Q38" s="23">
        <f>((((Q28/Q5))^(1/23))-1)*100</f>
        <v>7.1837702527455249E-2</v>
      </c>
    </row>
    <row r="39" spans="1:17" s="114" customFormat="1">
      <c r="A39" s="431"/>
      <c r="D39" s="959" t="s">
        <v>276</v>
      </c>
      <c r="M39" s="959"/>
      <c r="P39" s="959">
        <f>((((P28/P24))^(1/4))-1)*100</f>
        <v>6.4410723638452794E-2</v>
      </c>
      <c r="Q39" s="959">
        <f>((((Q28/Q24))^(1/4))-1)*100</f>
        <v>3.2200177562047294E-2</v>
      </c>
    </row>
    <row r="40" spans="1:17" s="114" customFormat="1">
      <c r="A40" s="431" t="s">
        <v>819</v>
      </c>
      <c r="B40" s="10">
        <f t="shared" ref="B40:L40" si="10">(B30/B5-1)*100</f>
        <v>0</v>
      </c>
      <c r="C40" s="10">
        <f t="shared" si="10"/>
        <v>-9.3159973611911422</v>
      </c>
      <c r="D40" s="10">
        <f t="shared" si="10"/>
        <v>7.6055782782240122</v>
      </c>
      <c r="E40" s="10">
        <f t="shared" si="10"/>
        <v>4.3084680795638652</v>
      </c>
      <c r="F40" s="10">
        <f t="shared" si="10"/>
        <v>-1.3347474709884621</v>
      </c>
      <c r="G40" s="10">
        <f t="shared" si="10"/>
        <v>-7.0862478562600089</v>
      </c>
      <c r="H40" s="10">
        <f t="shared" si="10"/>
        <v>4.185834232850616</v>
      </c>
      <c r="I40" s="10">
        <f t="shared" si="10"/>
        <v>-0.89826320822713468</v>
      </c>
      <c r="J40" s="10">
        <f t="shared" si="10"/>
        <v>-4.7763555796275892</v>
      </c>
      <c r="K40" s="10">
        <f t="shared" si="10"/>
        <v>6.3347643005578158</v>
      </c>
      <c r="L40" s="10">
        <f t="shared" si="10"/>
        <v>-6.9953703367226066</v>
      </c>
      <c r="M40" s="10"/>
      <c r="N40" s="10">
        <f>(N30/N5-1)*100</f>
        <v>24.987090606745532</v>
      </c>
      <c r="O40" s="10">
        <f>(O30/O5-1)*100</f>
        <v>11.797625469750251</v>
      </c>
    </row>
    <row r="41" spans="1:17" s="114" customFormat="1">
      <c r="A41" s="431" t="s">
        <v>447</v>
      </c>
      <c r="B41" s="10">
        <f>(B31/B5-1)*100</f>
        <v>0</v>
      </c>
      <c r="C41" s="10">
        <f t="shared" ref="C41:L41" si="11">(C31/C5-1)*100</f>
        <v>-5.9417088909098688</v>
      </c>
      <c r="D41" s="10">
        <f t="shared" si="11"/>
        <v>6.321556350626123</v>
      </c>
      <c r="E41" s="10">
        <f t="shared" si="11"/>
        <v>3.0209640065617993</v>
      </c>
      <c r="F41" s="10">
        <f t="shared" si="11"/>
        <v>-0.34226334073145237</v>
      </c>
      <c r="G41" s="10">
        <f t="shared" si="11"/>
        <v>-8.709420103644705</v>
      </c>
      <c r="H41" s="10">
        <f t="shared" si="11"/>
        <v>4.2031408498327982</v>
      </c>
      <c r="I41" s="10">
        <f t="shared" si="11"/>
        <v>2.1276015532963877</v>
      </c>
      <c r="J41" s="10">
        <f t="shared" si="11"/>
        <v>-2.5566421578751664</v>
      </c>
      <c r="K41" s="10">
        <f t="shared" si="11"/>
        <v>8.210436755530349</v>
      </c>
      <c r="L41" s="10">
        <f t="shared" si="11"/>
        <v>-6.9364611209528526</v>
      </c>
      <c r="M41" s="10"/>
      <c r="N41" s="10">
        <f>(N31/N5-1)*100</f>
        <v>24.193795380604222</v>
      </c>
      <c r="O41" s="10">
        <f>(O31/O5-1)*100</f>
        <v>11.442269978946594</v>
      </c>
      <c r="P41" s="10">
        <f>(P28/P5-1)*100</f>
        <v>3.3585142406772572</v>
      </c>
      <c r="Q41" s="10">
        <f>(Q28/Q5-1)*100</f>
        <v>1.665389509251014</v>
      </c>
    </row>
    <row r="42" spans="1:17">
      <c r="A42" s="4"/>
      <c r="N42" s="644"/>
      <c r="O42" s="644"/>
      <c r="P42" s="644"/>
      <c r="Q42" s="644"/>
    </row>
    <row r="43" spans="1:17">
      <c r="A43" s="9" t="s">
        <v>1308</v>
      </c>
      <c r="N43" s="10"/>
      <c r="O43" s="10"/>
      <c r="P43" s="10"/>
      <c r="Q43" s="10"/>
    </row>
    <row r="44" spans="1:17" ht="37.5" customHeight="1">
      <c r="A44" s="1168" t="s">
        <v>233</v>
      </c>
      <c r="B44" s="1169"/>
      <c r="C44" s="1169"/>
      <c r="D44" s="1169"/>
      <c r="E44" s="1169"/>
      <c r="F44" s="1169"/>
      <c r="G44" s="1169"/>
      <c r="H44" s="1169"/>
      <c r="I44" s="1169"/>
      <c r="J44" s="1169"/>
      <c r="K44" s="1169"/>
      <c r="L44" s="1169"/>
      <c r="N44" s="10"/>
      <c r="O44" s="10"/>
      <c r="P44" s="10"/>
      <c r="Q44" s="10"/>
    </row>
    <row r="45" spans="1:17" ht="40.5" customHeight="1">
      <c r="A45" s="1168" t="s">
        <v>978</v>
      </c>
      <c r="B45" s="1169"/>
      <c r="C45" s="1169"/>
      <c r="D45" s="1169"/>
      <c r="E45" s="1169"/>
      <c r="F45" s="1169"/>
      <c r="G45" s="1169"/>
      <c r="H45" s="1169"/>
      <c r="I45" s="1169"/>
      <c r="J45" s="1169"/>
      <c r="K45" s="1169"/>
      <c r="L45" s="1169"/>
      <c r="N45" s="10"/>
      <c r="O45" s="10"/>
      <c r="P45" s="10"/>
      <c r="Q45" s="10"/>
    </row>
    <row r="50" spans="2:12">
      <c r="B50" s="1" t="s">
        <v>278</v>
      </c>
    </row>
    <row r="51" spans="2:12">
      <c r="B51" s="1" t="s">
        <v>279</v>
      </c>
    </row>
    <row r="52" spans="2:12">
      <c r="B52" s="1">
        <v>1981</v>
      </c>
      <c r="C52" s="300">
        <f>C5-$B5</f>
        <v>-8.5178875638841589</v>
      </c>
      <c r="D52" s="300">
        <f t="shared" ref="D52:L52" si="12">D5-$B5</f>
        <v>-22.487223168654168</v>
      </c>
      <c r="E52" s="300">
        <f t="shared" si="12"/>
        <v>-17.887563884156734</v>
      </c>
      <c r="F52" s="300">
        <f t="shared" si="12"/>
        <v>-17.887563884156734</v>
      </c>
      <c r="G52" s="300">
        <f t="shared" si="12"/>
        <v>-7.4957410562180513</v>
      </c>
      <c r="H52" s="300">
        <f t="shared" si="12"/>
        <v>5.4514480408858645</v>
      </c>
      <c r="I52" s="300">
        <f t="shared" si="12"/>
        <v>-9.1993185689948831</v>
      </c>
      <c r="J52" s="300">
        <f t="shared" si="12"/>
        <v>-4.088586030664402</v>
      </c>
      <c r="K52" s="300">
        <f t="shared" si="12"/>
        <v>11.754684838160131</v>
      </c>
      <c r="L52" s="300">
        <f t="shared" si="12"/>
        <v>5.1107325383304953</v>
      </c>
    </row>
    <row r="53" spans="2:12">
      <c r="B53" s="1">
        <v>1982</v>
      </c>
      <c r="C53" s="300">
        <f t="shared" ref="C53:L68" si="13">C6-$B6</f>
        <v>-10.296684118673653</v>
      </c>
      <c r="D53" s="300">
        <f t="shared" si="13"/>
        <v>-20.244328097731241</v>
      </c>
      <c r="E53" s="300">
        <f t="shared" si="13"/>
        <v>-16.055846422338576</v>
      </c>
      <c r="F53" s="300">
        <f t="shared" si="13"/>
        <v>-17.102966841186742</v>
      </c>
      <c r="G53" s="300">
        <f t="shared" si="13"/>
        <v>-7.8534031413612553</v>
      </c>
      <c r="H53" s="300">
        <f t="shared" si="13"/>
        <v>4.8865619546247814</v>
      </c>
      <c r="I53" s="300">
        <f t="shared" si="13"/>
        <v>-7.6788830715532299</v>
      </c>
      <c r="J53" s="300">
        <f t="shared" si="13"/>
        <v>-4.5375218150087306</v>
      </c>
      <c r="K53" s="300">
        <f t="shared" si="13"/>
        <v>16.230366492146601</v>
      </c>
      <c r="L53" s="300">
        <f t="shared" si="13"/>
        <v>4.0139616055846545</v>
      </c>
    </row>
    <row r="54" spans="2:12">
      <c r="B54" s="1">
        <v>1983</v>
      </c>
      <c r="C54" s="300">
        <f t="shared" si="13"/>
        <v>-16.428571428571431</v>
      </c>
      <c r="D54" s="300">
        <f t="shared" si="13"/>
        <v>-14.464285714285722</v>
      </c>
      <c r="E54" s="300">
        <f t="shared" si="13"/>
        <v>-13.928571428571416</v>
      </c>
      <c r="F54" s="300">
        <f t="shared" si="13"/>
        <v>-18.928571428571431</v>
      </c>
      <c r="G54" s="300">
        <f t="shared" si="13"/>
        <v>-7.3214285714285694</v>
      </c>
      <c r="H54" s="300">
        <f t="shared" si="13"/>
        <v>7.3214285714285694</v>
      </c>
      <c r="I54" s="300">
        <f t="shared" si="13"/>
        <v>-3.75</v>
      </c>
      <c r="J54" s="300">
        <f t="shared" si="13"/>
        <v>-6.0714285714285694</v>
      </c>
      <c r="K54" s="300">
        <f t="shared" si="13"/>
        <v>7.6785714285714164</v>
      </c>
      <c r="L54" s="300">
        <f t="shared" si="13"/>
        <v>1.9642857142857082</v>
      </c>
    </row>
    <row r="55" spans="2:12">
      <c r="B55" s="1">
        <v>1984</v>
      </c>
      <c r="C55" s="300">
        <f t="shared" si="13"/>
        <v>-14.795008912655973</v>
      </c>
      <c r="D55" s="300">
        <f t="shared" si="13"/>
        <v>-17.290552584670223</v>
      </c>
      <c r="E55" s="300">
        <f t="shared" si="13"/>
        <v>-11.942959001782526</v>
      </c>
      <c r="F55" s="300">
        <f t="shared" si="13"/>
        <v>-13.190730837789673</v>
      </c>
      <c r="G55" s="300">
        <f t="shared" si="13"/>
        <v>-5.8823529411764781</v>
      </c>
      <c r="H55" s="300">
        <f t="shared" si="13"/>
        <v>8.5561497326203124</v>
      </c>
      <c r="I55" s="300">
        <f t="shared" si="13"/>
        <v>-5.5258467023172955</v>
      </c>
      <c r="J55" s="300">
        <f t="shared" si="13"/>
        <v>-7.6648841354723771</v>
      </c>
      <c r="K55" s="300">
        <f t="shared" si="13"/>
        <v>3.565062388591798</v>
      </c>
      <c r="L55" s="300">
        <f t="shared" si="13"/>
        <v>-1.9607843137254974</v>
      </c>
    </row>
    <row r="56" spans="2:12">
      <c r="B56" s="1">
        <v>1985</v>
      </c>
      <c r="C56" s="300">
        <f t="shared" si="13"/>
        <v>-15.853658536585371</v>
      </c>
      <c r="D56" s="300">
        <f t="shared" si="13"/>
        <v>-18.466898954703836</v>
      </c>
      <c r="E56" s="300">
        <f t="shared" si="13"/>
        <v>-8.710801393728218</v>
      </c>
      <c r="F56" s="300">
        <f t="shared" si="13"/>
        <v>-14.111498257839713</v>
      </c>
      <c r="G56" s="300">
        <f t="shared" si="13"/>
        <v>-7.8397212543553962</v>
      </c>
      <c r="H56" s="300">
        <f t="shared" si="13"/>
        <v>9.5818815331010398</v>
      </c>
      <c r="I56" s="300">
        <f t="shared" si="13"/>
        <v>-7.8397212543553962</v>
      </c>
      <c r="J56" s="300">
        <f t="shared" si="13"/>
        <v>-9.2334494773519111</v>
      </c>
      <c r="K56" s="300">
        <f t="shared" si="13"/>
        <v>6.271777003484317</v>
      </c>
      <c r="L56" s="300">
        <f t="shared" si="13"/>
        <v>-2.9616724738675941</v>
      </c>
    </row>
    <row r="57" spans="2:12">
      <c r="B57" s="1">
        <v>1986</v>
      </c>
      <c r="C57" s="300">
        <f t="shared" si="13"/>
        <v>-20.618556701030926</v>
      </c>
      <c r="D57" s="300">
        <f t="shared" si="13"/>
        <v>-18.384879725085909</v>
      </c>
      <c r="E57" s="300">
        <f t="shared" si="13"/>
        <v>-11.855670103092791</v>
      </c>
      <c r="F57" s="300">
        <f t="shared" si="13"/>
        <v>-15.635738831615114</v>
      </c>
      <c r="G57" s="300">
        <f t="shared" si="13"/>
        <v>-8.0756013745704536</v>
      </c>
      <c r="H57" s="300">
        <f t="shared" si="13"/>
        <v>11.168384879725096</v>
      </c>
      <c r="I57" s="300">
        <f t="shared" si="13"/>
        <v>-7.2164948453608275</v>
      </c>
      <c r="J57" s="300">
        <f t="shared" si="13"/>
        <v>-11.168384879725096</v>
      </c>
      <c r="K57" s="300">
        <f t="shared" si="13"/>
        <v>3.7800687285223518</v>
      </c>
      <c r="L57" s="300">
        <f t="shared" si="13"/>
        <v>-2.0618556701030997</v>
      </c>
    </row>
    <row r="58" spans="2:12">
      <c r="B58" s="1">
        <v>1987</v>
      </c>
      <c r="C58" s="300">
        <f t="shared" si="13"/>
        <v>-16.83673469387756</v>
      </c>
      <c r="D58" s="300">
        <f t="shared" si="13"/>
        <v>-15.986394557823118</v>
      </c>
      <c r="E58" s="300">
        <f t="shared" si="13"/>
        <v>-10.544217687074834</v>
      </c>
      <c r="F58" s="300">
        <f t="shared" si="13"/>
        <v>-17.687074829931973</v>
      </c>
      <c r="G58" s="300">
        <f t="shared" si="13"/>
        <v>-8.1632653061224403</v>
      </c>
      <c r="H58" s="300">
        <f t="shared" si="13"/>
        <v>12.414965986394549</v>
      </c>
      <c r="I58" s="300">
        <f t="shared" si="13"/>
        <v>-10.034013605442169</v>
      </c>
      <c r="J58" s="300">
        <f t="shared" si="13"/>
        <v>-11.734693877551024</v>
      </c>
      <c r="K58" s="300">
        <f t="shared" si="13"/>
        <v>0.51020408163265074</v>
      </c>
      <c r="L58" s="300">
        <f t="shared" si="13"/>
        <v>-3.9115646258503318</v>
      </c>
    </row>
    <row r="59" spans="2:12">
      <c r="B59" s="1">
        <v>1988</v>
      </c>
      <c r="C59" s="300">
        <f t="shared" si="13"/>
        <v>-15.692821368948245</v>
      </c>
      <c r="D59" s="300">
        <f t="shared" si="13"/>
        <v>-21.202003338898166</v>
      </c>
      <c r="E59" s="300">
        <f t="shared" si="13"/>
        <v>-13.355592654424044</v>
      </c>
      <c r="F59" s="300">
        <f t="shared" si="13"/>
        <v>-16.694490818030047</v>
      </c>
      <c r="G59" s="300">
        <f t="shared" si="13"/>
        <v>-10.85141903171953</v>
      </c>
      <c r="H59" s="300">
        <f t="shared" si="13"/>
        <v>14.190317195325548</v>
      </c>
      <c r="I59" s="300">
        <f t="shared" si="13"/>
        <v>-9.6828046744574294</v>
      </c>
      <c r="J59" s="300">
        <f t="shared" si="13"/>
        <v>-13.68948247078464</v>
      </c>
      <c r="K59" s="300">
        <f t="shared" si="13"/>
        <v>0</v>
      </c>
      <c r="L59" s="300">
        <f t="shared" si="13"/>
        <v>-2.1702838063439032</v>
      </c>
    </row>
    <row r="60" spans="2:12">
      <c r="B60" s="1">
        <v>1989</v>
      </c>
      <c r="C60" s="300">
        <f t="shared" si="13"/>
        <v>-13.517915309446252</v>
      </c>
      <c r="D60" s="300">
        <f t="shared" si="13"/>
        <v>-19.055374592833871</v>
      </c>
      <c r="E60" s="300">
        <f t="shared" si="13"/>
        <v>-13.517915309446252</v>
      </c>
      <c r="F60" s="300">
        <f t="shared" si="13"/>
        <v>-15.960912052117266</v>
      </c>
      <c r="G60" s="300">
        <f t="shared" si="13"/>
        <v>-10.260586319218248</v>
      </c>
      <c r="H60" s="300">
        <f t="shared" si="13"/>
        <v>14.169381107491859</v>
      </c>
      <c r="I60" s="300">
        <f t="shared" si="13"/>
        <v>-8.7947882736156373</v>
      </c>
      <c r="J60" s="300">
        <f t="shared" si="13"/>
        <v>-15.146579804560261</v>
      </c>
      <c r="K60" s="300">
        <f t="shared" si="13"/>
        <v>-1.465798045602611</v>
      </c>
      <c r="L60" s="300">
        <f t="shared" si="13"/>
        <v>-2.9315960912052077</v>
      </c>
    </row>
    <row r="61" spans="2:12">
      <c r="B61" s="1">
        <v>1990</v>
      </c>
      <c r="C61" s="300">
        <f t="shared" si="13"/>
        <v>-14.09395973154362</v>
      </c>
      <c r="D61" s="300">
        <f t="shared" si="13"/>
        <v>-16.946308724832221</v>
      </c>
      <c r="E61" s="300">
        <f t="shared" si="13"/>
        <v>-11.241610738255034</v>
      </c>
      <c r="F61" s="300">
        <f t="shared" si="13"/>
        <v>-15.604026845637591</v>
      </c>
      <c r="G61" s="300">
        <f t="shared" si="13"/>
        <v>-11.241610738255034</v>
      </c>
      <c r="H61" s="300">
        <f t="shared" si="13"/>
        <v>13.255033557046985</v>
      </c>
      <c r="I61" s="300">
        <f t="shared" si="13"/>
        <v>-10.234899328859058</v>
      </c>
      <c r="J61" s="300">
        <f t="shared" si="13"/>
        <v>-14.261744966442961</v>
      </c>
      <c r="K61" s="300">
        <f t="shared" si="13"/>
        <v>1.8456375838926249</v>
      </c>
      <c r="L61" s="300">
        <f t="shared" si="13"/>
        <v>-0.67114093959730781</v>
      </c>
    </row>
    <row r="62" spans="2:12">
      <c r="B62" s="1">
        <v>1991</v>
      </c>
      <c r="C62" s="300">
        <f t="shared" si="13"/>
        <v>-13.937282229965149</v>
      </c>
      <c r="D62" s="300">
        <f t="shared" si="13"/>
        <v>-16.376306620209064</v>
      </c>
      <c r="E62" s="300">
        <f t="shared" si="13"/>
        <v>-12.36933797909407</v>
      </c>
      <c r="F62" s="300">
        <f t="shared" si="13"/>
        <v>-14.808362369337985</v>
      </c>
      <c r="G62" s="300">
        <f t="shared" si="13"/>
        <v>-10.452961672473876</v>
      </c>
      <c r="H62" s="300">
        <f t="shared" si="13"/>
        <v>11.846689895470377</v>
      </c>
      <c r="I62" s="300">
        <f t="shared" si="13"/>
        <v>-11.149825783972119</v>
      </c>
      <c r="J62" s="300">
        <f t="shared" si="13"/>
        <v>-14.111498257839713</v>
      </c>
      <c r="K62" s="300">
        <f t="shared" si="13"/>
        <v>5.400696864111481</v>
      </c>
      <c r="L62" s="300">
        <f t="shared" si="13"/>
        <v>-1.0452961672473862</v>
      </c>
    </row>
    <row r="63" spans="2:12">
      <c r="B63" s="1">
        <v>1992</v>
      </c>
      <c r="C63" s="300">
        <f t="shared" si="13"/>
        <v>-14.886164623467607</v>
      </c>
      <c r="D63" s="300">
        <f t="shared" si="13"/>
        <v>-14.01050788091068</v>
      </c>
      <c r="E63" s="300">
        <f t="shared" si="13"/>
        <v>-10.858143607705784</v>
      </c>
      <c r="F63" s="300">
        <f t="shared" si="13"/>
        <v>-14.360770577933451</v>
      </c>
      <c r="G63" s="300">
        <f t="shared" si="13"/>
        <v>-11.208406304728541</v>
      </c>
      <c r="H63" s="300">
        <f t="shared" si="13"/>
        <v>11.733800350262698</v>
      </c>
      <c r="I63" s="300">
        <f t="shared" si="13"/>
        <v>-9.2819614711033296</v>
      </c>
      <c r="J63" s="300">
        <f t="shared" si="13"/>
        <v>-12.25919439579684</v>
      </c>
      <c r="K63" s="300">
        <f t="shared" si="13"/>
        <v>0.52539404553415636</v>
      </c>
      <c r="L63" s="300">
        <f t="shared" si="13"/>
        <v>2.8021015761821246</v>
      </c>
    </row>
    <row r="64" spans="2:12">
      <c r="B64" s="1">
        <v>1993</v>
      </c>
      <c r="C64" s="300">
        <f t="shared" si="13"/>
        <v>-15.260323159784562</v>
      </c>
      <c r="D64" s="300">
        <f t="shared" si="13"/>
        <v>-15.798922800718131</v>
      </c>
      <c r="E64" s="300">
        <f t="shared" si="13"/>
        <v>-11.669658886894069</v>
      </c>
      <c r="F64" s="300">
        <f t="shared" si="13"/>
        <v>-13.644524236983841</v>
      </c>
      <c r="G64" s="300">
        <f t="shared" si="13"/>
        <v>-11.669658886894069</v>
      </c>
      <c r="H64" s="300">
        <f t="shared" si="13"/>
        <v>12.208258527827653</v>
      </c>
      <c r="I64" s="300">
        <f t="shared" si="13"/>
        <v>-11.1310592459605</v>
      </c>
      <c r="J64" s="300">
        <f t="shared" si="13"/>
        <v>-12.92639138240574</v>
      </c>
      <c r="K64" s="300">
        <f t="shared" si="13"/>
        <v>2.8725314183123913</v>
      </c>
      <c r="L64" s="300">
        <f t="shared" si="13"/>
        <v>0.35906642728905069</v>
      </c>
    </row>
    <row r="65" spans="2:12">
      <c r="B65" s="1">
        <v>1994</v>
      </c>
      <c r="C65" s="300">
        <f t="shared" si="13"/>
        <v>-14.387211367673174</v>
      </c>
      <c r="D65" s="300">
        <f t="shared" si="13"/>
        <v>-14.564831261101247</v>
      </c>
      <c r="E65" s="300">
        <f t="shared" si="13"/>
        <v>-14.031971580817043</v>
      </c>
      <c r="F65" s="300">
        <f t="shared" si="13"/>
        <v>-14.920071047957379</v>
      </c>
      <c r="G65" s="300">
        <f t="shared" si="13"/>
        <v>-10.479573712255771</v>
      </c>
      <c r="H65" s="300">
        <f t="shared" si="13"/>
        <v>11.722912966252224</v>
      </c>
      <c r="I65" s="300">
        <f t="shared" si="13"/>
        <v>-8.3481349911190108</v>
      </c>
      <c r="J65" s="300">
        <f t="shared" si="13"/>
        <v>-13.143872113676736</v>
      </c>
      <c r="K65" s="300">
        <f t="shared" si="13"/>
        <v>2.6642984014209503</v>
      </c>
      <c r="L65" s="300">
        <f t="shared" si="13"/>
        <v>0.17761989342805862</v>
      </c>
    </row>
    <row r="66" spans="2:12">
      <c r="B66" s="1">
        <v>1995</v>
      </c>
      <c r="C66" s="300">
        <f t="shared" si="13"/>
        <v>-16.637168141592923</v>
      </c>
      <c r="D66" s="300">
        <f t="shared" si="13"/>
        <v>-15.575221238938056</v>
      </c>
      <c r="E66" s="300">
        <f t="shared" si="13"/>
        <v>-15.929203539823007</v>
      </c>
      <c r="F66" s="300">
        <f t="shared" si="13"/>
        <v>-14.690265486725664</v>
      </c>
      <c r="G66" s="300">
        <f t="shared" si="13"/>
        <v>-11.327433628318587</v>
      </c>
      <c r="H66" s="300">
        <f t="shared" si="13"/>
        <v>12.566371681415916</v>
      </c>
      <c r="I66" s="300">
        <f t="shared" si="13"/>
        <v>-8.6725663716814125</v>
      </c>
      <c r="J66" s="300">
        <f t="shared" si="13"/>
        <v>-9.7345132743362939</v>
      </c>
      <c r="K66" s="300">
        <f t="shared" si="13"/>
        <v>1.9469026548672588</v>
      </c>
      <c r="L66" s="300">
        <f t="shared" si="13"/>
        <v>-0.17699115044247549</v>
      </c>
    </row>
    <row r="67" spans="2:12">
      <c r="B67" s="1">
        <v>1996</v>
      </c>
      <c r="C67" s="300">
        <f t="shared" si="13"/>
        <v>-18.871252204585545</v>
      </c>
      <c r="D67" s="300">
        <f t="shared" si="13"/>
        <v>-15.167548500881836</v>
      </c>
      <c r="E67" s="300">
        <f t="shared" si="13"/>
        <v>-17.283950617283949</v>
      </c>
      <c r="F67" s="300">
        <f t="shared" si="13"/>
        <v>-14.81481481481481</v>
      </c>
      <c r="G67" s="300">
        <f t="shared" si="13"/>
        <v>-10.934744268077594</v>
      </c>
      <c r="H67" s="300">
        <f t="shared" si="13"/>
        <v>12.345679012345684</v>
      </c>
      <c r="I67" s="300">
        <f t="shared" si="13"/>
        <v>-8.8183421516754805</v>
      </c>
      <c r="J67" s="300">
        <f t="shared" si="13"/>
        <v>-11.816578483245152</v>
      </c>
      <c r="K67" s="300">
        <f t="shared" si="13"/>
        <v>2.8218694885361515</v>
      </c>
      <c r="L67" s="300">
        <f t="shared" si="13"/>
        <v>0.35273368606702604</v>
      </c>
    </row>
    <row r="68" spans="2:12">
      <c r="B68" s="1">
        <v>1997</v>
      </c>
      <c r="C68" s="300">
        <f t="shared" si="13"/>
        <v>-21.015761821366013</v>
      </c>
      <c r="D68" s="300">
        <f t="shared" si="13"/>
        <v>-18.038528896672503</v>
      </c>
      <c r="E68" s="300">
        <f t="shared" si="13"/>
        <v>-16.637478108581433</v>
      </c>
      <c r="F68" s="300">
        <f t="shared" si="13"/>
        <v>-16.637478108581433</v>
      </c>
      <c r="G68" s="300">
        <f t="shared" si="13"/>
        <v>-12.25919439579684</v>
      </c>
      <c r="H68" s="300">
        <f t="shared" si="13"/>
        <v>11.908931698774069</v>
      </c>
      <c r="I68" s="300">
        <f t="shared" si="13"/>
        <v>-9.457092819614715</v>
      </c>
      <c r="J68" s="300">
        <f t="shared" si="13"/>
        <v>-11.383537653239927</v>
      </c>
      <c r="K68" s="300">
        <f t="shared" si="13"/>
        <v>9.1068301225919441</v>
      </c>
      <c r="L68" s="300">
        <f t="shared" si="13"/>
        <v>-0.3502626970227567</v>
      </c>
    </row>
    <row r="69" spans="2:12">
      <c r="B69" s="1">
        <v>1998</v>
      </c>
      <c r="C69" s="300">
        <f t="shared" ref="C69:L78" si="14">C22-$B22</f>
        <v>-19.262981574539367</v>
      </c>
      <c r="D69" s="300">
        <f t="shared" si="14"/>
        <v>-17.587939698492463</v>
      </c>
      <c r="E69" s="300">
        <f t="shared" si="14"/>
        <v>-16.415410385259634</v>
      </c>
      <c r="F69" s="300">
        <f t="shared" si="14"/>
        <v>-15.912897822445558</v>
      </c>
      <c r="G69" s="300">
        <f t="shared" si="14"/>
        <v>-11.725293132328304</v>
      </c>
      <c r="H69" s="300">
        <f t="shared" si="14"/>
        <v>12.897822445561147</v>
      </c>
      <c r="I69" s="300">
        <f t="shared" si="14"/>
        <v>-8.5427135678392006</v>
      </c>
      <c r="J69" s="300">
        <f t="shared" si="14"/>
        <v>-13.735343383584592</v>
      </c>
      <c r="K69" s="300">
        <f t="shared" si="14"/>
        <v>8.0402010050251107</v>
      </c>
      <c r="L69" s="300">
        <f t="shared" si="14"/>
        <v>-3.6850921273031787</v>
      </c>
    </row>
    <row r="70" spans="2:12">
      <c r="B70" s="1">
        <v>1999</v>
      </c>
      <c r="C70" s="300">
        <f t="shared" si="14"/>
        <v>-18.433931484502438</v>
      </c>
      <c r="D70" s="300">
        <f t="shared" si="14"/>
        <v>-19.249592169657433</v>
      </c>
      <c r="E70" s="300">
        <f t="shared" si="14"/>
        <v>-15.171288743882556</v>
      </c>
      <c r="F70" s="300">
        <f t="shared" si="14"/>
        <v>-15.986949429037523</v>
      </c>
      <c r="G70" s="300">
        <f t="shared" si="14"/>
        <v>-12.398042414355629</v>
      </c>
      <c r="H70" s="300">
        <f t="shared" si="14"/>
        <v>15.008156606851557</v>
      </c>
      <c r="I70" s="300">
        <f t="shared" si="14"/>
        <v>-11.419249592169649</v>
      </c>
      <c r="J70" s="300">
        <f t="shared" si="14"/>
        <v>-14.192495921696576</v>
      </c>
      <c r="K70" s="300">
        <f t="shared" si="14"/>
        <v>3.4257748776508947</v>
      </c>
      <c r="L70" s="300">
        <f t="shared" si="14"/>
        <v>-4.5676998368678596</v>
      </c>
    </row>
    <row r="71" spans="2:12">
      <c r="B71" s="1">
        <v>2000</v>
      </c>
      <c r="C71" s="300">
        <f t="shared" si="14"/>
        <v>-19.175911251980978</v>
      </c>
      <c r="D71" s="300">
        <f t="shared" si="14"/>
        <v>-19.334389857369246</v>
      </c>
      <c r="E71" s="300">
        <f t="shared" si="14"/>
        <v>-16.006339144215531</v>
      </c>
      <c r="F71" s="300">
        <f t="shared" si="14"/>
        <v>-16.640253565768631</v>
      </c>
      <c r="G71" s="300">
        <f t="shared" si="14"/>
        <v>-12.361331220285265</v>
      </c>
      <c r="H71" s="300">
        <f t="shared" si="14"/>
        <v>15.530903328050712</v>
      </c>
      <c r="I71" s="300">
        <f t="shared" si="14"/>
        <v>-12.202852614896983</v>
      </c>
      <c r="J71" s="300">
        <f t="shared" si="14"/>
        <v>-16.006339144215531</v>
      </c>
      <c r="K71" s="300">
        <f t="shared" si="14"/>
        <v>4.7543581616481703</v>
      </c>
      <c r="L71" s="300">
        <f t="shared" si="14"/>
        <v>-6.497622820919176</v>
      </c>
    </row>
    <row r="72" spans="2:12">
      <c r="B72" s="1">
        <v>2001</v>
      </c>
      <c r="C72" s="300">
        <f t="shared" si="14"/>
        <v>-20.78125</v>
      </c>
      <c r="D72" s="300">
        <f t="shared" si="14"/>
        <v>-20.15625</v>
      </c>
      <c r="E72" s="300">
        <f t="shared" si="14"/>
        <v>-15</v>
      </c>
      <c r="F72" s="300">
        <f t="shared" si="14"/>
        <v>-15.9375</v>
      </c>
      <c r="G72" s="300">
        <f t="shared" si="14"/>
        <v>-12.03125</v>
      </c>
      <c r="H72" s="300">
        <f t="shared" si="14"/>
        <v>14.375</v>
      </c>
      <c r="I72" s="300">
        <f t="shared" si="14"/>
        <v>-11.71875</v>
      </c>
      <c r="J72" s="300">
        <f t="shared" si="14"/>
        <v>-13.28125</v>
      </c>
      <c r="K72" s="300">
        <f t="shared" si="14"/>
        <v>7.9687499999999858</v>
      </c>
      <c r="L72" s="300">
        <f t="shared" si="14"/>
        <v>-6.5625</v>
      </c>
    </row>
    <row r="73" spans="2:12">
      <c r="B73" s="1">
        <v>2002</v>
      </c>
      <c r="C73" s="300">
        <f t="shared" si="14"/>
        <v>-19.84375</v>
      </c>
      <c r="D73" s="300">
        <f t="shared" si="14"/>
        <v>-19.0625</v>
      </c>
      <c r="E73" s="300">
        <f t="shared" si="14"/>
        <v>-13.75</v>
      </c>
      <c r="F73" s="300">
        <f t="shared" si="14"/>
        <v>-17.8125</v>
      </c>
      <c r="G73" s="300">
        <f t="shared" si="14"/>
        <v>-11.25</v>
      </c>
      <c r="H73" s="300">
        <f t="shared" si="14"/>
        <v>13.906250000000014</v>
      </c>
      <c r="I73" s="300">
        <f t="shared" si="14"/>
        <v>-11.5625</v>
      </c>
      <c r="J73" s="300">
        <f t="shared" si="14"/>
        <v>-13.75</v>
      </c>
      <c r="K73" s="300">
        <f t="shared" si="14"/>
        <v>5.6249999999999858</v>
      </c>
      <c r="L73" s="300">
        <f t="shared" si="14"/>
        <v>-5.3125</v>
      </c>
    </row>
    <row r="74" spans="2:12">
      <c r="B74" s="1">
        <v>2003</v>
      </c>
      <c r="C74" s="300">
        <f t="shared" si="14"/>
        <v>-19.937205651491368</v>
      </c>
      <c r="D74" s="300">
        <f t="shared" si="14"/>
        <v>-17.739403453689178</v>
      </c>
      <c r="E74" s="300">
        <f t="shared" si="14"/>
        <v>-15.384615384615387</v>
      </c>
      <c r="F74" s="300">
        <f t="shared" si="14"/>
        <v>-16.954474097331243</v>
      </c>
      <c r="G74" s="300">
        <f t="shared" si="14"/>
        <v>-11.616954474097327</v>
      </c>
      <c r="H74" s="300">
        <f t="shared" si="14"/>
        <v>13.971742543171104</v>
      </c>
      <c r="I74" s="300">
        <f t="shared" si="14"/>
        <v>-10.518053375196232</v>
      </c>
      <c r="J74" s="300">
        <f t="shared" si="14"/>
        <v>-12.087912087912088</v>
      </c>
      <c r="K74" s="300">
        <f t="shared" si="14"/>
        <v>7.2213500784929323</v>
      </c>
      <c r="L74" s="300">
        <f t="shared" si="14"/>
        <v>-6.9073783359497725</v>
      </c>
    </row>
    <row r="75" spans="2:12">
      <c r="B75" s="1">
        <v>2004</v>
      </c>
      <c r="C75" s="300">
        <f t="shared" si="14"/>
        <v>-20.679012345679013</v>
      </c>
      <c r="D75" s="300">
        <f t="shared" si="14"/>
        <v>-17.283950617283949</v>
      </c>
      <c r="E75" s="300">
        <f t="shared" si="14"/>
        <v>-15.895061728395063</v>
      </c>
      <c r="F75" s="300">
        <f t="shared" si="14"/>
        <v>-17.283950617283949</v>
      </c>
      <c r="G75" s="300">
        <f t="shared" si="14"/>
        <v>-11.26543209876543</v>
      </c>
      <c r="H75" s="300">
        <f t="shared" si="14"/>
        <v>12.808641975308646</v>
      </c>
      <c r="I75" s="300">
        <f t="shared" si="14"/>
        <v>-10.648148148148152</v>
      </c>
      <c r="J75" s="300">
        <f t="shared" si="14"/>
        <v>-14.506172839506178</v>
      </c>
      <c r="K75" s="300">
        <f t="shared" si="14"/>
        <v>9.2592592592592524</v>
      </c>
      <c r="L75" s="300">
        <f t="shared" si="14"/>
        <v>-5.2469135802469111</v>
      </c>
    </row>
    <row r="76" spans="2:12">
      <c r="B76" s="1">
        <v>2005</v>
      </c>
      <c r="C76" s="300">
        <f t="shared" si="14"/>
        <v>-18.042813455657495</v>
      </c>
      <c r="D76" s="300">
        <f t="shared" si="14"/>
        <v>-17.737003058103966</v>
      </c>
      <c r="E76" s="300">
        <f t="shared" si="14"/>
        <v>-14.37308868501529</v>
      </c>
      <c r="F76" s="300">
        <f t="shared" si="14"/>
        <v>-19.418960244648318</v>
      </c>
      <c r="G76" s="300">
        <f t="shared" si="14"/>
        <v>-13.761467889908246</v>
      </c>
      <c r="H76" s="300">
        <f t="shared" si="14"/>
        <v>12.079510703363908</v>
      </c>
      <c r="I76" s="300">
        <f t="shared" si="14"/>
        <v>-9.9388379204892914</v>
      </c>
      <c r="J76" s="300">
        <f t="shared" si="14"/>
        <v>-11.467889908256879</v>
      </c>
      <c r="K76" s="300">
        <f t="shared" si="14"/>
        <v>12.538226299694188</v>
      </c>
      <c r="L76" s="300">
        <f t="shared" si="14"/>
        <v>-3.2110091743119256</v>
      </c>
    </row>
    <row r="77" spans="2:12">
      <c r="B77" s="1">
        <v>2006</v>
      </c>
      <c r="C77" s="300">
        <f t="shared" si="14"/>
        <v>-17.040358744394624</v>
      </c>
      <c r="D77" s="300">
        <f t="shared" si="14"/>
        <v>-16.591928251121075</v>
      </c>
      <c r="E77" s="300">
        <f t="shared" si="14"/>
        <v>-14.349775784753362</v>
      </c>
      <c r="F77" s="300">
        <f t="shared" si="14"/>
        <v>-18.983557548579967</v>
      </c>
      <c r="G77" s="300">
        <f t="shared" si="14"/>
        <v>-14.050822122571006</v>
      </c>
      <c r="H77" s="300">
        <f t="shared" si="14"/>
        <v>9.8654708520179497</v>
      </c>
      <c r="I77" s="300">
        <f t="shared" si="14"/>
        <v>-10.014947683109128</v>
      </c>
      <c r="J77" s="300">
        <f t="shared" si="14"/>
        <v>-8.6696562032884827</v>
      </c>
      <c r="K77" s="300">
        <f t="shared" si="14"/>
        <v>18.834080717488803</v>
      </c>
      <c r="L77" s="300">
        <f t="shared" si="14"/>
        <v>-2.2421524663677133</v>
      </c>
    </row>
    <row r="78" spans="2:12" s="961" customFormat="1">
      <c r="C78" s="300">
        <f t="shared" si="14"/>
        <v>-13.95348837209302</v>
      </c>
      <c r="D78" s="300">
        <f t="shared" si="14"/>
        <v>-17.587209302325576</v>
      </c>
      <c r="E78" s="300">
        <f t="shared" si="14"/>
        <v>-15.406976744186053</v>
      </c>
      <c r="F78" s="300">
        <f t="shared" si="14"/>
        <v>-18.168604651162795</v>
      </c>
      <c r="G78" s="300">
        <f t="shared" si="14"/>
        <v>-15.552325581395351</v>
      </c>
      <c r="H78" s="300">
        <f t="shared" si="14"/>
        <v>9.8837209302325562</v>
      </c>
      <c r="I78" s="300">
        <f t="shared" si="14"/>
        <v>-7.2674418604651123</v>
      </c>
      <c r="J78" s="300">
        <f t="shared" si="14"/>
        <v>-6.5406976744186096</v>
      </c>
      <c r="K78" s="300">
        <f t="shared" si="14"/>
        <v>20.930232558139522</v>
      </c>
      <c r="L78" s="300">
        <f t="shared" si="14"/>
        <v>-2.1802325581395365</v>
      </c>
    </row>
    <row r="80" spans="2:12">
      <c r="B80" s="1" t="s">
        <v>367</v>
      </c>
    </row>
    <row r="81" spans="2:12">
      <c r="B81" s="1">
        <v>1981</v>
      </c>
      <c r="C81" s="300">
        <f>C52^2</f>
        <v>72.554408550972411</v>
      </c>
      <c r="D81" s="300">
        <f t="shared" ref="D81:L81" si="15">D52^2</f>
        <v>505.67520583685683</v>
      </c>
      <c r="E81" s="300">
        <f t="shared" si="15"/>
        <v>319.96494170978832</v>
      </c>
      <c r="F81" s="300">
        <f t="shared" si="15"/>
        <v>319.96494170978832</v>
      </c>
      <c r="G81" s="300">
        <f t="shared" si="15"/>
        <v>56.186133981872906</v>
      </c>
      <c r="H81" s="300">
        <f t="shared" si="15"/>
        <v>29.718285742478329</v>
      </c>
      <c r="I81" s="300">
        <f t="shared" si="15"/>
        <v>84.627462133854067</v>
      </c>
      <c r="J81" s="300">
        <f t="shared" si="15"/>
        <v>16.716535730144091</v>
      </c>
      <c r="K81" s="300">
        <f t="shared" si="15"/>
        <v>138.17261564447165</v>
      </c>
      <c r="L81" s="300">
        <f t="shared" si="15"/>
        <v>26.119587078350069</v>
      </c>
    </row>
    <row r="82" spans="2:12">
      <c r="B82" s="1">
        <v>1982</v>
      </c>
      <c r="C82" s="300">
        <f t="shared" ref="C82:L97" si="16">C53^2</f>
        <v>106.02170383974622</v>
      </c>
      <c r="D82" s="300">
        <f t="shared" si="16"/>
        <v>409.83282012859064</v>
      </c>
      <c r="E82" s="300">
        <f t="shared" si="16"/>
        <v>257.79020433772246</v>
      </c>
      <c r="F82" s="300">
        <f t="shared" si="16"/>
        <v>292.51147477073317</v>
      </c>
      <c r="G82" s="300">
        <f t="shared" si="16"/>
        <v>61.67594090074283</v>
      </c>
      <c r="H82" s="300">
        <f t="shared" si="16"/>
        <v>23.878487736386365</v>
      </c>
      <c r="I82" s="300">
        <f t="shared" si="16"/>
        <v>58.965245226586767</v>
      </c>
      <c r="J82" s="300">
        <f t="shared" si="16"/>
        <v>20.589104221680124</v>
      </c>
      <c r="K82" s="300">
        <f t="shared" si="16"/>
        <v>263.42479646939518</v>
      </c>
      <c r="L82" s="300">
        <f t="shared" si="16"/>
        <v>16.111887771107739</v>
      </c>
    </row>
    <row r="83" spans="2:12">
      <c r="B83" s="1">
        <v>1983</v>
      </c>
      <c r="C83" s="300">
        <f t="shared" si="16"/>
        <v>269.89795918367355</v>
      </c>
      <c r="D83" s="300">
        <f t="shared" si="16"/>
        <v>209.21556122449002</v>
      </c>
      <c r="E83" s="300">
        <f t="shared" si="16"/>
        <v>194.00510204081598</v>
      </c>
      <c r="F83" s="300">
        <f t="shared" si="16"/>
        <v>358.29081632653072</v>
      </c>
      <c r="G83" s="300">
        <f t="shared" si="16"/>
        <v>53.603316326530582</v>
      </c>
      <c r="H83" s="300">
        <f t="shared" si="16"/>
        <v>53.603316326530582</v>
      </c>
      <c r="I83" s="300">
        <f t="shared" si="16"/>
        <v>14.0625</v>
      </c>
      <c r="J83" s="300">
        <f t="shared" si="16"/>
        <v>36.862244897959158</v>
      </c>
      <c r="K83" s="300">
        <f t="shared" si="16"/>
        <v>58.960459183673279</v>
      </c>
      <c r="L83" s="300">
        <f t="shared" si="16"/>
        <v>3.858418367346915</v>
      </c>
    </row>
    <row r="84" spans="2:12">
      <c r="B84" s="1">
        <v>1984</v>
      </c>
      <c r="C84" s="300">
        <f t="shared" si="16"/>
        <v>218.89228872556967</v>
      </c>
      <c r="D84" s="300">
        <f t="shared" si="16"/>
        <v>298.96320868324614</v>
      </c>
      <c r="E84" s="300">
        <f t="shared" si="16"/>
        <v>142.63426971825828</v>
      </c>
      <c r="F84" s="300">
        <f t="shared" si="16"/>
        <v>173.99538003501544</v>
      </c>
      <c r="G84" s="300">
        <f t="shared" si="16"/>
        <v>34.60207612456756</v>
      </c>
      <c r="H84" s="300">
        <f t="shared" si="16"/>
        <v>73.207698247018641</v>
      </c>
      <c r="I84" s="300">
        <f t="shared" si="16"/>
        <v>30.534981777510929</v>
      </c>
      <c r="J84" s="300">
        <f t="shared" si="16"/>
        <v>58.750448810216128</v>
      </c>
      <c r="K84" s="300">
        <f t="shared" si="16"/>
        <v>12.709669834551857</v>
      </c>
      <c r="L84" s="300">
        <f t="shared" si="16"/>
        <v>3.8446751249519702</v>
      </c>
    </row>
    <row r="85" spans="2:12">
      <c r="B85" s="1">
        <v>1985</v>
      </c>
      <c r="C85" s="300">
        <f t="shared" si="16"/>
        <v>251.33848899464621</v>
      </c>
      <c r="D85" s="300">
        <f t="shared" si="16"/>
        <v>341.02635700324163</v>
      </c>
      <c r="E85" s="300">
        <f t="shared" si="16"/>
        <v>75.878060920977461</v>
      </c>
      <c r="F85" s="300">
        <f t="shared" si="16"/>
        <v>199.13438308101325</v>
      </c>
      <c r="G85" s="300">
        <f t="shared" si="16"/>
        <v>61.461229345991747</v>
      </c>
      <c r="H85" s="300">
        <f t="shared" si="16"/>
        <v>91.812453714382727</v>
      </c>
      <c r="I85" s="300">
        <f t="shared" si="16"/>
        <v>61.461229345991747</v>
      </c>
      <c r="J85" s="300">
        <f t="shared" si="16"/>
        <v>85.256589250810279</v>
      </c>
      <c r="K85" s="300">
        <f t="shared" si="16"/>
        <v>39.335186781434722</v>
      </c>
      <c r="L85" s="300">
        <f t="shared" si="16"/>
        <v>8.7715038424649947</v>
      </c>
    </row>
    <row r="86" spans="2:12">
      <c r="B86" s="1">
        <v>1986</v>
      </c>
      <c r="C86" s="300">
        <f t="shared" si="16"/>
        <v>425.12488043362731</v>
      </c>
      <c r="D86" s="300">
        <f t="shared" si="16"/>
        <v>338.00380250587494</v>
      </c>
      <c r="E86" s="300">
        <f t="shared" si="16"/>
        <v>140.55691359336822</v>
      </c>
      <c r="F86" s="300">
        <f t="shared" si="16"/>
        <v>244.47632881047679</v>
      </c>
      <c r="G86" s="300">
        <f t="shared" si="16"/>
        <v>65.215337560964201</v>
      </c>
      <c r="H86" s="300">
        <f t="shared" si="16"/>
        <v>124.73282082167215</v>
      </c>
      <c r="I86" s="300">
        <f t="shared" si="16"/>
        <v>52.077797853119392</v>
      </c>
      <c r="J86" s="300">
        <f t="shared" si="16"/>
        <v>124.73282082167215</v>
      </c>
      <c r="K86" s="300">
        <f t="shared" si="16"/>
        <v>14.288919592352588</v>
      </c>
      <c r="L86" s="300">
        <f t="shared" si="16"/>
        <v>4.2512488043363019</v>
      </c>
    </row>
    <row r="87" spans="2:12">
      <c r="B87" s="1">
        <v>1987</v>
      </c>
      <c r="C87" s="300">
        <f t="shared" si="16"/>
        <v>283.47563515202029</v>
      </c>
      <c r="D87" s="300">
        <f t="shared" si="16"/>
        <v>255.56481095839661</v>
      </c>
      <c r="E87" s="300">
        <f t="shared" si="16"/>
        <v>111.18052663242176</v>
      </c>
      <c r="F87" s="300">
        <f t="shared" si="16"/>
        <v>312.83261603961313</v>
      </c>
      <c r="G87" s="300">
        <f t="shared" si="16"/>
        <v>66.638900458142302</v>
      </c>
      <c r="H87" s="300">
        <f t="shared" si="16"/>
        <v>154.13138044333357</v>
      </c>
      <c r="I87" s="300">
        <f t="shared" si="16"/>
        <v>100.68142903419856</v>
      </c>
      <c r="J87" s="300">
        <f t="shared" si="16"/>
        <v>137.7030403998335</v>
      </c>
      <c r="K87" s="300">
        <f t="shared" si="16"/>
        <v>0.26030820491461654</v>
      </c>
      <c r="L87" s="300">
        <f t="shared" si="16"/>
        <v>15.300337822203646</v>
      </c>
    </row>
    <row r="88" spans="2:12">
      <c r="B88" s="1">
        <v>1988</v>
      </c>
      <c r="C88" s="300">
        <f t="shared" si="16"/>
        <v>246.26464251771867</v>
      </c>
      <c r="D88" s="300">
        <f t="shared" si="16"/>
        <v>449.52494558264897</v>
      </c>
      <c r="E88" s="300">
        <f t="shared" si="16"/>
        <v>178.37185515090547</v>
      </c>
      <c r="F88" s="300">
        <f t="shared" si="16"/>
        <v>278.70602367328956</v>
      </c>
      <c r="G88" s="300">
        <f t="shared" si="16"/>
        <v>117.75329500196483</v>
      </c>
      <c r="H88" s="300">
        <f t="shared" si="16"/>
        <v>201.36510210395193</v>
      </c>
      <c r="I88" s="300">
        <f t="shared" si="16"/>
        <v>93.756706363694647</v>
      </c>
      <c r="J88" s="300">
        <f t="shared" si="16"/>
        <v>187.40193031791992</v>
      </c>
      <c r="K88" s="300">
        <f t="shared" si="16"/>
        <v>0</v>
      </c>
      <c r="L88" s="300">
        <f t="shared" si="16"/>
        <v>4.7101318000785808</v>
      </c>
    </row>
    <row r="89" spans="2:12">
      <c r="B89" s="1">
        <v>1989</v>
      </c>
      <c r="C89" s="300">
        <f t="shared" si="16"/>
        <v>182.73403431336135</v>
      </c>
      <c r="D89" s="300">
        <f t="shared" si="16"/>
        <v>363.10730087321861</v>
      </c>
      <c r="E89" s="300">
        <f t="shared" si="16"/>
        <v>182.73403431336135</v>
      </c>
      <c r="F89" s="300">
        <f t="shared" si="16"/>
        <v>254.75071353542219</v>
      </c>
      <c r="G89" s="300">
        <f t="shared" si="16"/>
        <v>105.27963161412868</v>
      </c>
      <c r="H89" s="300">
        <f t="shared" si="16"/>
        <v>200.7713609693472</v>
      </c>
      <c r="I89" s="300">
        <f t="shared" si="16"/>
        <v>77.348300777727118</v>
      </c>
      <c r="J89" s="300">
        <f t="shared" si="16"/>
        <v>229.41887977591276</v>
      </c>
      <c r="K89" s="300">
        <f t="shared" si="16"/>
        <v>2.1485639104924341</v>
      </c>
      <c r="L89" s="300">
        <f t="shared" si="16"/>
        <v>8.594255641969653</v>
      </c>
    </row>
    <row r="90" spans="2:12">
      <c r="B90" s="1">
        <v>1990</v>
      </c>
      <c r="C90" s="300">
        <f t="shared" si="16"/>
        <v>198.63970091437312</v>
      </c>
      <c r="D90" s="300">
        <f t="shared" si="16"/>
        <v>287.17737939732467</v>
      </c>
      <c r="E90" s="300">
        <f t="shared" si="16"/>
        <v>126.37381199045089</v>
      </c>
      <c r="F90" s="300">
        <f t="shared" si="16"/>
        <v>243.48565379937864</v>
      </c>
      <c r="G90" s="300">
        <f t="shared" si="16"/>
        <v>126.37381199045089</v>
      </c>
      <c r="H90" s="300">
        <f t="shared" si="16"/>
        <v>175.69591459844168</v>
      </c>
      <c r="I90" s="300">
        <f t="shared" si="16"/>
        <v>104.75316427187958</v>
      </c>
      <c r="J90" s="300">
        <f t="shared" si="16"/>
        <v>203.39736948786114</v>
      </c>
      <c r="K90" s="300">
        <f t="shared" si="16"/>
        <v>3.4063780910770061</v>
      </c>
      <c r="L90" s="300">
        <f t="shared" si="16"/>
        <v>0.45043016080355719</v>
      </c>
    </row>
    <row r="91" spans="2:12">
      <c r="B91" s="1">
        <v>1991</v>
      </c>
      <c r="C91" s="300">
        <f t="shared" si="16"/>
        <v>194.24783595770231</v>
      </c>
      <c r="D91" s="300">
        <f t="shared" si="16"/>
        <v>268.18341851910321</v>
      </c>
      <c r="E91" s="300">
        <f t="shared" si="16"/>
        <v>153.00052204105896</v>
      </c>
      <c r="F91" s="300">
        <f t="shared" si="16"/>
        <v>219.28759606162529</v>
      </c>
      <c r="G91" s="300">
        <f t="shared" si="16"/>
        <v>109.26440772620785</v>
      </c>
      <c r="H91" s="300">
        <f t="shared" si="16"/>
        <v>140.34406147943992</v>
      </c>
      <c r="I91" s="300">
        <f t="shared" si="16"/>
        <v>124.31861501292948</v>
      </c>
      <c r="J91" s="300">
        <f t="shared" si="16"/>
        <v>199.13438308101325</v>
      </c>
      <c r="K91" s="300">
        <f t="shared" si="16"/>
        <v>29.167526618023583</v>
      </c>
      <c r="L91" s="300">
        <f t="shared" si="16"/>
        <v>1.0926440772620756</v>
      </c>
    </row>
    <row r="92" spans="2:12">
      <c r="B92" s="1">
        <v>1992</v>
      </c>
      <c r="C92" s="300">
        <f t="shared" si="16"/>
        <v>221.59789719697849</v>
      </c>
      <c r="D92" s="300">
        <f t="shared" si="16"/>
        <v>196.29433108106028</v>
      </c>
      <c r="E92" s="300">
        <f t="shared" si="16"/>
        <v>117.89928260556199</v>
      </c>
      <c r="F92" s="300">
        <f t="shared" si="16"/>
        <v>206.23173159203907</v>
      </c>
      <c r="G92" s="300">
        <f t="shared" si="16"/>
        <v>125.62837189187852</v>
      </c>
      <c r="H92" s="300">
        <f t="shared" si="16"/>
        <v>137.682070659825</v>
      </c>
      <c r="I92" s="300">
        <f t="shared" si="16"/>
        <v>86.154808751046687</v>
      </c>
      <c r="J92" s="300">
        <f t="shared" si="16"/>
        <v>150.28784723393665</v>
      </c>
      <c r="K92" s="300">
        <f t="shared" si="16"/>
        <v>0.27603890308274714</v>
      </c>
      <c r="L92" s="300">
        <f t="shared" si="16"/>
        <v>7.8517732432423468</v>
      </c>
    </row>
    <row r="93" spans="2:12">
      <c r="B93" s="1">
        <v>1993</v>
      </c>
      <c r="C93" s="300">
        <f t="shared" si="16"/>
        <v>232.87746294105708</v>
      </c>
      <c r="D93" s="300">
        <f t="shared" si="16"/>
        <v>249.60596166305123</v>
      </c>
      <c r="E93" s="300">
        <f t="shared" si="16"/>
        <v>136.18093853646573</v>
      </c>
      <c r="F93" s="300">
        <f t="shared" si="16"/>
        <v>186.17304165363947</v>
      </c>
      <c r="G93" s="300">
        <f t="shared" si="16"/>
        <v>136.18093853646573</v>
      </c>
      <c r="H93" s="300">
        <f t="shared" si="16"/>
        <v>149.04157628227659</v>
      </c>
      <c r="I93" s="300">
        <f t="shared" si="16"/>
        <v>123.90047993708275</v>
      </c>
      <c r="J93" s="300">
        <f t="shared" si="16"/>
        <v>167.09159417113338</v>
      </c>
      <c r="K93" s="300">
        <f t="shared" si="16"/>
        <v>8.2514367491917984</v>
      </c>
      <c r="L93" s="300">
        <f t="shared" si="16"/>
        <v>0.12892869920612313</v>
      </c>
    </row>
    <row r="94" spans="2:12">
      <c r="B94" s="1">
        <v>1994</v>
      </c>
      <c r="C94" s="300">
        <f t="shared" si="16"/>
        <v>206.99185093810422</v>
      </c>
      <c r="D94" s="300">
        <f t="shared" si="16"/>
        <v>212.13430966435214</v>
      </c>
      <c r="E94" s="300">
        <f t="shared" si="16"/>
        <v>196.89622644485715</v>
      </c>
      <c r="F94" s="300">
        <f t="shared" si="16"/>
        <v>222.608520076096</v>
      </c>
      <c r="G94" s="300">
        <f t="shared" si="16"/>
        <v>109.8214651906022</v>
      </c>
      <c r="H94" s="300">
        <f t="shared" si="16"/>
        <v>137.42668841432453</v>
      </c>
      <c r="I94" s="300">
        <f t="shared" si="16"/>
        <v>69.691357829945602</v>
      </c>
      <c r="J94" s="300">
        <f t="shared" si="16"/>
        <v>172.76137414068893</v>
      </c>
      <c r="K94" s="300">
        <f t="shared" si="16"/>
        <v>7.098485971814231</v>
      </c>
      <c r="L94" s="300">
        <f t="shared" si="16"/>
        <v>3.1548826541394903E-2</v>
      </c>
    </row>
    <row r="95" spans="2:12">
      <c r="B95" s="1">
        <v>1995</v>
      </c>
      <c r="C95" s="300">
        <f t="shared" si="16"/>
        <v>276.79536377163453</v>
      </c>
      <c r="D95" s="300">
        <f t="shared" si="16"/>
        <v>242.58751664186713</v>
      </c>
      <c r="E95" s="300">
        <f t="shared" si="16"/>
        <v>253.73952541310982</v>
      </c>
      <c r="F95" s="300">
        <f t="shared" si="16"/>
        <v>215.80390007048322</v>
      </c>
      <c r="G95" s="300">
        <f t="shared" si="16"/>
        <v>128.31075260396281</v>
      </c>
      <c r="H95" s="300">
        <f t="shared" si="16"/>
        <v>157.91369723549187</v>
      </c>
      <c r="I95" s="300">
        <f t="shared" si="16"/>
        <v>75.213407471219298</v>
      </c>
      <c r="J95" s="300">
        <f t="shared" si="16"/>
        <v>94.760748688229512</v>
      </c>
      <c r="K95" s="300">
        <f t="shared" si="16"/>
        <v>3.7904299475291805</v>
      </c>
      <c r="L95" s="300">
        <f t="shared" si="16"/>
        <v>3.1325867334950991E-2</v>
      </c>
    </row>
    <row r="96" spans="2:12">
      <c r="B96" s="1">
        <v>1996</v>
      </c>
      <c r="C96" s="300">
        <f t="shared" si="16"/>
        <v>356.12415976907482</v>
      </c>
      <c r="D96" s="300">
        <f t="shared" si="16"/>
        <v>230.05452752660281</v>
      </c>
      <c r="E96" s="300">
        <f t="shared" si="16"/>
        <v>298.73494894071018</v>
      </c>
      <c r="F96" s="300">
        <f t="shared" si="16"/>
        <v>219.47873799725636</v>
      </c>
      <c r="G96" s="300">
        <f t="shared" si="16"/>
        <v>119.56863220825581</v>
      </c>
      <c r="H96" s="300">
        <f t="shared" si="16"/>
        <v>152.41579027587269</v>
      </c>
      <c r="I96" s="300">
        <f t="shared" si="16"/>
        <v>77.763158304016542</v>
      </c>
      <c r="J96" s="300">
        <f t="shared" si="16"/>
        <v>139.63152705069231</v>
      </c>
      <c r="K96" s="300">
        <f t="shared" si="16"/>
        <v>7.9629474103312816</v>
      </c>
      <c r="L96" s="300">
        <f t="shared" si="16"/>
        <v>0.12442105328643129</v>
      </c>
    </row>
    <row r="97" spans="2:12">
      <c r="B97" s="1">
        <v>1997</v>
      </c>
      <c r="C97" s="300">
        <f t="shared" si="16"/>
        <v>441.66224493238531</v>
      </c>
      <c r="D97" s="300">
        <f t="shared" si="16"/>
        <v>325.38852475608888</v>
      </c>
      <c r="E97" s="300">
        <f t="shared" si="16"/>
        <v>276.80567781352642</v>
      </c>
      <c r="F97" s="300">
        <f t="shared" si="16"/>
        <v>276.80567781352642</v>
      </c>
      <c r="G97" s="300">
        <f t="shared" si="16"/>
        <v>150.28784723393665</v>
      </c>
      <c r="H97" s="300">
        <f t="shared" si="16"/>
        <v>141.82265420606583</v>
      </c>
      <c r="I97" s="300">
        <f t="shared" si="16"/>
        <v>89.436604598808202</v>
      </c>
      <c r="J97" s="300">
        <f t="shared" si="16"/>
        <v>129.58492950273117</v>
      </c>
      <c r="K97" s="300">
        <f t="shared" si="16"/>
        <v>82.934354881748007</v>
      </c>
      <c r="L97" s="300">
        <f t="shared" si="16"/>
        <v>0.12268395692565545</v>
      </c>
    </row>
    <row r="98" spans="2:12">
      <c r="B98" s="1">
        <v>1998</v>
      </c>
      <c r="C98" s="300">
        <f t="shared" ref="C98:L107" si="17">C69^2</f>
        <v>371.06245914104318</v>
      </c>
      <c r="D98" s="300">
        <f t="shared" si="17"/>
        <v>309.33562283780714</v>
      </c>
      <c r="E98" s="300">
        <f t="shared" si="17"/>
        <v>269.46569811648982</v>
      </c>
      <c r="F98" s="300">
        <f t="shared" si="17"/>
        <v>253.22031710759259</v>
      </c>
      <c r="G98" s="300">
        <f t="shared" si="17"/>
        <v>137.48249903902527</v>
      </c>
      <c r="H98" s="300">
        <f t="shared" si="17"/>
        <v>166.35382383722092</v>
      </c>
      <c r="I98" s="300">
        <f t="shared" si="17"/>
        <v>72.977955102143966</v>
      </c>
      <c r="J98" s="300">
        <f t="shared" si="17"/>
        <v>188.65965786498103</v>
      </c>
      <c r="K98" s="300">
        <f t="shared" si="17"/>
        <v>64.644832201206796</v>
      </c>
      <c r="L98" s="300">
        <f t="shared" si="17"/>
        <v>13.579903986711868</v>
      </c>
    </row>
    <row r="99" spans="2:12">
      <c r="B99" s="1">
        <v>1999</v>
      </c>
      <c r="C99" s="300">
        <f t="shared" si="17"/>
        <v>339.80982997533022</v>
      </c>
      <c r="D99" s="300">
        <f t="shared" si="17"/>
        <v>370.54679869813674</v>
      </c>
      <c r="E99" s="300">
        <f t="shared" si="17"/>
        <v>230.16800215025754</v>
      </c>
      <c r="F99" s="300">
        <f t="shared" si="17"/>
        <v>255.58255204660318</v>
      </c>
      <c r="G99" s="300">
        <f t="shared" si="17"/>
        <v>153.71145570816117</v>
      </c>
      <c r="H99" s="300">
        <f t="shared" si="17"/>
        <v>225.24476473578204</v>
      </c>
      <c r="I99" s="300">
        <f t="shared" si="17"/>
        <v>130.3992612482667</v>
      </c>
      <c r="J99" s="300">
        <f t="shared" si="17"/>
        <v>201.42694048737394</v>
      </c>
      <c r="K99" s="300">
        <f t="shared" si="17"/>
        <v>11.735933512344003</v>
      </c>
      <c r="L99" s="300">
        <f t="shared" si="17"/>
        <v>20.863881799722673</v>
      </c>
    </row>
    <row r="100" spans="2:12">
      <c r="B100" s="1">
        <v>2000</v>
      </c>
      <c r="C100" s="300">
        <f t="shared" si="17"/>
        <v>367.71557234385068</v>
      </c>
      <c r="D100" s="300">
        <f t="shared" si="17"/>
        <v>373.81863115674275</v>
      </c>
      <c r="E100" s="300">
        <f t="shared" si="17"/>
        <v>256.20289279964635</v>
      </c>
      <c r="F100" s="300">
        <f t="shared" si="17"/>
        <v>276.89803873307568</v>
      </c>
      <c r="G100" s="300">
        <f t="shared" si="17"/>
        <v>152.80250953759921</v>
      </c>
      <c r="H100" s="300">
        <f t="shared" si="17"/>
        <v>241.20895818525668</v>
      </c>
      <c r="I100" s="300">
        <f t="shared" si="17"/>
        <v>148.90961194089815</v>
      </c>
      <c r="J100" s="300">
        <f t="shared" si="17"/>
        <v>256.20289279964635</v>
      </c>
      <c r="K100" s="300">
        <f t="shared" si="17"/>
        <v>22.603921529230568</v>
      </c>
      <c r="L100" s="300">
        <f t="shared" si="17"/>
        <v>42.219102322929672</v>
      </c>
    </row>
    <row r="101" spans="2:12">
      <c r="B101" s="1">
        <v>2001</v>
      </c>
      <c r="C101" s="300">
        <f t="shared" si="17"/>
        <v>431.8603515625</v>
      </c>
      <c r="D101" s="300">
        <f t="shared" si="17"/>
        <v>406.2744140625</v>
      </c>
      <c r="E101" s="300">
        <f t="shared" si="17"/>
        <v>225</v>
      </c>
      <c r="F101" s="300">
        <f t="shared" si="17"/>
        <v>254.00390625</v>
      </c>
      <c r="G101" s="300">
        <f t="shared" si="17"/>
        <v>144.7509765625</v>
      </c>
      <c r="H101" s="300">
        <f t="shared" si="17"/>
        <v>206.640625</v>
      </c>
      <c r="I101" s="300">
        <f t="shared" si="17"/>
        <v>137.3291015625</v>
      </c>
      <c r="J101" s="300">
        <f t="shared" si="17"/>
        <v>176.3916015625</v>
      </c>
      <c r="K101" s="300">
        <f t="shared" si="17"/>
        <v>63.500976562499773</v>
      </c>
      <c r="L101" s="300">
        <f t="shared" si="17"/>
        <v>43.06640625</v>
      </c>
    </row>
    <row r="102" spans="2:12">
      <c r="B102" s="1">
        <v>2002</v>
      </c>
      <c r="C102" s="300">
        <f t="shared" si="17"/>
        <v>393.7744140625</v>
      </c>
      <c r="D102" s="300">
        <f t="shared" si="17"/>
        <v>363.37890625</v>
      </c>
      <c r="E102" s="300">
        <f t="shared" si="17"/>
        <v>189.0625</v>
      </c>
      <c r="F102" s="300">
        <f t="shared" si="17"/>
        <v>317.28515625</v>
      </c>
      <c r="G102" s="300">
        <f t="shared" si="17"/>
        <v>126.5625</v>
      </c>
      <c r="H102" s="300">
        <f t="shared" si="17"/>
        <v>193.3837890625004</v>
      </c>
      <c r="I102" s="300">
        <f t="shared" si="17"/>
        <v>133.69140625</v>
      </c>
      <c r="J102" s="300">
        <f t="shared" si="17"/>
        <v>189.0625</v>
      </c>
      <c r="K102" s="300">
        <f t="shared" si="17"/>
        <v>31.64062499999984</v>
      </c>
      <c r="L102" s="300">
        <f t="shared" si="17"/>
        <v>28.22265625</v>
      </c>
    </row>
    <row r="103" spans="2:12">
      <c r="B103" s="1">
        <v>2003</v>
      </c>
      <c r="C103" s="300">
        <f t="shared" si="17"/>
        <v>397.49216918985934</v>
      </c>
      <c r="D103" s="300">
        <f t="shared" si="17"/>
        <v>314.68643489275956</v>
      </c>
      <c r="E103" s="300">
        <f t="shared" si="17"/>
        <v>236.68639053254444</v>
      </c>
      <c r="F103" s="300">
        <f t="shared" si="17"/>
        <v>287.45419191707606</v>
      </c>
      <c r="G103" s="300">
        <f t="shared" si="17"/>
        <v>134.95363125324988</v>
      </c>
      <c r="H103" s="300">
        <f t="shared" si="17"/>
        <v>195.20958969265735</v>
      </c>
      <c r="I103" s="300">
        <f t="shared" si="17"/>
        <v>110.62944680347684</v>
      </c>
      <c r="J103" s="300">
        <f t="shared" si="17"/>
        <v>146.11761864509117</v>
      </c>
      <c r="K103" s="300">
        <f t="shared" si="17"/>
        <v>52.147896956149879</v>
      </c>
      <c r="L103" s="300">
        <f t="shared" si="17"/>
        <v>47.711875475948247</v>
      </c>
    </row>
    <row r="104" spans="2:12">
      <c r="B104" s="1">
        <v>2004</v>
      </c>
      <c r="C104" s="300">
        <f t="shared" si="17"/>
        <v>427.62155159274505</v>
      </c>
      <c r="D104" s="300">
        <f t="shared" si="17"/>
        <v>298.73494894071018</v>
      </c>
      <c r="E104" s="300">
        <f t="shared" si="17"/>
        <v>252.65298734948945</v>
      </c>
      <c r="F104" s="300">
        <f t="shared" si="17"/>
        <v>298.73494894071018</v>
      </c>
      <c r="G104" s="300">
        <f t="shared" si="17"/>
        <v>126.90996037189448</v>
      </c>
      <c r="H104" s="300">
        <f t="shared" si="17"/>
        <v>164.06130925163856</v>
      </c>
      <c r="I104" s="300">
        <f t="shared" si="17"/>
        <v>113.38305898491093</v>
      </c>
      <c r="J104" s="300">
        <f t="shared" si="17"/>
        <v>210.42905044962671</v>
      </c>
      <c r="K104" s="300">
        <f t="shared" si="17"/>
        <v>85.733882030178194</v>
      </c>
      <c r="L104" s="300">
        <f t="shared" si="17"/>
        <v>27.53010211857946</v>
      </c>
    </row>
    <row r="105" spans="2:12">
      <c r="B105" s="1">
        <v>2005</v>
      </c>
      <c r="C105" s="300">
        <f t="shared" si="17"/>
        <v>325.54311739565514</v>
      </c>
      <c r="D105" s="300">
        <f t="shared" si="17"/>
        <v>314.60127748318945</v>
      </c>
      <c r="E105" s="300">
        <f t="shared" si="17"/>
        <v>206.58567834731457</v>
      </c>
      <c r="F105" s="300">
        <f t="shared" si="17"/>
        <v>377.09601698323183</v>
      </c>
      <c r="G105" s="300">
        <f t="shared" si="17"/>
        <v>189.37799848497573</v>
      </c>
      <c r="H105" s="300">
        <f t="shared" si="17"/>
        <v>145.91457883268322</v>
      </c>
      <c r="I105" s="300">
        <f t="shared" si="17"/>
        <v>98.780499209755902</v>
      </c>
      <c r="J105" s="300">
        <f t="shared" si="17"/>
        <v>131.51249894789996</v>
      </c>
      <c r="K105" s="300">
        <f t="shared" si="17"/>
        <v>157.207118742343</v>
      </c>
      <c r="L105" s="300">
        <f t="shared" si="17"/>
        <v>10.310579917515353</v>
      </c>
    </row>
    <row r="106" spans="2:12">
      <c r="B106" s="1">
        <v>2006</v>
      </c>
      <c r="C106" s="300">
        <f t="shared" si="17"/>
        <v>290.3738261376663</v>
      </c>
      <c r="D106" s="300">
        <f t="shared" si="17"/>
        <v>275.29208309034965</v>
      </c>
      <c r="E106" s="300">
        <f t="shared" si="17"/>
        <v>205.91606507269395</v>
      </c>
      <c r="F106" s="300">
        <f t="shared" si="17"/>
        <v>360.37545720024741</v>
      </c>
      <c r="G106" s="300">
        <f t="shared" si="17"/>
        <v>197.42560232013079</v>
      </c>
      <c r="H106" s="300">
        <f t="shared" si="17"/>
        <v>97.327515132015776</v>
      </c>
      <c r="I106" s="300">
        <f t="shared" si="17"/>
        <v>100.29917709541289</v>
      </c>
      <c r="J106" s="300">
        <f t="shared" si="17"/>
        <v>75.162938683218471</v>
      </c>
      <c r="K106" s="300">
        <f t="shared" si="17"/>
        <v>354.72259647288354</v>
      </c>
      <c r="L106" s="300">
        <f t="shared" si="17"/>
        <v>5.0272476824388193</v>
      </c>
    </row>
    <row r="107" spans="2:12">
      <c r="C107" s="300">
        <f t="shared" si="17"/>
        <v>194.69983775013512</v>
      </c>
      <c r="D107" s="300">
        <f t="shared" si="17"/>
        <v>309.30993104380724</v>
      </c>
      <c r="E107" s="300">
        <f t="shared" si="17"/>
        <v>237.37493239588989</v>
      </c>
      <c r="F107" s="300">
        <f t="shared" si="17"/>
        <v>330.09819497025433</v>
      </c>
      <c r="G107" s="300">
        <f t="shared" si="17"/>
        <v>241.87483098972425</v>
      </c>
      <c r="H107" s="300">
        <f t="shared" si="17"/>
        <v>97.687939426717108</v>
      </c>
      <c r="I107" s="300">
        <f t="shared" si="17"/>
        <v>52.81571119524061</v>
      </c>
      <c r="J107" s="300">
        <f t="shared" si="17"/>
        <v>42.780726068145007</v>
      </c>
      <c r="K107" s="300">
        <f t="shared" si="17"/>
        <v>438.07463493780369</v>
      </c>
      <c r="L107" s="300">
        <f t="shared" si="17"/>
        <v>4.753414007571668</v>
      </c>
    </row>
  </sheetData>
  <mergeCells count="13">
    <mergeCell ref="C3:C4"/>
    <mergeCell ref="D3:D4"/>
    <mergeCell ref="E3:E4"/>
    <mergeCell ref="A45:L45"/>
    <mergeCell ref="A44:L44"/>
    <mergeCell ref="J3:J4"/>
    <mergeCell ref="K3:K4"/>
    <mergeCell ref="L3:L4"/>
    <mergeCell ref="F3:F4"/>
    <mergeCell ref="G3:G4"/>
    <mergeCell ref="H3:H4"/>
    <mergeCell ref="I3:I4"/>
    <mergeCell ref="B3:B4"/>
  </mergeCells>
  <phoneticPr fontId="35" type="noConversion"/>
  <pageMargins left="0.75" right="0.75" top="1" bottom="1" header="0.5" footer="0.5"/>
  <pageSetup scale="72"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sheetPr codeName="Sheet36">
    <pageSetUpPr fitToPage="1"/>
  </sheetPr>
  <dimension ref="A1:Q108"/>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5" width="8.85546875" style="1" customWidth="1"/>
    <col min="16" max="17" width="9.42578125" style="1" hidden="1" customWidth="1"/>
    <col min="18" max="16384" width="8.85546875" style="1"/>
  </cols>
  <sheetData>
    <row r="1" spans="1:17" ht="18.75">
      <c r="A1" s="4"/>
      <c r="B1" s="3" t="s">
        <v>2125</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M4" s="1054"/>
      <c r="N4" s="1048" t="s">
        <v>282</v>
      </c>
      <c r="O4" s="968" t="s">
        <v>282</v>
      </c>
      <c r="P4" s="645" t="s">
        <v>281</v>
      </c>
      <c r="Q4" s="645" t="s">
        <v>281</v>
      </c>
    </row>
    <row r="5" spans="1:17">
      <c r="A5" s="2">
        <v>1981</v>
      </c>
      <c r="B5" s="135">
        <f>'11c'!B5/'11c'!$B5*100</f>
        <v>100</v>
      </c>
      <c r="C5" s="10">
        <f>'11c'!C5/'11c'!$B5*100</f>
        <v>92.957746478873233</v>
      </c>
      <c r="D5" s="10">
        <f>'11c'!D5/'11c'!$B5*100</f>
        <v>81.690140845070431</v>
      </c>
      <c r="E5" s="10">
        <f>'11c'!E5/'11c'!$B5*100</f>
        <v>84.507042253521121</v>
      </c>
      <c r="F5" s="10">
        <f>'11c'!F5/'11c'!$B5*100</f>
        <v>84.708249496981892</v>
      </c>
      <c r="G5" s="10">
        <f>'11c'!G5/'11c'!$B5*100</f>
        <v>91.951710261569417</v>
      </c>
      <c r="H5" s="10">
        <f>'11c'!H5/'11c'!$B5*100</f>
        <v>105.83501006036218</v>
      </c>
      <c r="I5" s="10">
        <f>'11c'!I5/'11c'!$B5*100</f>
        <v>91.951710261569417</v>
      </c>
      <c r="J5" s="10">
        <f>'11c'!J5/'11c'!$B5*100</f>
        <v>96.378269617706238</v>
      </c>
      <c r="K5" s="10">
        <f>'11c'!K5/'11c'!$B5*100</f>
        <v>110.46277665995976</v>
      </c>
      <c r="L5" s="10">
        <f>'11c'!L5/'11c'!$B5*100</f>
        <v>104.62776659959758</v>
      </c>
      <c r="N5" s="19">
        <f>SUM(C81:L81)/10</f>
        <v>116.63137780404762</v>
      </c>
      <c r="O5" s="19">
        <f>SQRT(N5)</f>
        <v>10.799600816884281</v>
      </c>
      <c r="P5" s="19">
        <f>Q5^2</f>
        <v>86.458792999439169</v>
      </c>
      <c r="Q5" s="19">
        <f>STDEVP(C5:L5)</f>
        <v>9.2983220528996071</v>
      </c>
    </row>
    <row r="6" spans="1:17">
      <c r="A6" s="2">
        <v>1982</v>
      </c>
      <c r="B6" s="135">
        <f>'11c'!B6/'11c'!$B6*100</f>
        <v>100</v>
      </c>
      <c r="C6" s="10">
        <f>'11c'!C6/'11c'!$B6*100</f>
        <v>92.148760330578511</v>
      </c>
      <c r="D6" s="10">
        <f>'11c'!D6/'11c'!$B6*100</f>
        <v>83.677685950413235</v>
      </c>
      <c r="E6" s="10">
        <f>'11c'!E6/'11c'!$B6*100</f>
        <v>86.15702479338843</v>
      </c>
      <c r="F6" s="10">
        <f>'11c'!F6/'11c'!$B6*100</f>
        <v>85.123966942148769</v>
      </c>
      <c r="G6" s="10">
        <f>'11c'!G6/'11c'!$B6*100</f>
        <v>90.909090909090907</v>
      </c>
      <c r="H6" s="10">
        <f>'11c'!H6/'11c'!$B6*100</f>
        <v>105.16528925619835</v>
      </c>
      <c r="I6" s="10">
        <f>'11c'!I6/'11c'!$B6*100</f>
        <v>93.801652892561975</v>
      </c>
      <c r="J6" s="10">
        <f>'11c'!J6/'11c'!$B6*100</f>
        <v>96.694214876033058</v>
      </c>
      <c r="K6" s="10">
        <f>'11c'!K6/'11c'!$B6*100</f>
        <v>115.08264462809919</v>
      </c>
      <c r="L6" s="10">
        <f>'11c'!L6/'11c'!$B6*100</f>
        <v>103.92561983471073</v>
      </c>
      <c r="N6" s="19">
        <f t="shared" ref="N6:N28" si="0">SUM(C82:L82)/10</f>
        <v>114.25534458028821</v>
      </c>
      <c r="O6" s="19">
        <f t="shared" ref="O6:O29" si="1">SQRT(N6)</f>
        <v>10.689029169213086</v>
      </c>
      <c r="P6" s="19">
        <f t="shared" ref="P6:P28" si="2">Q6^2</f>
        <v>91.869151697293844</v>
      </c>
      <c r="Q6" s="19">
        <f t="shared" ref="Q6:Q28" si="3">STDEVP(C6:L6)</f>
        <v>9.5848396803125429</v>
      </c>
    </row>
    <row r="7" spans="1:17">
      <c r="A7" s="2">
        <v>1983</v>
      </c>
      <c r="B7" s="135">
        <f>'11c'!B7/'11c'!$B7*100</f>
        <v>100</v>
      </c>
      <c r="C7" s="10">
        <f>'11c'!C7/'11c'!$B7*100</f>
        <v>86.411889596602975</v>
      </c>
      <c r="D7" s="10">
        <f>'11c'!D7/'11c'!$B7*100</f>
        <v>89.596602972399154</v>
      </c>
      <c r="E7" s="10">
        <f>'11c'!E7/'11c'!$B7*100</f>
        <v>88.959660297239921</v>
      </c>
      <c r="F7" s="10">
        <f>'11c'!F7/'11c'!$B7*100</f>
        <v>83.227176220806797</v>
      </c>
      <c r="G7" s="10">
        <f>'11c'!G7/'11c'!$B7*100</f>
        <v>91.295116772823775</v>
      </c>
      <c r="H7" s="10">
        <f>'11c'!H7/'11c'!$B7*100</f>
        <v>107.21868365180467</v>
      </c>
      <c r="I7" s="10">
        <f>'11c'!I7/'11c'!$B7*100</f>
        <v>97.87685774946921</v>
      </c>
      <c r="J7" s="10">
        <f>'11c'!J7/'11c'!$B7*100</f>
        <v>96.178343949044589</v>
      </c>
      <c r="K7" s="10">
        <f>'11c'!K7/'11c'!$B7*100</f>
        <v>107.43099787685775</v>
      </c>
      <c r="L7" s="10">
        <f>'11c'!L7/'11c'!$B7*100</f>
        <v>101.91082802547771</v>
      </c>
      <c r="N7" s="19">
        <f t="shared" si="0"/>
        <v>90.195229916922443</v>
      </c>
      <c r="O7" s="19">
        <f t="shared" si="1"/>
        <v>9.4971169265689497</v>
      </c>
      <c r="P7" s="19">
        <f t="shared" si="2"/>
        <v>65.301274336122461</v>
      </c>
      <c r="Q7" s="19">
        <f t="shared" si="3"/>
        <v>8.0809203891711778</v>
      </c>
    </row>
    <row r="8" spans="1:17">
      <c r="A8" s="2">
        <v>1984</v>
      </c>
      <c r="B8" s="135">
        <f>'11c'!B8/'11c'!$B8*100</f>
        <v>100</v>
      </c>
      <c r="C8" s="10">
        <f>'11c'!C8/'11c'!$B8*100</f>
        <v>88.160676532769557</v>
      </c>
      <c r="D8" s="10">
        <f>'11c'!D8/'11c'!$B8*100</f>
        <v>86.469344608879496</v>
      </c>
      <c r="E8" s="10">
        <f>'11c'!E8/'11c'!$B8*100</f>
        <v>90.274841437632134</v>
      </c>
      <c r="F8" s="10">
        <f>'11c'!F8/'11c'!$B8*100</f>
        <v>89.006342494714588</v>
      </c>
      <c r="G8" s="10">
        <f>'11c'!G8/'11c'!$B8*100</f>
        <v>92.600422832980982</v>
      </c>
      <c r="H8" s="10">
        <f>'11c'!H8/'11c'!$B8*100</f>
        <v>108.03382663847781</v>
      </c>
      <c r="I8" s="10">
        <f>'11c'!I8/'11c'!$B8*100</f>
        <v>96.194503171247362</v>
      </c>
      <c r="J8" s="10">
        <f>'11c'!J8/'11c'!$B8*100</f>
        <v>94.714587737843544</v>
      </c>
      <c r="K8" s="10">
        <f>'11c'!K8/'11c'!$B8*100</f>
        <v>103.38266384778012</v>
      </c>
      <c r="L8" s="10">
        <f>'11c'!L8/'11c'!$B8*100</f>
        <v>98.731501057082454</v>
      </c>
      <c r="N8" s="19">
        <f t="shared" si="0"/>
        <v>71.345243575933381</v>
      </c>
      <c r="O8" s="19">
        <f t="shared" si="1"/>
        <v>8.4466113664553895</v>
      </c>
      <c r="P8" s="19">
        <f t="shared" si="2"/>
        <v>43.854842242174776</v>
      </c>
      <c r="Q8" s="19">
        <f t="shared" si="3"/>
        <v>6.6222988638519462</v>
      </c>
    </row>
    <row r="9" spans="1:17">
      <c r="A9" s="2">
        <v>1985</v>
      </c>
      <c r="B9" s="135">
        <f>'11c'!B9/'11c'!$B9*100</f>
        <v>100</v>
      </c>
      <c r="C9" s="10">
        <f>'11c'!C9/'11c'!$B9*100</f>
        <v>87.083333333333329</v>
      </c>
      <c r="D9" s="10">
        <f>'11c'!D9/'11c'!$B9*100</f>
        <v>85.833333333333329</v>
      </c>
      <c r="E9" s="10">
        <f>'11c'!E9/'11c'!$B9*100</f>
        <v>93.125</v>
      </c>
      <c r="F9" s="10">
        <f>'11c'!F9/'11c'!$B9*100</f>
        <v>88.541666666666657</v>
      </c>
      <c r="G9" s="10">
        <f>'11c'!G9/'11c'!$B9*100</f>
        <v>91.458333333333329</v>
      </c>
      <c r="H9" s="10">
        <f>'11c'!H9/'11c'!$B9*100</f>
        <v>108.95833333333333</v>
      </c>
      <c r="I9" s="10">
        <f>'11c'!I9/'11c'!$B9*100</f>
        <v>94.583333333333329</v>
      </c>
      <c r="J9" s="10">
        <f>'11c'!J9/'11c'!$B9*100</f>
        <v>92.916666666666671</v>
      </c>
      <c r="K9" s="10">
        <f>'11c'!K9/'11c'!$B9*100</f>
        <v>106.66666666666667</v>
      </c>
      <c r="L9" s="10">
        <f>'11c'!L9/'11c'!$B9*100</f>
        <v>98.125</v>
      </c>
      <c r="N9" s="19">
        <f t="shared" si="0"/>
        <v>82.677951388888943</v>
      </c>
      <c r="O9" s="19">
        <f t="shared" si="1"/>
        <v>9.0927416871309479</v>
      </c>
      <c r="P9" s="19">
        <f t="shared" si="2"/>
        <v>54.896267361114731</v>
      </c>
      <c r="Q9" s="19">
        <f t="shared" si="3"/>
        <v>7.4092015333040262</v>
      </c>
    </row>
    <row r="10" spans="1:17">
      <c r="A10" s="2">
        <v>1986</v>
      </c>
      <c r="B10" s="135">
        <f>'11c'!B10/'11c'!$B10*100</f>
        <v>100</v>
      </c>
      <c r="C10" s="10">
        <f>'11c'!C10/'11c'!$B10*100</f>
        <v>82.15767634854771</v>
      </c>
      <c r="D10" s="10">
        <f>'11c'!D10/'11c'!$B10*100</f>
        <v>85.477178423236509</v>
      </c>
      <c r="E10" s="10">
        <f>'11c'!E10/'11c'!$B10*100</f>
        <v>89.626556016597519</v>
      </c>
      <c r="F10" s="10">
        <f>'11c'!F10/'11c'!$B10*100</f>
        <v>87.136929460580916</v>
      </c>
      <c r="G10" s="10">
        <f>'11c'!G10/'11c'!$B10*100</f>
        <v>91.286307053941911</v>
      </c>
      <c r="H10" s="10">
        <f>'11c'!H10/'11c'!$B10*100</f>
        <v>109.9585062240664</v>
      </c>
      <c r="I10" s="10">
        <f>'11c'!I10/'11c'!$B10*100</f>
        <v>94.605809128630696</v>
      </c>
      <c r="J10" s="10">
        <f>'11c'!J10/'11c'!$B10*100</f>
        <v>90.248962655601659</v>
      </c>
      <c r="K10" s="10">
        <f>'11c'!K10/'11c'!$B10*100</f>
        <v>104.56431535269711</v>
      </c>
      <c r="L10" s="10">
        <f>'11c'!L10/'11c'!$B10*100</f>
        <v>98.547717842323664</v>
      </c>
      <c r="N10" s="19">
        <f t="shared" si="0"/>
        <v>112.45501971384795</v>
      </c>
      <c r="O10" s="19">
        <f t="shared" si="1"/>
        <v>10.604481114785765</v>
      </c>
      <c r="P10" s="19">
        <f t="shared" si="2"/>
        <v>68.378643618396012</v>
      </c>
      <c r="Q10" s="19">
        <f t="shared" si="3"/>
        <v>8.2691380214866417</v>
      </c>
    </row>
    <row r="11" spans="1:17">
      <c r="A11" s="2">
        <v>1987</v>
      </c>
      <c r="B11" s="135">
        <f>'11c'!B11/'11c'!$B11*100</f>
        <v>100</v>
      </c>
      <c r="C11" s="10">
        <f>'11c'!C11/'11c'!$B11*100</f>
        <v>86.458333333333343</v>
      </c>
      <c r="D11" s="10">
        <f>'11c'!D11/'11c'!$B11*100</f>
        <v>87.916666666666671</v>
      </c>
      <c r="E11" s="10">
        <f>'11c'!E11/'11c'!$B11*100</f>
        <v>91.041666666666671</v>
      </c>
      <c r="F11" s="10">
        <f>'11c'!F11/'11c'!$B11*100</f>
        <v>85.416666666666657</v>
      </c>
      <c r="G11" s="10">
        <f>'11c'!G11/'11c'!$B11*100</f>
        <v>91.041666666666671</v>
      </c>
      <c r="H11" s="10">
        <f>'11c'!H11/'11c'!$B11*100</f>
        <v>111.87499999999999</v>
      </c>
      <c r="I11" s="10">
        <f>'11c'!I11/'11c'!$B11*100</f>
        <v>91.666666666666657</v>
      </c>
      <c r="J11" s="10">
        <f>'11c'!J11/'11c'!$B11*100</f>
        <v>90.416666666666671</v>
      </c>
      <c r="K11" s="10">
        <f>'11c'!K11/'11c'!$B11*100</f>
        <v>100.41666666666667</v>
      </c>
      <c r="L11" s="10">
        <f>'11c'!L11/'11c'!$B11*100</f>
        <v>96.458333333333329</v>
      </c>
      <c r="N11" s="19">
        <f t="shared" si="0"/>
        <v>101.75781249999996</v>
      </c>
      <c r="O11" s="19">
        <f t="shared" si="1"/>
        <v>10.087507744730607</v>
      </c>
      <c r="P11" s="19">
        <f t="shared" si="2"/>
        <v>56.476128472222484</v>
      </c>
      <c r="Q11" s="19">
        <f t="shared" si="3"/>
        <v>7.5150601110185731</v>
      </c>
    </row>
    <row r="12" spans="1:17">
      <c r="A12" s="2">
        <v>1988</v>
      </c>
      <c r="B12" s="135">
        <f>'11c'!B12/'11c'!$B12*100</f>
        <v>100</v>
      </c>
      <c r="C12" s="10">
        <f>'11c'!C12/'11c'!$B12*100</f>
        <v>88.548057259713701</v>
      </c>
      <c r="D12" s="10">
        <f>'11c'!D12/'11c'!$B12*100</f>
        <v>83.640081799591002</v>
      </c>
      <c r="E12" s="10">
        <f>'11c'!E12/'11c'!$B12*100</f>
        <v>88.752556237218812</v>
      </c>
      <c r="F12" s="10">
        <f>'11c'!F12/'11c'!$B12*100</f>
        <v>86.298568507157469</v>
      </c>
      <c r="G12" s="10">
        <f>'11c'!G12/'11c'!$B12*100</f>
        <v>88.752556237218812</v>
      </c>
      <c r="H12" s="10">
        <f>'11c'!H12/'11c'!$B12*100</f>
        <v>113.29243353783231</v>
      </c>
      <c r="I12" s="10">
        <f>'11c'!I12/'11c'!$B12*100</f>
        <v>91.61554192229039</v>
      </c>
      <c r="J12" s="10">
        <f>'11c'!J12/'11c'!$B12*100</f>
        <v>87.730061349693258</v>
      </c>
      <c r="K12" s="10">
        <f>'11c'!K12/'11c'!$B12*100</f>
        <v>100.61349693251533</v>
      </c>
      <c r="L12" s="10">
        <f>'11c'!L12/'11c'!$B12*100</f>
        <v>98.3640081799591</v>
      </c>
      <c r="N12" s="19">
        <f t="shared" si="0"/>
        <v>124.01252922160745</v>
      </c>
      <c r="O12" s="19">
        <f t="shared" si="1"/>
        <v>11.136091290107469</v>
      </c>
      <c r="P12" s="19">
        <f t="shared" si="2"/>
        <v>71.605588802321591</v>
      </c>
      <c r="Q12" s="19">
        <f t="shared" si="3"/>
        <v>8.4620085560298026</v>
      </c>
    </row>
    <row r="13" spans="1:17">
      <c r="A13" s="2">
        <v>1989</v>
      </c>
      <c r="B13" s="135">
        <f>'11c'!B13/'11c'!$B13*100</f>
        <v>100</v>
      </c>
      <c r="C13" s="10">
        <f>'11c'!C13/'11c'!$B13*100</f>
        <v>89.939637826961771</v>
      </c>
      <c r="D13" s="10">
        <f>'11c'!D13/'11c'!$B13*100</f>
        <v>84.909456740442664</v>
      </c>
      <c r="E13" s="10">
        <f>'11c'!E13/'11c'!$B13*100</f>
        <v>88.732394366197184</v>
      </c>
      <c r="F13" s="10">
        <f>'11c'!F13/'11c'!$B13*100</f>
        <v>86.92152917505031</v>
      </c>
      <c r="G13" s="10">
        <f>'11c'!G13/'11c'!$B13*100</f>
        <v>89.537223340040242</v>
      </c>
      <c r="H13" s="10">
        <f>'11c'!H13/'11c'!$B13*100</f>
        <v>113.27967806841046</v>
      </c>
      <c r="I13" s="10">
        <f>'11c'!I13/'11c'!$B13*100</f>
        <v>92.152917505030189</v>
      </c>
      <c r="J13" s="10">
        <f>'11c'!J13/'11c'!$B13*100</f>
        <v>86.519114688128766</v>
      </c>
      <c r="K13" s="10">
        <f>'11c'!K13/'11c'!$B13*100</f>
        <v>99.396378269617699</v>
      </c>
      <c r="L13" s="10">
        <f>'11c'!L13/'11c'!$B13*100</f>
        <v>97.384305835010068</v>
      </c>
      <c r="N13" s="19">
        <f t="shared" si="0"/>
        <v>116.32774514288947</v>
      </c>
      <c r="O13" s="19">
        <f t="shared" si="1"/>
        <v>10.785534068505346</v>
      </c>
      <c r="P13" s="19">
        <f t="shared" si="2"/>
        <v>65.594371055306397</v>
      </c>
      <c r="Q13" s="19">
        <f t="shared" si="3"/>
        <v>8.0990351928675057</v>
      </c>
    </row>
    <row r="14" spans="1:17">
      <c r="A14" s="2">
        <v>1990</v>
      </c>
      <c r="B14" s="135">
        <f>'11c'!B14/'11c'!$B14*100</f>
        <v>100</v>
      </c>
      <c r="C14" s="10">
        <f>'11c'!C14/'11c'!$B14*100</f>
        <v>89.583333333333343</v>
      </c>
      <c r="D14" s="10">
        <f>'11c'!D14/'11c'!$B14*100</f>
        <v>87.5</v>
      </c>
      <c r="E14" s="10">
        <f>'11c'!E14/'11c'!$B14*100</f>
        <v>91.041666666666671</v>
      </c>
      <c r="F14" s="10">
        <f>'11c'!F14/'11c'!$B14*100</f>
        <v>87.291666666666671</v>
      </c>
      <c r="G14" s="10">
        <f>'11c'!G14/'11c'!$B14*100</f>
        <v>88.333333333333329</v>
      </c>
      <c r="H14" s="10">
        <f>'11c'!H14/'11c'!$B14*100</f>
        <v>112.08333333333333</v>
      </c>
      <c r="I14" s="10">
        <f>'11c'!I14/'11c'!$B14*100</f>
        <v>91.666666666666657</v>
      </c>
      <c r="J14" s="10">
        <f>'11c'!J14/'11c'!$B14*100</f>
        <v>87.291666666666671</v>
      </c>
      <c r="K14" s="10">
        <f>'11c'!K14/'11c'!$B14*100</f>
        <v>102.49999999999999</v>
      </c>
      <c r="L14" s="10">
        <f>'11c'!L14/'11c'!$B14*100</f>
        <v>99.583333333333329</v>
      </c>
      <c r="N14" s="19">
        <f t="shared" si="0"/>
        <v>102.59982638888884</v>
      </c>
      <c r="O14" s="19">
        <f t="shared" si="1"/>
        <v>10.129157239814615</v>
      </c>
      <c r="P14" s="19">
        <f t="shared" si="2"/>
        <v>62.752170138888751</v>
      </c>
      <c r="Q14" s="19">
        <f t="shared" si="3"/>
        <v>7.9216267356451953</v>
      </c>
    </row>
    <row r="15" spans="1:17">
      <c r="A15" s="2">
        <v>1991</v>
      </c>
      <c r="B15" s="135">
        <f>'11c'!B15/'11c'!$B15*100</f>
        <v>100</v>
      </c>
      <c r="C15" s="10">
        <f>'11c'!C15/'11c'!$B15*100</f>
        <v>89.200863930885532</v>
      </c>
      <c r="D15" s="10">
        <f>'11c'!D15/'11c'!$B15*100</f>
        <v>87.473002159827217</v>
      </c>
      <c r="E15" s="10">
        <f>'11c'!E15/'11c'!$B15*100</f>
        <v>89.632829373650097</v>
      </c>
      <c r="F15" s="10">
        <f>'11c'!F15/'11c'!$B15*100</f>
        <v>88.120950323974085</v>
      </c>
      <c r="G15" s="10">
        <f>'11c'!G15/'11c'!$B15*100</f>
        <v>88.768898488120954</v>
      </c>
      <c r="H15" s="10">
        <f>'11c'!H15/'11c'!$B15*100</f>
        <v>111.01511879049677</v>
      </c>
      <c r="I15" s="10">
        <f>'11c'!I15/'11c'!$B15*100</f>
        <v>90.712742980561558</v>
      </c>
      <c r="J15" s="10">
        <f>'11c'!J15/'11c'!$B15*100</f>
        <v>87.041036717062639</v>
      </c>
      <c r="K15" s="10">
        <f>'11c'!K15/'11c'!$B15*100</f>
        <v>105.18358531317496</v>
      </c>
      <c r="L15" s="10">
        <f>'11c'!L15/'11c'!$B15*100</f>
        <v>99.784017278617711</v>
      </c>
      <c r="N15" s="19">
        <f t="shared" si="0"/>
        <v>105.07116234156993</v>
      </c>
      <c r="O15" s="19">
        <f t="shared" si="1"/>
        <v>10.250422544537855</v>
      </c>
      <c r="P15" s="19">
        <f t="shared" si="2"/>
        <v>65.296754661354939</v>
      </c>
      <c r="Q15" s="19">
        <f t="shared" si="3"/>
        <v>8.0806407333425572</v>
      </c>
    </row>
    <row r="16" spans="1:17">
      <c r="A16" s="2">
        <v>1992</v>
      </c>
      <c r="B16" s="135">
        <f>'11c'!B16/'11c'!$B16*100</f>
        <v>100</v>
      </c>
      <c r="C16" s="10">
        <f>'11c'!C16/'11c'!$B16*100</f>
        <v>88.362068965517238</v>
      </c>
      <c r="D16" s="10">
        <f>'11c'!D16/'11c'!$B16*100</f>
        <v>89.65517241379311</v>
      </c>
      <c r="E16" s="10">
        <f>'11c'!E16/'11c'!$B16*100</f>
        <v>90.732758620689651</v>
      </c>
      <c r="F16" s="10">
        <f>'11c'!F16/'11c'!$B16*100</f>
        <v>88.146551724137936</v>
      </c>
      <c r="G16" s="10">
        <f>'11c'!G16/'11c'!$B16*100</f>
        <v>88.793103448275872</v>
      </c>
      <c r="H16" s="10">
        <f>'11c'!H16/'11c'!$B16*100</f>
        <v>110.34482758620689</v>
      </c>
      <c r="I16" s="10">
        <f>'11c'!I16/'11c'!$B16*100</f>
        <v>92.241379310344826</v>
      </c>
      <c r="J16" s="10">
        <f>'11c'!J16/'11c'!$B16*100</f>
        <v>90.732758620689651</v>
      </c>
      <c r="K16" s="10">
        <f>'11c'!K16/'11c'!$B16*100</f>
        <v>101.29310344827587</v>
      </c>
      <c r="L16" s="10">
        <f>'11c'!L16/'11c'!$B16*100</f>
        <v>102.58620689655173</v>
      </c>
      <c r="N16" s="19">
        <f t="shared" si="0"/>
        <v>85.589142390011858</v>
      </c>
      <c r="O16" s="19">
        <f t="shared" si="1"/>
        <v>9.2514400171006823</v>
      </c>
      <c r="P16" s="19">
        <f t="shared" si="2"/>
        <v>52.971258174789831</v>
      </c>
      <c r="Q16" s="19">
        <f t="shared" si="3"/>
        <v>7.2781356249241353</v>
      </c>
    </row>
    <row r="17" spans="1:17">
      <c r="A17" s="2">
        <v>1993</v>
      </c>
      <c r="B17" s="135">
        <f>'11c'!B17/'11c'!$B17*100</f>
        <v>100</v>
      </c>
      <c r="C17" s="10">
        <f>'11c'!C17/'11c'!$B17*100</f>
        <v>88.300220750551873</v>
      </c>
      <c r="D17" s="10">
        <f>'11c'!D17/'11c'!$B17*100</f>
        <v>88.520971302428251</v>
      </c>
      <c r="E17" s="10">
        <f>'11c'!E17/'11c'!$B17*100</f>
        <v>90.728476821192046</v>
      </c>
      <c r="F17" s="10">
        <f>'11c'!F17/'11c'!$B17*100</f>
        <v>89.183222958057399</v>
      </c>
      <c r="G17" s="10">
        <f>'11c'!G17/'11c'!$B17*100</f>
        <v>87.41721854304636</v>
      </c>
      <c r="H17" s="10">
        <f>'11c'!H17/'11c'!$B17*100</f>
        <v>111.47902869757174</v>
      </c>
      <c r="I17" s="10">
        <f>'11c'!I17/'11c'!$B17*100</f>
        <v>91.169977924944817</v>
      </c>
      <c r="J17" s="10">
        <f>'11c'!J17/'11c'!$B17*100</f>
        <v>88.300220750551873</v>
      </c>
      <c r="K17" s="10">
        <f>'11c'!K17/'11c'!$B17*100</f>
        <v>104.41501103752759</v>
      </c>
      <c r="L17" s="10">
        <f>'11c'!L17/'11c'!$B17*100</f>
        <v>101.32450331125828</v>
      </c>
      <c r="N17" s="19">
        <f t="shared" si="0"/>
        <v>99.781198680369755</v>
      </c>
      <c r="O17" s="19">
        <f t="shared" si="1"/>
        <v>9.989053943210525</v>
      </c>
      <c r="P17" s="19">
        <f t="shared" si="2"/>
        <v>64.780784468519286</v>
      </c>
      <c r="Q17" s="19">
        <f t="shared" si="3"/>
        <v>8.0486510962098041</v>
      </c>
    </row>
    <row r="18" spans="1:17">
      <c r="A18" s="2">
        <v>1994</v>
      </c>
      <c r="B18" s="135">
        <f>'11c'!B18/'11c'!$B18*100</f>
        <v>100</v>
      </c>
      <c r="C18" s="10">
        <f>'11c'!C18/'11c'!$B18*100</f>
        <v>88.81578947368422</v>
      </c>
      <c r="D18" s="10">
        <f>'11c'!D18/'11c'!$B18*100</f>
        <v>89.912280701754383</v>
      </c>
      <c r="E18" s="10">
        <f>'11c'!E18/'11c'!$B18*100</f>
        <v>88.81578947368422</v>
      </c>
      <c r="F18" s="10">
        <f>'11c'!F18/'11c'!$B18*100</f>
        <v>87.719298245614027</v>
      </c>
      <c r="G18" s="10">
        <f>'11c'!G18/'11c'!$B18*100</f>
        <v>88.377192982456137</v>
      </c>
      <c r="H18" s="10">
        <f>'11c'!H18/'11c'!$B18*100</f>
        <v>110.96491228070175</v>
      </c>
      <c r="I18" s="10">
        <f>'11c'!I18/'11c'!$B18*100</f>
        <v>93.421052631578945</v>
      </c>
      <c r="J18" s="10">
        <f>'11c'!J18/'11c'!$B18*100</f>
        <v>88.157894736842096</v>
      </c>
      <c r="K18" s="10">
        <f>'11c'!K18/'11c'!$B18*100</f>
        <v>103.94736842105263</v>
      </c>
      <c r="L18" s="10">
        <f>'11c'!L18/'11c'!$B18*100</f>
        <v>101.09649122807018</v>
      </c>
      <c r="N18" s="19">
        <f t="shared" si="0"/>
        <v>95.837180670975698</v>
      </c>
      <c r="O18" s="19">
        <f t="shared" si="1"/>
        <v>9.7896466060310718</v>
      </c>
      <c r="P18" s="19">
        <f t="shared" si="2"/>
        <v>61.295783317944732</v>
      </c>
      <c r="Q18" s="19">
        <f t="shared" si="3"/>
        <v>7.8291623637490577</v>
      </c>
    </row>
    <row r="19" spans="1:17">
      <c r="A19" s="2">
        <v>1995</v>
      </c>
      <c r="B19" s="135">
        <f>'11c'!B19/'11c'!$B19*100</f>
        <v>100</v>
      </c>
      <c r="C19" s="10">
        <f>'11c'!C19/'11c'!$B19*100</f>
        <v>86.622807017543863</v>
      </c>
      <c r="D19" s="10">
        <f>'11c'!D19/'11c'!$B19*100</f>
        <v>89.035087719298247</v>
      </c>
      <c r="E19" s="10">
        <f>'11c'!E19/'11c'!$B19*100</f>
        <v>87.280701754385973</v>
      </c>
      <c r="F19" s="10">
        <f>'11c'!F19/'11c'!$B19*100</f>
        <v>88.377192982456137</v>
      </c>
      <c r="G19" s="10">
        <f>'11c'!G19/'11c'!$B19*100</f>
        <v>87.719298245614027</v>
      </c>
      <c r="H19" s="10">
        <f>'11c'!H19/'11c'!$B19*100</f>
        <v>111.62280701754386</v>
      </c>
      <c r="I19" s="10">
        <f>'11c'!I19/'11c'!$B19*100</f>
        <v>93.640350877192986</v>
      </c>
      <c r="J19" s="10">
        <f>'11c'!J19/'11c'!$B19*100</f>
        <v>89.692982456140342</v>
      </c>
      <c r="K19" s="10">
        <f>'11c'!K19/'11c'!$B19*100</f>
        <v>103.50877192982458</v>
      </c>
      <c r="L19" s="10">
        <f>'11c'!L19/'11c'!$B19*100</f>
        <v>101.09649122807018</v>
      </c>
      <c r="N19" s="19">
        <f t="shared" si="0"/>
        <v>104.21475838719607</v>
      </c>
      <c r="O19" s="19">
        <f t="shared" si="1"/>
        <v>10.208562993252089</v>
      </c>
      <c r="P19" s="19">
        <f t="shared" si="2"/>
        <v>66.510849492151763</v>
      </c>
      <c r="Q19" s="19">
        <f t="shared" si="3"/>
        <v>8.1554184130645169</v>
      </c>
    </row>
    <row r="20" spans="1:17">
      <c r="A20" s="2">
        <v>1996</v>
      </c>
      <c r="B20" s="135">
        <f>'11c'!B20/'11c'!$B20*100</f>
        <v>100</v>
      </c>
      <c r="C20" s="10">
        <f>'11c'!C20/'11c'!$B20*100</f>
        <v>85.087719298245617</v>
      </c>
      <c r="D20" s="10">
        <f>'11c'!D20/'11c'!$B20*100</f>
        <v>89.473684210526315</v>
      </c>
      <c r="E20" s="10">
        <f>'11c'!E20/'11c'!$B20*100</f>
        <v>86.403508771929822</v>
      </c>
      <c r="F20" s="10">
        <f>'11c'!F20/'11c'!$B20*100</f>
        <v>88.157894736842096</v>
      </c>
      <c r="G20" s="10">
        <f>'11c'!G20/'11c'!$B20*100</f>
        <v>87.938596491228068</v>
      </c>
      <c r="H20" s="10">
        <f>'11c'!H20/'11c'!$B20*100</f>
        <v>111.40350877192982</v>
      </c>
      <c r="I20" s="10">
        <f>'11c'!I20/'11c'!$B20*100</f>
        <v>93.421052631578945</v>
      </c>
      <c r="J20" s="10">
        <f>'11c'!J20/'11c'!$B20*100</f>
        <v>89.035087719298247</v>
      </c>
      <c r="K20" s="10">
        <f>'11c'!K20/'11c'!$B20*100</f>
        <v>104.3859649122807</v>
      </c>
      <c r="L20" s="10">
        <f>'11c'!L20/'11c'!$B20*100</f>
        <v>101.09649122807018</v>
      </c>
      <c r="N20" s="19">
        <f t="shared" si="0"/>
        <v>111.77477685441674</v>
      </c>
      <c r="O20" s="19">
        <f t="shared" si="1"/>
        <v>10.572359095983106</v>
      </c>
      <c r="P20" s="19">
        <f t="shared" si="2"/>
        <v>71.329639889197423</v>
      </c>
      <c r="Q20" s="19">
        <f t="shared" si="3"/>
        <v>8.4456876504638405</v>
      </c>
    </row>
    <row r="21" spans="1:17">
      <c r="A21" s="2">
        <v>1997</v>
      </c>
      <c r="B21" s="135">
        <f>'11c'!B21/'11c'!$B21*100</f>
        <v>100</v>
      </c>
      <c r="C21" s="10">
        <f>'11c'!C21/'11c'!$B21*100</f>
        <v>82.788671023965151</v>
      </c>
      <c r="D21" s="10">
        <f>'11c'!D21/'11c'!$B21*100</f>
        <v>86.492374727668846</v>
      </c>
      <c r="E21" s="10">
        <f>'11c'!E21/'11c'!$B21*100</f>
        <v>86.274509803921575</v>
      </c>
      <c r="F21" s="10">
        <f>'11c'!F21/'11c'!$B21*100</f>
        <v>86.492374727668846</v>
      </c>
      <c r="G21" s="10">
        <f>'11c'!G21/'11c'!$B21*100</f>
        <v>86.492374727668846</v>
      </c>
      <c r="H21" s="10">
        <f>'11c'!H21/'11c'!$B21*100</f>
        <v>111.98257080610021</v>
      </c>
      <c r="I21" s="10">
        <f>'11c'!I21/'11c'!$B21*100</f>
        <v>92.156862745098039</v>
      </c>
      <c r="J21" s="10">
        <f>'11c'!J21/'11c'!$B21*100</f>
        <v>89.324618736383442</v>
      </c>
      <c r="K21" s="10">
        <f>'11c'!K21/'11c'!$B21*100</f>
        <v>108.27886710239652</v>
      </c>
      <c r="L21" s="10">
        <f>'11c'!L21/'11c'!$B21*100</f>
        <v>100.43572984749456</v>
      </c>
      <c r="N21" s="19">
        <f t="shared" si="0"/>
        <v>141.97768189822526</v>
      </c>
      <c r="O21" s="19">
        <f t="shared" si="1"/>
        <v>11.915438804266726</v>
      </c>
      <c r="P21" s="19">
        <f t="shared" si="2"/>
        <v>93.979048893824228</v>
      </c>
      <c r="Q21" s="19">
        <f t="shared" si="3"/>
        <v>9.6942791838188889</v>
      </c>
    </row>
    <row r="22" spans="1:17">
      <c r="A22" s="2">
        <v>1998</v>
      </c>
      <c r="B22" s="135">
        <f>'11c'!B22/'11c'!$B22*100</f>
        <v>100</v>
      </c>
      <c r="C22" s="10">
        <f>'11c'!C22/'11c'!$B22*100</f>
        <v>83.924843423799572</v>
      </c>
      <c r="D22" s="10">
        <f>'11c'!D22/'11c'!$B22*100</f>
        <v>86.221294363256789</v>
      </c>
      <c r="E22" s="10">
        <f>'11c'!E22/'11c'!$B22*100</f>
        <v>86.012526096033397</v>
      </c>
      <c r="F22" s="10">
        <f>'11c'!F22/'11c'!$B22*100</f>
        <v>86.847599164926933</v>
      </c>
      <c r="G22" s="10">
        <f>'11c'!G22/'11c'!$B22*100</f>
        <v>86.430062630480165</v>
      </c>
      <c r="H22" s="10">
        <f>'11c'!H22/'11c'!$B22*100</f>
        <v>113.15240083507308</v>
      </c>
      <c r="I22" s="10">
        <f>'11c'!I22/'11c'!$B22*100</f>
        <v>92.901878914405017</v>
      </c>
      <c r="J22" s="10">
        <f>'11c'!J22/'11c'!$B22*100</f>
        <v>87.473903966597078</v>
      </c>
      <c r="K22" s="10">
        <f>'11c'!K22/'11c'!$B22*100</f>
        <v>107.93319415448852</v>
      </c>
      <c r="L22" s="10">
        <f>'11c'!L22/'11c'!$B22*100</f>
        <v>97.912317327766175</v>
      </c>
      <c r="N22" s="19">
        <f t="shared" si="0"/>
        <v>144.8607703069635</v>
      </c>
      <c r="O22" s="19">
        <f t="shared" si="1"/>
        <v>12.035811992007996</v>
      </c>
      <c r="P22" s="19">
        <f t="shared" si="2"/>
        <v>94.180639031386221</v>
      </c>
      <c r="Q22" s="19">
        <f t="shared" si="3"/>
        <v>9.7046709903729464</v>
      </c>
    </row>
    <row r="23" spans="1:17">
      <c r="A23" s="2">
        <v>1999</v>
      </c>
      <c r="B23" s="135">
        <f>'11c'!B23/'11c'!$B23*100</f>
        <v>100</v>
      </c>
      <c r="C23" s="10">
        <f>'11c'!C23/'11c'!$B23*100</f>
        <v>84.040404040404042</v>
      </c>
      <c r="D23" s="10">
        <f>'11c'!D23/'11c'!$B23*100</f>
        <v>85.050505050505052</v>
      </c>
      <c r="E23" s="10">
        <f>'11c'!E23/'11c'!$B23*100</f>
        <v>86.464646464646464</v>
      </c>
      <c r="F23" s="10">
        <f>'11c'!F23/'11c'!$B23*100</f>
        <v>86.464646464646464</v>
      </c>
      <c r="G23" s="10">
        <f>'11c'!G23/'11c'!$B23*100</f>
        <v>85.858585858585855</v>
      </c>
      <c r="H23" s="10">
        <f>'11c'!H23/'11c'!$B23*100</f>
        <v>115.15151515151516</v>
      </c>
      <c r="I23" s="10">
        <f>'11c'!I23/'11c'!$B23*100</f>
        <v>90.101010101010104</v>
      </c>
      <c r="J23" s="10">
        <f>'11c'!J23/'11c'!$B23*100</f>
        <v>87.070707070707059</v>
      </c>
      <c r="K23" s="10">
        <f>'11c'!K23/'11c'!$B23*100</f>
        <v>103.83838383838383</v>
      </c>
      <c r="L23" s="10">
        <f>'11c'!L23/'11c'!$B23*100</f>
        <v>95.959595959595958</v>
      </c>
      <c r="N23" s="19">
        <f t="shared" si="0"/>
        <v>157.03703703703712</v>
      </c>
      <c r="O23" s="19">
        <f t="shared" si="1"/>
        <v>12.531441937663724</v>
      </c>
      <c r="P23" s="19">
        <f t="shared" si="2"/>
        <v>93.037037037035901</v>
      </c>
      <c r="Q23" s="19">
        <f t="shared" si="3"/>
        <v>9.6455708507602544</v>
      </c>
    </row>
    <row r="24" spans="1:17">
      <c r="A24" s="2">
        <v>2000</v>
      </c>
      <c r="B24" s="135">
        <f>'11c'!B24/'11c'!$B24*100</f>
        <v>100</v>
      </c>
      <c r="C24" s="10">
        <f>'11c'!C24/'11c'!$B24*100</f>
        <v>84.023668639053255</v>
      </c>
      <c r="D24" s="10">
        <f>'11c'!D24/'11c'!$B24*100</f>
        <v>84.220907297830365</v>
      </c>
      <c r="E24" s="10">
        <f>'11c'!E24/'11c'!$B24*100</f>
        <v>86.58777120315581</v>
      </c>
      <c r="F24" s="10">
        <f>'11c'!F24/'11c'!$B24*100</f>
        <v>86.390532544378701</v>
      </c>
      <c r="G24" s="10">
        <f>'11c'!G24/'11c'!$B24*100</f>
        <v>86.193293885601577</v>
      </c>
      <c r="H24" s="10">
        <f>'11c'!H24/'11c'!$B24*100</f>
        <v>115.38461538461537</v>
      </c>
      <c r="I24" s="10">
        <f>'11c'!I24/'11c'!$B24*100</f>
        <v>89.743589743589752</v>
      </c>
      <c r="J24" s="10">
        <f>'11c'!J24/'11c'!$B24*100</f>
        <v>85.996055226824453</v>
      </c>
      <c r="K24" s="10">
        <f>'11c'!K24/'11c'!$B24*100</f>
        <v>106.11439842209074</v>
      </c>
      <c r="L24" s="10">
        <f>'11c'!L24/'11c'!$B24*100</f>
        <v>93.293885601577912</v>
      </c>
      <c r="N24" s="19">
        <f t="shared" si="0"/>
        <v>168.03021991915941</v>
      </c>
      <c r="O24" s="19">
        <f t="shared" si="1"/>
        <v>12.962647103086599</v>
      </c>
      <c r="P24" s="19">
        <f t="shared" si="2"/>
        <v>100.70609105656973</v>
      </c>
      <c r="Q24" s="19">
        <f t="shared" si="3"/>
        <v>10.03524245130977</v>
      </c>
    </row>
    <row r="25" spans="1:17">
      <c r="A25" s="2">
        <v>2001</v>
      </c>
      <c r="B25" s="135">
        <f>'11c'!B25/'11c'!$B25*100</f>
        <v>100</v>
      </c>
      <c r="C25" s="10">
        <f>'11c'!C25/'11c'!$B25*100</f>
        <v>81.78368121442125</v>
      </c>
      <c r="D25" s="10">
        <f>'11c'!D25/'11c'!$B25*100</f>
        <v>82.922201138519924</v>
      </c>
      <c r="E25" s="10">
        <f>'11c'!E25/'11c'!$B25*100</f>
        <v>85.958254269449725</v>
      </c>
      <c r="F25" s="10">
        <f>'11c'!F25/'11c'!$B25*100</f>
        <v>85.578747628083491</v>
      </c>
      <c r="G25" s="10">
        <f>'11c'!G25/'11c'!$B25*100</f>
        <v>86.527514231499055</v>
      </c>
      <c r="H25" s="10">
        <f>'11c'!H25/'11c'!$B25*100</f>
        <v>113.85199240986717</v>
      </c>
      <c r="I25" s="10">
        <f>'11c'!I25/'11c'!$B25*100</f>
        <v>89.563567362428842</v>
      </c>
      <c r="J25" s="10">
        <f>'11c'!J25/'11c'!$B25*100</f>
        <v>87.855787476280838</v>
      </c>
      <c r="K25" s="10">
        <f>'11c'!K25/'11c'!$B25*100</f>
        <v>109.10815939278937</v>
      </c>
      <c r="L25" s="10">
        <f>'11c'!L25/'11c'!$B25*100</f>
        <v>94.686907020872866</v>
      </c>
      <c r="N25" s="19">
        <f t="shared" si="0"/>
        <v>176.96027422415369</v>
      </c>
      <c r="O25" s="19">
        <f t="shared" si="1"/>
        <v>13.30264162578823</v>
      </c>
      <c r="P25" s="19">
        <f t="shared" si="2"/>
        <v>109.45237983789644</v>
      </c>
      <c r="Q25" s="19">
        <f t="shared" si="3"/>
        <v>10.461949141431363</v>
      </c>
    </row>
    <row r="26" spans="1:17">
      <c r="A26" s="2">
        <v>2002</v>
      </c>
      <c r="B26" s="135">
        <f>'11c'!B26/'11c'!$B26*100</f>
        <v>100</v>
      </c>
      <c r="C26" s="10">
        <f>'11c'!C26/'11c'!$B26*100</f>
        <v>82.04158790170132</v>
      </c>
      <c r="D26" s="10">
        <f>'11c'!D26/'11c'!$B26*100</f>
        <v>84.499054820415878</v>
      </c>
      <c r="E26" s="10">
        <f>'11c'!E26/'11c'!$B26*100</f>
        <v>86.200378071833654</v>
      </c>
      <c r="F26" s="10">
        <f>'11c'!F26/'11c'!$B26*100</f>
        <v>83.931947069943291</v>
      </c>
      <c r="G26" s="10">
        <f>'11c'!G26/'11c'!$B26*100</f>
        <v>87.334593572778829</v>
      </c>
      <c r="H26" s="10">
        <f>'11c'!H26/'11c'!$B26*100</f>
        <v>113.23251417769376</v>
      </c>
      <c r="I26" s="10">
        <f>'11c'!I26/'11c'!$B26*100</f>
        <v>91.115311909262758</v>
      </c>
      <c r="J26" s="10">
        <f>'11c'!J26/'11c'!$B26*100</f>
        <v>87.334593572778829</v>
      </c>
      <c r="K26" s="10">
        <f>'11c'!K26/'11c'!$B26*100</f>
        <v>106.61625708884688</v>
      </c>
      <c r="L26" s="10">
        <f>'11c'!L26/'11c'!$B26*100</f>
        <v>96.408317580340267</v>
      </c>
      <c r="N26" s="19">
        <f t="shared" si="0"/>
        <v>164.29329512115808</v>
      </c>
      <c r="O26" s="19">
        <f t="shared" si="1"/>
        <v>12.817694610231516</v>
      </c>
      <c r="P26" s="19">
        <f t="shared" si="2"/>
        <v>98.220060677309505</v>
      </c>
      <c r="Q26" s="19">
        <f t="shared" si="3"/>
        <v>9.9106034466781843</v>
      </c>
    </row>
    <row r="27" spans="1:17">
      <c r="A27" s="2">
        <v>2003</v>
      </c>
      <c r="B27" s="135">
        <f>'11c'!B27/'11c'!$B27*100</f>
        <v>100</v>
      </c>
      <c r="C27" s="10">
        <f>'11c'!C27/'11c'!$B27*100</f>
        <v>81.904761904761898</v>
      </c>
      <c r="D27" s="10">
        <f>'11c'!D27/'11c'!$B27*100</f>
        <v>84.761904761904759</v>
      </c>
      <c r="E27" s="10">
        <f>'11c'!E27/'11c'!$B27*100</f>
        <v>85.333333333333343</v>
      </c>
      <c r="F27" s="10">
        <f>'11c'!F27/'11c'!$B27*100</f>
        <v>84.571428571428569</v>
      </c>
      <c r="G27" s="10">
        <f>'11c'!G27/'11c'!$B27*100</f>
        <v>87.047619047619051</v>
      </c>
      <c r="H27" s="10">
        <f>'11c'!H27/'11c'!$B27*100</f>
        <v>113.52380952380952</v>
      </c>
      <c r="I27" s="10">
        <f>'11c'!I27/'11c'!$B27*100</f>
        <v>89.904761904761912</v>
      </c>
      <c r="J27" s="10">
        <f>'11c'!J27/'11c'!$B27*100</f>
        <v>89.142857142857139</v>
      </c>
      <c r="K27" s="10">
        <f>'11c'!K27/'11c'!$B27*100</f>
        <v>108</v>
      </c>
      <c r="L27" s="10">
        <f>'11c'!L27/'11c'!$B27*100</f>
        <v>95.047619047619051</v>
      </c>
      <c r="N27" s="19">
        <f t="shared" si="0"/>
        <v>167.17641723356004</v>
      </c>
      <c r="O27" s="19">
        <f t="shared" si="1"/>
        <v>12.929671969294505</v>
      </c>
      <c r="P27" s="19">
        <f t="shared" si="2"/>
        <v>101.95156462585322</v>
      </c>
      <c r="Q27" s="19">
        <f t="shared" si="3"/>
        <v>10.097106745293585</v>
      </c>
    </row>
    <row r="28" spans="1:17">
      <c r="A28" s="120">
        <v>2004</v>
      </c>
      <c r="B28" s="135">
        <f>'11c'!B28/'11c'!$B28*100</f>
        <v>100</v>
      </c>
      <c r="C28" s="10">
        <f>'11c'!C28/'11c'!$B28*100</f>
        <v>80.934579439252346</v>
      </c>
      <c r="D28" s="10">
        <f>'11c'!D28/'11c'!$B28*100</f>
        <v>85.046728971962608</v>
      </c>
      <c r="E28" s="10">
        <f>'11c'!E28/'11c'!$B28*100</f>
        <v>84.859813084112147</v>
      </c>
      <c r="F28" s="10">
        <f>'11c'!F28/'11c'!$B28*100</f>
        <v>84.485981308411212</v>
      </c>
      <c r="G28" s="10">
        <f>'11c'!G28/'11c'!$B28*100</f>
        <v>87.476635514018696</v>
      </c>
      <c r="H28" s="10">
        <f>'11c'!H28/'11c'!$B28*100</f>
        <v>112.14953271028037</v>
      </c>
      <c r="I28" s="10">
        <f>'11c'!I28/'11c'!$B28*100</f>
        <v>89.90654205607477</v>
      </c>
      <c r="J28" s="10">
        <f>'11c'!J28/'11c'!$B28*100</f>
        <v>86.915887850467286</v>
      </c>
      <c r="K28" s="10">
        <f>'11c'!K28/'11c'!$B28*100</f>
        <v>109.90654205607477</v>
      </c>
      <c r="L28" s="10">
        <f>'11c'!L28/'11c'!$B28*100</f>
        <v>96.074766355140184</v>
      </c>
      <c r="N28" s="19">
        <f t="shared" si="0"/>
        <v>174.80653332168748</v>
      </c>
      <c r="O28" s="19">
        <f t="shared" si="1"/>
        <v>13.221442180098489</v>
      </c>
      <c r="P28" s="19">
        <f t="shared" si="2"/>
        <v>107.16743820421165</v>
      </c>
      <c r="Q28" s="19">
        <f t="shared" si="3"/>
        <v>10.352170700109792</v>
      </c>
    </row>
    <row r="29" spans="1:17">
      <c r="A29" s="120">
        <v>2005</v>
      </c>
      <c r="B29" s="135">
        <f>'11c'!B29/'11c'!$B29*100</f>
        <v>100</v>
      </c>
      <c r="C29" s="10">
        <f>'11c'!C29/'11c'!$B29*100</f>
        <v>83.179297597042506</v>
      </c>
      <c r="D29" s="10">
        <f>'11c'!D29/'11c'!$B29*100</f>
        <v>84.842883548983366</v>
      </c>
      <c r="E29" s="10">
        <f>'11c'!E29/'11c'!$B29*100</f>
        <v>86.691312384473193</v>
      </c>
      <c r="F29" s="10">
        <f>'11c'!F29/'11c'!$B29*100</f>
        <v>82.809611829944558</v>
      </c>
      <c r="G29" s="10">
        <f>'11c'!G29/'11c'!$B29*100</f>
        <v>85.582255083179291</v>
      </c>
      <c r="H29" s="10">
        <f>'11c'!H29/'11c'!$B29*100</f>
        <v>111.46025878003695</v>
      </c>
      <c r="I29" s="10">
        <f>'11c'!I29/'11c'!$B29*100</f>
        <v>90.388170055452861</v>
      </c>
      <c r="J29" s="10">
        <f>'11c'!J29/'11c'!$B29*100</f>
        <v>89.833641404805917</v>
      </c>
      <c r="K29" s="10">
        <f>'11c'!K29/'11c'!$B29*100</f>
        <v>113.30868761552679</v>
      </c>
      <c r="L29" s="10">
        <f>'11c'!L29/'11c'!$B29*100</f>
        <v>98.706099815157117</v>
      </c>
      <c r="N29" s="19">
        <f>SUM(C105:L105)/10</f>
        <v>169.90511854203038</v>
      </c>
      <c r="O29" s="19">
        <f t="shared" si="1"/>
        <v>13.034765764755052</v>
      </c>
      <c r="P29" s="19"/>
      <c r="Q29" s="19"/>
    </row>
    <row r="30" spans="1:17">
      <c r="A30" s="120">
        <v>2006</v>
      </c>
      <c r="B30" s="135">
        <f>'11c'!B30/'11c'!$B30*100</f>
        <v>100</v>
      </c>
      <c r="C30" s="10">
        <f>'11c'!C30/'11c'!$B30*100</f>
        <v>83.754512635379058</v>
      </c>
      <c r="D30" s="10">
        <f>'11c'!D30/'11c'!$B30*100</f>
        <v>85.379061371841161</v>
      </c>
      <c r="E30" s="10">
        <f>'11c'!E30/'11c'!$B30*100</f>
        <v>86.281588447653434</v>
      </c>
      <c r="F30" s="10">
        <f>'11c'!F30/'11c'!$B30*100</f>
        <v>82.851985559566785</v>
      </c>
      <c r="G30" s="10">
        <f>'11c'!G30/'11c'!$B30*100</f>
        <v>85.198555956678703</v>
      </c>
      <c r="H30" s="10">
        <f>'11c'!H30/'11c'!$B30*100</f>
        <v>109.56678700361012</v>
      </c>
      <c r="I30" s="10">
        <f>'11c'!I30/'11c'!$B30*100</f>
        <v>90.433212996389884</v>
      </c>
      <c r="J30" s="10">
        <f>'11c'!J30/'11c'!$B30*100</f>
        <v>92.057761732851986</v>
      </c>
      <c r="K30" s="10">
        <f>'11c'!K30/'11c'!$B30*100</f>
        <v>118.95306859205776</v>
      </c>
      <c r="L30" s="10">
        <f>'11c'!L30/'11c'!$B30*100</f>
        <v>99.458483754512642</v>
      </c>
      <c r="N30" s="19">
        <f>SUM(C106:L106)/10</f>
        <v>178.46576913552894</v>
      </c>
      <c r="O30" s="19">
        <f>SQRT(N30)</f>
        <v>13.359108096558279</v>
      </c>
      <c r="P30" s="19"/>
      <c r="Q30" s="19"/>
    </row>
    <row r="31" spans="1:17" s="961" customFormat="1">
      <c r="A31" s="120">
        <v>2007</v>
      </c>
      <c r="B31" s="135">
        <f>'11c'!B31/'11c'!$B31*100</f>
        <v>100</v>
      </c>
      <c r="C31" s="10">
        <f>'11c'!C31/'11c'!$B31*100</f>
        <v>87.108013937282223</v>
      </c>
      <c r="D31" s="10">
        <f>'11c'!D31/'11c'!$B31*100</f>
        <v>84.494773519163772</v>
      </c>
      <c r="E31" s="10">
        <f>'11c'!E31/'11c'!$B31*100</f>
        <v>84.843205574912901</v>
      </c>
      <c r="F31" s="10">
        <f>'11c'!F31/'11c'!$B31*100</f>
        <v>83.449477351916386</v>
      </c>
      <c r="G31" s="10">
        <f>'11c'!G31/'11c'!$B31*100</f>
        <v>83.7979094076655</v>
      </c>
      <c r="H31" s="10">
        <f>'11c'!H31/'11c'!$B31*100</f>
        <v>109.23344947735191</v>
      </c>
      <c r="I31" s="10">
        <f>'11c'!I31/'11c'!$B31*100</f>
        <v>92.508710801393718</v>
      </c>
      <c r="J31" s="10">
        <f>'11c'!J31/'11c'!$B31*100</f>
        <v>93.379790940766554</v>
      </c>
      <c r="K31" s="10">
        <f>'11c'!K31/'11c'!$B31*100</f>
        <v>120.03484320557492</v>
      </c>
      <c r="L31" s="10">
        <f>'11c'!L31/'11c'!$B31*100</f>
        <v>100.34843205574913</v>
      </c>
      <c r="N31" s="19">
        <f>SUM(C107:L107)/10</f>
        <v>175.94908278599956</v>
      </c>
      <c r="O31" s="19">
        <f>SQRT(N31)</f>
        <v>13.264580007900724</v>
      </c>
      <c r="P31" s="19"/>
      <c r="Q31" s="19"/>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((((B13/B5))^(1/8))-1)*100</f>
        <v>0</v>
      </c>
      <c r="C33" s="959">
        <f t="shared" ref="C33:L33" si="4">((((C13/C5))^(1/8))-1)*100</f>
        <v>-0.41172876919716161</v>
      </c>
      <c r="D33" s="959">
        <f t="shared" si="4"/>
        <v>0.48432099138977502</v>
      </c>
      <c r="E33" s="959">
        <f t="shared" si="4"/>
        <v>0.61174058871256154</v>
      </c>
      <c r="F33" s="959">
        <f t="shared" si="4"/>
        <v>0.32292973024414806</v>
      </c>
      <c r="G33" s="959">
        <f t="shared" si="4"/>
        <v>-0.33206131198908473</v>
      </c>
      <c r="H33" s="959">
        <f t="shared" si="4"/>
        <v>0.85335064695779561</v>
      </c>
      <c r="I33" s="959">
        <f t="shared" si="4"/>
        <v>2.7326148161588293E-2</v>
      </c>
      <c r="J33" s="959">
        <f t="shared" si="4"/>
        <v>-1.3398849039576777</v>
      </c>
      <c r="K33" s="959">
        <f t="shared" si="4"/>
        <v>-1.3108688368838384</v>
      </c>
      <c r="L33" s="959">
        <f t="shared" si="4"/>
        <v>-0.89278956411090737</v>
      </c>
      <c r="M33" s="959"/>
      <c r="N33" s="959">
        <f>((((N13/N5))^(1/8))-1)*100</f>
        <v>-3.2579038571034502E-2</v>
      </c>
      <c r="O33" s="959">
        <f>((((O13/O5))^(1/8))-1)*100</f>
        <v>-1.629084624387156E-2</v>
      </c>
      <c r="P33" s="959">
        <f>((((P13/P5))^(1/8))-1)*100</f>
        <v>-3.3933159614085939</v>
      </c>
      <c r="Q33" s="959">
        <f>((((Q13/Q5))^(1/8))-1)*100</f>
        <v>-1.7113007316754691</v>
      </c>
    </row>
    <row r="34" spans="1:17" s="114" customFormat="1">
      <c r="A34" s="431" t="s">
        <v>604</v>
      </c>
      <c r="B34" s="959">
        <f>((((B24/B13))^(1/11))-1)*100</f>
        <v>0</v>
      </c>
      <c r="C34" s="959">
        <f t="shared" ref="C34:L34" si="5">((((C24/C13))^(1/11))-1)*100</f>
        <v>-0.61663844071908613</v>
      </c>
      <c r="D34" s="959">
        <f t="shared" si="5"/>
        <v>-7.3993323265086897E-2</v>
      </c>
      <c r="E34" s="959">
        <f t="shared" si="5"/>
        <v>-0.22217500576114935</v>
      </c>
      <c r="F34" s="959">
        <f t="shared" si="5"/>
        <v>-5.5690444950329265E-2</v>
      </c>
      <c r="G34" s="959">
        <f t="shared" si="5"/>
        <v>-0.34542081371060629</v>
      </c>
      <c r="H34" s="959">
        <f t="shared" si="5"/>
        <v>0.16751507362100515</v>
      </c>
      <c r="I34" s="959">
        <f t="shared" si="5"/>
        <v>-0.24055332073701363</v>
      </c>
      <c r="J34" s="959">
        <f t="shared" si="5"/>
        <v>-5.5111561025689149E-2</v>
      </c>
      <c r="K34" s="959">
        <f t="shared" si="5"/>
        <v>0.59633527301081735</v>
      </c>
      <c r="L34" s="959">
        <f t="shared" si="5"/>
        <v>-0.38933553187479042</v>
      </c>
      <c r="M34" s="959"/>
      <c r="N34" s="959">
        <f>((((N24/N13))^(1/11))-1)*100</f>
        <v>3.39952727874413</v>
      </c>
      <c r="O34" s="959">
        <f>((((O24/O13))^(1/11))-1)*100</f>
        <v>1.6855581086833382</v>
      </c>
      <c r="P34" s="959"/>
      <c r="Q34" s="959"/>
    </row>
    <row r="35" spans="1:17" s="114" customFormat="1">
      <c r="A35" s="431" t="s">
        <v>819</v>
      </c>
      <c r="B35" s="23">
        <f t="shared" ref="B35:L35" si="6">((((B30/B5))^(1/25))-1)*100</f>
        <v>0</v>
      </c>
      <c r="C35" s="23">
        <f t="shared" si="6"/>
        <v>-0.41615167707413914</v>
      </c>
      <c r="D35" s="23">
        <f t="shared" si="6"/>
        <v>0.17682642683052308</v>
      </c>
      <c r="E35" s="23">
        <f t="shared" si="6"/>
        <v>8.3160001024351615E-2</v>
      </c>
      <c r="F35" s="23">
        <f t="shared" si="6"/>
        <v>-8.8589873070898939E-2</v>
      </c>
      <c r="G35" s="23">
        <f t="shared" si="6"/>
        <v>-0.3046512572220883</v>
      </c>
      <c r="H35" s="23">
        <f t="shared" si="6"/>
        <v>0.13870778106239712</v>
      </c>
      <c r="I35" s="23">
        <f t="shared" si="6"/>
        <v>-6.6585623768034008E-2</v>
      </c>
      <c r="J35" s="23">
        <f t="shared" si="6"/>
        <v>-0.18328994780993924</v>
      </c>
      <c r="K35" s="23">
        <f t="shared" si="6"/>
        <v>0.29664084013587555</v>
      </c>
      <c r="L35" s="23">
        <f t="shared" si="6"/>
        <v>-0.20246940590366025</v>
      </c>
      <c r="M35" s="23"/>
      <c r="N35" s="23">
        <f>((((N30/N5))^(1/25))-1)*100</f>
        <v>1.7160720768274018</v>
      </c>
      <c r="O35" s="23">
        <f>((((O30/O5))^(1/25))-1)*100</f>
        <v>0.85438615986288546</v>
      </c>
      <c r="P35" s="959"/>
      <c r="Q35" s="959"/>
    </row>
    <row r="36" spans="1:17" s="114" customFormat="1">
      <c r="A36" s="431" t="s">
        <v>447</v>
      </c>
      <c r="B36" s="23">
        <f>((((B31/B5))^(1/26))-1)*100</f>
        <v>0</v>
      </c>
      <c r="C36" s="23">
        <f t="shared" ref="C36:L36" si="7">((((C31/C5))^(1/26))-1)*100</f>
        <v>-0.24967303895788717</v>
      </c>
      <c r="D36" s="23">
        <f t="shared" si="7"/>
        <v>0.12991647655948846</v>
      </c>
      <c r="E36" s="23">
        <f t="shared" si="7"/>
        <v>1.5270556531721269E-2</v>
      </c>
      <c r="F36" s="23">
        <f t="shared" si="7"/>
        <v>-5.7566526015218056E-2</v>
      </c>
      <c r="G36" s="23">
        <f t="shared" si="7"/>
        <v>-0.3564995299922713</v>
      </c>
      <c r="H36" s="23">
        <f t="shared" si="7"/>
        <v>0.12163529145083896</v>
      </c>
      <c r="I36" s="23">
        <f t="shared" si="7"/>
        <v>2.3230621447956068E-2</v>
      </c>
      <c r="J36" s="23">
        <f t="shared" si="7"/>
        <v>-0.12148693926886667</v>
      </c>
      <c r="K36" s="23">
        <f t="shared" si="7"/>
        <v>0.32014004670852803</v>
      </c>
      <c r="L36" s="23">
        <f t="shared" si="7"/>
        <v>-0.16048846816008044</v>
      </c>
      <c r="M36" s="23"/>
      <c r="N36" s="23">
        <f>((((N31/N5))^(1/26))-1)*100</f>
        <v>1.5940183927420248</v>
      </c>
      <c r="O36" s="23">
        <f>((((O31/O5))^(1/26))-1)*100</f>
        <v>0.79385814261800913</v>
      </c>
      <c r="P36" s="959"/>
      <c r="Q36" s="959"/>
    </row>
    <row r="37" spans="1:17" s="114" customFormat="1">
      <c r="A37" s="431" t="s">
        <v>818</v>
      </c>
      <c r="B37" s="959">
        <f t="shared" ref="B37:L37" si="8">((((B30/B24))^(1/6))-1)*100</f>
        <v>0</v>
      </c>
      <c r="C37" s="959">
        <f t="shared" si="8"/>
        <v>-5.3460324860221675E-2</v>
      </c>
      <c r="D37" s="959">
        <f t="shared" si="8"/>
        <v>0.22788747146436084</v>
      </c>
      <c r="E37" s="959">
        <f t="shared" si="8"/>
        <v>-5.9021970841732774E-2</v>
      </c>
      <c r="F37" s="959">
        <f t="shared" si="8"/>
        <v>-0.69461603726935772</v>
      </c>
      <c r="G37" s="959">
        <f t="shared" si="8"/>
        <v>-0.19327785510143691</v>
      </c>
      <c r="H37" s="959">
        <f t="shared" si="8"/>
        <v>-0.8585720259739249</v>
      </c>
      <c r="I37" s="959">
        <f t="shared" si="8"/>
        <v>0.12766473843321968</v>
      </c>
      <c r="J37" s="959">
        <f t="shared" si="8"/>
        <v>1.1417150325539804</v>
      </c>
      <c r="K37" s="959">
        <f t="shared" si="8"/>
        <v>1.921753993234443</v>
      </c>
      <c r="L37" s="959">
        <f t="shared" si="8"/>
        <v>1.0721355796781351</v>
      </c>
      <c r="M37" s="959"/>
      <c r="N37" s="959">
        <f>((((N30/N24))^(1/6))-1)*100</f>
        <v>1.0092753310144476</v>
      </c>
      <c r="O37" s="959">
        <f>((((O30/O24))^(1/6))-1)*100</f>
        <v>0.5033707549226607</v>
      </c>
      <c r="P37" s="959">
        <f>((((P24/P13))^(1/11))-1)*100</f>
        <v>3.9743676809515405</v>
      </c>
      <c r="Q37" s="959">
        <f>((((Q24/Q13))^(1/11))-1)*100</f>
        <v>1.9678222190468997</v>
      </c>
    </row>
    <row r="38" spans="1:17" s="114" customFormat="1">
      <c r="A38" s="431" t="s">
        <v>449</v>
      </c>
      <c r="B38" s="959">
        <f>((((B31/B24))^(1/7))-1)*100</f>
        <v>0</v>
      </c>
      <c r="C38" s="959">
        <f t="shared" ref="C38:L38" si="9">((((C31/C24))^(1/7))-1)*100</f>
        <v>0.51633356559515065</v>
      </c>
      <c r="D38" s="959">
        <f t="shared" si="9"/>
        <v>4.6389113286693373E-2</v>
      </c>
      <c r="E38" s="959">
        <f t="shared" si="9"/>
        <v>-0.29034457849370643</v>
      </c>
      <c r="F38" s="959">
        <f t="shared" si="9"/>
        <v>-0.49358791289380033</v>
      </c>
      <c r="G38" s="959">
        <f t="shared" si="9"/>
        <v>-0.40182362992915444</v>
      </c>
      <c r="H38" s="959">
        <f t="shared" si="9"/>
        <v>-0.77956974600906781</v>
      </c>
      <c r="I38" s="959">
        <f t="shared" si="9"/>
        <v>0.43445832499735548</v>
      </c>
      <c r="J38" s="959">
        <f t="shared" si="9"/>
        <v>1.1837157572115231</v>
      </c>
      <c r="K38" s="959">
        <f t="shared" si="9"/>
        <v>1.7765144133343735</v>
      </c>
      <c r="L38" s="959">
        <f t="shared" si="9"/>
        <v>1.0467819616201357</v>
      </c>
      <c r="M38" s="959"/>
      <c r="N38" s="959">
        <f>((((N31/N24))^(1/7))-1)*100</f>
        <v>0.66003738241493526</v>
      </c>
      <c r="O38" s="959">
        <f>((((O31/O24))^(1/7))-1)*100</f>
        <v>0.32947591930048148</v>
      </c>
      <c r="P38" s="23">
        <f>((((P28/P5))^(1/23))-1)*100</f>
        <v>0.93795643432346143</v>
      </c>
      <c r="Q38" s="23">
        <f>((((Q28/Q5))^(1/23))-1)*100</f>
        <v>0.46788364165111229</v>
      </c>
    </row>
    <row r="39" spans="1:17" s="114" customFormat="1">
      <c r="A39" s="431"/>
      <c r="D39" s="959" t="s">
        <v>276</v>
      </c>
      <c r="M39" s="959"/>
      <c r="P39" s="959">
        <f>((((P28/P24))^(1/4))-1)*100</f>
        <v>1.566801852197286</v>
      </c>
      <c r="Q39" s="959">
        <f>((((Q28/Q24))^(1/4))-1)*100</f>
        <v>0.78035614751383875</v>
      </c>
    </row>
    <row r="40" spans="1:17" s="114" customFormat="1">
      <c r="A40" s="431" t="s">
        <v>819</v>
      </c>
      <c r="B40" s="10">
        <f t="shared" ref="B40:L40" si="10">(B30/B5-1)*100</f>
        <v>0</v>
      </c>
      <c r="C40" s="10">
        <f t="shared" si="10"/>
        <v>-9.9004485286073756</v>
      </c>
      <c r="D40" s="10">
        <f t="shared" si="10"/>
        <v>4.5157475413917458</v>
      </c>
      <c r="E40" s="10">
        <f t="shared" si="10"/>
        <v>2.0998796630565808</v>
      </c>
      <c r="F40" s="10">
        <f t="shared" si="10"/>
        <v>-2.1913614653095159</v>
      </c>
      <c r="G40" s="10">
        <f t="shared" si="10"/>
        <v>-7.3442400208548868</v>
      </c>
      <c r="H40" s="10">
        <f t="shared" si="10"/>
        <v>3.5260325870612563</v>
      </c>
      <c r="I40" s="10">
        <f t="shared" si="10"/>
        <v>-1.6514073102718352</v>
      </c>
      <c r="J40" s="10">
        <f t="shared" si="10"/>
        <v>-4.4828651748905273</v>
      </c>
      <c r="K40" s="10">
        <f t="shared" si="10"/>
        <v>7.6861112755058469</v>
      </c>
      <c r="L40" s="10">
        <f t="shared" si="10"/>
        <v>-4.9406414884754053</v>
      </c>
      <c r="M40" s="10"/>
      <c r="N40" s="10">
        <f>(N30/N5-1)*100</f>
        <v>53.016943206629442</v>
      </c>
      <c r="O40" s="10">
        <f>(O30/O5-1)*100</f>
        <v>23.700017464279057</v>
      </c>
    </row>
    <row r="41" spans="1:17" s="114" customFormat="1">
      <c r="A41" s="431" t="s">
        <v>447</v>
      </c>
      <c r="B41" s="10">
        <f>(B31/B5-1)*100</f>
        <v>0</v>
      </c>
      <c r="C41" s="10">
        <f t="shared" ref="C41:L41" si="11">(C31/C5-1)*100</f>
        <v>-6.2928940977721499</v>
      </c>
      <c r="D41" s="10">
        <f t="shared" si="11"/>
        <v>3.4332572389763394</v>
      </c>
      <c r="E41" s="10">
        <f t="shared" si="11"/>
        <v>0.39779326364695056</v>
      </c>
      <c r="F41" s="10">
        <f t="shared" si="11"/>
        <v>-1.4860089218469263</v>
      </c>
      <c r="G41" s="10">
        <f t="shared" si="11"/>
        <v>-8.8674814538079794</v>
      </c>
      <c r="H41" s="10">
        <f t="shared" si="11"/>
        <v>3.2110729852545594</v>
      </c>
      <c r="I41" s="10">
        <f t="shared" si="11"/>
        <v>0.60575332230345946</v>
      </c>
      <c r="J41" s="10">
        <f t="shared" si="11"/>
        <v>-3.1111563725240599</v>
      </c>
      <c r="K41" s="10">
        <f t="shared" si="11"/>
        <v>8.6654227198009757</v>
      </c>
      <c r="L41" s="10">
        <f t="shared" si="11"/>
        <v>-4.0900562851782336</v>
      </c>
      <c r="M41" s="10"/>
      <c r="N41" s="10">
        <f>(N31/N5-1)*100</f>
        <v>50.859130792068342</v>
      </c>
      <c r="O41" s="10">
        <f>(O31/O5-1)*100</f>
        <v>22.824725032083148</v>
      </c>
      <c r="P41" s="10">
        <f>(P28/P5-1)*100</f>
        <v>23.952040603790081</v>
      </c>
      <c r="Q41" s="10">
        <f>(Q28/Q5-1)*100</f>
        <v>11.333750769382632</v>
      </c>
    </row>
    <row r="42" spans="1:17">
      <c r="A42" s="4"/>
      <c r="N42" s="644"/>
      <c r="O42" s="644"/>
      <c r="P42" s="644"/>
      <c r="Q42" s="644"/>
    </row>
    <row r="43" spans="1:17">
      <c r="A43" s="9" t="s">
        <v>220</v>
      </c>
      <c r="N43" s="10"/>
      <c r="O43" s="10"/>
      <c r="P43" s="10"/>
      <c r="Q43" s="10"/>
    </row>
    <row r="44" spans="1:17" ht="23.25" customHeight="1">
      <c r="A44" s="1168" t="s">
        <v>1161</v>
      </c>
      <c r="B44" s="1169"/>
      <c r="C44" s="1169"/>
      <c r="D44" s="1169"/>
      <c r="E44" s="1169"/>
      <c r="F44" s="1169"/>
      <c r="G44" s="1169"/>
      <c r="H44" s="1169"/>
      <c r="I44" s="1169"/>
      <c r="J44" s="1169"/>
      <c r="K44" s="1169"/>
      <c r="L44" s="1169"/>
      <c r="N44" s="10"/>
      <c r="O44" s="10"/>
      <c r="P44" s="10"/>
      <c r="Q44" s="10"/>
    </row>
    <row r="45" spans="1:17" ht="40.5" customHeight="1">
      <c r="A45" s="1168" t="s">
        <v>978</v>
      </c>
      <c r="B45" s="1169"/>
      <c r="C45" s="1169"/>
      <c r="D45" s="1169"/>
      <c r="E45" s="1169"/>
      <c r="F45" s="1169"/>
      <c r="G45" s="1169"/>
      <c r="H45" s="1169"/>
      <c r="I45" s="1169"/>
      <c r="J45" s="1169"/>
      <c r="K45" s="1169"/>
      <c r="L45" s="1169"/>
      <c r="N45" s="10"/>
      <c r="O45" s="10"/>
      <c r="P45" s="10"/>
      <c r="Q45" s="10"/>
    </row>
    <row r="50" spans="2:12">
      <c r="B50" s="1" t="s">
        <v>278</v>
      </c>
    </row>
    <row r="51" spans="2:12">
      <c r="B51" s="1" t="s">
        <v>279</v>
      </c>
    </row>
    <row r="52" spans="2:12">
      <c r="B52" s="1">
        <v>1981</v>
      </c>
      <c r="C52" s="300">
        <f>C5-$B5</f>
        <v>-7.0422535211267672</v>
      </c>
      <c r="D52" s="300">
        <f t="shared" ref="D52:L52" si="12">D5-$B5</f>
        <v>-18.309859154929569</v>
      </c>
      <c r="E52" s="300">
        <f t="shared" si="12"/>
        <v>-15.492957746478879</v>
      </c>
      <c r="F52" s="300">
        <f t="shared" si="12"/>
        <v>-15.291750503018108</v>
      </c>
      <c r="G52" s="300">
        <f t="shared" si="12"/>
        <v>-8.0482897384305829</v>
      </c>
      <c r="H52" s="300">
        <f t="shared" si="12"/>
        <v>5.8350100603621797</v>
      </c>
      <c r="I52" s="300">
        <f t="shared" si="12"/>
        <v>-8.0482897384305829</v>
      </c>
      <c r="J52" s="300">
        <f t="shared" si="12"/>
        <v>-3.6217303822937623</v>
      </c>
      <c r="K52" s="300">
        <f t="shared" si="12"/>
        <v>10.462776659959758</v>
      </c>
      <c r="L52" s="300">
        <f t="shared" si="12"/>
        <v>4.6277665995975781</v>
      </c>
    </row>
    <row r="53" spans="2:12">
      <c r="B53" s="1">
        <v>1982</v>
      </c>
      <c r="C53" s="300">
        <f t="shared" ref="C53:L68" si="13">C6-$B6</f>
        <v>-7.8512396694214885</v>
      </c>
      <c r="D53" s="300">
        <f t="shared" si="13"/>
        <v>-16.322314049586765</v>
      </c>
      <c r="E53" s="300">
        <f t="shared" si="13"/>
        <v>-13.84297520661157</v>
      </c>
      <c r="F53" s="300">
        <f t="shared" si="13"/>
        <v>-14.876033057851231</v>
      </c>
      <c r="G53" s="300">
        <f t="shared" si="13"/>
        <v>-9.0909090909090935</v>
      </c>
      <c r="H53" s="300">
        <f t="shared" si="13"/>
        <v>5.1652892561983492</v>
      </c>
      <c r="I53" s="300">
        <f t="shared" si="13"/>
        <v>-6.1983471074380248</v>
      </c>
      <c r="J53" s="300">
        <f t="shared" si="13"/>
        <v>-3.3057851239669418</v>
      </c>
      <c r="K53" s="300">
        <f t="shared" si="13"/>
        <v>15.082644628099189</v>
      </c>
      <c r="L53" s="300">
        <f t="shared" si="13"/>
        <v>3.9256198347107301</v>
      </c>
    </row>
    <row r="54" spans="2:12">
      <c r="B54" s="1">
        <v>1983</v>
      </c>
      <c r="C54" s="300">
        <f t="shared" si="13"/>
        <v>-13.588110403397025</v>
      </c>
      <c r="D54" s="300">
        <f t="shared" si="13"/>
        <v>-10.403397027600846</v>
      </c>
      <c r="E54" s="300">
        <f t="shared" si="13"/>
        <v>-11.040339702760079</v>
      </c>
      <c r="F54" s="300">
        <f t="shared" si="13"/>
        <v>-16.772823779193203</v>
      </c>
      <c r="G54" s="300">
        <f t="shared" si="13"/>
        <v>-8.7048832271762251</v>
      </c>
      <c r="H54" s="300">
        <f t="shared" si="13"/>
        <v>7.2186836518046675</v>
      </c>
      <c r="I54" s="300">
        <f t="shared" si="13"/>
        <v>-2.1231422505307904</v>
      </c>
      <c r="J54" s="300">
        <f t="shared" si="13"/>
        <v>-3.8216560509554114</v>
      </c>
      <c r="K54" s="300">
        <f t="shared" si="13"/>
        <v>7.4309978768577452</v>
      </c>
      <c r="L54" s="300">
        <f t="shared" si="13"/>
        <v>1.9108280254777128</v>
      </c>
    </row>
    <row r="55" spans="2:12">
      <c r="B55" s="1">
        <v>1984</v>
      </c>
      <c r="C55" s="300">
        <f t="shared" si="13"/>
        <v>-11.839323467230443</v>
      </c>
      <c r="D55" s="300">
        <f t="shared" si="13"/>
        <v>-13.530655391120504</v>
      </c>
      <c r="E55" s="300">
        <f t="shared" si="13"/>
        <v>-9.7251585623678665</v>
      </c>
      <c r="F55" s="300">
        <f t="shared" si="13"/>
        <v>-10.993657505285412</v>
      </c>
      <c r="G55" s="300">
        <f t="shared" si="13"/>
        <v>-7.399577167019018</v>
      </c>
      <c r="H55" s="300">
        <f t="shared" si="13"/>
        <v>8.0338266384778052</v>
      </c>
      <c r="I55" s="300">
        <f t="shared" si="13"/>
        <v>-3.8054968287526378</v>
      </c>
      <c r="J55" s="300">
        <f t="shared" si="13"/>
        <v>-5.2854122621564557</v>
      </c>
      <c r="K55" s="300">
        <f t="shared" si="13"/>
        <v>3.3826638477801225</v>
      </c>
      <c r="L55" s="300">
        <f t="shared" si="13"/>
        <v>-1.2684989429175459</v>
      </c>
    </row>
    <row r="56" spans="2:12">
      <c r="B56" s="1">
        <v>1985</v>
      </c>
      <c r="C56" s="300">
        <f t="shared" si="13"/>
        <v>-12.916666666666671</v>
      </c>
      <c r="D56" s="300">
        <f t="shared" si="13"/>
        <v>-14.166666666666671</v>
      </c>
      <c r="E56" s="300">
        <f t="shared" si="13"/>
        <v>-6.875</v>
      </c>
      <c r="F56" s="300">
        <f t="shared" si="13"/>
        <v>-11.458333333333343</v>
      </c>
      <c r="G56" s="300">
        <f t="shared" si="13"/>
        <v>-8.5416666666666714</v>
      </c>
      <c r="H56" s="300">
        <f t="shared" si="13"/>
        <v>8.9583333333333286</v>
      </c>
      <c r="I56" s="300">
        <f t="shared" si="13"/>
        <v>-5.4166666666666714</v>
      </c>
      <c r="J56" s="300">
        <f t="shared" si="13"/>
        <v>-7.0833333333333286</v>
      </c>
      <c r="K56" s="300">
        <f t="shared" si="13"/>
        <v>6.6666666666666714</v>
      </c>
      <c r="L56" s="300">
        <f t="shared" si="13"/>
        <v>-1.875</v>
      </c>
    </row>
    <row r="57" spans="2:12">
      <c r="B57" s="1">
        <v>1986</v>
      </c>
      <c r="C57" s="300">
        <f t="shared" si="13"/>
        <v>-17.84232365145229</v>
      </c>
      <c r="D57" s="300">
        <f t="shared" si="13"/>
        <v>-14.522821576763491</v>
      </c>
      <c r="E57" s="300">
        <f t="shared" si="13"/>
        <v>-10.373443983402481</v>
      </c>
      <c r="F57" s="300">
        <f t="shared" si="13"/>
        <v>-12.863070539419084</v>
      </c>
      <c r="G57" s="300">
        <f t="shared" si="13"/>
        <v>-8.7136929460580888</v>
      </c>
      <c r="H57" s="300">
        <f t="shared" si="13"/>
        <v>9.9585062240663973</v>
      </c>
      <c r="I57" s="300">
        <f t="shared" si="13"/>
        <v>-5.3941908713693039</v>
      </c>
      <c r="J57" s="300">
        <f t="shared" si="13"/>
        <v>-9.7510373443983411</v>
      </c>
      <c r="K57" s="300">
        <f t="shared" si="13"/>
        <v>4.5643153526971076</v>
      </c>
      <c r="L57" s="300">
        <f t="shared" si="13"/>
        <v>-1.4522821576763363</v>
      </c>
    </row>
    <row r="58" spans="2:12">
      <c r="B58" s="1">
        <v>1987</v>
      </c>
      <c r="C58" s="300">
        <f t="shared" si="13"/>
        <v>-13.541666666666657</v>
      </c>
      <c r="D58" s="300">
        <f t="shared" si="13"/>
        <v>-12.083333333333329</v>
      </c>
      <c r="E58" s="300">
        <f t="shared" si="13"/>
        <v>-8.9583333333333286</v>
      </c>
      <c r="F58" s="300">
        <f t="shared" si="13"/>
        <v>-14.583333333333343</v>
      </c>
      <c r="G58" s="300">
        <f t="shared" si="13"/>
        <v>-8.9583333333333286</v>
      </c>
      <c r="H58" s="300">
        <f t="shared" si="13"/>
        <v>11.874999999999986</v>
      </c>
      <c r="I58" s="300">
        <f t="shared" si="13"/>
        <v>-8.3333333333333428</v>
      </c>
      <c r="J58" s="300">
        <f t="shared" si="13"/>
        <v>-9.5833333333333286</v>
      </c>
      <c r="K58" s="300">
        <f t="shared" si="13"/>
        <v>0.4166666666666714</v>
      </c>
      <c r="L58" s="300">
        <f t="shared" si="13"/>
        <v>-3.5416666666666714</v>
      </c>
    </row>
    <row r="59" spans="2:12">
      <c r="B59" s="1">
        <v>1988</v>
      </c>
      <c r="C59" s="300">
        <f t="shared" si="13"/>
        <v>-11.451942740286299</v>
      </c>
      <c r="D59" s="300">
        <f t="shared" si="13"/>
        <v>-16.359918200408998</v>
      </c>
      <c r="E59" s="300">
        <f t="shared" si="13"/>
        <v>-11.247443762781188</v>
      </c>
      <c r="F59" s="300">
        <f t="shared" si="13"/>
        <v>-13.701431492842531</v>
      </c>
      <c r="G59" s="300">
        <f t="shared" si="13"/>
        <v>-11.247443762781188</v>
      </c>
      <c r="H59" s="300">
        <f t="shared" si="13"/>
        <v>13.292433537832309</v>
      </c>
      <c r="I59" s="300">
        <f t="shared" si="13"/>
        <v>-8.3844580777096098</v>
      </c>
      <c r="J59" s="300">
        <f t="shared" si="13"/>
        <v>-12.269938650306742</v>
      </c>
      <c r="K59" s="300">
        <f t="shared" si="13"/>
        <v>0.61349693251533211</v>
      </c>
      <c r="L59" s="300">
        <f t="shared" si="13"/>
        <v>-1.6359918200408998</v>
      </c>
    </row>
    <row r="60" spans="2:12">
      <c r="B60" s="1">
        <v>1989</v>
      </c>
      <c r="C60" s="300">
        <f t="shared" si="13"/>
        <v>-10.060362173038229</v>
      </c>
      <c r="D60" s="300">
        <f t="shared" si="13"/>
        <v>-15.090543259557336</v>
      </c>
      <c r="E60" s="300">
        <f t="shared" si="13"/>
        <v>-11.267605633802816</v>
      </c>
      <c r="F60" s="300">
        <f t="shared" si="13"/>
        <v>-13.07847082494969</v>
      </c>
      <c r="G60" s="300">
        <f t="shared" si="13"/>
        <v>-10.462776659959758</v>
      </c>
      <c r="H60" s="300">
        <f t="shared" si="13"/>
        <v>13.279678068410462</v>
      </c>
      <c r="I60" s="300">
        <f t="shared" si="13"/>
        <v>-7.8470824949698113</v>
      </c>
      <c r="J60" s="300">
        <f t="shared" si="13"/>
        <v>-13.480885311871234</v>
      </c>
      <c r="K60" s="300">
        <f t="shared" si="13"/>
        <v>-0.60362173038230083</v>
      </c>
      <c r="L60" s="300">
        <f t="shared" si="13"/>
        <v>-2.6156941649899323</v>
      </c>
    </row>
    <row r="61" spans="2:12">
      <c r="B61" s="1">
        <v>1990</v>
      </c>
      <c r="C61" s="300">
        <f t="shared" si="13"/>
        <v>-10.416666666666657</v>
      </c>
      <c r="D61" s="300">
        <f t="shared" si="13"/>
        <v>-12.5</v>
      </c>
      <c r="E61" s="300">
        <f t="shared" si="13"/>
        <v>-8.9583333333333286</v>
      </c>
      <c r="F61" s="300">
        <f t="shared" si="13"/>
        <v>-12.708333333333329</v>
      </c>
      <c r="G61" s="300">
        <f t="shared" si="13"/>
        <v>-11.666666666666671</v>
      </c>
      <c r="H61" s="300">
        <f t="shared" si="13"/>
        <v>12.083333333333329</v>
      </c>
      <c r="I61" s="300">
        <f t="shared" si="13"/>
        <v>-8.3333333333333428</v>
      </c>
      <c r="J61" s="300">
        <f t="shared" si="13"/>
        <v>-12.708333333333329</v>
      </c>
      <c r="K61" s="300">
        <f t="shared" si="13"/>
        <v>2.4999999999999858</v>
      </c>
      <c r="L61" s="300">
        <f t="shared" si="13"/>
        <v>-0.4166666666666714</v>
      </c>
    </row>
    <row r="62" spans="2:12">
      <c r="B62" s="1">
        <v>1991</v>
      </c>
      <c r="C62" s="300">
        <f t="shared" si="13"/>
        <v>-10.799136069114468</v>
      </c>
      <c r="D62" s="300">
        <f t="shared" si="13"/>
        <v>-12.526997840172783</v>
      </c>
      <c r="E62" s="300">
        <f t="shared" si="13"/>
        <v>-10.367170626349903</v>
      </c>
      <c r="F62" s="300">
        <f t="shared" si="13"/>
        <v>-11.879049676025915</v>
      </c>
      <c r="G62" s="300">
        <f t="shared" si="13"/>
        <v>-11.231101511879046</v>
      </c>
      <c r="H62" s="300">
        <f t="shared" si="13"/>
        <v>11.015118790496771</v>
      </c>
      <c r="I62" s="300">
        <f t="shared" si="13"/>
        <v>-9.2872570194384423</v>
      </c>
      <c r="J62" s="300">
        <f t="shared" si="13"/>
        <v>-12.958963282937361</v>
      </c>
      <c r="K62" s="300">
        <f t="shared" si="13"/>
        <v>5.1835853131749587</v>
      </c>
      <c r="L62" s="300">
        <f t="shared" si="13"/>
        <v>-0.21598272138228936</v>
      </c>
    </row>
    <row r="63" spans="2:12">
      <c r="B63" s="1">
        <v>1992</v>
      </c>
      <c r="C63" s="300">
        <f t="shared" si="13"/>
        <v>-11.637931034482762</v>
      </c>
      <c r="D63" s="300">
        <f t="shared" si="13"/>
        <v>-10.34482758620689</v>
      </c>
      <c r="E63" s="300">
        <f t="shared" si="13"/>
        <v>-9.2672413793103487</v>
      </c>
      <c r="F63" s="300">
        <f t="shared" si="13"/>
        <v>-11.853448275862064</v>
      </c>
      <c r="G63" s="300">
        <f t="shared" si="13"/>
        <v>-11.206896551724128</v>
      </c>
      <c r="H63" s="300">
        <f t="shared" si="13"/>
        <v>10.34482758620689</v>
      </c>
      <c r="I63" s="300">
        <f t="shared" si="13"/>
        <v>-7.7586206896551744</v>
      </c>
      <c r="J63" s="300">
        <f t="shared" si="13"/>
        <v>-9.2672413793103487</v>
      </c>
      <c r="K63" s="300">
        <f t="shared" si="13"/>
        <v>1.2931034482758719</v>
      </c>
      <c r="L63" s="300">
        <f t="shared" si="13"/>
        <v>2.5862068965517295</v>
      </c>
    </row>
    <row r="64" spans="2:12">
      <c r="B64" s="1">
        <v>1993</v>
      </c>
      <c r="C64" s="300">
        <f t="shared" si="13"/>
        <v>-11.699779249448127</v>
      </c>
      <c r="D64" s="300">
        <f t="shared" si="13"/>
        <v>-11.479028697571749</v>
      </c>
      <c r="E64" s="300">
        <f t="shared" si="13"/>
        <v>-9.2715231788079535</v>
      </c>
      <c r="F64" s="300">
        <f t="shared" si="13"/>
        <v>-10.816777041942601</v>
      </c>
      <c r="G64" s="300">
        <f t="shared" si="13"/>
        <v>-12.58278145695364</v>
      </c>
      <c r="H64" s="300">
        <f t="shared" si="13"/>
        <v>11.479028697571735</v>
      </c>
      <c r="I64" s="300">
        <f t="shared" si="13"/>
        <v>-8.830022075055183</v>
      </c>
      <c r="J64" s="300">
        <f t="shared" si="13"/>
        <v>-11.699779249448127</v>
      </c>
      <c r="K64" s="300">
        <f t="shared" si="13"/>
        <v>4.4150110375275915</v>
      </c>
      <c r="L64" s="300">
        <f t="shared" si="13"/>
        <v>1.3245033112582831</v>
      </c>
    </row>
    <row r="65" spans="2:12">
      <c r="B65" s="1">
        <v>1994</v>
      </c>
      <c r="C65" s="300">
        <f t="shared" si="13"/>
        <v>-11.18421052631578</v>
      </c>
      <c r="D65" s="300">
        <f t="shared" si="13"/>
        <v>-10.087719298245617</v>
      </c>
      <c r="E65" s="300">
        <f t="shared" si="13"/>
        <v>-11.18421052631578</v>
      </c>
      <c r="F65" s="300">
        <f t="shared" si="13"/>
        <v>-12.280701754385973</v>
      </c>
      <c r="G65" s="300">
        <f t="shared" si="13"/>
        <v>-11.622807017543863</v>
      </c>
      <c r="H65" s="300">
        <f t="shared" si="13"/>
        <v>10.964912280701753</v>
      </c>
      <c r="I65" s="300">
        <f t="shared" si="13"/>
        <v>-6.5789473684210549</v>
      </c>
      <c r="J65" s="300">
        <f t="shared" si="13"/>
        <v>-11.842105263157904</v>
      </c>
      <c r="K65" s="300">
        <f t="shared" si="13"/>
        <v>3.9473684210526301</v>
      </c>
      <c r="L65" s="300">
        <f t="shared" si="13"/>
        <v>1.0964912280701782</v>
      </c>
    </row>
    <row r="66" spans="2:12">
      <c r="B66" s="1">
        <v>1995</v>
      </c>
      <c r="C66" s="300">
        <f t="shared" si="13"/>
        <v>-13.377192982456137</v>
      </c>
      <c r="D66" s="300">
        <f t="shared" si="13"/>
        <v>-10.964912280701753</v>
      </c>
      <c r="E66" s="300">
        <f t="shared" si="13"/>
        <v>-12.719298245614027</v>
      </c>
      <c r="F66" s="300">
        <f t="shared" si="13"/>
        <v>-11.622807017543863</v>
      </c>
      <c r="G66" s="300">
        <f t="shared" si="13"/>
        <v>-12.280701754385973</v>
      </c>
      <c r="H66" s="300">
        <f t="shared" si="13"/>
        <v>11.622807017543863</v>
      </c>
      <c r="I66" s="300">
        <f t="shared" si="13"/>
        <v>-6.3596491228070136</v>
      </c>
      <c r="J66" s="300">
        <f t="shared" si="13"/>
        <v>-10.307017543859658</v>
      </c>
      <c r="K66" s="300">
        <f t="shared" si="13"/>
        <v>3.5087719298245759</v>
      </c>
      <c r="L66" s="300">
        <f t="shared" si="13"/>
        <v>1.0964912280701782</v>
      </c>
    </row>
    <row r="67" spans="2:12">
      <c r="B67" s="1">
        <v>1996</v>
      </c>
      <c r="C67" s="300">
        <f t="shared" si="13"/>
        <v>-14.912280701754383</v>
      </c>
      <c r="D67" s="300">
        <f t="shared" si="13"/>
        <v>-10.526315789473685</v>
      </c>
      <c r="E67" s="300">
        <f t="shared" si="13"/>
        <v>-13.596491228070178</v>
      </c>
      <c r="F67" s="300">
        <f t="shared" si="13"/>
        <v>-11.842105263157904</v>
      </c>
      <c r="G67" s="300">
        <f t="shared" si="13"/>
        <v>-12.061403508771932</v>
      </c>
      <c r="H67" s="300">
        <f t="shared" si="13"/>
        <v>11.403508771929822</v>
      </c>
      <c r="I67" s="300">
        <f t="shared" si="13"/>
        <v>-6.5789473684210549</v>
      </c>
      <c r="J67" s="300">
        <f t="shared" si="13"/>
        <v>-10.964912280701753</v>
      </c>
      <c r="K67" s="300">
        <f t="shared" si="13"/>
        <v>4.3859649122806985</v>
      </c>
      <c r="L67" s="300">
        <f t="shared" si="13"/>
        <v>1.0964912280701782</v>
      </c>
    </row>
    <row r="68" spans="2:12">
      <c r="B68" s="1">
        <v>1997</v>
      </c>
      <c r="C68" s="300">
        <f t="shared" si="13"/>
        <v>-17.211328976034849</v>
      </c>
      <c r="D68" s="300">
        <f t="shared" si="13"/>
        <v>-13.507625272331154</v>
      </c>
      <c r="E68" s="300">
        <f t="shared" si="13"/>
        <v>-13.725490196078425</v>
      </c>
      <c r="F68" s="300">
        <f t="shared" si="13"/>
        <v>-13.507625272331154</v>
      </c>
      <c r="G68" s="300">
        <f t="shared" si="13"/>
        <v>-13.507625272331154</v>
      </c>
      <c r="H68" s="300">
        <f t="shared" si="13"/>
        <v>11.982570806100213</v>
      </c>
      <c r="I68" s="300">
        <f t="shared" si="13"/>
        <v>-7.8431372549019613</v>
      </c>
      <c r="J68" s="300">
        <f t="shared" si="13"/>
        <v>-10.675381263616558</v>
      </c>
      <c r="K68" s="300">
        <f t="shared" si="13"/>
        <v>8.2788671023965179</v>
      </c>
      <c r="L68" s="300">
        <f t="shared" si="13"/>
        <v>0.43572984749455657</v>
      </c>
    </row>
    <row r="69" spans="2:12">
      <c r="B69" s="1">
        <v>1998</v>
      </c>
      <c r="C69" s="300">
        <f t="shared" ref="C69:L78" si="14">C22-$B22</f>
        <v>-16.075156576200428</v>
      </c>
      <c r="D69" s="300">
        <f t="shared" si="14"/>
        <v>-13.778705636743211</v>
      </c>
      <c r="E69" s="300">
        <f t="shared" si="14"/>
        <v>-13.987473903966603</v>
      </c>
      <c r="F69" s="300">
        <f t="shared" si="14"/>
        <v>-13.152400835073067</v>
      </c>
      <c r="G69" s="300">
        <f t="shared" si="14"/>
        <v>-13.569937369519835</v>
      </c>
      <c r="H69" s="300">
        <f t="shared" si="14"/>
        <v>13.152400835073081</v>
      </c>
      <c r="I69" s="300">
        <f t="shared" si="14"/>
        <v>-7.0981210855949826</v>
      </c>
      <c r="J69" s="300">
        <f t="shared" si="14"/>
        <v>-12.526096033402922</v>
      </c>
      <c r="K69" s="300">
        <f t="shared" si="14"/>
        <v>7.9331941544885183</v>
      </c>
      <c r="L69" s="300">
        <f t="shared" si="14"/>
        <v>-2.0876826722338251</v>
      </c>
    </row>
    <row r="70" spans="2:12">
      <c r="B70" s="1">
        <v>1999</v>
      </c>
      <c r="C70" s="300">
        <f t="shared" si="14"/>
        <v>-15.959595959595958</v>
      </c>
      <c r="D70" s="300">
        <f t="shared" si="14"/>
        <v>-14.949494949494948</v>
      </c>
      <c r="E70" s="300">
        <f t="shared" si="14"/>
        <v>-13.535353535353536</v>
      </c>
      <c r="F70" s="300">
        <f t="shared" si="14"/>
        <v>-13.535353535353536</v>
      </c>
      <c r="G70" s="300">
        <f t="shared" si="14"/>
        <v>-14.141414141414145</v>
      </c>
      <c r="H70" s="300">
        <f t="shared" si="14"/>
        <v>15.151515151515156</v>
      </c>
      <c r="I70" s="300">
        <f t="shared" si="14"/>
        <v>-9.8989898989898961</v>
      </c>
      <c r="J70" s="300">
        <f t="shared" si="14"/>
        <v>-12.929292929292941</v>
      </c>
      <c r="K70" s="300">
        <f t="shared" si="14"/>
        <v>3.8383838383838338</v>
      </c>
      <c r="L70" s="300">
        <f t="shared" si="14"/>
        <v>-4.0404040404040416</v>
      </c>
    </row>
    <row r="71" spans="2:12">
      <c r="B71" s="1">
        <v>2000</v>
      </c>
      <c r="C71" s="300">
        <f t="shared" si="14"/>
        <v>-15.976331360946745</v>
      </c>
      <c r="D71" s="300">
        <f t="shared" si="14"/>
        <v>-15.779092702169635</v>
      </c>
      <c r="E71" s="300">
        <f t="shared" si="14"/>
        <v>-13.41222879684419</v>
      </c>
      <c r="F71" s="300">
        <f t="shared" si="14"/>
        <v>-13.609467455621299</v>
      </c>
      <c r="G71" s="300">
        <f t="shared" si="14"/>
        <v>-13.806706114398423</v>
      </c>
      <c r="H71" s="300">
        <f t="shared" si="14"/>
        <v>15.384615384615373</v>
      </c>
      <c r="I71" s="300">
        <f t="shared" si="14"/>
        <v>-10.256410256410248</v>
      </c>
      <c r="J71" s="300">
        <f t="shared" si="14"/>
        <v>-14.003944773175547</v>
      </c>
      <c r="K71" s="300">
        <f t="shared" si="14"/>
        <v>6.1143984220907441</v>
      </c>
      <c r="L71" s="300">
        <f t="shared" si="14"/>
        <v>-6.7061143984220877</v>
      </c>
    </row>
    <row r="72" spans="2:12">
      <c r="B72" s="1">
        <v>2001</v>
      </c>
      <c r="C72" s="300">
        <f t="shared" si="14"/>
        <v>-18.21631878557875</v>
      </c>
      <c r="D72" s="300">
        <f t="shared" si="14"/>
        <v>-17.077798861480076</v>
      </c>
      <c r="E72" s="300">
        <f t="shared" si="14"/>
        <v>-14.041745730550275</v>
      </c>
      <c r="F72" s="300">
        <f t="shared" si="14"/>
        <v>-14.421252371916509</v>
      </c>
      <c r="G72" s="300">
        <f t="shared" si="14"/>
        <v>-13.472485768500945</v>
      </c>
      <c r="H72" s="300">
        <f t="shared" si="14"/>
        <v>13.851992409867165</v>
      </c>
      <c r="I72" s="300">
        <f t="shared" si="14"/>
        <v>-10.436432637571158</v>
      </c>
      <c r="J72" s="300">
        <f t="shared" si="14"/>
        <v>-12.144212523719162</v>
      </c>
      <c r="K72" s="300">
        <f t="shared" si="14"/>
        <v>9.1081593927893749</v>
      </c>
      <c r="L72" s="300">
        <f t="shared" si="14"/>
        <v>-5.3130929791271342</v>
      </c>
    </row>
    <row r="73" spans="2:12">
      <c r="B73" s="1">
        <v>2002</v>
      </c>
      <c r="C73" s="300">
        <f t="shared" si="14"/>
        <v>-17.95841209829868</v>
      </c>
      <c r="D73" s="300">
        <f t="shared" si="14"/>
        <v>-15.500945179584122</v>
      </c>
      <c r="E73" s="300">
        <f t="shared" si="14"/>
        <v>-13.799621928166346</v>
      </c>
      <c r="F73" s="300">
        <f t="shared" si="14"/>
        <v>-16.068052930056709</v>
      </c>
      <c r="G73" s="300">
        <f t="shared" si="14"/>
        <v>-12.665406427221171</v>
      </c>
      <c r="H73" s="300">
        <f t="shared" si="14"/>
        <v>13.232514177693758</v>
      </c>
      <c r="I73" s="300">
        <f t="shared" si="14"/>
        <v>-8.8846880907372423</v>
      </c>
      <c r="J73" s="300">
        <f t="shared" si="14"/>
        <v>-12.665406427221171</v>
      </c>
      <c r="K73" s="300">
        <f t="shared" si="14"/>
        <v>6.6162570888468792</v>
      </c>
      <c r="L73" s="300">
        <f t="shared" si="14"/>
        <v>-3.5916824196597332</v>
      </c>
    </row>
    <row r="74" spans="2:12">
      <c r="B74" s="1">
        <v>2003</v>
      </c>
      <c r="C74" s="300">
        <f t="shared" si="14"/>
        <v>-18.095238095238102</v>
      </c>
      <c r="D74" s="300">
        <f t="shared" si="14"/>
        <v>-15.238095238095241</v>
      </c>
      <c r="E74" s="300">
        <f t="shared" si="14"/>
        <v>-14.666666666666657</v>
      </c>
      <c r="F74" s="300">
        <f t="shared" si="14"/>
        <v>-15.428571428571431</v>
      </c>
      <c r="G74" s="300">
        <f t="shared" si="14"/>
        <v>-12.952380952380949</v>
      </c>
      <c r="H74" s="300">
        <f t="shared" si="14"/>
        <v>13.523809523809518</v>
      </c>
      <c r="I74" s="300">
        <f t="shared" si="14"/>
        <v>-10.095238095238088</v>
      </c>
      <c r="J74" s="300">
        <f t="shared" si="14"/>
        <v>-10.857142857142861</v>
      </c>
      <c r="K74" s="300">
        <f t="shared" si="14"/>
        <v>8</v>
      </c>
      <c r="L74" s="300">
        <f t="shared" si="14"/>
        <v>-4.952380952380949</v>
      </c>
    </row>
    <row r="75" spans="2:12">
      <c r="B75" s="1">
        <v>2004</v>
      </c>
      <c r="C75" s="300">
        <f t="shared" si="14"/>
        <v>-19.065420560747654</v>
      </c>
      <c r="D75" s="300">
        <f t="shared" si="14"/>
        <v>-14.953271028037392</v>
      </c>
      <c r="E75" s="300">
        <f t="shared" si="14"/>
        <v>-15.140186915887853</v>
      </c>
      <c r="F75" s="300">
        <f t="shared" si="14"/>
        <v>-15.514018691588788</v>
      </c>
      <c r="G75" s="300">
        <f t="shared" si="14"/>
        <v>-12.523364485981304</v>
      </c>
      <c r="H75" s="300">
        <f t="shared" si="14"/>
        <v>12.149532710280369</v>
      </c>
      <c r="I75" s="300">
        <f t="shared" si="14"/>
        <v>-10.09345794392523</v>
      </c>
      <c r="J75" s="300">
        <f t="shared" si="14"/>
        <v>-13.084112149532714</v>
      </c>
      <c r="K75" s="300">
        <f t="shared" si="14"/>
        <v>9.9065420560747697</v>
      </c>
      <c r="L75" s="300">
        <f t="shared" si="14"/>
        <v>-3.9252336448598157</v>
      </c>
    </row>
    <row r="76" spans="2:12">
      <c r="B76" s="1">
        <v>2005</v>
      </c>
      <c r="C76" s="300">
        <f t="shared" si="14"/>
        <v>-16.820702402957494</v>
      </c>
      <c r="D76" s="300">
        <f t="shared" si="14"/>
        <v>-15.157116451016634</v>
      </c>
      <c r="E76" s="300">
        <f t="shared" si="14"/>
        <v>-13.308687615526807</v>
      </c>
      <c r="F76" s="300">
        <f t="shared" si="14"/>
        <v>-17.190388170055442</v>
      </c>
      <c r="G76" s="300">
        <f t="shared" si="14"/>
        <v>-14.417744916820709</v>
      </c>
      <c r="H76" s="300">
        <f t="shared" si="14"/>
        <v>11.460258780036952</v>
      </c>
      <c r="I76" s="300">
        <f t="shared" si="14"/>
        <v>-9.6118299445471393</v>
      </c>
      <c r="J76" s="300">
        <f t="shared" si="14"/>
        <v>-10.166358595194083</v>
      </c>
      <c r="K76" s="300">
        <f t="shared" si="14"/>
        <v>13.308687615526793</v>
      </c>
      <c r="L76" s="300">
        <f t="shared" si="14"/>
        <v>-1.293900184842883</v>
      </c>
    </row>
    <row r="77" spans="2:12">
      <c r="B77" s="24">
        <v>2006</v>
      </c>
      <c r="C77" s="300">
        <f t="shared" si="14"/>
        <v>-16.245487364620942</v>
      </c>
      <c r="D77" s="300">
        <f t="shared" si="14"/>
        <v>-14.620938628158839</v>
      </c>
      <c r="E77" s="300">
        <f t="shared" si="14"/>
        <v>-13.718411552346566</v>
      </c>
      <c r="F77" s="300">
        <f t="shared" si="14"/>
        <v>-17.148014440433215</v>
      </c>
      <c r="G77" s="300">
        <f t="shared" si="14"/>
        <v>-14.801444043321297</v>
      </c>
      <c r="H77" s="300">
        <f t="shared" si="14"/>
        <v>9.5667870036101164</v>
      </c>
      <c r="I77" s="300">
        <f t="shared" si="14"/>
        <v>-9.5667870036101164</v>
      </c>
      <c r="J77" s="300">
        <f t="shared" si="14"/>
        <v>-7.9422382671480136</v>
      </c>
      <c r="K77" s="300">
        <f t="shared" si="14"/>
        <v>18.953068592057761</v>
      </c>
      <c r="L77" s="300">
        <f t="shared" si="14"/>
        <v>-0.54151624548735811</v>
      </c>
    </row>
    <row r="78" spans="2:12" s="961" customFormat="1">
      <c r="B78" s="24">
        <v>2007</v>
      </c>
      <c r="C78" s="300">
        <f t="shared" si="14"/>
        <v>-12.891986062717777</v>
      </c>
      <c r="D78" s="300">
        <f t="shared" si="14"/>
        <v>-15.505226480836228</v>
      </c>
      <c r="E78" s="300">
        <f t="shared" si="14"/>
        <v>-15.156794425087099</v>
      </c>
      <c r="F78" s="300">
        <f t="shared" si="14"/>
        <v>-16.550522648083614</v>
      </c>
      <c r="G78" s="300">
        <f t="shared" si="14"/>
        <v>-16.2020905923345</v>
      </c>
      <c r="H78" s="300">
        <f t="shared" si="14"/>
        <v>9.2334494773519111</v>
      </c>
      <c r="I78" s="300">
        <f t="shared" si="14"/>
        <v>-7.4912891986062817</v>
      </c>
      <c r="J78" s="300">
        <f t="shared" si="14"/>
        <v>-6.6202090592334457</v>
      </c>
      <c r="K78" s="300">
        <f t="shared" si="14"/>
        <v>20.034843205574916</v>
      </c>
      <c r="L78" s="300">
        <f t="shared" si="14"/>
        <v>0.34843205574912872</v>
      </c>
    </row>
    <row r="80" spans="2:12">
      <c r="B80" s="1" t="s">
        <v>367</v>
      </c>
    </row>
    <row r="81" spans="2:12">
      <c r="B81" s="1">
        <v>1981</v>
      </c>
      <c r="C81" s="300">
        <f>C52^2</f>
        <v>49.593334655822353</v>
      </c>
      <c r="D81" s="300">
        <f t="shared" ref="D81:L81" si="15">D52^2</f>
        <v>335.25094227335813</v>
      </c>
      <c r="E81" s="300">
        <f t="shared" si="15"/>
        <v>240.03173973417992</v>
      </c>
      <c r="F81" s="300">
        <f t="shared" si="15"/>
        <v>233.83763344655455</v>
      </c>
      <c r="G81" s="300">
        <f t="shared" si="15"/>
        <v>64.774967713727023</v>
      </c>
      <c r="H81" s="300">
        <f t="shared" si="15"/>
        <v>34.047342404527846</v>
      </c>
      <c r="I81" s="300">
        <f t="shared" si="15"/>
        <v>64.774967713727023</v>
      </c>
      <c r="J81" s="300">
        <f t="shared" si="15"/>
        <v>13.116930962029722</v>
      </c>
      <c r="K81" s="300">
        <f t="shared" si="15"/>
        <v>109.46969543619866</v>
      </c>
      <c r="L81" s="300">
        <f t="shared" si="15"/>
        <v>21.41622370035093</v>
      </c>
    </row>
    <row r="82" spans="2:12">
      <c r="B82" s="1">
        <v>1982</v>
      </c>
      <c r="C82" s="300">
        <f t="shared" ref="C82:L97" si="16">C53^2</f>
        <v>61.641964346697648</v>
      </c>
      <c r="D82" s="300">
        <f t="shared" si="16"/>
        <v>266.4179359333375</v>
      </c>
      <c r="E82" s="300">
        <f t="shared" si="16"/>
        <v>191.62796257086262</v>
      </c>
      <c r="F82" s="300">
        <f t="shared" si="16"/>
        <v>221.29635953828264</v>
      </c>
      <c r="G82" s="300">
        <f t="shared" si="16"/>
        <v>82.644628099173602</v>
      </c>
      <c r="H82" s="300">
        <f t="shared" si="16"/>
        <v>26.680213100198095</v>
      </c>
      <c r="I82" s="300">
        <f t="shared" si="16"/>
        <v>38.419506864285331</v>
      </c>
      <c r="J82" s="300">
        <f t="shared" si="16"/>
        <v>10.928215285841128</v>
      </c>
      <c r="K82" s="300">
        <f t="shared" si="16"/>
        <v>227.48616897752933</v>
      </c>
      <c r="L82" s="300">
        <f t="shared" si="16"/>
        <v>15.4104910866743</v>
      </c>
    </row>
    <row r="83" spans="2:12">
      <c r="B83" s="1">
        <v>1983</v>
      </c>
      <c r="C83" s="300">
        <f t="shared" si="16"/>
        <v>184.63674433490644</v>
      </c>
      <c r="D83" s="300">
        <f t="shared" si="16"/>
        <v>108.23066971389412</v>
      </c>
      <c r="E83" s="300">
        <f t="shared" si="16"/>
        <v>121.88910075234051</v>
      </c>
      <c r="F83" s="300">
        <f t="shared" si="16"/>
        <v>281.32761752786894</v>
      </c>
      <c r="G83" s="300">
        <f t="shared" si="16"/>
        <v>75.77499199877397</v>
      </c>
      <c r="H83" s="300">
        <f t="shared" si="16"/>
        <v>52.10939366483197</v>
      </c>
      <c r="I83" s="300">
        <f t="shared" si="16"/>
        <v>4.5077330159889497</v>
      </c>
      <c r="J83" s="300">
        <f t="shared" si="16"/>
        <v>14.60505497180411</v>
      </c>
      <c r="K83" s="300">
        <f t="shared" si="16"/>
        <v>55.219729445864317</v>
      </c>
      <c r="L83" s="300">
        <f t="shared" si="16"/>
        <v>3.6512637429510546</v>
      </c>
    </row>
    <row r="84" spans="2:12">
      <c r="B84" s="1">
        <v>1984</v>
      </c>
      <c r="C84" s="300">
        <f t="shared" si="16"/>
        <v>140.16958016171347</v>
      </c>
      <c r="D84" s="300">
        <f t="shared" si="16"/>
        <v>183.07863531325836</v>
      </c>
      <c r="E84" s="300">
        <f t="shared" si="16"/>
        <v>94.578709063197024</v>
      </c>
      <c r="F84" s="300">
        <f t="shared" si="16"/>
        <v>120.86050534351828</v>
      </c>
      <c r="G84" s="300">
        <f t="shared" si="16"/>
        <v>54.753742250669198</v>
      </c>
      <c r="H84" s="300">
        <f t="shared" si="16"/>
        <v>64.542370457115595</v>
      </c>
      <c r="I84" s="300">
        <f t="shared" si="16"/>
        <v>14.481806113646384</v>
      </c>
      <c r="J84" s="300">
        <f t="shared" si="16"/>
        <v>27.935582780953823</v>
      </c>
      <c r="K84" s="300">
        <f t="shared" si="16"/>
        <v>11.442414707078624</v>
      </c>
      <c r="L84" s="300">
        <f t="shared" si="16"/>
        <v>1.6090895681829316</v>
      </c>
    </row>
    <row r="85" spans="2:12">
      <c r="B85" s="1">
        <v>1985</v>
      </c>
      <c r="C85" s="300">
        <f t="shared" si="16"/>
        <v>166.84027777777791</v>
      </c>
      <c r="D85" s="300">
        <f t="shared" si="16"/>
        <v>200.69444444444457</v>
      </c>
      <c r="E85" s="300">
        <f t="shared" si="16"/>
        <v>47.265625</v>
      </c>
      <c r="F85" s="300">
        <f t="shared" si="16"/>
        <v>131.293402777778</v>
      </c>
      <c r="G85" s="300">
        <f t="shared" si="16"/>
        <v>72.960069444444528</v>
      </c>
      <c r="H85" s="300">
        <f t="shared" si="16"/>
        <v>80.251736111111029</v>
      </c>
      <c r="I85" s="300">
        <f t="shared" si="16"/>
        <v>29.340277777777828</v>
      </c>
      <c r="J85" s="300">
        <f t="shared" si="16"/>
        <v>50.173611111111043</v>
      </c>
      <c r="K85" s="300">
        <f t="shared" si="16"/>
        <v>44.444444444444507</v>
      </c>
      <c r="L85" s="300">
        <f t="shared" si="16"/>
        <v>3.515625</v>
      </c>
    </row>
    <row r="86" spans="2:12">
      <c r="B86" s="1">
        <v>1986</v>
      </c>
      <c r="C86" s="300">
        <f t="shared" si="16"/>
        <v>318.34851328317376</v>
      </c>
      <c r="D86" s="300">
        <f t="shared" si="16"/>
        <v>210.91234655050721</v>
      </c>
      <c r="E86" s="300">
        <f t="shared" si="16"/>
        <v>107.60834007678913</v>
      </c>
      <c r="F86" s="300">
        <f t="shared" si="16"/>
        <v>165.45858370207117</v>
      </c>
      <c r="G86" s="300">
        <f t="shared" si="16"/>
        <v>75.928444758182494</v>
      </c>
      <c r="H86" s="300">
        <f t="shared" si="16"/>
        <v>99.171846214769175</v>
      </c>
      <c r="I86" s="300">
        <f t="shared" si="16"/>
        <v>29.097295156763931</v>
      </c>
      <c r="J86" s="300">
        <f t="shared" si="16"/>
        <v>95.082729291851052</v>
      </c>
      <c r="K86" s="300">
        <f t="shared" si="16"/>
        <v>20.832974638866521</v>
      </c>
      <c r="L86" s="300">
        <f t="shared" si="16"/>
        <v>2.1091234655050348</v>
      </c>
    </row>
    <row r="87" spans="2:12">
      <c r="B87" s="1">
        <v>1987</v>
      </c>
      <c r="C87" s="300">
        <f t="shared" si="16"/>
        <v>183.37673611111086</v>
      </c>
      <c r="D87" s="300">
        <f t="shared" si="16"/>
        <v>146.00694444444434</v>
      </c>
      <c r="E87" s="300">
        <f t="shared" si="16"/>
        <v>80.251736111111029</v>
      </c>
      <c r="F87" s="300">
        <f t="shared" si="16"/>
        <v>212.6736111111114</v>
      </c>
      <c r="G87" s="300">
        <f t="shared" si="16"/>
        <v>80.251736111111029</v>
      </c>
      <c r="H87" s="300">
        <f t="shared" si="16"/>
        <v>141.01562499999966</v>
      </c>
      <c r="I87" s="300">
        <f t="shared" si="16"/>
        <v>69.444444444444599</v>
      </c>
      <c r="J87" s="300">
        <f t="shared" si="16"/>
        <v>91.840277777777686</v>
      </c>
      <c r="K87" s="300">
        <f t="shared" si="16"/>
        <v>0.17361111111111505</v>
      </c>
      <c r="L87" s="300">
        <f t="shared" si="16"/>
        <v>12.543402777777811</v>
      </c>
    </row>
    <row r="88" spans="2:12">
      <c r="B88" s="1">
        <v>1988</v>
      </c>
      <c r="C88" s="300">
        <f t="shared" si="16"/>
        <v>131.14699252679605</v>
      </c>
      <c r="D88" s="300">
        <f t="shared" si="16"/>
        <v>267.6469235240736</v>
      </c>
      <c r="E88" s="300">
        <f t="shared" si="16"/>
        <v>126.50499119692545</v>
      </c>
      <c r="F88" s="300">
        <f t="shared" si="16"/>
        <v>187.7292249530571</v>
      </c>
      <c r="G88" s="300">
        <f t="shared" si="16"/>
        <v>126.50499119692545</v>
      </c>
      <c r="H88" s="300">
        <f t="shared" si="16"/>
        <v>176.68878935768916</v>
      </c>
      <c r="I88" s="300">
        <f t="shared" si="16"/>
        <v>70.299137256869926</v>
      </c>
      <c r="J88" s="300">
        <f t="shared" si="16"/>
        <v>150.55139448229122</v>
      </c>
      <c r="K88" s="300">
        <f t="shared" si="16"/>
        <v>0.37637848620572195</v>
      </c>
      <c r="L88" s="300">
        <f t="shared" si="16"/>
        <v>2.6764692352407358</v>
      </c>
    </row>
    <row r="89" spans="2:12">
      <c r="B89" s="1">
        <v>1989</v>
      </c>
      <c r="C89" s="300">
        <f t="shared" si="16"/>
        <v>101.21088705269847</v>
      </c>
      <c r="D89" s="300">
        <f t="shared" si="16"/>
        <v>227.72449586857135</v>
      </c>
      <c r="E89" s="300">
        <f t="shared" si="16"/>
        <v>126.95893671890497</v>
      </c>
      <c r="F89" s="300">
        <f t="shared" si="16"/>
        <v>171.04639911906023</v>
      </c>
      <c r="G89" s="300">
        <f t="shared" si="16"/>
        <v>109.46969543619866</v>
      </c>
      <c r="H89" s="300">
        <f t="shared" si="16"/>
        <v>176.34984960062181</v>
      </c>
      <c r="I89" s="300">
        <f t="shared" si="16"/>
        <v>61.576703682861641</v>
      </c>
      <c r="J89" s="300">
        <f t="shared" si="16"/>
        <v>181.73426879182557</v>
      </c>
      <c r="K89" s="300">
        <f t="shared" si="16"/>
        <v>0.36435919338972306</v>
      </c>
      <c r="L89" s="300">
        <f t="shared" si="16"/>
        <v>6.8418559647623791</v>
      </c>
    </row>
    <row r="90" spans="2:12">
      <c r="B90" s="1">
        <v>1990</v>
      </c>
      <c r="C90" s="300">
        <f t="shared" si="16"/>
        <v>108.50694444444424</v>
      </c>
      <c r="D90" s="300">
        <f t="shared" si="16"/>
        <v>156.25</v>
      </c>
      <c r="E90" s="300">
        <f t="shared" si="16"/>
        <v>80.251736111111029</v>
      </c>
      <c r="F90" s="300">
        <f t="shared" si="16"/>
        <v>161.501736111111</v>
      </c>
      <c r="G90" s="300">
        <f t="shared" si="16"/>
        <v>136.11111111111123</v>
      </c>
      <c r="H90" s="300">
        <f t="shared" si="16"/>
        <v>146.00694444444434</v>
      </c>
      <c r="I90" s="300">
        <f t="shared" si="16"/>
        <v>69.444444444444599</v>
      </c>
      <c r="J90" s="300">
        <f t="shared" si="16"/>
        <v>161.501736111111</v>
      </c>
      <c r="K90" s="300">
        <f t="shared" si="16"/>
        <v>6.2499999999999289</v>
      </c>
      <c r="L90" s="300">
        <f t="shared" si="16"/>
        <v>0.17361111111111505</v>
      </c>
    </row>
    <row r="91" spans="2:12">
      <c r="B91" s="1">
        <v>1991</v>
      </c>
      <c r="C91" s="300">
        <f t="shared" si="16"/>
        <v>116.62133983924907</v>
      </c>
      <c r="D91" s="300">
        <f t="shared" si="16"/>
        <v>156.92567488769356</v>
      </c>
      <c r="E91" s="300">
        <f t="shared" si="16"/>
        <v>107.47822679585225</v>
      </c>
      <c r="F91" s="300">
        <f t="shared" si="16"/>
        <v>141.1118212054914</v>
      </c>
      <c r="G91" s="300">
        <f t="shared" si="16"/>
        <v>126.1376411701318</v>
      </c>
      <c r="H91" s="300">
        <f t="shared" si="16"/>
        <v>121.33284196875505</v>
      </c>
      <c r="I91" s="300">
        <f t="shared" si="16"/>
        <v>86.253142945108621</v>
      </c>
      <c r="J91" s="300">
        <f t="shared" si="16"/>
        <v>167.93472936851867</v>
      </c>
      <c r="K91" s="300">
        <f t="shared" si="16"/>
        <v>26.869556698963134</v>
      </c>
      <c r="L91" s="300">
        <f t="shared" si="16"/>
        <v>4.6648535935699634E-2</v>
      </c>
    </row>
    <row r="92" spans="2:12">
      <c r="B92" s="1">
        <v>1992</v>
      </c>
      <c r="C92" s="300">
        <f t="shared" si="16"/>
        <v>135.44143876337699</v>
      </c>
      <c r="D92" s="300">
        <f t="shared" si="16"/>
        <v>107.01545778834706</v>
      </c>
      <c r="E92" s="300">
        <f t="shared" si="16"/>
        <v>85.881762782401978</v>
      </c>
      <c r="F92" s="300">
        <f t="shared" si="16"/>
        <v>140.50423602853735</v>
      </c>
      <c r="G92" s="300">
        <f t="shared" si="16"/>
        <v>125.59453032104615</v>
      </c>
      <c r="H92" s="300">
        <f t="shared" si="16"/>
        <v>107.01545778834706</v>
      </c>
      <c r="I92" s="300">
        <f t="shared" si="16"/>
        <v>60.196195005945334</v>
      </c>
      <c r="J92" s="300">
        <f t="shared" si="16"/>
        <v>85.881762782401978</v>
      </c>
      <c r="K92" s="300">
        <f t="shared" si="16"/>
        <v>1.6721165279429504</v>
      </c>
      <c r="L92" s="300">
        <f t="shared" si="16"/>
        <v>6.6884661117717279</v>
      </c>
    </row>
    <row r="93" spans="2:12">
      <c r="B93" s="1">
        <v>1993</v>
      </c>
      <c r="C93" s="300">
        <f t="shared" si="16"/>
        <v>136.88483448581698</v>
      </c>
      <c r="D93" s="300">
        <f t="shared" si="16"/>
        <v>131.76809983967578</v>
      </c>
      <c r="E93" s="300">
        <f t="shared" si="16"/>
        <v>85.961142055173141</v>
      </c>
      <c r="F93" s="300">
        <f t="shared" si="16"/>
        <v>117.00266557509651</v>
      </c>
      <c r="G93" s="300">
        <f t="shared" si="16"/>
        <v>158.32638919345638</v>
      </c>
      <c r="H93" s="300">
        <f t="shared" si="16"/>
        <v>131.76809983967544</v>
      </c>
      <c r="I93" s="300">
        <f t="shared" si="16"/>
        <v>77.969289845961839</v>
      </c>
      <c r="J93" s="300">
        <f t="shared" si="16"/>
        <v>136.88483448581698</v>
      </c>
      <c r="K93" s="300">
        <f t="shared" si="16"/>
        <v>19.49232246149046</v>
      </c>
      <c r="L93" s="300">
        <f t="shared" si="16"/>
        <v>1.7543090215341564</v>
      </c>
    </row>
    <row r="94" spans="2:12">
      <c r="B94" s="1">
        <v>1994</v>
      </c>
      <c r="C94" s="300">
        <f t="shared" si="16"/>
        <v>125.08656509695271</v>
      </c>
      <c r="D94" s="300">
        <f t="shared" si="16"/>
        <v>101.76208064019703</v>
      </c>
      <c r="E94" s="300">
        <f t="shared" si="16"/>
        <v>125.08656509695271</v>
      </c>
      <c r="F94" s="300">
        <f t="shared" si="16"/>
        <v>150.81563558017871</v>
      </c>
      <c r="G94" s="300">
        <f t="shared" si="16"/>
        <v>135.08964296706688</v>
      </c>
      <c r="H94" s="300">
        <f t="shared" si="16"/>
        <v>120.22930132348412</v>
      </c>
      <c r="I94" s="300">
        <f t="shared" si="16"/>
        <v>43.282548476454323</v>
      </c>
      <c r="J94" s="300">
        <f t="shared" si="16"/>
        <v>140.23545706371215</v>
      </c>
      <c r="K94" s="300">
        <f t="shared" si="16"/>
        <v>15.581717451523534</v>
      </c>
      <c r="L94" s="300">
        <f t="shared" si="16"/>
        <v>1.2022930132348475</v>
      </c>
    </row>
    <row r="95" spans="2:12">
      <c r="B95" s="1">
        <v>1995</v>
      </c>
      <c r="C95" s="300">
        <f t="shared" si="16"/>
        <v>178.94929208987372</v>
      </c>
      <c r="D95" s="300">
        <f t="shared" si="16"/>
        <v>120.22930132348412</v>
      </c>
      <c r="E95" s="300">
        <f t="shared" si="16"/>
        <v>161.78054786088006</v>
      </c>
      <c r="F95" s="300">
        <f t="shared" si="16"/>
        <v>135.08964296706688</v>
      </c>
      <c r="G95" s="300">
        <f t="shared" si="16"/>
        <v>150.81563558017871</v>
      </c>
      <c r="H95" s="300">
        <f t="shared" si="16"/>
        <v>135.08964296706688</v>
      </c>
      <c r="I95" s="300">
        <f t="shared" si="16"/>
        <v>40.445136965220016</v>
      </c>
      <c r="J95" s="300">
        <f t="shared" si="16"/>
        <v>106.23461064943078</v>
      </c>
      <c r="K95" s="300">
        <f t="shared" si="16"/>
        <v>12.311480455524878</v>
      </c>
      <c r="L95" s="300">
        <f t="shared" si="16"/>
        <v>1.2022930132348475</v>
      </c>
    </row>
    <row r="96" spans="2:12">
      <c r="B96" s="1">
        <v>1996</v>
      </c>
      <c r="C96" s="300">
        <f t="shared" si="16"/>
        <v>222.37611572791621</v>
      </c>
      <c r="D96" s="300">
        <f t="shared" si="16"/>
        <v>110.80332409972301</v>
      </c>
      <c r="E96" s="300">
        <f t="shared" si="16"/>
        <v>184.86457371498929</v>
      </c>
      <c r="F96" s="300">
        <f t="shared" si="16"/>
        <v>140.23545706371215</v>
      </c>
      <c r="G96" s="300">
        <f t="shared" si="16"/>
        <v>145.47745460141587</v>
      </c>
      <c r="H96" s="300">
        <f t="shared" si="16"/>
        <v>130.04001231148038</v>
      </c>
      <c r="I96" s="300">
        <f t="shared" si="16"/>
        <v>43.282548476454323</v>
      </c>
      <c r="J96" s="300">
        <f t="shared" si="16"/>
        <v>120.22930132348412</v>
      </c>
      <c r="K96" s="300">
        <f t="shared" si="16"/>
        <v>19.236688211757436</v>
      </c>
      <c r="L96" s="300">
        <f t="shared" si="16"/>
        <v>1.2022930132348475</v>
      </c>
    </row>
    <row r="97" spans="2:12">
      <c r="B97" s="1">
        <v>1997</v>
      </c>
      <c r="C97" s="300">
        <f t="shared" si="16"/>
        <v>296.22984512129682</v>
      </c>
      <c r="D97" s="300">
        <f t="shared" si="16"/>
        <v>182.4559404977193</v>
      </c>
      <c r="E97" s="300">
        <f t="shared" si="16"/>
        <v>188.38908112264497</v>
      </c>
      <c r="F97" s="300">
        <f t="shared" si="16"/>
        <v>182.4559404977193</v>
      </c>
      <c r="G97" s="300">
        <f t="shared" si="16"/>
        <v>182.4559404977193</v>
      </c>
      <c r="H97" s="300">
        <f t="shared" si="16"/>
        <v>143.58200312320511</v>
      </c>
      <c r="I97" s="300">
        <f t="shared" si="16"/>
        <v>61.514801999231075</v>
      </c>
      <c r="J97" s="300">
        <f t="shared" si="16"/>
        <v>113.96376512357546</v>
      </c>
      <c r="K97" s="300">
        <f t="shared" si="16"/>
        <v>68.539640499143317</v>
      </c>
      <c r="L97" s="300">
        <f t="shared" si="16"/>
        <v>0.18986049999762952</v>
      </c>
    </row>
    <row r="98" spans="2:12">
      <c r="B98" s="1">
        <v>1998</v>
      </c>
      <c r="C98" s="300">
        <f t="shared" ref="C98:L106" si="17">C69^2</f>
        <v>258.41065894935986</v>
      </c>
      <c r="D98" s="300">
        <f t="shared" si="17"/>
        <v>189.85272902401914</v>
      </c>
      <c r="E98" s="300">
        <f t="shared" si="17"/>
        <v>195.6494262141467</v>
      </c>
      <c r="F98" s="300">
        <f t="shared" si="17"/>
        <v>172.9856477264307</v>
      </c>
      <c r="G98" s="300">
        <f t="shared" si="17"/>
        <v>184.14320021269089</v>
      </c>
      <c r="H98" s="300">
        <f t="shared" si="17"/>
        <v>172.98564772643107</v>
      </c>
      <c r="I98" s="300">
        <f t="shared" si="17"/>
        <v>50.383322945768093</v>
      </c>
      <c r="J98" s="300">
        <f t="shared" si="17"/>
        <v>156.90308183803242</v>
      </c>
      <c r="K98" s="300">
        <f t="shared" si="17"/>
        <v>62.935569492810799</v>
      </c>
      <c r="L98" s="300">
        <f t="shared" si="17"/>
        <v>4.3584189399453646</v>
      </c>
    </row>
    <row r="99" spans="2:12">
      <c r="B99" s="1">
        <v>1999</v>
      </c>
      <c r="C99" s="300">
        <f t="shared" si="17"/>
        <v>254.70870319355163</v>
      </c>
      <c r="D99" s="300">
        <f t="shared" si="17"/>
        <v>223.48739924497497</v>
      </c>
      <c r="E99" s="300">
        <f t="shared" si="17"/>
        <v>183.20579532700748</v>
      </c>
      <c r="F99" s="300">
        <f t="shared" si="17"/>
        <v>183.20579532700748</v>
      </c>
      <c r="G99" s="300">
        <f t="shared" si="17"/>
        <v>199.97959391898797</v>
      </c>
      <c r="H99" s="300">
        <f t="shared" si="17"/>
        <v>229.56841138659334</v>
      </c>
      <c r="I99" s="300">
        <f t="shared" si="17"/>
        <v>97.990001020303993</v>
      </c>
      <c r="J99" s="300">
        <f t="shared" si="17"/>
        <v>167.16661565146444</v>
      </c>
      <c r="K99" s="300">
        <f t="shared" si="17"/>
        <v>14.733190490766214</v>
      </c>
      <c r="L99" s="300">
        <f t="shared" si="17"/>
        <v>16.324864809713304</v>
      </c>
    </row>
    <row r="100" spans="2:12">
      <c r="B100" s="1">
        <v>2000</v>
      </c>
      <c r="C100" s="300">
        <f t="shared" si="17"/>
        <v>255.24316375477045</v>
      </c>
      <c r="D100" s="300">
        <f t="shared" si="17"/>
        <v>248.97976650366303</v>
      </c>
      <c r="E100" s="300">
        <f t="shared" si="17"/>
        <v>179.88788129889653</v>
      </c>
      <c r="F100" s="300">
        <f t="shared" si="17"/>
        <v>185.21760442561529</v>
      </c>
      <c r="G100" s="300">
        <f t="shared" si="17"/>
        <v>190.62513372936681</v>
      </c>
      <c r="H100" s="300">
        <f t="shared" si="17"/>
        <v>236.68639053254401</v>
      </c>
      <c r="I100" s="300">
        <f t="shared" si="17"/>
        <v>105.19395134779734</v>
      </c>
      <c r="J100" s="300">
        <f t="shared" si="17"/>
        <v>196.11046921015074</v>
      </c>
      <c r="K100" s="300">
        <f t="shared" si="17"/>
        <v>37.385868064065782</v>
      </c>
      <c r="L100" s="300">
        <f t="shared" si="17"/>
        <v>44.97197032472404</v>
      </c>
    </row>
    <row r="101" spans="2:12">
      <c r="B101" s="1">
        <v>2001</v>
      </c>
      <c r="C101" s="300">
        <f t="shared" si="17"/>
        <v>331.83427009782923</v>
      </c>
      <c r="D101" s="300">
        <f t="shared" si="17"/>
        <v>291.65121395317021</v>
      </c>
      <c r="E101" s="300">
        <f t="shared" si="17"/>
        <v>197.17062316142687</v>
      </c>
      <c r="F101" s="300">
        <f t="shared" si="17"/>
        <v>207.97251997450755</v>
      </c>
      <c r="G101" s="300">
        <f t="shared" si="17"/>
        <v>181.50787278246051</v>
      </c>
      <c r="H101" s="300">
        <f t="shared" si="17"/>
        <v>191.87769372301756</v>
      </c>
      <c r="I101" s="300">
        <f t="shared" si="17"/>
        <v>108.91912619856049</v>
      </c>
      <c r="J101" s="300">
        <f t="shared" si="17"/>
        <v>147.48189782125732</v>
      </c>
      <c r="K101" s="300">
        <f t="shared" si="17"/>
        <v>82.958567524457308</v>
      </c>
      <c r="L101" s="300">
        <f t="shared" si="17"/>
        <v>28.228957004850045</v>
      </c>
    </row>
    <row r="102" spans="2:12">
      <c r="B102" s="1">
        <v>2002</v>
      </c>
      <c r="C102" s="300">
        <f t="shared" si="17"/>
        <v>322.50456509232043</v>
      </c>
      <c r="D102" s="300">
        <f t="shared" si="17"/>
        <v>240.27930146047223</v>
      </c>
      <c r="E102" s="300">
        <f t="shared" si="17"/>
        <v>190.42956536032946</v>
      </c>
      <c r="F102" s="300">
        <f t="shared" si="17"/>
        <v>258.18232496310401</v>
      </c>
      <c r="G102" s="300">
        <f t="shared" si="17"/>
        <v>160.41251996669536</v>
      </c>
      <c r="H102" s="300">
        <f t="shared" si="17"/>
        <v>175.09943146286633</v>
      </c>
      <c r="I102" s="300">
        <f t="shared" si="17"/>
        <v>78.937682469688184</v>
      </c>
      <c r="J102" s="300">
        <f t="shared" si="17"/>
        <v>160.41251996669536</v>
      </c>
      <c r="K102" s="300">
        <f t="shared" si="17"/>
        <v>43.774857865716584</v>
      </c>
      <c r="L102" s="300">
        <f t="shared" si="17"/>
        <v>12.900182603692796</v>
      </c>
    </row>
    <row r="103" spans="2:12">
      <c r="B103" s="1">
        <v>2003</v>
      </c>
      <c r="C103" s="300">
        <f t="shared" si="17"/>
        <v>327.43764172335625</v>
      </c>
      <c r="D103" s="300">
        <f t="shared" si="17"/>
        <v>232.19954648526084</v>
      </c>
      <c r="E103" s="300">
        <f t="shared" si="17"/>
        <v>215.11111111111083</v>
      </c>
      <c r="F103" s="300">
        <f t="shared" si="17"/>
        <v>238.04081632653069</v>
      </c>
      <c r="G103" s="300">
        <f t="shared" si="17"/>
        <v>167.76417233560082</v>
      </c>
      <c r="H103" s="300">
        <f t="shared" si="17"/>
        <v>182.89342403628103</v>
      </c>
      <c r="I103" s="300">
        <f t="shared" si="17"/>
        <v>101.91383219954633</v>
      </c>
      <c r="J103" s="300">
        <f t="shared" si="17"/>
        <v>117.87755102040825</v>
      </c>
      <c r="K103" s="300">
        <f t="shared" si="17"/>
        <v>64</v>
      </c>
      <c r="L103" s="300">
        <f t="shared" si="17"/>
        <v>24.526077097505635</v>
      </c>
    </row>
    <row r="104" spans="2:12">
      <c r="B104" s="1">
        <v>2004</v>
      </c>
      <c r="C104" s="300">
        <f t="shared" si="17"/>
        <v>363.49026115817941</v>
      </c>
      <c r="D104" s="300">
        <f t="shared" si="17"/>
        <v>223.60031443794244</v>
      </c>
      <c r="E104" s="300">
        <f t="shared" si="17"/>
        <v>229.22525984802172</v>
      </c>
      <c r="F104" s="300">
        <f t="shared" si="17"/>
        <v>240.68477596296628</v>
      </c>
      <c r="G104" s="300">
        <f t="shared" si="17"/>
        <v>156.83465804873777</v>
      </c>
      <c r="H104" s="300">
        <f t="shared" si="17"/>
        <v>147.61114507817263</v>
      </c>
      <c r="I104" s="300">
        <f t="shared" si="17"/>
        <v>101.87789326578734</v>
      </c>
      <c r="J104" s="300">
        <f t="shared" si="17"/>
        <v>171.19399074154958</v>
      </c>
      <c r="K104" s="300">
        <f t="shared" si="17"/>
        <v>98.139575508778123</v>
      </c>
      <c r="L104" s="300">
        <f t="shared" si="17"/>
        <v>15.407459166739475</v>
      </c>
    </row>
    <row r="105" spans="2:12">
      <c r="B105" s="1">
        <v>2005</v>
      </c>
      <c r="C105" s="300">
        <f t="shared" si="17"/>
        <v>282.93602932886</v>
      </c>
      <c r="D105" s="300">
        <f t="shared" si="17"/>
        <v>229.73817910967909</v>
      </c>
      <c r="E105" s="300">
        <f t="shared" si="17"/>
        <v>177.12116604767661</v>
      </c>
      <c r="F105" s="300">
        <f t="shared" si="17"/>
        <v>295.50944543718208</v>
      </c>
      <c r="G105" s="300">
        <f t="shared" si="17"/>
        <v>207.8713684865094</v>
      </c>
      <c r="H105" s="300">
        <f t="shared" si="17"/>
        <v>131.33753130541405</v>
      </c>
      <c r="I105" s="300">
        <f t="shared" si="17"/>
        <v>92.387274882893067</v>
      </c>
      <c r="J105" s="300">
        <f t="shared" si="17"/>
        <v>103.35484708607662</v>
      </c>
      <c r="K105" s="300">
        <f t="shared" si="17"/>
        <v>177.12116604767624</v>
      </c>
      <c r="L105" s="300">
        <f t="shared" si="17"/>
        <v>1.674177688336447</v>
      </c>
    </row>
    <row r="106" spans="2:12">
      <c r="B106" s="24">
        <v>2006</v>
      </c>
      <c r="C106" s="300">
        <f t="shared" si="17"/>
        <v>263.91585971405868</v>
      </c>
      <c r="D106" s="300">
        <f t="shared" si="17"/>
        <v>213.77184636838729</v>
      </c>
      <c r="E106" s="300">
        <f t="shared" si="17"/>
        <v>188.19481551955573</v>
      </c>
      <c r="F106" s="300">
        <f t="shared" si="17"/>
        <v>294.05439924930607</v>
      </c>
      <c r="G106" s="300">
        <f t="shared" si="17"/>
        <v>219.08274576757151</v>
      </c>
      <c r="H106" s="300">
        <f t="shared" si="17"/>
        <v>91.523413572443431</v>
      </c>
      <c r="I106" s="300">
        <f t="shared" si="17"/>
        <v>91.523413572443431</v>
      </c>
      <c r="J106" s="300">
        <f t="shared" si="17"/>
        <v>63.079148692150284</v>
      </c>
      <c r="K106" s="300">
        <f t="shared" si="17"/>
        <v>359.21880905524637</v>
      </c>
      <c r="L106" s="300">
        <f t="shared" si="17"/>
        <v>0.29323984412672471</v>
      </c>
    </row>
    <row r="107" spans="2:12">
      <c r="B107" s="1">
        <v>2007</v>
      </c>
      <c r="C107" s="300">
        <f t="shared" ref="C107:L107" si="18">C78^2</f>
        <v>166.20330464130942</v>
      </c>
      <c r="D107" s="300">
        <f t="shared" si="18"/>
        <v>240.41204822202499</v>
      </c>
      <c r="E107" s="300">
        <f t="shared" si="18"/>
        <v>229.72841724435136</v>
      </c>
      <c r="F107" s="300">
        <f t="shared" si="18"/>
        <v>273.91979992472864</v>
      </c>
      <c r="G107" s="300">
        <f t="shared" si="18"/>
        <v>262.50773956221411</v>
      </c>
      <c r="H107" s="300">
        <f t="shared" si="18"/>
        <v>85.256589250810279</v>
      </c>
      <c r="I107" s="300">
        <f t="shared" si="18"/>
        <v>56.119413857155145</v>
      </c>
      <c r="J107" s="300">
        <f t="shared" si="18"/>
        <v>43.827167987956585</v>
      </c>
      <c r="K107" s="300">
        <f t="shared" si="18"/>
        <v>401.39494227197139</v>
      </c>
      <c r="L107" s="300">
        <f t="shared" si="18"/>
        <v>0.12140489747356395</v>
      </c>
    </row>
    <row r="108" spans="2:12">
      <c r="C108" s="300"/>
      <c r="D108" s="300"/>
      <c r="E108" s="300"/>
      <c r="F108" s="300"/>
      <c r="G108" s="300"/>
      <c r="H108" s="300"/>
      <c r="I108" s="300"/>
      <c r="J108" s="300"/>
      <c r="K108" s="300"/>
      <c r="L108" s="300"/>
    </row>
  </sheetData>
  <mergeCells count="13">
    <mergeCell ref="A45:L45"/>
    <mergeCell ref="A44:L44"/>
    <mergeCell ref="J3:J4"/>
    <mergeCell ref="K3:K4"/>
    <mergeCell ref="L3:L4"/>
    <mergeCell ref="F3:F4"/>
    <mergeCell ref="G3:G4"/>
    <mergeCell ref="H3:H4"/>
    <mergeCell ref="I3:I4"/>
    <mergeCell ref="B3:B4"/>
    <mergeCell ref="C3:C4"/>
    <mergeCell ref="D3:D4"/>
    <mergeCell ref="E3:E4"/>
  </mergeCells>
  <phoneticPr fontId="35" type="noConversion"/>
  <pageMargins left="0.75" right="0.75" top="1" bottom="1" header="0.5" footer="0.5"/>
  <pageSetup scale="74"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sheetPr codeName="Sheet13">
    <pageSetUpPr fitToPage="1"/>
  </sheetPr>
  <dimension ref="A1:L83"/>
  <sheetViews>
    <sheetView view="pageBreakPreview" zoomScale="90" zoomScaleSheetLayoutView="90" workbookViewId="0">
      <pane xSplit="1" ySplit="5" topLeftCell="B6"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7" width="9.7109375" style="1" bestFit="1" customWidth="1"/>
    <col min="8" max="9" width="8.85546875" style="1"/>
    <col min="10" max="10" width="20.85546875" style="1" customWidth="1"/>
    <col min="11" max="16384" width="8.85546875" style="1"/>
  </cols>
  <sheetData>
    <row r="1" spans="1:7" ht="12.75" customHeight="1">
      <c r="A1" s="3" t="s">
        <v>2126</v>
      </c>
      <c r="B1" s="3"/>
    </row>
    <row r="2" spans="1:7" ht="15.75">
      <c r="A2" s="4"/>
      <c r="B2" s="3"/>
    </row>
    <row r="3" spans="1:7">
      <c r="A3" s="4"/>
      <c r="B3" s="1175" t="s">
        <v>1960</v>
      </c>
      <c r="C3" s="1175"/>
      <c r="D3" s="1175"/>
      <c r="E3" s="1175" t="s">
        <v>936</v>
      </c>
      <c r="F3" s="1175"/>
      <c r="G3" s="1175"/>
    </row>
    <row r="4" spans="1:7">
      <c r="A4" s="2"/>
      <c r="B4" s="1172" t="s">
        <v>928</v>
      </c>
      <c r="C4" s="1172" t="s">
        <v>929</v>
      </c>
      <c r="D4" s="1172" t="s">
        <v>930</v>
      </c>
      <c r="E4" s="1172" t="s">
        <v>928</v>
      </c>
      <c r="F4" s="1172" t="s">
        <v>929</v>
      </c>
      <c r="G4" s="1172" t="s">
        <v>930</v>
      </c>
    </row>
    <row r="5" spans="1:7" s="4" customFormat="1">
      <c r="A5" s="7"/>
      <c r="B5" s="1173"/>
      <c r="C5" s="1173"/>
      <c r="D5" s="1173"/>
      <c r="E5" s="1173"/>
      <c r="F5" s="1173"/>
      <c r="G5" s="1173"/>
    </row>
    <row r="6" spans="1:7">
      <c r="A6" s="120">
        <v>1981</v>
      </c>
      <c r="B6" s="19">
        <v>34200</v>
      </c>
      <c r="C6" s="19">
        <v>37100</v>
      </c>
      <c r="D6" s="19">
        <v>31300</v>
      </c>
      <c r="E6" s="19">
        <v>63900</v>
      </c>
      <c r="F6" s="19">
        <v>69400</v>
      </c>
      <c r="G6" s="19">
        <v>58700</v>
      </c>
    </row>
    <row r="7" spans="1:7">
      <c r="A7" s="120">
        <v>1982</v>
      </c>
      <c r="B7" s="19">
        <v>32800</v>
      </c>
      <c r="C7" s="19">
        <v>36300</v>
      </c>
      <c r="D7" s="19">
        <v>30600</v>
      </c>
      <c r="E7" s="19">
        <v>61000</v>
      </c>
      <c r="F7" s="19">
        <v>67700</v>
      </c>
      <c r="G7" s="19">
        <v>57200</v>
      </c>
    </row>
    <row r="8" spans="1:7">
      <c r="A8" s="120">
        <v>1983</v>
      </c>
      <c r="B8" s="19">
        <v>32400</v>
      </c>
      <c r="C8" s="19">
        <v>36000</v>
      </c>
      <c r="D8" s="19">
        <v>30200</v>
      </c>
      <c r="E8" s="19">
        <v>59900</v>
      </c>
      <c r="F8" s="19">
        <v>66700</v>
      </c>
      <c r="G8" s="19">
        <v>56000</v>
      </c>
    </row>
    <row r="9" spans="1:7">
      <c r="A9" s="120">
        <v>1984</v>
      </c>
      <c r="B9" s="19">
        <v>32600</v>
      </c>
      <c r="C9" s="19">
        <v>36300</v>
      </c>
      <c r="D9" s="19">
        <v>30500</v>
      </c>
      <c r="E9" s="19">
        <v>59900</v>
      </c>
      <c r="F9" s="19">
        <v>66900</v>
      </c>
      <c r="G9" s="19">
        <v>56200</v>
      </c>
    </row>
    <row r="10" spans="1:7">
      <c r="A10" s="120">
        <v>1985</v>
      </c>
      <c r="B10" s="19">
        <v>33700</v>
      </c>
      <c r="C10" s="19">
        <v>37400</v>
      </c>
      <c r="D10" s="19">
        <v>31200</v>
      </c>
      <c r="E10" s="19">
        <v>61600</v>
      </c>
      <c r="F10" s="19">
        <v>68600</v>
      </c>
      <c r="G10" s="19">
        <v>57300</v>
      </c>
    </row>
    <row r="11" spans="1:7">
      <c r="A11" s="120">
        <v>1986</v>
      </c>
      <c r="B11" s="19">
        <v>34600</v>
      </c>
      <c r="C11" s="19">
        <v>38300</v>
      </c>
      <c r="D11" s="19">
        <v>31600</v>
      </c>
      <c r="E11" s="19">
        <v>62900</v>
      </c>
      <c r="F11" s="19">
        <v>70000</v>
      </c>
      <c r="G11" s="19">
        <v>57800</v>
      </c>
    </row>
    <row r="12" spans="1:7">
      <c r="A12" s="120">
        <v>1987</v>
      </c>
      <c r="B12" s="19">
        <v>35200</v>
      </c>
      <c r="C12" s="19">
        <v>38900</v>
      </c>
      <c r="D12" s="19">
        <v>31600</v>
      </c>
      <c r="E12" s="19">
        <v>63800</v>
      </c>
      <c r="F12" s="19">
        <v>70800</v>
      </c>
      <c r="G12" s="19">
        <v>57700</v>
      </c>
    </row>
    <row r="13" spans="1:7">
      <c r="A13" s="120">
        <v>1988</v>
      </c>
      <c r="B13" s="19">
        <v>36300</v>
      </c>
      <c r="C13" s="19">
        <v>40000</v>
      </c>
      <c r="D13" s="19">
        <v>32600</v>
      </c>
      <c r="E13" s="19">
        <v>65400</v>
      </c>
      <c r="F13" s="19">
        <v>72500</v>
      </c>
      <c r="G13" s="19">
        <v>59000</v>
      </c>
    </row>
    <row r="14" spans="1:7">
      <c r="A14" s="120">
        <v>1989</v>
      </c>
      <c r="B14" s="19">
        <v>37300</v>
      </c>
      <c r="C14" s="19">
        <v>41200</v>
      </c>
      <c r="D14" s="19">
        <v>33200</v>
      </c>
      <c r="E14" s="19">
        <v>67200</v>
      </c>
      <c r="F14" s="19">
        <v>74500</v>
      </c>
      <c r="G14" s="19">
        <v>60100</v>
      </c>
    </row>
    <row r="15" spans="1:7">
      <c r="A15" s="120">
        <v>1990</v>
      </c>
      <c r="B15" s="19">
        <v>35900</v>
      </c>
      <c r="C15" s="19">
        <v>40100</v>
      </c>
      <c r="D15" s="19">
        <v>32200</v>
      </c>
      <c r="E15" s="19">
        <v>64400</v>
      </c>
      <c r="F15" s="19">
        <v>72300</v>
      </c>
      <c r="G15" s="19">
        <v>58100</v>
      </c>
    </row>
    <row r="16" spans="1:7">
      <c r="A16" s="120">
        <v>1991</v>
      </c>
      <c r="B16" s="19">
        <v>34300</v>
      </c>
      <c r="C16" s="19">
        <v>39000</v>
      </c>
      <c r="D16" s="19">
        <v>31200</v>
      </c>
      <c r="E16" s="19">
        <v>61700</v>
      </c>
      <c r="F16" s="19">
        <v>70300</v>
      </c>
      <c r="G16" s="19">
        <v>56400</v>
      </c>
    </row>
    <row r="17" spans="1:12">
      <c r="A17" s="120">
        <v>1992</v>
      </c>
      <c r="B17" s="19">
        <v>33900</v>
      </c>
      <c r="C17" s="19">
        <v>38800</v>
      </c>
      <c r="D17" s="19">
        <v>31300</v>
      </c>
      <c r="E17" s="19">
        <v>60700</v>
      </c>
      <c r="F17" s="19">
        <v>69900</v>
      </c>
      <c r="G17" s="19">
        <v>56500</v>
      </c>
    </row>
    <row r="18" spans="1:12">
      <c r="A18" s="120">
        <v>1993</v>
      </c>
      <c r="B18" s="19">
        <v>32700</v>
      </c>
      <c r="C18" s="19">
        <v>37700</v>
      </c>
      <c r="D18" s="19">
        <v>30500</v>
      </c>
      <c r="E18" s="19">
        <v>58300</v>
      </c>
      <c r="F18" s="19">
        <v>67600</v>
      </c>
      <c r="G18" s="19">
        <v>54800</v>
      </c>
    </row>
    <row r="19" spans="1:12">
      <c r="A19" s="120">
        <v>1994</v>
      </c>
      <c r="B19" s="19">
        <v>33400</v>
      </c>
      <c r="C19" s="19">
        <v>38300</v>
      </c>
      <c r="D19" s="19">
        <v>30900</v>
      </c>
      <c r="E19" s="19">
        <v>59600</v>
      </c>
      <c r="F19" s="19">
        <v>68800</v>
      </c>
      <c r="G19" s="19">
        <v>55500</v>
      </c>
    </row>
    <row r="20" spans="1:12">
      <c r="A20" s="120">
        <v>1995</v>
      </c>
      <c r="B20" s="19">
        <v>33700</v>
      </c>
      <c r="C20" s="19">
        <v>38500</v>
      </c>
      <c r="D20" s="19">
        <v>30900</v>
      </c>
      <c r="E20" s="19">
        <v>60200</v>
      </c>
      <c r="F20" s="19">
        <v>69100</v>
      </c>
      <c r="G20" s="19">
        <v>55600</v>
      </c>
    </row>
    <row r="21" spans="1:12">
      <c r="A21" s="120">
        <v>1996</v>
      </c>
      <c r="B21" s="19">
        <v>34100</v>
      </c>
      <c r="C21" s="19">
        <v>38800</v>
      </c>
      <c r="D21" s="19">
        <v>31000</v>
      </c>
      <c r="E21" s="19">
        <v>61000</v>
      </c>
      <c r="F21" s="19">
        <v>69800</v>
      </c>
      <c r="G21" s="19">
        <v>55900</v>
      </c>
    </row>
    <row r="22" spans="1:12">
      <c r="A22" s="120">
        <v>1997</v>
      </c>
      <c r="B22" s="19">
        <v>34800</v>
      </c>
      <c r="C22" s="19">
        <v>39300</v>
      </c>
      <c r="D22" s="19">
        <v>31400</v>
      </c>
      <c r="E22" s="19">
        <v>62000</v>
      </c>
      <c r="F22" s="19">
        <v>70500</v>
      </c>
      <c r="G22" s="19">
        <v>56400</v>
      </c>
    </row>
    <row r="23" spans="1:12">
      <c r="A23" s="120">
        <v>1998</v>
      </c>
      <c r="B23" s="19">
        <v>36700</v>
      </c>
      <c r="C23" s="19">
        <v>41400</v>
      </c>
      <c r="D23" s="19">
        <v>33000</v>
      </c>
      <c r="E23" s="19">
        <v>65500</v>
      </c>
      <c r="F23" s="19">
        <v>74200</v>
      </c>
      <c r="G23" s="19">
        <v>59300</v>
      </c>
    </row>
    <row r="24" spans="1:12">
      <c r="A24" s="120">
        <v>1999</v>
      </c>
      <c r="B24" s="19">
        <v>37900</v>
      </c>
      <c r="C24" s="19">
        <v>42300</v>
      </c>
      <c r="D24" s="19">
        <v>34100</v>
      </c>
      <c r="E24" s="19">
        <v>67600</v>
      </c>
      <c r="F24" s="19">
        <v>75800</v>
      </c>
      <c r="G24" s="19">
        <v>61100</v>
      </c>
    </row>
    <row r="25" spans="1:12">
      <c r="A25" s="120">
        <v>2000</v>
      </c>
      <c r="B25" s="19">
        <v>39800</v>
      </c>
      <c r="C25" s="19">
        <v>44100</v>
      </c>
      <c r="D25" s="19">
        <v>35300</v>
      </c>
      <c r="E25" s="19">
        <v>70600</v>
      </c>
      <c r="F25" s="19">
        <v>78600</v>
      </c>
      <c r="G25" s="19">
        <v>63000</v>
      </c>
    </row>
    <row r="26" spans="1:12">
      <c r="A26" s="120">
        <v>2001</v>
      </c>
      <c r="B26" s="19">
        <v>40200</v>
      </c>
      <c r="C26" s="19">
        <v>44700</v>
      </c>
      <c r="D26" s="19">
        <v>36700</v>
      </c>
      <c r="E26" s="19">
        <v>71400</v>
      </c>
      <c r="F26" s="19">
        <v>79800</v>
      </c>
      <c r="G26" s="19">
        <v>65500</v>
      </c>
    </row>
    <row r="27" spans="1:12">
      <c r="A27" s="120">
        <v>2002</v>
      </c>
      <c r="B27" s="19">
        <v>40200</v>
      </c>
      <c r="C27" s="19">
        <v>44700</v>
      </c>
      <c r="D27" s="19">
        <v>36800</v>
      </c>
      <c r="E27" s="19">
        <v>71200</v>
      </c>
      <c r="F27" s="19">
        <v>79600</v>
      </c>
      <c r="G27" s="19">
        <v>65600</v>
      </c>
    </row>
    <row r="28" spans="1:12">
      <c r="A28" s="120">
        <v>2003</v>
      </c>
      <c r="B28" s="19">
        <v>40000</v>
      </c>
      <c r="C28" s="19">
        <v>44500</v>
      </c>
      <c r="D28" s="19">
        <v>36600</v>
      </c>
      <c r="E28" s="19">
        <v>70600</v>
      </c>
      <c r="F28" s="19">
        <v>79000</v>
      </c>
      <c r="G28" s="19">
        <v>65000</v>
      </c>
    </row>
    <row r="29" spans="1:12">
      <c r="A29" s="120">
        <v>2004</v>
      </c>
      <c r="B29" s="19">
        <v>41100</v>
      </c>
      <c r="C29" s="19">
        <v>45800</v>
      </c>
      <c r="D29" s="19">
        <v>37600</v>
      </c>
      <c r="E29" s="19">
        <v>72400</v>
      </c>
      <c r="F29" s="19">
        <v>80900</v>
      </c>
      <c r="G29" s="19">
        <v>66600</v>
      </c>
      <c r="H29" s="19"/>
      <c r="I29" s="19"/>
      <c r="J29" s="19"/>
      <c r="K29" s="19"/>
      <c r="L29" s="19"/>
    </row>
    <row r="30" spans="1:12">
      <c r="A30" s="120">
        <v>2005</v>
      </c>
      <c r="B30" s="19">
        <v>41600</v>
      </c>
      <c r="C30" s="19">
        <v>46300</v>
      </c>
      <c r="D30" s="19">
        <v>38200</v>
      </c>
      <c r="E30" s="19">
        <v>73200</v>
      </c>
      <c r="F30" s="19">
        <v>81700</v>
      </c>
      <c r="G30" s="19">
        <v>67500</v>
      </c>
      <c r="H30" s="19"/>
      <c r="I30" s="19"/>
      <c r="J30" s="19"/>
      <c r="K30" s="19"/>
      <c r="L30" s="19"/>
    </row>
    <row r="31" spans="1:12">
      <c r="A31" s="120">
        <v>2006</v>
      </c>
      <c r="B31" s="19">
        <v>42400</v>
      </c>
      <c r="C31" s="19">
        <v>47200</v>
      </c>
      <c r="D31" s="19">
        <v>39100</v>
      </c>
      <c r="E31" s="19">
        <v>74600</v>
      </c>
      <c r="F31" s="19">
        <v>83500</v>
      </c>
      <c r="G31" s="19">
        <v>69100</v>
      </c>
      <c r="H31" s="19"/>
      <c r="I31" s="19"/>
      <c r="J31" s="19"/>
      <c r="K31" s="19"/>
      <c r="L31" s="19"/>
    </row>
    <row r="32" spans="1:12" s="961" customFormat="1">
      <c r="A32" s="120">
        <v>2007</v>
      </c>
      <c r="B32" s="19">
        <v>43800</v>
      </c>
      <c r="C32" s="19">
        <v>48800</v>
      </c>
      <c r="D32" s="19">
        <v>40600</v>
      </c>
      <c r="E32" s="19">
        <v>77300</v>
      </c>
      <c r="F32" s="19">
        <v>86300</v>
      </c>
      <c r="G32" s="19">
        <v>71900</v>
      </c>
      <c r="H32" s="19"/>
      <c r="I32" s="19"/>
      <c r="J32" s="19"/>
      <c r="K32" s="19"/>
      <c r="L32" s="19"/>
    </row>
    <row r="33" spans="1:12" s="114" customFormat="1">
      <c r="A33" s="738"/>
      <c r="B33" s="644"/>
      <c r="C33" s="644"/>
      <c r="D33" s="644" t="s">
        <v>802</v>
      </c>
      <c r="E33" s="644"/>
      <c r="F33" s="644"/>
      <c r="H33" s="644"/>
      <c r="I33" s="644"/>
      <c r="J33" s="644"/>
      <c r="K33" s="644"/>
      <c r="L33" s="644"/>
    </row>
    <row r="34" spans="1:12" s="114" customFormat="1">
      <c r="A34" s="431" t="s">
        <v>603</v>
      </c>
      <c r="B34" s="644">
        <f t="shared" ref="B34:G34" si="0">((((B14/B6))^(1/8))-1)*100</f>
        <v>1.090499097197517</v>
      </c>
      <c r="C34" s="644">
        <f t="shared" si="0"/>
        <v>1.3188876844840491</v>
      </c>
      <c r="D34" s="644">
        <f t="shared" si="0"/>
        <v>0.73936715004672138</v>
      </c>
      <c r="E34" s="644">
        <f t="shared" si="0"/>
        <v>0.63140860958479372</v>
      </c>
      <c r="F34" s="644">
        <f t="shared" si="0"/>
        <v>0.89034341015792329</v>
      </c>
      <c r="G34" s="644">
        <f t="shared" si="0"/>
        <v>0.29506088408011166</v>
      </c>
      <c r="H34" s="644"/>
      <c r="I34" s="644"/>
      <c r="J34" s="644"/>
      <c r="K34" s="644"/>
      <c r="L34" s="644"/>
    </row>
    <row r="35" spans="1:12" s="114" customFormat="1">
      <c r="A35" s="431" t="s">
        <v>604</v>
      </c>
      <c r="B35" s="644">
        <f t="shared" ref="B35:G35" si="1">((((B25/B14))^(1/11))-1)*100</f>
        <v>0.59150237683052165</v>
      </c>
      <c r="C35" s="644">
        <f t="shared" si="1"/>
        <v>0.62029341083060796</v>
      </c>
      <c r="D35" s="644">
        <f t="shared" si="1"/>
        <v>0.55913086170045201</v>
      </c>
      <c r="E35" s="644">
        <f t="shared" si="1"/>
        <v>0.44970722491830539</v>
      </c>
      <c r="F35" s="644">
        <f t="shared" si="1"/>
        <v>0.48821128705993644</v>
      </c>
      <c r="G35" s="644">
        <f t="shared" si="1"/>
        <v>0.42932702321367699</v>
      </c>
      <c r="H35" s="644"/>
      <c r="I35" s="644"/>
      <c r="J35" s="644"/>
      <c r="K35" s="644"/>
      <c r="L35" s="644"/>
    </row>
    <row r="36" spans="1:12" s="114" customFormat="1">
      <c r="A36" s="431" t="s">
        <v>819</v>
      </c>
      <c r="B36" s="23">
        <f t="shared" ref="B36:G36" si="2">((((B31/B6))^(1/25))-1)*100</f>
        <v>0.86339682696459086</v>
      </c>
      <c r="C36" s="23">
        <f t="shared" si="2"/>
        <v>0.96776049922917551</v>
      </c>
      <c r="D36" s="23">
        <f t="shared" si="2"/>
        <v>0.89398990970144254</v>
      </c>
      <c r="E36" s="23">
        <f t="shared" si="2"/>
        <v>0.62120611481542021</v>
      </c>
      <c r="F36" s="23">
        <f t="shared" si="2"/>
        <v>0.74258262836002231</v>
      </c>
      <c r="G36" s="23">
        <f t="shared" si="2"/>
        <v>0.65459317292806407</v>
      </c>
      <c r="H36" s="644"/>
      <c r="I36" s="644"/>
      <c r="J36" s="644"/>
      <c r="K36" s="644"/>
      <c r="L36" s="644"/>
    </row>
    <row r="37" spans="1:12" s="114" customFormat="1">
      <c r="A37" s="431" t="s">
        <v>447</v>
      </c>
      <c r="B37" s="959">
        <f t="shared" ref="B37:G37" si="3">((((B32/B6))^(1/26))-1)*100</f>
        <v>0.95611171847860277</v>
      </c>
      <c r="C37" s="959">
        <f t="shared" si="3"/>
        <v>1.0598592253770134</v>
      </c>
      <c r="D37" s="959">
        <f t="shared" si="3"/>
        <v>1.0055993111574457</v>
      </c>
      <c r="E37" s="959">
        <f t="shared" si="3"/>
        <v>0.73489718966184281</v>
      </c>
      <c r="F37" s="959">
        <f t="shared" si="3"/>
        <v>0.841764350682217</v>
      </c>
      <c r="G37" s="959">
        <f t="shared" si="3"/>
        <v>0.78319155552690756</v>
      </c>
      <c r="H37" s="644"/>
      <c r="I37" s="644"/>
      <c r="J37" s="644"/>
      <c r="K37" s="644"/>
      <c r="L37" s="644"/>
    </row>
    <row r="38" spans="1:12" s="114" customFormat="1">
      <c r="A38" s="431" t="s">
        <v>818</v>
      </c>
      <c r="B38" s="959">
        <f t="shared" ref="B38:G38" si="4">((((B31/B25))^(1/6))-1)*100</f>
        <v>1.0602723013742432</v>
      </c>
      <c r="C38" s="959">
        <f t="shared" si="4"/>
        <v>1.1386692112688834</v>
      </c>
      <c r="D38" s="959">
        <f t="shared" si="4"/>
        <v>1.7185924703783995</v>
      </c>
      <c r="E38" s="959">
        <f t="shared" si="4"/>
        <v>0.92273725667306739</v>
      </c>
      <c r="F38" s="959">
        <f t="shared" si="4"/>
        <v>1.0130121177165607</v>
      </c>
      <c r="G38" s="959">
        <f t="shared" si="4"/>
        <v>1.5522576872736948</v>
      </c>
      <c r="H38" s="644"/>
      <c r="I38" s="644"/>
      <c r="J38" s="644"/>
      <c r="K38" s="644"/>
      <c r="L38" s="644"/>
    </row>
    <row r="39" spans="1:12" s="114" customFormat="1">
      <c r="A39" s="431" t="s">
        <v>449</v>
      </c>
      <c r="B39" s="23">
        <f t="shared" ref="B39:G39" si="5">((((B32/B25))^(1/7))-1)*100</f>
        <v>1.3774999377391461</v>
      </c>
      <c r="C39" s="23">
        <f t="shared" si="5"/>
        <v>1.4572375333290033</v>
      </c>
      <c r="D39" s="23">
        <f t="shared" si="5"/>
        <v>2.0184594676809109</v>
      </c>
      <c r="E39" s="23">
        <f t="shared" si="5"/>
        <v>1.3036213114882456</v>
      </c>
      <c r="F39" s="23">
        <f t="shared" si="5"/>
        <v>1.3440652666754982</v>
      </c>
      <c r="G39" s="23">
        <f t="shared" si="5"/>
        <v>1.9056666513513232</v>
      </c>
      <c r="H39" s="23"/>
      <c r="I39" s="23"/>
      <c r="J39" s="23"/>
      <c r="K39" s="23"/>
      <c r="L39" s="23"/>
    </row>
    <row r="40" spans="1:12" s="114" customFormat="1">
      <c r="A40" s="431"/>
      <c r="D40" s="644" t="s">
        <v>276</v>
      </c>
      <c r="H40" s="644"/>
      <c r="I40" s="644"/>
      <c r="J40" s="644"/>
      <c r="K40" s="644"/>
      <c r="L40" s="644"/>
    </row>
    <row r="41" spans="1:12" s="114" customFormat="1">
      <c r="A41" s="431" t="s">
        <v>819</v>
      </c>
      <c r="B41" s="10">
        <f t="shared" ref="B41:G41" si="6">(B31/B6-1)*100</f>
        <v>23.976608187134495</v>
      </c>
      <c r="C41" s="10">
        <f t="shared" si="6"/>
        <v>27.223719676549862</v>
      </c>
      <c r="D41" s="10">
        <f t="shared" si="6"/>
        <v>24.920127795527147</v>
      </c>
      <c r="E41" s="10">
        <f t="shared" si="6"/>
        <v>16.744913928012515</v>
      </c>
      <c r="F41" s="10">
        <f t="shared" si="6"/>
        <v>20.31700288184437</v>
      </c>
      <c r="G41" s="10">
        <f t="shared" si="6"/>
        <v>17.717206132879038</v>
      </c>
    </row>
    <row r="42" spans="1:12" s="114" customFormat="1">
      <c r="A42" s="431" t="s">
        <v>447</v>
      </c>
      <c r="B42" s="10">
        <f t="shared" ref="B42:G42" si="7">(B32/B6-1)*100</f>
        <v>28.07017543859649</v>
      </c>
      <c r="C42" s="10">
        <f t="shared" si="7"/>
        <v>31.53638814016173</v>
      </c>
      <c r="D42" s="10">
        <f t="shared" si="7"/>
        <v>29.712460063897762</v>
      </c>
      <c r="E42" s="10">
        <f t="shared" si="7"/>
        <v>20.970266040688568</v>
      </c>
      <c r="F42" s="10">
        <f t="shared" si="7"/>
        <v>24.351585014409217</v>
      </c>
      <c r="G42" s="10">
        <f t="shared" si="7"/>
        <v>22.487223168654168</v>
      </c>
      <c r="H42" s="10"/>
      <c r="I42" s="10"/>
      <c r="J42" s="10"/>
      <c r="K42" s="10"/>
      <c r="L42" s="10"/>
    </row>
    <row r="44" spans="1:12" ht="27" customHeight="1">
      <c r="A44" s="1170" t="s">
        <v>1265</v>
      </c>
      <c r="B44" s="1170"/>
      <c r="C44" s="1170"/>
      <c r="D44" s="1170"/>
      <c r="E44" s="1170"/>
      <c r="F44" s="1170"/>
      <c r="G44" s="1170"/>
    </row>
    <row r="45" spans="1:12">
      <c r="A45" s="4" t="s">
        <v>1868</v>
      </c>
    </row>
    <row r="46" spans="1:12">
      <c r="A46" s="4" t="s">
        <v>388</v>
      </c>
      <c r="B46" s="4"/>
      <c r="C46" s="4"/>
      <c r="D46" s="4"/>
      <c r="E46" s="4"/>
      <c r="F46" s="4"/>
      <c r="G46" s="4"/>
    </row>
    <row r="47" spans="1:12" ht="37.9" customHeight="1">
      <c r="A47" s="1168" t="s">
        <v>361</v>
      </c>
      <c r="B47" s="1169"/>
      <c r="C47" s="1169"/>
      <c r="D47" s="1169"/>
      <c r="E47" s="1169"/>
      <c r="F47" s="1169"/>
      <c r="G47" s="1169"/>
    </row>
    <row r="48" spans="1:12" ht="76.5" customHeight="1">
      <c r="A48" s="1168" t="s">
        <v>1961</v>
      </c>
      <c r="B48" s="1169"/>
      <c r="C48" s="1169"/>
      <c r="D48" s="1169"/>
      <c r="E48" s="1169"/>
      <c r="F48" s="1169"/>
      <c r="G48" s="1169"/>
    </row>
    <row r="50" spans="1:12" ht="15.75">
      <c r="A50" s="8"/>
      <c r="B50" s="4"/>
    </row>
    <row r="51" spans="1:12" ht="15.75">
      <c r="A51" s="1169"/>
      <c r="B51" s="1169"/>
      <c r="C51" s="1169"/>
      <c r="D51" s="1169"/>
      <c r="E51" s="1169"/>
      <c r="F51" s="1169"/>
      <c r="G51" s="1169"/>
      <c r="H51" s="1169"/>
      <c r="I51" s="1169"/>
      <c r="J51" s="1169"/>
      <c r="K51" s="1169"/>
      <c r="L51" s="1169"/>
    </row>
    <row r="55" spans="1:12">
      <c r="B55" s="961" t="s">
        <v>1850</v>
      </c>
      <c r="C55" s="961" t="s">
        <v>1916</v>
      </c>
      <c r="D55" s="961" t="s">
        <v>1870</v>
      </c>
      <c r="E55" s="961" t="s">
        <v>1915</v>
      </c>
    </row>
    <row r="56" spans="1:12">
      <c r="B56" s="961"/>
      <c r="C56" s="961" t="s">
        <v>1258</v>
      </c>
      <c r="D56" s="961" t="s">
        <v>1259</v>
      </c>
      <c r="E56" s="961" t="s">
        <v>1260</v>
      </c>
    </row>
    <row r="57" spans="1:12">
      <c r="B57" s="961">
        <v>1981</v>
      </c>
      <c r="C57" s="19">
        <v>63900</v>
      </c>
      <c r="D57" s="19">
        <v>69400</v>
      </c>
      <c r="E57" s="19">
        <v>58700</v>
      </c>
    </row>
    <row r="58" spans="1:12">
      <c r="B58" s="961">
        <v>1982</v>
      </c>
      <c r="C58" s="19">
        <v>61000</v>
      </c>
      <c r="D58" s="19">
        <v>67700</v>
      </c>
      <c r="E58" s="19">
        <v>57200</v>
      </c>
    </row>
    <row r="59" spans="1:12">
      <c r="B59" s="961">
        <v>1983</v>
      </c>
      <c r="C59" s="19">
        <v>59900</v>
      </c>
      <c r="D59" s="19">
        <v>66700</v>
      </c>
      <c r="E59" s="19">
        <v>56000</v>
      </c>
    </row>
    <row r="60" spans="1:12">
      <c r="B60" s="961">
        <v>1984</v>
      </c>
      <c r="C60" s="19">
        <v>59900</v>
      </c>
      <c r="D60" s="19">
        <v>66900</v>
      </c>
      <c r="E60" s="19">
        <v>56200</v>
      </c>
    </row>
    <row r="61" spans="1:12">
      <c r="B61" s="961">
        <v>1985</v>
      </c>
      <c r="C61" s="19">
        <v>61600</v>
      </c>
      <c r="D61" s="19">
        <v>68600</v>
      </c>
      <c r="E61" s="19">
        <v>57300</v>
      </c>
    </row>
    <row r="62" spans="1:12">
      <c r="B62" s="961">
        <v>1986</v>
      </c>
      <c r="C62" s="19">
        <v>62900</v>
      </c>
      <c r="D62" s="19">
        <v>70000</v>
      </c>
      <c r="E62" s="19">
        <v>57800</v>
      </c>
    </row>
    <row r="63" spans="1:12">
      <c r="B63" s="961">
        <v>1987</v>
      </c>
      <c r="C63" s="19">
        <v>63800</v>
      </c>
      <c r="D63" s="19">
        <v>70800</v>
      </c>
      <c r="E63" s="19">
        <v>57700</v>
      </c>
    </row>
    <row r="64" spans="1:12">
      <c r="B64" s="961">
        <v>1988</v>
      </c>
      <c r="C64" s="19">
        <v>65400</v>
      </c>
      <c r="D64" s="19">
        <v>72500</v>
      </c>
      <c r="E64" s="19">
        <v>59000</v>
      </c>
    </row>
    <row r="65" spans="2:5">
      <c r="B65" s="961">
        <v>1989</v>
      </c>
      <c r="C65" s="19">
        <v>67200</v>
      </c>
      <c r="D65" s="19">
        <v>74500</v>
      </c>
      <c r="E65" s="19">
        <v>60100</v>
      </c>
    </row>
    <row r="66" spans="2:5">
      <c r="B66" s="961">
        <v>1990</v>
      </c>
      <c r="C66" s="19">
        <v>64400</v>
      </c>
      <c r="D66" s="19">
        <v>72300</v>
      </c>
      <c r="E66" s="19">
        <v>58100</v>
      </c>
    </row>
    <row r="67" spans="2:5">
      <c r="B67" s="961">
        <v>1991</v>
      </c>
      <c r="C67" s="19">
        <v>61700</v>
      </c>
      <c r="D67" s="19">
        <v>70300</v>
      </c>
      <c r="E67" s="19">
        <v>56400</v>
      </c>
    </row>
    <row r="68" spans="2:5">
      <c r="B68" s="961">
        <v>1992</v>
      </c>
      <c r="C68" s="19">
        <v>60700</v>
      </c>
      <c r="D68" s="19">
        <v>69900</v>
      </c>
      <c r="E68" s="19">
        <v>56500</v>
      </c>
    </row>
    <row r="69" spans="2:5">
      <c r="B69" s="961">
        <v>1993</v>
      </c>
      <c r="C69" s="19">
        <v>58300</v>
      </c>
      <c r="D69" s="19">
        <v>67600</v>
      </c>
      <c r="E69" s="19">
        <v>54800</v>
      </c>
    </row>
    <row r="70" spans="2:5">
      <c r="B70" s="961">
        <v>1994</v>
      </c>
      <c r="C70" s="19">
        <v>59600</v>
      </c>
      <c r="D70" s="19">
        <v>68800</v>
      </c>
      <c r="E70" s="19">
        <v>55500</v>
      </c>
    </row>
    <row r="71" spans="2:5">
      <c r="B71" s="961">
        <v>1995</v>
      </c>
      <c r="C71" s="19">
        <v>60200</v>
      </c>
      <c r="D71" s="19">
        <v>69100</v>
      </c>
      <c r="E71" s="19">
        <v>55600</v>
      </c>
    </row>
    <row r="72" spans="2:5">
      <c r="B72" s="961">
        <v>1996</v>
      </c>
      <c r="C72" s="19">
        <v>61000</v>
      </c>
      <c r="D72" s="19">
        <v>69800</v>
      </c>
      <c r="E72" s="19">
        <v>55900</v>
      </c>
    </row>
    <row r="73" spans="2:5">
      <c r="B73" s="961">
        <v>1997</v>
      </c>
      <c r="C73" s="19">
        <v>62000</v>
      </c>
      <c r="D73" s="19">
        <v>70500</v>
      </c>
      <c r="E73" s="19">
        <v>56400</v>
      </c>
    </row>
    <row r="74" spans="2:5">
      <c r="B74" s="961">
        <v>1998</v>
      </c>
      <c r="C74" s="19">
        <v>65500</v>
      </c>
      <c r="D74" s="19">
        <v>74200</v>
      </c>
      <c r="E74" s="19">
        <v>59300</v>
      </c>
    </row>
    <row r="75" spans="2:5">
      <c r="B75" s="961">
        <v>1999</v>
      </c>
      <c r="C75" s="19">
        <v>67600</v>
      </c>
      <c r="D75" s="19">
        <v>75800</v>
      </c>
      <c r="E75" s="19">
        <v>61100</v>
      </c>
    </row>
    <row r="76" spans="2:5">
      <c r="B76" s="961">
        <v>2000</v>
      </c>
      <c r="C76" s="19">
        <v>70600</v>
      </c>
      <c r="D76" s="19">
        <v>78600</v>
      </c>
      <c r="E76" s="19">
        <v>63000</v>
      </c>
    </row>
    <row r="77" spans="2:5">
      <c r="B77" s="961">
        <v>2001</v>
      </c>
      <c r="C77" s="19">
        <v>71400</v>
      </c>
      <c r="D77" s="19">
        <v>79800</v>
      </c>
      <c r="E77" s="19">
        <v>65500</v>
      </c>
    </row>
    <row r="78" spans="2:5">
      <c r="B78" s="961">
        <v>2002</v>
      </c>
      <c r="C78" s="19">
        <v>71200</v>
      </c>
      <c r="D78" s="19">
        <v>79600</v>
      </c>
      <c r="E78" s="19">
        <v>65600</v>
      </c>
    </row>
    <row r="79" spans="2:5">
      <c r="B79" s="961">
        <v>2003</v>
      </c>
      <c r="C79" s="19">
        <v>70600</v>
      </c>
      <c r="D79" s="19">
        <v>79000</v>
      </c>
      <c r="E79" s="19">
        <v>65000</v>
      </c>
    </row>
    <row r="80" spans="2:5">
      <c r="B80" s="961">
        <v>2004</v>
      </c>
      <c r="C80" s="19">
        <v>72400</v>
      </c>
      <c r="D80" s="19">
        <v>80900</v>
      </c>
      <c r="E80" s="19">
        <v>66600</v>
      </c>
    </row>
    <row r="81" spans="2:5">
      <c r="B81" s="961">
        <v>2005</v>
      </c>
      <c r="C81" s="19">
        <v>73200</v>
      </c>
      <c r="D81" s="19">
        <v>81700</v>
      </c>
      <c r="E81" s="19">
        <v>67500</v>
      </c>
    </row>
    <row r="82" spans="2:5">
      <c r="B82" s="961">
        <v>2006</v>
      </c>
      <c r="C82" s="19">
        <v>74600</v>
      </c>
      <c r="D82" s="19">
        <v>83500</v>
      </c>
      <c r="E82" s="19">
        <v>69100</v>
      </c>
    </row>
    <row r="83" spans="2:5">
      <c r="B83" s="961">
        <v>2007</v>
      </c>
      <c r="C83" s="19">
        <v>77300</v>
      </c>
      <c r="D83" s="19">
        <v>86300</v>
      </c>
      <c r="E83" s="19">
        <v>71900</v>
      </c>
    </row>
  </sheetData>
  <mergeCells count="12">
    <mergeCell ref="F4:F5"/>
    <mergeCell ref="G4:G5"/>
    <mergeCell ref="B3:D3"/>
    <mergeCell ref="E3:G3"/>
    <mergeCell ref="A51:L51"/>
    <mergeCell ref="B4:B5"/>
    <mergeCell ref="A48:G48"/>
    <mergeCell ref="C4:C5"/>
    <mergeCell ref="D4:D5"/>
    <mergeCell ref="E4:E5"/>
    <mergeCell ref="A47:G47"/>
    <mergeCell ref="A44:G44"/>
  </mergeCells>
  <phoneticPr fontId="35" type="noConversion"/>
  <pageMargins left="0.75" right="0.75" top="1" bottom="1" header="0.5" footer="0.5"/>
  <pageSetup scale="85"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sheetPr codeName="Sheet50"/>
  <dimension ref="A1:BE97"/>
  <sheetViews>
    <sheetView view="pageBreakPreview" zoomScale="70" zoomScaleSheetLayoutView="70"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42578125" style="1" customWidth="1"/>
    <col min="9" max="9" width="7.140625" style="652" customWidth="1"/>
    <col min="10" max="16" width="7.140625" style="960" hidden="1" customWidth="1"/>
    <col min="17" max="33" width="7.140625" style="652" customWidth="1"/>
    <col min="34" max="34" width="7.140625" style="1" customWidth="1"/>
    <col min="35" max="35" width="7.140625" style="961" customWidth="1"/>
    <col min="36" max="41" width="7.140625" style="1" customWidth="1"/>
    <col min="42" max="42" width="11.85546875" style="1" customWidth="1"/>
    <col min="43" max="43" width="2.7109375" style="1" customWidth="1"/>
    <col min="44" max="44" width="9.140625" style="1" customWidth="1"/>
    <col min="45" max="16384" width="9.140625" style="1"/>
  </cols>
  <sheetData>
    <row r="1" spans="1:57" ht="15.75">
      <c r="A1" s="3" t="s">
        <v>2127</v>
      </c>
    </row>
    <row r="2" spans="1:57">
      <c r="A2" s="4"/>
      <c r="B2" s="4"/>
      <c r="I2" s="9"/>
      <c r="J2" s="9"/>
      <c r="K2" s="9"/>
      <c r="L2" s="9"/>
      <c r="M2" s="9"/>
      <c r="N2" s="9"/>
      <c r="O2" s="9"/>
      <c r="P2" s="9"/>
      <c r="Q2" s="9"/>
      <c r="R2" s="9"/>
      <c r="S2" s="9"/>
      <c r="T2" s="9"/>
      <c r="U2" s="9"/>
      <c r="V2" s="9"/>
      <c r="W2" s="9"/>
      <c r="X2" s="9"/>
      <c r="Y2" s="9"/>
      <c r="Z2" s="9"/>
      <c r="AA2" s="9"/>
      <c r="AB2" s="9"/>
      <c r="AC2" s="9"/>
      <c r="AD2" s="9"/>
      <c r="AE2" s="9"/>
      <c r="AF2" s="9"/>
      <c r="AG2" s="9"/>
      <c r="AH2" s="9"/>
      <c r="AI2" s="9"/>
      <c r="AJ2" s="9"/>
    </row>
    <row r="3" spans="1:57" s="9" customFormat="1">
      <c r="AK3" s="1171" t="s">
        <v>802</v>
      </c>
      <c r="AL3" s="1171"/>
      <c r="AM3" s="1171"/>
      <c r="AN3" s="1171"/>
      <c r="AP3" s="644" t="s">
        <v>276</v>
      </c>
    </row>
    <row r="4" spans="1:57" s="235" customFormat="1">
      <c r="A4" s="667"/>
      <c r="B4" s="973"/>
      <c r="C4" s="973"/>
      <c r="D4" s="973"/>
      <c r="E4" s="973"/>
      <c r="F4" s="973"/>
      <c r="G4" s="973"/>
      <c r="H4" s="973"/>
      <c r="I4" s="237">
        <v>1981</v>
      </c>
      <c r="J4" s="132"/>
      <c r="K4" s="132"/>
      <c r="L4" s="132"/>
      <c r="M4" s="132"/>
      <c r="N4" s="132"/>
      <c r="O4" s="132"/>
      <c r="P4" s="132"/>
      <c r="Q4" s="976">
        <v>1989</v>
      </c>
      <c r="R4" s="132">
        <v>1990</v>
      </c>
      <c r="S4" s="132">
        <v>1991</v>
      </c>
      <c r="T4" s="132">
        <v>1992</v>
      </c>
      <c r="U4" s="132">
        <v>1993</v>
      </c>
      <c r="V4" s="132">
        <v>1994</v>
      </c>
      <c r="W4" s="132">
        <v>1995</v>
      </c>
      <c r="X4" s="132">
        <v>1996</v>
      </c>
      <c r="Y4" s="132">
        <v>1997</v>
      </c>
      <c r="Z4" s="132">
        <v>1998</v>
      </c>
      <c r="AA4" s="132">
        <v>1999</v>
      </c>
      <c r="AB4" s="132">
        <v>2000</v>
      </c>
      <c r="AC4" s="132">
        <v>2001</v>
      </c>
      <c r="AD4" s="132">
        <v>2002</v>
      </c>
      <c r="AE4" s="132">
        <v>2003</v>
      </c>
      <c r="AF4" s="132">
        <v>2004</v>
      </c>
      <c r="AG4" s="132">
        <v>2005</v>
      </c>
      <c r="AH4" s="132">
        <v>2006</v>
      </c>
      <c r="AI4" s="132">
        <v>2007</v>
      </c>
      <c r="AJ4" s="132"/>
      <c r="AK4" s="241" t="s">
        <v>603</v>
      </c>
      <c r="AL4" s="241" t="s">
        <v>604</v>
      </c>
      <c r="AM4" s="241" t="s">
        <v>447</v>
      </c>
      <c r="AN4" s="241" t="s">
        <v>449</v>
      </c>
      <c r="AO4" s="1007"/>
      <c r="AP4" s="241" t="s">
        <v>447</v>
      </c>
      <c r="AQ4" s="9"/>
      <c r="AR4" s="9"/>
      <c r="AS4" s="9"/>
      <c r="AT4" s="9"/>
      <c r="AU4" s="9"/>
      <c r="AV4" s="9"/>
      <c r="AW4" s="9"/>
      <c r="AX4" s="9"/>
      <c r="AY4" s="9"/>
      <c r="AZ4" s="9"/>
      <c r="BA4" s="9"/>
      <c r="BB4" s="9"/>
      <c r="BC4" s="9"/>
      <c r="BD4" s="9"/>
      <c r="BE4" s="9"/>
    </row>
    <row r="5" spans="1:57" ht="15">
      <c r="A5" s="128" t="s">
        <v>964</v>
      </c>
      <c r="H5" s="961"/>
      <c r="I5" s="20">
        <v>53500</v>
      </c>
      <c r="J5" s="19">
        <v>51200</v>
      </c>
      <c r="K5" s="19">
        <v>49700</v>
      </c>
      <c r="L5" s="19">
        <v>49700</v>
      </c>
      <c r="M5" s="19">
        <v>50900</v>
      </c>
      <c r="N5" s="19">
        <v>51700</v>
      </c>
      <c r="O5" s="19">
        <v>52300</v>
      </c>
      <c r="P5" s="39">
        <v>53300</v>
      </c>
      <c r="Q5" s="240">
        <v>54600</v>
      </c>
      <c r="R5" s="19">
        <v>52300</v>
      </c>
      <c r="S5" s="19">
        <v>49500</v>
      </c>
      <c r="T5" s="19">
        <v>48800</v>
      </c>
      <c r="U5" s="19">
        <v>47200</v>
      </c>
      <c r="V5" s="19">
        <v>47800</v>
      </c>
      <c r="W5" s="19">
        <v>48400</v>
      </c>
      <c r="X5" s="19">
        <v>48600</v>
      </c>
      <c r="Y5" s="19">
        <v>49200</v>
      </c>
      <c r="Z5" s="19">
        <v>51700</v>
      </c>
      <c r="AA5" s="19">
        <v>53800</v>
      </c>
      <c r="AB5" s="19">
        <v>55800</v>
      </c>
      <c r="AC5" s="19">
        <v>56400</v>
      </c>
      <c r="AD5" s="19">
        <v>56400</v>
      </c>
      <c r="AE5" s="19">
        <v>56200</v>
      </c>
      <c r="AF5" s="19">
        <v>57200</v>
      </c>
      <c r="AG5" s="19">
        <v>57900</v>
      </c>
      <c r="AH5" s="19">
        <v>59200</v>
      </c>
      <c r="AI5" s="19">
        <v>61000</v>
      </c>
      <c r="AJ5" s="19"/>
      <c r="AK5" s="644">
        <f>((Q5/I5)^(1/8)-1)*100</f>
        <v>0.25472673928264022</v>
      </c>
      <c r="AL5" s="644">
        <f>((AB5/Q5)^(1/11)-1)*100</f>
        <v>0.19783167129525658</v>
      </c>
      <c r="AM5" s="644">
        <f>((AI5/I5)^(1/26)-1)*100</f>
        <v>0.50586060025390456</v>
      </c>
      <c r="AN5" s="644">
        <f>((AI5/AB5)^(1/7)-1)*100</f>
        <v>1.2809923742495899</v>
      </c>
      <c r="AO5" s="23"/>
      <c r="AP5" s="644">
        <f>100*AI5/I5-100</f>
        <v>14.018691588785046</v>
      </c>
      <c r="AQ5" s="114"/>
      <c r="AT5" s="810"/>
      <c r="AU5" s="810"/>
      <c r="AV5" s="810"/>
      <c r="AW5" s="810"/>
      <c r="AX5" s="810"/>
    </row>
    <row r="6" spans="1:57" ht="15">
      <c r="I6" s="20"/>
      <c r="J6" s="39"/>
      <c r="K6" s="39"/>
      <c r="L6" s="39"/>
      <c r="M6" s="39"/>
      <c r="N6" s="39"/>
      <c r="O6" s="39"/>
      <c r="P6" s="39"/>
      <c r="Q6" s="240"/>
      <c r="R6" s="19"/>
      <c r="S6" s="19"/>
      <c r="T6" s="19"/>
      <c r="U6" s="19"/>
      <c r="V6" s="19"/>
      <c r="W6" s="19"/>
      <c r="X6" s="19"/>
      <c r="Y6" s="19"/>
      <c r="Z6" s="19"/>
      <c r="AA6" s="19"/>
      <c r="AB6" s="19"/>
      <c r="AC6" s="19"/>
      <c r="AD6" s="19"/>
      <c r="AE6" s="19"/>
      <c r="AF6" s="19"/>
      <c r="AG6" s="19"/>
      <c r="AH6" s="19"/>
      <c r="AI6" s="19"/>
      <c r="AK6" s="644"/>
      <c r="AL6" s="644"/>
      <c r="AM6" s="644"/>
      <c r="AN6" s="644"/>
      <c r="AO6" s="23"/>
      <c r="AP6" s="644"/>
      <c r="AQ6" s="114"/>
      <c r="AT6" s="810"/>
      <c r="AU6" s="810"/>
      <c r="AV6" s="810"/>
      <c r="AW6" s="810"/>
      <c r="AX6" s="810"/>
    </row>
    <row r="7" spans="1:57" ht="15">
      <c r="B7" s="128" t="s">
        <v>610</v>
      </c>
      <c r="H7" s="961"/>
      <c r="I7" s="20">
        <v>63900</v>
      </c>
      <c r="J7" s="19">
        <v>61000</v>
      </c>
      <c r="K7" s="19">
        <v>59900</v>
      </c>
      <c r="L7" s="19">
        <v>59900</v>
      </c>
      <c r="M7" s="19">
        <v>61600</v>
      </c>
      <c r="N7" s="19">
        <v>62900</v>
      </c>
      <c r="O7" s="19">
        <v>63800</v>
      </c>
      <c r="P7" s="39">
        <v>65400</v>
      </c>
      <c r="Q7" s="240">
        <v>67200</v>
      </c>
      <c r="R7" s="19">
        <v>64400</v>
      </c>
      <c r="S7" s="19">
        <v>61700</v>
      </c>
      <c r="T7" s="19">
        <v>60700</v>
      </c>
      <c r="U7" s="19">
        <v>58300</v>
      </c>
      <c r="V7" s="19">
        <v>59600</v>
      </c>
      <c r="W7" s="19">
        <v>60200</v>
      </c>
      <c r="X7" s="19">
        <v>61000</v>
      </c>
      <c r="Y7" s="19">
        <v>62000</v>
      </c>
      <c r="Z7" s="19">
        <v>65500</v>
      </c>
      <c r="AA7" s="19">
        <v>67600</v>
      </c>
      <c r="AB7" s="19">
        <v>70600</v>
      </c>
      <c r="AC7" s="19">
        <v>71400</v>
      </c>
      <c r="AD7" s="19">
        <v>71200</v>
      </c>
      <c r="AE7" s="19">
        <v>70600</v>
      </c>
      <c r="AF7" s="19">
        <v>72400</v>
      </c>
      <c r="AG7" s="19">
        <v>73200</v>
      </c>
      <c r="AH7" s="19">
        <v>74600</v>
      </c>
      <c r="AI7" s="19">
        <v>77300</v>
      </c>
      <c r="AJ7" s="19"/>
      <c r="AK7" s="644">
        <f t="shared" ref="AK7:AK51" si="0">((Q7/I7)^(1/8)-1)*100</f>
        <v>0.63140860958479372</v>
      </c>
      <c r="AL7" s="644">
        <f>((AB7/Q7)^(1/11)-1)*100</f>
        <v>0.44970722491830539</v>
      </c>
      <c r="AM7" s="959">
        <f>((AI7/I7)^(1/26)-1)*100</f>
        <v>0.73489718966184281</v>
      </c>
      <c r="AN7" s="959">
        <f>((AI7/AB7)^(1/7)-1)*100</f>
        <v>1.3036213114882456</v>
      </c>
      <c r="AO7" s="23"/>
      <c r="AP7" s="959">
        <f>100*AI7/I7-100</f>
        <v>20.970266040688571</v>
      </c>
      <c r="AQ7" s="114"/>
      <c r="AT7" s="810"/>
      <c r="AU7" s="810"/>
      <c r="AV7" s="810"/>
      <c r="AW7" s="810"/>
      <c r="AX7" s="810"/>
    </row>
    <row r="8" spans="1:57" ht="15">
      <c r="B8" s="128"/>
      <c r="H8" s="961"/>
      <c r="I8" s="20"/>
      <c r="J8" s="39"/>
      <c r="K8" s="39"/>
      <c r="L8" s="39"/>
      <c r="M8" s="39"/>
      <c r="N8" s="39"/>
      <c r="O8" s="39"/>
      <c r="P8" s="39"/>
      <c r="Q8" s="240"/>
      <c r="R8" s="19"/>
      <c r="S8" s="19"/>
      <c r="T8" s="19"/>
      <c r="U8" s="19"/>
      <c r="V8" s="19"/>
      <c r="W8" s="19"/>
      <c r="X8" s="19"/>
      <c r="Y8" s="19"/>
      <c r="Z8" s="19"/>
      <c r="AA8" s="19"/>
      <c r="AB8" s="19"/>
      <c r="AC8" s="19"/>
      <c r="AD8" s="19"/>
      <c r="AE8" s="19"/>
      <c r="AF8" s="19"/>
      <c r="AG8" s="19"/>
      <c r="AH8" s="19"/>
      <c r="AI8" s="19"/>
      <c r="AJ8" s="19"/>
      <c r="AK8" s="644"/>
      <c r="AL8" s="644"/>
      <c r="AM8" s="644"/>
      <c r="AN8" s="644"/>
      <c r="AO8" s="23"/>
      <c r="AP8" s="644"/>
      <c r="AQ8" s="114"/>
      <c r="AT8" s="810"/>
      <c r="AU8" s="810"/>
      <c r="AV8" s="810"/>
      <c r="AW8" s="810"/>
      <c r="AX8" s="810"/>
    </row>
    <row r="9" spans="1:57" ht="15">
      <c r="C9" s="128" t="s">
        <v>921</v>
      </c>
      <c r="H9" s="961"/>
      <c r="I9" s="20">
        <v>29800</v>
      </c>
      <c r="J9" s="19">
        <v>31300</v>
      </c>
      <c r="K9" s="19">
        <v>27400</v>
      </c>
      <c r="L9" s="19">
        <v>29600</v>
      </c>
      <c r="M9" s="19">
        <v>29700</v>
      </c>
      <c r="N9" s="19">
        <v>29900</v>
      </c>
      <c r="O9" s="19">
        <v>27600</v>
      </c>
      <c r="P9" s="39">
        <v>28700</v>
      </c>
      <c r="Q9" s="240">
        <v>34700</v>
      </c>
      <c r="R9" s="19">
        <v>32400</v>
      </c>
      <c r="S9" s="19">
        <v>31000</v>
      </c>
      <c r="T9" s="19">
        <v>28800</v>
      </c>
      <c r="U9" s="19">
        <v>28600</v>
      </c>
      <c r="V9" s="19">
        <v>28200</v>
      </c>
      <c r="W9" s="19">
        <v>30800</v>
      </c>
      <c r="X9" s="19">
        <v>28600</v>
      </c>
      <c r="Y9" s="19">
        <v>29000</v>
      </c>
      <c r="Z9" s="19">
        <v>28300</v>
      </c>
      <c r="AA9" s="19">
        <v>30400</v>
      </c>
      <c r="AB9" s="19">
        <v>31300</v>
      </c>
      <c r="AC9" s="19">
        <v>31000</v>
      </c>
      <c r="AD9" s="19">
        <v>32100</v>
      </c>
      <c r="AE9" s="19">
        <v>31600</v>
      </c>
      <c r="AF9" s="19">
        <v>32500</v>
      </c>
      <c r="AG9" s="19">
        <v>34700</v>
      </c>
      <c r="AH9" s="19">
        <v>35700</v>
      </c>
      <c r="AI9" s="19">
        <v>38600</v>
      </c>
      <c r="AJ9" s="19"/>
      <c r="AK9" s="644">
        <f t="shared" si="0"/>
        <v>1.9211115297243619</v>
      </c>
      <c r="AL9" s="644">
        <f>((AB9/Q9)^(1/11)-1)*100</f>
        <v>-0.93308845345283498</v>
      </c>
      <c r="AM9" s="959">
        <f>((AI9/I9)^(1/26)-1)*100</f>
        <v>1.0001370523423203</v>
      </c>
      <c r="AN9" s="959">
        <f>((AI9/AB9)^(1/7)-1)*100</f>
        <v>3.0400683648401428</v>
      </c>
      <c r="AO9" s="23"/>
      <c r="AP9" s="959">
        <f>100*AI9/I9-100</f>
        <v>29.530201342281885</v>
      </c>
      <c r="AQ9" s="114"/>
      <c r="AT9" s="810"/>
      <c r="AU9" s="810"/>
      <c r="AV9" s="810"/>
      <c r="AW9" s="810"/>
      <c r="AX9" s="810"/>
    </row>
    <row r="10" spans="1:57" ht="15">
      <c r="C10" s="1" t="s">
        <v>611</v>
      </c>
      <c r="H10" s="961"/>
      <c r="I10" s="20">
        <v>23600</v>
      </c>
      <c r="J10" s="19">
        <v>27500</v>
      </c>
      <c r="K10" s="19">
        <v>23700</v>
      </c>
      <c r="L10" s="19">
        <v>24800</v>
      </c>
      <c r="M10" s="19">
        <v>23500</v>
      </c>
      <c r="N10" s="19">
        <v>25100</v>
      </c>
      <c r="O10" s="19">
        <v>22600</v>
      </c>
      <c r="P10" s="39">
        <v>23100</v>
      </c>
      <c r="Q10" s="240">
        <v>29700</v>
      </c>
      <c r="R10" s="19">
        <v>27600</v>
      </c>
      <c r="S10" s="19">
        <v>25700</v>
      </c>
      <c r="T10" s="19">
        <v>23900</v>
      </c>
      <c r="U10" s="19">
        <v>25300</v>
      </c>
      <c r="V10" s="19">
        <v>24500</v>
      </c>
      <c r="W10" s="19">
        <v>26100</v>
      </c>
      <c r="X10" s="19">
        <v>25700</v>
      </c>
      <c r="Y10" s="19">
        <v>26300</v>
      </c>
      <c r="Z10" s="19">
        <v>27500</v>
      </c>
      <c r="AA10" s="19">
        <v>29900</v>
      </c>
      <c r="AB10" s="19">
        <v>29600</v>
      </c>
      <c r="AC10" s="19">
        <v>30200</v>
      </c>
      <c r="AD10" s="19">
        <v>30500</v>
      </c>
      <c r="AE10" s="19">
        <v>30700</v>
      </c>
      <c r="AF10" s="19">
        <v>32300</v>
      </c>
      <c r="AG10" s="19">
        <v>33000</v>
      </c>
      <c r="AH10" s="19">
        <v>33900</v>
      </c>
      <c r="AI10" s="19">
        <v>37100</v>
      </c>
      <c r="AJ10" s="961"/>
      <c r="AK10" s="644">
        <f t="shared" si="0"/>
        <v>2.9154448921393294</v>
      </c>
      <c r="AL10" s="644">
        <f>((AB10/Q10)^(1/11)-1)*100</f>
        <v>-3.0656068054524255E-2</v>
      </c>
      <c r="AM10" s="959">
        <f>((AI10/I10)^(1/26)-1)*100</f>
        <v>1.755109781943287</v>
      </c>
      <c r="AN10" s="959">
        <f>((AI10/AB10)^(1/7)-1)*100</f>
        <v>3.2789330409491502</v>
      </c>
      <c r="AO10" s="23"/>
      <c r="AP10" s="959">
        <f>100*AI10/I10-100</f>
        <v>57.203389830508485</v>
      </c>
      <c r="AQ10" s="114"/>
      <c r="AT10" s="810"/>
      <c r="AU10" s="810"/>
      <c r="AV10" s="810"/>
      <c r="AW10" s="810"/>
      <c r="AX10" s="810"/>
    </row>
    <row r="11" spans="1:57" ht="15">
      <c r="C11" s="1" t="s">
        <v>612</v>
      </c>
      <c r="H11" s="961"/>
      <c r="I11" s="20">
        <v>41800</v>
      </c>
      <c r="J11" s="19">
        <v>39400</v>
      </c>
      <c r="K11" s="19">
        <v>35600</v>
      </c>
      <c r="L11" s="19">
        <v>39000</v>
      </c>
      <c r="M11" s="19">
        <v>41400</v>
      </c>
      <c r="N11" s="19">
        <v>40800</v>
      </c>
      <c r="O11" s="19">
        <v>38900</v>
      </c>
      <c r="P11" s="39">
        <v>41200</v>
      </c>
      <c r="Q11" s="240">
        <v>46000</v>
      </c>
      <c r="R11" s="19">
        <v>43900</v>
      </c>
      <c r="S11" s="19">
        <v>43500</v>
      </c>
      <c r="T11" s="19">
        <v>39700</v>
      </c>
      <c r="U11" s="19">
        <v>36400</v>
      </c>
      <c r="V11" s="19">
        <v>37700</v>
      </c>
      <c r="W11" s="19">
        <v>42900</v>
      </c>
      <c r="X11" s="19">
        <v>37200</v>
      </c>
      <c r="Y11" s="19">
        <v>37000</v>
      </c>
      <c r="Z11" s="19">
        <v>31200</v>
      </c>
      <c r="AA11" s="19">
        <v>32500</v>
      </c>
      <c r="AB11" s="19">
        <v>37500</v>
      </c>
      <c r="AC11" s="19">
        <v>34100</v>
      </c>
      <c r="AD11" s="19">
        <v>37900</v>
      </c>
      <c r="AE11" s="19">
        <v>35000</v>
      </c>
      <c r="AF11" s="19">
        <v>33400</v>
      </c>
      <c r="AG11" s="19">
        <v>41000</v>
      </c>
      <c r="AH11" s="19">
        <v>42100</v>
      </c>
      <c r="AI11" s="19">
        <v>43800</v>
      </c>
      <c r="AJ11" s="961"/>
      <c r="AK11" s="644">
        <f t="shared" si="0"/>
        <v>1.2040036781525876</v>
      </c>
      <c r="AL11" s="644">
        <f>((AB11/Q11)^(1/11)-1)*100</f>
        <v>-1.8401358361496367</v>
      </c>
      <c r="AM11" s="959">
        <f>((AI11/I11)^(1/26)-1)*100</f>
        <v>0.17992119449676824</v>
      </c>
      <c r="AN11" s="959">
        <f>((AI11/AB11)^(1/7)-1)*100</f>
        <v>2.2432608057279202</v>
      </c>
      <c r="AO11" s="23"/>
      <c r="AP11" s="959">
        <f>100*AI11/I11-100</f>
        <v>4.7846889952153049</v>
      </c>
      <c r="AQ11" s="114"/>
      <c r="AT11" s="810"/>
      <c r="AU11" s="810"/>
      <c r="AV11" s="810"/>
      <c r="AW11" s="810"/>
      <c r="AX11" s="810"/>
    </row>
    <row r="12" spans="1:57" ht="15">
      <c r="H12" s="961"/>
      <c r="I12" s="20"/>
      <c r="J12" s="39"/>
      <c r="K12" s="39"/>
      <c r="L12" s="39"/>
      <c r="M12" s="39"/>
      <c r="N12" s="39"/>
      <c r="O12" s="39"/>
      <c r="P12" s="39"/>
      <c r="Q12" s="240"/>
      <c r="R12" s="19"/>
      <c r="S12" s="19"/>
      <c r="T12" s="19"/>
      <c r="U12" s="19"/>
      <c r="V12" s="19"/>
      <c r="W12" s="19"/>
      <c r="X12" s="19"/>
      <c r="Y12" s="19"/>
      <c r="Z12" s="19"/>
      <c r="AA12" s="19"/>
      <c r="AB12" s="19"/>
      <c r="AC12" s="19"/>
      <c r="AD12" s="19"/>
      <c r="AE12" s="19"/>
      <c r="AF12" s="19"/>
      <c r="AG12" s="19"/>
      <c r="AH12" s="19"/>
      <c r="AI12" s="19"/>
      <c r="AJ12" s="19"/>
      <c r="AK12" s="644"/>
      <c r="AL12" s="644"/>
      <c r="AM12" s="644"/>
      <c r="AN12" s="644"/>
      <c r="AO12" s="23"/>
      <c r="AP12" s="644"/>
      <c r="AQ12" s="114"/>
      <c r="AT12" s="810"/>
      <c r="AU12" s="810"/>
      <c r="AV12" s="810"/>
      <c r="AW12" s="810"/>
      <c r="AX12" s="810"/>
    </row>
    <row r="13" spans="1:57" ht="15">
      <c r="C13" s="128" t="s">
        <v>922</v>
      </c>
      <c r="H13" s="961"/>
      <c r="I13" s="20">
        <v>68600</v>
      </c>
      <c r="J13" s="19">
        <v>65200</v>
      </c>
      <c r="K13" s="19">
        <v>64500</v>
      </c>
      <c r="L13" s="19">
        <v>64300</v>
      </c>
      <c r="M13" s="19">
        <v>66400</v>
      </c>
      <c r="N13" s="19">
        <v>68000</v>
      </c>
      <c r="O13" s="19">
        <v>69500</v>
      </c>
      <c r="P13" s="39">
        <v>71300</v>
      </c>
      <c r="Q13" s="240">
        <v>72400</v>
      </c>
      <c r="R13" s="19">
        <v>69700</v>
      </c>
      <c r="S13" s="19">
        <v>66800</v>
      </c>
      <c r="T13" s="19">
        <v>66200</v>
      </c>
      <c r="U13" s="19">
        <v>63300</v>
      </c>
      <c r="V13" s="19">
        <v>65000</v>
      </c>
      <c r="W13" s="19">
        <v>65300</v>
      </c>
      <c r="X13" s="19">
        <v>66300</v>
      </c>
      <c r="Y13" s="19">
        <v>67500</v>
      </c>
      <c r="Z13" s="19">
        <v>71500</v>
      </c>
      <c r="AA13" s="19">
        <v>73700</v>
      </c>
      <c r="AB13" s="19">
        <v>77100</v>
      </c>
      <c r="AC13" s="19">
        <v>77900</v>
      </c>
      <c r="AD13" s="19">
        <v>77600</v>
      </c>
      <c r="AE13" s="19">
        <v>77200</v>
      </c>
      <c r="AF13" s="19">
        <v>79400</v>
      </c>
      <c r="AG13" s="19">
        <v>79900</v>
      </c>
      <c r="AH13" s="19">
        <v>81600</v>
      </c>
      <c r="AI13" s="19">
        <v>84200</v>
      </c>
      <c r="AJ13" s="19"/>
      <c r="AK13" s="644">
        <f t="shared" si="0"/>
        <v>0.6761980228206621</v>
      </c>
      <c r="AL13" s="644">
        <f>((AB13/Q13)^(1/11)-1)*100</f>
        <v>0.57342858140947417</v>
      </c>
      <c r="AM13" s="959">
        <f>((AI13/I13)^(1/26)-1)*100</f>
        <v>0.79119967434295724</v>
      </c>
      <c r="AN13" s="959">
        <f>((AI13/AB13)^(1/7)-1)*100</f>
        <v>1.2664038386431598</v>
      </c>
      <c r="AO13" s="23"/>
      <c r="AP13" s="959">
        <f>100*AI13/I13-100</f>
        <v>22.740524781341108</v>
      </c>
      <c r="AQ13" s="114"/>
      <c r="AT13" s="810"/>
      <c r="AU13" s="810"/>
      <c r="AV13" s="810"/>
      <c r="AW13" s="810"/>
      <c r="AX13" s="810"/>
    </row>
    <row r="14" spans="1:57" ht="15">
      <c r="C14" s="128"/>
      <c r="H14" s="961"/>
      <c r="I14" s="20"/>
      <c r="J14" s="39"/>
      <c r="K14" s="39"/>
      <c r="L14" s="39"/>
      <c r="M14" s="39"/>
      <c r="N14" s="39"/>
      <c r="O14" s="39"/>
      <c r="P14" s="39"/>
      <c r="Q14" s="240"/>
      <c r="R14" s="19"/>
      <c r="S14" s="19"/>
      <c r="T14" s="19"/>
      <c r="U14" s="19"/>
      <c r="V14" s="19"/>
      <c r="W14" s="19"/>
      <c r="X14" s="19"/>
      <c r="Y14" s="19"/>
      <c r="Z14" s="19"/>
      <c r="AA14" s="19"/>
      <c r="AB14" s="19"/>
      <c r="AC14" s="19"/>
      <c r="AD14" s="19"/>
      <c r="AE14" s="19"/>
      <c r="AF14" s="19"/>
      <c r="AG14" s="19"/>
      <c r="AH14" s="19"/>
      <c r="AI14" s="19"/>
      <c r="AJ14" s="19"/>
      <c r="AK14" s="644"/>
      <c r="AL14" s="644"/>
      <c r="AM14" s="644"/>
      <c r="AN14" s="644"/>
      <c r="AO14" s="23"/>
      <c r="AP14" s="644"/>
      <c r="AQ14" s="114"/>
      <c r="AT14" s="810"/>
      <c r="AU14" s="810"/>
      <c r="AV14" s="810"/>
      <c r="AW14" s="810"/>
      <c r="AX14" s="810"/>
    </row>
    <row r="15" spans="1:57" ht="15">
      <c r="D15" s="128" t="s">
        <v>923</v>
      </c>
      <c r="H15" s="961"/>
      <c r="I15" s="20">
        <v>66800</v>
      </c>
      <c r="J15" s="19">
        <v>62900</v>
      </c>
      <c r="K15" s="19">
        <v>63200</v>
      </c>
      <c r="L15" s="19">
        <v>62800</v>
      </c>
      <c r="M15" s="19">
        <v>64400</v>
      </c>
      <c r="N15" s="19">
        <v>64200</v>
      </c>
      <c r="O15" s="19">
        <v>67100</v>
      </c>
      <c r="P15" s="39">
        <v>69500</v>
      </c>
      <c r="Q15" s="240">
        <v>68200</v>
      </c>
      <c r="R15" s="19">
        <v>66400</v>
      </c>
      <c r="S15" s="19">
        <v>64900</v>
      </c>
      <c r="T15" s="19">
        <v>66700</v>
      </c>
      <c r="U15" s="19">
        <v>62100</v>
      </c>
      <c r="V15" s="19">
        <v>62400</v>
      </c>
      <c r="W15" s="19">
        <v>63200</v>
      </c>
      <c r="X15" s="19">
        <v>65200</v>
      </c>
      <c r="Y15" s="19">
        <v>66200</v>
      </c>
      <c r="Z15" s="19">
        <v>71500</v>
      </c>
      <c r="AA15" s="19">
        <v>71200</v>
      </c>
      <c r="AB15" s="19">
        <v>72500</v>
      </c>
      <c r="AC15" s="19">
        <v>76900</v>
      </c>
      <c r="AD15" s="19">
        <v>75300</v>
      </c>
      <c r="AE15" s="19">
        <v>73100</v>
      </c>
      <c r="AF15" s="19">
        <v>73900</v>
      </c>
      <c r="AG15" s="19">
        <v>77000</v>
      </c>
      <c r="AH15" s="19">
        <v>78900</v>
      </c>
      <c r="AI15" s="19">
        <v>81800</v>
      </c>
      <c r="AJ15" s="19"/>
      <c r="AK15" s="644">
        <f t="shared" si="0"/>
        <v>0.25960494540659962</v>
      </c>
      <c r="AL15" s="644">
        <f>((AB15/Q15)^(1/11)-1)*100</f>
        <v>0.55738397274316398</v>
      </c>
      <c r="AM15" s="959">
        <f>((AI15/I15)^(1/26)-1)*100</f>
        <v>0.78217452325723968</v>
      </c>
      <c r="AN15" s="959">
        <f>((AI15/AB15)^(1/7)-1)*100</f>
        <v>1.7391018999622698</v>
      </c>
      <c r="AO15" s="23"/>
      <c r="AP15" s="959">
        <f>100*AI15/I15-100</f>
        <v>22.455089820359277</v>
      </c>
      <c r="AQ15" s="114"/>
      <c r="AT15" s="810"/>
      <c r="AU15" s="810"/>
      <c r="AV15" s="810"/>
      <c r="AW15" s="810"/>
      <c r="AX15" s="810"/>
    </row>
    <row r="16" spans="1:57" ht="15">
      <c r="D16" s="1" t="s">
        <v>613</v>
      </c>
      <c r="H16" s="961"/>
      <c r="I16" s="20">
        <v>21400</v>
      </c>
      <c r="J16" s="19">
        <v>17700</v>
      </c>
      <c r="K16" s="19">
        <v>26700</v>
      </c>
      <c r="L16" s="19">
        <v>19800</v>
      </c>
      <c r="M16" s="19">
        <v>20500</v>
      </c>
      <c r="N16" s="19">
        <v>20500</v>
      </c>
      <c r="O16" s="19">
        <v>23100</v>
      </c>
      <c r="P16" s="39">
        <v>20600</v>
      </c>
      <c r="Q16" s="240">
        <v>21600</v>
      </c>
      <c r="R16" s="19">
        <v>23400</v>
      </c>
      <c r="S16" s="19">
        <v>22900</v>
      </c>
      <c r="T16" s="19">
        <v>20300</v>
      </c>
      <c r="U16" s="19">
        <v>20000</v>
      </c>
      <c r="V16" s="19">
        <v>19600</v>
      </c>
      <c r="W16" s="19">
        <v>18400</v>
      </c>
      <c r="X16" s="19">
        <v>21500</v>
      </c>
      <c r="Y16" s="19">
        <v>21500</v>
      </c>
      <c r="Z16" s="19">
        <v>21900</v>
      </c>
      <c r="AA16" s="19">
        <v>24600</v>
      </c>
      <c r="AB16" s="19">
        <v>25300</v>
      </c>
      <c r="AC16" s="19">
        <v>29800</v>
      </c>
      <c r="AD16" s="19">
        <v>26600</v>
      </c>
      <c r="AE16" s="19">
        <v>23900</v>
      </c>
      <c r="AF16" s="19">
        <v>23900</v>
      </c>
      <c r="AG16" s="19">
        <v>25100</v>
      </c>
      <c r="AH16" s="19">
        <v>28600</v>
      </c>
      <c r="AI16" s="19">
        <v>29000</v>
      </c>
      <c r="AJ16" s="19"/>
      <c r="AK16" s="644">
        <f t="shared" si="0"/>
        <v>0.11634753957558974</v>
      </c>
      <c r="AL16" s="644">
        <f>((AB16/Q16)^(1/11)-1)*100</f>
        <v>1.4477533493511441</v>
      </c>
      <c r="AM16" s="959">
        <f>((AI16/I16)^(1/26)-1)*100</f>
        <v>1.17572295180981</v>
      </c>
      <c r="AN16" s="959">
        <f>((AI16/AB16)^(1/7)-1)*100</f>
        <v>1.9690119087383717</v>
      </c>
      <c r="AO16" s="23"/>
      <c r="AP16" s="959">
        <f>100*AI16/I16-100</f>
        <v>35.514018691588774</v>
      </c>
      <c r="AQ16" s="114"/>
      <c r="AT16" s="810"/>
      <c r="AU16" s="810"/>
      <c r="AV16" s="810"/>
      <c r="AW16" s="810"/>
      <c r="AX16" s="810"/>
    </row>
    <row r="17" spans="1:51" ht="15">
      <c r="D17" s="1" t="s">
        <v>614</v>
      </c>
      <c r="H17" s="961"/>
      <c r="I17" s="20">
        <v>51600</v>
      </c>
      <c r="J17" s="19">
        <v>50200</v>
      </c>
      <c r="K17" s="19">
        <v>51100</v>
      </c>
      <c r="L17" s="19">
        <v>48900</v>
      </c>
      <c r="M17" s="19">
        <v>52700</v>
      </c>
      <c r="N17" s="19">
        <v>51400</v>
      </c>
      <c r="O17" s="19">
        <v>52500</v>
      </c>
      <c r="P17" s="39">
        <v>57600</v>
      </c>
      <c r="Q17" s="240">
        <v>56100</v>
      </c>
      <c r="R17" s="19">
        <v>55300</v>
      </c>
      <c r="S17" s="19">
        <v>48900</v>
      </c>
      <c r="T17" s="19">
        <v>48300</v>
      </c>
      <c r="U17" s="19">
        <v>46600</v>
      </c>
      <c r="V17" s="19">
        <v>49400</v>
      </c>
      <c r="W17" s="19">
        <v>48800</v>
      </c>
      <c r="X17" s="19">
        <v>52700</v>
      </c>
      <c r="Y17" s="19">
        <v>49600</v>
      </c>
      <c r="Z17" s="19">
        <v>53000</v>
      </c>
      <c r="AA17" s="19">
        <v>56700</v>
      </c>
      <c r="AB17" s="19">
        <v>55400</v>
      </c>
      <c r="AC17" s="19">
        <v>60100</v>
      </c>
      <c r="AD17" s="19">
        <v>54300</v>
      </c>
      <c r="AE17" s="19">
        <v>55000</v>
      </c>
      <c r="AF17" s="19">
        <v>58200</v>
      </c>
      <c r="AG17" s="19">
        <v>61300</v>
      </c>
      <c r="AH17" s="19">
        <v>59600</v>
      </c>
      <c r="AI17" s="19">
        <v>60300</v>
      </c>
      <c r="AJ17" s="19"/>
      <c r="AK17" s="644">
        <f t="shared" si="0"/>
        <v>1.0506578016271195</v>
      </c>
      <c r="AL17" s="644">
        <f>((AB17/Q17)^(1/11)-1)*100</f>
        <v>-0.11408231999990859</v>
      </c>
      <c r="AM17" s="959">
        <f>((AI17/I17)^(1/26)-1)*100</f>
        <v>0.60107010967289654</v>
      </c>
      <c r="AN17" s="959">
        <f>((AI17/AB17)^(1/7)-1)*100</f>
        <v>1.2181093928287368</v>
      </c>
      <c r="AO17" s="23"/>
      <c r="AP17" s="959">
        <f>100*AI17/I17-100</f>
        <v>16.860465116279073</v>
      </c>
      <c r="AQ17" s="114"/>
      <c r="AT17" s="810"/>
      <c r="AU17" s="810"/>
      <c r="AV17" s="810"/>
      <c r="AW17" s="810"/>
      <c r="AX17" s="810"/>
    </row>
    <row r="18" spans="1:51" ht="15">
      <c r="D18" s="1" t="s">
        <v>615</v>
      </c>
      <c r="H18" s="961"/>
      <c r="I18" s="20">
        <v>76100</v>
      </c>
      <c r="J18" s="19">
        <v>72100</v>
      </c>
      <c r="K18" s="19">
        <v>71700</v>
      </c>
      <c r="L18" s="19">
        <v>72800</v>
      </c>
      <c r="M18" s="19">
        <v>73700</v>
      </c>
      <c r="N18" s="19">
        <v>73800</v>
      </c>
      <c r="O18" s="19">
        <v>76900</v>
      </c>
      <c r="P18" s="39">
        <v>78200</v>
      </c>
      <c r="Q18" s="240">
        <v>77100</v>
      </c>
      <c r="R18" s="19">
        <v>76200</v>
      </c>
      <c r="S18" s="19">
        <v>76400</v>
      </c>
      <c r="T18" s="19">
        <v>79300</v>
      </c>
      <c r="U18" s="19">
        <v>75500</v>
      </c>
      <c r="V18" s="19">
        <v>75100</v>
      </c>
      <c r="W18" s="19">
        <v>75800</v>
      </c>
      <c r="X18" s="19">
        <v>78200</v>
      </c>
      <c r="Y18" s="19">
        <v>79500</v>
      </c>
      <c r="Z18" s="19">
        <v>86900</v>
      </c>
      <c r="AA18" s="19">
        <v>84500</v>
      </c>
      <c r="AB18" s="19">
        <v>84900</v>
      </c>
      <c r="AC18" s="19">
        <v>88900</v>
      </c>
      <c r="AD18" s="19">
        <v>88900</v>
      </c>
      <c r="AE18" s="19">
        <v>85000</v>
      </c>
      <c r="AF18" s="19">
        <v>84700</v>
      </c>
      <c r="AG18" s="19">
        <v>88700</v>
      </c>
      <c r="AH18" s="19">
        <v>90800</v>
      </c>
      <c r="AI18" s="19">
        <v>93500</v>
      </c>
      <c r="AJ18" s="19"/>
      <c r="AK18" s="644">
        <f t="shared" si="0"/>
        <v>0.16332091984991859</v>
      </c>
      <c r="AL18" s="644">
        <f>((AB18/Q18)^(1/11)-1)*100</f>
        <v>0.87994727089726332</v>
      </c>
      <c r="AM18" s="959">
        <f>((AI18/I18)^(1/26)-1)*100</f>
        <v>0.79511814373141032</v>
      </c>
      <c r="AN18" s="959">
        <f>((AI18/AB18)^(1/7)-1)*100</f>
        <v>1.3879342163442443</v>
      </c>
      <c r="AO18" s="23"/>
      <c r="AP18" s="959">
        <f>100*AI18/I18-100</f>
        <v>22.864651773981606</v>
      </c>
      <c r="AQ18" s="114"/>
      <c r="AT18" s="810"/>
      <c r="AU18" s="810"/>
      <c r="AV18" s="810"/>
      <c r="AW18" s="810"/>
      <c r="AX18" s="810"/>
    </row>
    <row r="19" spans="1:51" ht="15">
      <c r="H19" s="961"/>
      <c r="I19" s="20"/>
      <c r="J19" s="39"/>
      <c r="K19" s="39"/>
      <c r="L19" s="39"/>
      <c r="M19" s="39"/>
      <c r="N19" s="39"/>
      <c r="O19" s="39"/>
      <c r="P19" s="39"/>
      <c r="Q19" s="240"/>
      <c r="R19" s="19"/>
      <c r="S19" s="19"/>
      <c r="T19" s="19"/>
      <c r="U19" s="19"/>
      <c r="V19" s="19"/>
      <c r="W19" s="19"/>
      <c r="X19" s="19"/>
      <c r="Y19" s="19"/>
      <c r="Z19" s="19"/>
      <c r="AA19" s="19"/>
      <c r="AB19" s="19"/>
      <c r="AC19" s="19"/>
      <c r="AD19" s="19"/>
      <c r="AE19" s="19"/>
      <c r="AF19" s="19"/>
      <c r="AG19" s="19"/>
      <c r="AH19" s="19"/>
      <c r="AI19" s="19"/>
      <c r="AJ19" s="19"/>
      <c r="AK19" s="644"/>
      <c r="AL19" s="644"/>
      <c r="AM19" s="644"/>
      <c r="AN19" s="644"/>
      <c r="AO19" s="23"/>
      <c r="AP19" s="644"/>
      <c r="AQ19" s="114"/>
      <c r="AT19" s="810"/>
      <c r="AU19" s="810"/>
      <c r="AV19" s="810"/>
      <c r="AW19" s="810"/>
      <c r="AX19" s="810"/>
    </row>
    <row r="20" spans="1:51" ht="15">
      <c r="D20" s="128" t="s">
        <v>619</v>
      </c>
      <c r="H20" s="961"/>
      <c r="I20" s="20">
        <v>71000</v>
      </c>
      <c r="J20" s="19">
        <v>67700</v>
      </c>
      <c r="K20" s="19">
        <v>67800</v>
      </c>
      <c r="L20" s="19">
        <v>67900</v>
      </c>
      <c r="M20" s="19">
        <v>70300</v>
      </c>
      <c r="N20" s="19">
        <v>71700</v>
      </c>
      <c r="O20" s="19">
        <v>73900</v>
      </c>
      <c r="P20" s="39">
        <v>75400</v>
      </c>
      <c r="Q20" s="240">
        <v>77100</v>
      </c>
      <c r="R20" s="19">
        <v>75100</v>
      </c>
      <c r="S20" s="19">
        <v>71800</v>
      </c>
      <c r="T20" s="19">
        <v>72500</v>
      </c>
      <c r="U20" s="19">
        <v>69200</v>
      </c>
      <c r="V20" s="19">
        <v>71500</v>
      </c>
      <c r="W20" s="19">
        <v>71800</v>
      </c>
      <c r="X20" s="19">
        <v>72200</v>
      </c>
      <c r="Y20" s="19">
        <v>74400</v>
      </c>
      <c r="Z20" s="19">
        <v>79200</v>
      </c>
      <c r="AA20" s="19">
        <v>81800</v>
      </c>
      <c r="AB20" s="19">
        <v>85100</v>
      </c>
      <c r="AC20" s="19">
        <v>85800</v>
      </c>
      <c r="AD20" s="19">
        <v>86200</v>
      </c>
      <c r="AE20" s="19">
        <v>87400</v>
      </c>
      <c r="AF20" s="19">
        <v>90800</v>
      </c>
      <c r="AG20" s="19">
        <v>87400</v>
      </c>
      <c r="AH20" s="19">
        <v>89000</v>
      </c>
      <c r="AI20" s="19">
        <v>93300</v>
      </c>
      <c r="AJ20" s="19"/>
      <c r="AK20" s="644">
        <f t="shared" si="0"/>
        <v>1.0356183324172319</v>
      </c>
      <c r="AL20" s="644">
        <f>((AB20/Q20)^(1/11)-1)*100</f>
        <v>0.9015281872376768</v>
      </c>
      <c r="AM20" s="959">
        <f>((AI20/I20)^(1/26)-1)*100</f>
        <v>1.0560768882527105</v>
      </c>
      <c r="AN20" s="959">
        <f>((AI20/AB20)^(1/7)-1)*100</f>
        <v>1.3228601339863699</v>
      </c>
      <c r="AO20" s="23"/>
      <c r="AP20" s="959">
        <f>100*AI20/I20-100</f>
        <v>31.408450704225345</v>
      </c>
      <c r="AQ20" s="114"/>
      <c r="AT20" s="810"/>
      <c r="AU20" s="810"/>
      <c r="AV20" s="810"/>
      <c r="AW20" s="810"/>
      <c r="AX20" s="810"/>
    </row>
    <row r="21" spans="1:51" ht="15">
      <c r="D21" s="1" t="s">
        <v>613</v>
      </c>
      <c r="H21" s="961"/>
      <c r="I21" s="20">
        <v>3600</v>
      </c>
      <c r="J21" s="19">
        <v>5600</v>
      </c>
      <c r="K21" s="19">
        <v>3400</v>
      </c>
      <c r="L21" s="19">
        <v>3900</v>
      </c>
      <c r="M21" s="19">
        <v>4300</v>
      </c>
      <c r="N21" s="19">
        <v>6400</v>
      </c>
      <c r="O21" s="19">
        <v>2700</v>
      </c>
      <c r="P21" s="39">
        <v>4800</v>
      </c>
      <c r="Q21" s="240">
        <v>5300</v>
      </c>
      <c r="R21" s="19">
        <v>22100</v>
      </c>
      <c r="S21" s="19">
        <v>2900</v>
      </c>
      <c r="T21" s="19">
        <v>2900</v>
      </c>
      <c r="U21" s="19">
        <v>3500</v>
      </c>
      <c r="V21" s="19">
        <v>3000</v>
      </c>
      <c r="W21" s="19">
        <v>3600</v>
      </c>
      <c r="X21" s="19">
        <v>4400</v>
      </c>
      <c r="Y21" s="19">
        <v>4600</v>
      </c>
      <c r="Z21" s="19">
        <v>5200</v>
      </c>
      <c r="AA21" s="19">
        <v>5600</v>
      </c>
      <c r="AB21" s="19">
        <v>6400</v>
      </c>
      <c r="AC21" s="19">
        <v>7100</v>
      </c>
      <c r="AD21" s="19">
        <v>8500</v>
      </c>
      <c r="AE21" s="19">
        <v>7400</v>
      </c>
      <c r="AF21" s="19">
        <v>8100</v>
      </c>
      <c r="AG21" s="19">
        <v>7200</v>
      </c>
      <c r="AH21" s="19">
        <v>8200</v>
      </c>
      <c r="AI21" s="19">
        <v>12000</v>
      </c>
      <c r="AJ21" s="19"/>
      <c r="AK21" s="644">
        <f t="shared" si="0"/>
        <v>4.9534383871301602</v>
      </c>
      <c r="AL21" s="644">
        <f>((AB21/Q21)^(1/11)-1)*100</f>
        <v>1.7292464869635316</v>
      </c>
      <c r="AM21" s="959">
        <f>((AI21/I21)^(1/26)-1)*100</f>
        <v>4.7395541706327204</v>
      </c>
      <c r="AN21" s="959">
        <f>((AI21/AB21)^(1/7)-1)*100</f>
        <v>9.3956824020258836</v>
      </c>
      <c r="AO21" s="23"/>
      <c r="AP21" s="959">
        <f>100*AI21/I21-100</f>
        <v>233.33333333333331</v>
      </c>
      <c r="AQ21" s="114"/>
      <c r="AT21" s="810"/>
      <c r="AU21" s="810"/>
      <c r="AV21" s="810"/>
      <c r="AW21" s="810"/>
      <c r="AX21" s="810"/>
    </row>
    <row r="22" spans="1:51" ht="15">
      <c r="D22" s="1" t="s">
        <v>620</v>
      </c>
      <c r="H22" s="961"/>
      <c r="I22" s="20">
        <v>54500</v>
      </c>
      <c r="J22" s="19">
        <v>52600</v>
      </c>
      <c r="K22" s="19">
        <v>53200</v>
      </c>
      <c r="L22" s="19">
        <v>49000</v>
      </c>
      <c r="M22" s="19">
        <v>52400</v>
      </c>
      <c r="N22" s="19">
        <v>53400</v>
      </c>
      <c r="O22" s="19">
        <v>51700</v>
      </c>
      <c r="P22" s="39">
        <v>52900</v>
      </c>
      <c r="Q22" s="240">
        <v>57000</v>
      </c>
      <c r="R22" s="19">
        <v>51400</v>
      </c>
      <c r="S22" s="19">
        <v>50900</v>
      </c>
      <c r="T22" s="19">
        <v>50500</v>
      </c>
      <c r="U22" s="19">
        <v>47200</v>
      </c>
      <c r="V22" s="19">
        <v>49800</v>
      </c>
      <c r="W22" s="19">
        <v>47500</v>
      </c>
      <c r="X22" s="19">
        <v>50400</v>
      </c>
      <c r="Y22" s="19">
        <v>50800</v>
      </c>
      <c r="Z22" s="19">
        <v>58900</v>
      </c>
      <c r="AA22" s="19">
        <v>58700</v>
      </c>
      <c r="AB22" s="19">
        <v>58900</v>
      </c>
      <c r="AC22" s="19">
        <v>59900</v>
      </c>
      <c r="AD22" s="19">
        <v>64000</v>
      </c>
      <c r="AE22" s="19">
        <v>65000</v>
      </c>
      <c r="AF22" s="19">
        <v>62800</v>
      </c>
      <c r="AG22" s="19">
        <v>59000</v>
      </c>
      <c r="AH22" s="19">
        <v>58700</v>
      </c>
      <c r="AI22" s="19">
        <v>60800</v>
      </c>
      <c r="AJ22" s="19"/>
      <c r="AK22" s="644">
        <f t="shared" si="0"/>
        <v>0.56220655967242905</v>
      </c>
      <c r="AL22" s="644">
        <f>((AB22/Q22)^(1/11)-1)*100</f>
        <v>0.2985340263255809</v>
      </c>
      <c r="AM22" s="959">
        <f>((AI22/I22)^(1/26)-1)*100</f>
        <v>0.42161355852130544</v>
      </c>
      <c r="AN22" s="959">
        <f>((AI22/AB22)^(1/7)-1)*100</f>
        <v>0.45458294069933292</v>
      </c>
      <c r="AO22" s="23"/>
      <c r="AP22" s="959">
        <f>100*AI22/I22-100</f>
        <v>11.559633027522935</v>
      </c>
      <c r="AQ22" s="114"/>
      <c r="AT22" s="810"/>
      <c r="AU22" s="810"/>
      <c r="AV22" s="810"/>
      <c r="AW22" s="810"/>
      <c r="AX22" s="810"/>
    </row>
    <row r="23" spans="1:51" ht="15">
      <c r="D23" s="1" t="s">
        <v>615</v>
      </c>
      <c r="H23" s="961"/>
      <c r="I23" s="20">
        <v>72200</v>
      </c>
      <c r="J23" s="19">
        <v>69100</v>
      </c>
      <c r="K23" s="19">
        <v>70900</v>
      </c>
      <c r="L23" s="19">
        <v>72300</v>
      </c>
      <c r="M23" s="19">
        <v>72300</v>
      </c>
      <c r="N23" s="19">
        <v>74100</v>
      </c>
      <c r="O23" s="19">
        <v>75300</v>
      </c>
      <c r="P23" s="39">
        <v>76600</v>
      </c>
      <c r="Q23" s="240">
        <v>76500</v>
      </c>
      <c r="R23" s="19">
        <v>75300</v>
      </c>
      <c r="S23" s="19">
        <v>74400</v>
      </c>
      <c r="T23" s="19">
        <v>75700</v>
      </c>
      <c r="U23" s="19">
        <v>73500</v>
      </c>
      <c r="V23" s="19">
        <v>76500</v>
      </c>
      <c r="W23" s="19">
        <v>76600</v>
      </c>
      <c r="X23" s="19">
        <v>76600</v>
      </c>
      <c r="Y23" s="19">
        <v>78700</v>
      </c>
      <c r="Z23" s="19">
        <v>82600</v>
      </c>
      <c r="AA23" s="19">
        <v>84300</v>
      </c>
      <c r="AB23" s="19">
        <v>87800</v>
      </c>
      <c r="AC23" s="19">
        <v>87700</v>
      </c>
      <c r="AD23" s="19">
        <v>87400</v>
      </c>
      <c r="AE23" s="19">
        <v>88200</v>
      </c>
      <c r="AF23" s="19">
        <v>91500</v>
      </c>
      <c r="AG23" s="19">
        <v>89400</v>
      </c>
      <c r="AH23" s="19">
        <v>89300</v>
      </c>
      <c r="AI23" s="19">
        <v>93100</v>
      </c>
      <c r="AJ23" s="19"/>
      <c r="AK23" s="644">
        <f t="shared" si="0"/>
        <v>0.72575461210471204</v>
      </c>
      <c r="AL23" s="644">
        <f>((AB23/Q23)^(1/11)-1)*100</f>
        <v>1.2603375988085919</v>
      </c>
      <c r="AM23" s="959">
        <f>((AI23/I23)^(1/26)-1)*100</f>
        <v>0.98261992464474535</v>
      </c>
      <c r="AN23" s="959">
        <f>((AI23/AB23)^(1/7)-1)*100</f>
        <v>0.84083941467727463</v>
      </c>
      <c r="AO23" s="23"/>
      <c r="AP23" s="959">
        <f>100*AI23/I23-100</f>
        <v>28.94736842105263</v>
      </c>
      <c r="AQ23" s="114"/>
      <c r="AT23" s="810"/>
      <c r="AU23" s="810"/>
      <c r="AV23" s="810"/>
      <c r="AW23" s="810"/>
      <c r="AX23" s="810"/>
    </row>
    <row r="24" spans="1:51">
      <c r="D24" s="1" t="s">
        <v>621</v>
      </c>
      <c r="H24" s="961"/>
      <c r="I24" s="20">
        <v>93900</v>
      </c>
      <c r="J24" s="19">
        <v>91200</v>
      </c>
      <c r="K24" s="19">
        <v>88100</v>
      </c>
      <c r="L24" s="19">
        <v>89100</v>
      </c>
      <c r="M24" s="19">
        <v>91800</v>
      </c>
      <c r="N24" s="19">
        <v>93400</v>
      </c>
      <c r="O24" s="19">
        <v>96000</v>
      </c>
      <c r="P24" s="39">
        <v>97200</v>
      </c>
      <c r="Q24" s="240">
        <v>100200</v>
      </c>
      <c r="R24" s="19">
        <v>98600</v>
      </c>
      <c r="S24" s="19">
        <v>92000</v>
      </c>
      <c r="T24" s="19">
        <v>92000</v>
      </c>
      <c r="U24" s="19">
        <v>91300</v>
      </c>
      <c r="V24" s="19">
        <v>93300</v>
      </c>
      <c r="W24" s="19">
        <v>94100</v>
      </c>
      <c r="X24" s="19">
        <v>96100</v>
      </c>
      <c r="Y24" s="19">
        <v>97600</v>
      </c>
      <c r="Z24" s="19">
        <v>99300</v>
      </c>
      <c r="AA24" s="19">
        <v>103500</v>
      </c>
      <c r="AB24" s="19">
        <v>108100</v>
      </c>
      <c r="AC24" s="19">
        <v>109800</v>
      </c>
      <c r="AD24" s="19">
        <v>107300</v>
      </c>
      <c r="AE24" s="19">
        <v>108600</v>
      </c>
      <c r="AF24" s="19">
        <v>115200</v>
      </c>
      <c r="AG24" s="19">
        <v>111000</v>
      </c>
      <c r="AH24" s="19">
        <v>115100</v>
      </c>
      <c r="AI24" s="19">
        <v>120100</v>
      </c>
      <c r="AJ24" s="19"/>
      <c r="AK24" s="644">
        <f t="shared" si="0"/>
        <v>0.81502592988556</v>
      </c>
      <c r="AL24" s="644">
        <f>((AB24/Q24)^(1/11)-1)*100</f>
        <v>0.69228104483718411</v>
      </c>
      <c r="AM24" s="959">
        <f>((AI24/I24)^(1/26)-1)*100</f>
        <v>0.95101033918274513</v>
      </c>
      <c r="AN24" s="959">
        <f>((AI24/AB24)^(1/7)-1)*100</f>
        <v>1.5151930332471197</v>
      </c>
      <c r="AO24" s="23"/>
      <c r="AP24" s="959">
        <f>100*AI24/I24-100</f>
        <v>27.902023429179977</v>
      </c>
      <c r="AQ24" s="114"/>
    </row>
    <row r="25" spans="1:51">
      <c r="H25" s="961"/>
      <c r="I25" s="20"/>
      <c r="J25" s="39"/>
      <c r="K25" s="39"/>
      <c r="L25" s="39"/>
      <c r="M25" s="39"/>
      <c r="N25" s="39"/>
      <c r="O25" s="39"/>
      <c r="P25" s="39"/>
      <c r="Q25" s="240"/>
      <c r="R25" s="19"/>
      <c r="S25" s="19"/>
      <c r="T25" s="19"/>
      <c r="U25" s="19"/>
      <c r="V25" s="19"/>
      <c r="W25" s="19"/>
      <c r="X25" s="19"/>
      <c r="Y25" s="19"/>
      <c r="Z25" s="19"/>
      <c r="AA25" s="19"/>
      <c r="AB25" s="19"/>
      <c r="AC25" s="19"/>
      <c r="AD25" s="19"/>
      <c r="AE25" s="19"/>
      <c r="AF25" s="19"/>
      <c r="AG25" s="19"/>
      <c r="AH25" s="19"/>
      <c r="AI25" s="19"/>
      <c r="AJ25" s="19"/>
      <c r="AK25" s="644"/>
      <c r="AL25" s="644"/>
      <c r="AM25" s="644"/>
      <c r="AN25" s="644"/>
      <c r="AO25" s="23"/>
      <c r="AP25" s="644"/>
      <c r="AQ25" s="114"/>
    </row>
    <row r="26" spans="1:51" ht="15">
      <c r="D26" s="128" t="s">
        <v>622</v>
      </c>
      <c r="H26" s="961"/>
      <c r="I26" s="20">
        <v>94300</v>
      </c>
      <c r="J26" s="19">
        <v>91700</v>
      </c>
      <c r="K26" s="19">
        <v>86200</v>
      </c>
      <c r="L26" s="19">
        <v>84800</v>
      </c>
      <c r="M26" s="19">
        <v>87900</v>
      </c>
      <c r="N26" s="19">
        <v>93400</v>
      </c>
      <c r="O26" s="19">
        <v>91500</v>
      </c>
      <c r="P26" s="39">
        <v>94000</v>
      </c>
      <c r="Q26" s="240">
        <v>96700</v>
      </c>
      <c r="R26" s="19">
        <v>95300</v>
      </c>
      <c r="S26" s="19">
        <v>90200</v>
      </c>
      <c r="T26" s="19">
        <v>87800</v>
      </c>
      <c r="U26" s="19">
        <v>87900</v>
      </c>
      <c r="V26" s="19">
        <v>88700</v>
      </c>
      <c r="W26" s="19">
        <v>87300</v>
      </c>
      <c r="X26" s="19">
        <v>92900</v>
      </c>
      <c r="Y26" s="19">
        <v>92000</v>
      </c>
      <c r="Z26" s="19">
        <v>95700</v>
      </c>
      <c r="AA26" s="19">
        <v>101300</v>
      </c>
      <c r="AB26" s="19">
        <v>108500</v>
      </c>
      <c r="AC26" s="19">
        <v>103600</v>
      </c>
      <c r="AD26" s="19">
        <v>103400</v>
      </c>
      <c r="AE26" s="19">
        <v>103400</v>
      </c>
      <c r="AF26" s="19">
        <v>106700</v>
      </c>
      <c r="AG26" s="19">
        <v>112900</v>
      </c>
      <c r="AH26" s="19">
        <v>115900</v>
      </c>
      <c r="AI26" s="19">
        <v>116900</v>
      </c>
      <c r="AJ26" s="19"/>
      <c r="AK26" s="644">
        <f t="shared" si="0"/>
        <v>0.31464663686244787</v>
      </c>
      <c r="AL26" s="644">
        <f>((AB26/Q26)^(1/11)-1)*100</f>
        <v>1.0521949588549795</v>
      </c>
      <c r="AM26" s="959">
        <f>((AI26/I26)^(1/26)-1)*100</f>
        <v>0.82972203532516442</v>
      </c>
      <c r="AN26" s="959">
        <f>((AI26/AB26)^(1/7)-1)*100</f>
        <v>1.0709612496938803</v>
      </c>
      <c r="AO26" s="23"/>
      <c r="AP26" s="959">
        <f>100*AI26/I26-100</f>
        <v>23.966065747613996</v>
      </c>
      <c r="AQ26" s="114"/>
      <c r="AT26" s="811"/>
      <c r="AU26" s="811"/>
      <c r="AV26" s="811"/>
      <c r="AW26" s="811"/>
      <c r="AX26" s="811"/>
      <c r="AY26" s="811"/>
    </row>
    <row r="27" spans="1:51" s="114" customFormat="1" ht="15">
      <c r="A27" s="1"/>
      <c r="B27" s="1"/>
      <c r="C27" s="1"/>
      <c r="D27" s="1"/>
      <c r="E27" s="1"/>
      <c r="F27" s="1"/>
      <c r="G27" s="1"/>
      <c r="H27" s="961"/>
      <c r="I27" s="20"/>
      <c r="J27" s="39"/>
      <c r="K27" s="39"/>
      <c r="L27" s="39"/>
      <c r="M27" s="39"/>
      <c r="N27" s="39"/>
      <c r="O27" s="39"/>
      <c r="P27" s="39"/>
      <c r="Q27" s="240"/>
      <c r="R27" s="19"/>
      <c r="S27" s="19"/>
      <c r="T27" s="19"/>
      <c r="U27" s="19"/>
      <c r="V27" s="19"/>
      <c r="W27" s="19"/>
      <c r="X27" s="19"/>
      <c r="Y27" s="19"/>
      <c r="Z27" s="19"/>
      <c r="AA27" s="19"/>
      <c r="AB27" s="19"/>
      <c r="AC27" s="19"/>
      <c r="AD27" s="19"/>
      <c r="AE27" s="19"/>
      <c r="AF27" s="19"/>
      <c r="AG27" s="19"/>
      <c r="AH27" s="19"/>
      <c r="AI27" s="19"/>
      <c r="AJ27" s="19"/>
      <c r="AK27" s="644"/>
      <c r="AL27" s="644"/>
      <c r="AM27" s="644"/>
      <c r="AN27" s="644"/>
      <c r="AO27" s="23"/>
      <c r="AP27" s="644"/>
      <c r="AT27" s="811"/>
      <c r="AU27" s="811"/>
      <c r="AV27" s="811"/>
      <c r="AW27" s="811"/>
      <c r="AX27" s="811"/>
      <c r="AY27" s="811"/>
    </row>
    <row r="28" spans="1:51" s="114" customFormat="1" ht="15">
      <c r="A28" s="1"/>
      <c r="B28" s="1"/>
      <c r="C28" s="1"/>
      <c r="D28" s="128" t="s">
        <v>623</v>
      </c>
      <c r="E28" s="1"/>
      <c r="F28" s="1"/>
      <c r="G28" s="1"/>
      <c r="H28" s="961"/>
      <c r="I28" s="20">
        <v>29700</v>
      </c>
      <c r="J28" s="19">
        <v>25700</v>
      </c>
      <c r="K28" s="19">
        <v>23400</v>
      </c>
      <c r="L28" s="19">
        <v>25600</v>
      </c>
      <c r="M28" s="19">
        <v>25200</v>
      </c>
      <c r="N28" s="19">
        <v>25800</v>
      </c>
      <c r="O28" s="19">
        <v>28000</v>
      </c>
      <c r="P28" s="39">
        <v>27800</v>
      </c>
      <c r="Q28" s="240">
        <v>30600</v>
      </c>
      <c r="R28" s="19">
        <v>25600</v>
      </c>
      <c r="S28" s="19">
        <v>23600</v>
      </c>
      <c r="T28" s="19">
        <v>23800</v>
      </c>
      <c r="U28" s="19">
        <v>21800</v>
      </c>
      <c r="V28" s="19">
        <v>23700</v>
      </c>
      <c r="W28" s="19">
        <v>24300</v>
      </c>
      <c r="X28" s="19">
        <v>22800</v>
      </c>
      <c r="Y28" s="19">
        <v>24300</v>
      </c>
      <c r="Z28" s="19">
        <v>25800</v>
      </c>
      <c r="AA28" s="19">
        <v>27400</v>
      </c>
      <c r="AB28" s="19">
        <v>31300</v>
      </c>
      <c r="AC28" s="19">
        <v>32000</v>
      </c>
      <c r="AD28" s="19">
        <v>30000</v>
      </c>
      <c r="AE28" s="19">
        <v>30900</v>
      </c>
      <c r="AF28" s="19">
        <v>31200</v>
      </c>
      <c r="AG28" s="19">
        <v>37500</v>
      </c>
      <c r="AH28" s="19">
        <v>37800</v>
      </c>
      <c r="AI28" s="19">
        <v>37200</v>
      </c>
      <c r="AJ28" s="19"/>
      <c r="AK28" s="644">
        <f t="shared" si="0"/>
        <v>0.37385915576402251</v>
      </c>
      <c r="AL28" s="644">
        <f t="shared" ref="AL28:AL33" si="1">((AB28/Q28)^(1/11)-1)*100</f>
        <v>0.20583052796547818</v>
      </c>
      <c r="AM28" s="959">
        <f t="shared" ref="AM28:AM33" si="2">((AI28/I28)^(1/26)-1)*100</f>
        <v>0.86976728319030361</v>
      </c>
      <c r="AN28" s="959">
        <f t="shared" ref="AN28:AN33" si="3">((AI28/AB28)^(1/7)-1)*100</f>
        <v>2.4976919544204446</v>
      </c>
      <c r="AO28" s="23"/>
      <c r="AP28" s="959">
        <f t="shared" ref="AP28:AP33" si="4">100*AI28/I28-100</f>
        <v>25.252525252525245</v>
      </c>
      <c r="AT28" s="811"/>
      <c r="AU28" s="811"/>
      <c r="AV28" s="811"/>
      <c r="AW28" s="811"/>
      <c r="AX28" s="811"/>
      <c r="AY28" s="811"/>
    </row>
    <row r="29" spans="1:51" s="114" customFormat="1" ht="15">
      <c r="A29" s="1"/>
      <c r="B29" s="1"/>
      <c r="C29" s="1"/>
      <c r="D29" s="1" t="s">
        <v>624</v>
      </c>
      <c r="E29" s="1"/>
      <c r="F29" s="1"/>
      <c r="G29" s="1"/>
      <c r="H29" s="961"/>
      <c r="I29" s="20">
        <v>53800</v>
      </c>
      <c r="J29" s="19">
        <v>48800</v>
      </c>
      <c r="K29" s="19">
        <v>41100</v>
      </c>
      <c r="L29" s="19">
        <v>48000</v>
      </c>
      <c r="M29" s="19">
        <v>45000</v>
      </c>
      <c r="N29" s="19">
        <v>46100</v>
      </c>
      <c r="O29" s="19">
        <v>57300</v>
      </c>
      <c r="P29" s="39">
        <v>50500</v>
      </c>
      <c r="Q29" s="240">
        <v>61800</v>
      </c>
      <c r="R29" s="19">
        <v>46600</v>
      </c>
      <c r="S29" s="19">
        <v>45100</v>
      </c>
      <c r="T29" s="19">
        <v>44300</v>
      </c>
      <c r="U29" s="19">
        <v>37300</v>
      </c>
      <c r="V29" s="19">
        <v>39000</v>
      </c>
      <c r="W29" s="19">
        <v>39400</v>
      </c>
      <c r="X29" s="19">
        <v>43000</v>
      </c>
      <c r="Y29" s="19">
        <v>42100</v>
      </c>
      <c r="Z29" s="19">
        <v>45500</v>
      </c>
      <c r="AA29" s="19">
        <v>47200</v>
      </c>
      <c r="AB29" s="19">
        <v>53400</v>
      </c>
      <c r="AC29" s="19">
        <v>49000</v>
      </c>
      <c r="AD29" s="19">
        <v>49100</v>
      </c>
      <c r="AE29" s="19">
        <v>53700</v>
      </c>
      <c r="AF29" s="19">
        <v>50300</v>
      </c>
      <c r="AG29" s="19">
        <v>60800</v>
      </c>
      <c r="AH29" s="19">
        <v>62400</v>
      </c>
      <c r="AI29" s="19">
        <v>55800</v>
      </c>
      <c r="AJ29" s="19"/>
      <c r="AK29" s="644">
        <f t="shared" si="0"/>
        <v>1.7479750758346846</v>
      </c>
      <c r="AL29" s="644">
        <f t="shared" si="1"/>
        <v>-1.3193341849657259</v>
      </c>
      <c r="AM29" s="959">
        <f t="shared" si="2"/>
        <v>0.14048474988475057</v>
      </c>
      <c r="AN29" s="959">
        <f t="shared" si="3"/>
        <v>0.63002095578368333</v>
      </c>
      <c r="AO29" s="23"/>
      <c r="AP29" s="959">
        <f t="shared" si="4"/>
        <v>3.7174721189591082</v>
      </c>
      <c r="AT29" s="811"/>
      <c r="AU29" s="811"/>
      <c r="AV29" s="811"/>
      <c r="AW29" s="811"/>
      <c r="AX29" s="811"/>
      <c r="AY29" s="811"/>
    </row>
    <row r="30" spans="1:51" s="114" customFormat="1" ht="15">
      <c r="A30" s="1"/>
      <c r="B30" s="1"/>
      <c r="C30" s="1"/>
      <c r="D30" s="1" t="s">
        <v>625</v>
      </c>
      <c r="E30" s="1"/>
      <c r="F30" s="1"/>
      <c r="G30" s="1"/>
      <c r="H30" s="961"/>
      <c r="I30" s="20">
        <v>25400</v>
      </c>
      <c r="J30" s="19">
        <v>21800</v>
      </c>
      <c r="K30" s="19">
        <v>21000</v>
      </c>
      <c r="L30" s="19">
        <v>22400</v>
      </c>
      <c r="M30" s="19">
        <v>22600</v>
      </c>
      <c r="N30" s="19">
        <v>22200</v>
      </c>
      <c r="O30" s="19">
        <v>24000</v>
      </c>
      <c r="P30" s="39">
        <v>24500</v>
      </c>
      <c r="Q30" s="240">
        <v>26500</v>
      </c>
      <c r="R30" s="19">
        <v>21900</v>
      </c>
      <c r="S30" s="19">
        <v>20400</v>
      </c>
      <c r="T30" s="19">
        <v>21200</v>
      </c>
      <c r="U30" s="19">
        <v>19300</v>
      </c>
      <c r="V30" s="19">
        <v>21100</v>
      </c>
      <c r="W30" s="19">
        <v>21800</v>
      </c>
      <c r="X30" s="19">
        <v>19700</v>
      </c>
      <c r="Y30" s="19">
        <v>21300</v>
      </c>
      <c r="Z30" s="19">
        <v>22400</v>
      </c>
      <c r="AA30" s="19">
        <v>23700</v>
      </c>
      <c r="AB30" s="19">
        <v>26800</v>
      </c>
      <c r="AC30" s="19">
        <v>28400</v>
      </c>
      <c r="AD30" s="19">
        <v>25500</v>
      </c>
      <c r="AE30" s="19">
        <v>25800</v>
      </c>
      <c r="AF30" s="19">
        <v>26900</v>
      </c>
      <c r="AG30" s="19">
        <v>32200</v>
      </c>
      <c r="AH30" s="19">
        <v>32100</v>
      </c>
      <c r="AI30" s="19">
        <v>33100</v>
      </c>
      <c r="AJ30" s="19"/>
      <c r="AK30" s="644">
        <f t="shared" si="0"/>
        <v>0.53135117668663412</v>
      </c>
      <c r="AL30" s="644">
        <f t="shared" si="1"/>
        <v>0.10239015136763729</v>
      </c>
      <c r="AM30" s="959">
        <f t="shared" si="2"/>
        <v>1.0236037624385297</v>
      </c>
      <c r="AN30" s="959">
        <f t="shared" si="3"/>
        <v>3.0621097552322007</v>
      </c>
      <c r="AO30" s="23"/>
      <c r="AP30" s="959">
        <f t="shared" si="4"/>
        <v>30.314960629921273</v>
      </c>
      <c r="AT30" s="811"/>
      <c r="AU30" s="811"/>
      <c r="AV30" s="811"/>
      <c r="AW30" s="811"/>
      <c r="AX30" s="811"/>
      <c r="AY30" s="811"/>
    </row>
    <row r="31" spans="1:51" s="114" customFormat="1" ht="15">
      <c r="A31" s="1"/>
      <c r="B31" s="1"/>
      <c r="C31" s="1"/>
      <c r="D31" s="1"/>
      <c r="E31" s="1" t="s">
        <v>613</v>
      </c>
      <c r="F31" s="1"/>
      <c r="G31" s="1"/>
      <c r="H31" s="961"/>
      <c r="I31" s="20">
        <v>2300</v>
      </c>
      <c r="J31" s="19">
        <v>2400</v>
      </c>
      <c r="K31" s="19">
        <v>1400</v>
      </c>
      <c r="L31" s="19">
        <v>2800</v>
      </c>
      <c r="M31" s="19">
        <v>3100</v>
      </c>
      <c r="N31" s="19">
        <v>3000</v>
      </c>
      <c r="O31" s="19">
        <v>2600</v>
      </c>
      <c r="P31" s="39">
        <v>2400</v>
      </c>
      <c r="Q31" s="240">
        <v>2100</v>
      </c>
      <c r="R31" s="19">
        <v>1600</v>
      </c>
      <c r="S31" s="19">
        <v>1800</v>
      </c>
      <c r="T31" s="19">
        <v>1800</v>
      </c>
      <c r="U31" s="19">
        <v>1700</v>
      </c>
      <c r="V31" s="19">
        <v>2100</v>
      </c>
      <c r="W31" s="19">
        <v>3100</v>
      </c>
      <c r="X31" s="19">
        <v>1800</v>
      </c>
      <c r="Y31" s="19">
        <v>2000</v>
      </c>
      <c r="Z31" s="19">
        <v>2400</v>
      </c>
      <c r="AA31" s="19">
        <v>2700</v>
      </c>
      <c r="AB31" s="19">
        <v>1500</v>
      </c>
      <c r="AC31" s="19">
        <v>2500</v>
      </c>
      <c r="AD31" s="19">
        <v>2300</v>
      </c>
      <c r="AE31" s="19">
        <v>2600</v>
      </c>
      <c r="AF31" s="19">
        <v>3900</v>
      </c>
      <c r="AG31" s="19">
        <v>3200</v>
      </c>
      <c r="AH31" s="19">
        <v>4800</v>
      </c>
      <c r="AI31" s="19">
        <v>2700</v>
      </c>
      <c r="AJ31" s="19"/>
      <c r="AK31" s="644">
        <f t="shared" si="0"/>
        <v>-1.1307061464626567</v>
      </c>
      <c r="AL31" s="644">
        <f t="shared" si="1"/>
        <v>-3.0125294240011424</v>
      </c>
      <c r="AM31" s="959">
        <f t="shared" si="2"/>
        <v>0.61860802528463932</v>
      </c>
      <c r="AN31" s="959">
        <f t="shared" si="3"/>
        <v>8.7595747254420644</v>
      </c>
      <c r="AO31" s="23"/>
      <c r="AP31" s="959">
        <f t="shared" si="4"/>
        <v>17.391304347826093</v>
      </c>
      <c r="AT31" s="811"/>
      <c r="AU31" s="811"/>
      <c r="AV31" s="811"/>
      <c r="AW31" s="811"/>
      <c r="AX31" s="811"/>
      <c r="AY31" s="811"/>
    </row>
    <row r="32" spans="1:51" s="114" customFormat="1" ht="15">
      <c r="A32" s="1"/>
      <c r="B32" s="1"/>
      <c r="C32" s="1"/>
      <c r="D32" s="1"/>
      <c r="E32" s="1" t="s">
        <v>620</v>
      </c>
      <c r="F32" s="1"/>
      <c r="G32" s="1"/>
      <c r="H32" s="961"/>
      <c r="I32" s="20">
        <v>27600</v>
      </c>
      <c r="J32" s="19">
        <v>25800</v>
      </c>
      <c r="K32" s="19">
        <v>26900</v>
      </c>
      <c r="L32" s="19">
        <v>26600</v>
      </c>
      <c r="M32" s="19">
        <v>25200</v>
      </c>
      <c r="N32" s="19">
        <v>26800</v>
      </c>
      <c r="O32" s="19">
        <v>26400</v>
      </c>
      <c r="P32" s="39">
        <v>26600</v>
      </c>
      <c r="Q32" s="240">
        <v>28700</v>
      </c>
      <c r="R32" s="19">
        <v>24800</v>
      </c>
      <c r="S32" s="19">
        <v>25900</v>
      </c>
      <c r="T32" s="19">
        <v>27700</v>
      </c>
      <c r="U32" s="19">
        <v>26100</v>
      </c>
      <c r="V32" s="19">
        <v>26300</v>
      </c>
      <c r="W32" s="19">
        <v>27500</v>
      </c>
      <c r="X32" s="19">
        <v>27300</v>
      </c>
      <c r="Y32" s="19">
        <v>26900</v>
      </c>
      <c r="Z32" s="19">
        <v>26300</v>
      </c>
      <c r="AA32" s="19">
        <v>27200</v>
      </c>
      <c r="AB32" s="19">
        <v>28500</v>
      </c>
      <c r="AC32" s="19">
        <v>29800</v>
      </c>
      <c r="AD32" s="19">
        <v>27500</v>
      </c>
      <c r="AE32" s="19">
        <v>26600</v>
      </c>
      <c r="AF32" s="19">
        <v>28500</v>
      </c>
      <c r="AG32" s="19">
        <v>34800</v>
      </c>
      <c r="AH32" s="19">
        <v>33800</v>
      </c>
      <c r="AI32" s="19">
        <v>34600</v>
      </c>
      <c r="AJ32" s="19"/>
      <c r="AK32" s="644">
        <f t="shared" si="0"/>
        <v>0.48971206466024153</v>
      </c>
      <c r="AL32" s="644">
        <f t="shared" si="1"/>
        <v>-6.3552846536063523E-2</v>
      </c>
      <c r="AM32" s="959">
        <f t="shared" si="2"/>
        <v>0.87316662784449051</v>
      </c>
      <c r="AN32" s="959">
        <f t="shared" si="3"/>
        <v>2.8094495981998646</v>
      </c>
      <c r="AO32" s="23"/>
      <c r="AP32" s="959">
        <f t="shared" si="4"/>
        <v>25.362318840579704</v>
      </c>
      <c r="AT32" s="811"/>
      <c r="AU32" s="811"/>
      <c r="AV32" s="811"/>
      <c r="AW32" s="811"/>
      <c r="AX32" s="811"/>
      <c r="AY32" s="811"/>
    </row>
    <row r="33" spans="1:51" s="114" customFormat="1" ht="15">
      <c r="A33" s="1"/>
      <c r="B33" s="1"/>
      <c r="C33" s="1"/>
      <c r="D33" s="1"/>
      <c r="E33" s="1" t="s">
        <v>626</v>
      </c>
      <c r="F33" s="1"/>
      <c r="G33" s="1"/>
      <c r="H33" s="961"/>
      <c r="I33" s="20">
        <v>47400</v>
      </c>
      <c r="J33" s="19">
        <v>40800</v>
      </c>
      <c r="K33" s="19">
        <v>36500</v>
      </c>
      <c r="L33" s="19">
        <v>44500</v>
      </c>
      <c r="M33" s="19">
        <v>46500</v>
      </c>
      <c r="N33" s="19">
        <v>37800</v>
      </c>
      <c r="O33" s="19">
        <v>45900</v>
      </c>
      <c r="P33" s="39">
        <v>45800</v>
      </c>
      <c r="Q33" s="240">
        <v>50000</v>
      </c>
      <c r="R33" s="19">
        <v>43500</v>
      </c>
      <c r="S33" s="19">
        <v>41200</v>
      </c>
      <c r="T33" s="19">
        <v>42500</v>
      </c>
      <c r="U33" s="19">
        <v>40300</v>
      </c>
      <c r="V33" s="19">
        <v>47200</v>
      </c>
      <c r="W33" s="19">
        <v>46600</v>
      </c>
      <c r="X33" s="19">
        <v>40500</v>
      </c>
      <c r="Y33" s="19">
        <v>44800</v>
      </c>
      <c r="Z33" s="19">
        <v>45900</v>
      </c>
      <c r="AA33" s="19">
        <v>45200</v>
      </c>
      <c r="AB33" s="19">
        <v>50400</v>
      </c>
      <c r="AC33" s="19">
        <v>52900</v>
      </c>
      <c r="AD33" s="19">
        <v>44700</v>
      </c>
      <c r="AE33" s="19">
        <v>47000</v>
      </c>
      <c r="AF33" s="19">
        <v>43300</v>
      </c>
      <c r="AG33" s="19">
        <v>45800</v>
      </c>
      <c r="AH33" s="19">
        <v>46900</v>
      </c>
      <c r="AI33" s="19">
        <v>49600</v>
      </c>
      <c r="AJ33" s="19"/>
      <c r="AK33" s="644">
        <f t="shared" si="0"/>
        <v>0.6697425204603924</v>
      </c>
      <c r="AL33" s="644">
        <f t="shared" si="1"/>
        <v>7.2464148488804447E-2</v>
      </c>
      <c r="AM33" s="959">
        <f t="shared" si="2"/>
        <v>0.17464696520790302</v>
      </c>
      <c r="AN33" s="959">
        <f t="shared" si="3"/>
        <v>-0.22831526824047543</v>
      </c>
      <c r="AO33" s="23"/>
      <c r="AP33" s="959">
        <f t="shared" si="4"/>
        <v>4.6413502109704581</v>
      </c>
      <c r="AT33" s="811"/>
      <c r="AU33" s="811"/>
      <c r="AV33" s="811"/>
      <c r="AW33" s="811"/>
      <c r="AX33" s="811"/>
      <c r="AY33" s="811"/>
    </row>
    <row r="34" spans="1:51" s="114" customFormat="1" ht="15">
      <c r="A34" s="1"/>
      <c r="B34" s="1"/>
      <c r="C34" s="1"/>
      <c r="D34" s="1"/>
      <c r="E34" s="1"/>
      <c r="F34" s="1"/>
      <c r="G34" s="1"/>
      <c r="H34" s="961"/>
      <c r="I34" s="20"/>
      <c r="J34" s="39"/>
      <c r="K34" s="39"/>
      <c r="L34" s="39"/>
      <c r="M34" s="39"/>
      <c r="N34" s="39"/>
      <c r="O34" s="39"/>
      <c r="P34" s="39"/>
      <c r="Q34" s="240"/>
      <c r="R34" s="19"/>
      <c r="S34" s="19"/>
      <c r="T34" s="19"/>
      <c r="U34" s="19"/>
      <c r="V34" s="19"/>
      <c r="W34" s="19"/>
      <c r="X34" s="19"/>
      <c r="Y34" s="19"/>
      <c r="Z34" s="19"/>
      <c r="AA34" s="19"/>
      <c r="AB34" s="19"/>
      <c r="AC34" s="19"/>
      <c r="AD34" s="19"/>
      <c r="AE34" s="19"/>
      <c r="AF34" s="19"/>
      <c r="AG34" s="19"/>
      <c r="AH34" s="19"/>
      <c r="AI34" s="19"/>
      <c r="AJ34" s="19"/>
      <c r="AK34" s="644"/>
      <c r="AL34" s="644"/>
      <c r="AM34" s="644"/>
      <c r="AN34" s="644"/>
      <c r="AO34" s="23"/>
      <c r="AP34" s="644"/>
      <c r="AT34" s="811"/>
      <c r="AU34" s="811"/>
      <c r="AV34" s="811"/>
      <c r="AW34" s="811"/>
      <c r="AX34" s="811"/>
      <c r="AY34" s="811"/>
    </row>
    <row r="35" spans="1:51" s="114" customFormat="1" ht="15">
      <c r="A35" s="1"/>
      <c r="B35" s="1"/>
      <c r="C35" s="1"/>
      <c r="D35" s="128" t="s">
        <v>2</v>
      </c>
      <c r="E35" s="1"/>
      <c r="F35" s="1"/>
      <c r="G35" s="1"/>
      <c r="H35" s="961"/>
      <c r="I35" s="20">
        <v>52400</v>
      </c>
      <c r="J35" s="19">
        <v>50200</v>
      </c>
      <c r="K35" s="19">
        <v>46400</v>
      </c>
      <c r="L35" s="19">
        <v>48300</v>
      </c>
      <c r="M35" s="19">
        <v>48100</v>
      </c>
      <c r="N35" s="19">
        <v>51700</v>
      </c>
      <c r="O35" s="19">
        <v>50600</v>
      </c>
      <c r="P35" s="39">
        <v>51900</v>
      </c>
      <c r="Q35" s="240">
        <v>54700</v>
      </c>
      <c r="R35" s="19">
        <v>51100</v>
      </c>
      <c r="S35" s="19">
        <v>48600</v>
      </c>
      <c r="T35" s="19">
        <v>42500</v>
      </c>
      <c r="U35" s="19">
        <v>45500</v>
      </c>
      <c r="V35" s="19">
        <v>45600</v>
      </c>
      <c r="W35" s="19">
        <v>48100</v>
      </c>
      <c r="X35" s="19">
        <v>51000</v>
      </c>
      <c r="Y35" s="19">
        <v>51600</v>
      </c>
      <c r="Z35" s="19">
        <v>55700</v>
      </c>
      <c r="AA35" s="19">
        <v>57400</v>
      </c>
      <c r="AB35" s="19">
        <v>60100</v>
      </c>
      <c r="AC35" s="19">
        <v>59900</v>
      </c>
      <c r="AD35" s="19">
        <v>61900</v>
      </c>
      <c r="AE35" s="19">
        <v>56800</v>
      </c>
      <c r="AF35" s="19">
        <v>59800</v>
      </c>
      <c r="AG35" s="19">
        <v>58500</v>
      </c>
      <c r="AH35" s="19">
        <v>60000</v>
      </c>
      <c r="AI35" s="19">
        <v>62100</v>
      </c>
      <c r="AJ35" s="19"/>
      <c r="AK35" s="644">
        <f t="shared" si="0"/>
        <v>0.5384082116715927</v>
      </c>
      <c r="AL35" s="644">
        <f>((AB35/Q35)^(1/11)-1)*100</f>
        <v>0.85954700068595624</v>
      </c>
      <c r="AM35" s="959">
        <f>((AI35/I35)^(1/26)-1)*100</f>
        <v>0.65536664263061706</v>
      </c>
      <c r="AN35" s="959">
        <f>((AI35/AB35)^(1/7)-1)*100</f>
        <v>0.46875448106362683</v>
      </c>
      <c r="AO35" s="23"/>
      <c r="AP35" s="959">
        <f>100*AI35/I35-100</f>
        <v>18.511450381679396</v>
      </c>
      <c r="AT35" s="812"/>
      <c r="AU35" s="812"/>
      <c r="AV35" s="812"/>
      <c r="AW35" s="812"/>
      <c r="AX35" s="812"/>
      <c r="AY35" s="812"/>
    </row>
    <row r="36" spans="1:51" s="114" customFormat="1" ht="15">
      <c r="A36" s="1"/>
      <c r="B36" s="1"/>
      <c r="C36" s="1"/>
      <c r="D36" s="1"/>
      <c r="E36" s="1"/>
      <c r="F36" s="1"/>
      <c r="G36" s="1"/>
      <c r="H36" s="961"/>
      <c r="I36" s="20"/>
      <c r="J36" s="39"/>
      <c r="K36" s="39"/>
      <c r="L36" s="39"/>
      <c r="M36" s="39"/>
      <c r="N36" s="39"/>
      <c r="O36" s="39"/>
      <c r="P36" s="39"/>
      <c r="Q36" s="240"/>
      <c r="R36" s="19"/>
      <c r="S36" s="19"/>
      <c r="T36" s="19"/>
      <c r="U36" s="19"/>
      <c r="V36" s="19"/>
      <c r="W36" s="19"/>
      <c r="X36" s="19"/>
      <c r="Y36" s="19"/>
      <c r="Z36" s="19"/>
      <c r="AA36" s="19"/>
      <c r="AB36" s="19"/>
      <c r="AC36" s="19"/>
      <c r="AD36" s="19"/>
      <c r="AE36" s="19"/>
      <c r="AF36" s="19"/>
      <c r="AG36" s="19"/>
      <c r="AH36" s="19"/>
      <c r="AI36" s="19"/>
      <c r="AJ36" s="19"/>
      <c r="AK36" s="644"/>
      <c r="AL36" s="644"/>
      <c r="AM36" s="644"/>
      <c r="AN36" s="644"/>
      <c r="AO36" s="23"/>
      <c r="AP36" s="644"/>
      <c r="AT36" s="812"/>
      <c r="AU36" s="812"/>
      <c r="AV36" s="812"/>
      <c r="AW36" s="812"/>
      <c r="AX36" s="812"/>
      <c r="AY36" s="812"/>
    </row>
    <row r="37" spans="1:51" s="114" customFormat="1" ht="15">
      <c r="A37" s="1"/>
      <c r="B37" s="128" t="s">
        <v>3</v>
      </c>
      <c r="C37" s="1"/>
      <c r="D37" s="1"/>
      <c r="E37" s="1"/>
      <c r="F37" s="1"/>
      <c r="G37" s="1"/>
      <c r="H37" s="961"/>
      <c r="I37" s="20">
        <v>26300</v>
      </c>
      <c r="J37" s="19">
        <v>25900</v>
      </c>
      <c r="K37" s="19">
        <v>23800</v>
      </c>
      <c r="L37" s="19">
        <v>24000</v>
      </c>
      <c r="M37" s="19">
        <v>24600</v>
      </c>
      <c r="N37" s="19">
        <v>24700</v>
      </c>
      <c r="O37" s="19">
        <v>24900</v>
      </c>
      <c r="P37" s="39">
        <v>25100</v>
      </c>
      <c r="Q37" s="240">
        <v>26200</v>
      </c>
      <c r="R37" s="19">
        <v>25300</v>
      </c>
      <c r="S37" s="19">
        <v>22600</v>
      </c>
      <c r="T37" s="19">
        <v>22600</v>
      </c>
      <c r="U37" s="19">
        <v>22200</v>
      </c>
      <c r="V37" s="19">
        <v>22000</v>
      </c>
      <c r="W37" s="19">
        <v>22900</v>
      </c>
      <c r="X37" s="19">
        <v>22100</v>
      </c>
      <c r="Y37" s="19">
        <v>22200</v>
      </c>
      <c r="Z37" s="19">
        <v>23000</v>
      </c>
      <c r="AA37" s="19">
        <v>25300</v>
      </c>
      <c r="AB37" s="19">
        <v>25300</v>
      </c>
      <c r="AC37" s="19">
        <v>26100</v>
      </c>
      <c r="AD37" s="19">
        <v>26700</v>
      </c>
      <c r="AE37" s="19">
        <v>27500</v>
      </c>
      <c r="AF37" s="19">
        <v>27400</v>
      </c>
      <c r="AG37" s="19">
        <v>28100</v>
      </c>
      <c r="AH37" s="19">
        <v>29500</v>
      </c>
      <c r="AI37" s="19">
        <v>30000</v>
      </c>
      <c r="AJ37" s="19"/>
      <c r="AK37" s="644">
        <f t="shared" si="0"/>
        <v>-4.7607769111901455E-2</v>
      </c>
      <c r="AL37" s="644">
        <f>((AB37/Q37)^(1/11)-1)*100</f>
        <v>-0.31726850036128962</v>
      </c>
      <c r="AM37" s="959">
        <f>((AI37/I37)^(1/26)-1)*100</f>
        <v>0.50754691799261842</v>
      </c>
      <c r="AN37" s="959">
        <f>((AI37/AB37)^(1/7)-1)*100</f>
        <v>2.4640536651765022</v>
      </c>
      <c r="AO37" s="23"/>
      <c r="AP37" s="959">
        <f>100*AI37/I37-100</f>
        <v>14.06844106463879</v>
      </c>
      <c r="AT37" s="812"/>
      <c r="AU37" s="812"/>
      <c r="AV37" s="812"/>
      <c r="AW37" s="812"/>
      <c r="AX37" s="812"/>
      <c r="AY37" s="812"/>
    </row>
    <row r="38" spans="1:51" s="114" customFormat="1" ht="15">
      <c r="A38" s="1"/>
      <c r="B38" s="128"/>
      <c r="C38" s="1"/>
      <c r="D38" s="1"/>
      <c r="E38" s="1"/>
      <c r="F38" s="1"/>
      <c r="G38" s="1"/>
      <c r="H38" s="961"/>
      <c r="I38" s="20"/>
      <c r="J38" s="39"/>
      <c r="K38" s="39"/>
      <c r="L38" s="39"/>
      <c r="M38" s="39"/>
      <c r="N38" s="39"/>
      <c r="O38" s="39"/>
      <c r="P38" s="39"/>
      <c r="Q38" s="240"/>
      <c r="R38" s="19"/>
      <c r="S38" s="19"/>
      <c r="T38" s="19"/>
      <c r="U38" s="19"/>
      <c r="V38" s="19"/>
      <c r="W38" s="19"/>
      <c r="X38" s="19"/>
      <c r="Y38" s="19"/>
      <c r="Z38" s="19"/>
      <c r="AA38" s="19"/>
      <c r="AB38" s="19"/>
      <c r="AC38" s="19"/>
      <c r="AD38" s="19"/>
      <c r="AE38" s="19"/>
      <c r="AF38" s="19"/>
      <c r="AG38" s="19"/>
      <c r="AH38" s="19"/>
      <c r="AI38" s="19"/>
      <c r="AJ38" s="19"/>
      <c r="AK38" s="644"/>
      <c r="AL38" s="644"/>
      <c r="AM38" s="644"/>
      <c r="AN38" s="644"/>
      <c r="AO38" s="23"/>
      <c r="AP38" s="644"/>
      <c r="AT38" s="812"/>
      <c r="AU38" s="812"/>
      <c r="AV38" s="812"/>
      <c r="AW38" s="812"/>
      <c r="AX38" s="812"/>
      <c r="AY38" s="812"/>
    </row>
    <row r="39" spans="1:51" s="114" customFormat="1" ht="15">
      <c r="A39" s="1"/>
      <c r="B39" s="1"/>
      <c r="C39" s="128" t="s">
        <v>4</v>
      </c>
      <c r="D39" s="1"/>
      <c r="E39" s="1"/>
      <c r="F39" s="1"/>
      <c r="G39" s="1"/>
      <c r="H39" s="961"/>
      <c r="I39" s="20">
        <v>13800</v>
      </c>
      <c r="J39" s="19">
        <v>17000</v>
      </c>
      <c r="K39" s="19">
        <v>12300</v>
      </c>
      <c r="L39" s="19">
        <v>13200</v>
      </c>
      <c r="M39" s="19">
        <v>13400</v>
      </c>
      <c r="N39" s="19">
        <v>10400</v>
      </c>
      <c r="O39" s="19">
        <v>12400</v>
      </c>
      <c r="P39" s="39">
        <v>13100</v>
      </c>
      <c r="Q39" s="240">
        <v>15200</v>
      </c>
      <c r="R39" s="19">
        <v>14000</v>
      </c>
      <c r="S39" s="19">
        <v>12100</v>
      </c>
      <c r="T39" s="19">
        <v>14200</v>
      </c>
      <c r="U39" s="19">
        <v>13900</v>
      </c>
      <c r="V39" s="19">
        <v>16600</v>
      </c>
      <c r="W39" s="19">
        <v>16000</v>
      </c>
      <c r="X39" s="19">
        <v>16100</v>
      </c>
      <c r="Y39" s="19">
        <v>14800</v>
      </c>
      <c r="Z39" s="19">
        <v>16600</v>
      </c>
      <c r="AA39" s="19">
        <v>15400</v>
      </c>
      <c r="AB39" s="19">
        <v>14100</v>
      </c>
      <c r="AC39" s="19">
        <v>16200</v>
      </c>
      <c r="AD39" s="19">
        <v>15800</v>
      </c>
      <c r="AE39" s="19">
        <v>17300</v>
      </c>
      <c r="AF39" s="19">
        <v>16500</v>
      </c>
      <c r="AG39" s="19">
        <v>17600</v>
      </c>
      <c r="AH39" s="19">
        <v>18200</v>
      </c>
      <c r="AI39" s="19">
        <v>21000</v>
      </c>
      <c r="AJ39" s="19"/>
      <c r="AK39" s="644">
        <f t="shared" si="0"/>
        <v>1.2151592351750784</v>
      </c>
      <c r="AL39" s="644">
        <f t="shared" ref="AL39:AL44" si="5">((AB39/Q39)^(1/11)-1)*100</f>
        <v>-0.68058825832685299</v>
      </c>
      <c r="AM39" s="959">
        <f t="shared" ref="AM39:AM44" si="6">((AI39/I39)^(1/26)-1)*100</f>
        <v>1.6279312070005991</v>
      </c>
      <c r="AN39" s="959">
        <f t="shared" ref="AN39:AN44" si="7">((AI39/AB39)^(1/7)-1)*100</f>
        <v>5.8557154371905451</v>
      </c>
      <c r="AO39" s="23"/>
      <c r="AP39" s="959">
        <f t="shared" ref="AP39:AP44" si="8">100*AI39/I39-100</f>
        <v>52.173913043478251</v>
      </c>
      <c r="AT39" s="812"/>
      <c r="AU39" s="812"/>
      <c r="AV39" s="812"/>
      <c r="AW39" s="812"/>
      <c r="AX39" s="812"/>
      <c r="AY39" s="812"/>
    </row>
    <row r="40" spans="1:51" s="114" customFormat="1" ht="15">
      <c r="A40" s="1"/>
      <c r="B40" s="1"/>
      <c r="C40" s="1" t="s">
        <v>5</v>
      </c>
      <c r="D40" s="1"/>
      <c r="E40" s="1"/>
      <c r="F40" s="1"/>
      <c r="G40" s="1"/>
      <c r="H40" s="961"/>
      <c r="I40" s="20">
        <v>11000</v>
      </c>
      <c r="J40" s="19">
        <v>11900</v>
      </c>
      <c r="K40" s="19">
        <v>8500</v>
      </c>
      <c r="L40" s="19">
        <v>9900</v>
      </c>
      <c r="M40" s="19">
        <v>10800</v>
      </c>
      <c r="N40" s="19">
        <v>7700</v>
      </c>
      <c r="O40" s="19">
        <v>10300</v>
      </c>
      <c r="P40" s="39">
        <v>11000</v>
      </c>
      <c r="Q40" s="240">
        <v>12200</v>
      </c>
      <c r="R40" s="19">
        <v>11700</v>
      </c>
      <c r="S40" s="19">
        <v>10400</v>
      </c>
      <c r="T40" s="19">
        <v>13700</v>
      </c>
      <c r="U40" s="19">
        <v>12100</v>
      </c>
      <c r="V40" s="19">
        <v>13000</v>
      </c>
      <c r="W40" s="19">
        <v>13400</v>
      </c>
      <c r="X40" s="19">
        <v>13300</v>
      </c>
      <c r="Y40" s="19">
        <v>12500</v>
      </c>
      <c r="Z40" s="19">
        <v>12800</v>
      </c>
      <c r="AA40" s="19">
        <v>13400</v>
      </c>
      <c r="AB40" s="19">
        <v>12000</v>
      </c>
      <c r="AC40" s="19">
        <v>14100</v>
      </c>
      <c r="AD40" s="19">
        <v>12800</v>
      </c>
      <c r="AE40" s="19">
        <v>12900</v>
      </c>
      <c r="AF40" s="19">
        <v>14100</v>
      </c>
      <c r="AG40" s="19">
        <v>12800</v>
      </c>
      <c r="AH40" s="19">
        <v>13500</v>
      </c>
      <c r="AI40" s="19">
        <v>15800</v>
      </c>
      <c r="AJ40" s="19"/>
      <c r="AK40" s="644">
        <f t="shared" si="0"/>
        <v>1.3026702627806142</v>
      </c>
      <c r="AL40" s="644">
        <f t="shared" si="5"/>
        <v>-0.15015353797676045</v>
      </c>
      <c r="AM40" s="959">
        <f t="shared" si="6"/>
        <v>1.4024926487160805</v>
      </c>
      <c r="AN40" s="959">
        <f t="shared" si="7"/>
        <v>4.0082950464866984</v>
      </c>
      <c r="AO40" s="23"/>
      <c r="AP40" s="959">
        <f t="shared" si="8"/>
        <v>43.636363636363626</v>
      </c>
      <c r="AT40" s="812"/>
      <c r="AU40" s="812"/>
      <c r="AV40" s="812"/>
      <c r="AW40" s="812"/>
      <c r="AX40" s="812"/>
      <c r="AY40" s="812"/>
    </row>
    <row r="41" spans="1:51" s="114" customFormat="1" ht="15">
      <c r="A41" s="1"/>
      <c r="B41" s="1"/>
      <c r="C41" s="1" t="s">
        <v>6</v>
      </c>
      <c r="D41" s="1"/>
      <c r="E41" s="1"/>
      <c r="F41" s="1"/>
      <c r="G41" s="1"/>
      <c r="H41" s="961"/>
      <c r="I41" s="20">
        <v>29100</v>
      </c>
      <c r="J41" s="19">
        <v>37800</v>
      </c>
      <c r="K41" s="19">
        <v>30200</v>
      </c>
      <c r="L41" s="19">
        <v>36500</v>
      </c>
      <c r="M41" s="19">
        <v>32400</v>
      </c>
      <c r="N41" s="19">
        <v>28900</v>
      </c>
      <c r="O41" s="19">
        <v>33000</v>
      </c>
      <c r="P41" s="39">
        <v>30200</v>
      </c>
      <c r="Q41" s="240">
        <v>39900</v>
      </c>
      <c r="R41" s="19">
        <v>33000</v>
      </c>
      <c r="S41" s="19">
        <v>28400</v>
      </c>
      <c r="T41" s="19">
        <v>20800</v>
      </c>
      <c r="U41" s="19">
        <v>28000</v>
      </c>
      <c r="V41" s="19">
        <v>46300</v>
      </c>
      <c r="W41" s="19">
        <v>37400</v>
      </c>
      <c r="X41" s="19">
        <v>36300</v>
      </c>
      <c r="Y41" s="19">
        <v>30900</v>
      </c>
      <c r="Z41" s="19">
        <v>39500</v>
      </c>
      <c r="AA41" s="19">
        <v>28600</v>
      </c>
      <c r="AB41" s="19">
        <v>26000</v>
      </c>
      <c r="AC41" s="19">
        <v>28800</v>
      </c>
      <c r="AD41" s="19">
        <v>29000</v>
      </c>
      <c r="AE41" s="19">
        <v>32400</v>
      </c>
      <c r="AF41" s="19">
        <v>26000</v>
      </c>
      <c r="AG41" s="19">
        <v>36600</v>
      </c>
      <c r="AH41" s="19">
        <v>35400</v>
      </c>
      <c r="AI41" s="19">
        <v>39500</v>
      </c>
      <c r="AJ41" s="19"/>
      <c r="AK41" s="644">
        <f t="shared" si="0"/>
        <v>4.0243446272841377</v>
      </c>
      <c r="AL41" s="644">
        <f t="shared" si="5"/>
        <v>-3.8186319115231959</v>
      </c>
      <c r="AM41" s="959">
        <f t="shared" si="6"/>
        <v>1.1821734590992561</v>
      </c>
      <c r="AN41" s="959">
        <f t="shared" si="7"/>
        <v>6.1564164876500183</v>
      </c>
      <c r="AO41" s="23"/>
      <c r="AP41" s="959">
        <f t="shared" si="8"/>
        <v>35.738831615120262</v>
      </c>
      <c r="AT41" s="812"/>
      <c r="AU41" s="812"/>
      <c r="AV41" s="812"/>
      <c r="AW41" s="812"/>
      <c r="AX41" s="812"/>
      <c r="AY41" s="812"/>
    </row>
    <row r="42" spans="1:51" s="114" customFormat="1" ht="15">
      <c r="A42" s="1"/>
      <c r="B42" s="1"/>
      <c r="C42" s="128" t="s">
        <v>7</v>
      </c>
      <c r="D42" s="1"/>
      <c r="E42" s="1"/>
      <c r="F42" s="1"/>
      <c r="G42" s="1"/>
      <c r="H42" s="961"/>
      <c r="I42" s="20">
        <v>9800</v>
      </c>
      <c r="J42" s="19">
        <v>9300</v>
      </c>
      <c r="K42" s="19">
        <v>7800</v>
      </c>
      <c r="L42" s="19">
        <v>9100</v>
      </c>
      <c r="M42" s="19">
        <v>9400</v>
      </c>
      <c r="N42" s="19">
        <v>9000</v>
      </c>
      <c r="O42" s="19">
        <v>9500</v>
      </c>
      <c r="P42" s="39">
        <v>8500</v>
      </c>
      <c r="Q42" s="240">
        <v>10100</v>
      </c>
      <c r="R42" s="19">
        <v>10300</v>
      </c>
      <c r="S42" s="19">
        <v>9800</v>
      </c>
      <c r="T42" s="19">
        <v>9100</v>
      </c>
      <c r="U42" s="19">
        <v>8500</v>
      </c>
      <c r="V42" s="19">
        <v>8000</v>
      </c>
      <c r="W42" s="19">
        <v>10100</v>
      </c>
      <c r="X42" s="19">
        <v>9700</v>
      </c>
      <c r="Y42" s="19">
        <v>9200</v>
      </c>
      <c r="Z42" s="19">
        <v>10500</v>
      </c>
      <c r="AA42" s="19">
        <v>10500</v>
      </c>
      <c r="AB42" s="19">
        <v>11200</v>
      </c>
      <c r="AC42" s="19">
        <v>12200</v>
      </c>
      <c r="AD42" s="19">
        <v>12800</v>
      </c>
      <c r="AE42" s="19">
        <v>12500</v>
      </c>
      <c r="AF42" s="19">
        <v>13400</v>
      </c>
      <c r="AG42" s="19">
        <v>12500</v>
      </c>
      <c r="AH42" s="19">
        <v>14300</v>
      </c>
      <c r="AI42" s="19">
        <v>14100</v>
      </c>
      <c r="AJ42" s="19"/>
      <c r="AK42" s="644">
        <f t="shared" si="0"/>
        <v>0.377624187362402</v>
      </c>
      <c r="AL42" s="644">
        <f t="shared" si="5"/>
        <v>0.94423323973089612</v>
      </c>
      <c r="AM42" s="959">
        <f t="shared" si="6"/>
        <v>1.4090362241298893</v>
      </c>
      <c r="AN42" s="959">
        <f t="shared" si="7"/>
        <v>3.344143441112335</v>
      </c>
      <c r="AO42" s="23"/>
      <c r="AP42" s="959">
        <f t="shared" si="8"/>
        <v>43.877551020408163</v>
      </c>
      <c r="AT42" s="812"/>
      <c r="AU42" s="812"/>
      <c r="AV42" s="812"/>
      <c r="AW42" s="812"/>
      <c r="AX42" s="812"/>
      <c r="AY42" s="812"/>
    </row>
    <row r="43" spans="1:51" s="114" customFormat="1" ht="15">
      <c r="A43" s="1"/>
      <c r="B43" s="1"/>
      <c r="C43" s="1" t="s">
        <v>5</v>
      </c>
      <c r="D43" s="1"/>
      <c r="E43" s="1"/>
      <c r="F43" s="1"/>
      <c r="G43" s="1"/>
      <c r="H43" s="961"/>
      <c r="I43" s="20">
        <v>8400</v>
      </c>
      <c r="J43" s="19">
        <v>8200</v>
      </c>
      <c r="K43" s="19">
        <v>7000</v>
      </c>
      <c r="L43" s="19">
        <v>7800</v>
      </c>
      <c r="M43" s="19">
        <v>8400</v>
      </c>
      <c r="N43" s="19">
        <v>8400</v>
      </c>
      <c r="O43" s="19">
        <v>9000</v>
      </c>
      <c r="P43" s="39">
        <v>7800</v>
      </c>
      <c r="Q43" s="240">
        <v>9400</v>
      </c>
      <c r="R43" s="19">
        <v>9400</v>
      </c>
      <c r="S43" s="19">
        <v>9300</v>
      </c>
      <c r="T43" s="19">
        <v>8600</v>
      </c>
      <c r="U43" s="19">
        <v>7900</v>
      </c>
      <c r="V43" s="19">
        <v>7300</v>
      </c>
      <c r="W43" s="19">
        <v>9100</v>
      </c>
      <c r="X43" s="19">
        <v>9000</v>
      </c>
      <c r="Y43" s="19">
        <v>8600</v>
      </c>
      <c r="Z43" s="19">
        <v>9600</v>
      </c>
      <c r="AA43" s="19">
        <v>9600</v>
      </c>
      <c r="AB43" s="19">
        <v>10300</v>
      </c>
      <c r="AC43" s="19">
        <v>11000</v>
      </c>
      <c r="AD43" s="19">
        <v>12100</v>
      </c>
      <c r="AE43" s="19">
        <v>11500</v>
      </c>
      <c r="AF43" s="19">
        <v>12100</v>
      </c>
      <c r="AG43" s="19">
        <v>11200</v>
      </c>
      <c r="AH43" s="19">
        <v>13100</v>
      </c>
      <c r="AI43" s="19">
        <v>12600</v>
      </c>
      <c r="AJ43" s="19"/>
      <c r="AK43" s="644">
        <f t="shared" si="0"/>
        <v>1.4159051030650849</v>
      </c>
      <c r="AL43" s="644">
        <f t="shared" si="5"/>
        <v>0.83468427986466143</v>
      </c>
      <c r="AM43" s="959">
        <f t="shared" si="6"/>
        <v>1.5717045505649008</v>
      </c>
      <c r="AN43" s="959">
        <f t="shared" si="7"/>
        <v>2.9211807747589358</v>
      </c>
      <c r="AO43" s="23"/>
      <c r="AP43" s="959">
        <f t="shared" si="8"/>
        <v>50</v>
      </c>
      <c r="AT43" s="812"/>
      <c r="AU43" s="812"/>
      <c r="AV43" s="812"/>
      <c r="AW43" s="812"/>
      <c r="AX43" s="812"/>
      <c r="AY43" s="812"/>
    </row>
    <row r="44" spans="1:51" s="114" customFormat="1" ht="15">
      <c r="A44" s="1"/>
      <c r="B44" s="1"/>
      <c r="C44" s="1" t="s">
        <v>6</v>
      </c>
      <c r="D44" s="1"/>
      <c r="E44" s="1"/>
      <c r="F44" s="1"/>
      <c r="G44" s="1"/>
      <c r="H44" s="961"/>
      <c r="I44" s="20">
        <v>26100</v>
      </c>
      <c r="J44" s="19">
        <v>24200</v>
      </c>
      <c r="K44" s="19">
        <v>16400</v>
      </c>
      <c r="L44" s="19">
        <v>25100</v>
      </c>
      <c r="M44" s="19">
        <v>23600</v>
      </c>
      <c r="N44" s="19">
        <v>20500</v>
      </c>
      <c r="O44" s="19">
        <v>18600</v>
      </c>
      <c r="P44" s="39">
        <v>24300</v>
      </c>
      <c r="Q44" s="240">
        <v>23200</v>
      </c>
      <c r="R44" s="19">
        <v>30600</v>
      </c>
      <c r="S44" s="19">
        <v>22800</v>
      </c>
      <c r="T44" s="19">
        <v>17800</v>
      </c>
      <c r="U44" s="19">
        <v>25400</v>
      </c>
      <c r="V44" s="19">
        <v>24400</v>
      </c>
      <c r="W44" s="19">
        <v>32600</v>
      </c>
      <c r="X44" s="19">
        <v>25400</v>
      </c>
      <c r="Y44" s="19">
        <v>22000</v>
      </c>
      <c r="Z44" s="19">
        <v>23400</v>
      </c>
      <c r="AA44" s="19">
        <v>24200</v>
      </c>
      <c r="AB44" s="19">
        <v>24900</v>
      </c>
      <c r="AC44" s="19">
        <v>28000</v>
      </c>
      <c r="AD44" s="19">
        <v>21700</v>
      </c>
      <c r="AE44" s="19">
        <v>20900</v>
      </c>
      <c r="AF44" s="19">
        <v>25200</v>
      </c>
      <c r="AG44" s="19">
        <v>24100</v>
      </c>
      <c r="AH44" s="19">
        <v>24800</v>
      </c>
      <c r="AI44" s="19">
        <v>26200</v>
      </c>
      <c r="AJ44" s="19"/>
      <c r="AK44" s="644">
        <f t="shared" si="0"/>
        <v>-1.4615027811644143</v>
      </c>
      <c r="AL44" s="644">
        <f t="shared" si="5"/>
        <v>0.64493924140458514</v>
      </c>
      <c r="AM44" s="959">
        <f t="shared" si="6"/>
        <v>1.4709144913283012E-2</v>
      </c>
      <c r="AN44" s="959">
        <f t="shared" si="7"/>
        <v>0.72967218958306379</v>
      </c>
      <c r="AO44" s="23"/>
      <c r="AP44" s="959">
        <f t="shared" si="8"/>
        <v>0.38314176245211229</v>
      </c>
      <c r="AT44" s="812"/>
      <c r="AU44" s="812"/>
      <c r="AV44" s="812"/>
      <c r="AW44" s="812"/>
      <c r="AX44" s="812"/>
      <c r="AY44" s="812"/>
    </row>
    <row r="45" spans="1:51" s="114" customFormat="1" ht="15">
      <c r="A45" s="1"/>
      <c r="B45" s="1"/>
      <c r="C45" s="1"/>
      <c r="D45" s="1"/>
      <c r="E45" s="1"/>
      <c r="F45" s="1"/>
      <c r="G45" s="1"/>
      <c r="H45" s="961"/>
      <c r="I45" s="20"/>
      <c r="J45" s="39"/>
      <c r="K45" s="39"/>
      <c r="L45" s="39"/>
      <c r="M45" s="39"/>
      <c r="N45" s="39"/>
      <c r="O45" s="39"/>
      <c r="P45" s="39"/>
      <c r="Q45" s="240"/>
      <c r="R45" s="19"/>
      <c r="S45" s="19"/>
      <c r="T45" s="19"/>
      <c r="U45" s="19"/>
      <c r="V45" s="19"/>
      <c r="W45" s="19"/>
      <c r="X45" s="19"/>
      <c r="Y45" s="19"/>
      <c r="Z45" s="19"/>
      <c r="AA45" s="19"/>
      <c r="AB45" s="19"/>
      <c r="AC45" s="19"/>
      <c r="AD45" s="19"/>
      <c r="AE45" s="19"/>
      <c r="AF45" s="19"/>
      <c r="AG45" s="19"/>
      <c r="AH45" s="19"/>
      <c r="AI45" s="19"/>
      <c r="AJ45" s="19"/>
      <c r="AK45" s="644"/>
      <c r="AL45" s="644"/>
      <c r="AM45" s="644"/>
      <c r="AN45" s="644"/>
      <c r="AO45" s="23"/>
      <c r="AP45" s="644"/>
      <c r="AT45" s="812"/>
      <c r="AU45" s="812"/>
      <c r="AV45" s="812"/>
      <c r="AW45" s="812"/>
      <c r="AX45" s="812"/>
      <c r="AY45" s="812"/>
    </row>
    <row r="46" spans="1:51" s="114" customFormat="1" ht="15">
      <c r="A46" s="1"/>
      <c r="B46" s="1"/>
      <c r="C46" s="128" t="s">
        <v>8</v>
      </c>
      <c r="D46" s="1"/>
      <c r="E46" s="1"/>
      <c r="F46" s="1"/>
      <c r="G46" s="1"/>
      <c r="H46" s="961"/>
      <c r="I46" s="20">
        <v>37100</v>
      </c>
      <c r="J46" s="19">
        <v>34200</v>
      </c>
      <c r="K46" s="19">
        <v>32600</v>
      </c>
      <c r="L46" s="19">
        <v>32300</v>
      </c>
      <c r="M46" s="19">
        <v>33000</v>
      </c>
      <c r="N46" s="19">
        <v>33300</v>
      </c>
      <c r="O46" s="19">
        <v>32800</v>
      </c>
      <c r="P46" s="39">
        <v>35000</v>
      </c>
      <c r="Q46" s="240">
        <v>34700</v>
      </c>
      <c r="R46" s="19">
        <v>33900</v>
      </c>
      <c r="S46" s="19">
        <v>29400</v>
      </c>
      <c r="T46" s="19">
        <v>29100</v>
      </c>
      <c r="U46" s="19">
        <v>28500</v>
      </c>
      <c r="V46" s="19">
        <v>29000</v>
      </c>
      <c r="W46" s="19">
        <v>29200</v>
      </c>
      <c r="X46" s="19">
        <v>28800</v>
      </c>
      <c r="Y46" s="19">
        <v>29100</v>
      </c>
      <c r="Z46" s="19">
        <v>29700</v>
      </c>
      <c r="AA46" s="19">
        <v>32000</v>
      </c>
      <c r="AB46" s="19">
        <v>33300</v>
      </c>
      <c r="AC46" s="19">
        <v>33800</v>
      </c>
      <c r="AD46" s="19">
        <v>33900</v>
      </c>
      <c r="AE46" s="19">
        <v>35000</v>
      </c>
      <c r="AF46" s="19">
        <v>34300</v>
      </c>
      <c r="AG46" s="19">
        <v>35900</v>
      </c>
      <c r="AH46" s="19">
        <v>37900</v>
      </c>
      <c r="AI46" s="19">
        <v>37800</v>
      </c>
      <c r="AJ46" s="19"/>
      <c r="AK46" s="644">
        <f t="shared" si="0"/>
        <v>-0.83248155366238974</v>
      </c>
      <c r="AL46" s="644">
        <f t="shared" ref="AL46:AL51" si="9">((AB46/Q46)^(1/11)-1)*100</f>
        <v>-0.37368450940958864</v>
      </c>
      <c r="AM46" s="959">
        <f t="shared" ref="AM46:AM51" si="10">((AI46/I46)^(1/26)-1)*100</f>
        <v>7.1918668359005622E-2</v>
      </c>
      <c r="AN46" s="959">
        <f t="shared" ref="AN46:AN51" si="11">((AI46/AB46)^(1/7)-1)*100</f>
        <v>1.8272319239365453</v>
      </c>
      <c r="AO46" s="23"/>
      <c r="AP46" s="959">
        <f t="shared" ref="AP46:AP51" si="12">100*AI46/I46-100</f>
        <v>1.8867924528301927</v>
      </c>
      <c r="AT46" s="812"/>
      <c r="AU46" s="812"/>
      <c r="AV46" s="812"/>
      <c r="AW46" s="812"/>
      <c r="AX46" s="812"/>
      <c r="AY46" s="812"/>
    </row>
    <row r="47" spans="1:51" s="114" customFormat="1" ht="15">
      <c r="A47" s="1"/>
      <c r="B47" s="1"/>
      <c r="C47" s="1" t="s">
        <v>5</v>
      </c>
      <c r="D47" s="1"/>
      <c r="E47" s="1"/>
      <c r="F47" s="1"/>
      <c r="G47" s="1"/>
      <c r="H47" s="961"/>
      <c r="I47" s="20">
        <v>4200</v>
      </c>
      <c r="J47" s="19">
        <v>5400</v>
      </c>
      <c r="K47" s="19">
        <v>3800</v>
      </c>
      <c r="L47" s="19">
        <v>3400</v>
      </c>
      <c r="M47" s="19">
        <v>4000</v>
      </c>
      <c r="N47" s="19">
        <v>4400</v>
      </c>
      <c r="O47" s="19">
        <v>5100</v>
      </c>
      <c r="P47" s="39">
        <v>5500</v>
      </c>
      <c r="Q47" s="240">
        <v>5800</v>
      </c>
      <c r="R47" s="19">
        <v>7100</v>
      </c>
      <c r="S47" s="19">
        <v>4700</v>
      </c>
      <c r="T47" s="19">
        <v>4500</v>
      </c>
      <c r="U47" s="19">
        <v>3900</v>
      </c>
      <c r="V47" s="19">
        <v>4600</v>
      </c>
      <c r="W47" s="19">
        <v>4500</v>
      </c>
      <c r="X47" s="19">
        <v>3500</v>
      </c>
      <c r="Y47" s="19">
        <v>4100</v>
      </c>
      <c r="Z47" s="19">
        <v>3100</v>
      </c>
      <c r="AA47" s="19">
        <v>3200</v>
      </c>
      <c r="AB47" s="19">
        <v>2700</v>
      </c>
      <c r="AC47" s="19">
        <v>4500</v>
      </c>
      <c r="AD47" s="19">
        <v>5000</v>
      </c>
      <c r="AE47" s="19">
        <v>5600</v>
      </c>
      <c r="AF47" s="19">
        <v>5200</v>
      </c>
      <c r="AG47" s="19">
        <v>6600</v>
      </c>
      <c r="AH47" s="19">
        <v>6600</v>
      </c>
      <c r="AI47" s="19">
        <v>7300</v>
      </c>
      <c r="AJ47" s="19"/>
      <c r="AK47" s="644">
        <f t="shared" si="0"/>
        <v>4.1171658811992806</v>
      </c>
      <c r="AL47" s="644">
        <f t="shared" si="9"/>
        <v>-6.7148868209440105</v>
      </c>
      <c r="AM47" s="959">
        <f t="shared" si="10"/>
        <v>2.14887755721902</v>
      </c>
      <c r="AN47" s="959">
        <f t="shared" si="11"/>
        <v>15.267916246326841</v>
      </c>
      <c r="AO47" s="23"/>
      <c r="AP47" s="959">
        <f t="shared" si="12"/>
        <v>73.809523809523796</v>
      </c>
      <c r="AT47" s="812"/>
      <c r="AU47" s="812"/>
      <c r="AV47" s="812"/>
      <c r="AW47" s="812"/>
      <c r="AX47" s="812"/>
      <c r="AY47" s="812"/>
    </row>
    <row r="48" spans="1:51" s="114" customFormat="1" ht="15">
      <c r="A48" s="1"/>
      <c r="B48" s="1"/>
      <c r="C48" s="1" t="s">
        <v>6</v>
      </c>
      <c r="D48" s="1"/>
      <c r="E48" s="1"/>
      <c r="F48" s="1"/>
      <c r="G48" s="1"/>
      <c r="H48" s="961"/>
      <c r="I48" s="20">
        <v>41000</v>
      </c>
      <c r="J48" s="19">
        <v>38500</v>
      </c>
      <c r="K48" s="19">
        <v>37600</v>
      </c>
      <c r="L48" s="19">
        <v>37000</v>
      </c>
      <c r="M48" s="19">
        <v>37600</v>
      </c>
      <c r="N48" s="19">
        <v>37100</v>
      </c>
      <c r="O48" s="19">
        <v>36500</v>
      </c>
      <c r="P48" s="39">
        <v>39200</v>
      </c>
      <c r="Q48" s="240">
        <v>38600</v>
      </c>
      <c r="R48" s="19">
        <v>38000</v>
      </c>
      <c r="S48" s="19">
        <v>35200</v>
      </c>
      <c r="T48" s="19">
        <v>34700</v>
      </c>
      <c r="U48" s="19">
        <v>35700</v>
      </c>
      <c r="V48" s="19">
        <v>35500</v>
      </c>
      <c r="W48" s="19">
        <v>35300</v>
      </c>
      <c r="X48" s="19">
        <v>35400</v>
      </c>
      <c r="Y48" s="19">
        <v>35900</v>
      </c>
      <c r="Z48" s="19">
        <v>36700</v>
      </c>
      <c r="AA48" s="19">
        <v>38000</v>
      </c>
      <c r="AB48" s="19">
        <v>39100</v>
      </c>
      <c r="AC48" s="19">
        <v>39400</v>
      </c>
      <c r="AD48" s="19">
        <v>39900</v>
      </c>
      <c r="AE48" s="19">
        <v>41200</v>
      </c>
      <c r="AF48" s="19">
        <v>39900</v>
      </c>
      <c r="AG48" s="19">
        <v>42400</v>
      </c>
      <c r="AH48" s="19">
        <v>43300</v>
      </c>
      <c r="AI48" s="19">
        <v>43600</v>
      </c>
      <c r="AJ48" s="19"/>
      <c r="AK48" s="644">
        <f t="shared" si="0"/>
        <v>-0.75116194851938545</v>
      </c>
      <c r="AL48" s="644">
        <f t="shared" si="9"/>
        <v>0.11707020573386018</v>
      </c>
      <c r="AM48" s="959">
        <f t="shared" si="10"/>
        <v>0.2367609280398586</v>
      </c>
      <c r="AN48" s="959">
        <f t="shared" si="11"/>
        <v>1.5683817651237497</v>
      </c>
      <c r="AO48" s="23"/>
      <c r="AP48" s="959">
        <f t="shared" si="12"/>
        <v>6.3414634146341484</v>
      </c>
      <c r="AT48" s="812"/>
      <c r="AU48" s="812"/>
      <c r="AV48" s="812"/>
      <c r="AW48" s="812"/>
      <c r="AX48" s="812"/>
      <c r="AY48" s="812"/>
    </row>
    <row r="49" spans="1:51" s="114" customFormat="1" ht="15">
      <c r="A49" s="1"/>
      <c r="B49" s="1"/>
      <c r="C49" s="128" t="s">
        <v>9</v>
      </c>
      <c r="D49" s="1"/>
      <c r="E49" s="1"/>
      <c r="F49" s="1"/>
      <c r="G49" s="1"/>
      <c r="H49" s="961"/>
      <c r="I49" s="20">
        <v>27100</v>
      </c>
      <c r="J49" s="19">
        <v>27600</v>
      </c>
      <c r="K49" s="19">
        <v>25600</v>
      </c>
      <c r="L49" s="19">
        <v>25100</v>
      </c>
      <c r="M49" s="19">
        <v>25800</v>
      </c>
      <c r="N49" s="19">
        <v>26500</v>
      </c>
      <c r="O49" s="19">
        <v>27600</v>
      </c>
      <c r="P49" s="39">
        <v>26400</v>
      </c>
      <c r="Q49" s="240">
        <v>28300</v>
      </c>
      <c r="R49" s="19">
        <v>26700</v>
      </c>
      <c r="S49" s="19">
        <v>24500</v>
      </c>
      <c r="T49" s="19">
        <v>24400</v>
      </c>
      <c r="U49" s="19">
        <v>25100</v>
      </c>
      <c r="V49" s="19">
        <v>23000</v>
      </c>
      <c r="W49" s="19">
        <v>24600</v>
      </c>
      <c r="X49" s="19">
        <v>23200</v>
      </c>
      <c r="Y49" s="19">
        <v>23400</v>
      </c>
      <c r="Z49" s="19">
        <v>23300</v>
      </c>
      <c r="AA49" s="19">
        <v>27500</v>
      </c>
      <c r="AB49" s="19">
        <v>25800</v>
      </c>
      <c r="AC49" s="19">
        <v>26300</v>
      </c>
      <c r="AD49" s="19">
        <v>28000</v>
      </c>
      <c r="AE49" s="19">
        <v>28500</v>
      </c>
      <c r="AF49" s="19">
        <v>28300</v>
      </c>
      <c r="AG49" s="19">
        <v>28300</v>
      </c>
      <c r="AH49" s="19">
        <v>28800</v>
      </c>
      <c r="AI49" s="19">
        <v>30300</v>
      </c>
      <c r="AJ49" s="19"/>
      <c r="AK49" s="644">
        <f t="shared" si="0"/>
        <v>0.54307026894140353</v>
      </c>
      <c r="AL49" s="644">
        <f t="shared" si="9"/>
        <v>-0.83726896698943509</v>
      </c>
      <c r="AM49" s="959">
        <f t="shared" si="10"/>
        <v>0.43020730234886173</v>
      </c>
      <c r="AN49" s="959">
        <f t="shared" si="11"/>
        <v>2.3233389257861781</v>
      </c>
      <c r="AO49" s="23"/>
      <c r="AP49" s="959">
        <f t="shared" si="12"/>
        <v>11.808118081180808</v>
      </c>
      <c r="AT49" s="812"/>
      <c r="AU49" s="812"/>
      <c r="AV49" s="812"/>
      <c r="AW49" s="812"/>
      <c r="AX49" s="812"/>
      <c r="AY49" s="812"/>
    </row>
    <row r="50" spans="1:51" s="114" customFormat="1" ht="15">
      <c r="A50" s="1"/>
      <c r="B50" s="1"/>
      <c r="C50" s="1" t="s">
        <v>5</v>
      </c>
      <c r="D50" s="1"/>
      <c r="E50" s="1"/>
      <c r="F50" s="1"/>
      <c r="G50" s="1"/>
      <c r="H50" s="961"/>
      <c r="I50" s="20">
        <v>5100</v>
      </c>
      <c r="J50" s="19">
        <v>8200</v>
      </c>
      <c r="K50" s="19">
        <v>7700</v>
      </c>
      <c r="L50" s="19">
        <v>6500</v>
      </c>
      <c r="M50" s="19">
        <v>7500</v>
      </c>
      <c r="N50" s="19">
        <v>7800</v>
      </c>
      <c r="O50" s="19">
        <v>7600</v>
      </c>
      <c r="P50" s="39">
        <v>6900</v>
      </c>
      <c r="Q50" s="240">
        <v>7800</v>
      </c>
      <c r="R50" s="19">
        <v>8500</v>
      </c>
      <c r="S50" s="19">
        <v>6600</v>
      </c>
      <c r="T50" s="19">
        <v>6300</v>
      </c>
      <c r="U50" s="19">
        <v>5500</v>
      </c>
      <c r="V50" s="19">
        <v>6300</v>
      </c>
      <c r="W50" s="19">
        <v>5400</v>
      </c>
      <c r="X50" s="19">
        <v>5400</v>
      </c>
      <c r="Y50" s="19">
        <v>5300</v>
      </c>
      <c r="Z50" s="19">
        <v>4100</v>
      </c>
      <c r="AA50" s="19">
        <v>4700</v>
      </c>
      <c r="AB50" s="19">
        <v>4500</v>
      </c>
      <c r="AC50" s="19">
        <v>5200</v>
      </c>
      <c r="AD50" s="19">
        <v>4900</v>
      </c>
      <c r="AE50" s="19">
        <v>6600</v>
      </c>
      <c r="AF50" s="19">
        <v>6300</v>
      </c>
      <c r="AG50" s="19">
        <v>8000</v>
      </c>
      <c r="AH50" s="19">
        <v>6900</v>
      </c>
      <c r="AI50" s="19">
        <v>7000</v>
      </c>
      <c r="AJ50" s="19"/>
      <c r="AK50" s="644">
        <f t="shared" si="0"/>
        <v>5.4546059782704104</v>
      </c>
      <c r="AL50" s="644">
        <f t="shared" si="9"/>
        <v>-4.8774582494578329</v>
      </c>
      <c r="AM50" s="959">
        <f t="shared" si="10"/>
        <v>1.2254073735968207</v>
      </c>
      <c r="AN50" s="959">
        <f t="shared" si="11"/>
        <v>6.5153547271986412</v>
      </c>
      <c r="AO50" s="23"/>
      <c r="AP50" s="959">
        <f t="shared" si="12"/>
        <v>37.254901960784309</v>
      </c>
      <c r="AT50" s="812"/>
      <c r="AU50" s="812"/>
      <c r="AV50" s="812"/>
      <c r="AW50" s="812"/>
      <c r="AX50" s="812"/>
      <c r="AY50" s="812"/>
    </row>
    <row r="51" spans="1:51" ht="15">
      <c r="C51" s="1" t="s">
        <v>10</v>
      </c>
      <c r="H51" s="961"/>
      <c r="I51" s="20">
        <v>31900</v>
      </c>
      <c r="J51" s="19">
        <v>32000</v>
      </c>
      <c r="K51" s="19">
        <v>29900</v>
      </c>
      <c r="L51" s="19">
        <v>29600</v>
      </c>
      <c r="M51" s="19">
        <v>30300</v>
      </c>
      <c r="N51" s="19">
        <v>30900</v>
      </c>
      <c r="O51" s="19">
        <v>32200</v>
      </c>
      <c r="P51" s="39">
        <v>31100</v>
      </c>
      <c r="Q51" s="240">
        <v>33200</v>
      </c>
      <c r="R51" s="19">
        <v>30900</v>
      </c>
      <c r="S51" s="19">
        <v>30000</v>
      </c>
      <c r="T51" s="19">
        <v>30800</v>
      </c>
      <c r="U51" s="19">
        <v>31700</v>
      </c>
      <c r="V51" s="19">
        <v>29800</v>
      </c>
      <c r="W51" s="19">
        <v>31100</v>
      </c>
      <c r="X51" s="19">
        <v>29800</v>
      </c>
      <c r="Y51" s="19">
        <v>30600</v>
      </c>
      <c r="Z51" s="19">
        <v>31000</v>
      </c>
      <c r="AA51" s="19">
        <v>35800</v>
      </c>
      <c r="AB51" s="19">
        <v>33000</v>
      </c>
      <c r="AC51" s="19">
        <v>33400</v>
      </c>
      <c r="AD51" s="19">
        <v>35000</v>
      </c>
      <c r="AE51" s="19">
        <v>34900</v>
      </c>
      <c r="AF51" s="19">
        <v>35000</v>
      </c>
      <c r="AG51" s="19">
        <v>33700</v>
      </c>
      <c r="AH51" s="19">
        <v>34600</v>
      </c>
      <c r="AI51" s="19">
        <v>36500</v>
      </c>
      <c r="AJ51" s="19"/>
      <c r="AK51" s="644">
        <f t="shared" si="0"/>
        <v>0.50054689790739459</v>
      </c>
      <c r="AL51" s="644">
        <f t="shared" si="9"/>
        <v>-5.4915047583137255E-2</v>
      </c>
      <c r="AM51" s="959">
        <f t="shared" si="10"/>
        <v>0.51944542854467368</v>
      </c>
      <c r="AN51" s="959">
        <f t="shared" si="11"/>
        <v>1.4504860500830219</v>
      </c>
      <c r="AO51" s="23"/>
      <c r="AP51" s="959">
        <f t="shared" si="12"/>
        <v>14.42006269592477</v>
      </c>
      <c r="AQ51" s="114"/>
      <c r="AT51" s="812"/>
      <c r="AU51" s="812"/>
      <c r="AV51" s="812"/>
      <c r="AW51" s="812"/>
      <c r="AX51" s="812"/>
      <c r="AY51" s="812"/>
    </row>
    <row r="52" spans="1:51" ht="15">
      <c r="AT52" s="812"/>
      <c r="AU52" s="812"/>
      <c r="AV52" s="812"/>
      <c r="AW52" s="812"/>
      <c r="AX52" s="812"/>
      <c r="AY52" s="812"/>
    </row>
    <row r="53" spans="1:51" ht="24" customHeight="1">
      <c r="A53" s="1170" t="s">
        <v>571</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J53" s="1170"/>
      <c r="AK53" s="1170"/>
      <c r="AL53" s="1170"/>
      <c r="AM53" s="1170"/>
      <c r="AN53" s="1170"/>
      <c r="AO53" s="1170"/>
      <c r="AP53" s="1170"/>
      <c r="AT53" s="812"/>
      <c r="AU53" s="812"/>
      <c r="AV53" s="812"/>
      <c r="AW53" s="812"/>
      <c r="AX53" s="812"/>
      <c r="AY53" s="812"/>
    </row>
    <row r="54" spans="1:51">
      <c r="A54" s="4" t="s">
        <v>1868</v>
      </c>
      <c r="B54" s="4"/>
      <c r="C54" s="16"/>
      <c r="D54" s="16"/>
      <c r="E54" s="16"/>
      <c r="F54" s="16"/>
      <c r="G54" s="16"/>
      <c r="H54" s="16"/>
      <c r="I54" s="16"/>
      <c r="J54" s="964"/>
      <c r="K54" s="964"/>
      <c r="L54" s="964"/>
      <c r="M54" s="964"/>
      <c r="N54" s="964"/>
      <c r="O54" s="964"/>
      <c r="P54" s="964"/>
      <c r="Q54" s="16"/>
      <c r="R54" s="16"/>
      <c r="S54" s="16"/>
      <c r="T54" s="16"/>
      <c r="U54" s="16"/>
      <c r="V54" s="16"/>
      <c r="W54" s="16"/>
      <c r="X54" s="16"/>
      <c r="Y54" s="16"/>
      <c r="Z54" s="16"/>
      <c r="AA54" s="16"/>
      <c r="AB54" s="16"/>
      <c r="AC54" s="16"/>
      <c r="AD54" s="16"/>
      <c r="AE54" s="16"/>
      <c r="AF54" s="16"/>
      <c r="AG54" s="16"/>
      <c r="AH54" s="16"/>
      <c r="AI54" s="964"/>
      <c r="AJ54" s="16"/>
      <c r="AK54" s="16"/>
      <c r="AL54" s="16"/>
      <c r="AM54" s="16"/>
      <c r="AN54" s="16"/>
      <c r="AO54" s="16"/>
      <c r="AP54" s="16"/>
    </row>
    <row r="55" spans="1:51">
      <c r="A55" s="4" t="s">
        <v>388</v>
      </c>
      <c r="B55" s="4"/>
      <c r="C55" s="16"/>
      <c r="D55" s="16"/>
      <c r="E55" s="16"/>
      <c r="F55" s="16"/>
      <c r="G55" s="16"/>
      <c r="H55" s="16"/>
      <c r="I55" s="16"/>
      <c r="J55" s="964"/>
      <c r="K55" s="964"/>
      <c r="L55" s="964"/>
      <c r="M55" s="964"/>
      <c r="N55" s="964"/>
      <c r="O55" s="964"/>
      <c r="P55" s="964"/>
      <c r="Q55" s="16"/>
      <c r="R55" s="16"/>
      <c r="S55" s="16"/>
      <c r="T55" s="16"/>
      <c r="U55" s="16"/>
      <c r="V55" s="16"/>
      <c r="W55" s="16"/>
      <c r="X55" s="16"/>
      <c r="Y55" s="16"/>
      <c r="Z55" s="16"/>
      <c r="AA55" s="16"/>
      <c r="AB55" s="16"/>
      <c r="AC55" s="16"/>
      <c r="AD55" s="16"/>
      <c r="AE55" s="16"/>
      <c r="AF55" s="16"/>
      <c r="AG55" s="16"/>
      <c r="AH55" s="16"/>
      <c r="AI55" s="964"/>
      <c r="AJ55" s="16"/>
      <c r="AK55" s="16"/>
      <c r="AL55" s="16"/>
      <c r="AM55" s="16"/>
      <c r="AN55" s="16"/>
      <c r="AO55" s="16"/>
      <c r="AP55" s="16"/>
    </row>
    <row r="56" spans="1:51" ht="12.75" customHeight="1">
      <c r="A56" s="1168" t="s">
        <v>330</v>
      </c>
      <c r="B56" s="1169"/>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P56" s="1169"/>
    </row>
    <row r="57" spans="1:51" ht="29.25" customHeight="1">
      <c r="A57" s="1168" t="s">
        <v>1160</v>
      </c>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c r="AI57" s="1169"/>
      <c r="AJ57" s="1169"/>
      <c r="AK57" s="1169"/>
      <c r="AL57" s="1169"/>
      <c r="AM57" s="1169"/>
      <c r="AN57" s="1169"/>
      <c r="AO57" s="1169"/>
      <c r="AP57" s="1169"/>
    </row>
    <row r="58" spans="1:51">
      <c r="A58" s="1" t="s">
        <v>821</v>
      </c>
    </row>
    <row r="60" spans="1:51">
      <c r="J60" s="960" t="s">
        <v>1850</v>
      </c>
      <c r="Q60" s="960"/>
      <c r="R60" s="960"/>
      <c r="S60" s="960"/>
      <c r="T60" s="960"/>
      <c r="U60" s="960"/>
      <c r="V60" s="960"/>
      <c r="W60" s="960"/>
      <c r="X60" s="960"/>
      <c r="Y60" s="960"/>
      <c r="Z60" s="960"/>
      <c r="AA60" s="960"/>
      <c r="AB60" s="960"/>
      <c r="AC60" s="960"/>
      <c r="AD60" s="960"/>
      <c r="AE60" s="960"/>
      <c r="AF60" s="960"/>
      <c r="AG60" s="960"/>
      <c r="AH60" s="961"/>
      <c r="AJ60" s="961"/>
      <c r="AK60" s="961"/>
      <c r="AL60" s="961"/>
      <c r="AM60" s="961"/>
    </row>
    <row r="61" spans="1:51">
      <c r="K61" s="960">
        <v>1981</v>
      </c>
      <c r="L61" s="960">
        <v>1982</v>
      </c>
      <c r="M61" s="960">
        <v>1983</v>
      </c>
      <c r="N61" s="960">
        <v>1984</v>
      </c>
      <c r="O61" s="960">
        <v>1985</v>
      </c>
      <c r="P61" s="960">
        <v>1986</v>
      </c>
      <c r="Q61" s="960"/>
      <c r="R61" s="960"/>
      <c r="S61" s="960"/>
      <c r="T61" s="960"/>
      <c r="U61" s="960"/>
      <c r="V61" s="960"/>
      <c r="W61" s="960"/>
      <c r="X61" s="960"/>
      <c r="Y61" s="960"/>
      <c r="Z61" s="960"/>
      <c r="AA61" s="960"/>
      <c r="AB61" s="960"/>
      <c r="AC61" s="960"/>
      <c r="AD61" s="960"/>
      <c r="AE61" s="960"/>
      <c r="AF61" s="960"/>
      <c r="AG61" s="961"/>
      <c r="AH61" s="961"/>
      <c r="AJ61" s="961"/>
      <c r="AK61" s="961"/>
    </row>
    <row r="62" spans="1:51">
      <c r="J62" s="960" t="s">
        <v>964</v>
      </c>
      <c r="Q62" s="960"/>
      <c r="R62" s="960"/>
      <c r="S62" s="960"/>
      <c r="T62" s="960"/>
      <c r="U62" s="960"/>
      <c r="V62" s="960"/>
      <c r="W62" s="960"/>
      <c r="X62" s="960"/>
      <c r="Y62" s="960"/>
      <c r="Z62" s="960"/>
      <c r="AA62" s="960"/>
      <c r="AB62" s="960"/>
      <c r="AC62" s="960"/>
      <c r="AD62" s="960"/>
      <c r="AE62" s="960"/>
      <c r="AF62" s="960"/>
      <c r="AG62" s="961"/>
      <c r="AH62" s="961"/>
      <c r="AJ62" s="961"/>
      <c r="AK62" s="961"/>
    </row>
    <row r="63" spans="1:51">
      <c r="J63" s="960" t="s">
        <v>1878</v>
      </c>
      <c r="Q63" s="960"/>
      <c r="R63" s="960"/>
      <c r="S63" s="960"/>
      <c r="T63" s="960"/>
      <c r="U63" s="960"/>
      <c r="V63" s="960"/>
      <c r="W63" s="960"/>
      <c r="X63" s="960"/>
      <c r="Y63" s="960"/>
      <c r="Z63" s="960"/>
      <c r="AA63" s="960"/>
      <c r="AB63" s="960"/>
      <c r="AC63" s="960"/>
      <c r="AD63" s="960"/>
      <c r="AE63" s="960"/>
      <c r="AF63" s="960"/>
      <c r="AG63" s="961"/>
      <c r="AH63" s="961"/>
      <c r="AJ63" s="961"/>
      <c r="AK63" s="961"/>
    </row>
    <row r="64" spans="1:51">
      <c r="J64" s="960" t="s">
        <v>1879</v>
      </c>
      <c r="Q64" s="960"/>
      <c r="R64" s="960"/>
      <c r="S64" s="960"/>
      <c r="T64" s="960"/>
      <c r="U64" s="960"/>
      <c r="V64" s="960"/>
      <c r="W64" s="960"/>
      <c r="X64" s="960"/>
      <c r="Y64" s="960"/>
      <c r="Z64" s="960"/>
      <c r="AA64" s="960"/>
      <c r="AB64" s="960"/>
      <c r="AC64" s="960"/>
      <c r="AD64" s="960"/>
      <c r="AE64" s="960"/>
      <c r="AF64" s="960"/>
      <c r="AG64" s="961"/>
      <c r="AH64" s="961"/>
      <c r="AJ64" s="961"/>
      <c r="AK64" s="961"/>
    </row>
    <row r="65" spans="10:37">
      <c r="J65" s="960" t="s">
        <v>1880</v>
      </c>
      <c r="Q65" s="960"/>
      <c r="R65" s="960"/>
      <c r="S65" s="960"/>
      <c r="T65" s="960"/>
      <c r="U65" s="960"/>
      <c r="V65" s="960"/>
      <c r="W65" s="960"/>
      <c r="X65" s="960"/>
      <c r="Y65" s="960"/>
      <c r="Z65" s="960"/>
      <c r="AA65" s="960"/>
      <c r="AB65" s="960"/>
      <c r="AC65" s="960"/>
      <c r="AD65" s="960"/>
      <c r="AE65" s="960"/>
      <c r="AF65" s="960"/>
      <c r="AG65" s="961"/>
      <c r="AH65" s="961"/>
      <c r="AJ65" s="961"/>
      <c r="AK65" s="961"/>
    </row>
    <row r="66" spans="10:37">
      <c r="J66" s="960" t="s">
        <v>1881</v>
      </c>
      <c r="Q66" s="960"/>
      <c r="R66" s="960"/>
      <c r="S66" s="960"/>
      <c r="T66" s="960"/>
      <c r="U66" s="960"/>
      <c r="V66" s="960"/>
      <c r="W66" s="960"/>
      <c r="X66" s="960"/>
      <c r="Y66" s="960"/>
      <c r="Z66" s="960"/>
      <c r="AA66" s="960"/>
      <c r="AB66" s="960"/>
      <c r="AC66" s="960"/>
      <c r="AD66" s="960"/>
      <c r="AE66" s="960"/>
      <c r="AF66" s="960"/>
      <c r="AG66" s="961"/>
      <c r="AH66" s="961"/>
      <c r="AJ66" s="961"/>
      <c r="AK66" s="961"/>
    </row>
    <row r="67" spans="10:37">
      <c r="J67" s="960" t="s">
        <v>1882</v>
      </c>
      <c r="Q67" s="960"/>
      <c r="R67" s="960"/>
      <c r="S67" s="960"/>
      <c r="T67" s="960"/>
      <c r="U67" s="960"/>
      <c r="V67" s="960"/>
      <c r="W67" s="960"/>
      <c r="X67" s="960"/>
      <c r="Y67" s="960"/>
      <c r="Z67" s="960"/>
      <c r="AA67" s="960"/>
      <c r="AB67" s="960"/>
      <c r="AC67" s="960"/>
      <c r="AD67" s="960"/>
      <c r="AE67" s="960"/>
      <c r="AF67" s="960"/>
      <c r="AG67" s="961"/>
      <c r="AH67" s="961"/>
      <c r="AJ67" s="961"/>
      <c r="AK67" s="961"/>
    </row>
    <row r="68" spans="10:37">
      <c r="J68" s="960" t="s">
        <v>1883</v>
      </c>
      <c r="Q68" s="960"/>
      <c r="R68" s="960"/>
      <c r="S68" s="960"/>
      <c r="T68" s="960"/>
      <c r="U68" s="960"/>
      <c r="V68" s="960"/>
      <c r="W68" s="960"/>
      <c r="X68" s="960"/>
      <c r="Y68" s="960"/>
      <c r="Z68" s="960"/>
      <c r="AA68" s="960"/>
      <c r="AB68" s="960"/>
      <c r="AC68" s="960"/>
      <c r="AD68" s="960"/>
      <c r="AE68" s="960"/>
      <c r="AF68" s="960"/>
      <c r="AG68" s="961"/>
      <c r="AH68" s="961"/>
      <c r="AJ68" s="961"/>
      <c r="AK68" s="961"/>
    </row>
    <row r="69" spans="10:37">
      <c r="J69" s="960" t="s">
        <v>1884</v>
      </c>
      <c r="Q69" s="960"/>
      <c r="R69" s="960"/>
      <c r="S69" s="960"/>
      <c r="T69" s="960"/>
      <c r="U69" s="960"/>
      <c r="V69" s="960"/>
      <c r="W69" s="960"/>
      <c r="X69" s="960"/>
      <c r="Y69" s="960"/>
      <c r="Z69" s="960"/>
      <c r="AA69" s="960"/>
      <c r="AB69" s="960"/>
      <c r="AC69" s="960"/>
      <c r="AD69" s="960"/>
      <c r="AE69" s="960"/>
      <c r="AF69" s="960"/>
      <c r="AG69" s="961"/>
      <c r="AH69" s="961"/>
      <c r="AJ69" s="961"/>
      <c r="AK69" s="961"/>
    </row>
    <row r="70" spans="10:37">
      <c r="J70" s="960" t="s">
        <v>1885</v>
      </c>
      <c r="Q70" s="960"/>
      <c r="R70" s="960"/>
      <c r="S70" s="960"/>
      <c r="T70" s="960"/>
      <c r="U70" s="960"/>
      <c r="V70" s="960"/>
      <c r="W70" s="960"/>
      <c r="X70" s="960"/>
      <c r="Y70" s="960"/>
      <c r="Z70" s="960"/>
      <c r="AA70" s="960"/>
      <c r="AB70" s="960"/>
      <c r="AC70" s="960"/>
      <c r="AD70" s="960"/>
      <c r="AE70" s="960"/>
      <c r="AF70" s="960"/>
      <c r="AG70" s="961"/>
      <c r="AH70" s="961"/>
      <c r="AJ70" s="961"/>
      <c r="AK70" s="961"/>
    </row>
    <row r="71" spans="10:37">
      <c r="J71" s="960" t="s">
        <v>1886</v>
      </c>
      <c r="Q71" s="960"/>
      <c r="R71" s="960"/>
      <c r="S71" s="960"/>
      <c r="T71" s="960"/>
      <c r="U71" s="960"/>
      <c r="V71" s="960"/>
      <c r="W71" s="960"/>
      <c r="X71" s="960"/>
      <c r="Y71" s="960"/>
      <c r="Z71" s="960"/>
      <c r="AA71" s="960"/>
      <c r="AB71" s="960"/>
      <c r="AC71" s="960"/>
      <c r="AD71" s="960"/>
      <c r="AE71" s="960"/>
      <c r="AF71" s="960"/>
      <c r="AG71" s="961"/>
      <c r="AH71" s="961"/>
      <c r="AJ71" s="961"/>
      <c r="AK71" s="961"/>
    </row>
    <row r="72" spans="10:37">
      <c r="J72" s="960" t="s">
        <v>1887</v>
      </c>
      <c r="Q72" s="960"/>
      <c r="R72" s="960"/>
      <c r="S72" s="960"/>
      <c r="T72" s="960"/>
      <c r="U72" s="960"/>
      <c r="V72" s="960"/>
      <c r="W72" s="960"/>
      <c r="X72" s="960"/>
      <c r="Y72" s="960"/>
      <c r="Z72" s="960"/>
      <c r="AA72" s="960"/>
      <c r="AB72" s="960"/>
      <c r="AC72" s="960"/>
      <c r="AD72" s="960"/>
      <c r="AE72" s="960"/>
      <c r="AF72" s="960"/>
      <c r="AG72" s="961"/>
      <c r="AH72" s="961"/>
      <c r="AJ72" s="961"/>
      <c r="AK72" s="961"/>
    </row>
    <row r="73" spans="10:37">
      <c r="J73" s="960" t="s">
        <v>1888</v>
      </c>
      <c r="Q73" s="960"/>
      <c r="R73" s="960"/>
      <c r="S73" s="960"/>
      <c r="T73" s="960"/>
      <c r="U73" s="960"/>
      <c r="V73" s="960"/>
      <c r="W73" s="960"/>
      <c r="X73" s="960"/>
      <c r="Y73" s="960"/>
      <c r="Z73" s="960"/>
      <c r="AA73" s="960"/>
      <c r="AB73" s="960"/>
      <c r="AC73" s="960"/>
      <c r="AD73" s="960"/>
      <c r="AE73" s="960"/>
      <c r="AF73" s="960"/>
      <c r="AG73" s="961"/>
      <c r="AH73" s="961"/>
      <c r="AJ73" s="961"/>
      <c r="AK73" s="961"/>
    </row>
    <row r="74" spans="10:37">
      <c r="J74" s="960" t="s">
        <v>1889</v>
      </c>
      <c r="Q74" s="960"/>
      <c r="R74" s="960"/>
      <c r="S74" s="960"/>
      <c r="T74" s="960"/>
      <c r="U74" s="960"/>
      <c r="V74" s="960"/>
      <c r="W74" s="960"/>
      <c r="X74" s="960"/>
      <c r="Y74" s="960"/>
      <c r="Z74" s="960"/>
      <c r="AA74" s="960"/>
      <c r="AB74" s="960"/>
      <c r="AC74" s="960"/>
      <c r="AD74" s="960"/>
      <c r="AE74" s="960"/>
      <c r="AF74" s="960"/>
      <c r="AG74" s="961"/>
      <c r="AH74" s="961"/>
      <c r="AJ74" s="961"/>
      <c r="AK74" s="961"/>
    </row>
    <row r="75" spans="10:37">
      <c r="J75" s="960" t="s">
        <v>1890</v>
      </c>
      <c r="Q75" s="960"/>
      <c r="R75" s="960"/>
      <c r="S75" s="960"/>
      <c r="T75" s="960"/>
      <c r="U75" s="960"/>
      <c r="V75" s="960"/>
      <c r="W75" s="960"/>
      <c r="X75" s="960"/>
      <c r="Y75" s="960"/>
      <c r="Z75" s="960"/>
      <c r="AA75" s="960"/>
      <c r="AB75" s="960"/>
      <c r="AC75" s="960"/>
      <c r="AD75" s="960"/>
      <c r="AE75" s="960"/>
      <c r="AF75" s="960"/>
      <c r="AG75" s="961"/>
      <c r="AH75" s="961"/>
      <c r="AJ75" s="961"/>
      <c r="AK75" s="961"/>
    </row>
    <row r="76" spans="10:37">
      <c r="J76" s="960" t="s">
        <v>1891</v>
      </c>
      <c r="Q76" s="960"/>
      <c r="R76" s="960"/>
      <c r="S76" s="960"/>
      <c r="T76" s="960"/>
      <c r="U76" s="960"/>
      <c r="V76" s="960"/>
      <c r="W76" s="960"/>
      <c r="X76" s="960"/>
      <c r="Y76" s="960"/>
      <c r="Z76" s="960"/>
      <c r="AA76" s="960"/>
      <c r="AB76" s="960"/>
      <c r="AC76" s="960"/>
      <c r="AD76" s="960"/>
      <c r="AE76" s="960"/>
      <c r="AF76" s="960"/>
      <c r="AG76" s="961"/>
      <c r="AH76" s="961"/>
      <c r="AJ76" s="961"/>
      <c r="AK76" s="961"/>
    </row>
    <row r="77" spans="10:37">
      <c r="J77" s="960" t="s">
        <v>1892</v>
      </c>
      <c r="Q77" s="960"/>
      <c r="R77" s="960"/>
      <c r="S77" s="960"/>
      <c r="T77" s="960"/>
      <c r="U77" s="960"/>
      <c r="V77" s="960"/>
      <c r="W77" s="960"/>
      <c r="X77" s="960"/>
      <c r="Y77" s="960"/>
      <c r="Z77" s="960"/>
      <c r="AA77" s="960"/>
      <c r="AB77" s="960"/>
      <c r="AC77" s="960"/>
      <c r="AD77" s="960"/>
      <c r="AE77" s="960"/>
      <c r="AF77" s="960"/>
      <c r="AG77" s="961"/>
      <c r="AH77" s="961"/>
      <c r="AJ77" s="961"/>
      <c r="AK77" s="961"/>
    </row>
    <row r="78" spans="10:37">
      <c r="J78" s="960" t="s">
        <v>1893</v>
      </c>
      <c r="Q78" s="960"/>
      <c r="R78" s="960"/>
      <c r="S78" s="960"/>
      <c r="T78" s="960"/>
      <c r="U78" s="960"/>
      <c r="V78" s="960"/>
      <c r="W78" s="960"/>
      <c r="X78" s="960"/>
      <c r="Y78" s="960"/>
      <c r="Z78" s="960"/>
      <c r="AA78" s="960"/>
      <c r="AB78" s="960"/>
      <c r="AC78" s="960"/>
      <c r="AD78" s="960"/>
      <c r="AE78" s="960"/>
      <c r="AF78" s="960"/>
      <c r="AG78" s="961"/>
      <c r="AH78" s="961"/>
      <c r="AJ78" s="961"/>
      <c r="AK78" s="961"/>
    </row>
    <row r="79" spans="10:37">
      <c r="J79" s="960" t="s">
        <v>1894</v>
      </c>
      <c r="Q79" s="960"/>
      <c r="R79" s="960"/>
      <c r="S79" s="960"/>
      <c r="T79" s="960"/>
      <c r="U79" s="960"/>
      <c r="V79" s="960"/>
      <c r="W79" s="960"/>
      <c r="X79" s="960"/>
      <c r="Y79" s="960"/>
      <c r="Z79" s="960"/>
      <c r="AA79" s="960"/>
      <c r="AB79" s="960"/>
      <c r="AC79" s="960"/>
      <c r="AD79" s="960"/>
      <c r="AE79" s="960"/>
      <c r="AF79" s="960"/>
      <c r="AG79" s="961"/>
      <c r="AH79" s="961"/>
      <c r="AJ79" s="961"/>
      <c r="AK79" s="961"/>
    </row>
    <row r="80" spans="10:37">
      <c r="J80" s="960" t="s">
        <v>1895</v>
      </c>
      <c r="Q80" s="960"/>
      <c r="R80" s="960"/>
      <c r="S80" s="960"/>
      <c r="T80" s="960"/>
      <c r="U80" s="960"/>
      <c r="V80" s="960"/>
      <c r="W80" s="960"/>
      <c r="X80" s="960"/>
      <c r="Y80" s="960"/>
      <c r="Z80" s="960"/>
      <c r="AA80" s="960"/>
      <c r="AB80" s="960"/>
      <c r="AC80" s="960"/>
      <c r="AD80" s="960"/>
      <c r="AE80" s="960"/>
      <c r="AF80" s="960"/>
      <c r="AG80" s="961"/>
      <c r="AH80" s="961"/>
      <c r="AJ80" s="961"/>
      <c r="AK80" s="961"/>
    </row>
    <row r="81" spans="10:37">
      <c r="J81" s="960" t="s">
        <v>1896</v>
      </c>
      <c r="Q81" s="960"/>
      <c r="R81" s="960"/>
      <c r="S81" s="960"/>
      <c r="T81" s="960"/>
      <c r="U81" s="960"/>
      <c r="V81" s="960"/>
      <c r="W81" s="960"/>
      <c r="X81" s="960"/>
      <c r="Y81" s="960"/>
      <c r="Z81" s="960"/>
      <c r="AA81" s="960"/>
      <c r="AB81" s="960"/>
      <c r="AC81" s="960"/>
      <c r="AD81" s="960"/>
      <c r="AE81" s="960"/>
      <c r="AF81" s="960"/>
      <c r="AG81" s="961"/>
      <c r="AH81" s="961"/>
      <c r="AJ81" s="961"/>
      <c r="AK81" s="961"/>
    </row>
    <row r="82" spans="10:37">
      <c r="J82" s="960" t="s">
        <v>1897</v>
      </c>
      <c r="Q82" s="960"/>
      <c r="R82" s="960"/>
      <c r="S82" s="960"/>
      <c r="T82" s="960"/>
      <c r="U82" s="960"/>
      <c r="V82" s="960"/>
      <c r="W82" s="960"/>
      <c r="X82" s="960"/>
      <c r="Y82" s="960"/>
      <c r="Z82" s="960"/>
      <c r="AA82" s="960"/>
      <c r="AB82" s="960"/>
      <c r="AC82" s="960"/>
      <c r="AD82" s="960"/>
      <c r="AE82" s="960"/>
      <c r="AF82" s="960"/>
      <c r="AG82" s="961"/>
      <c r="AH82" s="961"/>
      <c r="AJ82" s="961"/>
      <c r="AK82" s="961"/>
    </row>
    <row r="83" spans="10:37">
      <c r="J83" s="960" t="s">
        <v>1898</v>
      </c>
      <c r="Q83" s="960"/>
      <c r="R83" s="960"/>
      <c r="S83" s="960"/>
      <c r="T83" s="960"/>
      <c r="U83" s="960"/>
      <c r="V83" s="960"/>
      <c r="W83" s="960"/>
      <c r="X83" s="960"/>
      <c r="Y83" s="960"/>
      <c r="Z83" s="960"/>
      <c r="AA83" s="960"/>
      <c r="AB83" s="960"/>
      <c r="AC83" s="960"/>
      <c r="AD83" s="960"/>
      <c r="AE83" s="960"/>
      <c r="AF83" s="960"/>
      <c r="AG83" s="961"/>
      <c r="AH83" s="961"/>
      <c r="AJ83" s="961"/>
      <c r="AK83" s="961"/>
    </row>
    <row r="84" spans="10:37">
      <c r="J84" s="960" t="s">
        <v>1899</v>
      </c>
      <c r="Q84" s="960"/>
      <c r="R84" s="960"/>
      <c r="S84" s="960"/>
      <c r="T84" s="960"/>
      <c r="U84" s="960"/>
      <c r="V84" s="960"/>
      <c r="W84" s="960"/>
      <c r="X84" s="960"/>
      <c r="Y84" s="960"/>
      <c r="Z84" s="960"/>
      <c r="AA84" s="960"/>
      <c r="AB84" s="960"/>
      <c r="AC84" s="960"/>
      <c r="AD84" s="960"/>
      <c r="AE84" s="960"/>
      <c r="AF84" s="960"/>
      <c r="AG84" s="961"/>
      <c r="AH84" s="961"/>
      <c r="AJ84" s="961"/>
      <c r="AK84" s="961"/>
    </row>
    <row r="85" spans="10:37">
      <c r="J85" s="960" t="s">
        <v>1900</v>
      </c>
      <c r="Q85" s="960"/>
      <c r="R85" s="960"/>
      <c r="S85" s="960"/>
      <c r="T85" s="960"/>
      <c r="U85" s="960"/>
      <c r="V85" s="960"/>
      <c r="W85" s="960"/>
      <c r="X85" s="960"/>
      <c r="Y85" s="960"/>
      <c r="Z85" s="960"/>
      <c r="AA85" s="960"/>
      <c r="AB85" s="960"/>
      <c r="AC85" s="960"/>
      <c r="AD85" s="960"/>
      <c r="AE85" s="960"/>
      <c r="AF85" s="960"/>
      <c r="AG85" s="961"/>
      <c r="AH85" s="961"/>
      <c r="AJ85" s="961"/>
      <c r="AK85" s="961"/>
    </row>
    <row r="86" spans="10:37">
      <c r="J86" s="960" t="s">
        <v>1901</v>
      </c>
      <c r="Q86" s="960"/>
      <c r="R86" s="960"/>
      <c r="S86" s="960"/>
      <c r="T86" s="960"/>
      <c r="U86" s="960"/>
      <c r="V86" s="960"/>
      <c r="W86" s="960"/>
      <c r="X86" s="960"/>
      <c r="Y86" s="960"/>
      <c r="Z86" s="960"/>
      <c r="AA86" s="960"/>
      <c r="AB86" s="960"/>
      <c r="AC86" s="960"/>
      <c r="AD86" s="960"/>
      <c r="AE86" s="960"/>
      <c r="AF86" s="960"/>
      <c r="AG86" s="961"/>
      <c r="AH86" s="961"/>
      <c r="AJ86" s="961"/>
      <c r="AK86" s="961"/>
    </row>
    <row r="87" spans="10:37">
      <c r="J87" s="960" t="s">
        <v>1902</v>
      </c>
      <c r="Q87" s="960"/>
      <c r="R87" s="960"/>
      <c r="S87" s="960"/>
      <c r="T87" s="960"/>
      <c r="U87" s="960"/>
      <c r="V87" s="960"/>
      <c r="W87" s="960"/>
      <c r="X87" s="960"/>
      <c r="Y87" s="960"/>
      <c r="Z87" s="960"/>
      <c r="AA87" s="960"/>
      <c r="AB87" s="960"/>
      <c r="AC87" s="960"/>
      <c r="AD87" s="960"/>
      <c r="AE87" s="960"/>
      <c r="AF87" s="960"/>
      <c r="AG87" s="961"/>
      <c r="AH87" s="961"/>
      <c r="AJ87" s="961"/>
      <c r="AK87" s="961"/>
    </row>
    <row r="88" spans="10:37">
      <c r="J88" s="960" t="s">
        <v>1903</v>
      </c>
      <c r="Q88" s="960"/>
      <c r="R88" s="960"/>
      <c r="S88" s="960"/>
      <c r="T88" s="960"/>
      <c r="U88" s="960"/>
      <c r="V88" s="960"/>
      <c r="W88" s="960"/>
      <c r="X88" s="960"/>
      <c r="Y88" s="960"/>
      <c r="Z88" s="960"/>
      <c r="AA88" s="960"/>
      <c r="AB88" s="960"/>
      <c r="AC88" s="960"/>
      <c r="AD88" s="960"/>
      <c r="AE88" s="960"/>
      <c r="AF88" s="960"/>
      <c r="AG88" s="961"/>
      <c r="AH88" s="961"/>
      <c r="AJ88" s="961"/>
      <c r="AK88" s="961"/>
    </row>
    <row r="89" spans="10:37">
      <c r="J89" s="960" t="s">
        <v>1904</v>
      </c>
      <c r="Q89" s="960"/>
      <c r="R89" s="960"/>
      <c r="S89" s="960"/>
      <c r="T89" s="960"/>
      <c r="U89" s="960"/>
      <c r="V89" s="960"/>
      <c r="W89" s="960"/>
      <c r="X89" s="960"/>
      <c r="Y89" s="960"/>
      <c r="Z89" s="960"/>
      <c r="AA89" s="960"/>
      <c r="AB89" s="960"/>
      <c r="AC89" s="960"/>
      <c r="AD89" s="960"/>
      <c r="AE89" s="960"/>
      <c r="AF89" s="960"/>
      <c r="AG89" s="961"/>
      <c r="AH89" s="961"/>
      <c r="AJ89" s="961"/>
      <c r="AK89" s="961"/>
    </row>
    <row r="90" spans="10:37">
      <c r="J90" s="960" t="s">
        <v>1905</v>
      </c>
      <c r="Q90" s="960"/>
      <c r="R90" s="960"/>
      <c r="S90" s="960"/>
      <c r="T90" s="960"/>
      <c r="U90" s="960"/>
      <c r="V90" s="960"/>
      <c r="W90" s="960"/>
      <c r="X90" s="960"/>
      <c r="Y90" s="960"/>
      <c r="Z90" s="960"/>
      <c r="AA90" s="960"/>
      <c r="AB90" s="960"/>
      <c r="AC90" s="960"/>
      <c r="AD90" s="960"/>
      <c r="AE90" s="960"/>
      <c r="AF90" s="960"/>
      <c r="AG90" s="961"/>
      <c r="AH90" s="961"/>
      <c r="AJ90" s="961"/>
      <c r="AK90" s="961"/>
    </row>
    <row r="91" spans="10:37">
      <c r="J91" s="960" t="s">
        <v>1906</v>
      </c>
      <c r="Q91" s="960"/>
      <c r="R91" s="960"/>
      <c r="S91" s="960"/>
      <c r="T91" s="960"/>
      <c r="U91" s="960"/>
      <c r="V91" s="960"/>
      <c r="W91" s="960"/>
      <c r="X91" s="960"/>
      <c r="Y91" s="960"/>
      <c r="Z91" s="960"/>
      <c r="AA91" s="960"/>
      <c r="AB91" s="960"/>
      <c r="AC91" s="960"/>
      <c r="AD91" s="960"/>
      <c r="AE91" s="960"/>
      <c r="AF91" s="960"/>
      <c r="AG91" s="961"/>
      <c r="AH91" s="961"/>
      <c r="AJ91" s="961"/>
      <c r="AK91" s="961"/>
    </row>
    <row r="92" spans="10:37">
      <c r="J92" s="960" t="s">
        <v>1907</v>
      </c>
      <c r="K92" s="960">
        <v>37100</v>
      </c>
      <c r="L92" s="960">
        <v>34200</v>
      </c>
      <c r="M92" s="960">
        <v>32600</v>
      </c>
      <c r="N92" s="960">
        <v>32300</v>
      </c>
      <c r="O92" s="960">
        <v>33000</v>
      </c>
      <c r="P92" s="960">
        <v>33300</v>
      </c>
      <c r="Q92" s="960"/>
      <c r="R92" s="960"/>
      <c r="S92" s="960"/>
      <c r="T92" s="960"/>
      <c r="U92" s="960"/>
      <c r="V92" s="960"/>
      <c r="W92" s="960"/>
      <c r="X92" s="960"/>
      <c r="Y92" s="960"/>
      <c r="Z92" s="960"/>
      <c r="AA92" s="960"/>
      <c r="AB92" s="960"/>
      <c r="AC92" s="960"/>
      <c r="AD92" s="960"/>
      <c r="AE92" s="960"/>
      <c r="AF92" s="960"/>
      <c r="AG92" s="961"/>
      <c r="AH92" s="961"/>
      <c r="AJ92" s="961"/>
      <c r="AK92" s="961"/>
    </row>
    <row r="93" spans="10:37">
      <c r="J93" s="960" t="s">
        <v>1908</v>
      </c>
      <c r="K93" s="960">
        <v>4200</v>
      </c>
      <c r="L93" s="960">
        <v>5400</v>
      </c>
      <c r="M93" s="960">
        <v>3800</v>
      </c>
      <c r="N93" s="960">
        <v>3400</v>
      </c>
      <c r="O93" s="960">
        <v>4000</v>
      </c>
      <c r="P93" s="960">
        <v>4400</v>
      </c>
      <c r="Q93" s="960"/>
      <c r="R93" s="960"/>
      <c r="S93" s="960"/>
      <c r="T93" s="960"/>
      <c r="U93" s="960"/>
      <c r="V93" s="960"/>
      <c r="W93" s="960"/>
      <c r="X93" s="960"/>
      <c r="Y93" s="960"/>
      <c r="Z93" s="960"/>
      <c r="AA93" s="960"/>
      <c r="AB93" s="960"/>
      <c r="AC93" s="960"/>
      <c r="AD93" s="960"/>
      <c r="AE93" s="960"/>
      <c r="AF93" s="960"/>
      <c r="AG93" s="961"/>
      <c r="AH93" s="961"/>
      <c r="AJ93" s="961"/>
      <c r="AK93" s="961"/>
    </row>
    <row r="94" spans="10:37">
      <c r="J94" s="960" t="s">
        <v>1909</v>
      </c>
      <c r="K94" s="960">
        <v>41000</v>
      </c>
      <c r="L94" s="960">
        <v>38500</v>
      </c>
      <c r="M94" s="960">
        <v>37600</v>
      </c>
      <c r="N94" s="960">
        <v>37000</v>
      </c>
      <c r="O94" s="960">
        <v>37600</v>
      </c>
      <c r="P94" s="960">
        <v>37100</v>
      </c>
      <c r="Q94" s="960"/>
      <c r="R94" s="960"/>
      <c r="S94" s="960"/>
      <c r="T94" s="960"/>
      <c r="U94" s="960"/>
      <c r="V94" s="960"/>
      <c r="W94" s="960"/>
      <c r="X94" s="960"/>
      <c r="Y94" s="960"/>
      <c r="Z94" s="960"/>
      <c r="AA94" s="960"/>
      <c r="AB94" s="960"/>
      <c r="AC94" s="960"/>
      <c r="AD94" s="960"/>
      <c r="AE94" s="960"/>
      <c r="AF94" s="960"/>
      <c r="AG94" s="961"/>
      <c r="AH94" s="961"/>
      <c r="AJ94" s="961"/>
      <c r="AK94" s="961"/>
    </row>
    <row r="95" spans="10:37">
      <c r="J95" s="960" t="s">
        <v>1910</v>
      </c>
      <c r="K95" s="960">
        <v>27100</v>
      </c>
      <c r="L95" s="960">
        <v>27600</v>
      </c>
      <c r="M95" s="960">
        <v>25600</v>
      </c>
      <c r="N95" s="960">
        <v>25100</v>
      </c>
      <c r="O95" s="960">
        <v>25800</v>
      </c>
      <c r="P95" s="960">
        <v>26500</v>
      </c>
      <c r="Q95" s="960"/>
      <c r="R95" s="960"/>
      <c r="S95" s="960"/>
      <c r="T95" s="960"/>
      <c r="U95" s="960"/>
      <c r="V95" s="960"/>
      <c r="W95" s="960"/>
      <c r="X95" s="960"/>
      <c r="Y95" s="960"/>
      <c r="Z95" s="960"/>
      <c r="AA95" s="960"/>
      <c r="AB95" s="960"/>
      <c r="AC95" s="960"/>
      <c r="AD95" s="960"/>
      <c r="AE95" s="960"/>
      <c r="AF95" s="960"/>
      <c r="AG95" s="961"/>
      <c r="AH95" s="961"/>
      <c r="AJ95" s="961"/>
      <c r="AK95" s="961"/>
    </row>
    <row r="96" spans="10:37">
      <c r="J96" s="960" t="s">
        <v>1911</v>
      </c>
      <c r="K96" s="960">
        <v>5100</v>
      </c>
      <c r="L96" s="960">
        <v>8200</v>
      </c>
      <c r="M96" s="960">
        <v>7700</v>
      </c>
      <c r="N96" s="960">
        <v>6500</v>
      </c>
      <c r="O96" s="960">
        <v>7500</v>
      </c>
      <c r="P96" s="960">
        <v>7800</v>
      </c>
      <c r="Q96" s="960"/>
      <c r="R96" s="960"/>
      <c r="S96" s="960"/>
      <c r="T96" s="960"/>
      <c r="U96" s="960"/>
      <c r="V96" s="960"/>
      <c r="W96" s="960"/>
      <c r="X96" s="960"/>
      <c r="Y96" s="960"/>
      <c r="Z96" s="960"/>
      <c r="AA96" s="960"/>
      <c r="AB96" s="960"/>
      <c r="AC96" s="960"/>
      <c r="AD96" s="960"/>
      <c r="AE96" s="960"/>
      <c r="AF96" s="960"/>
      <c r="AG96" s="961"/>
      <c r="AH96" s="961"/>
      <c r="AJ96" s="961"/>
      <c r="AK96" s="961"/>
    </row>
    <row r="97" spans="10:37">
      <c r="J97" s="960" t="s">
        <v>1912</v>
      </c>
      <c r="K97" s="960">
        <v>31900</v>
      </c>
      <c r="L97" s="960">
        <v>32000</v>
      </c>
      <c r="M97" s="960">
        <v>29900</v>
      </c>
      <c r="N97" s="960">
        <v>29600</v>
      </c>
      <c r="O97" s="960">
        <v>30300</v>
      </c>
      <c r="P97" s="960">
        <v>30900</v>
      </c>
      <c r="Q97" s="960"/>
      <c r="R97" s="960"/>
      <c r="S97" s="960"/>
      <c r="T97" s="960"/>
      <c r="U97" s="960"/>
      <c r="V97" s="960"/>
      <c r="W97" s="960"/>
      <c r="X97" s="960"/>
      <c r="Y97" s="960"/>
      <c r="Z97" s="960"/>
      <c r="AA97" s="960"/>
      <c r="AB97" s="960"/>
      <c r="AC97" s="960"/>
      <c r="AD97" s="960"/>
      <c r="AE97" s="960"/>
      <c r="AF97" s="960"/>
      <c r="AG97" s="961"/>
      <c r="AH97" s="961"/>
      <c r="AJ97" s="961"/>
      <c r="AK97" s="961"/>
    </row>
  </sheetData>
  <mergeCells count="4">
    <mergeCell ref="AK3:AN3"/>
    <mergeCell ref="A53:AP53"/>
    <mergeCell ref="A56:AP56"/>
    <mergeCell ref="A57:AP57"/>
  </mergeCells>
  <phoneticPr fontId="35" type="noConversion"/>
  <pageMargins left="0.74803149606299213" right="0.74803149606299213" top="0.98425196850393704" bottom="0.98425196850393704" header="0.51181102362204722" footer="0.51181102362204722"/>
  <pageSetup scale="53"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sheetPr codeName="Sheet82">
    <pageSetUpPr fitToPage="1"/>
  </sheetPr>
  <dimension ref="A1:AW139"/>
  <sheetViews>
    <sheetView view="pageBreakPreview" zoomScale="70" zoomScaleSheetLayoutView="70"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140625" style="1" customWidth="1"/>
    <col min="9" max="9" width="7.140625" style="1" customWidth="1"/>
    <col min="10" max="16" width="7.140625" style="961" hidden="1" customWidth="1"/>
    <col min="17" max="34" width="7.140625" style="1" customWidth="1"/>
    <col min="35" max="35" width="7.140625" style="961" customWidth="1"/>
    <col min="36" max="42" width="7.140625" style="1" customWidth="1"/>
    <col min="43" max="43" width="5.5703125" style="1" customWidth="1"/>
    <col min="44" max="16384" width="9.140625" style="1"/>
  </cols>
  <sheetData>
    <row r="1" spans="1:43" ht="15.75">
      <c r="A1" s="3" t="s">
        <v>2128</v>
      </c>
    </row>
    <row r="2" spans="1:43">
      <c r="A2" s="4"/>
      <c r="B2" s="4"/>
      <c r="I2" s="9"/>
      <c r="J2" s="9"/>
      <c r="K2" s="9"/>
      <c r="L2" s="9"/>
      <c r="M2" s="9"/>
      <c r="N2" s="9"/>
      <c r="O2" s="9"/>
      <c r="P2" s="9"/>
      <c r="Q2" s="9"/>
      <c r="R2" s="9"/>
      <c r="S2" s="9"/>
      <c r="T2" s="9"/>
      <c r="U2" s="9"/>
      <c r="V2" s="9"/>
      <c r="W2" s="9"/>
      <c r="X2" s="9"/>
      <c r="Y2" s="9"/>
      <c r="Z2" s="9"/>
      <c r="AA2" s="9"/>
      <c r="AB2" s="9"/>
      <c r="AC2" s="9"/>
      <c r="AD2" s="9"/>
      <c r="AE2" s="9"/>
      <c r="AF2" s="9"/>
      <c r="AG2" s="9"/>
      <c r="AH2" s="9"/>
      <c r="AI2" s="9"/>
      <c r="AJ2" s="9"/>
    </row>
    <row r="3" spans="1:4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1171" t="s">
        <v>802</v>
      </c>
      <c r="AL3" s="1171"/>
      <c r="AM3" s="1171"/>
      <c r="AN3" s="1171"/>
      <c r="AO3" s="9"/>
      <c r="AP3" s="959" t="s">
        <v>276</v>
      </c>
      <c r="AQ3" s="9"/>
    </row>
    <row r="4" spans="1:43" s="4" customFormat="1">
      <c r="A4" s="973"/>
      <c r="B4" s="973"/>
      <c r="C4" s="973"/>
      <c r="D4" s="973"/>
      <c r="E4" s="973"/>
      <c r="F4" s="973"/>
      <c r="G4" s="973"/>
      <c r="H4" s="973"/>
      <c r="I4" s="237">
        <v>1981</v>
      </c>
      <c r="J4" s="132"/>
      <c r="K4" s="132"/>
      <c r="L4" s="132"/>
      <c r="M4" s="132"/>
      <c r="N4" s="132"/>
      <c r="O4" s="132"/>
      <c r="P4" s="132"/>
      <c r="Q4" s="239">
        <v>1989</v>
      </c>
      <c r="R4" s="132">
        <v>1990</v>
      </c>
      <c r="S4" s="132">
        <v>1991</v>
      </c>
      <c r="T4" s="132">
        <v>1992</v>
      </c>
      <c r="U4" s="132">
        <v>1993</v>
      </c>
      <c r="V4" s="132">
        <v>1994</v>
      </c>
      <c r="W4" s="132">
        <v>1995</v>
      </c>
      <c r="X4" s="132">
        <v>1996</v>
      </c>
      <c r="Y4" s="132">
        <v>1997</v>
      </c>
      <c r="Z4" s="132">
        <v>1998</v>
      </c>
      <c r="AA4" s="132">
        <v>1999</v>
      </c>
      <c r="AB4" s="132">
        <v>2000</v>
      </c>
      <c r="AC4" s="132">
        <v>2001</v>
      </c>
      <c r="AD4" s="132">
        <v>2002</v>
      </c>
      <c r="AE4" s="132">
        <v>2003</v>
      </c>
      <c r="AF4" s="132">
        <v>2004</v>
      </c>
      <c r="AG4" s="132">
        <v>2005</v>
      </c>
      <c r="AH4" s="132">
        <v>2006</v>
      </c>
      <c r="AI4" s="132">
        <v>2007</v>
      </c>
      <c r="AJ4" s="132"/>
      <c r="AK4" s="241" t="s">
        <v>603</v>
      </c>
      <c r="AL4" s="241" t="s">
        <v>604</v>
      </c>
      <c r="AM4" s="241" t="s">
        <v>447</v>
      </c>
      <c r="AN4" s="241" t="s">
        <v>449</v>
      </c>
      <c r="AO4" s="1007"/>
      <c r="AP4" s="241" t="s">
        <v>447</v>
      </c>
      <c r="AQ4" s="9"/>
    </row>
    <row r="5" spans="1:43">
      <c r="A5" s="128" t="s">
        <v>964</v>
      </c>
      <c r="I5" s="20">
        <v>58700</v>
      </c>
      <c r="J5" s="19">
        <v>57300</v>
      </c>
      <c r="K5" s="19">
        <v>56000</v>
      </c>
      <c r="L5" s="19">
        <v>56100</v>
      </c>
      <c r="M5" s="19">
        <v>57400</v>
      </c>
      <c r="N5" s="19">
        <v>58200</v>
      </c>
      <c r="O5" s="19">
        <v>58800</v>
      </c>
      <c r="P5" s="39">
        <v>59900</v>
      </c>
      <c r="Q5" s="240">
        <v>61400</v>
      </c>
      <c r="R5" s="19">
        <v>59600</v>
      </c>
      <c r="S5" s="19">
        <v>57400</v>
      </c>
      <c r="T5" s="19">
        <v>57100</v>
      </c>
      <c r="U5" s="19">
        <v>55700</v>
      </c>
      <c r="V5" s="19">
        <v>56300</v>
      </c>
      <c r="W5" s="19">
        <v>56500</v>
      </c>
      <c r="X5" s="19">
        <v>56700</v>
      </c>
      <c r="Y5" s="19">
        <v>57100</v>
      </c>
      <c r="Z5" s="19">
        <v>59700</v>
      </c>
      <c r="AA5" s="19">
        <v>61300</v>
      </c>
      <c r="AB5" s="19">
        <v>63100</v>
      </c>
      <c r="AC5" s="19">
        <v>64000</v>
      </c>
      <c r="AD5" s="19">
        <v>64000</v>
      </c>
      <c r="AE5" s="19">
        <v>63700</v>
      </c>
      <c r="AF5" s="19">
        <v>64800</v>
      </c>
      <c r="AG5" s="19">
        <v>65400</v>
      </c>
      <c r="AH5" s="19">
        <v>66900</v>
      </c>
      <c r="AI5" s="19">
        <v>68800</v>
      </c>
      <c r="AJ5" s="19"/>
      <c r="AK5" s="959">
        <f>((Q5/I5)^(1/8)-1)*100</f>
        <v>0.56370924874362682</v>
      </c>
      <c r="AL5" s="959">
        <f>((AB5/Q5)^(1/11)-1)*100</f>
        <v>0.24858969483041449</v>
      </c>
      <c r="AM5" s="959">
        <f>((AI5/I5)^(1/26)-1)*100</f>
        <v>0.61249898953885662</v>
      </c>
      <c r="AN5" s="959">
        <f>((AI5/AB5)^(1/7)-1)*100</f>
        <v>1.2431345484125167</v>
      </c>
      <c r="AO5" s="23"/>
      <c r="AP5" s="959">
        <f>100*AI5/I5-100</f>
        <v>17.206132879045995</v>
      </c>
    </row>
    <row r="6" spans="1:43">
      <c r="I6" s="20"/>
      <c r="J6" s="39"/>
      <c r="K6" s="39"/>
      <c r="L6" s="39"/>
      <c r="M6" s="39"/>
      <c r="N6" s="39"/>
      <c r="O6" s="39"/>
      <c r="P6" s="39"/>
      <c r="Q6" s="240"/>
      <c r="R6" s="19"/>
      <c r="S6" s="19"/>
      <c r="T6" s="19"/>
      <c r="U6" s="19"/>
      <c r="V6" s="19"/>
      <c r="W6" s="19"/>
      <c r="X6" s="19"/>
      <c r="Y6" s="19"/>
      <c r="Z6" s="19"/>
      <c r="AA6" s="19"/>
      <c r="AB6" s="19"/>
      <c r="AC6" s="19"/>
      <c r="AD6" s="19"/>
      <c r="AE6" s="19"/>
      <c r="AF6" s="19"/>
      <c r="AG6" s="19"/>
      <c r="AH6" s="19"/>
      <c r="AI6" s="19"/>
      <c r="AJ6" s="652"/>
      <c r="AK6" s="959"/>
      <c r="AL6" s="959"/>
      <c r="AM6" s="959"/>
      <c r="AN6" s="959"/>
      <c r="AO6" s="23"/>
      <c r="AP6" s="959"/>
    </row>
    <row r="7" spans="1:43">
      <c r="B7" s="128" t="s">
        <v>610</v>
      </c>
      <c r="I7" s="20">
        <v>69400</v>
      </c>
      <c r="J7" s="19">
        <v>67700</v>
      </c>
      <c r="K7" s="19">
        <v>66700</v>
      </c>
      <c r="L7" s="19">
        <v>66900</v>
      </c>
      <c r="M7" s="19">
        <v>68600</v>
      </c>
      <c r="N7" s="19">
        <v>70000</v>
      </c>
      <c r="O7" s="19">
        <v>70800</v>
      </c>
      <c r="P7" s="39">
        <v>72500</v>
      </c>
      <c r="Q7" s="240">
        <v>74500</v>
      </c>
      <c r="R7" s="19">
        <v>72300</v>
      </c>
      <c r="S7" s="19">
        <v>70300</v>
      </c>
      <c r="T7" s="19">
        <v>69900</v>
      </c>
      <c r="U7" s="19">
        <v>67600</v>
      </c>
      <c r="V7" s="19">
        <v>68800</v>
      </c>
      <c r="W7" s="19">
        <v>69100</v>
      </c>
      <c r="X7" s="19">
        <v>69800</v>
      </c>
      <c r="Y7" s="19">
        <v>70500</v>
      </c>
      <c r="Z7" s="19">
        <v>74200</v>
      </c>
      <c r="AA7" s="19">
        <v>75800</v>
      </c>
      <c r="AB7" s="19">
        <v>78600</v>
      </c>
      <c r="AC7" s="19">
        <v>79800</v>
      </c>
      <c r="AD7" s="19">
        <v>79600</v>
      </c>
      <c r="AE7" s="19">
        <v>79000</v>
      </c>
      <c r="AF7" s="19">
        <v>80900</v>
      </c>
      <c r="AG7" s="19">
        <v>81700</v>
      </c>
      <c r="AH7" s="19">
        <v>83500</v>
      </c>
      <c r="AI7" s="19">
        <v>86300</v>
      </c>
      <c r="AJ7" s="19"/>
      <c r="AK7" s="959">
        <f t="shared" ref="AK7:AK51" si="0">((Q7/I7)^(1/8)-1)*100</f>
        <v>0.89034341015792329</v>
      </c>
      <c r="AL7" s="959">
        <f>((AB7/Q7)^(1/11)-1)*100</f>
        <v>0.48821128705993644</v>
      </c>
      <c r="AM7" s="959">
        <f>((AI7/I7)^(1/26)-1)*100</f>
        <v>0.841764350682217</v>
      </c>
      <c r="AN7" s="959">
        <f>((AI7/AB7)^(1/7)-1)*100</f>
        <v>1.3440652666754982</v>
      </c>
      <c r="AO7" s="23"/>
      <c r="AP7" s="959">
        <f>100*AI7/I7-100</f>
        <v>24.351585014409224</v>
      </c>
    </row>
    <row r="8" spans="1:43">
      <c r="B8" s="128"/>
      <c r="I8" s="20"/>
      <c r="J8" s="39"/>
      <c r="K8" s="39"/>
      <c r="L8" s="39"/>
      <c r="M8" s="39"/>
      <c r="N8" s="39"/>
      <c r="O8" s="39"/>
      <c r="P8" s="39"/>
      <c r="Q8" s="240"/>
      <c r="R8" s="19"/>
      <c r="S8" s="19"/>
      <c r="T8" s="19"/>
      <c r="U8" s="19"/>
      <c r="V8" s="19"/>
      <c r="W8" s="19"/>
      <c r="X8" s="19"/>
      <c r="Y8" s="19"/>
      <c r="Z8" s="19"/>
      <c r="AA8" s="19"/>
      <c r="AB8" s="19"/>
      <c r="AC8" s="19"/>
      <c r="AD8" s="19"/>
      <c r="AE8" s="19"/>
      <c r="AF8" s="19"/>
      <c r="AG8" s="19"/>
      <c r="AH8" s="19"/>
      <c r="AI8" s="19"/>
      <c r="AJ8" s="19"/>
      <c r="AK8" s="959"/>
      <c r="AL8" s="959"/>
      <c r="AM8" s="959"/>
      <c r="AN8" s="959"/>
      <c r="AO8" s="23"/>
      <c r="AP8" s="959"/>
    </row>
    <row r="9" spans="1:43">
      <c r="C9" s="128" t="s">
        <v>921</v>
      </c>
      <c r="I9" s="20">
        <v>46500</v>
      </c>
      <c r="J9" s="19">
        <v>49200</v>
      </c>
      <c r="K9" s="19">
        <v>45600</v>
      </c>
      <c r="L9" s="19">
        <v>48800</v>
      </c>
      <c r="M9" s="19">
        <v>49300</v>
      </c>
      <c r="N9" s="19">
        <v>49700</v>
      </c>
      <c r="O9" s="19">
        <v>47900</v>
      </c>
      <c r="P9" s="39">
        <v>49500</v>
      </c>
      <c r="Q9" s="240">
        <v>55400</v>
      </c>
      <c r="R9" s="19">
        <v>54000</v>
      </c>
      <c r="S9" s="19">
        <v>52600</v>
      </c>
      <c r="T9" s="19">
        <v>51300</v>
      </c>
      <c r="U9" s="19">
        <v>50800</v>
      </c>
      <c r="V9" s="19">
        <v>51200</v>
      </c>
      <c r="W9" s="19">
        <v>53300</v>
      </c>
      <c r="X9" s="19">
        <v>51300</v>
      </c>
      <c r="Y9" s="19">
        <v>52100</v>
      </c>
      <c r="Z9" s="19">
        <v>51300</v>
      </c>
      <c r="AA9" s="19">
        <v>53200</v>
      </c>
      <c r="AB9" s="19">
        <v>53600</v>
      </c>
      <c r="AC9" s="19">
        <v>53800</v>
      </c>
      <c r="AD9" s="19">
        <v>54500</v>
      </c>
      <c r="AE9" s="19">
        <v>54300</v>
      </c>
      <c r="AF9" s="19">
        <v>55300</v>
      </c>
      <c r="AG9" s="19">
        <v>57500</v>
      </c>
      <c r="AH9" s="19">
        <v>58700</v>
      </c>
      <c r="AI9" s="19">
        <v>61600</v>
      </c>
      <c r="AJ9" s="19"/>
      <c r="AK9" s="959">
        <f t="shared" si="0"/>
        <v>2.2132274126640539</v>
      </c>
      <c r="AL9" s="959">
        <f>((AB9/Q9)^(1/11)-1)*100</f>
        <v>-0.2998271241577255</v>
      </c>
      <c r="AM9" s="959">
        <f>((AI9/I9)^(1/26)-1)*100</f>
        <v>1.087445392026587</v>
      </c>
      <c r="AN9" s="959">
        <f>((AI9/AB9)^(1/7)-1)*100</f>
        <v>2.0072045346722689</v>
      </c>
      <c r="AO9" s="23"/>
      <c r="AP9" s="959">
        <f>100*AI9/I9-100</f>
        <v>32.473118279569889</v>
      </c>
    </row>
    <row r="10" spans="1:43">
      <c r="C10" s="1" t="s">
        <v>611</v>
      </c>
      <c r="I10" s="20">
        <v>40600</v>
      </c>
      <c r="J10" s="19">
        <v>45300</v>
      </c>
      <c r="K10" s="19">
        <v>41700</v>
      </c>
      <c r="L10" s="19">
        <v>44000</v>
      </c>
      <c r="M10" s="19">
        <v>43000</v>
      </c>
      <c r="N10" s="19">
        <v>44900</v>
      </c>
      <c r="O10" s="19">
        <v>42900</v>
      </c>
      <c r="P10" s="39">
        <v>43900</v>
      </c>
      <c r="Q10" s="240">
        <v>50500</v>
      </c>
      <c r="R10" s="19">
        <v>49200</v>
      </c>
      <c r="S10" s="19">
        <v>47300</v>
      </c>
      <c r="T10" s="19">
        <v>46200</v>
      </c>
      <c r="U10" s="19">
        <v>47400</v>
      </c>
      <c r="V10" s="19">
        <v>47400</v>
      </c>
      <c r="W10" s="19">
        <v>48600</v>
      </c>
      <c r="X10" s="19">
        <v>48100</v>
      </c>
      <c r="Y10" s="19">
        <v>49200</v>
      </c>
      <c r="Z10" s="19">
        <v>50200</v>
      </c>
      <c r="AA10" s="19">
        <v>52500</v>
      </c>
      <c r="AB10" s="19">
        <v>52000</v>
      </c>
      <c r="AC10" s="19">
        <v>52900</v>
      </c>
      <c r="AD10" s="19">
        <v>52800</v>
      </c>
      <c r="AE10" s="19">
        <v>53200</v>
      </c>
      <c r="AF10" s="19">
        <v>55100</v>
      </c>
      <c r="AG10" s="19">
        <v>55600</v>
      </c>
      <c r="AH10" s="19">
        <v>56800</v>
      </c>
      <c r="AI10" s="19">
        <v>60100</v>
      </c>
      <c r="AJ10" s="19"/>
      <c r="AK10" s="959">
        <f t="shared" si="0"/>
        <v>2.765104468313373</v>
      </c>
      <c r="AL10" s="959">
        <f>((AB10/Q10)^(1/11)-1)*100</f>
        <v>0.26644872988188517</v>
      </c>
      <c r="AM10" s="959">
        <f>((AI10/I10)^(1/26)-1)*100</f>
        <v>1.5200593582319399</v>
      </c>
      <c r="AN10" s="959">
        <f>((AI10/AB10)^(1/7)-1)*100</f>
        <v>2.0896205848229377</v>
      </c>
      <c r="AO10" s="23"/>
      <c r="AP10" s="959">
        <f>100*AI10/I10-100</f>
        <v>48.029556650246292</v>
      </c>
    </row>
    <row r="11" spans="1:43">
      <c r="C11" s="1" t="s">
        <v>612</v>
      </c>
      <c r="I11" s="20">
        <v>57900</v>
      </c>
      <c r="J11" s="19">
        <v>57300</v>
      </c>
      <c r="K11" s="19">
        <v>54600</v>
      </c>
      <c r="L11" s="19">
        <v>58200</v>
      </c>
      <c r="M11" s="19">
        <v>61400</v>
      </c>
      <c r="N11" s="19">
        <v>60600</v>
      </c>
      <c r="O11" s="19">
        <v>59200</v>
      </c>
      <c r="P11" s="39">
        <v>62000</v>
      </c>
      <c r="Q11" s="240">
        <v>66500</v>
      </c>
      <c r="R11" s="19">
        <v>65500</v>
      </c>
      <c r="S11" s="19">
        <v>65100</v>
      </c>
      <c r="T11" s="19">
        <v>62400</v>
      </c>
      <c r="U11" s="19">
        <v>58900</v>
      </c>
      <c r="V11" s="19">
        <v>60800</v>
      </c>
      <c r="W11" s="19">
        <v>65700</v>
      </c>
      <c r="X11" s="19">
        <v>60500</v>
      </c>
      <c r="Y11" s="19">
        <v>60500</v>
      </c>
      <c r="Z11" s="19">
        <v>55200</v>
      </c>
      <c r="AA11" s="19">
        <v>55800</v>
      </c>
      <c r="AB11" s="19">
        <v>59400</v>
      </c>
      <c r="AC11" s="19">
        <v>57400</v>
      </c>
      <c r="AD11" s="19">
        <v>60800</v>
      </c>
      <c r="AE11" s="19">
        <v>58200</v>
      </c>
      <c r="AF11" s="19">
        <v>56200</v>
      </c>
      <c r="AG11" s="19">
        <v>64300</v>
      </c>
      <c r="AH11" s="19">
        <v>65600</v>
      </c>
      <c r="AI11" s="19">
        <v>66700</v>
      </c>
      <c r="AJ11" s="19"/>
      <c r="AK11" s="959">
        <f t="shared" si="0"/>
        <v>1.7461266598887581</v>
      </c>
      <c r="AL11" s="959">
        <f>((AB11/Q11)^(1/11)-1)*100</f>
        <v>-1.0211839753501262</v>
      </c>
      <c r="AM11" s="959">
        <f>((AI11/I11)^(1/26)-1)*100</f>
        <v>0.54566632012651439</v>
      </c>
      <c r="AN11" s="959">
        <f>((AI11/AB11)^(1/7)-1)*100</f>
        <v>1.6696529930409598</v>
      </c>
      <c r="AO11" s="23"/>
      <c r="AP11" s="959">
        <f>100*AI11/I11-100</f>
        <v>15.198618307426599</v>
      </c>
    </row>
    <row r="12" spans="1:43">
      <c r="I12" s="20"/>
      <c r="J12" s="39"/>
      <c r="K12" s="39"/>
      <c r="L12" s="39"/>
      <c r="M12" s="39"/>
      <c r="N12" s="39"/>
      <c r="O12" s="39"/>
      <c r="P12" s="39"/>
      <c r="Q12" s="240"/>
      <c r="R12" s="19"/>
      <c r="S12" s="19"/>
      <c r="T12" s="19"/>
      <c r="U12" s="19"/>
      <c r="V12" s="19"/>
      <c r="W12" s="19"/>
      <c r="X12" s="19"/>
      <c r="Y12" s="19"/>
      <c r="Z12" s="19"/>
      <c r="AA12" s="19"/>
      <c r="AB12" s="19"/>
      <c r="AC12" s="19"/>
      <c r="AD12" s="19"/>
      <c r="AE12" s="19"/>
      <c r="AF12" s="19"/>
      <c r="AG12" s="19"/>
      <c r="AH12" s="19"/>
      <c r="AI12" s="19"/>
      <c r="AJ12" s="19"/>
      <c r="AK12" s="959"/>
      <c r="AL12" s="959"/>
      <c r="AM12" s="959"/>
      <c r="AN12" s="959"/>
      <c r="AO12" s="23"/>
      <c r="AP12" s="959"/>
    </row>
    <row r="13" spans="1:43">
      <c r="C13" s="128" t="s">
        <v>922</v>
      </c>
      <c r="I13" s="20">
        <v>72500</v>
      </c>
      <c r="J13" s="19">
        <v>70300</v>
      </c>
      <c r="K13" s="19">
        <v>69600</v>
      </c>
      <c r="L13" s="19">
        <v>69500</v>
      </c>
      <c r="M13" s="19">
        <v>71500</v>
      </c>
      <c r="N13" s="19">
        <v>73100</v>
      </c>
      <c r="O13" s="19">
        <v>74400</v>
      </c>
      <c r="P13" s="39">
        <v>76100</v>
      </c>
      <c r="Q13" s="240">
        <v>77600</v>
      </c>
      <c r="R13" s="19">
        <v>75300</v>
      </c>
      <c r="S13" s="19">
        <v>73300</v>
      </c>
      <c r="T13" s="19">
        <v>73100</v>
      </c>
      <c r="U13" s="19">
        <v>70400</v>
      </c>
      <c r="V13" s="19">
        <v>71800</v>
      </c>
      <c r="W13" s="19">
        <v>71800</v>
      </c>
      <c r="X13" s="19">
        <v>72800</v>
      </c>
      <c r="Y13" s="19">
        <v>73500</v>
      </c>
      <c r="Z13" s="19">
        <v>78000</v>
      </c>
      <c r="AA13" s="19">
        <v>79500</v>
      </c>
      <c r="AB13" s="19">
        <v>82700</v>
      </c>
      <c r="AC13" s="19">
        <v>84100</v>
      </c>
      <c r="AD13" s="19">
        <v>83700</v>
      </c>
      <c r="AE13" s="19">
        <v>83200</v>
      </c>
      <c r="AF13" s="19">
        <v>85400</v>
      </c>
      <c r="AG13" s="19">
        <v>85900</v>
      </c>
      <c r="AH13" s="19">
        <v>87900</v>
      </c>
      <c r="AI13" s="19">
        <v>90700</v>
      </c>
      <c r="AJ13" s="19"/>
      <c r="AK13" s="959">
        <f t="shared" si="0"/>
        <v>0.85338153237535241</v>
      </c>
      <c r="AL13" s="959">
        <f>((AB13/Q13)^(1/11)-1)*100</f>
        <v>0.58033358351801123</v>
      </c>
      <c r="AM13" s="959">
        <f>((AI13/I13)^(1/26)-1)*100</f>
        <v>0.86514708729525935</v>
      </c>
      <c r="AN13" s="959">
        <f>((AI13/AB13)^(1/7)-1)*100</f>
        <v>1.3278494352380488</v>
      </c>
      <c r="AO13" s="23"/>
      <c r="AP13" s="959">
        <f>100*AI13/I13-100</f>
        <v>25.103448275862064</v>
      </c>
    </row>
    <row r="14" spans="1:43">
      <c r="C14" s="128"/>
      <c r="I14" s="20"/>
      <c r="J14" s="39"/>
      <c r="K14" s="39"/>
      <c r="L14" s="39"/>
      <c r="M14" s="39"/>
      <c r="N14" s="39"/>
      <c r="O14" s="39"/>
      <c r="P14" s="39"/>
      <c r="Q14" s="240"/>
      <c r="R14" s="19"/>
      <c r="S14" s="19"/>
      <c r="T14" s="19"/>
      <c r="U14" s="19"/>
      <c r="V14" s="19"/>
      <c r="W14" s="19"/>
      <c r="X14" s="19"/>
      <c r="Y14" s="19"/>
      <c r="Z14" s="19"/>
      <c r="AA14" s="19"/>
      <c r="AB14" s="19"/>
      <c r="AC14" s="19"/>
      <c r="AD14" s="19"/>
      <c r="AE14" s="19"/>
      <c r="AF14" s="19"/>
      <c r="AG14" s="19"/>
      <c r="AH14" s="19"/>
      <c r="AI14" s="19"/>
      <c r="AJ14" s="19"/>
      <c r="AK14" s="959"/>
      <c r="AL14" s="959"/>
      <c r="AM14" s="959"/>
      <c r="AN14" s="959"/>
      <c r="AO14" s="23"/>
      <c r="AP14" s="959"/>
    </row>
    <row r="15" spans="1:43">
      <c r="D15" s="128" t="s">
        <v>923</v>
      </c>
      <c r="I15" s="20">
        <v>69000</v>
      </c>
      <c r="J15" s="19">
        <v>66000</v>
      </c>
      <c r="K15" s="19">
        <v>66700</v>
      </c>
      <c r="L15" s="19">
        <v>66200</v>
      </c>
      <c r="M15" s="19">
        <v>67800</v>
      </c>
      <c r="N15" s="19">
        <v>67800</v>
      </c>
      <c r="O15" s="19">
        <v>70400</v>
      </c>
      <c r="P15" s="39">
        <v>72800</v>
      </c>
      <c r="Q15" s="240">
        <v>71800</v>
      </c>
      <c r="R15" s="19">
        <v>70300</v>
      </c>
      <c r="S15" s="19">
        <v>69400</v>
      </c>
      <c r="T15" s="19">
        <v>71700</v>
      </c>
      <c r="U15" s="19">
        <v>67200</v>
      </c>
      <c r="V15" s="19">
        <v>67400</v>
      </c>
      <c r="W15" s="19">
        <v>67900</v>
      </c>
      <c r="X15" s="19">
        <v>69900</v>
      </c>
      <c r="Y15" s="19">
        <v>70600</v>
      </c>
      <c r="Z15" s="19">
        <v>76200</v>
      </c>
      <c r="AA15" s="19">
        <v>75400</v>
      </c>
      <c r="AB15" s="19">
        <v>76400</v>
      </c>
      <c r="AC15" s="19">
        <v>81200</v>
      </c>
      <c r="AD15" s="19">
        <v>79700</v>
      </c>
      <c r="AE15" s="19">
        <v>77500</v>
      </c>
      <c r="AF15" s="19">
        <v>78300</v>
      </c>
      <c r="AG15" s="19">
        <v>81000</v>
      </c>
      <c r="AH15" s="19">
        <v>83000</v>
      </c>
      <c r="AI15" s="19">
        <v>86100</v>
      </c>
      <c r="AJ15" s="19"/>
      <c r="AK15" s="959">
        <f t="shared" si="0"/>
        <v>0.49846285632351162</v>
      </c>
      <c r="AL15" s="959">
        <f>((AB15/Q15)^(1/11)-1)*100</f>
        <v>0.56612574307257635</v>
      </c>
      <c r="AM15" s="959">
        <f>((AI15/I15)^(1/26)-1)*100</f>
        <v>0.85518563908604239</v>
      </c>
      <c r="AN15" s="959">
        <f>((AI15/AB15)^(1/7)-1)*100</f>
        <v>1.7221860342491624</v>
      </c>
      <c r="AO15" s="23"/>
      <c r="AP15" s="959">
        <f>100*AI15/I15-100</f>
        <v>24.782608695652172</v>
      </c>
    </row>
    <row r="16" spans="1:43">
      <c r="D16" s="1" t="s">
        <v>613</v>
      </c>
      <c r="I16" s="20">
        <v>29300</v>
      </c>
      <c r="J16" s="19">
        <v>27600</v>
      </c>
      <c r="K16" s="19">
        <v>35900</v>
      </c>
      <c r="L16" s="19">
        <v>30400</v>
      </c>
      <c r="M16" s="19">
        <v>31300</v>
      </c>
      <c r="N16" s="19">
        <v>31400</v>
      </c>
      <c r="O16" s="19">
        <v>34500</v>
      </c>
      <c r="P16" s="39">
        <v>31800</v>
      </c>
      <c r="Q16" s="240">
        <v>34000</v>
      </c>
      <c r="R16" s="19">
        <v>34900</v>
      </c>
      <c r="S16" s="19">
        <v>34200</v>
      </c>
      <c r="T16" s="19">
        <v>33200</v>
      </c>
      <c r="U16" s="19">
        <v>32800</v>
      </c>
      <c r="V16" s="19">
        <v>33100</v>
      </c>
      <c r="W16" s="19">
        <v>32800</v>
      </c>
      <c r="X16" s="19">
        <v>34000</v>
      </c>
      <c r="Y16" s="19">
        <v>33900</v>
      </c>
      <c r="Z16" s="19">
        <v>34400</v>
      </c>
      <c r="AA16" s="19">
        <v>36200</v>
      </c>
      <c r="AB16" s="19">
        <v>37200</v>
      </c>
      <c r="AC16" s="19">
        <v>42500</v>
      </c>
      <c r="AD16" s="19">
        <v>39000</v>
      </c>
      <c r="AE16" s="19">
        <v>37100</v>
      </c>
      <c r="AF16" s="19">
        <v>36800</v>
      </c>
      <c r="AG16" s="19">
        <v>37000</v>
      </c>
      <c r="AH16" s="19">
        <v>40300</v>
      </c>
      <c r="AI16" s="19">
        <v>41600</v>
      </c>
      <c r="AJ16" s="19"/>
      <c r="AK16" s="959">
        <f t="shared" si="0"/>
        <v>1.8770620219285661</v>
      </c>
      <c r="AL16" s="959">
        <f>((AB16/Q16)^(1/11)-1)*100</f>
        <v>0.82106363216269962</v>
      </c>
      <c r="AM16" s="959">
        <f>((AI16/I16)^(1/26)-1)*100</f>
        <v>1.3572537683103958</v>
      </c>
      <c r="AN16" s="959">
        <f>((AI16/AB16)^(1/7)-1)*100</f>
        <v>1.6098406091663131</v>
      </c>
      <c r="AO16" s="23"/>
      <c r="AP16" s="959">
        <f>100*AI16/I16-100</f>
        <v>41.97952218430035</v>
      </c>
    </row>
    <row r="17" spans="1:49">
      <c r="D17" s="1" t="s">
        <v>614</v>
      </c>
      <c r="I17" s="20">
        <v>54500</v>
      </c>
      <c r="J17" s="19">
        <v>54100</v>
      </c>
      <c r="K17" s="19">
        <v>55500</v>
      </c>
      <c r="L17" s="19">
        <v>52600</v>
      </c>
      <c r="M17" s="19">
        <v>57000</v>
      </c>
      <c r="N17" s="19">
        <v>56100</v>
      </c>
      <c r="O17" s="19">
        <v>57100</v>
      </c>
      <c r="P17" s="39">
        <v>62400</v>
      </c>
      <c r="Q17" s="240">
        <v>60900</v>
      </c>
      <c r="R17" s="19">
        <v>60600</v>
      </c>
      <c r="S17" s="19">
        <v>54900</v>
      </c>
      <c r="T17" s="19">
        <v>55400</v>
      </c>
      <c r="U17" s="19">
        <v>53200</v>
      </c>
      <c r="V17" s="19">
        <v>55900</v>
      </c>
      <c r="W17" s="19">
        <v>55300</v>
      </c>
      <c r="X17" s="19">
        <v>59400</v>
      </c>
      <c r="Y17" s="19">
        <v>56400</v>
      </c>
      <c r="Z17" s="19">
        <v>60500</v>
      </c>
      <c r="AA17" s="19">
        <v>62800</v>
      </c>
      <c r="AB17" s="19">
        <v>61300</v>
      </c>
      <c r="AC17" s="19">
        <v>66600</v>
      </c>
      <c r="AD17" s="19">
        <v>60900</v>
      </c>
      <c r="AE17" s="19">
        <v>61700</v>
      </c>
      <c r="AF17" s="19">
        <v>65400</v>
      </c>
      <c r="AG17" s="19">
        <v>67600</v>
      </c>
      <c r="AH17" s="19">
        <v>65900</v>
      </c>
      <c r="AI17" s="19">
        <v>67900</v>
      </c>
      <c r="AJ17" s="19"/>
      <c r="AK17" s="959">
        <f t="shared" si="0"/>
        <v>1.3975820405600858</v>
      </c>
      <c r="AL17" s="959">
        <f>((AB17/Q17)^(1/11)-1)*100</f>
        <v>5.953287948246011E-2</v>
      </c>
      <c r="AM17" s="959">
        <f>((AI17/I17)^(1/26)-1)*100</f>
        <v>0.8491051315879794</v>
      </c>
      <c r="AN17" s="959">
        <f>((AI17/AB17)^(1/7)-1)*100</f>
        <v>1.4715246054831432</v>
      </c>
      <c r="AO17" s="23"/>
      <c r="AP17" s="959">
        <f>100*AI17/I17-100</f>
        <v>24.587155963302749</v>
      </c>
    </row>
    <row r="18" spans="1:49" ht="15">
      <c r="D18" s="1" t="s">
        <v>615</v>
      </c>
      <c r="I18" s="20">
        <v>77600</v>
      </c>
      <c r="J18" s="19">
        <v>74400</v>
      </c>
      <c r="K18" s="19">
        <v>74300</v>
      </c>
      <c r="L18" s="19">
        <v>75300</v>
      </c>
      <c r="M18" s="19">
        <v>75900</v>
      </c>
      <c r="N18" s="19">
        <v>76200</v>
      </c>
      <c r="O18" s="19">
        <v>79000</v>
      </c>
      <c r="P18" s="39">
        <v>80100</v>
      </c>
      <c r="Q18" s="240">
        <v>79400</v>
      </c>
      <c r="R18" s="19">
        <v>78600</v>
      </c>
      <c r="S18" s="19">
        <v>79400</v>
      </c>
      <c r="T18" s="19">
        <v>82600</v>
      </c>
      <c r="U18" s="19">
        <v>78700</v>
      </c>
      <c r="V18" s="19">
        <v>78000</v>
      </c>
      <c r="W18" s="19">
        <v>78400</v>
      </c>
      <c r="X18" s="19">
        <v>80700</v>
      </c>
      <c r="Y18" s="19">
        <v>81900</v>
      </c>
      <c r="Z18" s="19">
        <v>89300</v>
      </c>
      <c r="AA18" s="19">
        <v>86800</v>
      </c>
      <c r="AB18" s="19">
        <v>87100</v>
      </c>
      <c r="AC18" s="19">
        <v>91400</v>
      </c>
      <c r="AD18" s="19">
        <v>91400</v>
      </c>
      <c r="AE18" s="19">
        <v>87500</v>
      </c>
      <c r="AF18" s="19">
        <v>87200</v>
      </c>
      <c r="AG18" s="19">
        <v>91000</v>
      </c>
      <c r="AH18" s="19">
        <v>93400</v>
      </c>
      <c r="AI18" s="19">
        <v>95900</v>
      </c>
      <c r="AJ18" s="19"/>
      <c r="AK18" s="959">
        <f t="shared" si="0"/>
        <v>0.28704795925507121</v>
      </c>
      <c r="AL18" s="959">
        <f>((AB18/Q18)^(1/11)-1)*100</f>
        <v>0.84499111641918034</v>
      </c>
      <c r="AM18" s="959">
        <f>((AI18/I18)^(1/26)-1)*100</f>
        <v>0.81770414291799653</v>
      </c>
      <c r="AN18" s="959">
        <f>((AI18/AB18)^(1/7)-1)*100</f>
        <v>1.3844835375017128</v>
      </c>
      <c r="AO18" s="23"/>
      <c r="AP18" s="959">
        <f>100*AI18/I18-100</f>
        <v>23.582474226804123</v>
      </c>
      <c r="AR18" s="807"/>
      <c r="AS18" s="807"/>
      <c r="AT18" s="807"/>
      <c r="AU18" s="807"/>
      <c r="AV18" s="807"/>
    </row>
    <row r="19" spans="1:49" ht="15">
      <c r="I19" s="20"/>
      <c r="J19" s="39"/>
      <c r="K19" s="39"/>
      <c r="L19" s="39"/>
      <c r="M19" s="39"/>
      <c r="N19" s="39"/>
      <c r="O19" s="39"/>
      <c r="P19" s="39"/>
      <c r="Q19" s="240"/>
      <c r="R19" s="19"/>
      <c r="S19" s="19"/>
      <c r="T19" s="19"/>
      <c r="U19" s="19"/>
      <c r="V19" s="19"/>
      <c r="W19" s="19"/>
      <c r="X19" s="19"/>
      <c r="Y19" s="19"/>
      <c r="Z19" s="19"/>
      <c r="AA19" s="19"/>
      <c r="AB19" s="19"/>
      <c r="AC19" s="19"/>
      <c r="AD19" s="19"/>
      <c r="AE19" s="19"/>
      <c r="AF19" s="19"/>
      <c r="AG19" s="19"/>
      <c r="AH19" s="19"/>
      <c r="AI19" s="19"/>
      <c r="AJ19" s="19"/>
      <c r="AK19" s="959"/>
      <c r="AL19" s="959"/>
      <c r="AM19" s="959"/>
      <c r="AN19" s="959"/>
      <c r="AO19" s="23"/>
      <c r="AP19" s="959"/>
      <c r="AR19" s="807"/>
      <c r="AS19" s="807"/>
      <c r="AT19" s="807"/>
      <c r="AU19" s="807"/>
      <c r="AV19" s="807"/>
    </row>
    <row r="20" spans="1:49" ht="15">
      <c r="D20" s="128" t="s">
        <v>619</v>
      </c>
      <c r="I20" s="20">
        <v>75100</v>
      </c>
      <c r="J20" s="19">
        <v>73100</v>
      </c>
      <c r="K20" s="19">
        <v>73100</v>
      </c>
      <c r="L20" s="19">
        <v>73200</v>
      </c>
      <c r="M20" s="19">
        <v>75400</v>
      </c>
      <c r="N20" s="19">
        <v>76900</v>
      </c>
      <c r="O20" s="19">
        <v>78700</v>
      </c>
      <c r="P20" s="39">
        <v>80300</v>
      </c>
      <c r="Q20" s="240">
        <v>82200</v>
      </c>
      <c r="R20" s="19">
        <v>80500</v>
      </c>
      <c r="S20" s="19">
        <v>78100</v>
      </c>
      <c r="T20" s="19">
        <v>79000</v>
      </c>
      <c r="U20" s="19">
        <v>75900</v>
      </c>
      <c r="V20" s="19">
        <v>77800</v>
      </c>
      <c r="W20" s="19">
        <v>77700</v>
      </c>
      <c r="X20" s="19">
        <v>78200</v>
      </c>
      <c r="Y20" s="19">
        <v>79800</v>
      </c>
      <c r="Z20" s="19">
        <v>84600</v>
      </c>
      <c r="AA20" s="19">
        <v>86700</v>
      </c>
      <c r="AB20" s="19">
        <v>89900</v>
      </c>
      <c r="AC20" s="19">
        <v>91200</v>
      </c>
      <c r="AD20" s="19">
        <v>91800</v>
      </c>
      <c r="AE20" s="19">
        <v>92900</v>
      </c>
      <c r="AF20" s="19">
        <v>96300</v>
      </c>
      <c r="AG20" s="19">
        <v>93300</v>
      </c>
      <c r="AH20" s="19">
        <v>95500</v>
      </c>
      <c r="AI20" s="19">
        <v>100100</v>
      </c>
      <c r="AJ20" s="19"/>
      <c r="AK20" s="959">
        <f t="shared" si="0"/>
        <v>1.1355836411031772</v>
      </c>
      <c r="AL20" s="959">
        <f>((AB20/Q20)^(1/11)-1)*100</f>
        <v>0.81734617834452461</v>
      </c>
      <c r="AM20" s="959">
        <f>((AI20/I20)^(1/26)-1)*100</f>
        <v>1.1113187262682178</v>
      </c>
      <c r="AN20" s="959">
        <f>((AI20/AB20)^(1/7)-1)*100</f>
        <v>1.5471570833577308</v>
      </c>
      <c r="AO20" s="23"/>
      <c r="AP20" s="959">
        <f>100*AI20/I20-100</f>
        <v>33.288948069241002</v>
      </c>
      <c r="AR20" s="807"/>
      <c r="AS20" s="807"/>
      <c r="AT20" s="807"/>
      <c r="AU20" s="807"/>
      <c r="AV20" s="807"/>
    </row>
    <row r="21" spans="1:49" ht="15">
      <c r="D21" s="1" t="s">
        <v>613</v>
      </c>
      <c r="I21" s="20">
        <v>18600</v>
      </c>
      <c r="J21" s="19">
        <v>21400</v>
      </c>
      <c r="K21" s="19">
        <v>20000</v>
      </c>
      <c r="L21" s="19">
        <v>20500</v>
      </c>
      <c r="M21" s="19">
        <v>19900</v>
      </c>
      <c r="N21" s="19">
        <v>21800</v>
      </c>
      <c r="O21" s="19">
        <v>20200</v>
      </c>
      <c r="P21" s="39">
        <v>23200</v>
      </c>
      <c r="Q21" s="240">
        <v>23000</v>
      </c>
      <c r="R21" s="19">
        <v>37900</v>
      </c>
      <c r="S21" s="19">
        <v>22300</v>
      </c>
      <c r="T21" s="19">
        <v>22300</v>
      </c>
      <c r="U21" s="19">
        <v>24400</v>
      </c>
      <c r="V21" s="19">
        <v>23600</v>
      </c>
      <c r="W21" s="19">
        <v>22000</v>
      </c>
      <c r="X21" s="19">
        <v>23000</v>
      </c>
      <c r="Y21" s="19">
        <v>23300</v>
      </c>
      <c r="Z21" s="19">
        <v>24900</v>
      </c>
      <c r="AA21" s="19">
        <v>24200</v>
      </c>
      <c r="AB21" s="19">
        <v>24000</v>
      </c>
      <c r="AC21" s="19">
        <v>26400</v>
      </c>
      <c r="AD21" s="19">
        <v>26700</v>
      </c>
      <c r="AE21" s="19">
        <v>24400</v>
      </c>
      <c r="AF21" s="19">
        <v>25800</v>
      </c>
      <c r="AG21" s="19">
        <v>22400</v>
      </c>
      <c r="AH21" s="19">
        <v>26800</v>
      </c>
      <c r="AI21" s="19">
        <v>30000</v>
      </c>
      <c r="AJ21" s="19"/>
      <c r="AK21" s="959">
        <f t="shared" si="0"/>
        <v>2.6896944134102707</v>
      </c>
      <c r="AL21" s="959">
        <f>((AB21/Q21)^(1/11)-1)*100</f>
        <v>0.38765503152398129</v>
      </c>
      <c r="AM21" s="959">
        <f>((AI21/I21)^(1/26)-1)*100</f>
        <v>1.855605536144167</v>
      </c>
      <c r="AN21" s="959">
        <f>((AI21/AB21)^(1/7)-1)*100</f>
        <v>3.2391184710001797</v>
      </c>
      <c r="AO21" s="23"/>
      <c r="AP21" s="959">
        <f>100*AI21/I21-100</f>
        <v>61.290322580645153</v>
      </c>
      <c r="AR21" s="807"/>
      <c r="AS21" s="807"/>
      <c r="AT21" s="807"/>
      <c r="AU21" s="807"/>
      <c r="AV21" s="807"/>
    </row>
    <row r="22" spans="1:49" ht="15">
      <c r="D22" s="1" t="s">
        <v>620</v>
      </c>
      <c r="I22" s="20">
        <v>58500</v>
      </c>
      <c r="J22" s="19">
        <v>57900</v>
      </c>
      <c r="K22" s="19">
        <v>58800</v>
      </c>
      <c r="L22" s="19">
        <v>54400</v>
      </c>
      <c r="M22" s="19">
        <v>57700</v>
      </c>
      <c r="N22" s="19">
        <v>58800</v>
      </c>
      <c r="O22" s="19">
        <v>57000</v>
      </c>
      <c r="P22" s="39">
        <v>58400</v>
      </c>
      <c r="Q22" s="240">
        <v>62900</v>
      </c>
      <c r="R22" s="19">
        <v>57900</v>
      </c>
      <c r="S22" s="19">
        <v>58300</v>
      </c>
      <c r="T22" s="19">
        <v>58300</v>
      </c>
      <c r="U22" s="19">
        <v>55500</v>
      </c>
      <c r="V22" s="19">
        <v>57800</v>
      </c>
      <c r="W22" s="19">
        <v>55600</v>
      </c>
      <c r="X22" s="19">
        <v>58200</v>
      </c>
      <c r="Y22" s="19">
        <v>58000</v>
      </c>
      <c r="Z22" s="19">
        <v>66800</v>
      </c>
      <c r="AA22" s="19">
        <v>65800</v>
      </c>
      <c r="AB22" s="19">
        <v>65800</v>
      </c>
      <c r="AC22" s="19">
        <v>67100</v>
      </c>
      <c r="AD22" s="19">
        <v>71000</v>
      </c>
      <c r="AE22" s="19">
        <v>72800</v>
      </c>
      <c r="AF22" s="19">
        <v>70500</v>
      </c>
      <c r="AG22" s="19">
        <v>66900</v>
      </c>
      <c r="AH22" s="19">
        <v>67800</v>
      </c>
      <c r="AI22" s="19">
        <v>70300</v>
      </c>
      <c r="AJ22" s="19"/>
      <c r="AK22" s="959">
        <f t="shared" si="0"/>
        <v>0.91061370573153333</v>
      </c>
      <c r="AL22" s="959">
        <f>((AB22/Q22)^(1/11)-1)*100</f>
        <v>0.41060134532444614</v>
      </c>
      <c r="AM22" s="959">
        <f>((AI22/I22)^(1/26)-1)*100</f>
        <v>0.70921481021652966</v>
      </c>
      <c r="AN22" s="959">
        <f>((AI22/AB22)^(1/7)-1)*100</f>
        <v>0.94950749629307829</v>
      </c>
      <c r="AO22" s="23"/>
      <c r="AP22" s="959">
        <f>100*AI22/I22-100</f>
        <v>20.17094017094017</v>
      </c>
      <c r="AR22" s="807"/>
      <c r="AS22" s="807"/>
      <c r="AT22" s="807"/>
      <c r="AU22" s="807"/>
      <c r="AV22" s="807"/>
    </row>
    <row r="23" spans="1:49" ht="15">
      <c r="D23" s="1" t="s">
        <v>615</v>
      </c>
      <c r="I23" s="20">
        <v>76000</v>
      </c>
      <c r="J23" s="19">
        <v>74100</v>
      </c>
      <c r="K23" s="19">
        <v>75700</v>
      </c>
      <c r="L23" s="19">
        <v>77100</v>
      </c>
      <c r="M23" s="19">
        <v>77000</v>
      </c>
      <c r="N23" s="19">
        <v>78700</v>
      </c>
      <c r="O23" s="19">
        <v>79700</v>
      </c>
      <c r="P23" s="39">
        <v>80900</v>
      </c>
      <c r="Q23" s="240">
        <v>81200</v>
      </c>
      <c r="R23" s="19">
        <v>80300</v>
      </c>
      <c r="S23" s="19">
        <v>80000</v>
      </c>
      <c r="T23" s="19">
        <v>81400</v>
      </c>
      <c r="U23" s="19">
        <v>79100</v>
      </c>
      <c r="V23" s="19">
        <v>81700</v>
      </c>
      <c r="W23" s="19">
        <v>81400</v>
      </c>
      <c r="X23" s="19">
        <v>81500</v>
      </c>
      <c r="Y23" s="19">
        <v>83100</v>
      </c>
      <c r="Z23" s="19">
        <v>87000</v>
      </c>
      <c r="AA23" s="19">
        <v>88400</v>
      </c>
      <c r="AB23" s="19">
        <v>91900</v>
      </c>
      <c r="AC23" s="19">
        <v>92400</v>
      </c>
      <c r="AD23" s="19">
        <v>92600</v>
      </c>
      <c r="AE23" s="19">
        <v>93100</v>
      </c>
      <c r="AF23" s="19">
        <v>96400</v>
      </c>
      <c r="AG23" s="19">
        <v>94700</v>
      </c>
      <c r="AH23" s="19">
        <v>95400</v>
      </c>
      <c r="AI23" s="19">
        <v>99500</v>
      </c>
      <c r="AJ23" s="19"/>
      <c r="AK23" s="959">
        <f t="shared" si="0"/>
        <v>0.83070520175185791</v>
      </c>
      <c r="AL23" s="959">
        <f>((AB23/Q23)^(1/11)-1)*100</f>
        <v>1.1316808957739344</v>
      </c>
      <c r="AM23" s="959">
        <f>((AI23/I23)^(1/26)-1)*100</f>
        <v>1.0416349588406426</v>
      </c>
      <c r="AN23" s="959">
        <f>((AI23/AB23)^(1/7)-1)*100</f>
        <v>1.1415611391093483</v>
      </c>
      <c r="AO23" s="23"/>
      <c r="AP23" s="959">
        <f>100*AI23/I23-100</f>
        <v>30.921052631578959</v>
      </c>
      <c r="AR23" s="807"/>
      <c r="AS23" s="807"/>
      <c r="AT23" s="807"/>
      <c r="AU23" s="807"/>
      <c r="AV23" s="807"/>
    </row>
    <row r="24" spans="1:49" ht="15">
      <c r="D24" s="1" t="s">
        <v>621</v>
      </c>
      <c r="I24" s="20">
        <v>98200</v>
      </c>
      <c r="J24" s="19">
        <v>96600</v>
      </c>
      <c r="K24" s="19">
        <v>93400</v>
      </c>
      <c r="L24" s="19">
        <v>94500</v>
      </c>
      <c r="M24" s="19">
        <v>97000</v>
      </c>
      <c r="N24" s="19">
        <v>98400</v>
      </c>
      <c r="O24" s="19">
        <v>100500</v>
      </c>
      <c r="P24" s="39">
        <v>101700</v>
      </c>
      <c r="Q24" s="240">
        <v>105100</v>
      </c>
      <c r="R24" s="19">
        <v>103500</v>
      </c>
      <c r="S24" s="19">
        <v>97700</v>
      </c>
      <c r="T24" s="19">
        <v>98300</v>
      </c>
      <c r="U24" s="19">
        <v>97000</v>
      </c>
      <c r="V24" s="19">
        <v>98600</v>
      </c>
      <c r="W24" s="19">
        <v>99200</v>
      </c>
      <c r="X24" s="19">
        <v>100800</v>
      </c>
      <c r="Y24" s="19">
        <v>101900</v>
      </c>
      <c r="Z24" s="19">
        <v>103800</v>
      </c>
      <c r="AA24" s="19">
        <v>107500</v>
      </c>
      <c r="AB24" s="19">
        <v>111900</v>
      </c>
      <c r="AC24" s="19">
        <v>114600</v>
      </c>
      <c r="AD24" s="19">
        <v>111900</v>
      </c>
      <c r="AE24" s="19">
        <v>113300</v>
      </c>
      <c r="AF24" s="19">
        <v>120100</v>
      </c>
      <c r="AG24" s="19">
        <v>115900</v>
      </c>
      <c r="AH24" s="19">
        <v>120400</v>
      </c>
      <c r="AI24" s="19">
        <v>125500</v>
      </c>
      <c r="AJ24" s="19"/>
      <c r="AK24" s="959">
        <f t="shared" si="0"/>
        <v>0.85243852229170969</v>
      </c>
      <c r="AL24" s="959">
        <f>((AB24/Q24)^(1/11)-1)*100</f>
        <v>0.57156667597102473</v>
      </c>
      <c r="AM24" s="959">
        <f>((AI24/I24)^(1/26)-1)*100</f>
        <v>0.94792439293798214</v>
      </c>
      <c r="AN24" s="959">
        <f>((AI24/AB24)^(1/7)-1)*100</f>
        <v>1.6520717156376374</v>
      </c>
      <c r="AO24" s="23"/>
      <c r="AP24" s="959">
        <f>100*AI24/I24-100</f>
        <v>27.800407331975563</v>
      </c>
      <c r="AR24" s="808"/>
      <c r="AS24" s="808"/>
      <c r="AT24" s="808"/>
      <c r="AU24" s="808"/>
      <c r="AV24" s="808"/>
      <c r="AW24" s="808"/>
    </row>
    <row r="25" spans="1:49" ht="15">
      <c r="I25" s="20"/>
      <c r="J25" s="39"/>
      <c r="K25" s="39"/>
      <c r="L25" s="39"/>
      <c r="M25" s="39"/>
      <c r="N25" s="39"/>
      <c r="O25" s="39"/>
      <c r="P25" s="39"/>
      <c r="Q25" s="240"/>
      <c r="R25" s="19"/>
      <c r="S25" s="19"/>
      <c r="T25" s="19"/>
      <c r="U25" s="19"/>
      <c r="V25" s="19"/>
      <c r="W25" s="19"/>
      <c r="X25" s="19"/>
      <c r="Y25" s="19"/>
      <c r="Z25" s="19"/>
      <c r="AA25" s="19"/>
      <c r="AB25" s="19"/>
      <c r="AC25" s="19"/>
      <c r="AD25" s="19"/>
      <c r="AE25" s="19"/>
      <c r="AF25" s="19"/>
      <c r="AG25" s="19"/>
      <c r="AH25" s="19"/>
      <c r="AI25" s="19"/>
      <c r="AJ25" s="19"/>
      <c r="AK25" s="959"/>
      <c r="AL25" s="959"/>
      <c r="AM25" s="959"/>
      <c r="AN25" s="959"/>
      <c r="AO25" s="23"/>
      <c r="AP25" s="959"/>
      <c r="AR25" s="808"/>
      <c r="AS25" s="808"/>
      <c r="AT25" s="808"/>
      <c r="AU25" s="808"/>
      <c r="AV25" s="808"/>
      <c r="AW25" s="808"/>
    </row>
    <row r="26" spans="1:49" ht="15">
      <c r="D26" s="128" t="s">
        <v>622</v>
      </c>
      <c r="I26" s="20">
        <v>98000</v>
      </c>
      <c r="J26" s="19">
        <v>96900</v>
      </c>
      <c r="K26" s="19">
        <v>91500</v>
      </c>
      <c r="L26" s="19">
        <v>90400</v>
      </c>
      <c r="M26" s="19">
        <v>93400</v>
      </c>
      <c r="N26" s="19">
        <v>98600</v>
      </c>
      <c r="O26" s="19">
        <v>97000</v>
      </c>
      <c r="P26" s="39">
        <v>99200</v>
      </c>
      <c r="Q26" s="240">
        <v>102600</v>
      </c>
      <c r="R26" s="19">
        <v>101600</v>
      </c>
      <c r="S26" s="19">
        <v>97300</v>
      </c>
      <c r="T26" s="19">
        <v>95300</v>
      </c>
      <c r="U26" s="19">
        <v>95600</v>
      </c>
      <c r="V26" s="19">
        <v>96100</v>
      </c>
      <c r="W26" s="19">
        <v>94400</v>
      </c>
      <c r="X26" s="19">
        <v>99900</v>
      </c>
      <c r="Y26" s="19">
        <v>98500</v>
      </c>
      <c r="Z26" s="19">
        <v>102400</v>
      </c>
      <c r="AA26" s="19">
        <v>107300</v>
      </c>
      <c r="AB26" s="19">
        <v>114600</v>
      </c>
      <c r="AC26" s="19">
        <v>110400</v>
      </c>
      <c r="AD26" s="19">
        <v>109600</v>
      </c>
      <c r="AE26" s="19">
        <v>109700</v>
      </c>
      <c r="AF26" s="19">
        <v>112700</v>
      </c>
      <c r="AG26" s="19">
        <v>118400</v>
      </c>
      <c r="AH26" s="19">
        <v>122100</v>
      </c>
      <c r="AI26" s="19">
        <v>122700</v>
      </c>
      <c r="AJ26" s="19"/>
      <c r="AK26" s="959">
        <f t="shared" si="0"/>
        <v>0.57502764912749083</v>
      </c>
      <c r="AL26" s="959">
        <f>((AB26/Q26)^(1/11)-1)*100</f>
        <v>1.0106168714316244</v>
      </c>
      <c r="AM26" s="959">
        <f>((AI26/I26)^(1/26)-1)*100</f>
        <v>0.8682664979974053</v>
      </c>
      <c r="AN26" s="959">
        <f>((AI26/AB26)^(1/7)-1)*100</f>
        <v>0.98041123954288878</v>
      </c>
      <c r="AO26" s="23"/>
      <c r="AP26" s="959">
        <f>100*AI26/I26-100</f>
        <v>25.204081632653057</v>
      </c>
      <c r="AR26" s="808"/>
      <c r="AS26" s="808"/>
      <c r="AT26" s="808"/>
      <c r="AU26" s="808"/>
      <c r="AV26" s="808"/>
      <c r="AW26" s="808"/>
    </row>
    <row r="27" spans="1:49" ht="15">
      <c r="I27" s="20"/>
      <c r="J27" s="39"/>
      <c r="K27" s="39"/>
      <c r="L27" s="39"/>
      <c r="M27" s="39"/>
      <c r="N27" s="39"/>
      <c r="O27" s="39"/>
      <c r="P27" s="39"/>
      <c r="Q27" s="240"/>
      <c r="R27" s="19"/>
      <c r="S27" s="19"/>
      <c r="T27" s="19"/>
      <c r="U27" s="19"/>
      <c r="V27" s="19"/>
      <c r="W27" s="19"/>
      <c r="X27" s="19"/>
      <c r="Y27" s="19"/>
      <c r="Z27" s="19"/>
      <c r="AA27" s="19"/>
      <c r="AB27" s="19"/>
      <c r="AC27" s="19"/>
      <c r="AD27" s="19"/>
      <c r="AE27" s="19"/>
      <c r="AF27" s="19"/>
      <c r="AG27" s="19"/>
      <c r="AH27" s="19"/>
      <c r="AI27" s="19"/>
      <c r="AJ27" s="19"/>
      <c r="AK27" s="959"/>
      <c r="AL27" s="959"/>
      <c r="AM27" s="959"/>
      <c r="AN27" s="959"/>
      <c r="AO27" s="23"/>
      <c r="AP27" s="959"/>
      <c r="AQ27" s="114"/>
      <c r="AR27" s="808"/>
      <c r="AS27" s="808"/>
      <c r="AT27" s="808"/>
      <c r="AU27" s="808"/>
      <c r="AV27" s="808"/>
      <c r="AW27" s="808"/>
    </row>
    <row r="28" spans="1:49" s="114" customFormat="1" ht="15">
      <c r="A28" s="1"/>
      <c r="B28" s="1"/>
      <c r="C28" s="1"/>
      <c r="D28" s="128" t="s">
        <v>623</v>
      </c>
      <c r="E28" s="1"/>
      <c r="F28" s="1"/>
      <c r="G28" s="1"/>
      <c r="H28" s="1"/>
      <c r="I28" s="20">
        <v>36700</v>
      </c>
      <c r="J28" s="19">
        <v>33900</v>
      </c>
      <c r="K28" s="19">
        <v>31700</v>
      </c>
      <c r="L28" s="19">
        <v>33800</v>
      </c>
      <c r="M28" s="19">
        <v>33300</v>
      </c>
      <c r="N28" s="19">
        <v>34000</v>
      </c>
      <c r="O28" s="19">
        <v>36000</v>
      </c>
      <c r="P28" s="39">
        <v>35800</v>
      </c>
      <c r="Q28" s="240">
        <v>39100</v>
      </c>
      <c r="R28" s="19">
        <v>34800</v>
      </c>
      <c r="S28" s="19">
        <v>33400</v>
      </c>
      <c r="T28" s="19">
        <v>34100</v>
      </c>
      <c r="U28" s="19">
        <v>33000</v>
      </c>
      <c r="V28" s="19">
        <v>34600</v>
      </c>
      <c r="W28" s="19">
        <v>34500</v>
      </c>
      <c r="X28" s="19">
        <v>32800</v>
      </c>
      <c r="Y28" s="19">
        <v>33600</v>
      </c>
      <c r="Z28" s="19">
        <v>35600</v>
      </c>
      <c r="AA28" s="19">
        <v>36800</v>
      </c>
      <c r="AB28" s="19">
        <v>40000</v>
      </c>
      <c r="AC28" s="19">
        <v>40900</v>
      </c>
      <c r="AD28" s="19">
        <v>38900</v>
      </c>
      <c r="AE28" s="19">
        <v>39800</v>
      </c>
      <c r="AF28" s="19">
        <v>39800</v>
      </c>
      <c r="AG28" s="19">
        <v>46400</v>
      </c>
      <c r="AH28" s="19">
        <v>46800</v>
      </c>
      <c r="AI28" s="19">
        <v>46600</v>
      </c>
      <c r="AJ28" s="19"/>
      <c r="AK28" s="959">
        <f t="shared" si="0"/>
        <v>0.79496459546550824</v>
      </c>
      <c r="AL28" s="959">
        <f t="shared" ref="AL28:AL33" si="1">((AB28/Q28)^(1/11)-1)*100</f>
        <v>0.2070958489580832</v>
      </c>
      <c r="AM28" s="959">
        <f t="shared" ref="AM28:AM33" si="2">((AI28/I28)^(1/26)-1)*100</f>
        <v>0.92278466834430084</v>
      </c>
      <c r="AN28" s="959">
        <f t="shared" ref="AN28:AN33" si="3">((AI28/AB28)^(1/7)-1)*100</f>
        <v>2.205703569533557</v>
      </c>
      <c r="AO28" s="23"/>
      <c r="AP28" s="959">
        <f t="shared" ref="AP28:AP33" si="4">100*AI28/I28-100</f>
        <v>26.975476839237061</v>
      </c>
      <c r="AR28" s="808"/>
      <c r="AS28" s="808"/>
      <c r="AT28" s="808"/>
      <c r="AU28" s="808"/>
      <c r="AV28" s="808"/>
      <c r="AW28" s="808"/>
    </row>
    <row r="29" spans="1:49" s="114" customFormat="1" ht="15">
      <c r="A29" s="1"/>
      <c r="B29" s="1"/>
      <c r="C29" s="1"/>
      <c r="D29" s="1" t="s">
        <v>624</v>
      </c>
      <c r="E29" s="1"/>
      <c r="F29" s="1"/>
      <c r="G29" s="1"/>
      <c r="H29" s="1"/>
      <c r="I29" s="20">
        <v>58300</v>
      </c>
      <c r="J29" s="19">
        <v>54400</v>
      </c>
      <c r="K29" s="19">
        <v>47100</v>
      </c>
      <c r="L29" s="19">
        <v>53000</v>
      </c>
      <c r="M29" s="19">
        <v>51000</v>
      </c>
      <c r="N29" s="19">
        <v>50900</v>
      </c>
      <c r="O29" s="19">
        <v>62600</v>
      </c>
      <c r="P29" s="39">
        <v>55900</v>
      </c>
      <c r="Q29" s="240">
        <v>67800</v>
      </c>
      <c r="R29" s="19">
        <v>53600</v>
      </c>
      <c r="S29" s="19">
        <v>51800</v>
      </c>
      <c r="T29" s="19">
        <v>52000</v>
      </c>
      <c r="U29" s="19">
        <v>46100</v>
      </c>
      <c r="V29" s="19">
        <v>47400</v>
      </c>
      <c r="W29" s="19">
        <v>46800</v>
      </c>
      <c r="X29" s="19">
        <v>50000</v>
      </c>
      <c r="Y29" s="19">
        <v>48800</v>
      </c>
      <c r="Z29" s="19">
        <v>53000</v>
      </c>
      <c r="AA29" s="19">
        <v>53900</v>
      </c>
      <c r="AB29" s="19">
        <v>58800</v>
      </c>
      <c r="AC29" s="19">
        <v>55300</v>
      </c>
      <c r="AD29" s="19">
        <v>55500</v>
      </c>
      <c r="AE29" s="19">
        <v>60100</v>
      </c>
      <c r="AF29" s="19">
        <v>56100</v>
      </c>
      <c r="AG29" s="19">
        <v>66900</v>
      </c>
      <c r="AH29" s="19">
        <v>68500</v>
      </c>
      <c r="AI29" s="19">
        <v>63000</v>
      </c>
      <c r="AJ29" s="19"/>
      <c r="AK29" s="959">
        <f t="shared" si="0"/>
        <v>1.9049176555437919</v>
      </c>
      <c r="AL29" s="959">
        <f t="shared" si="1"/>
        <v>-1.2863847868397671</v>
      </c>
      <c r="AM29" s="959">
        <f t="shared" si="2"/>
        <v>0.29864750049979349</v>
      </c>
      <c r="AN29" s="959">
        <f t="shared" si="3"/>
        <v>0.9904856063069678</v>
      </c>
      <c r="AO29" s="23"/>
      <c r="AP29" s="959">
        <f t="shared" si="4"/>
        <v>8.0617495711835403</v>
      </c>
      <c r="AR29" s="808"/>
      <c r="AS29" s="808"/>
      <c r="AT29" s="808"/>
      <c r="AU29" s="808"/>
      <c r="AV29" s="808"/>
      <c r="AW29" s="808"/>
    </row>
    <row r="30" spans="1:49" s="114" customFormat="1" ht="15">
      <c r="A30" s="1"/>
      <c r="B30" s="1"/>
      <c r="C30" s="1"/>
      <c r="D30" s="1" t="s">
        <v>625</v>
      </c>
      <c r="E30" s="1"/>
      <c r="F30" s="1"/>
      <c r="G30" s="1"/>
      <c r="H30" s="1"/>
      <c r="I30" s="20">
        <v>32900</v>
      </c>
      <c r="J30" s="19">
        <v>30500</v>
      </c>
      <c r="K30" s="19">
        <v>29600</v>
      </c>
      <c r="L30" s="19">
        <v>31100</v>
      </c>
      <c r="M30" s="19">
        <v>31000</v>
      </c>
      <c r="N30" s="19">
        <v>31000</v>
      </c>
      <c r="O30" s="19">
        <v>32400</v>
      </c>
      <c r="P30" s="39">
        <v>32900</v>
      </c>
      <c r="Q30" s="240">
        <v>35300</v>
      </c>
      <c r="R30" s="19">
        <v>31500</v>
      </c>
      <c r="S30" s="19">
        <v>30700</v>
      </c>
      <c r="T30" s="19">
        <v>31700</v>
      </c>
      <c r="U30" s="19">
        <v>30800</v>
      </c>
      <c r="V30" s="19">
        <v>32500</v>
      </c>
      <c r="W30" s="19">
        <v>32500</v>
      </c>
      <c r="X30" s="19">
        <v>30100</v>
      </c>
      <c r="Y30" s="19">
        <v>31000</v>
      </c>
      <c r="Z30" s="19">
        <v>32500</v>
      </c>
      <c r="AA30" s="19">
        <v>33600</v>
      </c>
      <c r="AB30" s="19">
        <v>36200</v>
      </c>
      <c r="AC30" s="19">
        <v>37900</v>
      </c>
      <c r="AD30" s="19">
        <v>35100</v>
      </c>
      <c r="AE30" s="19">
        <v>35200</v>
      </c>
      <c r="AF30" s="19">
        <v>36100</v>
      </c>
      <c r="AG30" s="19">
        <v>41800</v>
      </c>
      <c r="AH30" s="19">
        <v>41800</v>
      </c>
      <c r="AI30" s="19">
        <v>42900</v>
      </c>
      <c r="AJ30" s="19"/>
      <c r="AK30" s="959">
        <f t="shared" si="0"/>
        <v>0.88401334876211379</v>
      </c>
      <c r="AL30" s="959">
        <f t="shared" si="1"/>
        <v>0.2291362521697371</v>
      </c>
      <c r="AM30" s="959">
        <f t="shared" si="2"/>
        <v>1.0259936198574238</v>
      </c>
      <c r="AN30" s="959">
        <f t="shared" si="3"/>
        <v>2.4555600571124936</v>
      </c>
      <c r="AO30" s="23"/>
      <c r="AP30" s="959">
        <f t="shared" si="4"/>
        <v>30.3951367781155</v>
      </c>
      <c r="AR30" s="808"/>
      <c r="AS30" s="808"/>
      <c r="AT30" s="808"/>
      <c r="AU30" s="808"/>
      <c r="AV30" s="808"/>
      <c r="AW30" s="808"/>
    </row>
    <row r="31" spans="1:49" s="114" customFormat="1" ht="15">
      <c r="A31" s="1"/>
      <c r="B31" s="1"/>
      <c r="C31" s="1"/>
      <c r="D31" s="1"/>
      <c r="E31" s="1" t="s">
        <v>613</v>
      </c>
      <c r="F31" s="1"/>
      <c r="G31" s="1"/>
      <c r="H31" s="1"/>
      <c r="I31" s="20">
        <v>14400</v>
      </c>
      <c r="J31" s="19">
        <v>15900</v>
      </c>
      <c r="K31" s="19">
        <v>16000</v>
      </c>
      <c r="L31" s="19">
        <v>16300</v>
      </c>
      <c r="M31" s="19">
        <v>16400</v>
      </c>
      <c r="N31" s="19">
        <v>17300</v>
      </c>
      <c r="O31" s="19">
        <v>17000</v>
      </c>
      <c r="P31" s="39">
        <v>17300</v>
      </c>
      <c r="Q31" s="240">
        <v>17400</v>
      </c>
      <c r="R31" s="19">
        <v>17200</v>
      </c>
      <c r="S31" s="19">
        <v>17900</v>
      </c>
      <c r="T31" s="19">
        <v>18700</v>
      </c>
      <c r="U31" s="19">
        <v>19300</v>
      </c>
      <c r="V31" s="19">
        <v>19400</v>
      </c>
      <c r="W31" s="19">
        <v>19500</v>
      </c>
      <c r="X31" s="19">
        <v>17600</v>
      </c>
      <c r="Y31" s="19">
        <v>16900</v>
      </c>
      <c r="Z31" s="19">
        <v>17400</v>
      </c>
      <c r="AA31" s="19">
        <v>18400</v>
      </c>
      <c r="AB31" s="19">
        <v>17400</v>
      </c>
      <c r="AC31" s="19">
        <v>18400</v>
      </c>
      <c r="AD31" s="19">
        <v>17500</v>
      </c>
      <c r="AE31" s="19">
        <v>17300</v>
      </c>
      <c r="AF31" s="19">
        <v>18700</v>
      </c>
      <c r="AG31" s="19">
        <v>18500</v>
      </c>
      <c r="AH31" s="19">
        <v>20900</v>
      </c>
      <c r="AI31" s="19">
        <v>18200</v>
      </c>
      <c r="AJ31" s="19"/>
      <c r="AK31" s="959">
        <f t="shared" si="0"/>
        <v>2.3937254620033377</v>
      </c>
      <c r="AL31" s="959">
        <f t="shared" si="1"/>
        <v>0</v>
      </c>
      <c r="AM31" s="959">
        <f t="shared" si="2"/>
        <v>0.90481270265507785</v>
      </c>
      <c r="AN31" s="959">
        <f t="shared" si="3"/>
        <v>0.64422896891149772</v>
      </c>
      <c r="AO31" s="23"/>
      <c r="AP31" s="959">
        <f t="shared" si="4"/>
        <v>26.388888888888886</v>
      </c>
      <c r="AR31" s="808"/>
      <c r="AS31" s="808"/>
      <c r="AT31" s="808"/>
      <c r="AU31" s="808"/>
      <c r="AV31" s="808"/>
      <c r="AW31" s="808"/>
    </row>
    <row r="32" spans="1:49" s="114" customFormat="1" ht="15">
      <c r="A32" s="1"/>
      <c r="B32" s="1"/>
      <c r="C32" s="1"/>
      <c r="D32" s="1"/>
      <c r="E32" s="1" t="s">
        <v>620</v>
      </c>
      <c r="F32" s="1"/>
      <c r="G32" s="1"/>
      <c r="H32" s="1"/>
      <c r="I32" s="20">
        <v>33100</v>
      </c>
      <c r="J32" s="19">
        <v>31600</v>
      </c>
      <c r="K32" s="19">
        <v>33100</v>
      </c>
      <c r="L32" s="19">
        <v>32500</v>
      </c>
      <c r="M32" s="19">
        <v>31000</v>
      </c>
      <c r="N32" s="19">
        <v>33200</v>
      </c>
      <c r="O32" s="19">
        <v>32400</v>
      </c>
      <c r="P32" s="39">
        <v>32800</v>
      </c>
      <c r="Q32" s="240">
        <v>35300</v>
      </c>
      <c r="R32" s="19">
        <v>32200</v>
      </c>
      <c r="S32" s="19">
        <v>33000</v>
      </c>
      <c r="T32" s="19">
        <v>35000</v>
      </c>
      <c r="U32" s="19">
        <v>33900</v>
      </c>
      <c r="V32" s="19">
        <v>34600</v>
      </c>
      <c r="W32" s="19">
        <v>35100</v>
      </c>
      <c r="X32" s="19">
        <v>34800</v>
      </c>
      <c r="Y32" s="19">
        <v>34200</v>
      </c>
      <c r="Z32" s="19">
        <v>34700</v>
      </c>
      <c r="AA32" s="19">
        <v>35100</v>
      </c>
      <c r="AB32" s="19">
        <v>36200</v>
      </c>
      <c r="AC32" s="19">
        <v>37700</v>
      </c>
      <c r="AD32" s="19">
        <v>35400</v>
      </c>
      <c r="AE32" s="19">
        <v>34800</v>
      </c>
      <c r="AF32" s="19">
        <v>36200</v>
      </c>
      <c r="AG32" s="19">
        <v>43000</v>
      </c>
      <c r="AH32" s="19">
        <v>41700</v>
      </c>
      <c r="AI32" s="19">
        <v>43200</v>
      </c>
      <c r="AJ32" s="19"/>
      <c r="AK32" s="959">
        <f t="shared" si="0"/>
        <v>0.80761477458000108</v>
      </c>
      <c r="AL32" s="959">
        <f t="shared" si="1"/>
        <v>0.2291362521697371</v>
      </c>
      <c r="AM32" s="959">
        <f t="shared" si="2"/>
        <v>1.0295219937214384</v>
      </c>
      <c r="AN32" s="959">
        <f t="shared" si="3"/>
        <v>2.5576078324321072</v>
      </c>
      <c r="AO32" s="23"/>
      <c r="AP32" s="959">
        <f t="shared" si="4"/>
        <v>30.513595166163128</v>
      </c>
      <c r="AR32" s="808"/>
      <c r="AS32" s="808"/>
      <c r="AT32" s="808"/>
      <c r="AU32" s="808"/>
      <c r="AV32" s="808"/>
      <c r="AW32" s="808"/>
    </row>
    <row r="33" spans="1:49" s="114" customFormat="1" ht="15">
      <c r="A33" s="1"/>
      <c r="B33" s="1"/>
      <c r="C33" s="1"/>
      <c r="D33" s="1"/>
      <c r="E33" s="1" t="s">
        <v>626</v>
      </c>
      <c r="F33" s="1"/>
      <c r="G33" s="1"/>
      <c r="H33" s="1"/>
      <c r="I33" s="20">
        <v>54200</v>
      </c>
      <c r="J33" s="19">
        <v>48800</v>
      </c>
      <c r="K33" s="19">
        <v>42600</v>
      </c>
      <c r="L33" s="19">
        <v>52300</v>
      </c>
      <c r="M33" s="19">
        <v>54200</v>
      </c>
      <c r="N33" s="19">
        <v>45600</v>
      </c>
      <c r="O33" s="19">
        <v>52100</v>
      </c>
      <c r="P33" s="39">
        <v>51900</v>
      </c>
      <c r="Q33" s="240">
        <v>56300</v>
      </c>
      <c r="R33" s="19">
        <v>50500</v>
      </c>
      <c r="S33" s="19">
        <v>48900</v>
      </c>
      <c r="T33" s="19">
        <v>49500</v>
      </c>
      <c r="U33" s="19">
        <v>49600</v>
      </c>
      <c r="V33" s="19">
        <v>54900</v>
      </c>
      <c r="W33" s="19">
        <v>54600</v>
      </c>
      <c r="X33" s="19">
        <v>48000</v>
      </c>
      <c r="Y33" s="19">
        <v>52100</v>
      </c>
      <c r="Z33" s="19">
        <v>53900</v>
      </c>
      <c r="AA33" s="19">
        <v>53000</v>
      </c>
      <c r="AB33" s="19">
        <v>58500</v>
      </c>
      <c r="AC33" s="19">
        <v>60700</v>
      </c>
      <c r="AD33" s="19">
        <v>53000</v>
      </c>
      <c r="AE33" s="19">
        <v>55500</v>
      </c>
      <c r="AF33" s="19">
        <v>52700</v>
      </c>
      <c r="AG33" s="19">
        <v>55200</v>
      </c>
      <c r="AH33" s="19">
        <v>56500</v>
      </c>
      <c r="AI33" s="19">
        <v>58800</v>
      </c>
      <c r="AJ33" s="19"/>
      <c r="AK33" s="959">
        <f t="shared" si="0"/>
        <v>0.47630105822729085</v>
      </c>
      <c r="AL33" s="959">
        <f t="shared" si="1"/>
        <v>0.34908259806516462</v>
      </c>
      <c r="AM33" s="959">
        <f t="shared" si="2"/>
        <v>0.3138026654899484</v>
      </c>
      <c r="AN33" s="959">
        <f t="shared" si="3"/>
        <v>7.3099571391610496E-2</v>
      </c>
      <c r="AO33" s="23"/>
      <c r="AP33" s="959">
        <f t="shared" si="4"/>
        <v>8.4870848708487046</v>
      </c>
      <c r="AR33" s="808"/>
      <c r="AS33" s="808"/>
      <c r="AT33" s="808"/>
      <c r="AU33" s="808"/>
      <c r="AV33" s="808"/>
      <c r="AW33" s="808"/>
    </row>
    <row r="34" spans="1:49" s="114" customFormat="1" ht="15">
      <c r="A34" s="1"/>
      <c r="B34" s="1"/>
      <c r="C34" s="1"/>
      <c r="D34" s="1"/>
      <c r="E34" s="1"/>
      <c r="F34" s="1"/>
      <c r="G34" s="1"/>
      <c r="H34" s="1"/>
      <c r="I34" s="20"/>
      <c r="J34" s="39"/>
      <c r="K34" s="39"/>
      <c r="L34" s="39"/>
      <c r="M34" s="39"/>
      <c r="N34" s="39"/>
      <c r="O34" s="39"/>
      <c r="P34" s="39"/>
      <c r="Q34" s="240"/>
      <c r="R34" s="19"/>
      <c r="S34" s="19"/>
      <c r="T34" s="19"/>
      <c r="U34" s="19"/>
      <c r="V34" s="19"/>
      <c r="W34" s="19"/>
      <c r="X34" s="19"/>
      <c r="Y34" s="19"/>
      <c r="Z34" s="19"/>
      <c r="AA34" s="19"/>
      <c r="AB34" s="19"/>
      <c r="AC34" s="19"/>
      <c r="AD34" s="19"/>
      <c r="AE34" s="19"/>
      <c r="AF34" s="19"/>
      <c r="AG34" s="19"/>
      <c r="AH34" s="19"/>
      <c r="AI34" s="19"/>
      <c r="AJ34" s="19"/>
      <c r="AK34" s="959"/>
      <c r="AL34" s="959"/>
      <c r="AM34" s="959"/>
      <c r="AN34" s="959"/>
      <c r="AO34" s="23"/>
      <c r="AP34" s="959"/>
      <c r="AR34" s="808"/>
      <c r="AS34" s="808"/>
      <c r="AT34" s="808"/>
      <c r="AU34" s="808"/>
      <c r="AV34" s="808"/>
      <c r="AW34" s="808"/>
    </row>
    <row r="35" spans="1:49" ht="15">
      <c r="D35" s="128" t="s">
        <v>2</v>
      </c>
      <c r="I35" s="20">
        <v>58500</v>
      </c>
      <c r="J35" s="19">
        <v>57400</v>
      </c>
      <c r="K35" s="19">
        <v>52800</v>
      </c>
      <c r="L35" s="19">
        <v>55200</v>
      </c>
      <c r="M35" s="19">
        <v>55000</v>
      </c>
      <c r="N35" s="19">
        <v>58700</v>
      </c>
      <c r="O35" s="19">
        <v>57700</v>
      </c>
      <c r="P35" s="39">
        <v>59100</v>
      </c>
      <c r="Q35" s="240">
        <v>61300</v>
      </c>
      <c r="R35" s="19">
        <v>59500</v>
      </c>
      <c r="S35" s="19">
        <v>58000</v>
      </c>
      <c r="T35" s="19">
        <v>52100</v>
      </c>
      <c r="U35" s="19">
        <v>54900</v>
      </c>
      <c r="V35" s="19">
        <v>55400</v>
      </c>
      <c r="W35" s="19">
        <v>58000</v>
      </c>
      <c r="X35" s="19">
        <v>61200</v>
      </c>
      <c r="Y35" s="19">
        <v>61100</v>
      </c>
      <c r="Z35" s="19">
        <v>66700</v>
      </c>
      <c r="AA35" s="19">
        <v>67400</v>
      </c>
      <c r="AB35" s="19">
        <v>70200</v>
      </c>
      <c r="AC35" s="19">
        <v>70400</v>
      </c>
      <c r="AD35" s="19">
        <v>72200</v>
      </c>
      <c r="AE35" s="19">
        <v>66700</v>
      </c>
      <c r="AF35" s="19">
        <v>70100</v>
      </c>
      <c r="AG35" s="19">
        <v>68200</v>
      </c>
      <c r="AH35" s="19">
        <v>69700</v>
      </c>
      <c r="AI35" s="19">
        <v>71800</v>
      </c>
      <c r="AJ35" s="19"/>
      <c r="AK35" s="959">
        <f t="shared" si="0"/>
        <v>0.58612463667120362</v>
      </c>
      <c r="AL35" s="959">
        <f>((AB35/Q35)^(1/11)-1)*100</f>
        <v>1.2400664641963877</v>
      </c>
      <c r="AM35" s="959">
        <f>((AI35/I35)^(1/26)-1)*100</f>
        <v>0.79102652800306927</v>
      </c>
      <c r="AN35" s="959">
        <f>((AI35/AB35)^(1/7)-1)*100</f>
        <v>0.32246401481335063</v>
      </c>
      <c r="AO35" s="23"/>
      <c r="AP35" s="959">
        <f>100*AI35/I35-100</f>
        <v>22.73504273504274</v>
      </c>
      <c r="AQ35" s="114"/>
      <c r="AR35" s="809"/>
      <c r="AS35" s="809"/>
      <c r="AT35" s="809"/>
      <c r="AU35" s="809"/>
      <c r="AV35" s="809"/>
      <c r="AW35" s="809"/>
    </row>
    <row r="36" spans="1:49" ht="12.75" customHeight="1">
      <c r="I36" s="20"/>
      <c r="J36" s="39"/>
      <c r="K36" s="39"/>
      <c r="L36" s="39"/>
      <c r="M36" s="39"/>
      <c r="N36" s="39"/>
      <c r="O36" s="39"/>
      <c r="P36" s="39"/>
      <c r="Q36" s="240"/>
      <c r="R36" s="19"/>
      <c r="S36" s="19"/>
      <c r="T36" s="19"/>
      <c r="U36" s="19"/>
      <c r="V36" s="19"/>
      <c r="W36" s="19"/>
      <c r="X36" s="19"/>
      <c r="Y36" s="19"/>
      <c r="Z36" s="19"/>
      <c r="AA36" s="19"/>
      <c r="AB36" s="19"/>
      <c r="AC36" s="19"/>
      <c r="AD36" s="19"/>
      <c r="AE36" s="19"/>
      <c r="AF36" s="19"/>
      <c r="AG36" s="19"/>
      <c r="AH36" s="19"/>
      <c r="AI36" s="19"/>
      <c r="AJ36" s="19"/>
      <c r="AK36" s="959"/>
      <c r="AL36" s="959"/>
      <c r="AM36" s="959"/>
      <c r="AN36" s="959"/>
      <c r="AO36" s="23"/>
      <c r="AP36" s="959"/>
      <c r="AQ36" s="114"/>
      <c r="AR36" s="809"/>
      <c r="AS36" s="809"/>
      <c r="AT36" s="809"/>
      <c r="AU36" s="809"/>
      <c r="AV36" s="809"/>
      <c r="AW36" s="809"/>
    </row>
    <row r="37" spans="1:49" ht="15.75" customHeight="1">
      <c r="B37" s="128" t="s">
        <v>3</v>
      </c>
      <c r="I37" s="20">
        <v>30600</v>
      </c>
      <c r="J37" s="19">
        <v>30500</v>
      </c>
      <c r="K37" s="19">
        <v>28800</v>
      </c>
      <c r="L37" s="19">
        <v>29100</v>
      </c>
      <c r="M37" s="19">
        <v>29700</v>
      </c>
      <c r="N37" s="19">
        <v>29800</v>
      </c>
      <c r="O37" s="19">
        <v>30200</v>
      </c>
      <c r="P37" s="39">
        <v>30600</v>
      </c>
      <c r="Q37" s="240">
        <v>31600</v>
      </c>
      <c r="R37" s="19">
        <v>31200</v>
      </c>
      <c r="S37" s="19">
        <v>29000</v>
      </c>
      <c r="T37" s="19">
        <v>29200</v>
      </c>
      <c r="U37" s="19">
        <v>29000</v>
      </c>
      <c r="V37" s="19">
        <v>28900</v>
      </c>
      <c r="W37" s="19">
        <v>29400</v>
      </c>
      <c r="X37" s="19">
        <v>28700</v>
      </c>
      <c r="Y37" s="19">
        <v>28800</v>
      </c>
      <c r="Z37" s="19">
        <v>29400</v>
      </c>
      <c r="AA37" s="19">
        <v>31200</v>
      </c>
      <c r="AB37" s="19">
        <v>31200</v>
      </c>
      <c r="AC37" s="19">
        <v>32100</v>
      </c>
      <c r="AD37" s="19">
        <v>32700</v>
      </c>
      <c r="AE37" s="19">
        <v>33300</v>
      </c>
      <c r="AF37" s="19">
        <v>33200</v>
      </c>
      <c r="AG37" s="19">
        <v>33600</v>
      </c>
      <c r="AH37" s="19">
        <v>35000</v>
      </c>
      <c r="AI37" s="19">
        <v>35700</v>
      </c>
      <c r="AJ37" s="19"/>
      <c r="AK37" s="959">
        <f t="shared" si="0"/>
        <v>0.4027728538415376</v>
      </c>
      <c r="AL37" s="959">
        <f>((AB37/Q37)^(1/11)-1)*100</f>
        <v>-0.11574229212965026</v>
      </c>
      <c r="AM37" s="959">
        <f>((AI37/I37)^(1/26)-1)*100</f>
        <v>0.59464828507940215</v>
      </c>
      <c r="AN37" s="959">
        <f>((AI37/AB37)^(1/7)-1)*100</f>
        <v>1.9433940978834441</v>
      </c>
      <c r="AO37" s="23"/>
      <c r="AP37" s="959">
        <f>100*AI37/I37-100</f>
        <v>16.666666666666671</v>
      </c>
      <c r="AQ37" s="114"/>
      <c r="AR37" s="809"/>
      <c r="AS37" s="809"/>
      <c r="AT37" s="809"/>
      <c r="AU37" s="809"/>
      <c r="AV37" s="809"/>
      <c r="AW37" s="809"/>
    </row>
    <row r="38" spans="1:49" ht="15">
      <c r="B38" s="128"/>
      <c r="I38" s="20"/>
      <c r="J38" s="39"/>
      <c r="K38" s="39"/>
      <c r="L38" s="39"/>
      <c r="M38" s="39"/>
      <c r="N38" s="39"/>
      <c r="O38" s="39"/>
      <c r="P38" s="39"/>
      <c r="Q38" s="240"/>
      <c r="R38" s="19"/>
      <c r="S38" s="19"/>
      <c r="T38" s="19"/>
      <c r="U38" s="19"/>
      <c r="V38" s="19"/>
      <c r="W38" s="19"/>
      <c r="X38" s="19"/>
      <c r="Y38" s="19"/>
      <c r="Z38" s="19"/>
      <c r="AA38" s="19"/>
      <c r="AB38" s="19"/>
      <c r="AC38" s="19"/>
      <c r="AD38" s="19"/>
      <c r="AE38" s="19"/>
      <c r="AF38" s="19"/>
      <c r="AG38" s="19"/>
      <c r="AH38" s="19"/>
      <c r="AI38" s="19"/>
      <c r="AJ38" s="19"/>
      <c r="AK38" s="959"/>
      <c r="AL38" s="959"/>
      <c r="AM38" s="959"/>
      <c r="AN38" s="959"/>
      <c r="AO38" s="23"/>
      <c r="AP38" s="959"/>
      <c r="AQ38" s="114"/>
      <c r="AR38" s="809"/>
      <c r="AS38" s="809"/>
      <c r="AT38" s="809"/>
      <c r="AU38" s="809"/>
      <c r="AV38" s="809"/>
      <c r="AW38" s="809"/>
    </row>
    <row r="39" spans="1:49" ht="15">
      <c r="C39" s="128" t="s">
        <v>4</v>
      </c>
      <c r="I39" s="20">
        <v>25000</v>
      </c>
      <c r="J39" s="19">
        <v>28400</v>
      </c>
      <c r="K39" s="19">
        <v>23500</v>
      </c>
      <c r="L39" s="19">
        <v>25500</v>
      </c>
      <c r="M39" s="19">
        <v>26300</v>
      </c>
      <c r="N39" s="19">
        <v>23600</v>
      </c>
      <c r="O39" s="19">
        <v>25800</v>
      </c>
      <c r="P39" s="39">
        <v>26600</v>
      </c>
      <c r="Q39" s="240">
        <v>28800</v>
      </c>
      <c r="R39" s="19">
        <v>28200</v>
      </c>
      <c r="S39" s="19">
        <v>26400</v>
      </c>
      <c r="T39" s="19">
        <v>28800</v>
      </c>
      <c r="U39" s="19">
        <v>28500</v>
      </c>
      <c r="V39" s="19">
        <v>32000</v>
      </c>
      <c r="W39" s="19">
        <v>30800</v>
      </c>
      <c r="X39" s="19">
        <v>30800</v>
      </c>
      <c r="Y39" s="19">
        <v>30100</v>
      </c>
      <c r="Z39" s="19">
        <v>31700</v>
      </c>
      <c r="AA39" s="19">
        <v>30500</v>
      </c>
      <c r="AB39" s="19">
        <v>29200</v>
      </c>
      <c r="AC39" s="19">
        <v>31100</v>
      </c>
      <c r="AD39" s="19">
        <v>30800</v>
      </c>
      <c r="AE39" s="19">
        <v>32100</v>
      </c>
      <c r="AF39" s="19">
        <v>31500</v>
      </c>
      <c r="AG39" s="19">
        <v>32500</v>
      </c>
      <c r="AH39" s="19">
        <v>33100</v>
      </c>
      <c r="AI39" s="19">
        <v>36000</v>
      </c>
      <c r="AJ39" s="19"/>
      <c r="AK39" s="959">
        <f t="shared" si="0"/>
        <v>1.7844794477301695</v>
      </c>
      <c r="AL39" s="959">
        <f t="shared" ref="AL39:AL44" si="5">((AB39/Q39)^(1/11)-1)*100</f>
        <v>0.12547248851022541</v>
      </c>
      <c r="AM39" s="959">
        <f t="shared" ref="AM39:AM44" si="6">((AI39/I39)^(1/26)-1)*100</f>
        <v>1.4123543114045178</v>
      </c>
      <c r="AN39" s="959">
        <f t="shared" ref="AN39:AN44" si="7">((AI39/AB39)^(1/7)-1)*100</f>
        <v>3.0358887066258333</v>
      </c>
      <c r="AO39" s="23"/>
      <c r="AP39" s="959">
        <f t="shared" ref="AP39:AP44" si="8">100*AI39/I39-100</f>
        <v>44</v>
      </c>
      <c r="AQ39" s="114"/>
      <c r="AR39" s="809"/>
      <c r="AS39" s="809"/>
      <c r="AT39" s="809"/>
      <c r="AU39" s="809"/>
      <c r="AV39" s="809"/>
      <c r="AW39" s="809"/>
    </row>
    <row r="40" spans="1:49" ht="15">
      <c r="C40" s="1" t="s">
        <v>5</v>
      </c>
      <c r="I40" s="20">
        <v>22400</v>
      </c>
      <c r="J40" s="19">
        <v>23600</v>
      </c>
      <c r="K40" s="19">
        <v>19900</v>
      </c>
      <c r="L40" s="19">
        <v>22400</v>
      </c>
      <c r="M40" s="19">
        <v>24000</v>
      </c>
      <c r="N40" s="19">
        <v>21200</v>
      </c>
      <c r="O40" s="19">
        <v>23900</v>
      </c>
      <c r="P40" s="39">
        <v>24800</v>
      </c>
      <c r="Q40" s="240">
        <v>26100</v>
      </c>
      <c r="R40" s="19">
        <v>26000</v>
      </c>
      <c r="S40" s="19">
        <v>25000</v>
      </c>
      <c r="T40" s="19">
        <v>28400</v>
      </c>
      <c r="U40" s="19">
        <v>26900</v>
      </c>
      <c r="V40" s="19">
        <v>28600</v>
      </c>
      <c r="W40" s="19">
        <v>28400</v>
      </c>
      <c r="X40" s="19">
        <v>28400</v>
      </c>
      <c r="Y40" s="19">
        <v>28000</v>
      </c>
      <c r="Z40" s="19">
        <v>28100</v>
      </c>
      <c r="AA40" s="19">
        <v>28600</v>
      </c>
      <c r="AB40" s="19">
        <v>27200</v>
      </c>
      <c r="AC40" s="19">
        <v>29100</v>
      </c>
      <c r="AD40" s="19">
        <v>27900</v>
      </c>
      <c r="AE40" s="19">
        <v>28100</v>
      </c>
      <c r="AF40" s="19">
        <v>29300</v>
      </c>
      <c r="AG40" s="19">
        <v>27900</v>
      </c>
      <c r="AH40" s="19">
        <v>28700</v>
      </c>
      <c r="AI40" s="19">
        <v>31000</v>
      </c>
      <c r="AJ40" s="19"/>
      <c r="AK40" s="959">
        <f t="shared" si="0"/>
        <v>1.9293045585706547</v>
      </c>
      <c r="AL40" s="959">
        <f t="shared" si="5"/>
        <v>0.3759928953041447</v>
      </c>
      <c r="AM40" s="959">
        <f t="shared" si="6"/>
        <v>1.2575579156566485</v>
      </c>
      <c r="AN40" s="959">
        <f t="shared" si="7"/>
        <v>1.885705182431785</v>
      </c>
      <c r="AO40" s="23"/>
      <c r="AP40" s="959">
        <f t="shared" si="8"/>
        <v>38.392857142857139</v>
      </c>
      <c r="AQ40" s="114"/>
      <c r="AR40" s="809"/>
      <c r="AS40" s="809"/>
      <c r="AT40" s="809"/>
      <c r="AU40" s="809"/>
      <c r="AV40" s="809"/>
      <c r="AW40" s="809"/>
    </row>
    <row r="41" spans="1:49" ht="15">
      <c r="C41" s="1" t="s">
        <v>6</v>
      </c>
      <c r="I41" s="20">
        <v>39500</v>
      </c>
      <c r="J41" s="19">
        <v>48200</v>
      </c>
      <c r="K41" s="19">
        <v>40600</v>
      </c>
      <c r="L41" s="19">
        <v>47600</v>
      </c>
      <c r="M41" s="19">
        <v>43000</v>
      </c>
      <c r="N41" s="19">
        <v>39700</v>
      </c>
      <c r="O41" s="19">
        <v>44100</v>
      </c>
      <c r="P41" s="39">
        <v>41700</v>
      </c>
      <c r="Q41" s="240">
        <v>51000</v>
      </c>
      <c r="R41" s="19">
        <v>45500</v>
      </c>
      <c r="S41" s="19">
        <v>40500</v>
      </c>
      <c r="T41" s="19">
        <v>33600</v>
      </c>
      <c r="U41" s="19">
        <v>40700</v>
      </c>
      <c r="V41" s="19">
        <v>60300</v>
      </c>
      <c r="W41" s="19">
        <v>50900</v>
      </c>
      <c r="X41" s="19">
        <v>48500</v>
      </c>
      <c r="Y41" s="19">
        <v>44500</v>
      </c>
      <c r="Z41" s="19">
        <v>53900</v>
      </c>
      <c r="AA41" s="19">
        <v>42900</v>
      </c>
      <c r="AB41" s="19">
        <v>40100</v>
      </c>
      <c r="AC41" s="19">
        <v>42700</v>
      </c>
      <c r="AD41" s="19">
        <v>42900</v>
      </c>
      <c r="AE41" s="19">
        <v>46200</v>
      </c>
      <c r="AF41" s="19">
        <v>40000</v>
      </c>
      <c r="AG41" s="19">
        <v>50700</v>
      </c>
      <c r="AH41" s="19">
        <v>49500</v>
      </c>
      <c r="AI41" s="19">
        <v>53600</v>
      </c>
      <c r="AJ41" s="19"/>
      <c r="AK41" s="959">
        <f t="shared" si="0"/>
        <v>3.2456196341409393</v>
      </c>
      <c r="AL41" s="959">
        <f t="shared" si="5"/>
        <v>-2.1621849892774603</v>
      </c>
      <c r="AM41" s="959">
        <f t="shared" si="6"/>
        <v>1.1809511019242436</v>
      </c>
      <c r="AN41" s="959">
        <f t="shared" si="7"/>
        <v>4.2324429627662585</v>
      </c>
      <c r="AO41" s="23"/>
      <c r="AP41" s="959">
        <f t="shared" si="8"/>
        <v>35.696202531645582</v>
      </c>
      <c r="AQ41" s="114"/>
      <c r="AR41" s="809"/>
      <c r="AS41" s="809"/>
      <c r="AT41" s="809"/>
      <c r="AU41" s="809"/>
      <c r="AV41" s="809"/>
      <c r="AW41" s="809"/>
    </row>
    <row r="42" spans="1:49" ht="15">
      <c r="C42" s="128" t="s">
        <v>7</v>
      </c>
      <c r="I42" s="20">
        <v>20300</v>
      </c>
      <c r="J42" s="19">
        <v>20300</v>
      </c>
      <c r="K42" s="19">
        <v>19000</v>
      </c>
      <c r="L42" s="19">
        <v>20700</v>
      </c>
      <c r="M42" s="19">
        <v>21300</v>
      </c>
      <c r="N42" s="19">
        <v>21400</v>
      </c>
      <c r="O42" s="19">
        <v>22300</v>
      </c>
      <c r="P42" s="39">
        <v>21600</v>
      </c>
      <c r="Q42" s="240">
        <v>23100</v>
      </c>
      <c r="R42" s="19">
        <v>23700</v>
      </c>
      <c r="S42" s="19">
        <v>23300</v>
      </c>
      <c r="T42" s="19">
        <v>23000</v>
      </c>
      <c r="U42" s="19">
        <v>22200</v>
      </c>
      <c r="V42" s="19">
        <v>22500</v>
      </c>
      <c r="W42" s="19">
        <v>24400</v>
      </c>
      <c r="X42" s="19">
        <v>23800</v>
      </c>
      <c r="Y42" s="19">
        <v>23800</v>
      </c>
      <c r="Z42" s="19">
        <v>24900</v>
      </c>
      <c r="AA42" s="19">
        <v>24900</v>
      </c>
      <c r="AB42" s="19">
        <v>25500</v>
      </c>
      <c r="AC42" s="19">
        <v>26500</v>
      </c>
      <c r="AD42" s="19">
        <v>27100</v>
      </c>
      <c r="AE42" s="19">
        <v>26900</v>
      </c>
      <c r="AF42" s="19">
        <v>28000</v>
      </c>
      <c r="AG42" s="19">
        <v>27000</v>
      </c>
      <c r="AH42" s="19">
        <v>29100</v>
      </c>
      <c r="AI42" s="19">
        <v>28800</v>
      </c>
      <c r="AJ42" s="19"/>
      <c r="AK42" s="959">
        <f t="shared" si="0"/>
        <v>1.6282606452217019</v>
      </c>
      <c r="AL42" s="959">
        <f t="shared" si="5"/>
        <v>0.90264801353197033</v>
      </c>
      <c r="AM42" s="959">
        <f t="shared" si="6"/>
        <v>1.3542982722799524</v>
      </c>
      <c r="AN42" s="959">
        <f t="shared" si="7"/>
        <v>1.7537279940263772</v>
      </c>
      <c r="AO42" s="23"/>
      <c r="AP42" s="959">
        <f t="shared" si="8"/>
        <v>41.871921182266021</v>
      </c>
      <c r="AQ42" s="114"/>
      <c r="AR42" s="809"/>
      <c r="AS42" s="809"/>
      <c r="AT42" s="809"/>
      <c r="AU42" s="809"/>
      <c r="AV42" s="809"/>
      <c r="AW42" s="809"/>
    </row>
    <row r="43" spans="1:49" ht="15">
      <c r="C43" s="1" t="s">
        <v>5</v>
      </c>
      <c r="I43" s="20">
        <v>18900</v>
      </c>
      <c r="J43" s="19">
        <v>19300</v>
      </c>
      <c r="K43" s="19">
        <v>18300</v>
      </c>
      <c r="L43" s="19">
        <v>19500</v>
      </c>
      <c r="M43" s="19">
        <v>20400</v>
      </c>
      <c r="N43" s="19">
        <v>20900</v>
      </c>
      <c r="O43" s="19">
        <v>21900</v>
      </c>
      <c r="P43" s="39">
        <v>20900</v>
      </c>
      <c r="Q43" s="240">
        <v>22500</v>
      </c>
      <c r="R43" s="19">
        <v>22800</v>
      </c>
      <c r="S43" s="19">
        <v>22900</v>
      </c>
      <c r="T43" s="19">
        <v>22600</v>
      </c>
      <c r="U43" s="19">
        <v>21600</v>
      </c>
      <c r="V43" s="19">
        <v>22000</v>
      </c>
      <c r="W43" s="19">
        <v>23400</v>
      </c>
      <c r="X43" s="19">
        <v>23200</v>
      </c>
      <c r="Y43" s="19">
        <v>23200</v>
      </c>
      <c r="Z43" s="19">
        <v>24000</v>
      </c>
      <c r="AA43" s="19">
        <v>24200</v>
      </c>
      <c r="AB43" s="19">
        <v>24700</v>
      </c>
      <c r="AC43" s="19">
        <v>25400</v>
      </c>
      <c r="AD43" s="19">
        <v>26500</v>
      </c>
      <c r="AE43" s="19">
        <v>26000</v>
      </c>
      <c r="AF43" s="19">
        <v>26800</v>
      </c>
      <c r="AG43" s="19">
        <v>25800</v>
      </c>
      <c r="AH43" s="19">
        <v>28000</v>
      </c>
      <c r="AI43" s="19">
        <v>27300</v>
      </c>
      <c r="AJ43" s="19"/>
      <c r="AK43" s="959">
        <f t="shared" si="0"/>
        <v>2.203340115283825</v>
      </c>
      <c r="AL43" s="959">
        <f t="shared" si="5"/>
        <v>0.85167845034164191</v>
      </c>
      <c r="AM43" s="959">
        <f t="shared" si="6"/>
        <v>1.4243749875681111</v>
      </c>
      <c r="AN43" s="959">
        <f t="shared" si="7"/>
        <v>1.4400337020140208</v>
      </c>
      <c r="AO43" s="23"/>
      <c r="AP43" s="959">
        <f t="shared" si="8"/>
        <v>44.444444444444457</v>
      </c>
      <c r="AQ43" s="114"/>
      <c r="AR43" s="809"/>
      <c r="AS43" s="809"/>
      <c r="AT43" s="809"/>
      <c r="AU43" s="809"/>
      <c r="AV43" s="809"/>
      <c r="AW43" s="809"/>
    </row>
    <row r="44" spans="1:49" ht="15">
      <c r="C44" s="1" t="s">
        <v>6</v>
      </c>
      <c r="I44" s="20">
        <v>35500</v>
      </c>
      <c r="J44" s="19">
        <v>33000</v>
      </c>
      <c r="K44" s="19">
        <v>26100</v>
      </c>
      <c r="L44" s="19">
        <v>34200</v>
      </c>
      <c r="M44" s="19">
        <v>35000</v>
      </c>
      <c r="N44" s="19">
        <v>31600</v>
      </c>
      <c r="O44" s="19">
        <v>30100</v>
      </c>
      <c r="P44" s="39">
        <v>36300</v>
      </c>
      <c r="Q44" s="240">
        <v>34100</v>
      </c>
      <c r="R44" s="19">
        <v>42400</v>
      </c>
      <c r="S44" s="19">
        <v>35300</v>
      </c>
      <c r="T44" s="19">
        <v>30700</v>
      </c>
      <c r="U44" s="19">
        <v>37600</v>
      </c>
      <c r="V44" s="19">
        <v>37200</v>
      </c>
      <c r="W44" s="19">
        <v>45900</v>
      </c>
      <c r="X44" s="19">
        <v>38200</v>
      </c>
      <c r="Y44" s="19">
        <v>35600</v>
      </c>
      <c r="Z44" s="19">
        <v>38200</v>
      </c>
      <c r="AA44" s="19">
        <v>36700</v>
      </c>
      <c r="AB44" s="19">
        <v>37400</v>
      </c>
      <c r="AC44" s="19">
        <v>41900</v>
      </c>
      <c r="AD44" s="19">
        <v>34700</v>
      </c>
      <c r="AE44" s="19">
        <v>34500</v>
      </c>
      <c r="AF44" s="19">
        <v>38400</v>
      </c>
      <c r="AG44" s="19">
        <v>38000</v>
      </c>
      <c r="AH44" s="19">
        <v>38500</v>
      </c>
      <c r="AI44" s="19">
        <v>40000</v>
      </c>
      <c r="AJ44" s="19"/>
      <c r="AK44" s="959">
        <f t="shared" si="0"/>
        <v>-0.50167876978177706</v>
      </c>
      <c r="AL44" s="959">
        <f t="shared" si="5"/>
        <v>0.84329330925987378</v>
      </c>
      <c r="AM44" s="959">
        <f t="shared" si="6"/>
        <v>0.46008112903108689</v>
      </c>
      <c r="AN44" s="959">
        <f t="shared" si="7"/>
        <v>0.96474898249332419</v>
      </c>
      <c r="AO44" s="23"/>
      <c r="AP44" s="959">
        <f t="shared" si="8"/>
        <v>12.676056338028175</v>
      </c>
      <c r="AQ44" s="114"/>
      <c r="AR44" s="809"/>
      <c r="AS44" s="809"/>
      <c r="AT44" s="809"/>
      <c r="AU44" s="809"/>
      <c r="AV44" s="809"/>
      <c r="AW44" s="809"/>
    </row>
    <row r="45" spans="1:49" ht="15">
      <c r="I45" s="20"/>
      <c r="J45" s="39"/>
      <c r="K45" s="39"/>
      <c r="L45" s="39"/>
      <c r="M45" s="39"/>
      <c r="N45" s="39"/>
      <c r="O45" s="39"/>
      <c r="P45" s="39"/>
      <c r="Q45" s="240"/>
      <c r="R45" s="19"/>
      <c r="S45" s="19"/>
      <c r="T45" s="19"/>
      <c r="U45" s="19"/>
      <c r="V45" s="19"/>
      <c r="W45" s="19"/>
      <c r="X45" s="19"/>
      <c r="Y45" s="19"/>
      <c r="Z45" s="19"/>
      <c r="AA45" s="19"/>
      <c r="AB45" s="19"/>
      <c r="AC45" s="19"/>
      <c r="AD45" s="19"/>
      <c r="AE45" s="19"/>
      <c r="AF45" s="19"/>
      <c r="AG45" s="19"/>
      <c r="AH45" s="19"/>
      <c r="AI45" s="19"/>
      <c r="AJ45" s="19"/>
      <c r="AK45" s="959"/>
      <c r="AL45" s="959"/>
      <c r="AM45" s="959"/>
      <c r="AN45" s="959"/>
      <c r="AO45" s="23"/>
      <c r="AP45" s="959"/>
      <c r="AQ45" s="114"/>
      <c r="AR45" s="809"/>
      <c r="AS45" s="809"/>
      <c r="AT45" s="809"/>
      <c r="AU45" s="809"/>
      <c r="AV45" s="809"/>
      <c r="AW45" s="809"/>
    </row>
    <row r="46" spans="1:49" ht="15">
      <c r="C46" s="128" t="s">
        <v>8</v>
      </c>
      <c r="I46" s="20">
        <v>38900</v>
      </c>
      <c r="J46" s="19">
        <v>36600</v>
      </c>
      <c r="K46" s="19">
        <v>35400</v>
      </c>
      <c r="L46" s="19">
        <v>35100</v>
      </c>
      <c r="M46" s="19">
        <v>35600</v>
      </c>
      <c r="N46" s="19">
        <v>35600</v>
      </c>
      <c r="O46" s="19">
        <v>35100</v>
      </c>
      <c r="P46" s="39">
        <v>37400</v>
      </c>
      <c r="Q46" s="240">
        <v>37200</v>
      </c>
      <c r="R46" s="19">
        <v>36800</v>
      </c>
      <c r="S46" s="19">
        <v>33200</v>
      </c>
      <c r="T46" s="19">
        <v>33000</v>
      </c>
      <c r="U46" s="19">
        <v>32700</v>
      </c>
      <c r="V46" s="19">
        <v>32900</v>
      </c>
      <c r="W46" s="19">
        <v>32600</v>
      </c>
      <c r="X46" s="19">
        <v>32100</v>
      </c>
      <c r="Y46" s="19">
        <v>32400</v>
      </c>
      <c r="Z46" s="19">
        <v>33000</v>
      </c>
      <c r="AA46" s="19">
        <v>34700</v>
      </c>
      <c r="AB46" s="19">
        <v>36000</v>
      </c>
      <c r="AC46" s="19">
        <v>36600</v>
      </c>
      <c r="AD46" s="19">
        <v>36800</v>
      </c>
      <c r="AE46" s="19">
        <v>37800</v>
      </c>
      <c r="AF46" s="19">
        <v>36900</v>
      </c>
      <c r="AG46" s="19">
        <v>38300</v>
      </c>
      <c r="AH46" s="19">
        <v>40100</v>
      </c>
      <c r="AI46" s="19">
        <v>40200</v>
      </c>
      <c r="AJ46" s="19"/>
      <c r="AK46" s="959">
        <f t="shared" si="0"/>
        <v>-0.55701152281291133</v>
      </c>
      <c r="AL46" s="959">
        <f t="shared" ref="AL46:AL51" si="9">((AB46/Q46)^(1/11)-1)*100</f>
        <v>-0.29764545336945503</v>
      </c>
      <c r="AM46" s="959">
        <f t="shared" ref="AM46:AM51" si="10">((AI46/I46)^(1/26)-1)*100</f>
        <v>0.12651359563307096</v>
      </c>
      <c r="AN46" s="959">
        <f t="shared" ref="AN46:AN51" si="11">((AI46/AB46)^(1/7)-1)*100</f>
        <v>1.5888915628009981</v>
      </c>
      <c r="AO46" s="23"/>
      <c r="AP46" s="959">
        <f t="shared" ref="AP46:AP51" si="12">100*AI46/I46-100</f>
        <v>3.3419023136246722</v>
      </c>
      <c r="AQ46" s="114"/>
      <c r="AR46" s="809"/>
      <c r="AS46" s="809"/>
      <c r="AT46" s="809"/>
      <c r="AU46" s="809"/>
      <c r="AV46" s="809"/>
      <c r="AW46" s="809"/>
    </row>
    <row r="47" spans="1:49" ht="15">
      <c r="C47" s="1" t="s">
        <v>5</v>
      </c>
      <c r="I47" s="20">
        <v>11000</v>
      </c>
      <c r="J47" s="19">
        <v>12800</v>
      </c>
      <c r="K47" s="19">
        <v>11400</v>
      </c>
      <c r="L47" s="19">
        <v>11400</v>
      </c>
      <c r="M47" s="19">
        <v>11800</v>
      </c>
      <c r="N47" s="19">
        <v>11500</v>
      </c>
      <c r="O47" s="19">
        <v>13600</v>
      </c>
      <c r="P47" s="39">
        <v>13800</v>
      </c>
      <c r="Q47" s="240">
        <v>14300</v>
      </c>
      <c r="R47" s="19">
        <v>15200</v>
      </c>
      <c r="S47" s="19">
        <v>13800</v>
      </c>
      <c r="T47" s="19">
        <v>14000</v>
      </c>
      <c r="U47" s="19">
        <v>13500</v>
      </c>
      <c r="V47" s="19">
        <v>14100</v>
      </c>
      <c r="W47" s="19">
        <v>13500</v>
      </c>
      <c r="X47" s="19">
        <v>12500</v>
      </c>
      <c r="Y47" s="19">
        <v>12600</v>
      </c>
      <c r="Z47" s="19">
        <v>11300</v>
      </c>
      <c r="AA47" s="19">
        <v>11000</v>
      </c>
      <c r="AB47" s="19">
        <v>11000</v>
      </c>
      <c r="AC47" s="19">
        <v>12900</v>
      </c>
      <c r="AD47" s="19">
        <v>12700</v>
      </c>
      <c r="AE47" s="19">
        <v>13400</v>
      </c>
      <c r="AF47" s="19">
        <v>13000</v>
      </c>
      <c r="AG47" s="19">
        <v>13400</v>
      </c>
      <c r="AH47" s="19">
        <v>13600</v>
      </c>
      <c r="AI47" s="19">
        <v>14800</v>
      </c>
      <c r="AJ47" s="19"/>
      <c r="AK47" s="959">
        <f t="shared" si="0"/>
        <v>3.3339233926807266</v>
      </c>
      <c r="AL47" s="959">
        <f t="shared" si="9"/>
        <v>-2.3569102608756665</v>
      </c>
      <c r="AM47" s="959">
        <f t="shared" si="10"/>
        <v>1.1478139764531825</v>
      </c>
      <c r="AN47" s="959">
        <f t="shared" si="11"/>
        <v>4.3301571289855678</v>
      </c>
      <c r="AO47" s="23"/>
      <c r="AP47" s="959">
        <f t="shared" si="12"/>
        <v>34.545454545454533</v>
      </c>
      <c r="AQ47" s="114"/>
      <c r="AR47" s="809"/>
      <c r="AS47" s="809"/>
      <c r="AT47" s="809"/>
      <c r="AU47" s="809"/>
      <c r="AV47" s="809"/>
      <c r="AW47" s="809"/>
    </row>
    <row r="48" spans="1:49" ht="15">
      <c r="C48" s="1" t="s">
        <v>6</v>
      </c>
      <c r="I48" s="20">
        <v>42200</v>
      </c>
      <c r="J48" s="19">
        <v>40200</v>
      </c>
      <c r="K48" s="19">
        <v>39500</v>
      </c>
      <c r="L48" s="19">
        <v>39100</v>
      </c>
      <c r="M48" s="19">
        <v>39300</v>
      </c>
      <c r="N48" s="19">
        <v>38800</v>
      </c>
      <c r="O48" s="19">
        <v>38000</v>
      </c>
      <c r="P48" s="39">
        <v>40800</v>
      </c>
      <c r="Q48" s="240">
        <v>40400</v>
      </c>
      <c r="R48" s="19">
        <v>40100</v>
      </c>
      <c r="S48" s="19">
        <v>37800</v>
      </c>
      <c r="T48" s="19">
        <v>37400</v>
      </c>
      <c r="U48" s="19">
        <v>38300</v>
      </c>
      <c r="V48" s="19">
        <v>37800</v>
      </c>
      <c r="W48" s="19">
        <v>37300</v>
      </c>
      <c r="X48" s="19">
        <v>37300</v>
      </c>
      <c r="Y48" s="19">
        <v>37700</v>
      </c>
      <c r="Z48" s="19">
        <v>38700</v>
      </c>
      <c r="AA48" s="19">
        <v>39600</v>
      </c>
      <c r="AB48" s="19">
        <v>40700</v>
      </c>
      <c r="AC48" s="19">
        <v>41100</v>
      </c>
      <c r="AD48" s="19">
        <v>41800</v>
      </c>
      <c r="AE48" s="19">
        <v>43000</v>
      </c>
      <c r="AF48" s="19">
        <v>41500</v>
      </c>
      <c r="AG48" s="19">
        <v>43800</v>
      </c>
      <c r="AH48" s="19">
        <v>44700</v>
      </c>
      <c r="AI48" s="19">
        <v>45000</v>
      </c>
      <c r="AJ48" s="19"/>
      <c r="AK48" s="959">
        <f t="shared" si="0"/>
        <v>-0.54339866993996511</v>
      </c>
      <c r="AL48" s="959">
        <f t="shared" si="9"/>
        <v>6.7279963561373002E-2</v>
      </c>
      <c r="AM48" s="959">
        <f t="shared" si="10"/>
        <v>0.24739115711525095</v>
      </c>
      <c r="AN48" s="959">
        <f t="shared" si="11"/>
        <v>1.4451194352297803</v>
      </c>
      <c r="AO48" s="23"/>
      <c r="AP48" s="959">
        <f t="shared" si="12"/>
        <v>6.6350710900473899</v>
      </c>
      <c r="AQ48" s="114"/>
      <c r="AR48" s="809"/>
      <c r="AS48" s="809"/>
      <c r="AT48" s="809"/>
      <c r="AU48" s="809"/>
      <c r="AV48" s="809"/>
      <c r="AW48" s="809"/>
    </row>
    <row r="49" spans="1:49" ht="15">
      <c r="C49" s="128" t="s">
        <v>9</v>
      </c>
      <c r="I49" s="20">
        <v>28900</v>
      </c>
      <c r="J49" s="19">
        <v>29700</v>
      </c>
      <c r="K49" s="19">
        <v>27900</v>
      </c>
      <c r="L49" s="19">
        <v>27500</v>
      </c>
      <c r="M49" s="19">
        <v>28300</v>
      </c>
      <c r="N49" s="19">
        <v>28900</v>
      </c>
      <c r="O49" s="19">
        <v>30000</v>
      </c>
      <c r="P49" s="39">
        <v>29100</v>
      </c>
      <c r="Q49" s="240">
        <v>30800</v>
      </c>
      <c r="R49" s="19">
        <v>29800</v>
      </c>
      <c r="S49" s="19">
        <v>27800</v>
      </c>
      <c r="T49" s="19">
        <v>28000</v>
      </c>
      <c r="U49" s="19">
        <v>28800</v>
      </c>
      <c r="V49" s="19">
        <v>27100</v>
      </c>
      <c r="W49" s="19">
        <v>28100</v>
      </c>
      <c r="X49" s="19">
        <v>26800</v>
      </c>
      <c r="Y49" s="19">
        <v>26900</v>
      </c>
      <c r="Z49" s="19">
        <v>26700</v>
      </c>
      <c r="AA49" s="19">
        <v>30500</v>
      </c>
      <c r="AB49" s="19">
        <v>28700</v>
      </c>
      <c r="AC49" s="19">
        <v>29500</v>
      </c>
      <c r="AD49" s="19">
        <v>31100</v>
      </c>
      <c r="AE49" s="19">
        <v>31300</v>
      </c>
      <c r="AF49" s="19">
        <v>31300</v>
      </c>
      <c r="AG49" s="19">
        <v>31100</v>
      </c>
      <c r="AH49" s="19">
        <v>31700</v>
      </c>
      <c r="AI49" s="19">
        <v>33300</v>
      </c>
      <c r="AJ49" s="19"/>
      <c r="AK49" s="959">
        <f t="shared" si="0"/>
        <v>0.79908949872555812</v>
      </c>
      <c r="AL49" s="959">
        <f t="shared" si="9"/>
        <v>-0.63992160837780254</v>
      </c>
      <c r="AM49" s="959">
        <f t="shared" si="10"/>
        <v>0.54654893522680936</v>
      </c>
      <c r="AN49" s="959">
        <f t="shared" si="11"/>
        <v>2.1464295885251561</v>
      </c>
      <c r="AO49" s="23"/>
      <c r="AP49" s="959">
        <f t="shared" si="12"/>
        <v>15.224913494809684</v>
      </c>
      <c r="AQ49" s="114"/>
      <c r="AR49" s="809"/>
      <c r="AS49" s="809"/>
      <c r="AT49" s="809"/>
      <c r="AU49" s="809"/>
      <c r="AV49" s="809"/>
      <c r="AW49" s="809"/>
    </row>
    <row r="50" spans="1:49" ht="15">
      <c r="C50" s="1" t="s">
        <v>5</v>
      </c>
      <c r="I50" s="20">
        <v>10900</v>
      </c>
      <c r="J50" s="19">
        <v>14000</v>
      </c>
      <c r="K50" s="19">
        <v>14200</v>
      </c>
      <c r="L50" s="19">
        <v>13000</v>
      </c>
      <c r="M50" s="19">
        <v>14700</v>
      </c>
      <c r="N50" s="19">
        <v>15200</v>
      </c>
      <c r="O50" s="19">
        <v>15700</v>
      </c>
      <c r="P50" s="39">
        <v>14600</v>
      </c>
      <c r="Q50" s="240">
        <v>15700</v>
      </c>
      <c r="R50" s="19">
        <v>16500</v>
      </c>
      <c r="S50" s="19">
        <v>14700</v>
      </c>
      <c r="T50" s="19">
        <v>14700</v>
      </c>
      <c r="U50" s="19">
        <v>14400</v>
      </c>
      <c r="V50" s="19">
        <v>15900</v>
      </c>
      <c r="W50" s="19">
        <v>14200</v>
      </c>
      <c r="X50" s="19">
        <v>13900</v>
      </c>
      <c r="Y50" s="19">
        <v>13600</v>
      </c>
      <c r="Z50" s="19">
        <v>11900</v>
      </c>
      <c r="AA50" s="19">
        <v>11700</v>
      </c>
      <c r="AB50" s="19">
        <v>11600</v>
      </c>
      <c r="AC50" s="19">
        <v>13200</v>
      </c>
      <c r="AD50" s="19">
        <v>13100</v>
      </c>
      <c r="AE50" s="19">
        <v>14100</v>
      </c>
      <c r="AF50" s="19">
        <v>14000</v>
      </c>
      <c r="AG50" s="19">
        <v>15800</v>
      </c>
      <c r="AH50" s="19">
        <v>14800</v>
      </c>
      <c r="AI50" s="19">
        <v>15000</v>
      </c>
      <c r="AJ50" s="19"/>
      <c r="AK50" s="959">
        <f t="shared" si="0"/>
        <v>4.666847649917405</v>
      </c>
      <c r="AL50" s="959">
        <f t="shared" si="9"/>
        <v>-2.7139080363398405</v>
      </c>
      <c r="AM50" s="959">
        <f t="shared" si="10"/>
        <v>1.2355997378014516</v>
      </c>
      <c r="AN50" s="959">
        <f t="shared" si="11"/>
        <v>3.7403263731297987</v>
      </c>
      <c r="AO50" s="23"/>
      <c r="AP50" s="959">
        <f t="shared" si="12"/>
        <v>37.614678899082577</v>
      </c>
      <c r="AQ50" s="114"/>
      <c r="AR50" s="809"/>
      <c r="AS50" s="809"/>
      <c r="AT50" s="809"/>
      <c r="AU50" s="809"/>
      <c r="AV50" s="809"/>
      <c r="AW50" s="809"/>
    </row>
    <row r="51" spans="1:49" ht="15">
      <c r="C51" s="1" t="s">
        <v>10</v>
      </c>
      <c r="I51" s="20">
        <v>32800</v>
      </c>
      <c r="J51" s="19">
        <v>33200</v>
      </c>
      <c r="K51" s="19">
        <v>31300</v>
      </c>
      <c r="L51" s="19">
        <v>30900</v>
      </c>
      <c r="M51" s="19">
        <v>31600</v>
      </c>
      <c r="N51" s="19">
        <v>32100</v>
      </c>
      <c r="O51" s="19">
        <v>33300</v>
      </c>
      <c r="P51" s="39">
        <v>32500</v>
      </c>
      <c r="Q51" s="240">
        <v>34500</v>
      </c>
      <c r="R51" s="19">
        <v>32800</v>
      </c>
      <c r="S51" s="19">
        <v>31800</v>
      </c>
      <c r="T51" s="19">
        <v>32700</v>
      </c>
      <c r="U51" s="19">
        <v>33600</v>
      </c>
      <c r="V51" s="19">
        <v>31700</v>
      </c>
      <c r="W51" s="19">
        <v>32800</v>
      </c>
      <c r="X51" s="19">
        <v>31600</v>
      </c>
      <c r="Y51" s="19">
        <v>32200</v>
      </c>
      <c r="Z51" s="19">
        <v>32700</v>
      </c>
      <c r="AA51" s="19">
        <v>37300</v>
      </c>
      <c r="AB51" s="19">
        <v>34500</v>
      </c>
      <c r="AC51" s="19">
        <v>34900</v>
      </c>
      <c r="AD51" s="19">
        <v>36600</v>
      </c>
      <c r="AE51" s="19">
        <v>36300</v>
      </c>
      <c r="AF51" s="19">
        <v>36500</v>
      </c>
      <c r="AG51" s="19">
        <v>35100</v>
      </c>
      <c r="AH51" s="19">
        <v>36100</v>
      </c>
      <c r="AI51" s="19">
        <v>38100</v>
      </c>
      <c r="AJ51" s="19"/>
      <c r="AK51" s="959">
        <f t="shared" si="0"/>
        <v>0.63363412926260576</v>
      </c>
      <c r="AL51" s="959">
        <f t="shared" si="9"/>
        <v>0</v>
      </c>
      <c r="AM51" s="959">
        <f t="shared" si="10"/>
        <v>0.57776174502635058</v>
      </c>
      <c r="AN51" s="959">
        <f t="shared" si="11"/>
        <v>1.428028253243574</v>
      </c>
      <c r="AO51" s="23"/>
      <c r="AP51" s="959">
        <f t="shared" si="12"/>
        <v>16.158536585365852</v>
      </c>
      <c r="AR51" s="809"/>
      <c r="AS51" s="809"/>
      <c r="AT51" s="809"/>
      <c r="AU51" s="809"/>
      <c r="AV51" s="809"/>
      <c r="AW51" s="809"/>
    </row>
    <row r="52" spans="1:49" ht="15">
      <c r="I52" s="652"/>
      <c r="J52" s="960"/>
      <c r="K52" s="960"/>
      <c r="L52" s="960"/>
      <c r="M52" s="960"/>
      <c r="N52" s="960"/>
      <c r="O52" s="960"/>
      <c r="P52" s="960"/>
      <c r="Q52" s="652"/>
      <c r="R52" s="652"/>
      <c r="S52" s="652"/>
      <c r="T52" s="652"/>
      <c r="U52" s="652"/>
      <c r="V52" s="652"/>
      <c r="W52" s="652"/>
      <c r="X52" s="652"/>
      <c r="Y52" s="652"/>
      <c r="Z52" s="652"/>
      <c r="AA52" s="652"/>
      <c r="AB52" s="652"/>
      <c r="AC52" s="652"/>
      <c r="AD52" s="652"/>
      <c r="AE52" s="652"/>
      <c r="AF52" s="652"/>
      <c r="AG52" s="652"/>
      <c r="AR52" s="809"/>
      <c r="AS52" s="809"/>
      <c r="AT52" s="809"/>
      <c r="AU52" s="809"/>
      <c r="AV52" s="809"/>
      <c r="AW52" s="809"/>
    </row>
    <row r="53" spans="1:49" ht="26.25" customHeight="1">
      <c r="A53" s="1170" t="s">
        <v>696</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J53" s="1170"/>
      <c r="AK53" s="1170"/>
      <c r="AL53" s="1170"/>
      <c r="AM53" s="1170"/>
      <c r="AN53" s="1170"/>
      <c r="AO53" s="1170"/>
      <c r="AP53" s="1170"/>
      <c r="AR53" s="809"/>
      <c r="AS53" s="809"/>
      <c r="AT53" s="809"/>
      <c r="AU53" s="809"/>
      <c r="AV53" s="809"/>
      <c r="AW53" s="809"/>
    </row>
    <row r="54" spans="1:49">
      <c r="A54" s="4" t="s">
        <v>1868</v>
      </c>
      <c r="B54" s="16"/>
      <c r="C54" s="16"/>
      <c r="D54" s="16"/>
      <c r="E54" s="16"/>
      <c r="F54" s="16"/>
      <c r="G54" s="16"/>
      <c r="H54" s="16"/>
      <c r="I54" s="16"/>
      <c r="J54" s="964"/>
      <c r="K54" s="964"/>
      <c r="L54" s="964"/>
      <c r="M54" s="964"/>
      <c r="N54" s="964"/>
      <c r="O54" s="964"/>
      <c r="P54" s="964"/>
      <c r="Q54" s="16"/>
      <c r="R54" s="16"/>
      <c r="S54" s="16"/>
      <c r="T54" s="16"/>
      <c r="U54" s="16"/>
      <c r="V54" s="16"/>
      <c r="W54" s="16"/>
      <c r="X54" s="16"/>
      <c r="Y54" s="16"/>
      <c r="Z54" s="16"/>
      <c r="AA54" s="16"/>
      <c r="AB54" s="16"/>
      <c r="AC54" s="16"/>
      <c r="AD54" s="16"/>
      <c r="AE54" s="16"/>
      <c r="AF54" s="16"/>
      <c r="AG54" s="16"/>
      <c r="AH54" s="16"/>
      <c r="AI54" s="964"/>
      <c r="AJ54" s="16"/>
      <c r="AK54" s="16"/>
      <c r="AL54" s="16"/>
      <c r="AM54" s="16"/>
      <c r="AN54" s="16"/>
      <c r="AO54" s="16"/>
      <c r="AP54" s="16"/>
    </row>
    <row r="55" spans="1:49">
      <c r="A55" s="4" t="s">
        <v>388</v>
      </c>
      <c r="B55" s="16"/>
      <c r="C55" s="16"/>
      <c r="D55" s="16"/>
      <c r="E55" s="16"/>
      <c r="F55" s="16"/>
      <c r="G55" s="16"/>
      <c r="H55" s="16"/>
      <c r="I55" s="16"/>
      <c r="J55" s="964"/>
      <c r="K55" s="964"/>
      <c r="L55" s="964"/>
      <c r="M55" s="964"/>
      <c r="N55" s="964"/>
      <c r="O55" s="964"/>
      <c r="P55" s="964"/>
      <c r="Q55" s="16"/>
      <c r="R55" s="16"/>
      <c r="S55" s="16"/>
      <c r="T55" s="16"/>
      <c r="U55" s="16"/>
      <c r="V55" s="16"/>
      <c r="W55" s="16"/>
      <c r="X55" s="16"/>
      <c r="Y55" s="16"/>
      <c r="Z55" s="16"/>
      <c r="AA55" s="16"/>
      <c r="AB55" s="16"/>
      <c r="AC55" s="16"/>
      <c r="AD55" s="16"/>
      <c r="AE55" s="16"/>
      <c r="AF55" s="16"/>
      <c r="AG55" s="16"/>
      <c r="AH55" s="16"/>
      <c r="AI55" s="964"/>
      <c r="AJ55" s="16"/>
      <c r="AK55" s="16"/>
      <c r="AL55" s="16"/>
      <c r="AM55" s="16"/>
      <c r="AN55" s="16"/>
      <c r="AO55" s="16"/>
      <c r="AP55" s="16"/>
    </row>
    <row r="56" spans="1:49" ht="27" customHeight="1">
      <c r="A56" s="1168" t="s">
        <v>233</v>
      </c>
      <c r="B56" s="1169"/>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P56" s="1169"/>
    </row>
    <row r="57" spans="1:49" ht="28.5" customHeight="1">
      <c r="A57" s="1168" t="s">
        <v>1160</v>
      </c>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c r="AI57" s="1169"/>
      <c r="AJ57" s="1169"/>
      <c r="AK57" s="1169"/>
      <c r="AL57" s="1169"/>
      <c r="AM57" s="1169"/>
      <c r="AN57" s="1169"/>
      <c r="AO57" s="1169"/>
      <c r="AP57" s="1169"/>
    </row>
    <row r="58" spans="1:49">
      <c r="A58" s="1" t="s">
        <v>821</v>
      </c>
    </row>
    <row r="60" spans="1:49">
      <c r="H60" s="961"/>
      <c r="I60" s="961"/>
      <c r="Q60" s="961"/>
      <c r="R60" s="961"/>
      <c r="S60" s="961"/>
      <c r="T60" s="961"/>
      <c r="U60" s="961"/>
      <c r="V60" s="961"/>
      <c r="W60" s="961"/>
      <c r="X60" s="961"/>
      <c r="Y60" s="961"/>
      <c r="Z60" s="961"/>
      <c r="AA60" s="961"/>
      <c r="AB60" s="961"/>
      <c r="AC60" s="961"/>
      <c r="AD60" s="961"/>
      <c r="AE60" s="961"/>
      <c r="AF60" s="961"/>
      <c r="AG60" s="961"/>
      <c r="AH60" s="961"/>
    </row>
    <row r="61" spans="1:49">
      <c r="H61" s="961"/>
      <c r="I61" s="961"/>
      <c r="Q61" s="961"/>
      <c r="R61" s="961"/>
      <c r="S61" s="961"/>
      <c r="T61" s="961"/>
      <c r="U61" s="961"/>
      <c r="V61" s="961"/>
      <c r="W61" s="961"/>
      <c r="X61" s="961"/>
      <c r="Y61" s="961"/>
      <c r="Z61" s="961"/>
      <c r="AA61" s="961"/>
      <c r="AB61" s="961"/>
      <c r="AC61" s="961"/>
      <c r="AD61" s="961"/>
      <c r="AE61" s="961"/>
      <c r="AF61" s="961"/>
      <c r="AG61" s="961"/>
      <c r="AH61" s="961"/>
    </row>
    <row r="62" spans="1:49">
      <c r="H62" s="961"/>
      <c r="I62" s="961"/>
      <c r="Q62" s="961"/>
      <c r="R62" s="961"/>
      <c r="S62" s="961"/>
      <c r="T62" s="961"/>
      <c r="U62" s="961"/>
      <c r="V62" s="961"/>
      <c r="W62" s="961"/>
      <c r="X62" s="961"/>
      <c r="Y62" s="961"/>
      <c r="Z62" s="961"/>
      <c r="AA62" s="961"/>
      <c r="AB62" s="961"/>
      <c r="AC62" s="961"/>
      <c r="AD62" s="961"/>
      <c r="AE62" s="961"/>
      <c r="AF62" s="961"/>
      <c r="AG62" s="961"/>
      <c r="AH62" s="961"/>
    </row>
    <row r="63" spans="1:49">
      <c r="H63" s="961"/>
      <c r="I63" s="961"/>
      <c r="Q63" s="961"/>
      <c r="R63" s="961"/>
      <c r="S63" s="961"/>
      <c r="T63" s="961"/>
      <c r="U63" s="961"/>
      <c r="V63" s="961"/>
      <c r="W63" s="961"/>
      <c r="X63" s="961"/>
      <c r="Y63" s="961"/>
      <c r="Z63" s="961"/>
      <c r="AA63" s="961"/>
      <c r="AB63" s="961"/>
      <c r="AC63" s="961"/>
      <c r="AD63" s="961"/>
      <c r="AE63" s="961"/>
      <c r="AF63" s="961"/>
      <c r="AG63" s="961"/>
      <c r="AH63" s="961"/>
    </row>
    <row r="64" spans="1:49">
      <c r="H64" s="961"/>
      <c r="I64" s="961"/>
      <c r="Q64" s="961"/>
      <c r="R64" s="961"/>
      <c r="S64" s="961"/>
      <c r="T64" s="961"/>
      <c r="U64" s="961"/>
      <c r="V64" s="961"/>
      <c r="W64" s="961"/>
      <c r="X64" s="961"/>
      <c r="Y64" s="961"/>
      <c r="Z64" s="961"/>
      <c r="AA64" s="961"/>
      <c r="AB64" s="961"/>
      <c r="AC64" s="961"/>
      <c r="AD64" s="961"/>
      <c r="AE64" s="961"/>
      <c r="AF64" s="961"/>
      <c r="AG64" s="961"/>
      <c r="AH64" s="961"/>
    </row>
    <row r="65" spans="8:34">
      <c r="H65" s="961"/>
      <c r="I65" s="961"/>
      <c r="Q65" s="961"/>
      <c r="R65" s="961"/>
      <c r="S65" s="961"/>
      <c r="T65" s="961"/>
      <c r="U65" s="961"/>
      <c r="V65" s="961"/>
      <c r="W65" s="961"/>
      <c r="X65" s="961"/>
      <c r="Y65" s="961"/>
      <c r="Z65" s="961"/>
      <c r="AA65" s="961"/>
      <c r="AB65" s="961"/>
      <c r="AC65" s="961"/>
      <c r="AD65" s="961"/>
      <c r="AE65" s="961"/>
      <c r="AF65" s="961"/>
      <c r="AG65" s="961"/>
      <c r="AH65" s="961"/>
    </row>
    <row r="66" spans="8:34">
      <c r="H66" s="961"/>
      <c r="I66" s="961"/>
      <c r="Q66" s="961"/>
      <c r="R66" s="961"/>
      <c r="S66" s="961"/>
      <c r="T66" s="961"/>
      <c r="U66" s="961"/>
      <c r="V66" s="961"/>
      <c r="W66" s="961"/>
      <c r="X66" s="961"/>
      <c r="Y66" s="961"/>
      <c r="Z66" s="961"/>
      <c r="AA66" s="961"/>
      <c r="AB66" s="961"/>
      <c r="AC66" s="961"/>
      <c r="AD66" s="961"/>
      <c r="AE66" s="961"/>
      <c r="AF66" s="961"/>
      <c r="AG66" s="961"/>
      <c r="AH66" s="961"/>
    </row>
    <row r="67" spans="8:34">
      <c r="H67" s="961"/>
      <c r="I67" s="961"/>
      <c r="Q67" s="961"/>
      <c r="R67" s="961"/>
      <c r="S67" s="961"/>
      <c r="T67" s="961"/>
      <c r="U67" s="961"/>
      <c r="V67" s="961"/>
      <c r="W67" s="961"/>
      <c r="X67" s="961"/>
      <c r="Y67" s="961"/>
      <c r="Z67" s="961"/>
      <c r="AA67" s="961"/>
      <c r="AB67" s="961"/>
      <c r="AC67" s="961"/>
      <c r="AD67" s="961"/>
      <c r="AE67" s="961"/>
      <c r="AF67" s="961"/>
      <c r="AG67" s="961"/>
      <c r="AH67" s="961"/>
    </row>
    <row r="68" spans="8:34">
      <c r="H68" s="961"/>
      <c r="I68" s="961"/>
      <c r="Q68" s="961"/>
      <c r="R68" s="961"/>
      <c r="S68" s="961"/>
      <c r="T68" s="961"/>
      <c r="U68" s="961"/>
      <c r="V68" s="961"/>
      <c r="W68" s="961"/>
      <c r="X68" s="961"/>
      <c r="Y68" s="961"/>
      <c r="Z68" s="961"/>
      <c r="AA68" s="961"/>
      <c r="AB68" s="961"/>
      <c r="AC68" s="961"/>
      <c r="AD68" s="961"/>
      <c r="AE68" s="961"/>
      <c r="AF68" s="961"/>
      <c r="AG68" s="961"/>
      <c r="AH68" s="961"/>
    </row>
    <row r="69" spans="8:34">
      <c r="H69" s="961"/>
      <c r="I69" s="961"/>
      <c r="Q69" s="961"/>
      <c r="R69" s="961"/>
      <c r="S69" s="961"/>
      <c r="T69" s="961"/>
      <c r="U69" s="961"/>
      <c r="V69" s="961"/>
      <c r="W69" s="961"/>
      <c r="X69" s="961"/>
      <c r="Y69" s="961"/>
      <c r="Z69" s="961"/>
      <c r="AA69" s="961"/>
      <c r="AB69" s="961"/>
      <c r="AC69" s="961"/>
      <c r="AD69" s="961"/>
      <c r="AE69" s="961"/>
      <c r="AF69" s="961"/>
      <c r="AG69" s="961"/>
      <c r="AH69" s="961"/>
    </row>
    <row r="70" spans="8:34">
      <c r="H70" s="961"/>
      <c r="I70" s="961"/>
      <c r="Q70" s="961"/>
      <c r="R70" s="961"/>
      <c r="S70" s="961"/>
      <c r="T70" s="961"/>
      <c r="U70" s="961"/>
      <c r="V70" s="961"/>
      <c r="W70" s="961"/>
      <c r="X70" s="961"/>
      <c r="Y70" s="961"/>
      <c r="Z70" s="961"/>
      <c r="AA70" s="961"/>
      <c r="AB70" s="961"/>
      <c r="AC70" s="961"/>
      <c r="AD70" s="961"/>
      <c r="AE70" s="961"/>
      <c r="AF70" s="961"/>
      <c r="AG70" s="961"/>
      <c r="AH70" s="961"/>
    </row>
    <row r="71" spans="8:34">
      <c r="H71" s="961"/>
      <c r="I71" s="961"/>
      <c r="Q71" s="961"/>
      <c r="R71" s="961"/>
      <c r="S71" s="961"/>
      <c r="T71" s="961"/>
      <c r="U71" s="961"/>
      <c r="V71" s="961"/>
      <c r="W71" s="961"/>
      <c r="X71" s="961"/>
      <c r="Y71" s="961"/>
      <c r="Z71" s="961"/>
      <c r="AA71" s="961"/>
      <c r="AB71" s="961"/>
      <c r="AC71" s="961"/>
      <c r="AD71" s="961"/>
      <c r="AE71" s="961"/>
      <c r="AF71" s="961"/>
      <c r="AG71" s="961"/>
      <c r="AH71" s="961"/>
    </row>
    <row r="72" spans="8:34">
      <c r="H72" s="961"/>
      <c r="I72" s="961"/>
      <c r="Q72" s="961"/>
      <c r="R72" s="961"/>
      <c r="S72" s="961"/>
      <c r="T72" s="961"/>
      <c r="U72" s="961"/>
      <c r="V72" s="961"/>
      <c r="W72" s="961"/>
      <c r="X72" s="961"/>
      <c r="Y72" s="961"/>
      <c r="Z72" s="961"/>
      <c r="AA72" s="961"/>
      <c r="AB72" s="961"/>
      <c r="AC72" s="961"/>
      <c r="AD72" s="961"/>
      <c r="AE72" s="961"/>
      <c r="AF72" s="961"/>
      <c r="AG72" s="961"/>
      <c r="AH72" s="961"/>
    </row>
    <row r="73" spans="8:34">
      <c r="H73" s="961"/>
      <c r="I73" s="961"/>
      <c r="Q73" s="961"/>
      <c r="R73" s="961"/>
      <c r="S73" s="961"/>
      <c r="T73" s="961"/>
      <c r="U73" s="961"/>
      <c r="V73" s="961"/>
      <c r="W73" s="961"/>
      <c r="X73" s="961"/>
      <c r="Y73" s="961"/>
      <c r="Z73" s="961"/>
      <c r="AA73" s="961"/>
      <c r="AB73" s="961"/>
      <c r="AC73" s="961"/>
      <c r="AD73" s="961"/>
      <c r="AE73" s="961"/>
      <c r="AF73" s="961"/>
      <c r="AG73" s="961"/>
      <c r="AH73" s="961"/>
    </row>
    <row r="74" spans="8:34">
      <c r="H74" s="961"/>
      <c r="I74" s="961"/>
      <c r="Q74" s="961"/>
      <c r="R74" s="961"/>
      <c r="S74" s="961"/>
      <c r="T74" s="961"/>
      <c r="U74" s="961"/>
      <c r="V74" s="961"/>
      <c r="W74" s="961"/>
      <c r="X74" s="961"/>
      <c r="Y74" s="961"/>
      <c r="Z74" s="961"/>
      <c r="AA74" s="961"/>
      <c r="AB74" s="961"/>
      <c r="AC74" s="961"/>
      <c r="AD74" s="961"/>
      <c r="AE74" s="961"/>
      <c r="AF74" s="961"/>
      <c r="AG74" s="961"/>
      <c r="AH74" s="961"/>
    </row>
    <row r="75" spans="8:34">
      <c r="H75" s="961"/>
      <c r="I75" s="961"/>
      <c r="Q75" s="961"/>
      <c r="R75" s="961"/>
      <c r="S75" s="961"/>
      <c r="T75" s="961"/>
      <c r="U75" s="961"/>
      <c r="V75" s="961"/>
      <c r="W75" s="961"/>
      <c r="X75" s="961"/>
      <c r="Y75" s="961"/>
      <c r="Z75" s="961"/>
      <c r="AA75" s="961"/>
      <c r="AB75" s="961"/>
      <c r="AC75" s="961"/>
      <c r="AD75" s="961"/>
      <c r="AE75" s="961"/>
      <c r="AF75" s="961"/>
      <c r="AG75" s="961"/>
      <c r="AH75" s="961"/>
    </row>
    <row r="76" spans="8:34">
      <c r="H76" s="961"/>
      <c r="I76" s="961"/>
      <c r="Q76" s="961"/>
      <c r="R76" s="961"/>
      <c r="S76" s="961"/>
      <c r="T76" s="961"/>
      <c r="U76" s="961"/>
      <c r="V76" s="961"/>
      <c r="W76" s="961"/>
      <c r="X76" s="961"/>
      <c r="Y76" s="961"/>
      <c r="Z76" s="961"/>
      <c r="AA76" s="961"/>
      <c r="AB76" s="961"/>
      <c r="AC76" s="961"/>
      <c r="AD76" s="961"/>
      <c r="AE76" s="961"/>
      <c r="AF76" s="961"/>
      <c r="AG76" s="961"/>
      <c r="AH76" s="961"/>
    </row>
    <row r="77" spans="8:34">
      <c r="H77" s="961"/>
      <c r="I77" s="961"/>
      <c r="Q77" s="961"/>
      <c r="R77" s="961"/>
      <c r="S77" s="961"/>
      <c r="T77" s="961"/>
      <c r="U77" s="961"/>
      <c r="V77" s="961"/>
      <c r="W77" s="961"/>
      <c r="X77" s="961"/>
      <c r="Y77" s="961"/>
      <c r="Z77" s="961"/>
      <c r="AA77" s="961"/>
      <c r="AB77" s="961"/>
      <c r="AC77" s="961"/>
      <c r="AD77" s="961"/>
      <c r="AE77" s="961"/>
      <c r="AF77" s="961"/>
      <c r="AG77" s="961"/>
      <c r="AH77" s="961"/>
    </row>
    <row r="78" spans="8:34">
      <c r="H78" s="961"/>
      <c r="I78" s="961"/>
      <c r="Q78" s="961"/>
      <c r="R78" s="961"/>
      <c r="S78" s="961"/>
      <c r="T78" s="961"/>
      <c r="U78" s="961"/>
      <c r="V78" s="961"/>
      <c r="W78" s="961"/>
      <c r="X78" s="961"/>
      <c r="Y78" s="961"/>
      <c r="Z78" s="961"/>
      <c r="AA78" s="961"/>
      <c r="AB78" s="961"/>
      <c r="AC78" s="961"/>
      <c r="AD78" s="961"/>
      <c r="AE78" s="961"/>
      <c r="AF78" s="961"/>
      <c r="AG78" s="961"/>
      <c r="AH78" s="961"/>
    </row>
    <row r="79" spans="8:34">
      <c r="H79" s="961"/>
      <c r="I79" s="961"/>
      <c r="Q79" s="961"/>
      <c r="R79" s="961"/>
      <c r="S79" s="961"/>
      <c r="T79" s="961"/>
      <c r="U79" s="961"/>
      <c r="V79" s="961"/>
      <c r="W79" s="961"/>
      <c r="X79" s="961"/>
      <c r="Y79" s="961"/>
      <c r="Z79" s="961"/>
      <c r="AA79" s="961"/>
      <c r="AB79" s="961"/>
      <c r="AC79" s="961"/>
      <c r="AD79" s="961"/>
      <c r="AE79" s="961"/>
      <c r="AF79" s="961"/>
      <c r="AG79" s="961"/>
      <c r="AH79" s="961"/>
    </row>
    <row r="80" spans="8:34">
      <c r="H80" s="961"/>
      <c r="I80" s="961"/>
      <c r="Q80" s="961"/>
      <c r="R80" s="961"/>
      <c r="S80" s="961"/>
      <c r="T80" s="961"/>
      <c r="U80" s="961"/>
      <c r="V80" s="961"/>
      <c r="W80" s="961"/>
      <c r="X80" s="961"/>
      <c r="Y80" s="961"/>
      <c r="Z80" s="961"/>
      <c r="AA80" s="961"/>
      <c r="AB80" s="961"/>
      <c r="AC80" s="961"/>
      <c r="AD80" s="961"/>
      <c r="AE80" s="961"/>
      <c r="AF80" s="961"/>
      <c r="AG80" s="961"/>
      <c r="AH80" s="961"/>
    </row>
    <row r="81" spans="8:34">
      <c r="H81" s="961"/>
      <c r="I81" s="961"/>
      <c r="Q81" s="961"/>
      <c r="R81" s="961"/>
      <c r="S81" s="961"/>
      <c r="T81" s="961"/>
      <c r="U81" s="961"/>
      <c r="V81" s="961"/>
      <c r="W81" s="961"/>
      <c r="X81" s="961"/>
      <c r="Y81" s="961"/>
      <c r="Z81" s="961"/>
      <c r="AA81" s="961"/>
      <c r="AB81" s="961"/>
      <c r="AC81" s="961"/>
      <c r="AD81" s="961"/>
      <c r="AE81" s="961"/>
      <c r="AF81" s="961"/>
      <c r="AG81" s="961"/>
      <c r="AH81" s="961"/>
    </row>
    <row r="82" spans="8:34">
      <c r="H82" s="961"/>
      <c r="I82" s="961"/>
      <c r="Q82" s="961"/>
      <c r="R82" s="961"/>
      <c r="S82" s="961"/>
      <c r="T82" s="961"/>
      <c r="U82" s="961"/>
      <c r="V82" s="961"/>
      <c r="W82" s="961"/>
      <c r="X82" s="961"/>
      <c r="Y82" s="961"/>
      <c r="Z82" s="961"/>
      <c r="AA82" s="961"/>
      <c r="AB82" s="961"/>
      <c r="AC82" s="961"/>
      <c r="AD82" s="961"/>
      <c r="AE82" s="961"/>
      <c r="AF82" s="961"/>
      <c r="AG82" s="961"/>
      <c r="AH82" s="961"/>
    </row>
    <row r="83" spans="8:34">
      <c r="H83" s="961"/>
      <c r="I83" s="961"/>
      <c r="Q83" s="961"/>
      <c r="R83" s="961"/>
      <c r="S83" s="961"/>
      <c r="T83" s="961"/>
      <c r="U83" s="961"/>
      <c r="V83" s="961"/>
      <c r="W83" s="961"/>
      <c r="X83" s="961"/>
      <c r="Y83" s="961"/>
      <c r="Z83" s="961"/>
      <c r="AA83" s="961"/>
      <c r="AB83" s="961"/>
      <c r="AC83" s="961"/>
      <c r="AD83" s="961"/>
      <c r="AE83" s="961"/>
      <c r="AF83" s="961"/>
      <c r="AG83" s="961"/>
      <c r="AH83" s="961"/>
    </row>
    <row r="84" spans="8:34">
      <c r="H84" s="961"/>
      <c r="I84" s="961"/>
      <c r="Q84" s="961"/>
      <c r="R84" s="961"/>
      <c r="S84" s="961"/>
      <c r="T84" s="961"/>
      <c r="U84" s="961"/>
      <c r="V84" s="961"/>
      <c r="W84" s="961"/>
      <c r="X84" s="961"/>
      <c r="Y84" s="961"/>
      <c r="Z84" s="961"/>
      <c r="AA84" s="961"/>
      <c r="AB84" s="961"/>
      <c r="AC84" s="961"/>
      <c r="AD84" s="961"/>
      <c r="AE84" s="961"/>
      <c r="AF84" s="961"/>
      <c r="AG84" s="961"/>
      <c r="AH84" s="961"/>
    </row>
    <row r="85" spans="8:34">
      <c r="H85" s="961"/>
      <c r="I85" s="961"/>
      <c r="Q85" s="961"/>
      <c r="R85" s="961"/>
      <c r="S85" s="961"/>
      <c r="T85" s="961"/>
      <c r="U85" s="961"/>
      <c r="V85" s="961"/>
      <c r="W85" s="961"/>
      <c r="X85" s="961"/>
      <c r="Y85" s="961"/>
      <c r="Z85" s="961"/>
      <c r="AA85" s="961"/>
      <c r="AB85" s="961"/>
      <c r="AC85" s="961"/>
      <c r="AD85" s="961"/>
      <c r="AE85" s="961"/>
      <c r="AF85" s="961"/>
      <c r="AG85" s="961"/>
      <c r="AH85" s="961"/>
    </row>
    <row r="86" spans="8:34">
      <c r="H86" s="961"/>
      <c r="I86" s="961"/>
      <c r="Q86" s="961"/>
      <c r="R86" s="961"/>
      <c r="S86" s="961"/>
      <c r="T86" s="961"/>
      <c r="U86" s="961"/>
      <c r="V86" s="961"/>
      <c r="W86" s="961"/>
      <c r="X86" s="961"/>
      <c r="Y86" s="961"/>
      <c r="Z86" s="961"/>
      <c r="AA86" s="961"/>
      <c r="AB86" s="961"/>
      <c r="AC86" s="961"/>
      <c r="AD86" s="961"/>
      <c r="AE86" s="961"/>
      <c r="AF86" s="961"/>
      <c r="AG86" s="961"/>
      <c r="AH86" s="961"/>
    </row>
    <row r="87" spans="8:34">
      <c r="H87" s="961"/>
      <c r="I87" s="961"/>
      <c r="Q87" s="961"/>
      <c r="R87" s="961"/>
      <c r="S87" s="961"/>
      <c r="T87" s="961"/>
      <c r="U87" s="961"/>
      <c r="V87" s="961"/>
      <c r="W87" s="961"/>
      <c r="X87" s="961"/>
      <c r="Y87" s="961"/>
      <c r="Z87" s="961"/>
      <c r="AA87" s="961"/>
      <c r="AB87" s="961"/>
      <c r="AC87" s="961"/>
      <c r="AD87" s="961"/>
      <c r="AE87" s="961"/>
      <c r="AF87" s="961"/>
      <c r="AG87" s="961"/>
      <c r="AH87" s="961"/>
    </row>
    <row r="88" spans="8:34">
      <c r="H88" s="961"/>
      <c r="I88" s="961"/>
      <c r="Q88" s="961"/>
      <c r="R88" s="961"/>
      <c r="S88" s="961"/>
      <c r="T88" s="961"/>
      <c r="U88" s="961"/>
      <c r="V88" s="961"/>
      <c r="W88" s="961"/>
      <c r="X88" s="961"/>
      <c r="Y88" s="961"/>
      <c r="Z88" s="961"/>
      <c r="AA88" s="961"/>
      <c r="AB88" s="961"/>
      <c r="AC88" s="961"/>
      <c r="AD88" s="961"/>
      <c r="AE88" s="961"/>
      <c r="AF88" s="961"/>
      <c r="AG88" s="961"/>
      <c r="AH88" s="961"/>
    </row>
    <row r="89" spans="8:34">
      <c r="H89" s="961"/>
      <c r="I89" s="961"/>
      <c r="Q89" s="961"/>
      <c r="R89" s="961"/>
      <c r="S89" s="961"/>
      <c r="T89" s="961"/>
      <c r="U89" s="961"/>
      <c r="V89" s="961"/>
      <c r="W89" s="961"/>
      <c r="X89" s="961"/>
      <c r="Y89" s="961"/>
      <c r="Z89" s="961"/>
      <c r="AA89" s="961"/>
      <c r="AB89" s="961"/>
      <c r="AC89" s="961"/>
      <c r="AD89" s="961"/>
      <c r="AE89" s="961"/>
      <c r="AF89" s="961"/>
      <c r="AG89" s="961"/>
      <c r="AH89" s="961"/>
    </row>
    <row r="90" spans="8:34">
      <c r="H90" s="961"/>
      <c r="I90" s="961"/>
      <c r="Q90" s="961"/>
      <c r="R90" s="961"/>
      <c r="S90" s="961"/>
      <c r="T90" s="961"/>
      <c r="U90" s="961"/>
      <c r="V90" s="961"/>
      <c r="W90" s="961"/>
      <c r="X90" s="961"/>
      <c r="Y90" s="961"/>
      <c r="Z90" s="961"/>
      <c r="AA90" s="961"/>
      <c r="AB90" s="961"/>
      <c r="AC90" s="961"/>
      <c r="AD90" s="961"/>
      <c r="AE90" s="961"/>
      <c r="AF90" s="961"/>
      <c r="AG90" s="961"/>
      <c r="AH90" s="961"/>
    </row>
    <row r="91" spans="8:34">
      <c r="H91" s="961"/>
      <c r="I91" s="961"/>
      <c r="Q91" s="961"/>
      <c r="R91" s="961"/>
      <c r="S91" s="961"/>
      <c r="T91" s="961"/>
      <c r="U91" s="961"/>
      <c r="V91" s="961"/>
      <c r="W91" s="961"/>
      <c r="X91" s="961"/>
      <c r="Y91" s="961"/>
      <c r="Z91" s="961"/>
      <c r="AA91" s="961"/>
      <c r="AB91" s="961"/>
      <c r="AC91" s="961"/>
      <c r="AD91" s="961"/>
      <c r="AE91" s="961"/>
      <c r="AF91" s="961"/>
      <c r="AG91" s="961"/>
      <c r="AH91" s="961"/>
    </row>
    <row r="92" spans="8:34">
      <c r="H92" s="961"/>
      <c r="I92" s="961"/>
      <c r="Q92" s="961"/>
      <c r="R92" s="961"/>
      <c r="S92" s="961"/>
      <c r="T92" s="961"/>
      <c r="U92" s="961"/>
      <c r="V92" s="961"/>
      <c r="W92" s="961"/>
      <c r="X92" s="961"/>
      <c r="Y92" s="961"/>
      <c r="Z92" s="961"/>
      <c r="AA92" s="961"/>
      <c r="AB92" s="961"/>
      <c r="AC92" s="961"/>
      <c r="AD92" s="961"/>
      <c r="AE92" s="961"/>
      <c r="AF92" s="961"/>
      <c r="AG92" s="961"/>
      <c r="AH92" s="961"/>
    </row>
    <row r="93" spans="8:34">
      <c r="H93" s="961"/>
      <c r="I93" s="961"/>
      <c r="Q93" s="961"/>
      <c r="R93" s="961"/>
      <c r="S93" s="961"/>
      <c r="T93" s="961"/>
      <c r="U93" s="961"/>
      <c r="V93" s="961"/>
      <c r="W93" s="961"/>
      <c r="X93" s="961"/>
      <c r="Y93" s="961"/>
      <c r="Z93" s="961"/>
      <c r="AA93" s="961"/>
      <c r="AB93" s="961"/>
      <c r="AC93" s="961"/>
      <c r="AD93" s="961"/>
      <c r="AE93" s="961"/>
      <c r="AF93" s="961"/>
      <c r="AG93" s="961"/>
      <c r="AH93" s="961"/>
    </row>
    <row r="94" spans="8:34">
      <c r="H94" s="961"/>
      <c r="I94" s="961"/>
      <c r="Q94" s="961"/>
      <c r="R94" s="961"/>
      <c r="S94" s="961"/>
      <c r="T94" s="961"/>
      <c r="U94" s="961"/>
      <c r="V94" s="961"/>
      <c r="W94" s="961"/>
      <c r="X94" s="961"/>
      <c r="Y94" s="961"/>
      <c r="Z94" s="961"/>
      <c r="AA94" s="961"/>
      <c r="AB94" s="961"/>
      <c r="AC94" s="961"/>
      <c r="AD94" s="961"/>
      <c r="AE94" s="961"/>
      <c r="AF94" s="961"/>
      <c r="AG94" s="961"/>
      <c r="AH94" s="961"/>
    </row>
    <row r="95" spans="8:34">
      <c r="H95" s="961"/>
      <c r="I95" s="961"/>
      <c r="Q95" s="961"/>
      <c r="R95" s="961"/>
      <c r="S95" s="961"/>
      <c r="T95" s="961"/>
      <c r="U95" s="961"/>
      <c r="V95" s="961"/>
      <c r="W95" s="961"/>
      <c r="X95" s="961"/>
      <c r="Y95" s="961"/>
      <c r="Z95" s="961"/>
      <c r="AA95" s="961"/>
      <c r="AB95" s="961"/>
      <c r="AC95" s="961"/>
      <c r="AD95" s="961"/>
      <c r="AE95" s="961"/>
      <c r="AF95" s="961"/>
      <c r="AG95" s="961"/>
      <c r="AH95" s="961"/>
    </row>
    <row r="96" spans="8:34">
      <c r="H96" s="961"/>
      <c r="I96" s="961"/>
      <c r="Q96" s="961"/>
      <c r="R96" s="961"/>
      <c r="S96" s="961"/>
      <c r="T96" s="961"/>
      <c r="U96" s="961"/>
      <c r="V96" s="961"/>
      <c r="W96" s="961"/>
      <c r="X96" s="961"/>
      <c r="Y96" s="961"/>
      <c r="Z96" s="961"/>
      <c r="AA96" s="961"/>
      <c r="AB96" s="961"/>
      <c r="AC96" s="961"/>
      <c r="AD96" s="961"/>
      <c r="AE96" s="961"/>
      <c r="AF96" s="961"/>
      <c r="AG96" s="961"/>
      <c r="AH96" s="961"/>
    </row>
    <row r="97" spans="8:39">
      <c r="H97" s="961"/>
      <c r="I97" s="961"/>
      <c r="Q97" s="961"/>
      <c r="R97" s="961"/>
      <c r="S97" s="961"/>
      <c r="T97" s="961"/>
      <c r="U97" s="961"/>
      <c r="V97" s="961"/>
      <c r="W97" s="961"/>
      <c r="X97" s="961"/>
      <c r="Y97" s="961"/>
      <c r="Z97" s="961"/>
      <c r="AA97" s="961"/>
      <c r="AB97" s="961"/>
      <c r="AC97" s="961"/>
      <c r="AD97" s="961"/>
      <c r="AE97" s="961"/>
      <c r="AF97" s="961"/>
      <c r="AG97" s="961"/>
      <c r="AH97" s="961"/>
    </row>
    <row r="102" spans="8:39">
      <c r="Q102" s="961"/>
      <c r="R102" s="961"/>
      <c r="S102" s="961"/>
      <c r="T102" s="961"/>
      <c r="U102" s="961"/>
      <c r="V102" s="961"/>
      <c r="W102" s="961"/>
      <c r="X102" s="961"/>
      <c r="Y102" s="961"/>
      <c r="Z102" s="961"/>
      <c r="AA102" s="961"/>
      <c r="AB102" s="961"/>
      <c r="AC102" s="961"/>
      <c r="AD102" s="961"/>
      <c r="AE102" s="961"/>
      <c r="AF102" s="961"/>
      <c r="AG102" s="961"/>
      <c r="AH102" s="961"/>
      <c r="AJ102" s="961"/>
      <c r="AK102" s="961"/>
      <c r="AL102" s="961"/>
      <c r="AM102" s="961"/>
    </row>
    <row r="103" spans="8:39">
      <c r="Q103" s="961"/>
      <c r="R103" s="961"/>
      <c r="S103" s="961"/>
      <c r="T103" s="961"/>
      <c r="U103" s="961"/>
      <c r="V103" s="961"/>
      <c r="W103" s="961"/>
      <c r="X103" s="961"/>
      <c r="Y103" s="961"/>
      <c r="Z103" s="961"/>
      <c r="AA103" s="961"/>
      <c r="AB103" s="961"/>
      <c r="AC103" s="961"/>
      <c r="AD103" s="961"/>
      <c r="AE103" s="961"/>
      <c r="AF103" s="961"/>
      <c r="AG103" s="961"/>
      <c r="AH103" s="961"/>
      <c r="AJ103" s="961"/>
      <c r="AK103" s="961"/>
      <c r="AL103" s="961"/>
      <c r="AM103" s="961"/>
    </row>
    <row r="104" spans="8:39">
      <c r="Q104" s="961"/>
      <c r="R104" s="961"/>
      <c r="S104" s="961"/>
      <c r="T104" s="961"/>
      <c r="U104" s="961"/>
      <c r="V104" s="961"/>
      <c r="W104" s="961"/>
      <c r="X104" s="961"/>
      <c r="Y104" s="961"/>
      <c r="Z104" s="961"/>
      <c r="AA104" s="961"/>
      <c r="AB104" s="961"/>
      <c r="AC104" s="961"/>
      <c r="AD104" s="961"/>
      <c r="AE104" s="961"/>
      <c r="AF104" s="961"/>
      <c r="AG104" s="961"/>
      <c r="AH104" s="961"/>
      <c r="AJ104" s="961"/>
      <c r="AK104" s="961"/>
      <c r="AL104" s="961"/>
      <c r="AM104" s="961"/>
    </row>
    <row r="105" spans="8:39">
      <c r="Q105" s="961"/>
      <c r="R105" s="961"/>
      <c r="S105" s="961"/>
      <c r="T105" s="961"/>
      <c r="U105" s="961"/>
      <c r="V105" s="961"/>
      <c r="W105" s="961"/>
      <c r="X105" s="961"/>
      <c r="Y105" s="961"/>
      <c r="Z105" s="961"/>
      <c r="AA105" s="961"/>
      <c r="AB105" s="961"/>
      <c r="AC105" s="961"/>
      <c r="AD105" s="961"/>
      <c r="AE105" s="961"/>
      <c r="AF105" s="961"/>
      <c r="AG105" s="961"/>
      <c r="AH105" s="961"/>
      <c r="AJ105" s="961"/>
      <c r="AK105" s="961"/>
      <c r="AL105" s="961"/>
      <c r="AM105" s="961"/>
    </row>
    <row r="106" spans="8:39">
      <c r="Q106" s="961"/>
      <c r="R106" s="961"/>
      <c r="S106" s="961"/>
      <c r="T106" s="961"/>
      <c r="U106" s="961"/>
      <c r="V106" s="961"/>
      <c r="W106" s="961"/>
      <c r="X106" s="961"/>
      <c r="Y106" s="961"/>
      <c r="Z106" s="961"/>
      <c r="AA106" s="961"/>
      <c r="AB106" s="961"/>
      <c r="AC106" s="961"/>
      <c r="AD106" s="961"/>
      <c r="AE106" s="961"/>
      <c r="AF106" s="961"/>
      <c r="AG106" s="961"/>
      <c r="AH106" s="961"/>
      <c r="AJ106" s="961"/>
      <c r="AK106" s="961"/>
      <c r="AL106" s="961"/>
      <c r="AM106" s="961"/>
    </row>
    <row r="107" spans="8:39">
      <c r="Q107" s="961"/>
      <c r="R107" s="961"/>
      <c r="S107" s="961"/>
      <c r="T107" s="961"/>
      <c r="U107" s="961"/>
      <c r="V107" s="961"/>
      <c r="W107" s="961"/>
      <c r="X107" s="961"/>
      <c r="Y107" s="961"/>
      <c r="Z107" s="961"/>
      <c r="AA107" s="961"/>
      <c r="AB107" s="961"/>
      <c r="AC107" s="961"/>
      <c r="AD107" s="961"/>
      <c r="AE107" s="961"/>
      <c r="AF107" s="961"/>
      <c r="AG107" s="961"/>
      <c r="AH107" s="961"/>
      <c r="AJ107" s="961"/>
      <c r="AK107" s="961"/>
      <c r="AL107" s="961"/>
      <c r="AM107" s="961"/>
    </row>
    <row r="108" spans="8:39">
      <c r="Q108" s="961"/>
      <c r="R108" s="961"/>
      <c r="S108" s="961"/>
      <c r="T108" s="961"/>
      <c r="U108" s="961"/>
      <c r="V108" s="961"/>
      <c r="W108" s="961"/>
      <c r="X108" s="961"/>
      <c r="Y108" s="961"/>
      <c r="Z108" s="961"/>
      <c r="AA108" s="961"/>
      <c r="AB108" s="961"/>
      <c r="AC108" s="961"/>
      <c r="AD108" s="961"/>
      <c r="AE108" s="961"/>
      <c r="AF108" s="961"/>
      <c r="AG108" s="961"/>
      <c r="AH108" s="961"/>
      <c r="AJ108" s="961"/>
      <c r="AK108" s="961"/>
      <c r="AL108" s="961"/>
      <c r="AM108" s="961"/>
    </row>
    <row r="109" spans="8:39">
      <c r="Q109" s="961"/>
      <c r="R109" s="961"/>
      <c r="S109" s="961"/>
      <c r="T109" s="961"/>
      <c r="U109" s="961"/>
      <c r="V109" s="961"/>
      <c r="W109" s="961"/>
      <c r="X109" s="961"/>
      <c r="Y109" s="961"/>
      <c r="Z109" s="961"/>
      <c r="AA109" s="961"/>
      <c r="AB109" s="961"/>
      <c r="AC109" s="961"/>
      <c r="AD109" s="961"/>
      <c r="AE109" s="961"/>
      <c r="AF109" s="961"/>
      <c r="AG109" s="961"/>
      <c r="AH109" s="961"/>
      <c r="AJ109" s="961"/>
      <c r="AK109" s="961"/>
      <c r="AL109" s="961"/>
      <c r="AM109" s="961"/>
    </row>
    <row r="110" spans="8:39">
      <c r="Q110" s="961"/>
      <c r="R110" s="961"/>
      <c r="S110" s="961"/>
      <c r="T110" s="961"/>
      <c r="U110" s="961"/>
      <c r="V110" s="961"/>
      <c r="W110" s="961"/>
      <c r="X110" s="961"/>
      <c r="Y110" s="961"/>
      <c r="Z110" s="961"/>
      <c r="AA110" s="961"/>
      <c r="AB110" s="961"/>
      <c r="AC110" s="961"/>
      <c r="AD110" s="961"/>
      <c r="AE110" s="961"/>
      <c r="AF110" s="961"/>
      <c r="AG110" s="961"/>
      <c r="AH110" s="961"/>
      <c r="AJ110" s="961"/>
      <c r="AK110" s="961"/>
      <c r="AL110" s="961"/>
      <c r="AM110" s="961"/>
    </row>
    <row r="111" spans="8:39">
      <c r="Q111" s="961"/>
      <c r="R111" s="961"/>
      <c r="S111" s="961"/>
      <c r="T111" s="961"/>
      <c r="U111" s="961"/>
      <c r="V111" s="961"/>
      <c r="W111" s="961"/>
      <c r="X111" s="961"/>
      <c r="Y111" s="961"/>
      <c r="Z111" s="961"/>
      <c r="AA111" s="961"/>
      <c r="AB111" s="961"/>
      <c r="AC111" s="961"/>
      <c r="AD111" s="961"/>
      <c r="AE111" s="961"/>
      <c r="AF111" s="961"/>
      <c r="AG111" s="961"/>
      <c r="AH111" s="961"/>
      <c r="AJ111" s="961"/>
      <c r="AK111" s="961"/>
      <c r="AL111" s="961"/>
      <c r="AM111" s="961"/>
    </row>
    <row r="112" spans="8:39">
      <c r="Q112" s="961"/>
      <c r="R112" s="961"/>
      <c r="S112" s="961"/>
      <c r="T112" s="961"/>
      <c r="U112" s="961"/>
      <c r="V112" s="961"/>
      <c r="W112" s="961"/>
      <c r="X112" s="961"/>
      <c r="Y112" s="961"/>
      <c r="Z112" s="961"/>
      <c r="AA112" s="961"/>
      <c r="AB112" s="961"/>
      <c r="AC112" s="961"/>
      <c r="AD112" s="961"/>
      <c r="AE112" s="961"/>
      <c r="AF112" s="961"/>
      <c r="AG112" s="961"/>
      <c r="AH112" s="961"/>
      <c r="AJ112" s="961"/>
      <c r="AK112" s="961"/>
      <c r="AL112" s="961"/>
      <c r="AM112" s="961"/>
    </row>
    <row r="113" spans="17:39">
      <c r="Q113" s="961"/>
      <c r="R113" s="961"/>
      <c r="S113" s="961"/>
      <c r="T113" s="961"/>
      <c r="U113" s="961"/>
      <c r="V113" s="961"/>
      <c r="W113" s="961"/>
      <c r="X113" s="961"/>
      <c r="Y113" s="961"/>
      <c r="Z113" s="961"/>
      <c r="AA113" s="961"/>
      <c r="AB113" s="961"/>
      <c r="AC113" s="961"/>
      <c r="AD113" s="961"/>
      <c r="AE113" s="961"/>
      <c r="AF113" s="961"/>
      <c r="AG113" s="961"/>
      <c r="AH113" s="961"/>
      <c r="AJ113" s="961"/>
      <c r="AK113" s="961"/>
      <c r="AL113" s="961"/>
      <c r="AM113" s="961"/>
    </row>
    <row r="114" spans="17:39">
      <c r="Q114" s="961"/>
      <c r="R114" s="961"/>
      <c r="S114" s="961"/>
      <c r="T114" s="961"/>
      <c r="U114" s="961"/>
      <c r="V114" s="961"/>
      <c r="W114" s="961"/>
      <c r="X114" s="961"/>
      <c r="Y114" s="961"/>
      <c r="Z114" s="961"/>
      <c r="AA114" s="961"/>
      <c r="AB114" s="961"/>
      <c r="AC114" s="961"/>
      <c r="AD114" s="961"/>
      <c r="AE114" s="961"/>
      <c r="AF114" s="961"/>
      <c r="AG114" s="961"/>
      <c r="AH114" s="961"/>
      <c r="AJ114" s="961"/>
      <c r="AK114" s="961"/>
      <c r="AL114" s="961"/>
      <c r="AM114" s="961"/>
    </row>
    <row r="115" spans="17:39">
      <c r="Q115" s="961"/>
      <c r="R115" s="961"/>
      <c r="S115" s="961"/>
      <c r="T115" s="961"/>
      <c r="U115" s="961"/>
      <c r="V115" s="961"/>
      <c r="W115" s="961"/>
      <c r="X115" s="961"/>
      <c r="Y115" s="961"/>
      <c r="Z115" s="961"/>
      <c r="AA115" s="961"/>
      <c r="AB115" s="961"/>
      <c r="AC115" s="961"/>
      <c r="AD115" s="961"/>
      <c r="AE115" s="961"/>
      <c r="AF115" s="961"/>
      <c r="AG115" s="961"/>
      <c r="AH115" s="961"/>
      <c r="AJ115" s="961"/>
      <c r="AK115" s="961"/>
      <c r="AL115" s="961"/>
      <c r="AM115" s="961"/>
    </row>
    <row r="116" spans="17:39">
      <c r="Q116" s="961"/>
      <c r="R116" s="961"/>
      <c r="S116" s="961"/>
      <c r="T116" s="961"/>
      <c r="U116" s="961"/>
      <c r="V116" s="961"/>
      <c r="W116" s="961"/>
      <c r="X116" s="961"/>
      <c r="Y116" s="961"/>
      <c r="Z116" s="961"/>
      <c r="AA116" s="961"/>
      <c r="AB116" s="961"/>
      <c r="AC116" s="961"/>
      <c r="AD116" s="961"/>
      <c r="AE116" s="961"/>
      <c r="AF116" s="961"/>
      <c r="AG116" s="961"/>
      <c r="AH116" s="961"/>
      <c r="AJ116" s="961"/>
      <c r="AK116" s="961"/>
      <c r="AL116" s="961"/>
      <c r="AM116" s="961"/>
    </row>
    <row r="117" spans="17:39">
      <c r="Q117" s="961"/>
      <c r="R117" s="961"/>
      <c r="S117" s="961"/>
      <c r="T117" s="961"/>
      <c r="U117" s="961"/>
      <c r="V117" s="961"/>
      <c r="W117" s="961"/>
      <c r="X117" s="961"/>
      <c r="Y117" s="961"/>
      <c r="Z117" s="961"/>
      <c r="AA117" s="961"/>
      <c r="AB117" s="961"/>
      <c r="AC117" s="961"/>
      <c r="AD117" s="961"/>
      <c r="AE117" s="961"/>
      <c r="AF117" s="961"/>
      <c r="AG117" s="961"/>
      <c r="AH117" s="961"/>
      <c r="AJ117" s="961"/>
      <c r="AK117" s="961"/>
      <c r="AL117" s="961"/>
      <c r="AM117" s="961"/>
    </row>
    <row r="118" spans="17:39">
      <c r="Q118" s="961"/>
      <c r="R118" s="961"/>
      <c r="S118" s="961"/>
      <c r="T118" s="961"/>
      <c r="U118" s="961"/>
      <c r="V118" s="961"/>
      <c r="W118" s="961"/>
      <c r="X118" s="961"/>
      <c r="Y118" s="961"/>
      <c r="Z118" s="961"/>
      <c r="AA118" s="961"/>
      <c r="AB118" s="961"/>
      <c r="AC118" s="961"/>
      <c r="AD118" s="961"/>
      <c r="AE118" s="961"/>
      <c r="AF118" s="961"/>
      <c r="AG118" s="961"/>
      <c r="AH118" s="961"/>
      <c r="AJ118" s="961"/>
      <c r="AK118" s="961"/>
      <c r="AL118" s="961"/>
      <c r="AM118" s="961"/>
    </row>
    <row r="119" spans="17:39">
      <c r="Q119" s="961"/>
      <c r="R119" s="961"/>
      <c r="S119" s="961"/>
      <c r="T119" s="961"/>
      <c r="U119" s="961"/>
      <c r="V119" s="961"/>
      <c r="W119" s="961"/>
      <c r="X119" s="961"/>
      <c r="Y119" s="961"/>
      <c r="Z119" s="961"/>
      <c r="AA119" s="961"/>
      <c r="AB119" s="961"/>
      <c r="AC119" s="961"/>
      <c r="AD119" s="961"/>
      <c r="AE119" s="961"/>
      <c r="AF119" s="961"/>
      <c r="AG119" s="961"/>
      <c r="AH119" s="961"/>
      <c r="AJ119" s="961"/>
      <c r="AK119" s="961"/>
      <c r="AL119" s="961"/>
      <c r="AM119" s="961"/>
    </row>
    <row r="120" spans="17:39">
      <c r="Q120" s="961"/>
      <c r="R120" s="961"/>
      <c r="S120" s="961"/>
      <c r="T120" s="961"/>
      <c r="U120" s="961"/>
      <c r="V120" s="961"/>
      <c r="W120" s="961"/>
      <c r="X120" s="961"/>
      <c r="Y120" s="961"/>
      <c r="Z120" s="961"/>
      <c r="AA120" s="961"/>
      <c r="AB120" s="961"/>
      <c r="AC120" s="961"/>
      <c r="AD120" s="961"/>
      <c r="AE120" s="961"/>
      <c r="AF120" s="961"/>
      <c r="AG120" s="961"/>
      <c r="AH120" s="961"/>
      <c r="AJ120" s="961"/>
      <c r="AK120" s="961"/>
      <c r="AL120" s="961"/>
      <c r="AM120" s="961"/>
    </row>
    <row r="121" spans="17:39">
      <c r="Q121" s="961"/>
      <c r="R121" s="961"/>
      <c r="S121" s="961"/>
      <c r="T121" s="961"/>
      <c r="U121" s="961"/>
      <c r="V121" s="961"/>
      <c r="W121" s="961"/>
      <c r="X121" s="961"/>
      <c r="Y121" s="961"/>
      <c r="Z121" s="961"/>
      <c r="AA121" s="961"/>
      <c r="AB121" s="961"/>
      <c r="AC121" s="961"/>
      <c r="AD121" s="961"/>
      <c r="AE121" s="961"/>
      <c r="AF121" s="961"/>
      <c r="AG121" s="961"/>
      <c r="AH121" s="961"/>
      <c r="AJ121" s="961"/>
      <c r="AK121" s="961"/>
      <c r="AL121" s="961"/>
      <c r="AM121" s="961"/>
    </row>
    <row r="122" spans="17:39">
      <c r="Q122" s="961"/>
      <c r="R122" s="961"/>
      <c r="S122" s="961"/>
      <c r="T122" s="961"/>
      <c r="U122" s="961"/>
      <c r="V122" s="961"/>
      <c r="W122" s="961"/>
      <c r="X122" s="961"/>
      <c r="Y122" s="961"/>
      <c r="Z122" s="961"/>
      <c r="AA122" s="961"/>
      <c r="AB122" s="961"/>
      <c r="AC122" s="961"/>
      <c r="AD122" s="961"/>
      <c r="AE122" s="961"/>
      <c r="AF122" s="961"/>
      <c r="AG122" s="961"/>
      <c r="AH122" s="961"/>
      <c r="AJ122" s="961"/>
      <c r="AK122" s="961"/>
      <c r="AL122" s="961"/>
      <c r="AM122" s="961"/>
    </row>
    <row r="123" spans="17:39">
      <c r="Q123" s="961"/>
      <c r="R123" s="961"/>
      <c r="S123" s="961"/>
      <c r="T123" s="961"/>
      <c r="U123" s="961"/>
      <c r="V123" s="961"/>
      <c r="W123" s="961"/>
      <c r="X123" s="961"/>
      <c r="Y123" s="961"/>
      <c r="Z123" s="961"/>
      <c r="AA123" s="961"/>
      <c r="AB123" s="961"/>
      <c r="AC123" s="961"/>
      <c r="AD123" s="961"/>
      <c r="AE123" s="961"/>
      <c r="AF123" s="961"/>
      <c r="AG123" s="961"/>
      <c r="AH123" s="961"/>
      <c r="AJ123" s="961"/>
      <c r="AK123" s="961"/>
      <c r="AL123" s="961"/>
      <c r="AM123" s="961"/>
    </row>
    <row r="124" spans="17:39">
      <c r="Q124" s="961"/>
      <c r="R124" s="961"/>
      <c r="S124" s="961"/>
      <c r="T124" s="961"/>
      <c r="U124" s="961"/>
      <c r="V124" s="961"/>
      <c r="W124" s="961"/>
      <c r="X124" s="961"/>
      <c r="Y124" s="961"/>
      <c r="Z124" s="961"/>
      <c r="AA124" s="961"/>
      <c r="AB124" s="961"/>
      <c r="AC124" s="961"/>
      <c r="AD124" s="961"/>
      <c r="AE124" s="961"/>
      <c r="AF124" s="961"/>
      <c r="AG124" s="961"/>
      <c r="AH124" s="961"/>
      <c r="AJ124" s="961"/>
      <c r="AK124" s="961"/>
      <c r="AL124" s="961"/>
      <c r="AM124" s="961"/>
    </row>
    <row r="125" spans="17:39">
      <c r="Q125" s="961"/>
      <c r="R125" s="961"/>
      <c r="S125" s="961"/>
      <c r="T125" s="961"/>
      <c r="U125" s="961"/>
      <c r="V125" s="961"/>
      <c r="W125" s="961"/>
      <c r="X125" s="961"/>
      <c r="Y125" s="961"/>
      <c r="Z125" s="961"/>
      <c r="AA125" s="961"/>
      <c r="AB125" s="961"/>
      <c r="AC125" s="961"/>
      <c r="AD125" s="961"/>
      <c r="AE125" s="961"/>
      <c r="AF125" s="961"/>
      <c r="AG125" s="961"/>
      <c r="AH125" s="961"/>
      <c r="AJ125" s="961"/>
      <c r="AK125" s="961"/>
      <c r="AL125" s="961"/>
      <c r="AM125" s="961"/>
    </row>
    <row r="126" spans="17:39">
      <c r="Q126" s="961"/>
      <c r="R126" s="961"/>
      <c r="S126" s="961"/>
      <c r="T126" s="961"/>
      <c r="U126" s="961"/>
      <c r="V126" s="961"/>
      <c r="W126" s="961"/>
      <c r="X126" s="961"/>
      <c r="Y126" s="961"/>
      <c r="Z126" s="961"/>
      <c r="AA126" s="961"/>
      <c r="AB126" s="961"/>
      <c r="AC126" s="961"/>
      <c r="AD126" s="961"/>
      <c r="AE126" s="961"/>
      <c r="AF126" s="961"/>
      <c r="AG126" s="961"/>
      <c r="AH126" s="961"/>
      <c r="AJ126" s="961"/>
      <c r="AK126" s="961"/>
      <c r="AL126" s="961"/>
      <c r="AM126" s="961"/>
    </row>
    <row r="127" spans="17:39">
      <c r="Q127" s="961"/>
      <c r="R127" s="961"/>
      <c r="S127" s="961"/>
      <c r="T127" s="961"/>
      <c r="U127" s="961"/>
      <c r="V127" s="961"/>
      <c r="W127" s="961"/>
      <c r="X127" s="961"/>
      <c r="Y127" s="961"/>
      <c r="Z127" s="961"/>
      <c r="AA127" s="961"/>
      <c r="AB127" s="961"/>
      <c r="AC127" s="961"/>
      <c r="AD127" s="961"/>
      <c r="AE127" s="961"/>
      <c r="AF127" s="961"/>
      <c r="AG127" s="961"/>
      <c r="AH127" s="961"/>
      <c r="AJ127" s="961"/>
      <c r="AK127" s="961"/>
      <c r="AL127" s="961"/>
      <c r="AM127" s="961"/>
    </row>
    <row r="128" spans="17:39">
      <c r="Q128" s="961"/>
      <c r="R128" s="961"/>
      <c r="S128" s="961"/>
      <c r="T128" s="961"/>
      <c r="U128" s="961"/>
      <c r="V128" s="961"/>
      <c r="W128" s="961"/>
      <c r="X128" s="961"/>
      <c r="Y128" s="961"/>
      <c r="Z128" s="961"/>
      <c r="AA128" s="961"/>
      <c r="AB128" s="961"/>
      <c r="AC128" s="961"/>
      <c r="AD128" s="961"/>
      <c r="AE128" s="961"/>
      <c r="AF128" s="961"/>
      <c r="AG128" s="961"/>
      <c r="AH128" s="961"/>
      <c r="AJ128" s="961"/>
      <c r="AK128" s="961"/>
      <c r="AL128" s="961"/>
      <c r="AM128" s="961"/>
    </row>
    <row r="129" spans="17:39">
      <c r="Q129" s="961"/>
      <c r="R129" s="961"/>
      <c r="S129" s="961"/>
      <c r="T129" s="961"/>
      <c r="U129" s="961"/>
      <c r="V129" s="961"/>
      <c r="W129" s="961"/>
      <c r="X129" s="961"/>
      <c r="Y129" s="961"/>
      <c r="Z129" s="961"/>
      <c r="AA129" s="961"/>
      <c r="AB129" s="961"/>
      <c r="AC129" s="961"/>
      <c r="AD129" s="961"/>
      <c r="AE129" s="961"/>
      <c r="AF129" s="961"/>
      <c r="AG129" s="961"/>
      <c r="AH129" s="961"/>
      <c r="AJ129" s="961"/>
      <c r="AK129" s="961"/>
      <c r="AL129" s="961"/>
      <c r="AM129" s="961"/>
    </row>
    <row r="130" spans="17:39">
      <c r="Q130" s="961"/>
      <c r="R130" s="961"/>
      <c r="S130" s="961"/>
      <c r="T130" s="961"/>
      <c r="U130" s="961"/>
      <c r="V130" s="961"/>
      <c r="W130" s="961"/>
      <c r="X130" s="961"/>
      <c r="Y130" s="961"/>
      <c r="Z130" s="961"/>
      <c r="AA130" s="961"/>
      <c r="AB130" s="961"/>
      <c r="AC130" s="961"/>
      <c r="AD130" s="961"/>
      <c r="AE130" s="961"/>
      <c r="AF130" s="961"/>
      <c r="AG130" s="961"/>
      <c r="AH130" s="961"/>
      <c r="AJ130" s="961"/>
      <c r="AK130" s="961"/>
      <c r="AL130" s="961"/>
      <c r="AM130" s="961"/>
    </row>
    <row r="131" spans="17:39">
      <c r="Q131" s="961"/>
      <c r="R131" s="961"/>
      <c r="S131" s="961"/>
      <c r="T131" s="961"/>
      <c r="U131" s="961"/>
      <c r="V131" s="961"/>
      <c r="W131" s="961"/>
      <c r="X131" s="961"/>
      <c r="Y131" s="961"/>
      <c r="Z131" s="961"/>
      <c r="AA131" s="961"/>
      <c r="AB131" s="961"/>
      <c r="AC131" s="961"/>
      <c r="AD131" s="961"/>
      <c r="AE131" s="961"/>
      <c r="AF131" s="961"/>
      <c r="AG131" s="961"/>
      <c r="AH131" s="961"/>
      <c r="AJ131" s="961"/>
      <c r="AK131" s="961"/>
      <c r="AL131" s="961"/>
      <c r="AM131" s="961"/>
    </row>
    <row r="132" spans="17:39">
      <c r="Q132" s="961"/>
      <c r="R132" s="961"/>
      <c r="S132" s="961"/>
      <c r="T132" s="961"/>
      <c r="U132" s="961"/>
      <c r="V132" s="961"/>
      <c r="W132" s="961"/>
      <c r="X132" s="961"/>
      <c r="Y132" s="961"/>
      <c r="Z132" s="961"/>
      <c r="AA132" s="961"/>
      <c r="AB132" s="961"/>
      <c r="AC132" s="961"/>
      <c r="AD132" s="961"/>
      <c r="AE132" s="961"/>
      <c r="AF132" s="961"/>
      <c r="AG132" s="961"/>
      <c r="AH132" s="961"/>
      <c r="AJ132" s="961"/>
      <c r="AK132" s="961"/>
      <c r="AL132" s="961"/>
      <c r="AM132" s="961"/>
    </row>
    <row r="133" spans="17:39">
      <c r="Q133" s="961"/>
      <c r="R133" s="961"/>
      <c r="S133" s="961"/>
      <c r="T133" s="961"/>
      <c r="U133" s="961"/>
      <c r="V133" s="961"/>
      <c r="W133" s="961"/>
      <c r="X133" s="961"/>
      <c r="Y133" s="961"/>
      <c r="Z133" s="961"/>
      <c r="AA133" s="961"/>
      <c r="AB133" s="961"/>
      <c r="AC133" s="961"/>
      <c r="AD133" s="961"/>
      <c r="AE133" s="961"/>
      <c r="AF133" s="961"/>
      <c r="AG133" s="961"/>
      <c r="AH133" s="961"/>
      <c r="AJ133" s="961"/>
      <c r="AK133" s="961"/>
      <c r="AL133" s="961"/>
      <c r="AM133" s="961"/>
    </row>
    <row r="134" spans="17:39">
      <c r="Q134" s="961"/>
      <c r="R134" s="961"/>
      <c r="S134" s="961"/>
      <c r="T134" s="961"/>
      <c r="U134" s="961"/>
      <c r="V134" s="961"/>
      <c r="W134" s="961"/>
      <c r="X134" s="961"/>
      <c r="Y134" s="961"/>
      <c r="Z134" s="961"/>
      <c r="AA134" s="961"/>
      <c r="AB134" s="961"/>
      <c r="AC134" s="961"/>
      <c r="AD134" s="961"/>
      <c r="AE134" s="961"/>
      <c r="AF134" s="961"/>
      <c r="AG134" s="961"/>
      <c r="AH134" s="961"/>
      <c r="AJ134" s="961"/>
      <c r="AK134" s="961"/>
      <c r="AL134" s="961"/>
      <c r="AM134" s="961"/>
    </row>
    <row r="135" spans="17:39">
      <c r="Q135" s="961"/>
      <c r="R135" s="961"/>
      <c r="S135" s="961"/>
      <c r="T135" s="961"/>
      <c r="U135" s="961"/>
      <c r="V135" s="961"/>
      <c r="W135" s="961"/>
      <c r="X135" s="961"/>
      <c r="Y135" s="961"/>
      <c r="Z135" s="961"/>
      <c r="AA135" s="961"/>
      <c r="AB135" s="961"/>
      <c r="AC135" s="961"/>
      <c r="AD135" s="961"/>
      <c r="AE135" s="961"/>
      <c r="AF135" s="961"/>
      <c r="AG135" s="961"/>
      <c r="AH135" s="961"/>
      <c r="AJ135" s="961"/>
      <c r="AK135" s="961"/>
      <c r="AL135" s="961"/>
      <c r="AM135" s="961"/>
    </row>
    <row r="136" spans="17:39">
      <c r="Q136" s="961"/>
      <c r="R136" s="961"/>
      <c r="S136" s="961"/>
      <c r="T136" s="961"/>
      <c r="U136" s="961"/>
      <c r="V136" s="961"/>
      <c r="W136" s="961"/>
      <c r="X136" s="961"/>
      <c r="Y136" s="961"/>
      <c r="Z136" s="961"/>
      <c r="AA136" s="961"/>
      <c r="AB136" s="961"/>
      <c r="AC136" s="961"/>
      <c r="AD136" s="961"/>
      <c r="AE136" s="961"/>
      <c r="AF136" s="961"/>
      <c r="AG136" s="961"/>
      <c r="AH136" s="961"/>
      <c r="AJ136" s="961"/>
      <c r="AK136" s="961"/>
      <c r="AL136" s="961"/>
      <c r="AM136" s="961"/>
    </row>
    <row r="137" spans="17:39">
      <c r="Q137" s="961"/>
      <c r="R137" s="961"/>
      <c r="S137" s="961"/>
      <c r="T137" s="961"/>
      <c r="U137" s="961"/>
      <c r="V137" s="961"/>
      <c r="W137" s="961"/>
      <c r="X137" s="961"/>
      <c r="Y137" s="961"/>
      <c r="Z137" s="961"/>
      <c r="AA137" s="961"/>
      <c r="AB137" s="961"/>
      <c r="AC137" s="961"/>
      <c r="AD137" s="961"/>
      <c r="AE137" s="961"/>
      <c r="AF137" s="961"/>
      <c r="AG137" s="961"/>
      <c r="AH137" s="961"/>
      <c r="AJ137" s="961"/>
      <c r="AK137" s="961"/>
      <c r="AL137" s="961"/>
      <c r="AM137" s="961"/>
    </row>
    <row r="138" spans="17:39">
      <c r="Q138" s="961"/>
      <c r="R138" s="961"/>
      <c r="S138" s="961"/>
      <c r="T138" s="961"/>
      <c r="U138" s="961"/>
      <c r="V138" s="961"/>
      <c r="W138" s="961"/>
      <c r="X138" s="961"/>
      <c r="Y138" s="961"/>
      <c r="Z138" s="961"/>
      <c r="AA138" s="961"/>
      <c r="AB138" s="961"/>
      <c r="AC138" s="961"/>
      <c r="AD138" s="961"/>
      <c r="AE138" s="961"/>
      <c r="AF138" s="961"/>
      <c r="AG138" s="961"/>
      <c r="AH138" s="961"/>
      <c r="AJ138" s="961"/>
      <c r="AK138" s="961"/>
      <c r="AL138" s="961"/>
      <c r="AM138" s="961"/>
    </row>
    <row r="139" spans="17:39">
      <c r="Q139" s="961"/>
      <c r="R139" s="961"/>
      <c r="S139" s="961"/>
      <c r="T139" s="961"/>
      <c r="U139" s="961"/>
      <c r="V139" s="961"/>
      <c r="W139" s="961"/>
      <c r="X139" s="961"/>
      <c r="Y139" s="961"/>
      <c r="Z139" s="961"/>
      <c r="AA139" s="961"/>
      <c r="AB139" s="961"/>
      <c r="AC139" s="961"/>
      <c r="AD139" s="961"/>
      <c r="AE139" s="961"/>
      <c r="AF139" s="961"/>
      <c r="AG139" s="961"/>
      <c r="AH139" s="961"/>
      <c r="AJ139" s="961"/>
      <c r="AK139" s="961"/>
      <c r="AL139" s="961"/>
      <c r="AM139" s="961"/>
    </row>
  </sheetData>
  <mergeCells count="4">
    <mergeCell ref="AK3:AN3"/>
    <mergeCell ref="A53:AP53"/>
    <mergeCell ref="A56:AP56"/>
    <mergeCell ref="A57:AP57"/>
  </mergeCells>
  <phoneticPr fontId="35" type="noConversion"/>
  <pageMargins left="0.75" right="0.75" top="1" bottom="1" header="0.5" footer="0.5"/>
  <pageSetup scale="53"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sheetPr codeName="Sheet99">
    <pageSetUpPr fitToPage="1"/>
  </sheetPr>
  <dimension ref="A1:AW99"/>
  <sheetViews>
    <sheetView view="pageBreakPreview" zoomScale="70" zoomScaleNormal="80" zoomScaleSheetLayoutView="70"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140625" style="1" customWidth="1"/>
    <col min="9" max="9" width="7.140625" style="1" customWidth="1"/>
    <col min="10" max="16" width="7.140625" style="961" hidden="1" customWidth="1"/>
    <col min="17" max="34" width="7.140625" style="1" customWidth="1"/>
    <col min="35" max="35" width="7.140625" style="961" customWidth="1"/>
    <col min="36" max="42" width="7.140625" style="1" customWidth="1"/>
    <col min="43" max="43" width="5.7109375" style="1" customWidth="1"/>
    <col min="44" max="16384" width="9.140625" style="1"/>
  </cols>
  <sheetData>
    <row r="1" spans="1:49" ht="15.75">
      <c r="A1" s="3" t="s">
        <v>2129</v>
      </c>
    </row>
    <row r="2" spans="1:49">
      <c r="A2" s="4"/>
      <c r="B2" s="4"/>
      <c r="I2" s="9"/>
      <c r="J2" s="9"/>
      <c r="K2" s="9"/>
      <c r="L2" s="9"/>
      <c r="M2" s="9"/>
      <c r="N2" s="9"/>
      <c r="O2" s="9"/>
      <c r="P2" s="9"/>
      <c r="Q2" s="9"/>
      <c r="R2" s="9"/>
      <c r="S2" s="9"/>
      <c r="T2" s="9"/>
      <c r="U2" s="9"/>
      <c r="V2" s="9"/>
      <c r="W2" s="9"/>
      <c r="X2" s="9"/>
      <c r="Y2" s="9"/>
      <c r="Z2" s="9"/>
      <c r="AA2" s="9"/>
      <c r="AB2" s="9"/>
      <c r="AC2" s="9"/>
      <c r="AD2" s="9"/>
      <c r="AE2" s="9"/>
      <c r="AF2" s="9"/>
      <c r="AG2" s="9"/>
      <c r="AH2" s="9"/>
      <c r="AI2" s="9"/>
      <c r="AJ2" s="9"/>
    </row>
    <row r="3" spans="1:49">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1171" t="s">
        <v>802</v>
      </c>
      <c r="AL3" s="1171"/>
      <c r="AM3" s="1171"/>
      <c r="AN3" s="1171"/>
      <c r="AO3" s="9"/>
      <c r="AP3" s="644" t="s">
        <v>276</v>
      </c>
      <c r="AQ3" s="9"/>
    </row>
    <row r="4" spans="1:49" s="4" customFormat="1">
      <c r="A4" s="963"/>
      <c r="B4" s="963"/>
      <c r="C4" s="963"/>
      <c r="D4" s="963"/>
      <c r="E4" s="963"/>
      <c r="F4" s="963"/>
      <c r="G4" s="963"/>
      <c r="H4" s="963"/>
      <c r="I4" s="237">
        <v>1981</v>
      </c>
      <c r="J4" s="132"/>
      <c r="K4" s="132"/>
      <c r="L4" s="132"/>
      <c r="M4" s="132"/>
      <c r="N4" s="132"/>
      <c r="O4" s="132"/>
      <c r="P4" s="132"/>
      <c r="Q4" s="239">
        <v>1989</v>
      </c>
      <c r="R4" s="132">
        <v>1990</v>
      </c>
      <c r="S4" s="132">
        <v>1991</v>
      </c>
      <c r="T4" s="132">
        <v>1992</v>
      </c>
      <c r="U4" s="132">
        <v>1993</v>
      </c>
      <c r="V4" s="132">
        <v>1994</v>
      </c>
      <c r="W4" s="132">
        <v>1995</v>
      </c>
      <c r="X4" s="132">
        <v>1996</v>
      </c>
      <c r="Y4" s="132">
        <v>1997</v>
      </c>
      <c r="Z4" s="132">
        <v>1998</v>
      </c>
      <c r="AA4" s="132">
        <v>1999</v>
      </c>
      <c r="AB4" s="132">
        <v>2000</v>
      </c>
      <c r="AC4" s="132">
        <v>2001</v>
      </c>
      <c r="AD4" s="132">
        <v>2002</v>
      </c>
      <c r="AE4" s="132">
        <v>2003</v>
      </c>
      <c r="AF4" s="132">
        <v>2004</v>
      </c>
      <c r="AG4" s="132">
        <v>2005</v>
      </c>
      <c r="AH4" s="132">
        <v>2006</v>
      </c>
      <c r="AI4" s="132">
        <v>2007</v>
      </c>
      <c r="AJ4" s="132"/>
      <c r="AK4" s="241" t="s">
        <v>603</v>
      </c>
      <c r="AL4" s="241" t="s">
        <v>604</v>
      </c>
      <c r="AM4" s="241" t="s">
        <v>447</v>
      </c>
      <c r="AN4" s="241" t="s">
        <v>449</v>
      </c>
      <c r="AO4" s="1007"/>
      <c r="AP4" s="241" t="s">
        <v>447</v>
      </c>
      <c r="AQ4" s="9"/>
    </row>
    <row r="5" spans="1:49" ht="15">
      <c r="A5" s="128" t="s">
        <v>964</v>
      </c>
      <c r="I5" s="20">
        <v>49700</v>
      </c>
      <c r="J5" s="19">
        <v>48400</v>
      </c>
      <c r="K5" s="19">
        <v>47100</v>
      </c>
      <c r="L5" s="19">
        <v>47300</v>
      </c>
      <c r="M5" s="19">
        <v>48000</v>
      </c>
      <c r="N5" s="19">
        <v>48200</v>
      </c>
      <c r="O5" s="19">
        <v>48000</v>
      </c>
      <c r="P5" s="39">
        <v>48900</v>
      </c>
      <c r="Q5" s="240">
        <v>49700</v>
      </c>
      <c r="R5" s="19">
        <v>48000</v>
      </c>
      <c r="S5" s="19">
        <v>46300</v>
      </c>
      <c r="T5" s="19">
        <v>46400</v>
      </c>
      <c r="U5" s="19">
        <v>45300</v>
      </c>
      <c r="V5" s="19">
        <v>45600</v>
      </c>
      <c r="W5" s="19">
        <v>45600</v>
      </c>
      <c r="X5" s="19">
        <v>45600</v>
      </c>
      <c r="Y5" s="19">
        <v>45900</v>
      </c>
      <c r="Z5" s="19">
        <v>47900</v>
      </c>
      <c r="AA5" s="19">
        <v>49500</v>
      </c>
      <c r="AB5" s="19">
        <v>50700</v>
      </c>
      <c r="AC5" s="19">
        <v>52700</v>
      </c>
      <c r="AD5" s="19">
        <v>52900</v>
      </c>
      <c r="AE5" s="19">
        <v>52500</v>
      </c>
      <c r="AF5" s="19">
        <v>53500</v>
      </c>
      <c r="AG5" s="19">
        <v>54100</v>
      </c>
      <c r="AH5" s="19">
        <v>55400</v>
      </c>
      <c r="AI5" s="19">
        <v>57400</v>
      </c>
      <c r="AJ5" s="961"/>
      <c r="AK5" s="959">
        <f>((Q5/I5)^(1/8)-1)*100</f>
        <v>0</v>
      </c>
      <c r="AL5" s="959">
        <f>((AB5/Q5)^(1/11)-1)*100</f>
        <v>0.18126388012194017</v>
      </c>
      <c r="AM5" s="959">
        <f>((AI5/I5)^(1/26)-1)*100</f>
        <v>0.55553498211120544</v>
      </c>
      <c r="AN5" s="959">
        <f>((AI5/AB5)^(1/7)-1)*100</f>
        <v>1.7889329903947537</v>
      </c>
      <c r="AO5" s="23"/>
      <c r="AP5" s="959">
        <f>100*AI5/I5-100</f>
        <v>15.492957746478879</v>
      </c>
      <c r="AQ5" s="961"/>
      <c r="AR5" s="806"/>
      <c r="AS5" s="806"/>
      <c r="AT5" s="806"/>
      <c r="AU5" s="806"/>
      <c r="AV5" s="806"/>
      <c r="AW5" s="806"/>
    </row>
    <row r="6" spans="1:49" ht="15">
      <c r="I6" s="20"/>
      <c r="J6" s="39"/>
      <c r="K6" s="39"/>
      <c r="L6" s="39"/>
      <c r="M6" s="39"/>
      <c r="N6" s="39"/>
      <c r="O6" s="39"/>
      <c r="P6" s="39"/>
      <c r="Q6" s="240"/>
      <c r="R6" s="19"/>
      <c r="S6" s="19"/>
      <c r="T6" s="19"/>
      <c r="U6" s="19"/>
      <c r="V6" s="19"/>
      <c r="W6" s="19"/>
      <c r="X6" s="19"/>
      <c r="Y6" s="19"/>
      <c r="Z6" s="19"/>
      <c r="AA6" s="19"/>
      <c r="AB6" s="19"/>
      <c r="AC6" s="19"/>
      <c r="AD6" s="19"/>
      <c r="AE6" s="19"/>
      <c r="AF6" s="19"/>
      <c r="AG6" s="19"/>
      <c r="AH6" s="19"/>
      <c r="AI6" s="19"/>
      <c r="AJ6" s="19"/>
      <c r="AK6" s="959"/>
      <c r="AL6" s="959"/>
      <c r="AM6" s="959"/>
      <c r="AN6" s="959"/>
      <c r="AO6" s="23"/>
      <c r="AP6" s="959"/>
      <c r="AR6" s="806"/>
      <c r="AS6" s="806"/>
      <c r="AT6" s="806"/>
      <c r="AU6" s="806"/>
      <c r="AV6" s="806"/>
      <c r="AW6" s="806"/>
    </row>
    <row r="7" spans="1:49" ht="15">
      <c r="B7" s="128" t="s">
        <v>610</v>
      </c>
      <c r="I7" s="20">
        <v>58700</v>
      </c>
      <c r="J7" s="19">
        <v>57200</v>
      </c>
      <c r="K7" s="19">
        <v>56000</v>
      </c>
      <c r="L7" s="19">
        <v>56200</v>
      </c>
      <c r="M7" s="19">
        <v>57300</v>
      </c>
      <c r="N7" s="19">
        <v>57800</v>
      </c>
      <c r="O7" s="19">
        <v>57700</v>
      </c>
      <c r="P7" s="39">
        <v>59000</v>
      </c>
      <c r="Q7" s="240">
        <v>60100</v>
      </c>
      <c r="R7" s="19">
        <v>58100</v>
      </c>
      <c r="S7" s="19">
        <v>56400</v>
      </c>
      <c r="T7" s="19">
        <v>56500</v>
      </c>
      <c r="U7" s="19">
        <v>54800</v>
      </c>
      <c r="V7" s="19">
        <v>55500</v>
      </c>
      <c r="W7" s="19">
        <v>55600</v>
      </c>
      <c r="X7" s="19">
        <v>55900</v>
      </c>
      <c r="Y7" s="19">
        <v>56400</v>
      </c>
      <c r="Z7" s="19">
        <v>59300</v>
      </c>
      <c r="AA7" s="19">
        <v>61100</v>
      </c>
      <c r="AB7" s="19">
        <v>63000</v>
      </c>
      <c r="AC7" s="19">
        <v>65500</v>
      </c>
      <c r="AD7" s="19">
        <v>65600</v>
      </c>
      <c r="AE7" s="19">
        <v>65000</v>
      </c>
      <c r="AF7" s="19">
        <v>66600</v>
      </c>
      <c r="AG7" s="19">
        <v>67500</v>
      </c>
      <c r="AH7" s="19">
        <v>69100</v>
      </c>
      <c r="AI7" s="19">
        <v>71900</v>
      </c>
      <c r="AJ7" s="19"/>
      <c r="AK7" s="959">
        <f t="shared" ref="AK7:AK51" si="0">((Q7/I7)^(1/8)-1)*100</f>
        <v>0.29506088408011166</v>
      </c>
      <c r="AL7" s="959">
        <f>((AB7/Q7)^(1/11)-1)*100</f>
        <v>0.42932702321367699</v>
      </c>
      <c r="AM7" s="959">
        <f>((AI7/I7)^(1/26)-1)*100</f>
        <v>0.78319155552690756</v>
      </c>
      <c r="AN7" s="959">
        <f>((AI7/AB7)^(1/7)-1)*100</f>
        <v>1.9056666513513232</v>
      </c>
      <c r="AO7" s="23"/>
      <c r="AP7" s="959">
        <f>100*AI7/I7-100</f>
        <v>22.487223168654168</v>
      </c>
      <c r="AR7" s="806"/>
      <c r="AS7" s="806"/>
      <c r="AT7" s="806"/>
      <c r="AU7" s="806"/>
      <c r="AV7" s="806"/>
      <c r="AW7" s="806"/>
    </row>
    <row r="8" spans="1:49" ht="15">
      <c r="B8" s="128"/>
      <c r="I8" s="20"/>
      <c r="J8" s="39"/>
      <c r="K8" s="39"/>
      <c r="L8" s="39"/>
      <c r="M8" s="39"/>
      <c r="N8" s="39"/>
      <c r="O8" s="39"/>
      <c r="P8" s="39"/>
      <c r="Q8" s="240"/>
      <c r="R8" s="19"/>
      <c r="S8" s="19"/>
      <c r="T8" s="19"/>
      <c r="U8" s="19"/>
      <c r="V8" s="19"/>
      <c r="W8" s="19"/>
      <c r="X8" s="19"/>
      <c r="Y8" s="19"/>
      <c r="Z8" s="19"/>
      <c r="AA8" s="19"/>
      <c r="AB8" s="19"/>
      <c r="AC8" s="19"/>
      <c r="AD8" s="19"/>
      <c r="AE8" s="19"/>
      <c r="AF8" s="19"/>
      <c r="AG8" s="19"/>
      <c r="AH8" s="19"/>
      <c r="AI8" s="19"/>
      <c r="AJ8" s="19"/>
      <c r="AK8" s="959"/>
      <c r="AL8" s="959"/>
      <c r="AM8" s="959"/>
      <c r="AN8" s="959"/>
      <c r="AO8" s="23"/>
      <c r="AP8" s="959"/>
      <c r="AR8" s="806"/>
      <c r="AS8" s="806"/>
      <c r="AT8" s="806"/>
      <c r="AU8" s="806"/>
      <c r="AV8" s="806"/>
      <c r="AW8" s="806"/>
    </row>
    <row r="9" spans="1:49" ht="15">
      <c r="C9" s="128" t="s">
        <v>921</v>
      </c>
      <c r="I9" s="20">
        <v>42200</v>
      </c>
      <c r="J9" s="19">
        <v>44400</v>
      </c>
      <c r="K9" s="19">
        <v>41500</v>
      </c>
      <c r="L9" s="19">
        <v>43800</v>
      </c>
      <c r="M9" s="19">
        <v>44400</v>
      </c>
      <c r="N9" s="19">
        <v>44700</v>
      </c>
      <c r="O9" s="19">
        <v>42900</v>
      </c>
      <c r="P9" s="39">
        <v>44100</v>
      </c>
      <c r="Q9" s="240">
        <v>47700</v>
      </c>
      <c r="R9" s="19">
        <v>46900</v>
      </c>
      <c r="S9" s="19">
        <v>45300</v>
      </c>
      <c r="T9" s="19">
        <v>44900</v>
      </c>
      <c r="U9" s="19">
        <v>44400</v>
      </c>
      <c r="V9" s="19">
        <v>44500</v>
      </c>
      <c r="W9" s="19">
        <v>45900</v>
      </c>
      <c r="X9" s="19">
        <v>44100</v>
      </c>
      <c r="Y9" s="19">
        <v>44700</v>
      </c>
      <c r="Z9" s="19">
        <v>43800</v>
      </c>
      <c r="AA9" s="19">
        <v>45700</v>
      </c>
      <c r="AB9" s="19">
        <v>45400</v>
      </c>
      <c r="AC9" s="19">
        <v>46900</v>
      </c>
      <c r="AD9" s="19">
        <v>47600</v>
      </c>
      <c r="AE9" s="19">
        <v>47300</v>
      </c>
      <c r="AF9" s="19">
        <v>48200</v>
      </c>
      <c r="AG9" s="19">
        <v>50200</v>
      </c>
      <c r="AH9" s="19">
        <v>51200</v>
      </c>
      <c r="AI9" s="19">
        <v>54200</v>
      </c>
      <c r="AJ9" s="19"/>
      <c r="AK9" s="959">
        <f t="shared" si="0"/>
        <v>1.5431755684999438</v>
      </c>
      <c r="AL9" s="959">
        <f>((AB9/Q9)^(1/11)-1)*100</f>
        <v>-0.4482586072111272</v>
      </c>
      <c r="AM9" s="959">
        <f>((AI9/I9)^(1/26)-1)*100</f>
        <v>0.96718843113545727</v>
      </c>
      <c r="AN9" s="959">
        <f>((AI9/AB9)^(1/7)-1)*100</f>
        <v>2.5632842158401559</v>
      </c>
      <c r="AO9" s="23"/>
      <c r="AP9" s="959">
        <f>100*AI9/I9-100</f>
        <v>28.436018957345965</v>
      </c>
      <c r="AR9" s="806"/>
      <c r="AS9" s="806"/>
      <c r="AT9" s="806"/>
      <c r="AU9" s="806"/>
      <c r="AV9" s="806"/>
      <c r="AW9" s="806"/>
    </row>
    <row r="10" spans="1:49" ht="15">
      <c r="C10" s="1" t="s">
        <v>611</v>
      </c>
      <c r="I10" s="20">
        <v>37300</v>
      </c>
      <c r="J10" s="19">
        <v>41100</v>
      </c>
      <c r="K10" s="19">
        <v>37900</v>
      </c>
      <c r="L10" s="19">
        <v>39900</v>
      </c>
      <c r="M10" s="19">
        <v>39100</v>
      </c>
      <c r="N10" s="19">
        <v>40700</v>
      </c>
      <c r="O10" s="19">
        <v>38800</v>
      </c>
      <c r="P10" s="39">
        <v>39400</v>
      </c>
      <c r="Q10" s="240">
        <v>43200</v>
      </c>
      <c r="R10" s="19">
        <v>42900</v>
      </c>
      <c r="S10" s="19">
        <v>41000</v>
      </c>
      <c r="T10" s="19">
        <v>40700</v>
      </c>
      <c r="U10" s="19">
        <v>41400</v>
      </c>
      <c r="V10" s="19">
        <v>41300</v>
      </c>
      <c r="W10" s="19">
        <v>41900</v>
      </c>
      <c r="X10" s="19">
        <v>41400</v>
      </c>
      <c r="Y10" s="19">
        <v>42100</v>
      </c>
      <c r="Z10" s="19">
        <v>42500</v>
      </c>
      <c r="AA10" s="19">
        <v>44700</v>
      </c>
      <c r="AB10" s="19">
        <v>44000</v>
      </c>
      <c r="AC10" s="19">
        <v>45800</v>
      </c>
      <c r="AD10" s="19">
        <v>46100</v>
      </c>
      <c r="AE10" s="19">
        <v>46200</v>
      </c>
      <c r="AF10" s="19">
        <v>47800</v>
      </c>
      <c r="AG10" s="19">
        <v>48300</v>
      </c>
      <c r="AH10" s="19">
        <v>49300</v>
      </c>
      <c r="AI10" s="19">
        <v>52700</v>
      </c>
      <c r="AJ10" s="19"/>
      <c r="AK10" s="959">
        <f t="shared" si="0"/>
        <v>1.8525401085776716</v>
      </c>
      <c r="AL10" s="959">
        <f>((AB10/Q10)^(1/11)-1)*100</f>
        <v>0.16694955738845163</v>
      </c>
      <c r="AM10" s="959">
        <f>((AI10/I10)^(1/26)-1)*100</f>
        <v>1.3381905645190262</v>
      </c>
      <c r="AN10" s="959">
        <f>((AI10/AB10)^(1/7)-1)*100</f>
        <v>2.6110168177611026</v>
      </c>
      <c r="AO10" s="23"/>
      <c r="AP10" s="959">
        <f>100*AI10/I10-100</f>
        <v>41.286863270777474</v>
      </c>
      <c r="AR10" s="806"/>
      <c r="AS10" s="806"/>
      <c r="AT10" s="806"/>
      <c r="AU10" s="806"/>
      <c r="AV10" s="806"/>
      <c r="AW10" s="806"/>
    </row>
    <row r="11" spans="1:49" ht="15">
      <c r="C11" s="1" t="s">
        <v>612</v>
      </c>
      <c r="I11" s="20">
        <v>51700</v>
      </c>
      <c r="J11" s="19">
        <v>51300</v>
      </c>
      <c r="K11" s="19">
        <v>49400</v>
      </c>
      <c r="L11" s="19">
        <v>51300</v>
      </c>
      <c r="M11" s="19">
        <v>54500</v>
      </c>
      <c r="N11" s="19">
        <v>53700</v>
      </c>
      <c r="O11" s="19">
        <v>52100</v>
      </c>
      <c r="P11" s="39">
        <v>54800</v>
      </c>
      <c r="Q11" s="240">
        <v>57900</v>
      </c>
      <c r="R11" s="19">
        <v>56600</v>
      </c>
      <c r="S11" s="19">
        <v>55400</v>
      </c>
      <c r="T11" s="19">
        <v>54000</v>
      </c>
      <c r="U11" s="19">
        <v>51400</v>
      </c>
      <c r="V11" s="19">
        <v>52800</v>
      </c>
      <c r="W11" s="19">
        <v>56200</v>
      </c>
      <c r="X11" s="19">
        <v>52100</v>
      </c>
      <c r="Y11" s="19">
        <v>52400</v>
      </c>
      <c r="Z11" s="19">
        <v>48300</v>
      </c>
      <c r="AA11" s="19">
        <v>49200</v>
      </c>
      <c r="AB11" s="19">
        <v>50300</v>
      </c>
      <c r="AC11" s="19">
        <v>51300</v>
      </c>
      <c r="AD11" s="19">
        <v>53000</v>
      </c>
      <c r="AE11" s="19">
        <v>51300</v>
      </c>
      <c r="AF11" s="19">
        <v>50100</v>
      </c>
      <c r="AG11" s="19">
        <v>57200</v>
      </c>
      <c r="AH11" s="19">
        <v>57900</v>
      </c>
      <c r="AI11" s="19">
        <v>59300</v>
      </c>
      <c r="AJ11" s="19"/>
      <c r="AK11" s="959">
        <f t="shared" si="0"/>
        <v>1.4258141700049798</v>
      </c>
      <c r="AL11" s="959">
        <f>((AB11/Q11)^(1/11)-1)*100</f>
        <v>-1.2710557722371285</v>
      </c>
      <c r="AM11" s="959">
        <f>((AI11/I11)^(1/26)-1)*100</f>
        <v>0.52889962524751422</v>
      </c>
      <c r="AN11" s="959">
        <f>((AI11/AB11)^(1/7)-1)*100</f>
        <v>2.3793544757843677</v>
      </c>
      <c r="AO11" s="23"/>
      <c r="AP11" s="959">
        <f>100*AI11/I11-100</f>
        <v>14.700193423597682</v>
      </c>
      <c r="AR11" s="806"/>
      <c r="AS11" s="806"/>
      <c r="AT11" s="806"/>
      <c r="AU11" s="806"/>
      <c r="AV11" s="806"/>
      <c r="AW11" s="806"/>
    </row>
    <row r="12" spans="1:49" ht="15">
      <c r="I12" s="20"/>
      <c r="J12" s="39"/>
      <c r="K12" s="39"/>
      <c r="L12" s="39"/>
      <c r="M12" s="39"/>
      <c r="N12" s="39"/>
      <c r="O12" s="39"/>
      <c r="P12" s="39"/>
      <c r="Q12" s="240"/>
      <c r="R12" s="19"/>
      <c r="S12" s="19"/>
      <c r="T12" s="19"/>
      <c r="U12" s="19"/>
      <c r="V12" s="19"/>
      <c r="W12" s="19"/>
      <c r="X12" s="19"/>
      <c r="Y12" s="19"/>
      <c r="Z12" s="19"/>
      <c r="AA12" s="19"/>
      <c r="AB12" s="19"/>
      <c r="AC12" s="19"/>
      <c r="AD12" s="19"/>
      <c r="AE12" s="19"/>
      <c r="AF12" s="19"/>
      <c r="AG12" s="19"/>
      <c r="AH12" s="19"/>
      <c r="AI12" s="19"/>
      <c r="AJ12" s="19"/>
      <c r="AK12" s="959"/>
      <c r="AL12" s="959"/>
      <c r="AM12" s="959"/>
      <c r="AN12" s="959"/>
      <c r="AO12" s="23"/>
      <c r="AP12" s="959"/>
      <c r="AR12" s="806"/>
      <c r="AS12" s="806"/>
      <c r="AT12" s="806"/>
      <c r="AU12" s="806"/>
      <c r="AV12" s="806"/>
      <c r="AW12" s="806"/>
    </row>
    <row r="13" spans="1:49" ht="15">
      <c r="C13" s="128" t="s">
        <v>922</v>
      </c>
      <c r="I13" s="20">
        <v>60900</v>
      </c>
      <c r="J13" s="19">
        <v>59000</v>
      </c>
      <c r="K13" s="19">
        <v>58100</v>
      </c>
      <c r="L13" s="19">
        <v>58100</v>
      </c>
      <c r="M13" s="19">
        <v>59200</v>
      </c>
      <c r="N13" s="19">
        <v>59800</v>
      </c>
      <c r="O13" s="19">
        <v>60000</v>
      </c>
      <c r="P13" s="39">
        <v>61400</v>
      </c>
      <c r="Q13" s="240">
        <v>62100</v>
      </c>
      <c r="R13" s="19">
        <v>59900</v>
      </c>
      <c r="S13" s="19">
        <v>58300</v>
      </c>
      <c r="T13" s="19">
        <v>58500</v>
      </c>
      <c r="U13" s="19">
        <v>56600</v>
      </c>
      <c r="V13" s="19">
        <v>57400</v>
      </c>
      <c r="W13" s="19">
        <v>57300</v>
      </c>
      <c r="X13" s="19">
        <v>57800</v>
      </c>
      <c r="Y13" s="19">
        <v>58400</v>
      </c>
      <c r="Z13" s="19">
        <v>61800</v>
      </c>
      <c r="AA13" s="19">
        <v>63600</v>
      </c>
      <c r="AB13" s="19">
        <v>65900</v>
      </c>
      <c r="AC13" s="19">
        <v>68600</v>
      </c>
      <c r="AD13" s="19">
        <v>68500</v>
      </c>
      <c r="AE13" s="19">
        <v>68000</v>
      </c>
      <c r="AF13" s="19">
        <v>69800</v>
      </c>
      <c r="AG13" s="19">
        <v>70500</v>
      </c>
      <c r="AH13" s="19">
        <v>72300</v>
      </c>
      <c r="AI13" s="19">
        <v>75000</v>
      </c>
      <c r="AJ13" s="19"/>
      <c r="AK13" s="959">
        <f t="shared" si="0"/>
        <v>0.24420788066226162</v>
      </c>
      <c r="AL13" s="959">
        <f>((AB13/Q13)^(1/11)-1)*100</f>
        <v>0.5413916434491739</v>
      </c>
      <c r="AM13" s="959">
        <f>((AI13/I13)^(1/26)-1)*100</f>
        <v>0.80419696493037041</v>
      </c>
      <c r="AN13" s="959">
        <f>((AI13/AB13)^(1/7)-1)*100</f>
        <v>1.8650308986778441</v>
      </c>
      <c r="AO13" s="23"/>
      <c r="AP13" s="959">
        <f>100*AI13/I13-100</f>
        <v>23.152709359605907</v>
      </c>
      <c r="AR13" s="806"/>
      <c r="AS13" s="806"/>
      <c r="AT13" s="806"/>
      <c r="AU13" s="806"/>
      <c r="AV13" s="806"/>
      <c r="AW13" s="806"/>
    </row>
    <row r="14" spans="1:49" ht="15">
      <c r="C14" s="128"/>
      <c r="I14" s="20"/>
      <c r="J14" s="39"/>
      <c r="K14" s="39"/>
      <c r="L14" s="39"/>
      <c r="M14" s="39"/>
      <c r="N14" s="39"/>
      <c r="O14" s="39"/>
      <c r="P14" s="39"/>
      <c r="Q14" s="240"/>
      <c r="R14" s="19"/>
      <c r="S14" s="19"/>
      <c r="T14" s="19"/>
      <c r="U14" s="19"/>
      <c r="V14" s="19"/>
      <c r="W14" s="19"/>
      <c r="X14" s="19"/>
      <c r="Y14" s="19"/>
      <c r="Z14" s="19"/>
      <c r="AA14" s="19"/>
      <c r="AB14" s="19"/>
      <c r="AC14" s="19"/>
      <c r="AD14" s="19"/>
      <c r="AE14" s="19"/>
      <c r="AF14" s="19"/>
      <c r="AG14" s="19"/>
      <c r="AH14" s="19"/>
      <c r="AI14" s="19"/>
      <c r="AJ14" s="19"/>
      <c r="AK14" s="959"/>
      <c r="AL14" s="959"/>
      <c r="AM14" s="959"/>
      <c r="AN14" s="959"/>
      <c r="AO14" s="23"/>
      <c r="AP14" s="959"/>
      <c r="AR14" s="806"/>
      <c r="AS14" s="806"/>
      <c r="AT14" s="806"/>
      <c r="AU14" s="806"/>
      <c r="AV14" s="806"/>
      <c r="AW14" s="806"/>
    </row>
    <row r="15" spans="1:49" ht="15">
      <c r="D15" s="128" t="s">
        <v>923</v>
      </c>
      <c r="I15" s="20">
        <v>57400</v>
      </c>
      <c r="J15" s="19">
        <v>54800</v>
      </c>
      <c r="K15" s="19">
        <v>54800</v>
      </c>
      <c r="L15" s="19">
        <v>54600</v>
      </c>
      <c r="M15" s="19">
        <v>55500</v>
      </c>
      <c r="N15" s="19">
        <v>54800</v>
      </c>
      <c r="O15" s="19">
        <v>56000</v>
      </c>
      <c r="P15" s="39">
        <v>57800</v>
      </c>
      <c r="Q15" s="240">
        <v>56900</v>
      </c>
      <c r="R15" s="19">
        <v>55100</v>
      </c>
      <c r="S15" s="19">
        <v>54400</v>
      </c>
      <c r="T15" s="19">
        <v>56500</v>
      </c>
      <c r="U15" s="19">
        <v>53200</v>
      </c>
      <c r="V15" s="19">
        <v>53300</v>
      </c>
      <c r="W15" s="19">
        <v>53600</v>
      </c>
      <c r="X15" s="19">
        <v>54400</v>
      </c>
      <c r="Y15" s="19">
        <v>55100</v>
      </c>
      <c r="Z15" s="19">
        <v>59100</v>
      </c>
      <c r="AA15" s="19">
        <v>59100</v>
      </c>
      <c r="AB15" s="19">
        <v>59900</v>
      </c>
      <c r="AC15" s="19">
        <v>64700</v>
      </c>
      <c r="AD15" s="19">
        <v>63900</v>
      </c>
      <c r="AE15" s="19">
        <v>62200</v>
      </c>
      <c r="AF15" s="19">
        <v>62900</v>
      </c>
      <c r="AG15" s="19">
        <v>65300</v>
      </c>
      <c r="AH15" s="19">
        <v>67200</v>
      </c>
      <c r="AI15" s="19">
        <v>70000</v>
      </c>
      <c r="AJ15" s="19"/>
      <c r="AK15" s="959">
        <f t="shared" si="0"/>
        <v>-0.10930224894387663</v>
      </c>
      <c r="AL15" s="959">
        <f>((AB15/Q15)^(1/11)-1)*100</f>
        <v>0.46819411037544167</v>
      </c>
      <c r="AM15" s="959">
        <f>((AI15/I15)^(1/26)-1)*100</f>
        <v>0.76619319375390571</v>
      </c>
      <c r="AN15" s="959">
        <f>((AI15/AB15)^(1/7)-1)*100</f>
        <v>2.2509417908781248</v>
      </c>
      <c r="AO15" s="23"/>
      <c r="AP15" s="959">
        <f>100*AI15/I15-100</f>
        <v>21.951219512195124</v>
      </c>
      <c r="AR15" s="806"/>
      <c r="AS15" s="806"/>
      <c r="AT15" s="806"/>
      <c r="AU15" s="806"/>
      <c r="AV15" s="806"/>
      <c r="AW15" s="806"/>
    </row>
    <row r="16" spans="1:49" ht="15">
      <c r="D16" s="1" t="s">
        <v>613</v>
      </c>
      <c r="I16" s="20">
        <v>26600</v>
      </c>
      <c r="J16" s="19">
        <v>25700</v>
      </c>
      <c r="K16" s="19">
        <v>30700</v>
      </c>
      <c r="L16" s="19">
        <v>27400</v>
      </c>
      <c r="M16" s="19">
        <v>28400</v>
      </c>
      <c r="N16" s="19">
        <v>28200</v>
      </c>
      <c r="O16" s="19">
        <v>30300</v>
      </c>
      <c r="P16" s="39">
        <v>28200</v>
      </c>
      <c r="Q16" s="240">
        <v>29800</v>
      </c>
      <c r="R16" s="19">
        <v>30300</v>
      </c>
      <c r="S16" s="19">
        <v>29100</v>
      </c>
      <c r="T16" s="19">
        <v>29300</v>
      </c>
      <c r="U16" s="19">
        <v>28500</v>
      </c>
      <c r="V16" s="19">
        <v>29100</v>
      </c>
      <c r="W16" s="19">
        <v>28900</v>
      </c>
      <c r="X16" s="19">
        <v>29200</v>
      </c>
      <c r="Y16" s="19">
        <v>29000</v>
      </c>
      <c r="Z16" s="19">
        <v>29500</v>
      </c>
      <c r="AA16" s="19">
        <v>30400</v>
      </c>
      <c r="AB16" s="19">
        <v>31000</v>
      </c>
      <c r="AC16" s="19">
        <v>35700</v>
      </c>
      <c r="AD16" s="19">
        <v>32000</v>
      </c>
      <c r="AE16" s="19">
        <v>32100</v>
      </c>
      <c r="AF16" s="19">
        <v>30400</v>
      </c>
      <c r="AG16" s="19">
        <v>31900</v>
      </c>
      <c r="AH16" s="19">
        <v>35000</v>
      </c>
      <c r="AI16" s="19">
        <v>36500</v>
      </c>
      <c r="AJ16" s="19"/>
      <c r="AK16" s="959">
        <f t="shared" si="0"/>
        <v>1.4300941083850605</v>
      </c>
      <c r="AL16" s="959">
        <f>((AB16/Q16)^(1/11)-1)*100</f>
        <v>0.35954309263699358</v>
      </c>
      <c r="AM16" s="959">
        <f>((AI16/I16)^(1/26)-1)*100</f>
        <v>1.224361780790395</v>
      </c>
      <c r="AN16" s="959">
        <f>((AI16/AB16)^(1/7)-1)*100</f>
        <v>2.3606474872296168</v>
      </c>
      <c r="AO16" s="23"/>
      <c r="AP16" s="959">
        <f>100*AI16/I16-100</f>
        <v>37.218045112781965</v>
      </c>
      <c r="AR16" s="806"/>
      <c r="AS16" s="806"/>
      <c r="AT16" s="806"/>
      <c r="AU16" s="806"/>
      <c r="AV16" s="806"/>
      <c r="AW16" s="806"/>
    </row>
    <row r="17" spans="1:49" ht="15">
      <c r="D17" s="1" t="s">
        <v>614</v>
      </c>
      <c r="I17" s="20">
        <v>46000</v>
      </c>
      <c r="J17" s="19">
        <v>45300</v>
      </c>
      <c r="K17" s="19">
        <v>45600</v>
      </c>
      <c r="L17" s="19">
        <v>44300</v>
      </c>
      <c r="M17" s="19">
        <v>47300</v>
      </c>
      <c r="N17" s="19">
        <v>45800</v>
      </c>
      <c r="O17" s="19">
        <v>46200</v>
      </c>
      <c r="P17" s="39">
        <v>49000</v>
      </c>
      <c r="Q17" s="240">
        <v>48700</v>
      </c>
      <c r="R17" s="19">
        <v>46900</v>
      </c>
      <c r="S17" s="19">
        <v>43600</v>
      </c>
      <c r="T17" s="19">
        <v>45100</v>
      </c>
      <c r="U17" s="19">
        <v>42900</v>
      </c>
      <c r="V17" s="19">
        <v>44700</v>
      </c>
      <c r="W17" s="19">
        <v>44200</v>
      </c>
      <c r="X17" s="19">
        <v>45800</v>
      </c>
      <c r="Y17" s="19">
        <v>44600</v>
      </c>
      <c r="Z17" s="19">
        <v>47700</v>
      </c>
      <c r="AA17" s="19">
        <v>49500</v>
      </c>
      <c r="AB17" s="19">
        <v>48500</v>
      </c>
      <c r="AC17" s="19">
        <v>53700</v>
      </c>
      <c r="AD17" s="19">
        <v>50000</v>
      </c>
      <c r="AE17" s="19">
        <v>49800</v>
      </c>
      <c r="AF17" s="19">
        <v>52400</v>
      </c>
      <c r="AG17" s="19">
        <v>54500</v>
      </c>
      <c r="AH17" s="19">
        <v>53700</v>
      </c>
      <c r="AI17" s="19">
        <v>56400</v>
      </c>
      <c r="AJ17" s="19"/>
      <c r="AK17" s="959">
        <f t="shared" si="0"/>
        <v>0.71551810524035364</v>
      </c>
      <c r="AL17" s="959">
        <f>((AB17/Q17)^(1/11)-1)*100</f>
        <v>-3.7404204201829661E-2</v>
      </c>
      <c r="AM17" s="959">
        <f>((AI17/I17)^(1/26)-1)*100</f>
        <v>0.78703388763663451</v>
      </c>
      <c r="AN17" s="959">
        <f>((AI17/AB17)^(1/7)-1)*100</f>
        <v>2.179195921865329</v>
      </c>
      <c r="AO17" s="23"/>
      <c r="AP17" s="959">
        <f>100*AI17/I17-100</f>
        <v>22.608695652173907</v>
      </c>
      <c r="AR17" s="806"/>
      <c r="AS17" s="806"/>
      <c r="AT17" s="806"/>
      <c r="AU17" s="806"/>
      <c r="AV17" s="806"/>
      <c r="AW17" s="806"/>
    </row>
    <row r="18" spans="1:49" ht="15">
      <c r="D18" s="1" t="s">
        <v>615</v>
      </c>
      <c r="I18" s="20">
        <v>64100</v>
      </c>
      <c r="J18" s="19">
        <v>61300</v>
      </c>
      <c r="K18" s="19">
        <v>60900</v>
      </c>
      <c r="L18" s="19">
        <v>61600</v>
      </c>
      <c r="M18" s="19">
        <v>61600</v>
      </c>
      <c r="N18" s="19">
        <v>61200</v>
      </c>
      <c r="O18" s="19">
        <v>62100</v>
      </c>
      <c r="P18" s="39">
        <v>63500</v>
      </c>
      <c r="Q18" s="240">
        <v>62500</v>
      </c>
      <c r="R18" s="19">
        <v>61300</v>
      </c>
      <c r="S18" s="19">
        <v>61700</v>
      </c>
      <c r="T18" s="19">
        <v>64100</v>
      </c>
      <c r="U18" s="19">
        <v>61500</v>
      </c>
      <c r="V18" s="19">
        <v>61000</v>
      </c>
      <c r="W18" s="19">
        <v>61200</v>
      </c>
      <c r="X18" s="19">
        <v>62500</v>
      </c>
      <c r="Y18" s="19">
        <v>63200</v>
      </c>
      <c r="Z18" s="19">
        <v>68500</v>
      </c>
      <c r="AA18" s="19">
        <v>67500</v>
      </c>
      <c r="AB18" s="19">
        <v>67800</v>
      </c>
      <c r="AC18" s="19">
        <v>72300</v>
      </c>
      <c r="AD18" s="19">
        <v>72800</v>
      </c>
      <c r="AE18" s="19">
        <v>69900</v>
      </c>
      <c r="AF18" s="19">
        <v>70000</v>
      </c>
      <c r="AG18" s="19">
        <v>73100</v>
      </c>
      <c r="AH18" s="19">
        <v>75300</v>
      </c>
      <c r="AI18" s="19">
        <v>77500</v>
      </c>
      <c r="AJ18" s="19"/>
      <c r="AK18" s="959">
        <f t="shared" si="0"/>
        <v>-0.31547392177218025</v>
      </c>
      <c r="AL18" s="959">
        <f>((AB18/Q18)^(1/11)-1)*100</f>
        <v>0.74270481904492591</v>
      </c>
      <c r="AM18" s="959">
        <f>((AI18/I18)^(1/26)-1)*100</f>
        <v>0.73280106635114084</v>
      </c>
      <c r="AN18" s="959">
        <f>((AI18/AB18)^(1/7)-1)*100</f>
        <v>1.9285864018585119</v>
      </c>
      <c r="AO18" s="23"/>
      <c r="AP18" s="959">
        <f>100*AI18/I18-100</f>
        <v>20.904836193447736</v>
      </c>
      <c r="AR18" s="806"/>
      <c r="AS18" s="806"/>
      <c r="AT18" s="806"/>
      <c r="AU18" s="806"/>
      <c r="AV18" s="806"/>
      <c r="AW18" s="806"/>
    </row>
    <row r="19" spans="1:49" ht="15">
      <c r="I19" s="20"/>
      <c r="J19" s="39"/>
      <c r="K19" s="39"/>
      <c r="L19" s="39"/>
      <c r="M19" s="39"/>
      <c r="N19" s="39"/>
      <c r="O19" s="39"/>
      <c r="P19" s="39"/>
      <c r="Q19" s="240"/>
      <c r="R19" s="19"/>
      <c r="S19" s="19"/>
      <c r="T19" s="19"/>
      <c r="U19" s="19"/>
      <c r="V19" s="19"/>
      <c r="W19" s="19"/>
      <c r="X19" s="19"/>
      <c r="Y19" s="19"/>
      <c r="Z19" s="19"/>
      <c r="AA19" s="19"/>
      <c r="AB19" s="19"/>
      <c r="AC19" s="19"/>
      <c r="AD19" s="19"/>
      <c r="AE19" s="19"/>
      <c r="AF19" s="19"/>
      <c r="AG19" s="19"/>
      <c r="AH19" s="19"/>
      <c r="AI19" s="19"/>
      <c r="AJ19" s="19"/>
      <c r="AK19" s="959"/>
      <c r="AL19" s="959"/>
      <c r="AM19" s="959"/>
      <c r="AN19" s="959"/>
      <c r="AO19" s="23"/>
      <c r="AP19" s="959"/>
      <c r="AR19" s="806"/>
      <c r="AS19" s="806"/>
      <c r="AT19" s="806"/>
      <c r="AU19" s="806"/>
      <c r="AV19" s="806"/>
      <c r="AW19" s="806"/>
    </row>
    <row r="20" spans="1:49" ht="15">
      <c r="D20" s="128" t="s">
        <v>619</v>
      </c>
      <c r="I20" s="20">
        <v>62900</v>
      </c>
      <c r="J20" s="19">
        <v>61200</v>
      </c>
      <c r="K20" s="19">
        <v>60800</v>
      </c>
      <c r="L20" s="19">
        <v>60800</v>
      </c>
      <c r="M20" s="19">
        <v>62300</v>
      </c>
      <c r="N20" s="19">
        <v>62700</v>
      </c>
      <c r="O20" s="19">
        <v>63200</v>
      </c>
      <c r="P20" s="39">
        <v>64400</v>
      </c>
      <c r="Q20" s="240">
        <v>65400</v>
      </c>
      <c r="R20" s="19">
        <v>63600</v>
      </c>
      <c r="S20" s="19">
        <v>61600</v>
      </c>
      <c r="T20" s="19">
        <v>62600</v>
      </c>
      <c r="U20" s="19">
        <v>60400</v>
      </c>
      <c r="V20" s="19">
        <v>61500</v>
      </c>
      <c r="W20" s="19">
        <v>61300</v>
      </c>
      <c r="X20" s="19">
        <v>61500</v>
      </c>
      <c r="Y20" s="19">
        <v>62700</v>
      </c>
      <c r="Z20" s="19">
        <v>66400</v>
      </c>
      <c r="AA20" s="19">
        <v>68600</v>
      </c>
      <c r="AB20" s="19">
        <v>71100</v>
      </c>
      <c r="AC20" s="19">
        <v>73700</v>
      </c>
      <c r="AD20" s="19">
        <v>74500</v>
      </c>
      <c r="AE20" s="19">
        <v>75000</v>
      </c>
      <c r="AF20" s="19">
        <v>77800</v>
      </c>
      <c r="AG20" s="19">
        <v>76100</v>
      </c>
      <c r="AH20" s="19">
        <v>78000</v>
      </c>
      <c r="AI20" s="19">
        <v>82000</v>
      </c>
      <c r="AJ20" s="19"/>
      <c r="AK20" s="959">
        <f t="shared" si="0"/>
        <v>0.48838993918849383</v>
      </c>
      <c r="AL20" s="959">
        <f>((AB20/Q20)^(1/11)-1)*100</f>
        <v>0.76257543915445591</v>
      </c>
      <c r="AM20" s="959">
        <f>((AI20/I20)^(1/26)-1)*100</f>
        <v>1.0251151459137242</v>
      </c>
      <c r="AN20" s="959">
        <f>((AI20/AB20)^(1/7)-1)*100</f>
        <v>2.0584994800176837</v>
      </c>
      <c r="AO20" s="23"/>
      <c r="AP20" s="959">
        <f>100*AI20/I20-100</f>
        <v>30.365659777424497</v>
      </c>
      <c r="AR20" s="806"/>
      <c r="AS20" s="806"/>
      <c r="AT20" s="806"/>
      <c r="AU20" s="806"/>
      <c r="AV20" s="806"/>
      <c r="AW20" s="806"/>
    </row>
    <row r="21" spans="1:49" ht="15">
      <c r="D21" s="1" t="s">
        <v>613</v>
      </c>
      <c r="I21" s="20">
        <v>18400</v>
      </c>
      <c r="J21" s="19">
        <v>20800</v>
      </c>
      <c r="K21" s="19">
        <v>19600</v>
      </c>
      <c r="L21" s="19">
        <v>20300</v>
      </c>
      <c r="M21" s="19">
        <v>19500</v>
      </c>
      <c r="N21" s="19">
        <v>21200</v>
      </c>
      <c r="O21" s="19">
        <v>19900</v>
      </c>
      <c r="P21" s="39">
        <v>22400</v>
      </c>
      <c r="Q21" s="240">
        <v>22300</v>
      </c>
      <c r="R21" s="19">
        <v>29600</v>
      </c>
      <c r="S21" s="19">
        <v>21800</v>
      </c>
      <c r="T21" s="19">
        <v>22000</v>
      </c>
      <c r="U21" s="19">
        <v>23800</v>
      </c>
      <c r="V21" s="19">
        <v>23200</v>
      </c>
      <c r="W21" s="19">
        <v>21700</v>
      </c>
      <c r="X21" s="19">
        <v>22500</v>
      </c>
      <c r="Y21" s="19">
        <v>22600</v>
      </c>
      <c r="Z21" s="19">
        <v>24200</v>
      </c>
      <c r="AA21" s="19">
        <v>23700</v>
      </c>
      <c r="AB21" s="19">
        <v>23200</v>
      </c>
      <c r="AC21" s="19">
        <v>26100</v>
      </c>
      <c r="AD21" s="19">
        <v>26000</v>
      </c>
      <c r="AE21" s="19">
        <v>24200</v>
      </c>
      <c r="AF21" s="19">
        <v>25500</v>
      </c>
      <c r="AG21" s="19">
        <v>22100</v>
      </c>
      <c r="AH21" s="19">
        <v>26600</v>
      </c>
      <c r="AI21" s="19">
        <v>28700</v>
      </c>
      <c r="AJ21" s="19"/>
      <c r="AK21" s="959">
        <f t="shared" si="0"/>
        <v>2.432053667419809</v>
      </c>
      <c r="AL21" s="959">
        <f>((AB21/Q21)^(1/11)-1)*100</f>
        <v>0.3603349255524968</v>
      </c>
      <c r="AM21" s="959">
        <f>((AI21/I21)^(1/26)-1)*100</f>
        <v>1.7244947126761501</v>
      </c>
      <c r="AN21" s="959">
        <f>((AI21/AB21)^(1/7)-1)*100</f>
        <v>3.0858675618892661</v>
      </c>
      <c r="AO21" s="23"/>
      <c r="AP21" s="959">
        <f>100*AI21/I21-100</f>
        <v>55.978260869565219</v>
      </c>
      <c r="AR21" s="806"/>
      <c r="AS21" s="806"/>
      <c r="AT21" s="806"/>
      <c r="AU21" s="806"/>
      <c r="AV21" s="806"/>
      <c r="AW21" s="806"/>
    </row>
    <row r="22" spans="1:49" ht="15">
      <c r="D22" s="1" t="s">
        <v>620</v>
      </c>
      <c r="I22" s="20">
        <v>48900</v>
      </c>
      <c r="J22" s="19">
        <v>48500</v>
      </c>
      <c r="K22" s="19">
        <v>48600</v>
      </c>
      <c r="L22" s="19">
        <v>45800</v>
      </c>
      <c r="M22" s="19">
        <v>47600</v>
      </c>
      <c r="N22" s="19">
        <v>48500</v>
      </c>
      <c r="O22" s="19">
        <v>46000</v>
      </c>
      <c r="P22" s="39">
        <v>47500</v>
      </c>
      <c r="Q22" s="240">
        <v>49500</v>
      </c>
      <c r="R22" s="19">
        <v>46500</v>
      </c>
      <c r="S22" s="19">
        <v>46100</v>
      </c>
      <c r="T22" s="19">
        <v>46300</v>
      </c>
      <c r="U22" s="19">
        <v>45100</v>
      </c>
      <c r="V22" s="19">
        <v>46000</v>
      </c>
      <c r="W22" s="19">
        <v>44700</v>
      </c>
      <c r="X22" s="19">
        <v>46200</v>
      </c>
      <c r="Y22" s="19">
        <v>45600</v>
      </c>
      <c r="Z22" s="19">
        <v>51200</v>
      </c>
      <c r="AA22" s="19">
        <v>51900</v>
      </c>
      <c r="AB22" s="19">
        <v>51900</v>
      </c>
      <c r="AC22" s="19">
        <v>54100</v>
      </c>
      <c r="AD22" s="19">
        <v>56900</v>
      </c>
      <c r="AE22" s="19">
        <v>57700</v>
      </c>
      <c r="AF22" s="19">
        <v>56900</v>
      </c>
      <c r="AG22" s="19">
        <v>54900</v>
      </c>
      <c r="AH22" s="19">
        <v>56100</v>
      </c>
      <c r="AI22" s="19">
        <v>58700</v>
      </c>
      <c r="AJ22" s="19"/>
      <c r="AK22" s="959">
        <f t="shared" si="0"/>
        <v>0.15255716389699359</v>
      </c>
      <c r="AL22" s="959">
        <f>((AB22/Q22)^(1/11)-1)*100</f>
        <v>0.43134691235935385</v>
      </c>
      <c r="AM22" s="959">
        <f>((AI22/I22)^(1/26)-1)*100</f>
        <v>0.70502107832421945</v>
      </c>
      <c r="AN22" s="959">
        <f>((AI22/AB22)^(1/7)-1)*100</f>
        <v>1.7744297396331543</v>
      </c>
      <c r="AO22" s="23"/>
      <c r="AP22" s="959">
        <f>100*AI22/I22-100</f>
        <v>20.040899795501019</v>
      </c>
      <c r="AR22" s="806"/>
      <c r="AS22" s="806"/>
      <c r="AT22" s="806"/>
      <c r="AU22" s="806"/>
      <c r="AV22" s="806"/>
      <c r="AW22" s="806"/>
    </row>
    <row r="23" spans="1:49" ht="15">
      <c r="D23" s="1" t="s">
        <v>615</v>
      </c>
      <c r="I23" s="20">
        <v>63200</v>
      </c>
      <c r="J23" s="19">
        <v>61700</v>
      </c>
      <c r="K23" s="19">
        <v>62700</v>
      </c>
      <c r="L23" s="19">
        <v>63300</v>
      </c>
      <c r="M23" s="19">
        <v>63200</v>
      </c>
      <c r="N23" s="19">
        <v>63600</v>
      </c>
      <c r="O23" s="19">
        <v>63600</v>
      </c>
      <c r="P23" s="39">
        <v>64400</v>
      </c>
      <c r="Q23" s="240">
        <v>64400</v>
      </c>
      <c r="R23" s="19">
        <v>63100</v>
      </c>
      <c r="S23" s="19">
        <v>62700</v>
      </c>
      <c r="T23" s="19">
        <v>64100</v>
      </c>
      <c r="U23" s="19">
        <v>62400</v>
      </c>
      <c r="V23" s="19">
        <v>64000</v>
      </c>
      <c r="W23" s="19">
        <v>63500</v>
      </c>
      <c r="X23" s="19">
        <v>63800</v>
      </c>
      <c r="Y23" s="19">
        <v>64800</v>
      </c>
      <c r="Z23" s="19">
        <v>68100</v>
      </c>
      <c r="AA23" s="19">
        <v>69500</v>
      </c>
      <c r="AB23" s="19">
        <v>72200</v>
      </c>
      <c r="AC23" s="19">
        <v>74400</v>
      </c>
      <c r="AD23" s="19">
        <v>74800</v>
      </c>
      <c r="AE23" s="19">
        <v>75000</v>
      </c>
      <c r="AF23" s="19">
        <v>77500</v>
      </c>
      <c r="AG23" s="19">
        <v>76800</v>
      </c>
      <c r="AH23" s="19">
        <v>77500</v>
      </c>
      <c r="AI23" s="19">
        <v>81400</v>
      </c>
      <c r="AJ23" s="19"/>
      <c r="AK23" s="959">
        <f t="shared" si="0"/>
        <v>0.23539326541055505</v>
      </c>
      <c r="AL23" s="959">
        <f>((AB23/Q23)^(1/11)-1)*100</f>
        <v>1.0447508305495123</v>
      </c>
      <c r="AM23" s="959">
        <f>((AI23/I23)^(1/26)-1)*100</f>
        <v>0.97810234864104117</v>
      </c>
      <c r="AN23" s="959">
        <f>((AI23/AB23)^(1/7)-1)*100</f>
        <v>1.7281225957944013</v>
      </c>
      <c r="AO23" s="23"/>
      <c r="AP23" s="959">
        <f>100*AI23/I23-100</f>
        <v>28.797468354430379</v>
      </c>
      <c r="AR23" s="806"/>
      <c r="AS23" s="806"/>
      <c r="AT23" s="806"/>
      <c r="AU23" s="806"/>
      <c r="AV23" s="806"/>
      <c r="AW23" s="806"/>
    </row>
    <row r="24" spans="1:49">
      <c r="D24" s="1" t="s">
        <v>621</v>
      </c>
      <c r="I24" s="20">
        <v>83300</v>
      </c>
      <c r="J24" s="19">
        <v>81200</v>
      </c>
      <c r="K24" s="19">
        <v>78800</v>
      </c>
      <c r="L24" s="19">
        <v>79100</v>
      </c>
      <c r="M24" s="19">
        <v>80700</v>
      </c>
      <c r="N24" s="19">
        <v>80600</v>
      </c>
      <c r="O24" s="19">
        <v>81100</v>
      </c>
      <c r="P24" s="39">
        <v>82100</v>
      </c>
      <c r="Q24" s="240">
        <v>84300</v>
      </c>
      <c r="R24" s="19">
        <v>81900</v>
      </c>
      <c r="S24" s="19">
        <v>77500</v>
      </c>
      <c r="T24" s="19">
        <v>78400</v>
      </c>
      <c r="U24" s="19">
        <v>77600</v>
      </c>
      <c r="V24" s="19">
        <v>78300</v>
      </c>
      <c r="W24" s="19">
        <v>78600</v>
      </c>
      <c r="X24" s="19">
        <v>79500</v>
      </c>
      <c r="Y24" s="19">
        <v>81000</v>
      </c>
      <c r="Z24" s="19">
        <v>82600</v>
      </c>
      <c r="AA24" s="19">
        <v>86200</v>
      </c>
      <c r="AB24" s="19">
        <v>89900</v>
      </c>
      <c r="AC24" s="19">
        <v>93300</v>
      </c>
      <c r="AD24" s="19">
        <v>92200</v>
      </c>
      <c r="AE24" s="19">
        <v>92700</v>
      </c>
      <c r="AF24" s="19">
        <v>97500</v>
      </c>
      <c r="AG24" s="19">
        <v>95500</v>
      </c>
      <c r="AH24" s="19">
        <v>98800</v>
      </c>
      <c r="AI24" s="19">
        <v>102500</v>
      </c>
      <c r="AJ24" s="19"/>
      <c r="AK24" s="959">
        <f t="shared" si="0"/>
        <v>0.14927775642170626</v>
      </c>
      <c r="AL24" s="959">
        <f>((AB24/Q24)^(1/11)-1)*100</f>
        <v>0.58640426192593242</v>
      </c>
      <c r="AM24" s="959">
        <f>((AI24/I24)^(1/26)-1)*100</f>
        <v>0.80093759372696915</v>
      </c>
      <c r="AN24" s="959">
        <f>((AI24/AB24)^(1/7)-1)*100</f>
        <v>1.891449164325909</v>
      </c>
      <c r="AO24" s="23"/>
      <c r="AP24" s="959">
        <f>100*AI24/I24-100</f>
        <v>23.049219687875151</v>
      </c>
    </row>
    <row r="25" spans="1:49">
      <c r="I25" s="20"/>
      <c r="J25" s="39"/>
      <c r="K25" s="39"/>
      <c r="L25" s="39"/>
      <c r="M25" s="39"/>
      <c r="N25" s="39"/>
      <c r="O25" s="39"/>
      <c r="P25" s="39"/>
      <c r="Q25" s="240"/>
      <c r="R25" s="19"/>
      <c r="S25" s="19"/>
      <c r="T25" s="19"/>
      <c r="U25" s="19"/>
      <c r="V25" s="19"/>
      <c r="W25" s="19"/>
      <c r="X25" s="19"/>
      <c r="Y25" s="19"/>
      <c r="Z25" s="19"/>
      <c r="AA25" s="19"/>
      <c r="AB25" s="19"/>
      <c r="AC25" s="19"/>
      <c r="AD25" s="19"/>
      <c r="AE25" s="19"/>
      <c r="AF25" s="19"/>
      <c r="AG25" s="19"/>
      <c r="AH25" s="19"/>
      <c r="AI25" s="19"/>
      <c r="AJ25" s="19"/>
      <c r="AK25" s="959"/>
      <c r="AL25" s="959"/>
      <c r="AM25" s="959"/>
      <c r="AN25" s="959"/>
      <c r="AO25" s="23"/>
      <c r="AP25" s="959"/>
    </row>
    <row r="26" spans="1:49">
      <c r="D26" s="128" t="s">
        <v>622</v>
      </c>
      <c r="I26" s="20">
        <v>82200</v>
      </c>
      <c r="J26" s="19">
        <v>80800</v>
      </c>
      <c r="K26" s="19">
        <v>76300</v>
      </c>
      <c r="L26" s="19">
        <v>76000</v>
      </c>
      <c r="M26" s="19">
        <v>77500</v>
      </c>
      <c r="N26" s="19">
        <v>80500</v>
      </c>
      <c r="O26" s="19">
        <v>78500</v>
      </c>
      <c r="P26" s="39">
        <v>80600</v>
      </c>
      <c r="Q26" s="240">
        <v>82700</v>
      </c>
      <c r="R26" s="19">
        <v>80900</v>
      </c>
      <c r="S26" s="19">
        <v>77900</v>
      </c>
      <c r="T26" s="19">
        <v>76800</v>
      </c>
      <c r="U26" s="19">
        <v>77300</v>
      </c>
      <c r="V26" s="19">
        <v>77100</v>
      </c>
      <c r="W26" s="19">
        <v>75400</v>
      </c>
      <c r="X26" s="19">
        <v>79000</v>
      </c>
      <c r="Y26" s="19">
        <v>78300</v>
      </c>
      <c r="Z26" s="19">
        <v>81400</v>
      </c>
      <c r="AA26" s="19">
        <v>86200</v>
      </c>
      <c r="AB26" s="19">
        <v>91300</v>
      </c>
      <c r="AC26" s="19">
        <v>90900</v>
      </c>
      <c r="AD26" s="19">
        <v>90000</v>
      </c>
      <c r="AE26" s="19">
        <v>90400</v>
      </c>
      <c r="AF26" s="19">
        <v>92600</v>
      </c>
      <c r="AG26" s="19">
        <v>96800</v>
      </c>
      <c r="AH26" s="19">
        <v>99800</v>
      </c>
      <c r="AI26" s="19">
        <v>101100</v>
      </c>
      <c r="AJ26" s="19"/>
      <c r="AK26" s="959">
        <f t="shared" si="0"/>
        <v>7.5832487897264933E-2</v>
      </c>
      <c r="AL26" s="959">
        <f>((AB26/Q26)^(1/11)-1)*100</f>
        <v>0.90343093796174667</v>
      </c>
      <c r="AM26" s="959">
        <f>((AI26/I26)^(1/26)-1)*100</f>
        <v>0.79915643580046325</v>
      </c>
      <c r="AN26" s="959">
        <f>((AI26/AB26)^(1/7)-1)*100</f>
        <v>1.4672215329421645</v>
      </c>
      <c r="AO26" s="23"/>
      <c r="AP26" s="959">
        <f>100*AI26/I26-100</f>
        <v>22.992700729927009</v>
      </c>
    </row>
    <row r="27" spans="1:49">
      <c r="I27" s="20"/>
      <c r="J27" s="39"/>
      <c r="K27" s="39"/>
      <c r="L27" s="39"/>
      <c r="M27" s="39"/>
      <c r="N27" s="39"/>
      <c r="O27" s="39"/>
      <c r="P27" s="39"/>
      <c r="Q27" s="240"/>
      <c r="R27" s="19"/>
      <c r="S27" s="19"/>
      <c r="T27" s="19"/>
      <c r="U27" s="19"/>
      <c r="V27" s="19"/>
      <c r="W27" s="19"/>
      <c r="X27" s="19"/>
      <c r="Y27" s="19"/>
      <c r="Z27" s="19"/>
      <c r="AA27" s="19"/>
      <c r="AB27" s="19"/>
      <c r="AC27" s="19"/>
      <c r="AD27" s="19"/>
      <c r="AE27" s="19"/>
      <c r="AF27" s="19"/>
      <c r="AG27" s="19"/>
      <c r="AH27" s="19"/>
      <c r="AI27" s="19"/>
      <c r="AJ27" s="19"/>
      <c r="AK27" s="959"/>
      <c r="AL27" s="959"/>
      <c r="AM27" s="959"/>
      <c r="AN27" s="959"/>
      <c r="AO27" s="23"/>
      <c r="AP27" s="959"/>
      <c r="AQ27" s="114"/>
    </row>
    <row r="28" spans="1:49" s="114" customFormat="1">
      <c r="A28" s="1"/>
      <c r="B28" s="1"/>
      <c r="C28" s="1"/>
      <c r="D28" s="128" t="s">
        <v>623</v>
      </c>
      <c r="E28" s="1"/>
      <c r="F28" s="1"/>
      <c r="G28" s="1"/>
      <c r="H28" s="1"/>
      <c r="I28" s="20">
        <v>32800</v>
      </c>
      <c r="J28" s="19">
        <v>30600</v>
      </c>
      <c r="K28" s="19">
        <v>28900</v>
      </c>
      <c r="L28" s="19">
        <v>30200</v>
      </c>
      <c r="M28" s="19">
        <v>29800</v>
      </c>
      <c r="N28" s="19">
        <v>30200</v>
      </c>
      <c r="O28" s="19">
        <v>31500</v>
      </c>
      <c r="P28" s="39">
        <v>31300</v>
      </c>
      <c r="Q28" s="240">
        <v>33600</v>
      </c>
      <c r="R28" s="19">
        <v>30500</v>
      </c>
      <c r="S28" s="19">
        <v>29100</v>
      </c>
      <c r="T28" s="19">
        <v>30000</v>
      </c>
      <c r="U28" s="19">
        <v>29400</v>
      </c>
      <c r="V28" s="19">
        <v>30600</v>
      </c>
      <c r="W28" s="19">
        <v>30400</v>
      </c>
      <c r="X28" s="19">
        <v>28900</v>
      </c>
      <c r="Y28" s="19">
        <v>29600</v>
      </c>
      <c r="Z28" s="19">
        <v>31500</v>
      </c>
      <c r="AA28" s="19">
        <v>32600</v>
      </c>
      <c r="AB28" s="19">
        <v>35200</v>
      </c>
      <c r="AC28" s="19">
        <v>36600</v>
      </c>
      <c r="AD28" s="19">
        <v>34900</v>
      </c>
      <c r="AE28" s="19">
        <v>35600</v>
      </c>
      <c r="AF28" s="19">
        <v>35700</v>
      </c>
      <c r="AG28" s="19">
        <v>40500</v>
      </c>
      <c r="AH28" s="19">
        <v>41100</v>
      </c>
      <c r="AI28" s="19">
        <v>41800</v>
      </c>
      <c r="AJ28" s="19"/>
      <c r="AK28" s="959">
        <f t="shared" si="0"/>
        <v>0.30167351620993266</v>
      </c>
      <c r="AL28" s="959">
        <f t="shared" ref="AL28:AL33" si="1">((AB28/Q28)^(1/11)-1)*100</f>
        <v>0.42380475611301094</v>
      </c>
      <c r="AM28" s="959">
        <f t="shared" ref="AM28:AM33" si="2">((AI28/I28)^(1/26)-1)*100</f>
        <v>0.93693052383780895</v>
      </c>
      <c r="AN28" s="959">
        <f t="shared" ref="AN28:AN33" si="3">((AI28/AB28)^(1/7)-1)*100</f>
        <v>2.4853870133818123</v>
      </c>
      <c r="AO28" s="23"/>
      <c r="AP28" s="959">
        <f t="shared" ref="AP28:AP33" si="4">100*AI28/I28-100</f>
        <v>27.439024390243901</v>
      </c>
    </row>
    <row r="29" spans="1:49" s="114" customFormat="1">
      <c r="A29" s="1"/>
      <c r="B29" s="1"/>
      <c r="C29" s="1"/>
      <c r="D29" s="1" t="s">
        <v>624</v>
      </c>
      <c r="E29" s="1"/>
      <c r="F29" s="1"/>
      <c r="G29" s="1"/>
      <c r="H29" s="1"/>
      <c r="I29" s="20">
        <v>49200</v>
      </c>
      <c r="J29" s="19">
        <v>45700</v>
      </c>
      <c r="K29" s="19">
        <v>41200</v>
      </c>
      <c r="L29" s="19">
        <v>43600</v>
      </c>
      <c r="M29" s="19">
        <v>43300</v>
      </c>
      <c r="N29" s="19">
        <v>42600</v>
      </c>
      <c r="O29" s="19">
        <v>50600</v>
      </c>
      <c r="P29" s="39">
        <v>44500</v>
      </c>
      <c r="Q29" s="240">
        <v>52400</v>
      </c>
      <c r="R29" s="19">
        <v>43500</v>
      </c>
      <c r="S29" s="19">
        <v>41000</v>
      </c>
      <c r="T29" s="19">
        <v>41800</v>
      </c>
      <c r="U29" s="19">
        <v>38300</v>
      </c>
      <c r="V29" s="19">
        <v>38400</v>
      </c>
      <c r="W29" s="19">
        <v>38300</v>
      </c>
      <c r="X29" s="19">
        <v>40600</v>
      </c>
      <c r="Y29" s="19">
        <v>39900</v>
      </c>
      <c r="Z29" s="19">
        <v>43500</v>
      </c>
      <c r="AA29" s="19">
        <v>43500</v>
      </c>
      <c r="AB29" s="19">
        <v>47000</v>
      </c>
      <c r="AC29" s="19">
        <v>45800</v>
      </c>
      <c r="AD29" s="19">
        <v>46400</v>
      </c>
      <c r="AE29" s="19">
        <v>49300</v>
      </c>
      <c r="AF29" s="19">
        <v>47000</v>
      </c>
      <c r="AG29" s="19">
        <v>53700</v>
      </c>
      <c r="AH29" s="19">
        <v>55700</v>
      </c>
      <c r="AI29" s="19">
        <v>52100</v>
      </c>
      <c r="AJ29" s="19"/>
      <c r="AK29" s="959">
        <f t="shared" si="0"/>
        <v>0.79077231640254375</v>
      </c>
      <c r="AL29" s="959">
        <f t="shared" si="1"/>
        <v>-0.98384633931654086</v>
      </c>
      <c r="AM29" s="959">
        <f t="shared" si="2"/>
        <v>0.22051711005437458</v>
      </c>
      <c r="AN29" s="959">
        <f t="shared" si="3"/>
        <v>1.4825588627592978</v>
      </c>
      <c r="AO29" s="23"/>
      <c r="AP29" s="959">
        <f t="shared" si="4"/>
        <v>5.8943089430894275</v>
      </c>
    </row>
    <row r="30" spans="1:49" s="114" customFormat="1">
      <c r="A30" s="1"/>
      <c r="B30" s="1"/>
      <c r="C30" s="1"/>
      <c r="D30" s="1" t="s">
        <v>625</v>
      </c>
      <c r="E30" s="1"/>
      <c r="F30" s="1"/>
      <c r="G30" s="1"/>
      <c r="H30" s="1"/>
      <c r="I30" s="20">
        <v>29900</v>
      </c>
      <c r="J30" s="19">
        <v>28000</v>
      </c>
      <c r="K30" s="19">
        <v>27300</v>
      </c>
      <c r="L30" s="19">
        <v>28300</v>
      </c>
      <c r="M30" s="19">
        <v>28000</v>
      </c>
      <c r="N30" s="19">
        <v>28000</v>
      </c>
      <c r="O30" s="19">
        <v>28800</v>
      </c>
      <c r="P30" s="39">
        <v>29400</v>
      </c>
      <c r="Q30" s="240">
        <v>31100</v>
      </c>
      <c r="R30" s="19">
        <v>28200</v>
      </c>
      <c r="S30" s="19">
        <v>27400</v>
      </c>
      <c r="T30" s="19">
        <v>28400</v>
      </c>
      <c r="U30" s="19">
        <v>28000</v>
      </c>
      <c r="V30" s="19">
        <v>29200</v>
      </c>
      <c r="W30" s="19">
        <v>29200</v>
      </c>
      <c r="X30" s="19">
        <v>27100</v>
      </c>
      <c r="Y30" s="19">
        <v>27900</v>
      </c>
      <c r="Z30" s="19">
        <v>29300</v>
      </c>
      <c r="AA30" s="19">
        <v>30500</v>
      </c>
      <c r="AB30" s="19">
        <v>32800</v>
      </c>
      <c r="AC30" s="19">
        <v>34600</v>
      </c>
      <c r="AD30" s="19">
        <v>32200</v>
      </c>
      <c r="AE30" s="19">
        <v>32500</v>
      </c>
      <c r="AF30" s="19">
        <v>33200</v>
      </c>
      <c r="AG30" s="19">
        <v>37500</v>
      </c>
      <c r="AH30" s="19">
        <v>37800</v>
      </c>
      <c r="AI30" s="19">
        <v>39500</v>
      </c>
      <c r="AJ30" s="19"/>
      <c r="AK30" s="959">
        <f t="shared" si="0"/>
        <v>0.49307838503465096</v>
      </c>
      <c r="AL30" s="959">
        <f t="shared" si="1"/>
        <v>0.4849968316364528</v>
      </c>
      <c r="AM30" s="959">
        <f t="shared" si="2"/>
        <v>1.0766865029383954</v>
      </c>
      <c r="AN30" s="959">
        <f t="shared" si="3"/>
        <v>2.6908841641516856</v>
      </c>
      <c r="AO30" s="23"/>
      <c r="AP30" s="959">
        <f t="shared" si="4"/>
        <v>32.107023411371244</v>
      </c>
    </row>
    <row r="31" spans="1:49" s="114" customFormat="1">
      <c r="A31" s="1"/>
      <c r="B31" s="1"/>
      <c r="C31" s="1"/>
      <c r="D31" s="1"/>
      <c r="E31" s="1" t="s">
        <v>613</v>
      </c>
      <c r="F31" s="1"/>
      <c r="G31" s="1"/>
      <c r="H31" s="1"/>
      <c r="I31" s="20">
        <v>14200</v>
      </c>
      <c r="J31" s="19">
        <v>15800</v>
      </c>
      <c r="K31" s="19">
        <v>15900</v>
      </c>
      <c r="L31" s="19">
        <v>16200</v>
      </c>
      <c r="M31" s="19">
        <v>16200</v>
      </c>
      <c r="N31" s="19">
        <v>17000</v>
      </c>
      <c r="O31" s="19">
        <v>16800</v>
      </c>
      <c r="P31" s="39">
        <v>17000</v>
      </c>
      <c r="Q31" s="240">
        <v>17300</v>
      </c>
      <c r="R31" s="19">
        <v>17000</v>
      </c>
      <c r="S31" s="19">
        <v>17800</v>
      </c>
      <c r="T31" s="19">
        <v>18600</v>
      </c>
      <c r="U31" s="19">
        <v>19100</v>
      </c>
      <c r="V31" s="19">
        <v>19200</v>
      </c>
      <c r="W31" s="19">
        <v>19200</v>
      </c>
      <c r="X31" s="19">
        <v>17500</v>
      </c>
      <c r="Y31" s="19">
        <v>16800</v>
      </c>
      <c r="Z31" s="19">
        <v>17200</v>
      </c>
      <c r="AA31" s="19">
        <v>17800</v>
      </c>
      <c r="AB31" s="19">
        <v>17400</v>
      </c>
      <c r="AC31" s="19">
        <v>18300</v>
      </c>
      <c r="AD31" s="19">
        <v>17500</v>
      </c>
      <c r="AE31" s="19">
        <v>17200</v>
      </c>
      <c r="AF31" s="19">
        <v>18600</v>
      </c>
      <c r="AG31" s="19">
        <v>18500</v>
      </c>
      <c r="AH31" s="19">
        <v>20500</v>
      </c>
      <c r="AI31" s="19">
        <v>18000</v>
      </c>
      <c r="AJ31" s="19"/>
      <c r="AK31" s="959">
        <f t="shared" si="0"/>
        <v>2.499021593143258</v>
      </c>
      <c r="AL31" s="959">
        <f t="shared" si="1"/>
        <v>5.2411045398148559E-2</v>
      </c>
      <c r="AM31" s="959">
        <f t="shared" si="2"/>
        <v>0.91620940297916231</v>
      </c>
      <c r="AN31" s="959">
        <f t="shared" si="3"/>
        <v>0.48548254726759055</v>
      </c>
      <c r="AO31" s="23"/>
      <c r="AP31" s="959">
        <f t="shared" si="4"/>
        <v>26.760563380281695</v>
      </c>
    </row>
    <row r="32" spans="1:49" s="114" customFormat="1">
      <c r="A32" s="1"/>
      <c r="B32" s="1"/>
      <c r="C32" s="1"/>
      <c r="D32" s="1"/>
      <c r="E32" s="1" t="s">
        <v>620</v>
      </c>
      <c r="F32" s="1"/>
      <c r="G32" s="1"/>
      <c r="H32" s="1"/>
      <c r="I32" s="20">
        <v>29700</v>
      </c>
      <c r="J32" s="19">
        <v>28500</v>
      </c>
      <c r="K32" s="19">
        <v>29900</v>
      </c>
      <c r="L32" s="19">
        <v>29000</v>
      </c>
      <c r="M32" s="19">
        <v>27800</v>
      </c>
      <c r="N32" s="19">
        <v>29300</v>
      </c>
      <c r="O32" s="19">
        <v>28500</v>
      </c>
      <c r="P32" s="39">
        <v>29000</v>
      </c>
      <c r="Q32" s="240">
        <v>30800</v>
      </c>
      <c r="R32" s="19">
        <v>28500</v>
      </c>
      <c r="S32" s="19">
        <v>29000</v>
      </c>
      <c r="T32" s="19">
        <v>30700</v>
      </c>
      <c r="U32" s="19">
        <v>30100</v>
      </c>
      <c r="V32" s="19">
        <v>30600</v>
      </c>
      <c r="W32" s="19">
        <v>30800</v>
      </c>
      <c r="X32" s="19">
        <v>30500</v>
      </c>
      <c r="Y32" s="19">
        <v>30200</v>
      </c>
      <c r="Z32" s="19">
        <v>30900</v>
      </c>
      <c r="AA32" s="19">
        <v>31500</v>
      </c>
      <c r="AB32" s="19">
        <v>32500</v>
      </c>
      <c r="AC32" s="19">
        <v>34200</v>
      </c>
      <c r="AD32" s="19">
        <v>32400</v>
      </c>
      <c r="AE32" s="19">
        <v>32200</v>
      </c>
      <c r="AF32" s="19">
        <v>33100</v>
      </c>
      <c r="AG32" s="19">
        <v>37900</v>
      </c>
      <c r="AH32" s="19">
        <v>37200</v>
      </c>
      <c r="AI32" s="19">
        <v>39300</v>
      </c>
      <c r="AJ32" s="19"/>
      <c r="AK32" s="959">
        <f t="shared" si="0"/>
        <v>0.45563040525389287</v>
      </c>
      <c r="AL32" s="959">
        <f t="shared" si="1"/>
        <v>0.48960740054828644</v>
      </c>
      <c r="AM32" s="959">
        <f t="shared" si="2"/>
        <v>1.0830439659868185</v>
      </c>
      <c r="AN32" s="959">
        <f t="shared" si="3"/>
        <v>2.7512294525247727</v>
      </c>
      <c r="AO32" s="23"/>
      <c r="AP32" s="959">
        <f t="shared" si="4"/>
        <v>32.323232323232332</v>
      </c>
    </row>
    <row r="33" spans="1:43" s="114" customFormat="1">
      <c r="A33" s="1"/>
      <c r="B33" s="1"/>
      <c r="C33" s="1"/>
      <c r="D33" s="1"/>
      <c r="E33" s="1" t="s">
        <v>626</v>
      </c>
      <c r="F33" s="1"/>
      <c r="G33" s="1"/>
      <c r="H33" s="1"/>
      <c r="I33" s="20">
        <v>48900</v>
      </c>
      <c r="J33" s="19">
        <v>44300</v>
      </c>
      <c r="K33" s="19">
        <v>39000</v>
      </c>
      <c r="L33" s="19">
        <v>46900</v>
      </c>
      <c r="M33" s="19">
        <v>47300</v>
      </c>
      <c r="N33" s="19">
        <v>40500</v>
      </c>
      <c r="O33" s="19">
        <v>45100</v>
      </c>
      <c r="P33" s="39">
        <v>45100</v>
      </c>
      <c r="Q33" s="240">
        <v>48400</v>
      </c>
      <c r="R33" s="19">
        <v>43800</v>
      </c>
      <c r="S33" s="19">
        <v>41700</v>
      </c>
      <c r="T33" s="19">
        <v>42300</v>
      </c>
      <c r="U33" s="19">
        <v>43700</v>
      </c>
      <c r="V33" s="19">
        <v>47200</v>
      </c>
      <c r="W33" s="19">
        <v>47000</v>
      </c>
      <c r="X33" s="19">
        <v>41900</v>
      </c>
      <c r="Y33" s="19">
        <v>45000</v>
      </c>
      <c r="Z33" s="19">
        <v>47800</v>
      </c>
      <c r="AA33" s="19">
        <v>47900</v>
      </c>
      <c r="AB33" s="19">
        <v>52200</v>
      </c>
      <c r="AC33" s="19">
        <v>54600</v>
      </c>
      <c r="AD33" s="19">
        <v>47700</v>
      </c>
      <c r="AE33" s="19">
        <v>49700</v>
      </c>
      <c r="AF33" s="19">
        <v>47900</v>
      </c>
      <c r="AG33" s="19">
        <v>50300</v>
      </c>
      <c r="AH33" s="19">
        <v>51400</v>
      </c>
      <c r="AI33" s="19">
        <v>54200</v>
      </c>
      <c r="AJ33" s="19"/>
      <c r="AK33" s="959">
        <f t="shared" si="0"/>
        <v>-0.12838729737782995</v>
      </c>
      <c r="AL33" s="959">
        <f t="shared" si="1"/>
        <v>0.68948133645672094</v>
      </c>
      <c r="AM33" s="959">
        <f t="shared" si="2"/>
        <v>0.39656699251207073</v>
      </c>
      <c r="AN33" s="959">
        <f t="shared" si="3"/>
        <v>0.53856527029141343</v>
      </c>
      <c r="AO33" s="23"/>
      <c r="AP33" s="959">
        <f t="shared" si="4"/>
        <v>10.838445807770967</v>
      </c>
    </row>
    <row r="34" spans="1:43" s="114" customFormat="1">
      <c r="A34" s="1"/>
      <c r="B34" s="1"/>
      <c r="C34" s="1"/>
      <c r="D34" s="1"/>
      <c r="E34" s="1"/>
      <c r="F34" s="1"/>
      <c r="G34" s="1"/>
      <c r="H34" s="1"/>
      <c r="I34" s="20"/>
      <c r="J34" s="39"/>
      <c r="K34" s="39"/>
      <c r="L34" s="39"/>
      <c r="M34" s="39"/>
      <c r="N34" s="39"/>
      <c r="O34" s="39"/>
      <c r="P34" s="39"/>
      <c r="Q34" s="240"/>
      <c r="R34" s="19"/>
      <c r="S34" s="19"/>
      <c r="T34" s="19"/>
      <c r="U34" s="19"/>
      <c r="V34" s="19"/>
      <c r="W34" s="19"/>
      <c r="X34" s="19"/>
      <c r="Y34" s="19"/>
      <c r="Z34" s="19"/>
      <c r="AA34" s="19"/>
      <c r="AB34" s="19"/>
      <c r="AC34" s="19"/>
      <c r="AD34" s="19"/>
      <c r="AE34" s="19"/>
      <c r="AF34" s="19"/>
      <c r="AG34" s="19"/>
      <c r="AH34" s="19"/>
      <c r="AI34" s="19"/>
      <c r="AJ34" s="19"/>
      <c r="AK34" s="959"/>
      <c r="AL34" s="959"/>
      <c r="AM34" s="959"/>
      <c r="AN34" s="959"/>
      <c r="AO34" s="23"/>
      <c r="AP34" s="959"/>
    </row>
    <row r="35" spans="1:43">
      <c r="D35" s="128" t="s">
        <v>2</v>
      </c>
      <c r="I35" s="20">
        <v>50700</v>
      </c>
      <c r="J35" s="19">
        <v>49500</v>
      </c>
      <c r="K35" s="19">
        <v>45400</v>
      </c>
      <c r="L35" s="19">
        <v>47600</v>
      </c>
      <c r="M35" s="19">
        <v>47200</v>
      </c>
      <c r="N35" s="19">
        <v>49100</v>
      </c>
      <c r="O35" s="19">
        <v>48400</v>
      </c>
      <c r="P35" s="39">
        <v>49400</v>
      </c>
      <c r="Q35" s="240">
        <v>51000</v>
      </c>
      <c r="R35" s="19">
        <v>49200</v>
      </c>
      <c r="S35" s="19">
        <v>48200</v>
      </c>
      <c r="T35" s="19">
        <v>44000</v>
      </c>
      <c r="U35" s="19">
        <v>45800</v>
      </c>
      <c r="V35" s="19">
        <v>46400</v>
      </c>
      <c r="W35" s="19">
        <v>48400</v>
      </c>
      <c r="X35" s="19">
        <v>51000</v>
      </c>
      <c r="Y35" s="19">
        <v>51000</v>
      </c>
      <c r="Z35" s="19">
        <v>55500</v>
      </c>
      <c r="AA35" s="19">
        <v>56700</v>
      </c>
      <c r="AB35" s="19">
        <v>57100</v>
      </c>
      <c r="AC35" s="19">
        <v>60200</v>
      </c>
      <c r="AD35" s="19">
        <v>61700</v>
      </c>
      <c r="AE35" s="19">
        <v>57400</v>
      </c>
      <c r="AF35" s="19">
        <v>60300</v>
      </c>
      <c r="AG35" s="19">
        <v>58800</v>
      </c>
      <c r="AH35" s="19">
        <v>60400</v>
      </c>
      <c r="AI35" s="19">
        <v>62500</v>
      </c>
      <c r="AJ35" s="19"/>
      <c r="AK35" s="959">
        <f t="shared" si="0"/>
        <v>7.3773726026571396E-2</v>
      </c>
      <c r="AL35" s="959">
        <f>((AB35/Q35)^(1/11)-1)*100</f>
        <v>1.032369667800781</v>
      </c>
      <c r="AM35" s="959">
        <f>((AI35/I35)^(1/26)-1)*100</f>
        <v>0.80801870796356479</v>
      </c>
      <c r="AN35" s="959">
        <f>((AI35/AB35)^(1/7)-1)*100</f>
        <v>1.2992599803652416</v>
      </c>
      <c r="AO35" s="23"/>
      <c r="AP35" s="959">
        <f>100*AI35/I35-100</f>
        <v>23.274161735700204</v>
      </c>
      <c r="AQ35" s="114"/>
    </row>
    <row r="36" spans="1:43" ht="12.75" customHeight="1">
      <c r="I36" s="20"/>
      <c r="J36" s="39"/>
      <c r="K36" s="39"/>
      <c r="L36" s="39"/>
      <c r="M36" s="39"/>
      <c r="N36" s="39"/>
      <c r="O36" s="39"/>
      <c r="P36" s="39"/>
      <c r="Q36" s="240"/>
      <c r="R36" s="19"/>
      <c r="S36" s="19"/>
      <c r="T36" s="19"/>
      <c r="U36" s="19"/>
      <c r="V36" s="19"/>
      <c r="W36" s="19"/>
      <c r="X36" s="19"/>
      <c r="Y36" s="19"/>
      <c r="Z36" s="19"/>
      <c r="AA36" s="19"/>
      <c r="AB36" s="19"/>
      <c r="AC36" s="19"/>
      <c r="AD36" s="19"/>
      <c r="AE36" s="19"/>
      <c r="AF36" s="19"/>
      <c r="AG36" s="19"/>
      <c r="AH36" s="19"/>
      <c r="AI36" s="19"/>
      <c r="AJ36" s="19"/>
      <c r="AK36" s="959"/>
      <c r="AL36" s="959"/>
      <c r="AM36" s="959"/>
      <c r="AN36" s="959"/>
      <c r="AO36" s="23"/>
      <c r="AP36" s="959"/>
      <c r="AQ36" s="114"/>
    </row>
    <row r="37" spans="1:43" ht="13.5" customHeight="1">
      <c r="B37" s="128" t="s">
        <v>3</v>
      </c>
      <c r="I37" s="20">
        <v>26100</v>
      </c>
      <c r="J37" s="19">
        <v>25800</v>
      </c>
      <c r="K37" s="19">
        <v>24400</v>
      </c>
      <c r="L37" s="19">
        <v>24700</v>
      </c>
      <c r="M37" s="19">
        <v>25200</v>
      </c>
      <c r="N37" s="19">
        <v>24900</v>
      </c>
      <c r="O37" s="19">
        <v>25000</v>
      </c>
      <c r="P37" s="39">
        <v>25400</v>
      </c>
      <c r="Q37" s="240">
        <v>26100</v>
      </c>
      <c r="R37" s="19">
        <v>25500</v>
      </c>
      <c r="S37" s="19">
        <v>23900</v>
      </c>
      <c r="T37" s="19">
        <v>24200</v>
      </c>
      <c r="U37" s="19">
        <v>24000</v>
      </c>
      <c r="V37" s="19">
        <v>23900</v>
      </c>
      <c r="W37" s="19">
        <v>24100</v>
      </c>
      <c r="X37" s="19">
        <v>23700</v>
      </c>
      <c r="Y37" s="19">
        <v>23700</v>
      </c>
      <c r="Z37" s="19">
        <v>24200</v>
      </c>
      <c r="AA37" s="19">
        <v>25400</v>
      </c>
      <c r="AB37" s="19">
        <v>25600</v>
      </c>
      <c r="AC37" s="19">
        <v>26800</v>
      </c>
      <c r="AD37" s="19">
        <v>27400</v>
      </c>
      <c r="AE37" s="19">
        <v>27700</v>
      </c>
      <c r="AF37" s="19">
        <v>27600</v>
      </c>
      <c r="AG37" s="19">
        <v>28100</v>
      </c>
      <c r="AH37" s="19">
        <v>29100</v>
      </c>
      <c r="AI37" s="19">
        <v>29800</v>
      </c>
      <c r="AJ37" s="19"/>
      <c r="AK37" s="959">
        <f t="shared" si="0"/>
        <v>0</v>
      </c>
      <c r="AL37" s="959">
        <f>((AB37/Q37)^(1/11)-1)*100</f>
        <v>-0.17569059981373814</v>
      </c>
      <c r="AM37" s="959">
        <f>((AI37/I37)^(1/26)-1)*100</f>
        <v>0.51119864270958715</v>
      </c>
      <c r="AN37" s="959">
        <f>((AI37/AB37)^(1/7)-1)*100</f>
        <v>2.1939499325906553</v>
      </c>
      <c r="AO37" s="23"/>
      <c r="AP37" s="959">
        <f>100*AI37/I37-100</f>
        <v>14.17624521072797</v>
      </c>
      <c r="AQ37" s="114"/>
    </row>
    <row r="38" spans="1:43" ht="13.5" customHeight="1">
      <c r="B38" s="128"/>
      <c r="I38" s="20"/>
      <c r="J38" s="39"/>
      <c r="K38" s="39"/>
      <c r="L38" s="39"/>
      <c r="M38" s="39"/>
      <c r="N38" s="39"/>
      <c r="O38" s="39"/>
      <c r="P38" s="39"/>
      <c r="Q38" s="240"/>
      <c r="R38" s="19"/>
      <c r="S38" s="19"/>
      <c r="T38" s="19"/>
      <c r="U38" s="19"/>
      <c r="V38" s="19"/>
      <c r="W38" s="19"/>
      <c r="X38" s="19"/>
      <c r="Y38" s="19"/>
      <c r="Z38" s="19"/>
      <c r="AA38" s="19"/>
      <c r="AB38" s="19"/>
      <c r="AC38" s="19"/>
      <c r="AD38" s="19"/>
      <c r="AE38" s="19"/>
      <c r="AF38" s="19"/>
      <c r="AG38" s="19"/>
      <c r="AH38" s="19"/>
      <c r="AI38" s="19"/>
      <c r="AJ38" s="19"/>
      <c r="AK38" s="959"/>
      <c r="AL38" s="959"/>
      <c r="AM38" s="959"/>
      <c r="AN38" s="959"/>
      <c r="AO38" s="23"/>
      <c r="AP38" s="959"/>
      <c r="AQ38" s="114"/>
    </row>
    <row r="39" spans="1:43">
      <c r="C39" s="128" t="s">
        <v>4</v>
      </c>
      <c r="I39" s="20">
        <v>22900</v>
      </c>
      <c r="J39" s="19">
        <v>24900</v>
      </c>
      <c r="K39" s="19">
        <v>21500</v>
      </c>
      <c r="L39" s="19">
        <v>22500</v>
      </c>
      <c r="M39" s="19">
        <v>23600</v>
      </c>
      <c r="N39" s="19">
        <v>21600</v>
      </c>
      <c r="O39" s="19">
        <v>23100</v>
      </c>
      <c r="P39" s="39">
        <v>23700</v>
      </c>
      <c r="Q39" s="240">
        <v>25300</v>
      </c>
      <c r="R39" s="19">
        <v>24400</v>
      </c>
      <c r="S39" s="19">
        <v>23200</v>
      </c>
      <c r="T39" s="19">
        <v>25100</v>
      </c>
      <c r="U39" s="19">
        <v>24700</v>
      </c>
      <c r="V39" s="19">
        <v>26700</v>
      </c>
      <c r="W39" s="19">
        <v>26100</v>
      </c>
      <c r="X39" s="19">
        <v>26100</v>
      </c>
      <c r="Y39" s="19">
        <v>25800</v>
      </c>
      <c r="Z39" s="19">
        <v>27000</v>
      </c>
      <c r="AA39" s="19">
        <v>26100</v>
      </c>
      <c r="AB39" s="19">
        <v>25100</v>
      </c>
      <c r="AC39" s="19">
        <v>27000</v>
      </c>
      <c r="AD39" s="19">
        <v>26900</v>
      </c>
      <c r="AE39" s="19">
        <v>27700</v>
      </c>
      <c r="AF39" s="19">
        <v>27400</v>
      </c>
      <c r="AG39" s="19">
        <v>28100</v>
      </c>
      <c r="AH39" s="19">
        <v>28500</v>
      </c>
      <c r="AI39" s="19">
        <v>31000</v>
      </c>
      <c r="AJ39" s="19"/>
      <c r="AK39" s="959">
        <f t="shared" si="0"/>
        <v>1.2536365246740955</v>
      </c>
      <c r="AL39" s="959">
        <f t="shared" ref="AL39:AL44" si="5">((AB39/Q39)^(1/11)-1)*100</f>
        <v>-7.2124428691278109E-2</v>
      </c>
      <c r="AM39" s="959">
        <f t="shared" ref="AM39:AM44" si="6">((AI39/I39)^(1/26)-1)*100</f>
        <v>1.1716191374516738</v>
      </c>
      <c r="AN39" s="959">
        <f t="shared" ref="AN39:AN44" si="7">((AI39/AB39)^(1/7)-1)*100</f>
        <v>3.0619325398100639</v>
      </c>
      <c r="AO39" s="23"/>
      <c r="AP39" s="959">
        <f t="shared" ref="AP39:AP44" si="8">100*AI39/I39-100</f>
        <v>35.371179039301296</v>
      </c>
      <c r="AQ39" s="114"/>
    </row>
    <row r="40" spans="1:43">
      <c r="C40" s="1" t="s">
        <v>5</v>
      </c>
      <c r="I40" s="20">
        <v>20800</v>
      </c>
      <c r="J40" s="19">
        <v>21400</v>
      </c>
      <c r="K40" s="19">
        <v>18600</v>
      </c>
      <c r="L40" s="19">
        <v>20400</v>
      </c>
      <c r="M40" s="19">
        <v>21800</v>
      </c>
      <c r="N40" s="19">
        <v>19800</v>
      </c>
      <c r="O40" s="19">
        <v>21800</v>
      </c>
      <c r="P40" s="39">
        <v>22300</v>
      </c>
      <c r="Q40" s="240">
        <v>23500</v>
      </c>
      <c r="R40" s="19">
        <v>23300</v>
      </c>
      <c r="S40" s="19">
        <v>22300</v>
      </c>
      <c r="T40" s="19">
        <v>24800</v>
      </c>
      <c r="U40" s="19">
        <v>23800</v>
      </c>
      <c r="V40" s="19">
        <v>24800</v>
      </c>
      <c r="W40" s="19">
        <v>24600</v>
      </c>
      <c r="X40" s="19">
        <v>24600</v>
      </c>
      <c r="Y40" s="19">
        <v>24400</v>
      </c>
      <c r="Z40" s="19">
        <v>24600</v>
      </c>
      <c r="AA40" s="19">
        <v>25000</v>
      </c>
      <c r="AB40" s="19">
        <v>23900</v>
      </c>
      <c r="AC40" s="19">
        <v>25700</v>
      </c>
      <c r="AD40" s="19">
        <v>25100</v>
      </c>
      <c r="AE40" s="19">
        <v>24900</v>
      </c>
      <c r="AF40" s="19">
        <v>26100</v>
      </c>
      <c r="AG40" s="19">
        <v>25000</v>
      </c>
      <c r="AH40" s="19">
        <v>25600</v>
      </c>
      <c r="AI40" s="19">
        <v>27600</v>
      </c>
      <c r="AJ40" s="19"/>
      <c r="AK40" s="959">
        <f t="shared" si="0"/>
        <v>1.5372895044895474</v>
      </c>
      <c r="AL40" s="959">
        <f t="shared" si="5"/>
        <v>0.15355448150191631</v>
      </c>
      <c r="AM40" s="959">
        <f t="shared" si="6"/>
        <v>1.0938733118560418</v>
      </c>
      <c r="AN40" s="959">
        <f t="shared" si="7"/>
        <v>2.0775337555108964</v>
      </c>
      <c r="AO40" s="23"/>
      <c r="AP40" s="959">
        <f t="shared" si="8"/>
        <v>32.692307692307679</v>
      </c>
      <c r="AQ40" s="114"/>
    </row>
    <row r="41" spans="1:43">
      <c r="C41" s="1" t="s">
        <v>6</v>
      </c>
      <c r="I41" s="20">
        <v>34600</v>
      </c>
      <c r="J41" s="19">
        <v>39200</v>
      </c>
      <c r="K41" s="19">
        <v>34700</v>
      </c>
      <c r="L41" s="19">
        <v>37700</v>
      </c>
      <c r="M41" s="19">
        <v>36700</v>
      </c>
      <c r="N41" s="19">
        <v>34200</v>
      </c>
      <c r="O41" s="19">
        <v>36000</v>
      </c>
      <c r="P41" s="39">
        <v>34800</v>
      </c>
      <c r="Q41" s="240">
        <v>39700</v>
      </c>
      <c r="R41" s="19">
        <v>33300</v>
      </c>
      <c r="S41" s="19">
        <v>32500</v>
      </c>
      <c r="T41" s="19">
        <v>28300</v>
      </c>
      <c r="U41" s="19">
        <v>32300</v>
      </c>
      <c r="V41" s="19">
        <v>42800</v>
      </c>
      <c r="W41" s="19">
        <v>37800</v>
      </c>
      <c r="X41" s="19">
        <v>37700</v>
      </c>
      <c r="Y41" s="19">
        <v>35600</v>
      </c>
      <c r="Z41" s="19">
        <v>42100</v>
      </c>
      <c r="AA41" s="19">
        <v>33800</v>
      </c>
      <c r="AB41" s="19">
        <v>31800</v>
      </c>
      <c r="AC41" s="19">
        <v>35100</v>
      </c>
      <c r="AD41" s="19">
        <v>35000</v>
      </c>
      <c r="AE41" s="19">
        <v>37400</v>
      </c>
      <c r="AF41" s="19">
        <v>32100</v>
      </c>
      <c r="AG41" s="19">
        <v>40500</v>
      </c>
      <c r="AH41" s="19">
        <v>39000</v>
      </c>
      <c r="AI41" s="19">
        <v>42800</v>
      </c>
      <c r="AJ41" s="19"/>
      <c r="AK41" s="959">
        <f t="shared" si="0"/>
        <v>1.7335737752216529</v>
      </c>
      <c r="AL41" s="959">
        <f t="shared" si="5"/>
        <v>-1.9969273615231264</v>
      </c>
      <c r="AM41" s="959">
        <f t="shared" si="6"/>
        <v>0.82137190274036431</v>
      </c>
      <c r="AN41" s="959">
        <f t="shared" si="7"/>
        <v>4.3352232983163264</v>
      </c>
      <c r="AO41" s="23"/>
      <c r="AP41" s="959">
        <f t="shared" si="8"/>
        <v>23.699421965317924</v>
      </c>
      <c r="AQ41" s="114"/>
    </row>
    <row r="42" spans="1:43">
      <c r="C42" s="128" t="s">
        <v>7</v>
      </c>
      <c r="I42" s="20">
        <v>19100</v>
      </c>
      <c r="J42" s="19">
        <v>19000</v>
      </c>
      <c r="K42" s="19">
        <v>18000</v>
      </c>
      <c r="L42" s="19">
        <v>19400</v>
      </c>
      <c r="M42" s="19">
        <v>19800</v>
      </c>
      <c r="N42" s="19">
        <v>19900</v>
      </c>
      <c r="O42" s="19">
        <v>20600</v>
      </c>
      <c r="P42" s="39">
        <v>20000</v>
      </c>
      <c r="Q42" s="240">
        <v>21100</v>
      </c>
      <c r="R42" s="19">
        <v>21400</v>
      </c>
      <c r="S42" s="19">
        <v>21100</v>
      </c>
      <c r="T42" s="19">
        <v>21000</v>
      </c>
      <c r="U42" s="19">
        <v>20300</v>
      </c>
      <c r="V42" s="19">
        <v>20700</v>
      </c>
      <c r="W42" s="19">
        <v>21600</v>
      </c>
      <c r="X42" s="19">
        <v>21300</v>
      </c>
      <c r="Y42" s="19">
        <v>21400</v>
      </c>
      <c r="Z42" s="19">
        <v>22100</v>
      </c>
      <c r="AA42" s="19">
        <v>22200</v>
      </c>
      <c r="AB42" s="19">
        <v>22500</v>
      </c>
      <c r="AC42" s="19">
        <v>23900</v>
      </c>
      <c r="AD42" s="19">
        <v>24400</v>
      </c>
      <c r="AE42" s="19">
        <v>23900</v>
      </c>
      <c r="AF42" s="19">
        <v>24800</v>
      </c>
      <c r="AG42" s="19">
        <v>24100</v>
      </c>
      <c r="AH42" s="19">
        <v>26100</v>
      </c>
      <c r="AI42" s="19">
        <v>25800</v>
      </c>
      <c r="AJ42" s="19"/>
      <c r="AK42" s="959">
        <f t="shared" si="0"/>
        <v>1.2525888113328554</v>
      </c>
      <c r="AL42" s="959">
        <f t="shared" si="5"/>
        <v>0.58572935007064064</v>
      </c>
      <c r="AM42" s="959">
        <f t="shared" si="6"/>
        <v>1.1631983629363463</v>
      </c>
      <c r="AN42" s="959">
        <f t="shared" si="7"/>
        <v>1.9743690419605553</v>
      </c>
      <c r="AO42" s="23"/>
      <c r="AP42" s="959">
        <f t="shared" si="8"/>
        <v>35.078534031413625</v>
      </c>
      <c r="AQ42" s="114"/>
    </row>
    <row r="43" spans="1:43">
      <c r="C43" s="1" t="s">
        <v>5</v>
      </c>
      <c r="I43" s="20">
        <v>18000</v>
      </c>
      <c r="J43" s="19">
        <v>18200</v>
      </c>
      <c r="K43" s="19">
        <v>17400</v>
      </c>
      <c r="L43" s="19">
        <v>18600</v>
      </c>
      <c r="M43" s="19">
        <v>19200</v>
      </c>
      <c r="N43" s="19">
        <v>19500</v>
      </c>
      <c r="O43" s="19">
        <v>20200</v>
      </c>
      <c r="P43" s="39">
        <v>19400</v>
      </c>
      <c r="Q43" s="240">
        <v>20700</v>
      </c>
      <c r="R43" s="19">
        <v>20800</v>
      </c>
      <c r="S43" s="19">
        <v>20700</v>
      </c>
      <c r="T43" s="19">
        <v>20600</v>
      </c>
      <c r="U43" s="19">
        <v>19900</v>
      </c>
      <c r="V43" s="19">
        <v>20300</v>
      </c>
      <c r="W43" s="19">
        <v>21000</v>
      </c>
      <c r="X43" s="19">
        <v>20800</v>
      </c>
      <c r="Y43" s="19">
        <v>21000</v>
      </c>
      <c r="Z43" s="19">
        <v>21500</v>
      </c>
      <c r="AA43" s="19">
        <v>21700</v>
      </c>
      <c r="AB43" s="19">
        <v>21900</v>
      </c>
      <c r="AC43" s="19">
        <v>23000</v>
      </c>
      <c r="AD43" s="19">
        <v>24000</v>
      </c>
      <c r="AE43" s="19">
        <v>23300</v>
      </c>
      <c r="AF43" s="19">
        <v>24000</v>
      </c>
      <c r="AG43" s="19">
        <v>23200</v>
      </c>
      <c r="AH43" s="19">
        <v>25300</v>
      </c>
      <c r="AI43" s="19">
        <v>24700</v>
      </c>
      <c r="AJ43" s="19"/>
      <c r="AK43" s="959">
        <f t="shared" si="0"/>
        <v>1.7623740063891224</v>
      </c>
      <c r="AL43" s="959">
        <f t="shared" si="5"/>
        <v>0.51361392044910748</v>
      </c>
      <c r="AM43" s="959">
        <f t="shared" si="6"/>
        <v>1.2244802948758071</v>
      </c>
      <c r="AN43" s="959">
        <f t="shared" si="7"/>
        <v>1.7336651812174919</v>
      </c>
      <c r="AO43" s="23"/>
      <c r="AP43" s="959">
        <f t="shared" si="8"/>
        <v>37.222222222222229</v>
      </c>
      <c r="AQ43" s="114"/>
    </row>
    <row r="44" spans="1:43">
      <c r="C44" s="1" t="s">
        <v>6</v>
      </c>
      <c r="I44" s="20">
        <v>31100</v>
      </c>
      <c r="J44" s="19">
        <v>29100</v>
      </c>
      <c r="K44" s="19">
        <v>23500</v>
      </c>
      <c r="L44" s="19">
        <v>29900</v>
      </c>
      <c r="M44" s="19">
        <v>29400</v>
      </c>
      <c r="N44" s="19">
        <v>27900</v>
      </c>
      <c r="O44" s="19">
        <v>26800</v>
      </c>
      <c r="P44" s="39">
        <v>31200</v>
      </c>
      <c r="Q44" s="240">
        <v>29100</v>
      </c>
      <c r="R44" s="19">
        <v>34100</v>
      </c>
      <c r="S44" s="19">
        <v>30000</v>
      </c>
      <c r="T44" s="19">
        <v>26500</v>
      </c>
      <c r="U44" s="19">
        <v>30600</v>
      </c>
      <c r="V44" s="19">
        <v>30800</v>
      </c>
      <c r="W44" s="19">
        <v>35800</v>
      </c>
      <c r="X44" s="19">
        <v>31300</v>
      </c>
      <c r="Y44" s="19">
        <v>29300</v>
      </c>
      <c r="Z44" s="19">
        <v>30900</v>
      </c>
      <c r="AA44" s="19">
        <v>29500</v>
      </c>
      <c r="AB44" s="19">
        <v>30600</v>
      </c>
      <c r="AC44" s="19">
        <v>35700</v>
      </c>
      <c r="AD44" s="19">
        <v>29600</v>
      </c>
      <c r="AE44" s="19">
        <v>28400</v>
      </c>
      <c r="AF44" s="19">
        <v>32200</v>
      </c>
      <c r="AG44" s="19">
        <v>32100</v>
      </c>
      <c r="AH44" s="19">
        <v>33000</v>
      </c>
      <c r="AI44" s="19">
        <v>33800</v>
      </c>
      <c r="AJ44" s="19"/>
      <c r="AK44" s="959">
        <f t="shared" si="0"/>
        <v>-0.82742837311470252</v>
      </c>
      <c r="AL44" s="959">
        <f t="shared" si="5"/>
        <v>0.45797126831126356</v>
      </c>
      <c r="AM44" s="959">
        <f t="shared" si="6"/>
        <v>0.32071698186313391</v>
      </c>
      <c r="AN44" s="959">
        <f t="shared" si="7"/>
        <v>1.431010794572396</v>
      </c>
      <c r="AO44" s="23"/>
      <c r="AP44" s="959">
        <f t="shared" si="8"/>
        <v>8.6816720257234721</v>
      </c>
      <c r="AQ44" s="114"/>
    </row>
    <row r="45" spans="1:43">
      <c r="I45" s="20"/>
      <c r="J45" s="39"/>
      <c r="K45" s="39"/>
      <c r="L45" s="39"/>
      <c r="M45" s="39"/>
      <c r="N45" s="39"/>
      <c r="O45" s="39"/>
      <c r="P45" s="39"/>
      <c r="Q45" s="240"/>
      <c r="R45" s="19"/>
      <c r="S45" s="19"/>
      <c r="T45" s="19"/>
      <c r="U45" s="19"/>
      <c r="V45" s="19"/>
      <c r="W45" s="19"/>
      <c r="X45" s="19"/>
      <c r="Y45" s="19"/>
      <c r="Z45" s="19"/>
      <c r="AA45" s="19"/>
      <c r="AB45" s="19"/>
      <c r="AC45" s="19"/>
      <c r="AD45" s="19"/>
      <c r="AE45" s="19"/>
      <c r="AF45" s="19"/>
      <c r="AG45" s="19"/>
      <c r="AH45" s="19"/>
      <c r="AI45" s="19"/>
      <c r="AJ45" s="19"/>
      <c r="AK45" s="959"/>
      <c r="AL45" s="959"/>
      <c r="AM45" s="959"/>
      <c r="AN45" s="959"/>
      <c r="AO45" s="23"/>
      <c r="AP45" s="959"/>
      <c r="AQ45" s="114"/>
    </row>
    <row r="46" spans="1:43">
      <c r="C46" s="128" t="s">
        <v>8</v>
      </c>
      <c r="I46" s="20">
        <v>31900</v>
      </c>
      <c r="J46" s="19">
        <v>29900</v>
      </c>
      <c r="K46" s="19">
        <v>28900</v>
      </c>
      <c r="L46" s="19">
        <v>28800</v>
      </c>
      <c r="M46" s="19">
        <v>29100</v>
      </c>
      <c r="N46" s="19">
        <v>28600</v>
      </c>
      <c r="O46" s="19">
        <v>27900</v>
      </c>
      <c r="P46" s="39">
        <v>29800</v>
      </c>
      <c r="Q46" s="240">
        <v>29600</v>
      </c>
      <c r="R46" s="19">
        <v>28900</v>
      </c>
      <c r="S46" s="19">
        <v>26400</v>
      </c>
      <c r="T46" s="19">
        <v>26500</v>
      </c>
      <c r="U46" s="19">
        <v>26100</v>
      </c>
      <c r="V46" s="19">
        <v>26200</v>
      </c>
      <c r="W46" s="19">
        <v>25900</v>
      </c>
      <c r="X46" s="19">
        <v>25600</v>
      </c>
      <c r="Y46" s="19">
        <v>25700</v>
      </c>
      <c r="Z46" s="19">
        <v>26300</v>
      </c>
      <c r="AA46" s="19">
        <v>27600</v>
      </c>
      <c r="AB46" s="19">
        <v>28800</v>
      </c>
      <c r="AC46" s="19">
        <v>29700</v>
      </c>
      <c r="AD46" s="19">
        <v>30100</v>
      </c>
      <c r="AE46" s="19">
        <v>30700</v>
      </c>
      <c r="AF46" s="19">
        <v>30000</v>
      </c>
      <c r="AG46" s="19">
        <v>31200</v>
      </c>
      <c r="AH46" s="19">
        <v>32400</v>
      </c>
      <c r="AI46" s="19">
        <v>32700</v>
      </c>
      <c r="AJ46" s="19"/>
      <c r="AK46" s="959">
        <f t="shared" si="0"/>
        <v>-0.93103438986384957</v>
      </c>
      <c r="AL46" s="959">
        <f t="shared" ref="AL46:AL51" si="9">((AB46/Q46)^(1/11)-1)*100</f>
        <v>-0.2487716327488898</v>
      </c>
      <c r="AM46" s="959">
        <f t="shared" ref="AM46:AM51" si="10">((AI46/I46)^(1/26)-1)*100</f>
        <v>9.5311038716516805E-2</v>
      </c>
      <c r="AN46" s="959">
        <f t="shared" ref="AN46:AN51" si="11">((AI46/AB46)^(1/7)-1)*100</f>
        <v>1.8308393647710419</v>
      </c>
      <c r="AO46" s="23"/>
      <c r="AP46" s="959">
        <f t="shared" ref="AP46:AP51" si="12">100*AI46/I46-100</f>
        <v>2.5078369905956066</v>
      </c>
      <c r="AQ46" s="114"/>
    </row>
    <row r="47" spans="1:43">
      <c r="C47" s="1" t="s">
        <v>5</v>
      </c>
      <c r="I47" s="20">
        <v>10500</v>
      </c>
      <c r="J47" s="19">
        <v>11800</v>
      </c>
      <c r="K47" s="19">
        <v>10600</v>
      </c>
      <c r="L47" s="19">
        <v>10900</v>
      </c>
      <c r="M47" s="19">
        <v>11100</v>
      </c>
      <c r="N47" s="19">
        <v>10900</v>
      </c>
      <c r="O47" s="19">
        <v>12400</v>
      </c>
      <c r="P47" s="39">
        <v>12700</v>
      </c>
      <c r="Q47" s="240">
        <v>13100</v>
      </c>
      <c r="R47" s="19">
        <v>13500</v>
      </c>
      <c r="S47" s="19">
        <v>12800</v>
      </c>
      <c r="T47" s="19">
        <v>13000</v>
      </c>
      <c r="U47" s="19">
        <v>12600</v>
      </c>
      <c r="V47" s="19">
        <v>13100</v>
      </c>
      <c r="W47" s="19">
        <v>12500</v>
      </c>
      <c r="X47" s="19">
        <v>11700</v>
      </c>
      <c r="Y47" s="19">
        <v>11800</v>
      </c>
      <c r="Z47" s="19">
        <v>10700</v>
      </c>
      <c r="AA47" s="19">
        <v>10400</v>
      </c>
      <c r="AB47" s="19">
        <v>10300</v>
      </c>
      <c r="AC47" s="19">
        <v>12100</v>
      </c>
      <c r="AD47" s="19">
        <v>11700</v>
      </c>
      <c r="AE47" s="19">
        <v>12400</v>
      </c>
      <c r="AF47" s="19">
        <v>11900</v>
      </c>
      <c r="AG47" s="19">
        <v>12100</v>
      </c>
      <c r="AH47" s="19">
        <v>12100</v>
      </c>
      <c r="AI47" s="19">
        <v>13400</v>
      </c>
      <c r="AJ47" s="19"/>
      <c r="AK47" s="959">
        <f t="shared" si="0"/>
        <v>2.8040560126346037</v>
      </c>
      <c r="AL47" s="959">
        <f t="shared" si="9"/>
        <v>-2.1623543068952866</v>
      </c>
      <c r="AM47" s="959">
        <f t="shared" si="10"/>
        <v>0.94241087108797306</v>
      </c>
      <c r="AN47" s="959">
        <f t="shared" si="11"/>
        <v>3.8302594185463779</v>
      </c>
      <c r="AO47" s="23"/>
      <c r="AP47" s="959">
        <f t="shared" si="12"/>
        <v>27.61904761904762</v>
      </c>
      <c r="AQ47" s="114"/>
    </row>
    <row r="48" spans="1:43">
      <c r="C48" s="1" t="s">
        <v>6</v>
      </c>
      <c r="I48" s="20">
        <v>34400</v>
      </c>
      <c r="J48" s="19">
        <v>32600</v>
      </c>
      <c r="K48" s="19">
        <v>32000</v>
      </c>
      <c r="L48" s="19">
        <v>31800</v>
      </c>
      <c r="M48" s="19">
        <v>31900</v>
      </c>
      <c r="N48" s="19">
        <v>31000</v>
      </c>
      <c r="O48" s="19">
        <v>30000</v>
      </c>
      <c r="P48" s="39">
        <v>32300</v>
      </c>
      <c r="Q48" s="240">
        <v>31800</v>
      </c>
      <c r="R48" s="19">
        <v>31200</v>
      </c>
      <c r="S48" s="19">
        <v>29600</v>
      </c>
      <c r="T48" s="19">
        <v>29600</v>
      </c>
      <c r="U48" s="19">
        <v>30000</v>
      </c>
      <c r="V48" s="19">
        <v>29600</v>
      </c>
      <c r="W48" s="19">
        <v>29300</v>
      </c>
      <c r="X48" s="19">
        <v>29300</v>
      </c>
      <c r="Y48" s="19">
        <v>29500</v>
      </c>
      <c r="Z48" s="19">
        <v>30400</v>
      </c>
      <c r="AA48" s="19">
        <v>31200</v>
      </c>
      <c r="AB48" s="19">
        <v>32200</v>
      </c>
      <c r="AC48" s="19">
        <v>33100</v>
      </c>
      <c r="AD48" s="19">
        <v>33900</v>
      </c>
      <c r="AE48" s="19">
        <v>34500</v>
      </c>
      <c r="AF48" s="19">
        <v>33500</v>
      </c>
      <c r="AG48" s="19">
        <v>35300</v>
      </c>
      <c r="AH48" s="19">
        <v>35900</v>
      </c>
      <c r="AI48" s="19">
        <v>36400</v>
      </c>
      <c r="AJ48" s="19"/>
      <c r="AK48" s="959">
        <f t="shared" si="0"/>
        <v>-0.97756885778562674</v>
      </c>
      <c r="AL48" s="959">
        <f t="shared" si="9"/>
        <v>0.11370243557311532</v>
      </c>
      <c r="AM48" s="959">
        <f t="shared" si="10"/>
        <v>0.21759104132359486</v>
      </c>
      <c r="AN48" s="959">
        <f t="shared" si="11"/>
        <v>1.7668897757885604</v>
      </c>
      <c r="AO48" s="23"/>
      <c r="AP48" s="959">
        <f t="shared" si="12"/>
        <v>5.8139534883720927</v>
      </c>
      <c r="AQ48" s="114"/>
    </row>
    <row r="49" spans="1:43">
      <c r="C49" s="128" t="s">
        <v>9</v>
      </c>
      <c r="I49" s="20">
        <v>24700</v>
      </c>
      <c r="J49" s="19">
        <v>25200</v>
      </c>
      <c r="K49" s="19">
        <v>23500</v>
      </c>
      <c r="L49" s="19">
        <v>23400</v>
      </c>
      <c r="M49" s="19">
        <v>23800</v>
      </c>
      <c r="N49" s="19">
        <v>24200</v>
      </c>
      <c r="O49" s="19">
        <v>24600</v>
      </c>
      <c r="P49" s="39">
        <v>24000</v>
      </c>
      <c r="Q49" s="240">
        <v>25200</v>
      </c>
      <c r="R49" s="19">
        <v>24200</v>
      </c>
      <c r="S49" s="19">
        <v>22700</v>
      </c>
      <c r="T49" s="19">
        <v>23000</v>
      </c>
      <c r="U49" s="19">
        <v>23500</v>
      </c>
      <c r="V49" s="19">
        <v>22300</v>
      </c>
      <c r="W49" s="19">
        <v>22900</v>
      </c>
      <c r="X49" s="19">
        <v>22100</v>
      </c>
      <c r="Y49" s="19">
        <v>22100</v>
      </c>
      <c r="Z49" s="19">
        <v>22000</v>
      </c>
      <c r="AA49" s="19">
        <v>24300</v>
      </c>
      <c r="AB49" s="19">
        <v>23400</v>
      </c>
      <c r="AC49" s="19">
        <v>24600</v>
      </c>
      <c r="AD49" s="19">
        <v>25800</v>
      </c>
      <c r="AE49" s="19">
        <v>25900</v>
      </c>
      <c r="AF49" s="19">
        <v>25900</v>
      </c>
      <c r="AG49" s="19">
        <v>26200</v>
      </c>
      <c r="AH49" s="19">
        <v>26600</v>
      </c>
      <c r="AI49" s="19">
        <v>27800</v>
      </c>
      <c r="AJ49" s="19"/>
      <c r="AK49" s="959">
        <f t="shared" si="0"/>
        <v>0.25082342298148319</v>
      </c>
      <c r="AL49" s="959">
        <f t="shared" si="9"/>
        <v>-0.67144450762169905</v>
      </c>
      <c r="AM49" s="959">
        <f t="shared" si="10"/>
        <v>0.4557769682219881</v>
      </c>
      <c r="AN49" s="959">
        <f t="shared" si="11"/>
        <v>2.4919717852081691</v>
      </c>
      <c r="AO49" s="23"/>
      <c r="AP49" s="959">
        <f t="shared" si="12"/>
        <v>12.550607287449395</v>
      </c>
      <c r="AQ49" s="114"/>
    </row>
    <row r="50" spans="1:43">
      <c r="C50" s="1" t="s">
        <v>5</v>
      </c>
      <c r="I50" s="20">
        <v>10400</v>
      </c>
      <c r="J50" s="19">
        <v>12900</v>
      </c>
      <c r="K50" s="19">
        <v>12600</v>
      </c>
      <c r="L50" s="19">
        <v>12300</v>
      </c>
      <c r="M50" s="19">
        <v>13600</v>
      </c>
      <c r="N50" s="19">
        <v>14000</v>
      </c>
      <c r="O50" s="19">
        <v>14300</v>
      </c>
      <c r="P50" s="39">
        <v>13400</v>
      </c>
      <c r="Q50" s="240">
        <v>13900</v>
      </c>
      <c r="R50" s="19">
        <v>14800</v>
      </c>
      <c r="S50" s="19">
        <v>13300</v>
      </c>
      <c r="T50" s="19">
        <v>13300</v>
      </c>
      <c r="U50" s="19">
        <v>13300</v>
      </c>
      <c r="V50" s="19">
        <v>14400</v>
      </c>
      <c r="W50" s="19">
        <v>13200</v>
      </c>
      <c r="X50" s="19">
        <v>12900</v>
      </c>
      <c r="Y50" s="19">
        <v>12500</v>
      </c>
      <c r="Z50" s="19">
        <v>11100</v>
      </c>
      <c r="AA50" s="19">
        <v>10500</v>
      </c>
      <c r="AB50" s="19">
        <v>10500</v>
      </c>
      <c r="AC50" s="19">
        <v>12200</v>
      </c>
      <c r="AD50" s="19">
        <v>12000</v>
      </c>
      <c r="AE50" s="19">
        <v>12900</v>
      </c>
      <c r="AF50" s="19">
        <v>12800</v>
      </c>
      <c r="AG50" s="19">
        <v>14400</v>
      </c>
      <c r="AH50" s="19">
        <v>13600</v>
      </c>
      <c r="AI50" s="19">
        <v>13700</v>
      </c>
      <c r="AJ50" s="19"/>
      <c r="AK50" s="959">
        <f t="shared" si="0"/>
        <v>3.6925805305668469</v>
      </c>
      <c r="AL50" s="959">
        <f t="shared" si="9"/>
        <v>-2.5178824759535479</v>
      </c>
      <c r="AM50" s="959">
        <f t="shared" si="10"/>
        <v>1.0655991353249794</v>
      </c>
      <c r="AN50" s="959">
        <f t="shared" si="11"/>
        <v>3.8734286110369442</v>
      </c>
      <c r="AO50" s="23"/>
      <c r="AP50" s="959">
        <f t="shared" si="12"/>
        <v>31.730769230769226</v>
      </c>
      <c r="AQ50" s="114"/>
    </row>
    <row r="51" spans="1:43">
      <c r="C51" s="1" t="s">
        <v>10</v>
      </c>
      <c r="I51" s="20">
        <v>27800</v>
      </c>
      <c r="J51" s="19">
        <v>28000</v>
      </c>
      <c r="K51" s="19">
        <v>26200</v>
      </c>
      <c r="L51" s="19">
        <v>26000</v>
      </c>
      <c r="M51" s="19">
        <v>26300</v>
      </c>
      <c r="N51" s="19">
        <v>26500</v>
      </c>
      <c r="O51" s="19">
        <v>26900</v>
      </c>
      <c r="P51" s="39">
        <v>26500</v>
      </c>
      <c r="Q51" s="240">
        <v>27900</v>
      </c>
      <c r="R51" s="19">
        <v>26400</v>
      </c>
      <c r="S51" s="19">
        <v>25600</v>
      </c>
      <c r="T51" s="19">
        <v>26300</v>
      </c>
      <c r="U51" s="19">
        <v>26900</v>
      </c>
      <c r="V51" s="19">
        <v>25500</v>
      </c>
      <c r="W51" s="19">
        <v>26300</v>
      </c>
      <c r="X51" s="19">
        <v>25500</v>
      </c>
      <c r="Y51" s="19">
        <v>25900</v>
      </c>
      <c r="Z51" s="19">
        <v>26400</v>
      </c>
      <c r="AA51" s="19">
        <v>29300</v>
      </c>
      <c r="AB51" s="19">
        <v>27700</v>
      </c>
      <c r="AC51" s="19">
        <v>28800</v>
      </c>
      <c r="AD51" s="19">
        <v>30000</v>
      </c>
      <c r="AE51" s="19">
        <v>29700</v>
      </c>
      <c r="AF51" s="19">
        <v>29800</v>
      </c>
      <c r="AG51" s="19">
        <v>29400</v>
      </c>
      <c r="AH51" s="19">
        <v>29900</v>
      </c>
      <c r="AI51" s="19">
        <v>31500</v>
      </c>
      <c r="AJ51" s="19"/>
      <c r="AK51" s="959">
        <f t="shared" si="0"/>
        <v>4.4893425717518198E-2</v>
      </c>
      <c r="AL51" s="959">
        <f t="shared" si="9"/>
        <v>-6.5381122986962747E-2</v>
      </c>
      <c r="AM51" s="959">
        <f t="shared" si="10"/>
        <v>0.48173944021270287</v>
      </c>
      <c r="AN51" s="959">
        <f t="shared" si="11"/>
        <v>1.8534693006338809</v>
      </c>
      <c r="AO51" s="23"/>
      <c r="AP51" s="959">
        <f t="shared" si="12"/>
        <v>13.309352517985616</v>
      </c>
    </row>
    <row r="52" spans="1:43">
      <c r="I52" s="652"/>
      <c r="J52" s="960"/>
      <c r="K52" s="960"/>
      <c r="L52" s="960"/>
      <c r="M52" s="960"/>
      <c r="N52" s="960"/>
      <c r="O52" s="960"/>
      <c r="P52" s="960"/>
      <c r="Q52" s="652"/>
      <c r="R52" s="652"/>
      <c r="S52" s="652"/>
      <c r="T52" s="652"/>
      <c r="U52" s="652"/>
      <c r="V52" s="652"/>
      <c r="W52" s="652"/>
      <c r="X52" s="652"/>
      <c r="Y52" s="652"/>
      <c r="Z52" s="652"/>
      <c r="AA52" s="652"/>
      <c r="AB52" s="652"/>
      <c r="AC52" s="652"/>
      <c r="AD52" s="652"/>
      <c r="AE52" s="652"/>
      <c r="AF52" s="652"/>
    </row>
    <row r="53" spans="1:43" ht="24.75" customHeight="1">
      <c r="A53" s="1170" t="s">
        <v>695</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J53" s="1170"/>
      <c r="AK53" s="1170"/>
      <c r="AL53" s="1170"/>
      <c r="AM53" s="1170"/>
      <c r="AN53" s="1170"/>
      <c r="AO53" s="1170"/>
      <c r="AP53" s="1170"/>
    </row>
    <row r="54" spans="1:43">
      <c r="A54" s="4" t="s">
        <v>1868</v>
      </c>
      <c r="B54" s="16"/>
      <c r="C54" s="16"/>
      <c r="D54" s="16"/>
      <c r="E54" s="16"/>
      <c r="F54" s="16"/>
      <c r="G54" s="16"/>
      <c r="H54" s="16"/>
      <c r="I54" s="16"/>
      <c r="J54" s="964"/>
      <c r="K54" s="964"/>
      <c r="L54" s="964"/>
      <c r="M54" s="964"/>
      <c r="N54" s="964"/>
      <c r="O54" s="964"/>
      <c r="P54" s="964"/>
      <c r="Q54" s="16"/>
      <c r="R54" s="16"/>
      <c r="S54" s="16"/>
      <c r="T54" s="16"/>
      <c r="U54" s="16"/>
      <c r="V54" s="16"/>
      <c r="W54" s="16"/>
      <c r="X54" s="16"/>
      <c r="Y54" s="16"/>
      <c r="Z54" s="16"/>
      <c r="AA54" s="16"/>
      <c r="AB54" s="16"/>
      <c r="AC54" s="16"/>
      <c r="AD54" s="16"/>
      <c r="AE54" s="16"/>
      <c r="AF54" s="16"/>
      <c r="AG54" s="16"/>
      <c r="AH54" s="16"/>
      <c r="AI54" s="964"/>
      <c r="AJ54" s="16"/>
      <c r="AK54" s="16"/>
      <c r="AL54" s="16"/>
      <c r="AM54" s="16"/>
      <c r="AN54" s="16"/>
      <c r="AO54" s="16"/>
      <c r="AP54" s="16"/>
    </row>
    <row r="55" spans="1:43">
      <c r="A55" s="4" t="s">
        <v>388</v>
      </c>
      <c r="B55" s="16"/>
      <c r="C55" s="16"/>
      <c r="D55" s="16"/>
      <c r="E55" s="16"/>
      <c r="F55" s="16"/>
      <c r="G55" s="16"/>
      <c r="H55" s="16"/>
      <c r="I55" s="16"/>
      <c r="J55" s="964"/>
      <c r="K55" s="964"/>
      <c r="L55" s="964"/>
      <c r="M55" s="964"/>
      <c r="N55" s="964"/>
      <c r="O55" s="964"/>
      <c r="P55" s="964"/>
      <c r="Q55" s="16"/>
      <c r="R55" s="16"/>
      <c r="S55" s="16"/>
      <c r="T55" s="16"/>
      <c r="U55" s="16"/>
      <c r="V55" s="16"/>
      <c r="W55" s="16"/>
      <c r="X55" s="16"/>
      <c r="Y55" s="16"/>
      <c r="Z55" s="16"/>
      <c r="AA55" s="16"/>
      <c r="AB55" s="16"/>
      <c r="AC55" s="16"/>
      <c r="AD55" s="16"/>
      <c r="AE55" s="16"/>
      <c r="AF55" s="16"/>
      <c r="AG55" s="16"/>
      <c r="AH55" s="16"/>
      <c r="AI55" s="964"/>
      <c r="AJ55" s="16"/>
      <c r="AK55" s="16"/>
      <c r="AL55" s="16"/>
      <c r="AM55" s="16"/>
      <c r="AN55" s="16"/>
      <c r="AO55" s="16"/>
      <c r="AP55" s="16"/>
    </row>
    <row r="56" spans="1:43" ht="15.75" customHeight="1">
      <c r="A56" s="1168" t="s">
        <v>1161</v>
      </c>
      <c r="B56" s="1169"/>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P56" s="1169"/>
    </row>
    <row r="57" spans="1:43" ht="29.25" customHeight="1">
      <c r="A57" s="1168" t="s">
        <v>978</v>
      </c>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c r="AI57" s="1169"/>
      <c r="AJ57" s="1169"/>
      <c r="AK57" s="1169"/>
      <c r="AL57" s="1169"/>
      <c r="AM57" s="1169"/>
      <c r="AN57" s="1169"/>
      <c r="AO57" s="1169"/>
      <c r="AP57" s="1169"/>
    </row>
    <row r="58" spans="1:43">
      <c r="A58" s="1" t="s">
        <v>823</v>
      </c>
    </row>
    <row r="62" spans="1:43">
      <c r="G62" s="961"/>
      <c r="H62" s="961"/>
      <c r="I62" s="961"/>
      <c r="Q62" s="961"/>
      <c r="R62" s="961"/>
      <c r="S62" s="961"/>
      <c r="T62" s="961"/>
      <c r="U62" s="961"/>
      <c r="V62" s="961"/>
      <c r="W62" s="961"/>
      <c r="X62" s="961"/>
      <c r="Y62" s="961"/>
      <c r="Z62" s="961"/>
      <c r="AA62" s="961"/>
      <c r="AB62" s="961"/>
      <c r="AC62" s="961"/>
      <c r="AD62" s="961"/>
      <c r="AE62" s="961"/>
      <c r="AF62" s="961"/>
      <c r="AG62" s="961"/>
      <c r="AH62" s="961"/>
      <c r="AJ62" s="961"/>
      <c r="AK62" s="961"/>
      <c r="AL62" s="961"/>
      <c r="AM62" s="961"/>
      <c r="AN62" s="961"/>
      <c r="AO62" s="961"/>
      <c r="AP62" s="961"/>
    </row>
    <row r="63" spans="1:43">
      <c r="G63" s="961"/>
      <c r="H63" s="961"/>
      <c r="I63" s="961"/>
      <c r="Q63" s="961"/>
      <c r="R63" s="961"/>
      <c r="S63" s="961"/>
      <c r="T63" s="961"/>
      <c r="U63" s="961"/>
      <c r="V63" s="961"/>
      <c r="W63" s="961"/>
      <c r="X63" s="961"/>
      <c r="Y63" s="961"/>
      <c r="Z63" s="961"/>
      <c r="AA63" s="961"/>
      <c r="AB63" s="961"/>
      <c r="AC63" s="961"/>
      <c r="AD63" s="961"/>
      <c r="AE63" s="961"/>
      <c r="AF63" s="961"/>
      <c r="AG63" s="961"/>
      <c r="AH63" s="961"/>
      <c r="AJ63" s="961"/>
      <c r="AK63" s="961"/>
      <c r="AL63" s="961"/>
      <c r="AM63" s="961"/>
      <c r="AN63" s="961"/>
      <c r="AO63" s="961"/>
      <c r="AP63" s="961"/>
    </row>
    <row r="64" spans="1:43">
      <c r="G64" s="961"/>
      <c r="H64" s="961"/>
      <c r="I64" s="961"/>
      <c r="Q64" s="961"/>
      <c r="R64" s="961"/>
      <c r="S64" s="961"/>
      <c r="T64" s="961"/>
      <c r="U64" s="961"/>
      <c r="V64" s="961"/>
      <c r="W64" s="961"/>
      <c r="X64" s="961"/>
      <c r="Y64" s="961"/>
      <c r="Z64" s="961"/>
      <c r="AA64" s="961"/>
      <c r="AB64" s="961"/>
      <c r="AC64" s="961"/>
      <c r="AD64" s="961"/>
      <c r="AE64" s="961"/>
      <c r="AF64" s="961"/>
      <c r="AG64" s="961"/>
      <c r="AH64" s="961"/>
      <c r="AJ64" s="961"/>
      <c r="AK64" s="961"/>
      <c r="AL64" s="961"/>
      <c r="AM64" s="961"/>
      <c r="AN64" s="961"/>
      <c r="AO64" s="961"/>
      <c r="AP64" s="961"/>
    </row>
    <row r="65" spans="7:42">
      <c r="G65" s="961"/>
      <c r="H65" s="961"/>
      <c r="I65" s="961"/>
      <c r="Q65" s="961"/>
      <c r="R65" s="961"/>
      <c r="S65" s="961"/>
      <c r="T65" s="961"/>
      <c r="U65" s="961"/>
      <c r="V65" s="961"/>
      <c r="W65" s="961"/>
      <c r="X65" s="961"/>
      <c r="Y65" s="961"/>
      <c r="Z65" s="961"/>
      <c r="AA65" s="961"/>
      <c r="AB65" s="961"/>
      <c r="AC65" s="961"/>
      <c r="AD65" s="961"/>
      <c r="AE65" s="961"/>
      <c r="AF65" s="961"/>
      <c r="AG65" s="961"/>
      <c r="AH65" s="961"/>
      <c r="AJ65" s="961"/>
      <c r="AK65" s="961"/>
      <c r="AL65" s="961"/>
      <c r="AM65" s="961"/>
      <c r="AN65" s="961"/>
      <c r="AO65" s="961"/>
      <c r="AP65" s="961"/>
    </row>
    <row r="66" spans="7:42">
      <c r="G66" s="961"/>
      <c r="H66" s="961"/>
      <c r="I66" s="961"/>
      <c r="Q66" s="961"/>
      <c r="R66" s="961"/>
      <c r="S66" s="961"/>
      <c r="T66" s="961"/>
      <c r="U66" s="961"/>
      <c r="V66" s="961"/>
      <c r="W66" s="961"/>
      <c r="X66" s="961"/>
      <c r="Y66" s="961"/>
      <c r="Z66" s="961"/>
      <c r="AA66" s="961"/>
      <c r="AB66" s="961"/>
      <c r="AC66" s="961"/>
      <c r="AD66" s="961"/>
      <c r="AE66" s="961"/>
      <c r="AF66" s="961"/>
      <c r="AG66" s="961"/>
      <c r="AH66" s="961"/>
      <c r="AJ66" s="961"/>
      <c r="AK66" s="961"/>
      <c r="AL66" s="961"/>
      <c r="AM66" s="961"/>
      <c r="AN66" s="961"/>
      <c r="AO66" s="961"/>
      <c r="AP66" s="961"/>
    </row>
    <row r="67" spans="7:42">
      <c r="G67" s="961"/>
      <c r="H67" s="961"/>
      <c r="I67" s="961"/>
      <c r="Q67" s="961"/>
      <c r="R67" s="961"/>
      <c r="S67" s="961"/>
      <c r="T67" s="961"/>
      <c r="U67" s="961"/>
      <c r="V67" s="961"/>
      <c r="W67" s="961"/>
      <c r="X67" s="961"/>
      <c r="Y67" s="961"/>
      <c r="Z67" s="961"/>
      <c r="AA67" s="961"/>
      <c r="AB67" s="961"/>
      <c r="AC67" s="961"/>
      <c r="AD67" s="961"/>
      <c r="AE67" s="961"/>
      <c r="AF67" s="961"/>
      <c r="AG67" s="961"/>
      <c r="AH67" s="961"/>
      <c r="AJ67" s="961"/>
      <c r="AK67" s="961"/>
      <c r="AL67" s="961"/>
      <c r="AM67" s="961"/>
      <c r="AN67" s="961"/>
      <c r="AO67" s="961"/>
      <c r="AP67" s="961"/>
    </row>
    <row r="68" spans="7:42">
      <c r="G68" s="961"/>
      <c r="H68" s="961"/>
      <c r="I68" s="961"/>
      <c r="Q68" s="961"/>
      <c r="R68" s="961"/>
      <c r="S68" s="961"/>
      <c r="T68" s="961"/>
      <c r="U68" s="961"/>
      <c r="V68" s="961"/>
      <c r="W68" s="961"/>
      <c r="X68" s="961"/>
      <c r="Y68" s="961"/>
      <c r="Z68" s="961"/>
      <c r="AA68" s="961"/>
      <c r="AB68" s="961"/>
      <c r="AC68" s="961"/>
      <c r="AD68" s="961"/>
      <c r="AE68" s="961"/>
      <c r="AF68" s="961"/>
      <c r="AG68" s="961"/>
      <c r="AH68" s="961"/>
      <c r="AJ68" s="961"/>
      <c r="AK68" s="961"/>
      <c r="AL68" s="961"/>
      <c r="AM68" s="961"/>
      <c r="AN68" s="961"/>
      <c r="AO68" s="961"/>
      <c r="AP68" s="961"/>
    </row>
    <row r="69" spans="7:42">
      <c r="G69" s="961"/>
      <c r="H69" s="961"/>
      <c r="I69" s="961"/>
      <c r="Q69" s="961"/>
      <c r="R69" s="961"/>
      <c r="S69" s="961"/>
      <c r="T69" s="961"/>
      <c r="U69" s="961"/>
      <c r="V69" s="961"/>
      <c r="W69" s="961"/>
      <c r="X69" s="961"/>
      <c r="Y69" s="961"/>
      <c r="Z69" s="961"/>
      <c r="AA69" s="961"/>
      <c r="AB69" s="961"/>
      <c r="AC69" s="961"/>
      <c r="AD69" s="961"/>
      <c r="AE69" s="961"/>
      <c r="AF69" s="961"/>
      <c r="AG69" s="961"/>
      <c r="AH69" s="961"/>
      <c r="AJ69" s="961"/>
      <c r="AK69" s="961"/>
      <c r="AL69" s="961"/>
      <c r="AM69" s="961"/>
      <c r="AN69" s="961"/>
      <c r="AO69" s="961"/>
      <c r="AP69" s="961"/>
    </row>
    <row r="70" spans="7:42">
      <c r="G70" s="961"/>
      <c r="H70" s="961"/>
      <c r="I70" s="961"/>
      <c r="Q70" s="961"/>
      <c r="R70" s="961"/>
      <c r="S70" s="961"/>
      <c r="T70" s="961"/>
      <c r="U70" s="961"/>
      <c r="V70" s="961"/>
      <c r="W70" s="961"/>
      <c r="X70" s="961"/>
      <c r="Y70" s="961"/>
      <c r="Z70" s="961"/>
      <c r="AA70" s="961"/>
      <c r="AB70" s="961"/>
      <c r="AC70" s="961"/>
      <c r="AD70" s="961"/>
      <c r="AE70" s="961"/>
      <c r="AF70" s="961"/>
      <c r="AG70" s="961"/>
      <c r="AH70" s="961"/>
      <c r="AJ70" s="961"/>
      <c r="AK70" s="961"/>
      <c r="AL70" s="961"/>
      <c r="AM70" s="961"/>
      <c r="AN70" s="961"/>
      <c r="AO70" s="961"/>
      <c r="AP70" s="961"/>
    </row>
    <row r="71" spans="7:42">
      <c r="G71" s="961"/>
      <c r="H71" s="961"/>
      <c r="I71" s="961"/>
      <c r="Q71" s="961"/>
      <c r="R71" s="961"/>
      <c r="S71" s="961"/>
      <c r="T71" s="961"/>
      <c r="U71" s="961"/>
      <c r="V71" s="961"/>
      <c r="W71" s="961"/>
      <c r="X71" s="961"/>
      <c r="Y71" s="961"/>
      <c r="Z71" s="961"/>
      <c r="AA71" s="961"/>
      <c r="AB71" s="961"/>
      <c r="AC71" s="961"/>
      <c r="AD71" s="961"/>
      <c r="AE71" s="961"/>
      <c r="AF71" s="961"/>
      <c r="AG71" s="961"/>
      <c r="AH71" s="961"/>
      <c r="AJ71" s="961"/>
      <c r="AK71" s="961"/>
      <c r="AL71" s="961"/>
      <c r="AM71" s="961"/>
      <c r="AN71" s="961"/>
      <c r="AO71" s="961"/>
      <c r="AP71" s="961"/>
    </row>
    <row r="72" spans="7:42">
      <c r="G72" s="961"/>
      <c r="H72" s="961"/>
      <c r="I72" s="961"/>
      <c r="Q72" s="961"/>
      <c r="R72" s="961"/>
      <c r="S72" s="961"/>
      <c r="T72" s="961"/>
      <c r="U72" s="961"/>
      <c r="V72" s="961"/>
      <c r="W72" s="961"/>
      <c r="X72" s="961"/>
      <c r="Y72" s="961"/>
      <c r="Z72" s="961"/>
      <c r="AA72" s="961"/>
      <c r="AB72" s="961"/>
      <c r="AC72" s="961"/>
      <c r="AD72" s="961"/>
      <c r="AE72" s="961"/>
      <c r="AF72" s="961"/>
      <c r="AG72" s="961"/>
      <c r="AH72" s="961"/>
      <c r="AJ72" s="961"/>
      <c r="AK72" s="961"/>
      <c r="AL72" s="961"/>
      <c r="AM72" s="961"/>
      <c r="AN72" s="961"/>
      <c r="AO72" s="961"/>
      <c r="AP72" s="961"/>
    </row>
    <row r="73" spans="7:42">
      <c r="G73" s="961"/>
      <c r="H73" s="961"/>
      <c r="I73" s="961"/>
      <c r="Q73" s="961"/>
      <c r="R73" s="961"/>
      <c r="S73" s="961"/>
      <c r="T73" s="961"/>
      <c r="U73" s="961"/>
      <c r="V73" s="961"/>
      <c r="W73" s="961"/>
      <c r="X73" s="961"/>
      <c r="Y73" s="961"/>
      <c r="Z73" s="961"/>
      <c r="AA73" s="961"/>
      <c r="AB73" s="961"/>
      <c r="AC73" s="961"/>
      <c r="AD73" s="961"/>
      <c r="AE73" s="961"/>
      <c r="AF73" s="961"/>
      <c r="AG73" s="961"/>
      <c r="AH73" s="961"/>
      <c r="AJ73" s="961"/>
      <c r="AK73" s="961"/>
      <c r="AL73" s="961"/>
      <c r="AM73" s="961"/>
      <c r="AN73" s="961"/>
      <c r="AO73" s="961"/>
      <c r="AP73" s="961"/>
    </row>
    <row r="74" spans="7:42">
      <c r="G74" s="961"/>
      <c r="H74" s="961"/>
      <c r="I74" s="961"/>
      <c r="Q74" s="961"/>
      <c r="R74" s="961"/>
      <c r="S74" s="961"/>
      <c r="T74" s="961"/>
      <c r="U74" s="961"/>
      <c r="V74" s="961"/>
      <c r="W74" s="961"/>
      <c r="X74" s="961"/>
      <c r="Y74" s="961"/>
      <c r="Z74" s="961"/>
      <c r="AA74" s="961"/>
      <c r="AB74" s="961"/>
      <c r="AC74" s="961"/>
      <c r="AD74" s="961"/>
      <c r="AE74" s="961"/>
      <c r="AF74" s="961"/>
      <c r="AG74" s="961"/>
      <c r="AH74" s="961"/>
      <c r="AJ74" s="961"/>
      <c r="AK74" s="961"/>
      <c r="AL74" s="961"/>
      <c r="AM74" s="961"/>
      <c r="AN74" s="961"/>
      <c r="AO74" s="961"/>
      <c r="AP74" s="961"/>
    </row>
    <row r="75" spans="7:42">
      <c r="G75" s="961"/>
      <c r="H75" s="961"/>
      <c r="I75" s="961"/>
      <c r="Q75" s="961"/>
      <c r="R75" s="961"/>
      <c r="S75" s="961"/>
      <c r="T75" s="961"/>
      <c r="U75" s="961"/>
      <c r="V75" s="961"/>
      <c r="W75" s="961"/>
      <c r="X75" s="961"/>
      <c r="Y75" s="961"/>
      <c r="Z75" s="961"/>
      <c r="AA75" s="961"/>
      <c r="AB75" s="961"/>
      <c r="AC75" s="961"/>
      <c r="AD75" s="961"/>
      <c r="AE75" s="961"/>
      <c r="AF75" s="961"/>
      <c r="AG75" s="961"/>
      <c r="AH75" s="961"/>
      <c r="AJ75" s="961"/>
      <c r="AK75" s="961"/>
      <c r="AL75" s="961"/>
      <c r="AM75" s="961"/>
      <c r="AN75" s="961"/>
      <c r="AO75" s="961"/>
      <c r="AP75" s="961"/>
    </row>
    <row r="76" spans="7:42">
      <c r="G76" s="961"/>
      <c r="H76" s="961"/>
      <c r="I76" s="961"/>
      <c r="Q76" s="961"/>
      <c r="R76" s="961"/>
      <c r="S76" s="961"/>
      <c r="T76" s="961"/>
      <c r="U76" s="961"/>
      <c r="V76" s="961"/>
      <c r="W76" s="961"/>
      <c r="X76" s="961"/>
      <c r="Y76" s="961"/>
      <c r="Z76" s="961"/>
      <c r="AA76" s="961"/>
      <c r="AB76" s="961"/>
      <c r="AC76" s="961"/>
      <c r="AD76" s="961"/>
      <c r="AE76" s="961"/>
      <c r="AF76" s="961"/>
      <c r="AG76" s="961"/>
      <c r="AH76" s="961"/>
      <c r="AJ76" s="961"/>
      <c r="AK76" s="961"/>
      <c r="AL76" s="961"/>
      <c r="AM76" s="961"/>
      <c r="AN76" s="961"/>
      <c r="AO76" s="961"/>
      <c r="AP76" s="961"/>
    </row>
    <row r="77" spans="7:42">
      <c r="G77" s="961"/>
      <c r="H77" s="961"/>
      <c r="I77" s="961"/>
      <c r="Q77" s="961"/>
      <c r="R77" s="961"/>
      <c r="S77" s="961"/>
      <c r="T77" s="961"/>
      <c r="U77" s="961"/>
      <c r="V77" s="961"/>
      <c r="W77" s="961"/>
      <c r="X77" s="961"/>
      <c r="Y77" s="961"/>
      <c r="Z77" s="961"/>
      <c r="AA77" s="961"/>
      <c r="AB77" s="961"/>
      <c r="AC77" s="961"/>
      <c r="AD77" s="961"/>
      <c r="AE77" s="961"/>
      <c r="AF77" s="961"/>
      <c r="AG77" s="961"/>
      <c r="AH77" s="961"/>
      <c r="AJ77" s="961"/>
      <c r="AK77" s="961"/>
      <c r="AL77" s="961"/>
      <c r="AM77" s="961"/>
      <c r="AN77" s="961"/>
      <c r="AO77" s="961"/>
      <c r="AP77" s="961"/>
    </row>
    <row r="78" spans="7:42">
      <c r="G78" s="961"/>
      <c r="H78" s="961"/>
      <c r="I78" s="961"/>
      <c r="Q78" s="961"/>
      <c r="R78" s="961"/>
      <c r="S78" s="961"/>
      <c r="T78" s="961"/>
      <c r="U78" s="961"/>
      <c r="V78" s="961"/>
      <c r="W78" s="961"/>
      <c r="X78" s="961"/>
      <c r="Y78" s="961"/>
      <c r="Z78" s="961"/>
      <c r="AA78" s="961"/>
      <c r="AB78" s="961"/>
      <c r="AC78" s="961"/>
      <c r="AD78" s="961"/>
      <c r="AE78" s="961"/>
      <c r="AF78" s="961"/>
      <c r="AG78" s="961"/>
      <c r="AH78" s="961"/>
      <c r="AJ78" s="961"/>
      <c r="AK78" s="961"/>
      <c r="AL78" s="961"/>
      <c r="AM78" s="961"/>
      <c r="AN78" s="961"/>
      <c r="AO78" s="961"/>
      <c r="AP78" s="961"/>
    </row>
    <row r="79" spans="7:42">
      <c r="G79" s="961"/>
      <c r="H79" s="961"/>
      <c r="I79" s="961"/>
      <c r="Q79" s="961"/>
      <c r="R79" s="961"/>
      <c r="S79" s="961"/>
      <c r="T79" s="961"/>
      <c r="U79" s="961"/>
      <c r="V79" s="961"/>
      <c r="W79" s="961"/>
      <c r="X79" s="961"/>
      <c r="Y79" s="961"/>
      <c r="Z79" s="961"/>
      <c r="AA79" s="961"/>
      <c r="AB79" s="961"/>
      <c r="AC79" s="961"/>
      <c r="AD79" s="961"/>
      <c r="AE79" s="961"/>
      <c r="AF79" s="961"/>
      <c r="AG79" s="961"/>
      <c r="AH79" s="961"/>
      <c r="AJ79" s="961"/>
      <c r="AK79" s="961"/>
      <c r="AL79" s="961"/>
      <c r="AM79" s="961"/>
      <c r="AN79" s="961"/>
      <c r="AO79" s="961"/>
      <c r="AP79" s="961"/>
    </row>
    <row r="80" spans="7:42">
      <c r="G80" s="961"/>
      <c r="H80" s="961"/>
      <c r="I80" s="961"/>
      <c r="Q80" s="961"/>
      <c r="R80" s="961"/>
      <c r="S80" s="961"/>
      <c r="T80" s="961"/>
      <c r="U80" s="961"/>
      <c r="V80" s="961"/>
      <c r="W80" s="961"/>
      <c r="X80" s="961"/>
      <c r="Y80" s="961"/>
      <c r="Z80" s="961"/>
      <c r="AA80" s="961"/>
      <c r="AB80" s="961"/>
      <c r="AC80" s="961"/>
      <c r="AD80" s="961"/>
      <c r="AE80" s="961"/>
      <c r="AF80" s="961"/>
      <c r="AG80" s="961"/>
      <c r="AH80" s="961"/>
      <c r="AJ80" s="961"/>
      <c r="AK80" s="961"/>
      <c r="AL80" s="961"/>
      <c r="AM80" s="961"/>
      <c r="AN80" s="961"/>
      <c r="AO80" s="961"/>
      <c r="AP80" s="961"/>
    </row>
    <row r="81" spans="7:42">
      <c r="G81" s="961"/>
      <c r="H81" s="961"/>
      <c r="I81" s="961"/>
      <c r="Q81" s="961"/>
      <c r="R81" s="961"/>
      <c r="S81" s="961"/>
      <c r="T81" s="961"/>
      <c r="U81" s="961"/>
      <c r="V81" s="961"/>
      <c r="W81" s="961"/>
      <c r="X81" s="961"/>
      <c r="Y81" s="961"/>
      <c r="Z81" s="961"/>
      <c r="AA81" s="961"/>
      <c r="AB81" s="961"/>
      <c r="AC81" s="961"/>
      <c r="AD81" s="961"/>
      <c r="AE81" s="961"/>
      <c r="AF81" s="961"/>
      <c r="AG81" s="961"/>
      <c r="AH81" s="961"/>
      <c r="AJ81" s="961"/>
      <c r="AK81" s="961"/>
      <c r="AL81" s="961"/>
      <c r="AM81" s="961"/>
      <c r="AN81" s="961"/>
      <c r="AO81" s="961"/>
      <c r="AP81" s="961"/>
    </row>
    <row r="82" spans="7:42">
      <c r="G82" s="961"/>
      <c r="H82" s="961"/>
      <c r="I82" s="961"/>
      <c r="Q82" s="961"/>
      <c r="R82" s="961"/>
      <c r="S82" s="961"/>
      <c r="T82" s="961"/>
      <c r="U82" s="961"/>
      <c r="V82" s="961"/>
      <c r="W82" s="961"/>
      <c r="X82" s="961"/>
      <c r="Y82" s="961"/>
      <c r="Z82" s="961"/>
      <c r="AA82" s="961"/>
      <c r="AB82" s="961"/>
      <c r="AC82" s="961"/>
      <c r="AD82" s="961"/>
      <c r="AE82" s="961"/>
      <c r="AF82" s="961"/>
      <c r="AG82" s="961"/>
      <c r="AH82" s="961"/>
      <c r="AJ82" s="961"/>
      <c r="AK82" s="961"/>
      <c r="AL82" s="961"/>
      <c r="AM82" s="961"/>
      <c r="AN82" s="961"/>
      <c r="AO82" s="961"/>
      <c r="AP82" s="961"/>
    </row>
    <row r="83" spans="7:42">
      <c r="G83" s="961"/>
      <c r="H83" s="961"/>
      <c r="I83" s="961"/>
      <c r="Q83" s="961"/>
      <c r="R83" s="961"/>
      <c r="S83" s="961"/>
      <c r="T83" s="961"/>
      <c r="U83" s="961"/>
      <c r="V83" s="961"/>
      <c r="W83" s="961"/>
      <c r="X83" s="961"/>
      <c r="Y83" s="961"/>
      <c r="Z83" s="961"/>
      <c r="AA83" s="961"/>
      <c r="AB83" s="961"/>
      <c r="AC83" s="961"/>
      <c r="AD83" s="961"/>
      <c r="AE83" s="961"/>
      <c r="AF83" s="961"/>
      <c r="AG83" s="961"/>
      <c r="AH83" s="961"/>
      <c r="AJ83" s="961"/>
      <c r="AK83" s="961"/>
      <c r="AL83" s="961"/>
      <c r="AM83" s="961"/>
      <c r="AN83" s="961"/>
      <c r="AO83" s="961"/>
      <c r="AP83" s="961"/>
    </row>
    <row r="84" spans="7:42">
      <c r="G84" s="961"/>
      <c r="H84" s="961"/>
      <c r="I84" s="961"/>
      <c r="Q84" s="961"/>
      <c r="R84" s="961"/>
      <c r="S84" s="961"/>
      <c r="T84" s="961"/>
      <c r="U84" s="961"/>
      <c r="V84" s="961"/>
      <c r="W84" s="961"/>
      <c r="X84" s="961"/>
      <c r="Y84" s="961"/>
      <c r="Z84" s="961"/>
      <c r="AA84" s="961"/>
      <c r="AB84" s="961"/>
      <c r="AC84" s="961"/>
      <c r="AD84" s="961"/>
      <c r="AE84" s="961"/>
      <c r="AF84" s="961"/>
      <c r="AG84" s="961"/>
      <c r="AH84" s="961"/>
      <c r="AJ84" s="961"/>
      <c r="AK84" s="961"/>
      <c r="AL84" s="961"/>
      <c r="AM84" s="961"/>
      <c r="AN84" s="961"/>
      <c r="AO84" s="961"/>
      <c r="AP84" s="961"/>
    </row>
    <row r="85" spans="7:42">
      <c r="G85" s="961"/>
      <c r="H85" s="961"/>
      <c r="I85" s="961"/>
      <c r="Q85" s="961"/>
      <c r="R85" s="961"/>
      <c r="S85" s="961"/>
      <c r="T85" s="961"/>
      <c r="U85" s="961"/>
      <c r="V85" s="961"/>
      <c r="W85" s="961"/>
      <c r="X85" s="961"/>
      <c r="Y85" s="961"/>
      <c r="Z85" s="961"/>
      <c r="AA85" s="961"/>
      <c r="AB85" s="961"/>
      <c r="AC85" s="961"/>
      <c r="AD85" s="961"/>
      <c r="AE85" s="961"/>
      <c r="AF85" s="961"/>
      <c r="AG85" s="961"/>
      <c r="AH85" s="961"/>
      <c r="AJ85" s="961"/>
      <c r="AK85" s="961"/>
      <c r="AL85" s="961"/>
      <c r="AM85" s="961"/>
      <c r="AN85" s="961"/>
      <c r="AO85" s="961"/>
      <c r="AP85" s="961"/>
    </row>
    <row r="86" spans="7:42">
      <c r="G86" s="961"/>
      <c r="H86" s="961"/>
      <c r="I86" s="961"/>
      <c r="Q86" s="961"/>
      <c r="R86" s="961"/>
      <c r="S86" s="961"/>
      <c r="T86" s="961"/>
      <c r="U86" s="961"/>
      <c r="V86" s="961"/>
      <c r="W86" s="961"/>
      <c r="X86" s="961"/>
      <c r="Y86" s="961"/>
      <c r="Z86" s="961"/>
      <c r="AA86" s="961"/>
      <c r="AB86" s="961"/>
      <c r="AC86" s="961"/>
      <c r="AD86" s="961"/>
      <c r="AE86" s="961"/>
      <c r="AF86" s="961"/>
      <c r="AG86" s="961"/>
      <c r="AH86" s="961"/>
      <c r="AJ86" s="961"/>
      <c r="AK86" s="961"/>
      <c r="AL86" s="961"/>
      <c r="AM86" s="961"/>
      <c r="AN86" s="961"/>
      <c r="AO86" s="961"/>
      <c r="AP86" s="961"/>
    </row>
    <row r="87" spans="7:42">
      <c r="G87" s="961"/>
      <c r="H87" s="961"/>
      <c r="I87" s="961"/>
      <c r="Q87" s="961"/>
      <c r="R87" s="961"/>
      <c r="S87" s="961"/>
      <c r="T87" s="961"/>
      <c r="U87" s="961"/>
      <c r="V87" s="961"/>
      <c r="W87" s="961"/>
      <c r="X87" s="961"/>
      <c r="Y87" s="961"/>
      <c r="Z87" s="961"/>
      <c r="AA87" s="961"/>
      <c r="AB87" s="961"/>
      <c r="AC87" s="961"/>
      <c r="AD87" s="961"/>
      <c r="AE87" s="961"/>
      <c r="AF87" s="961"/>
      <c r="AG87" s="961"/>
      <c r="AH87" s="961"/>
      <c r="AJ87" s="961"/>
      <c r="AK87" s="961"/>
      <c r="AL87" s="961"/>
      <c r="AM87" s="961"/>
      <c r="AN87" s="961"/>
      <c r="AO87" s="961"/>
      <c r="AP87" s="961"/>
    </row>
    <row r="88" spans="7:42">
      <c r="G88" s="961"/>
      <c r="H88" s="961"/>
      <c r="I88" s="961"/>
      <c r="Q88" s="961"/>
      <c r="R88" s="961"/>
      <c r="S88" s="961"/>
      <c r="T88" s="961"/>
      <c r="U88" s="961"/>
      <c r="V88" s="961"/>
      <c r="W88" s="961"/>
      <c r="X88" s="961"/>
      <c r="Y88" s="961"/>
      <c r="Z88" s="961"/>
      <c r="AA88" s="961"/>
      <c r="AB88" s="961"/>
      <c r="AC88" s="961"/>
      <c r="AD88" s="961"/>
      <c r="AE88" s="961"/>
      <c r="AF88" s="961"/>
      <c r="AG88" s="961"/>
      <c r="AH88" s="961"/>
      <c r="AJ88" s="961"/>
      <c r="AK88" s="961"/>
      <c r="AL88" s="961"/>
      <c r="AM88" s="961"/>
      <c r="AN88" s="961"/>
      <c r="AO88" s="961"/>
      <c r="AP88" s="961"/>
    </row>
    <row r="89" spans="7:42">
      <c r="G89" s="961"/>
      <c r="H89" s="961"/>
      <c r="I89" s="961"/>
      <c r="Q89" s="961"/>
      <c r="R89" s="961"/>
      <c r="S89" s="961"/>
      <c r="T89" s="961"/>
      <c r="U89" s="961"/>
      <c r="V89" s="961"/>
      <c r="W89" s="961"/>
      <c r="X89" s="961"/>
      <c r="Y89" s="961"/>
      <c r="Z89" s="961"/>
      <c r="AA89" s="961"/>
      <c r="AB89" s="961"/>
      <c r="AC89" s="961"/>
      <c r="AD89" s="961"/>
      <c r="AE89" s="961"/>
      <c r="AF89" s="961"/>
      <c r="AG89" s="961"/>
      <c r="AH89" s="961"/>
      <c r="AJ89" s="961"/>
      <c r="AK89" s="961"/>
      <c r="AL89" s="961"/>
      <c r="AM89" s="961"/>
      <c r="AN89" s="961"/>
      <c r="AO89" s="961"/>
      <c r="AP89" s="961"/>
    </row>
    <row r="90" spans="7:42">
      <c r="G90" s="961"/>
      <c r="H90" s="961"/>
      <c r="I90" s="961"/>
      <c r="Q90" s="961"/>
      <c r="R90" s="961"/>
      <c r="S90" s="961"/>
      <c r="T90" s="961"/>
      <c r="U90" s="961"/>
      <c r="V90" s="961"/>
      <c r="W90" s="961"/>
      <c r="X90" s="961"/>
      <c r="Y90" s="961"/>
      <c r="Z90" s="961"/>
      <c r="AA90" s="961"/>
      <c r="AB90" s="961"/>
      <c r="AC90" s="961"/>
      <c r="AD90" s="961"/>
      <c r="AE90" s="961"/>
      <c r="AF90" s="961"/>
      <c r="AG90" s="961"/>
      <c r="AH90" s="961"/>
      <c r="AJ90" s="961"/>
      <c r="AK90" s="961"/>
      <c r="AL90" s="961"/>
      <c r="AM90" s="961"/>
      <c r="AN90" s="961"/>
      <c r="AO90" s="961"/>
      <c r="AP90" s="961"/>
    </row>
    <row r="91" spans="7:42">
      <c r="G91" s="961"/>
      <c r="H91" s="961"/>
      <c r="I91" s="961"/>
      <c r="Q91" s="961"/>
      <c r="R91" s="961"/>
      <c r="S91" s="961"/>
      <c r="T91" s="961"/>
      <c r="U91" s="961"/>
      <c r="V91" s="961"/>
      <c r="W91" s="961"/>
      <c r="X91" s="961"/>
      <c r="Y91" s="961"/>
      <c r="Z91" s="961"/>
      <c r="AA91" s="961"/>
      <c r="AB91" s="961"/>
      <c r="AC91" s="961"/>
      <c r="AD91" s="961"/>
      <c r="AE91" s="961"/>
      <c r="AF91" s="961"/>
      <c r="AG91" s="961"/>
      <c r="AH91" s="961"/>
      <c r="AJ91" s="961"/>
      <c r="AK91" s="961"/>
      <c r="AL91" s="961"/>
      <c r="AM91" s="961"/>
      <c r="AN91" s="961"/>
      <c r="AO91" s="961"/>
      <c r="AP91" s="961"/>
    </row>
    <row r="92" spans="7:42">
      <c r="G92" s="961"/>
      <c r="H92" s="961"/>
      <c r="I92" s="961"/>
      <c r="Q92" s="961"/>
      <c r="R92" s="961"/>
      <c r="S92" s="961"/>
      <c r="T92" s="961"/>
      <c r="U92" s="961"/>
      <c r="V92" s="961"/>
      <c r="W92" s="961"/>
      <c r="X92" s="961"/>
      <c r="Y92" s="961"/>
      <c r="Z92" s="961"/>
      <c r="AA92" s="961"/>
      <c r="AB92" s="961"/>
      <c r="AC92" s="961"/>
      <c r="AD92" s="961"/>
      <c r="AE92" s="961"/>
      <c r="AF92" s="961"/>
      <c r="AG92" s="961"/>
      <c r="AH92" s="961"/>
      <c r="AJ92" s="961"/>
      <c r="AK92" s="961"/>
      <c r="AL92" s="961"/>
      <c r="AM92" s="961"/>
      <c r="AN92" s="961"/>
      <c r="AO92" s="961"/>
      <c r="AP92" s="961"/>
    </row>
    <row r="93" spans="7:42">
      <c r="G93" s="961"/>
      <c r="H93" s="961"/>
      <c r="I93" s="961"/>
      <c r="Q93" s="961"/>
      <c r="R93" s="961"/>
      <c r="S93" s="961"/>
      <c r="T93" s="961"/>
      <c r="U93" s="961"/>
      <c r="V93" s="961"/>
      <c r="W93" s="961"/>
      <c r="X93" s="961"/>
      <c r="Y93" s="961"/>
      <c r="Z93" s="961"/>
      <c r="AA93" s="961"/>
      <c r="AB93" s="961"/>
      <c r="AC93" s="961"/>
      <c r="AD93" s="961"/>
      <c r="AE93" s="961"/>
      <c r="AF93" s="961"/>
      <c r="AG93" s="961"/>
      <c r="AH93" s="961"/>
      <c r="AJ93" s="961"/>
      <c r="AK93" s="961"/>
      <c r="AL93" s="961"/>
      <c r="AM93" s="961"/>
      <c r="AN93" s="961"/>
      <c r="AO93" s="961"/>
      <c r="AP93" s="961"/>
    </row>
    <row r="94" spans="7:42">
      <c r="G94" s="961"/>
      <c r="H94" s="961"/>
      <c r="I94" s="961"/>
      <c r="Q94" s="961"/>
      <c r="R94" s="961"/>
      <c r="S94" s="961"/>
      <c r="T94" s="961"/>
      <c r="U94" s="961"/>
      <c r="V94" s="961"/>
      <c r="W94" s="961"/>
      <c r="X94" s="961"/>
      <c r="Y94" s="961"/>
      <c r="Z94" s="961"/>
      <c r="AA94" s="961"/>
      <c r="AB94" s="961"/>
      <c r="AC94" s="961"/>
      <c r="AD94" s="961"/>
      <c r="AE94" s="961"/>
      <c r="AF94" s="961"/>
      <c r="AG94" s="961"/>
      <c r="AH94" s="961"/>
      <c r="AJ94" s="961"/>
      <c r="AK94" s="961"/>
      <c r="AL94" s="961"/>
      <c r="AM94" s="961"/>
      <c r="AN94" s="961"/>
      <c r="AO94" s="961"/>
      <c r="AP94" s="961"/>
    </row>
    <row r="95" spans="7:42">
      <c r="G95" s="961"/>
      <c r="H95" s="961"/>
      <c r="I95" s="961"/>
      <c r="Q95" s="961"/>
      <c r="R95" s="961"/>
      <c r="S95" s="961"/>
      <c r="T95" s="961"/>
      <c r="U95" s="961"/>
      <c r="V95" s="961"/>
      <c r="W95" s="961"/>
      <c r="X95" s="961"/>
      <c r="Y95" s="961"/>
      <c r="Z95" s="961"/>
      <c r="AA95" s="961"/>
      <c r="AB95" s="961"/>
      <c r="AC95" s="961"/>
      <c r="AD95" s="961"/>
      <c r="AE95" s="961"/>
      <c r="AF95" s="961"/>
      <c r="AG95" s="961"/>
      <c r="AH95" s="961"/>
      <c r="AJ95" s="961"/>
      <c r="AK95" s="961"/>
      <c r="AL95" s="961"/>
      <c r="AM95" s="961"/>
      <c r="AN95" s="961"/>
      <c r="AO95" s="961"/>
      <c r="AP95" s="961"/>
    </row>
    <row r="96" spans="7:42">
      <c r="G96" s="961"/>
      <c r="H96" s="961"/>
      <c r="I96" s="961"/>
      <c r="Q96" s="961"/>
      <c r="R96" s="961"/>
      <c r="S96" s="961"/>
      <c r="T96" s="961"/>
      <c r="U96" s="961"/>
      <c r="V96" s="961"/>
      <c r="W96" s="961"/>
      <c r="X96" s="961"/>
      <c r="Y96" s="961"/>
      <c r="Z96" s="961"/>
      <c r="AA96" s="961"/>
      <c r="AB96" s="961"/>
      <c r="AC96" s="961"/>
      <c r="AD96" s="961"/>
      <c r="AE96" s="961"/>
      <c r="AF96" s="961"/>
      <c r="AG96" s="961"/>
      <c r="AH96" s="961"/>
      <c r="AJ96" s="961"/>
      <c r="AK96" s="961"/>
      <c r="AL96" s="961"/>
      <c r="AM96" s="961"/>
      <c r="AN96" s="961"/>
      <c r="AO96" s="961"/>
      <c r="AP96" s="961"/>
    </row>
    <row r="97" spans="7:42">
      <c r="G97" s="961"/>
      <c r="H97" s="961"/>
      <c r="I97" s="961"/>
      <c r="Q97" s="961"/>
      <c r="R97" s="961"/>
      <c r="S97" s="961"/>
      <c r="T97" s="961"/>
      <c r="U97" s="961"/>
      <c r="V97" s="961"/>
      <c r="W97" s="961"/>
      <c r="X97" s="961"/>
      <c r="Y97" s="961"/>
      <c r="Z97" s="961"/>
      <c r="AA97" s="961"/>
      <c r="AB97" s="961"/>
      <c r="AC97" s="961"/>
      <c r="AD97" s="961"/>
      <c r="AE97" s="961"/>
      <c r="AF97" s="961"/>
      <c r="AG97" s="961"/>
      <c r="AH97" s="961"/>
      <c r="AJ97" s="961"/>
      <c r="AK97" s="961"/>
      <c r="AL97" s="961"/>
      <c r="AM97" s="961"/>
      <c r="AN97" s="961"/>
      <c r="AO97" s="961"/>
      <c r="AP97" s="961"/>
    </row>
    <row r="98" spans="7:42">
      <c r="G98" s="961"/>
      <c r="H98" s="961"/>
      <c r="I98" s="961"/>
      <c r="Q98" s="961"/>
      <c r="R98" s="961"/>
      <c r="S98" s="961"/>
      <c r="T98" s="961"/>
      <c r="U98" s="961"/>
      <c r="V98" s="961"/>
      <c r="W98" s="961"/>
      <c r="X98" s="961"/>
      <c r="Y98" s="961"/>
      <c r="Z98" s="961"/>
      <c r="AA98" s="961"/>
      <c r="AB98" s="961"/>
      <c r="AC98" s="961"/>
      <c r="AD98" s="961"/>
      <c r="AE98" s="961"/>
      <c r="AF98" s="961"/>
      <c r="AG98" s="961"/>
      <c r="AH98" s="961"/>
      <c r="AJ98" s="961"/>
      <c r="AK98" s="961"/>
      <c r="AL98" s="961"/>
      <c r="AM98" s="961"/>
      <c r="AN98" s="961"/>
      <c r="AO98" s="961"/>
      <c r="AP98" s="961"/>
    </row>
    <row r="99" spans="7:42">
      <c r="G99" s="961"/>
      <c r="H99" s="961"/>
      <c r="I99" s="961"/>
      <c r="Q99" s="961"/>
      <c r="R99" s="961"/>
      <c r="S99" s="961"/>
      <c r="T99" s="961"/>
      <c r="U99" s="961"/>
      <c r="V99" s="961"/>
      <c r="W99" s="961"/>
      <c r="X99" s="961"/>
      <c r="Y99" s="961"/>
      <c r="Z99" s="961"/>
      <c r="AA99" s="961"/>
      <c r="AB99" s="961"/>
      <c r="AC99" s="961"/>
      <c r="AD99" s="961"/>
      <c r="AE99" s="961"/>
      <c r="AF99" s="961"/>
      <c r="AG99" s="961"/>
      <c r="AH99" s="961"/>
      <c r="AJ99" s="961"/>
      <c r="AK99" s="961"/>
      <c r="AL99" s="961"/>
      <c r="AM99" s="961"/>
      <c r="AN99" s="961"/>
      <c r="AO99" s="961"/>
      <c r="AP99" s="961"/>
    </row>
  </sheetData>
  <mergeCells count="4">
    <mergeCell ref="A53:AP53"/>
    <mergeCell ref="A57:AP57"/>
    <mergeCell ref="AK3:AN3"/>
    <mergeCell ref="A56:AP56"/>
  </mergeCells>
  <phoneticPr fontId="35" type="noConversion"/>
  <pageMargins left="0.75" right="0.75" top="1" bottom="1" header="0.5" footer="0.5"/>
  <pageSetup scale="53"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sheetPr codeName="Sheet28"/>
  <dimension ref="A1:R129"/>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5703125" style="1" bestFit="1" customWidth="1"/>
    <col min="3" max="5" width="9.42578125" style="1" bestFit="1" customWidth="1"/>
    <col min="6" max="8" width="9.7109375" style="1" bestFit="1" customWidth="1"/>
    <col min="9" max="12" width="9.28515625" style="1" bestFit="1" customWidth="1"/>
    <col min="13" max="13" width="8.85546875" style="1" customWidth="1"/>
    <col min="14" max="15" width="8.85546875" style="1" hidden="1" customWidth="1"/>
    <col min="16" max="17" width="9.42578125" style="1" hidden="1" customWidth="1"/>
    <col min="18" max="16384" width="9.140625" style="1"/>
  </cols>
  <sheetData>
    <row r="1" spans="1:18" ht="15.75">
      <c r="A1" s="4"/>
      <c r="B1" s="3" t="s">
        <v>2130</v>
      </c>
    </row>
    <row r="2" spans="1:18">
      <c r="A2" s="4"/>
      <c r="B2" s="4"/>
    </row>
    <row r="3" spans="1:18"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8" s="4" customFormat="1" ht="25.5">
      <c r="A4" s="7"/>
      <c r="B4" s="1165"/>
      <c r="C4" s="1165"/>
      <c r="D4" s="1165"/>
      <c r="E4" s="1165"/>
      <c r="F4" s="1165"/>
      <c r="G4" s="1165"/>
      <c r="H4" s="1165"/>
      <c r="I4" s="1165"/>
      <c r="J4" s="1165"/>
      <c r="K4" s="1165"/>
      <c r="L4" s="1165"/>
      <c r="N4" s="645" t="s">
        <v>282</v>
      </c>
      <c r="O4" s="645" t="s">
        <v>282</v>
      </c>
      <c r="P4" s="645" t="s">
        <v>281</v>
      </c>
      <c r="Q4" s="645" t="s">
        <v>281</v>
      </c>
    </row>
    <row r="5" spans="1:18">
      <c r="A5" s="120">
        <v>1981</v>
      </c>
      <c r="B5" s="19">
        <v>47500</v>
      </c>
      <c r="C5" s="19">
        <v>40500</v>
      </c>
      <c r="D5" s="19">
        <v>30900</v>
      </c>
      <c r="E5" s="19">
        <v>37600</v>
      </c>
      <c r="F5" s="19">
        <v>33700</v>
      </c>
      <c r="G5" s="19">
        <v>43500</v>
      </c>
      <c r="H5" s="19">
        <v>51900</v>
      </c>
      <c r="I5" s="19">
        <v>42000</v>
      </c>
      <c r="J5" s="19">
        <v>43700</v>
      </c>
      <c r="K5" s="19">
        <v>56000</v>
      </c>
      <c r="L5" s="19">
        <v>52000</v>
      </c>
      <c r="N5" s="19">
        <f>SUM(C76:L76)/10</f>
        <v>78556000</v>
      </c>
      <c r="O5" s="19">
        <f>SQRT(N5)</f>
        <v>8863.1822727505714</v>
      </c>
      <c r="P5" s="19">
        <f>Q5^2</f>
        <v>59893599.999999993</v>
      </c>
      <c r="Q5" s="19">
        <f>STDEVP(C5:L5)</f>
        <v>7739.0955543913524</v>
      </c>
    </row>
    <row r="6" spans="1:18">
      <c r="A6" s="120">
        <v>1982</v>
      </c>
      <c r="B6" s="19">
        <v>44400</v>
      </c>
      <c r="C6" s="19">
        <v>35000</v>
      </c>
      <c r="D6" s="19">
        <v>31500</v>
      </c>
      <c r="E6" s="19">
        <v>34600</v>
      </c>
      <c r="F6" s="19">
        <v>31500</v>
      </c>
      <c r="G6" s="19">
        <v>39800</v>
      </c>
      <c r="H6" s="19">
        <v>47800</v>
      </c>
      <c r="I6" s="19">
        <v>39800</v>
      </c>
      <c r="J6" s="19">
        <v>41400</v>
      </c>
      <c r="K6" s="19">
        <v>54300</v>
      </c>
      <c r="L6" s="19">
        <v>47800</v>
      </c>
      <c r="N6" s="19">
        <f t="shared" ref="N6:N28" si="0">SUM(C77:L77)/10</f>
        <v>68967000</v>
      </c>
      <c r="O6" s="19">
        <f t="shared" ref="O6:O28" si="1">SQRT(N6)</f>
        <v>8304.6372587849983</v>
      </c>
      <c r="P6" s="19">
        <f t="shared" ref="P6:P28" si="2">Q6^2</f>
        <v>52564500.000000007</v>
      </c>
      <c r="Q6" s="19">
        <f t="shared" ref="Q6:Q28" si="3">STDEVP(C6:L6)</f>
        <v>7250.1379297224412</v>
      </c>
    </row>
    <row r="7" spans="1:18">
      <c r="A7" s="120">
        <v>1983</v>
      </c>
      <c r="B7" s="19">
        <v>42400</v>
      </c>
      <c r="C7" s="19">
        <v>28400</v>
      </c>
      <c r="D7" s="19">
        <v>30700</v>
      </c>
      <c r="E7" s="19">
        <v>32100</v>
      </c>
      <c r="F7" s="19">
        <v>28300</v>
      </c>
      <c r="G7" s="19">
        <v>38500</v>
      </c>
      <c r="H7" s="19">
        <v>46300</v>
      </c>
      <c r="I7" s="19">
        <v>38400</v>
      </c>
      <c r="J7" s="19">
        <v>36500</v>
      </c>
      <c r="K7" s="19">
        <v>48000</v>
      </c>
      <c r="L7" s="19">
        <v>44900</v>
      </c>
      <c r="N7" s="19">
        <f t="shared" si="0"/>
        <v>75663000</v>
      </c>
      <c r="O7" s="19">
        <f t="shared" si="1"/>
        <v>8698.4481374553234</v>
      </c>
      <c r="P7" s="19">
        <f t="shared" si="2"/>
        <v>48726900.000000007</v>
      </c>
      <c r="Q7" s="19">
        <f t="shared" si="3"/>
        <v>6980.4656005169172</v>
      </c>
    </row>
    <row r="8" spans="1:18">
      <c r="A8" s="120">
        <v>1984</v>
      </c>
      <c r="B8" s="19">
        <v>42800</v>
      </c>
      <c r="C8" s="19">
        <v>28900</v>
      </c>
      <c r="D8" s="19">
        <v>30000</v>
      </c>
      <c r="E8" s="19">
        <v>34300</v>
      </c>
      <c r="F8" s="19">
        <v>32300</v>
      </c>
      <c r="G8" s="19">
        <v>38700</v>
      </c>
      <c r="H8" s="19">
        <v>48300</v>
      </c>
      <c r="I8" s="19">
        <v>40500</v>
      </c>
      <c r="J8" s="19">
        <v>38300</v>
      </c>
      <c r="K8" s="19">
        <v>45200</v>
      </c>
      <c r="L8" s="19">
        <v>41900</v>
      </c>
      <c r="N8" s="19">
        <f t="shared" si="0"/>
        <v>61872000</v>
      </c>
      <c r="O8" s="19">
        <f t="shared" si="1"/>
        <v>7865.8756664468074</v>
      </c>
      <c r="P8" s="19">
        <f t="shared" si="2"/>
        <v>37270400</v>
      </c>
      <c r="Q8" s="19">
        <f t="shared" si="3"/>
        <v>6104.9488122342191</v>
      </c>
    </row>
    <row r="9" spans="1:18">
      <c r="A9" s="120">
        <v>1985</v>
      </c>
      <c r="B9" s="19">
        <v>43500</v>
      </c>
      <c r="C9" s="19">
        <v>28300</v>
      </c>
      <c r="D9" s="19">
        <v>28300</v>
      </c>
      <c r="E9" s="19">
        <v>35600</v>
      </c>
      <c r="F9" s="19">
        <v>32500</v>
      </c>
      <c r="G9" s="19">
        <v>39400</v>
      </c>
      <c r="H9" s="19">
        <v>50000</v>
      </c>
      <c r="I9" s="19">
        <v>39200</v>
      </c>
      <c r="J9" s="19">
        <v>38300</v>
      </c>
      <c r="K9" s="19">
        <v>47800</v>
      </c>
      <c r="L9" s="19">
        <v>41700</v>
      </c>
      <c r="N9" s="19">
        <f t="shared" si="0"/>
        <v>77181000</v>
      </c>
      <c r="O9" s="19">
        <f t="shared" si="1"/>
        <v>8785.2717658590391</v>
      </c>
      <c r="P9" s="19">
        <f t="shared" si="2"/>
        <v>48128900</v>
      </c>
      <c r="Q9" s="19">
        <f t="shared" si="3"/>
        <v>6937.499549549535</v>
      </c>
    </row>
    <row r="10" spans="1:18">
      <c r="A10" s="120">
        <v>1986</v>
      </c>
      <c r="B10" s="19">
        <v>44100</v>
      </c>
      <c r="C10" s="19">
        <v>26500</v>
      </c>
      <c r="D10" s="19">
        <v>31400</v>
      </c>
      <c r="E10" s="19">
        <v>35400</v>
      </c>
      <c r="F10" s="19">
        <v>34000</v>
      </c>
      <c r="G10" s="19">
        <v>39300</v>
      </c>
      <c r="H10" s="19">
        <v>51600</v>
      </c>
      <c r="I10" s="19">
        <v>40100</v>
      </c>
      <c r="J10" s="19">
        <v>35700</v>
      </c>
      <c r="K10" s="19">
        <v>46900</v>
      </c>
      <c r="L10" s="19">
        <v>43300</v>
      </c>
      <c r="N10" s="19">
        <f t="shared" si="0"/>
        <v>82308000</v>
      </c>
      <c r="O10" s="19">
        <f t="shared" si="1"/>
        <v>9072.3756535981247</v>
      </c>
      <c r="P10" s="19">
        <f t="shared" si="2"/>
        <v>50045600</v>
      </c>
      <c r="Q10" s="19">
        <f t="shared" si="3"/>
        <v>7074.2914839579516</v>
      </c>
    </row>
    <row r="11" spans="1:18">
      <c r="A11" s="120">
        <v>1987</v>
      </c>
      <c r="B11" s="19">
        <v>44100</v>
      </c>
      <c r="C11" s="19">
        <v>28900</v>
      </c>
      <c r="D11" s="19">
        <v>32300</v>
      </c>
      <c r="E11" s="19">
        <v>38100</v>
      </c>
      <c r="F11" s="19">
        <v>31900</v>
      </c>
      <c r="G11" s="19">
        <v>39500</v>
      </c>
      <c r="H11" s="19">
        <v>52500</v>
      </c>
      <c r="I11" s="19">
        <v>38100</v>
      </c>
      <c r="J11" s="19">
        <v>36900</v>
      </c>
      <c r="K11" s="19">
        <v>45500</v>
      </c>
      <c r="L11" s="19">
        <v>42000</v>
      </c>
      <c r="N11" s="19">
        <f t="shared" si="0"/>
        <v>74105000</v>
      </c>
      <c r="O11" s="19">
        <f t="shared" si="1"/>
        <v>8608.4261046953288</v>
      </c>
      <c r="P11" s="19">
        <f t="shared" si="2"/>
        <v>43524099.999999993</v>
      </c>
      <c r="Q11" s="19">
        <f t="shared" si="3"/>
        <v>6597.2797424393029</v>
      </c>
    </row>
    <row r="12" spans="1:18">
      <c r="A12" s="120">
        <v>1988</v>
      </c>
      <c r="B12" s="19">
        <v>45400</v>
      </c>
      <c r="C12" s="19">
        <v>31800</v>
      </c>
      <c r="D12" s="19">
        <v>29400</v>
      </c>
      <c r="E12" s="19">
        <v>37700</v>
      </c>
      <c r="F12" s="19">
        <v>32800</v>
      </c>
      <c r="G12" s="19">
        <v>38700</v>
      </c>
      <c r="H12" s="19">
        <v>53900</v>
      </c>
      <c r="I12" s="19">
        <v>39500</v>
      </c>
      <c r="J12" s="19">
        <v>36400</v>
      </c>
      <c r="K12" s="19">
        <v>47200</v>
      </c>
      <c r="L12" s="19">
        <v>45800</v>
      </c>
      <c r="N12" s="19">
        <f t="shared" si="0"/>
        <v>89536000</v>
      </c>
      <c r="O12" s="19">
        <f t="shared" si="1"/>
        <v>9462.3464320431649</v>
      </c>
      <c r="P12" s="19">
        <f t="shared" si="2"/>
        <v>52569600</v>
      </c>
      <c r="Q12" s="19">
        <f t="shared" si="3"/>
        <v>7250.489638638207</v>
      </c>
    </row>
    <row r="13" spans="1:18">
      <c r="A13" s="120">
        <v>1989</v>
      </c>
      <c r="B13" s="19">
        <v>46300</v>
      </c>
      <c r="C13" s="19">
        <v>33000</v>
      </c>
      <c r="D13" s="19">
        <v>31300</v>
      </c>
      <c r="E13" s="19">
        <v>37500</v>
      </c>
      <c r="F13" s="19">
        <v>35400</v>
      </c>
      <c r="G13" s="19">
        <v>41700</v>
      </c>
      <c r="H13" s="19">
        <v>54400</v>
      </c>
      <c r="I13" s="19">
        <v>38500</v>
      </c>
      <c r="J13" s="19">
        <v>35900</v>
      </c>
      <c r="K13" s="19">
        <v>48200</v>
      </c>
      <c r="L13" s="19">
        <v>47200</v>
      </c>
      <c r="N13" s="19">
        <f t="shared" si="0"/>
        <v>85833000</v>
      </c>
      <c r="O13" s="19">
        <f t="shared" si="1"/>
        <v>9264.610083538324</v>
      </c>
      <c r="P13" s="19">
        <f t="shared" si="2"/>
        <v>49952900</v>
      </c>
      <c r="Q13" s="19">
        <f t="shared" si="3"/>
        <v>7067.736554230074</v>
      </c>
      <c r="R13" s="300"/>
    </row>
    <row r="14" spans="1:18">
      <c r="A14" s="120">
        <v>1990</v>
      </c>
      <c r="B14" s="19">
        <v>42700</v>
      </c>
      <c r="C14" s="19">
        <v>28800</v>
      </c>
      <c r="D14" s="19">
        <v>31300</v>
      </c>
      <c r="E14" s="19">
        <v>35600</v>
      </c>
      <c r="F14" s="19">
        <v>34100</v>
      </c>
      <c r="G14" s="19">
        <v>35600</v>
      </c>
      <c r="H14" s="19">
        <v>51200</v>
      </c>
      <c r="I14" s="19">
        <v>38400</v>
      </c>
      <c r="J14" s="19">
        <v>34600</v>
      </c>
      <c r="K14" s="19">
        <v>45500</v>
      </c>
      <c r="L14" s="19">
        <v>42800</v>
      </c>
      <c r="N14" s="19">
        <f t="shared" si="0"/>
        <v>66215000</v>
      </c>
      <c r="O14" s="19">
        <f t="shared" si="1"/>
        <v>8137.2599810992888</v>
      </c>
      <c r="P14" s="19">
        <f t="shared" si="2"/>
        <v>42106899.999999993</v>
      </c>
      <c r="Q14" s="19">
        <f t="shared" si="3"/>
        <v>6488.9829711596558</v>
      </c>
    </row>
    <row r="15" spans="1:18">
      <c r="A15" s="120">
        <v>1991</v>
      </c>
      <c r="B15" s="19">
        <v>39700</v>
      </c>
      <c r="C15" s="19">
        <v>26800</v>
      </c>
      <c r="D15" s="19">
        <v>27700</v>
      </c>
      <c r="E15" s="19">
        <v>33200</v>
      </c>
      <c r="F15" s="19">
        <v>29600</v>
      </c>
      <c r="G15" s="19">
        <v>34900</v>
      </c>
      <c r="H15" s="19">
        <v>46300</v>
      </c>
      <c r="I15" s="19">
        <v>35600</v>
      </c>
      <c r="J15" s="19">
        <v>33300</v>
      </c>
      <c r="K15" s="19">
        <v>44100</v>
      </c>
      <c r="L15" s="19">
        <v>39600</v>
      </c>
      <c r="N15" s="19">
        <f t="shared" si="0"/>
        <v>59841000</v>
      </c>
      <c r="O15" s="19">
        <f t="shared" si="1"/>
        <v>7735.6964780167018</v>
      </c>
      <c r="P15" s="19">
        <f t="shared" si="2"/>
        <v>38772900</v>
      </c>
      <c r="Q15" s="19">
        <f t="shared" si="3"/>
        <v>6226.7888995854037</v>
      </c>
    </row>
    <row r="16" spans="1:18">
      <c r="A16" s="120">
        <v>1992</v>
      </c>
      <c r="B16" s="19">
        <v>38600</v>
      </c>
      <c r="C16" s="19">
        <v>23300</v>
      </c>
      <c r="D16" s="19">
        <v>28500</v>
      </c>
      <c r="E16" s="19">
        <v>32800</v>
      </c>
      <c r="F16" s="19">
        <v>29500</v>
      </c>
      <c r="G16" s="19">
        <v>33200</v>
      </c>
      <c r="H16" s="19">
        <v>45900</v>
      </c>
      <c r="I16" s="19">
        <v>33500</v>
      </c>
      <c r="J16" s="19">
        <v>33000</v>
      </c>
      <c r="K16" s="19">
        <v>39100</v>
      </c>
      <c r="L16" s="19">
        <v>39800</v>
      </c>
      <c r="N16" s="19">
        <f t="shared" si="0"/>
        <v>59406000</v>
      </c>
      <c r="O16" s="19">
        <f t="shared" si="1"/>
        <v>7707.5287868421228</v>
      </c>
      <c r="P16" s="19">
        <f t="shared" si="2"/>
        <v>36938400</v>
      </c>
      <c r="Q16" s="19">
        <f t="shared" si="3"/>
        <v>6077.6969322268778</v>
      </c>
    </row>
    <row r="17" spans="1:17">
      <c r="A17" s="120">
        <v>1993</v>
      </c>
      <c r="B17" s="19">
        <v>37500</v>
      </c>
      <c r="C17" s="19">
        <v>24400</v>
      </c>
      <c r="D17" s="19">
        <v>28000</v>
      </c>
      <c r="E17" s="19">
        <v>31200</v>
      </c>
      <c r="F17" s="19">
        <v>29700</v>
      </c>
      <c r="G17" s="19">
        <v>31800</v>
      </c>
      <c r="H17" s="19">
        <v>43900</v>
      </c>
      <c r="I17" s="19">
        <v>33300</v>
      </c>
      <c r="J17" s="19">
        <v>31500</v>
      </c>
      <c r="K17" s="19">
        <v>42100</v>
      </c>
      <c r="L17" s="19">
        <v>39500</v>
      </c>
      <c r="M17" s="300"/>
      <c r="N17" s="19">
        <f t="shared" si="0"/>
        <v>51464000</v>
      </c>
      <c r="O17" s="19">
        <f t="shared" si="1"/>
        <v>7173.8413698659378</v>
      </c>
      <c r="P17" s="19">
        <f t="shared" si="2"/>
        <v>35782400</v>
      </c>
      <c r="Q17" s="19">
        <f t="shared" si="3"/>
        <v>5981.8391820576389</v>
      </c>
    </row>
    <row r="18" spans="1:17">
      <c r="A18" s="120">
        <v>1994</v>
      </c>
      <c r="B18" s="19">
        <v>38100</v>
      </c>
      <c r="C18" s="19">
        <v>26900</v>
      </c>
      <c r="D18" s="19">
        <v>29200</v>
      </c>
      <c r="E18" s="19">
        <v>29300</v>
      </c>
      <c r="F18" s="19">
        <v>29700</v>
      </c>
      <c r="G18" s="19">
        <v>32500</v>
      </c>
      <c r="H18" s="19">
        <v>43400</v>
      </c>
      <c r="I18" s="19">
        <v>35100</v>
      </c>
      <c r="J18" s="19">
        <v>32600</v>
      </c>
      <c r="K18" s="19">
        <v>43300</v>
      </c>
      <c r="L18" s="19">
        <v>39200</v>
      </c>
      <c r="N18" s="19">
        <f t="shared" si="0"/>
        <v>47960000</v>
      </c>
      <c r="O18" s="19">
        <f t="shared" si="1"/>
        <v>6925.3158772723136</v>
      </c>
      <c r="P18" s="19">
        <f t="shared" si="2"/>
        <v>32119599.999999996</v>
      </c>
      <c r="Q18" s="19">
        <f t="shared" si="3"/>
        <v>5667.4156367783717</v>
      </c>
    </row>
    <row r="19" spans="1:17">
      <c r="A19" s="120">
        <v>1995</v>
      </c>
      <c r="B19" s="19">
        <v>38200</v>
      </c>
      <c r="C19" s="19">
        <v>25300</v>
      </c>
      <c r="D19" s="19">
        <v>30100</v>
      </c>
      <c r="E19" s="19">
        <v>29200</v>
      </c>
      <c r="F19" s="19">
        <v>29500</v>
      </c>
      <c r="G19" s="19">
        <v>32100</v>
      </c>
      <c r="H19" s="19">
        <v>44300</v>
      </c>
      <c r="I19" s="19">
        <v>36500</v>
      </c>
      <c r="J19" s="19">
        <v>33200</v>
      </c>
      <c r="K19" s="19">
        <v>42000</v>
      </c>
      <c r="L19" s="19">
        <v>39100</v>
      </c>
      <c r="N19" s="19">
        <f t="shared" si="0"/>
        <v>50627000</v>
      </c>
      <c r="O19" s="19">
        <f t="shared" si="1"/>
        <v>7115.2652796645607</v>
      </c>
      <c r="P19" s="19">
        <f t="shared" si="2"/>
        <v>34062100</v>
      </c>
      <c r="Q19" s="19">
        <f t="shared" si="3"/>
        <v>5836.274496628821</v>
      </c>
    </row>
    <row r="20" spans="1:17">
      <c r="A20" s="120">
        <v>1996</v>
      </c>
      <c r="B20" s="19">
        <v>37500</v>
      </c>
      <c r="C20" s="19">
        <v>24700</v>
      </c>
      <c r="D20" s="19">
        <v>31400</v>
      </c>
      <c r="E20" s="19">
        <v>29700</v>
      </c>
      <c r="F20" s="19">
        <v>29600</v>
      </c>
      <c r="G20" s="19">
        <v>32100</v>
      </c>
      <c r="H20" s="19">
        <v>42800</v>
      </c>
      <c r="I20" s="19">
        <v>35800</v>
      </c>
      <c r="J20" s="19">
        <v>33300</v>
      </c>
      <c r="K20" s="19">
        <v>41300</v>
      </c>
      <c r="L20" s="19">
        <v>37600</v>
      </c>
      <c r="N20" s="19">
        <f t="shared" si="0"/>
        <v>41653000</v>
      </c>
      <c r="O20" s="19">
        <f t="shared" si="1"/>
        <v>6453.9135414103584</v>
      </c>
      <c r="P20" s="19">
        <f t="shared" si="2"/>
        <v>28184100</v>
      </c>
      <c r="Q20" s="19">
        <f t="shared" si="3"/>
        <v>5308.869936248203</v>
      </c>
    </row>
    <row r="21" spans="1:17">
      <c r="A21" s="120">
        <v>1997</v>
      </c>
      <c r="B21" s="19">
        <v>37600</v>
      </c>
      <c r="C21" s="19">
        <v>25000</v>
      </c>
      <c r="D21" s="19">
        <v>28800</v>
      </c>
      <c r="E21" s="19">
        <v>29600</v>
      </c>
      <c r="F21" s="19">
        <v>29600</v>
      </c>
      <c r="G21" s="19">
        <v>32000</v>
      </c>
      <c r="H21" s="19">
        <v>43200</v>
      </c>
      <c r="I21" s="19">
        <v>36000</v>
      </c>
      <c r="J21" s="19">
        <v>34000</v>
      </c>
      <c r="K21" s="19">
        <v>44600</v>
      </c>
      <c r="L21" s="19">
        <v>38300</v>
      </c>
      <c r="N21" s="19">
        <f t="shared" si="0"/>
        <v>49193000</v>
      </c>
      <c r="O21" s="19">
        <f t="shared" si="1"/>
        <v>7013.7721662454933</v>
      </c>
      <c r="P21" s="19">
        <f t="shared" si="2"/>
        <v>37012900</v>
      </c>
      <c r="Q21" s="19">
        <f t="shared" si="3"/>
        <v>6083.8228113580035</v>
      </c>
    </row>
    <row r="22" spans="1:17">
      <c r="A22" s="120">
        <v>1998</v>
      </c>
      <c r="B22" s="19">
        <v>38500</v>
      </c>
      <c r="C22" s="19">
        <v>26100</v>
      </c>
      <c r="D22" s="19">
        <v>29700</v>
      </c>
      <c r="E22" s="19">
        <v>31000</v>
      </c>
      <c r="F22" s="19">
        <v>31000</v>
      </c>
      <c r="G22" s="19">
        <v>32800</v>
      </c>
      <c r="H22" s="19">
        <v>45800</v>
      </c>
      <c r="I22" s="19">
        <v>37400</v>
      </c>
      <c r="J22" s="19">
        <v>33000</v>
      </c>
      <c r="K22" s="19">
        <v>43700</v>
      </c>
      <c r="L22" s="19">
        <v>37700</v>
      </c>
      <c r="N22" s="19">
        <f t="shared" si="0"/>
        <v>48862000</v>
      </c>
      <c r="O22" s="19">
        <f t="shared" si="1"/>
        <v>6990.1359071194029</v>
      </c>
      <c r="P22" s="19">
        <f t="shared" si="2"/>
        <v>35319600</v>
      </c>
      <c r="Q22" s="19">
        <f t="shared" si="3"/>
        <v>5943.0295304667634</v>
      </c>
    </row>
    <row r="23" spans="1:17">
      <c r="A23" s="120">
        <v>1999</v>
      </c>
      <c r="B23" s="19">
        <v>40900</v>
      </c>
      <c r="C23" s="19">
        <v>26500</v>
      </c>
      <c r="D23" s="19">
        <v>30000</v>
      </c>
      <c r="E23" s="19">
        <v>32900</v>
      </c>
      <c r="F23" s="19">
        <v>33700</v>
      </c>
      <c r="G23" s="19">
        <v>35000</v>
      </c>
      <c r="H23" s="19">
        <v>47700</v>
      </c>
      <c r="I23" s="19">
        <v>38100</v>
      </c>
      <c r="J23" s="19">
        <v>35500</v>
      </c>
      <c r="K23" s="19">
        <v>45600</v>
      </c>
      <c r="L23" s="19">
        <v>39600</v>
      </c>
      <c r="N23" s="19">
        <f t="shared" si="0"/>
        <v>58384000</v>
      </c>
      <c r="O23" s="19">
        <f t="shared" si="1"/>
        <v>7640.9423502602085</v>
      </c>
      <c r="P23" s="19">
        <f t="shared" si="2"/>
        <v>38670399.999999993</v>
      </c>
      <c r="Q23" s="19">
        <f t="shared" si="3"/>
        <v>6218.5528863233121</v>
      </c>
    </row>
    <row r="24" spans="1:17">
      <c r="A24" s="120">
        <v>2000</v>
      </c>
      <c r="B24" s="19">
        <v>41800</v>
      </c>
      <c r="C24" s="19">
        <v>26100</v>
      </c>
      <c r="D24" s="19">
        <v>30900</v>
      </c>
      <c r="E24" s="19">
        <v>33100</v>
      </c>
      <c r="F24" s="19">
        <v>33600</v>
      </c>
      <c r="G24" s="19">
        <v>35600</v>
      </c>
      <c r="H24" s="19">
        <v>49300</v>
      </c>
      <c r="I24" s="19">
        <v>38400</v>
      </c>
      <c r="J24" s="19">
        <v>35300</v>
      </c>
      <c r="K24" s="19">
        <v>47300</v>
      </c>
      <c r="L24" s="19">
        <v>39600</v>
      </c>
      <c r="N24" s="19">
        <f t="shared" si="0"/>
        <v>69182000</v>
      </c>
      <c r="O24" s="19">
        <f t="shared" si="1"/>
        <v>8317.571761036992</v>
      </c>
      <c r="P24" s="19">
        <f t="shared" si="2"/>
        <v>45367599.999999993</v>
      </c>
      <c r="Q24" s="19">
        <f t="shared" si="3"/>
        <v>6735.5474907389671</v>
      </c>
    </row>
    <row r="25" spans="1:17">
      <c r="A25" s="120">
        <v>2001</v>
      </c>
      <c r="B25" s="19">
        <v>42200</v>
      </c>
      <c r="C25" s="19">
        <v>26500</v>
      </c>
      <c r="D25" s="19">
        <v>29300</v>
      </c>
      <c r="E25" s="19">
        <v>33500</v>
      </c>
      <c r="F25" s="19">
        <v>33100</v>
      </c>
      <c r="G25" s="19">
        <v>35700</v>
      </c>
      <c r="H25" s="19">
        <v>49700</v>
      </c>
      <c r="I25" s="19">
        <v>39700</v>
      </c>
      <c r="J25" s="19">
        <v>37300</v>
      </c>
      <c r="K25" s="19">
        <v>49500</v>
      </c>
      <c r="L25" s="19">
        <v>39200</v>
      </c>
      <c r="N25" s="19">
        <f t="shared" si="0"/>
        <v>76245000</v>
      </c>
      <c r="O25" s="19">
        <f t="shared" si="1"/>
        <v>8731.8382944257501</v>
      </c>
      <c r="P25" s="19">
        <f t="shared" si="2"/>
        <v>52722500</v>
      </c>
      <c r="Q25" s="19">
        <f t="shared" si="3"/>
        <v>7261.0260982866603</v>
      </c>
    </row>
    <row r="26" spans="1:17">
      <c r="A26" s="120">
        <v>2002</v>
      </c>
      <c r="B26" s="19">
        <v>42200</v>
      </c>
      <c r="C26" s="19">
        <v>28000</v>
      </c>
      <c r="D26" s="19">
        <v>30100</v>
      </c>
      <c r="E26" s="19">
        <v>34200</v>
      </c>
      <c r="F26" s="19">
        <v>31900</v>
      </c>
      <c r="G26" s="19">
        <v>36200</v>
      </c>
      <c r="H26" s="19">
        <v>49400</v>
      </c>
      <c r="I26" s="19">
        <v>38500</v>
      </c>
      <c r="J26" s="19">
        <v>36200</v>
      </c>
      <c r="K26" s="19">
        <v>48700</v>
      </c>
      <c r="L26" s="19">
        <v>39700</v>
      </c>
      <c r="N26" s="19">
        <f t="shared" si="0"/>
        <v>70417000</v>
      </c>
      <c r="O26" s="19">
        <f t="shared" si="1"/>
        <v>8391.4837782122886</v>
      </c>
      <c r="P26" s="19">
        <f t="shared" si="2"/>
        <v>46308900</v>
      </c>
      <c r="Q26" s="19">
        <f t="shared" si="3"/>
        <v>6805.0642906588328</v>
      </c>
    </row>
    <row r="27" spans="1:17">
      <c r="A27" s="120">
        <v>2003</v>
      </c>
      <c r="B27" s="19">
        <v>42200</v>
      </c>
      <c r="C27" s="19">
        <v>26800</v>
      </c>
      <c r="D27" s="19">
        <v>34600</v>
      </c>
      <c r="E27" s="19">
        <v>35300</v>
      </c>
      <c r="F27" s="19">
        <v>32200</v>
      </c>
      <c r="G27" s="19">
        <v>36600</v>
      </c>
      <c r="H27" s="19">
        <v>49400</v>
      </c>
      <c r="I27" s="19">
        <v>39000</v>
      </c>
      <c r="J27" s="19">
        <v>36200</v>
      </c>
      <c r="K27" s="19">
        <v>48600</v>
      </c>
      <c r="L27" s="19">
        <v>39100</v>
      </c>
      <c r="N27" s="19">
        <f t="shared" si="0"/>
        <v>62254000</v>
      </c>
      <c r="O27" s="19">
        <f t="shared" si="1"/>
        <v>7890.1204046579669</v>
      </c>
      <c r="P27" s="19">
        <f t="shared" si="2"/>
        <v>42717600</v>
      </c>
      <c r="Q27" s="19">
        <f t="shared" si="3"/>
        <v>6535.8702557501856</v>
      </c>
    </row>
    <row r="28" spans="1:17">
      <c r="A28" s="120">
        <v>2004</v>
      </c>
      <c r="B28" s="19">
        <v>42400</v>
      </c>
      <c r="C28" s="19">
        <v>27800</v>
      </c>
      <c r="D28" s="19">
        <v>34500</v>
      </c>
      <c r="E28" s="19">
        <v>35100</v>
      </c>
      <c r="F28" s="19">
        <v>32300</v>
      </c>
      <c r="G28" s="19">
        <v>36800</v>
      </c>
      <c r="H28" s="19">
        <v>48400</v>
      </c>
      <c r="I28" s="19">
        <v>39400</v>
      </c>
      <c r="J28" s="19">
        <v>36000</v>
      </c>
      <c r="K28" s="19">
        <v>50700</v>
      </c>
      <c r="L28" s="19">
        <v>40600</v>
      </c>
      <c r="N28" s="19">
        <f t="shared" si="0"/>
        <v>62032000</v>
      </c>
      <c r="O28" s="19">
        <f t="shared" si="1"/>
        <v>7876.0396139176446</v>
      </c>
      <c r="P28" s="19">
        <f t="shared" si="2"/>
        <v>44054400</v>
      </c>
      <c r="Q28" s="19">
        <f t="shared" si="3"/>
        <v>6637.348868335911</v>
      </c>
    </row>
    <row r="29" spans="1:17">
      <c r="A29" s="120">
        <v>2005</v>
      </c>
      <c r="B29" s="19">
        <v>42900</v>
      </c>
      <c r="C29" s="19">
        <v>29700</v>
      </c>
      <c r="D29" s="19">
        <v>34600</v>
      </c>
      <c r="E29" s="19">
        <v>36500</v>
      </c>
      <c r="F29" s="19">
        <v>32800</v>
      </c>
      <c r="G29" s="19">
        <v>36200</v>
      </c>
      <c r="H29" s="19">
        <v>49800</v>
      </c>
      <c r="I29" s="19">
        <v>39400</v>
      </c>
      <c r="J29" s="19">
        <v>36500</v>
      </c>
      <c r="K29" s="19">
        <v>52600</v>
      </c>
      <c r="L29" s="19">
        <v>42100</v>
      </c>
      <c r="N29" s="19"/>
      <c r="O29" s="19"/>
      <c r="P29" s="19"/>
      <c r="Q29" s="19"/>
    </row>
    <row r="30" spans="1:17">
      <c r="A30" s="120">
        <v>2006</v>
      </c>
      <c r="B30" s="19">
        <v>44100</v>
      </c>
      <c r="C30" s="19">
        <v>31700</v>
      </c>
      <c r="D30" s="19">
        <v>35800</v>
      </c>
      <c r="E30" s="19">
        <v>38500</v>
      </c>
      <c r="F30" s="19">
        <v>33900</v>
      </c>
      <c r="G30" s="19">
        <v>36600</v>
      </c>
      <c r="H30" s="19">
        <v>50100</v>
      </c>
      <c r="I30" s="19">
        <v>39900</v>
      </c>
      <c r="J30" s="19">
        <v>40000</v>
      </c>
      <c r="K30" s="19">
        <v>56500</v>
      </c>
      <c r="L30" s="19">
        <v>43200</v>
      </c>
      <c r="M30" s="300"/>
      <c r="N30" s="19"/>
      <c r="O30" s="19"/>
      <c r="P30" s="19"/>
      <c r="Q30" s="19"/>
    </row>
    <row r="31" spans="1:17" s="961" customFormat="1">
      <c r="A31" s="120">
        <v>2007</v>
      </c>
      <c r="B31" s="19">
        <v>45200</v>
      </c>
      <c r="C31" s="19">
        <v>33100</v>
      </c>
      <c r="D31" s="19">
        <v>37300</v>
      </c>
      <c r="E31" s="19">
        <v>37900</v>
      </c>
      <c r="F31" s="19">
        <v>35000</v>
      </c>
      <c r="G31" s="19">
        <v>36600</v>
      </c>
      <c r="H31" s="19">
        <v>51000</v>
      </c>
      <c r="I31" s="19">
        <v>41900</v>
      </c>
      <c r="J31" s="19">
        <v>42200</v>
      </c>
      <c r="K31" s="19">
        <v>59100</v>
      </c>
      <c r="L31" s="19">
        <v>45600</v>
      </c>
      <c r="M31" s="300"/>
      <c r="N31" s="19"/>
      <c r="O31" s="19"/>
      <c r="P31" s="19"/>
      <c r="Q31" s="19"/>
    </row>
    <row r="32" spans="1:17" s="114" customFormat="1">
      <c r="A32" s="738"/>
      <c r="B32" s="644"/>
      <c r="C32" s="644"/>
      <c r="D32" s="644" t="s">
        <v>802</v>
      </c>
      <c r="E32" s="644"/>
      <c r="F32" s="644"/>
      <c r="H32" s="644"/>
      <c r="I32" s="644"/>
      <c r="J32" s="644"/>
      <c r="K32" s="644"/>
      <c r="L32" s="644"/>
      <c r="N32" s="19"/>
      <c r="O32" s="19"/>
      <c r="P32" s="19"/>
      <c r="Q32" s="19"/>
    </row>
    <row r="33" spans="1:17" s="114" customFormat="1">
      <c r="A33" s="431" t="s">
        <v>603</v>
      </c>
      <c r="B33" s="644">
        <f>((((B13/B5))^(1/8))-1)*100</f>
        <v>-0.31933590915382837</v>
      </c>
      <c r="C33" s="644">
        <f>((((C13/C5))^(1/8))-1)*100</f>
        <v>-2.52744176313352</v>
      </c>
      <c r="D33" s="644">
        <f t="shared" ref="D33:L33" si="4">((((D13/D5))^(1/8))-1)*100</f>
        <v>0.16090323108763904</v>
      </c>
      <c r="E33" s="644">
        <f t="shared" si="4"/>
        <v>-3.3283427581454195E-2</v>
      </c>
      <c r="F33" s="644">
        <f t="shared" si="4"/>
        <v>0.61707087093403334</v>
      </c>
      <c r="G33" s="644">
        <f t="shared" si="4"/>
        <v>-0.52685484191521414</v>
      </c>
      <c r="H33" s="644">
        <f t="shared" si="4"/>
        <v>0.58979955481865964</v>
      </c>
      <c r="I33" s="644">
        <f t="shared" si="4"/>
        <v>-1.0817487703327355</v>
      </c>
      <c r="J33" s="644">
        <f t="shared" si="4"/>
        <v>-2.4276811196957571</v>
      </c>
      <c r="K33" s="644">
        <f t="shared" si="4"/>
        <v>-1.8574412982011346</v>
      </c>
      <c r="L33" s="644">
        <f t="shared" si="4"/>
        <v>-1.2033242691035007</v>
      </c>
      <c r="M33" s="644"/>
      <c r="N33" s="644">
        <f>((((N13/N5))^(1/8))-1)*100</f>
        <v>1.1135518640485564</v>
      </c>
      <c r="O33" s="644">
        <f>((((O13/O5))^(1/8))-1)*100</f>
        <v>0.55523450524519458</v>
      </c>
      <c r="P33" s="644">
        <f>((((P13/P5))^(1/8))-1)*100</f>
        <v>-2.243074121009303</v>
      </c>
      <c r="Q33" s="644">
        <f>((((Q13/Q5))^(1/8))-1)*100</f>
        <v>-1.1278978280573337</v>
      </c>
    </row>
    <row r="34" spans="1:17" s="114" customFormat="1">
      <c r="A34" s="431" t="s">
        <v>604</v>
      </c>
      <c r="B34" s="644">
        <f>((((B24/B13))^(1/11))-1)*100</f>
        <v>-0.92519910032512476</v>
      </c>
      <c r="C34" s="644">
        <f>((((C24/C13))^(1/11))-1)*100</f>
        <v>-2.1098984904695639</v>
      </c>
      <c r="D34" s="644">
        <f t="shared" ref="D34:L34" si="5">((((D24/D13))^(1/11))-1)*100</f>
        <v>-0.11685815527615606</v>
      </c>
      <c r="E34" s="644">
        <f t="shared" si="5"/>
        <v>-1.1282025245784366</v>
      </c>
      <c r="F34" s="644">
        <f t="shared" si="5"/>
        <v>-0.47329236301191235</v>
      </c>
      <c r="G34" s="644">
        <f t="shared" si="5"/>
        <v>-1.4274905329287213</v>
      </c>
      <c r="H34" s="644">
        <f t="shared" si="5"/>
        <v>-0.89091735385130599</v>
      </c>
      <c r="I34" s="644">
        <f t="shared" si="5"/>
        <v>-2.3640675152425406E-2</v>
      </c>
      <c r="J34" s="644">
        <f t="shared" si="5"/>
        <v>-0.15310387220920374</v>
      </c>
      <c r="K34" s="644">
        <f t="shared" si="5"/>
        <v>-0.1712053267239444</v>
      </c>
      <c r="L34" s="644">
        <f t="shared" si="5"/>
        <v>-1.5833741222470499</v>
      </c>
      <c r="M34" s="644"/>
      <c r="N34" s="644">
        <f>((((N24/N13))^(1/11))-1)*100</f>
        <v>-1.941477016174864</v>
      </c>
      <c r="O34" s="644">
        <f>((((O24/O13))^(1/11))-1)*100</f>
        <v>-0.9754964749506323</v>
      </c>
      <c r="P34" s="644">
        <f>((((P24/P13))^(1/11))-1)*100</f>
        <v>-0.8714747028333969</v>
      </c>
      <c r="Q34" s="644">
        <f>((((Q24/Q13))^(1/11))-1)*100</f>
        <v>-0.43669084589113005</v>
      </c>
    </row>
    <row r="35" spans="1:17" s="114" customFormat="1">
      <c r="A35" s="431" t="s">
        <v>447</v>
      </c>
      <c r="B35" s="23">
        <f>((((B31/B5))^(1/26))-1)*100</f>
        <v>-0.19071262040611936</v>
      </c>
      <c r="C35" s="23">
        <f t="shared" ref="C35:L35" si="6">((((C31/C5))^(1/26))-1)*100</f>
        <v>-0.77303006436979516</v>
      </c>
      <c r="D35" s="23">
        <f t="shared" si="6"/>
        <v>0.72661614723219525</v>
      </c>
      <c r="E35" s="23">
        <f t="shared" si="6"/>
        <v>3.057029365653996E-2</v>
      </c>
      <c r="F35" s="23">
        <f t="shared" si="6"/>
        <v>0.14568380101616096</v>
      </c>
      <c r="G35" s="23">
        <f t="shared" si="6"/>
        <v>-0.66207814682478494</v>
      </c>
      <c r="H35" s="23">
        <f t="shared" si="6"/>
        <v>-6.7258745956455535E-2</v>
      </c>
      <c r="I35" s="23">
        <f t="shared" si="6"/>
        <v>-9.1680080019806987E-3</v>
      </c>
      <c r="J35" s="23">
        <f t="shared" si="6"/>
        <v>-0.13424781097099991</v>
      </c>
      <c r="K35" s="23">
        <f t="shared" si="6"/>
        <v>0.20744268707950653</v>
      </c>
      <c r="L35" s="23">
        <f t="shared" si="6"/>
        <v>-0.5038647906154714</v>
      </c>
      <c r="M35" s="23"/>
      <c r="N35" s="23">
        <f>((((N28/N5))^(1/23))-1)*100</f>
        <v>-1.0215350673856483</v>
      </c>
      <c r="O35" s="23">
        <f>((((O28/O5))^(1/23))-1)*100</f>
        <v>-0.51207865644475881</v>
      </c>
      <c r="P35" s="23">
        <f>((((P28/P5))^(1/23))-1)*100</f>
        <v>-1.3265334777435966</v>
      </c>
      <c r="Q35" s="23">
        <f>((((Q28/Q5))^(1/23))-1)*100</f>
        <v>-0.66548106410521113</v>
      </c>
    </row>
    <row r="36" spans="1:17" s="114" customFormat="1">
      <c r="A36" s="431" t="s">
        <v>449</v>
      </c>
      <c r="B36" s="644">
        <f>((((B31/B24))^(1/7))-1)*100</f>
        <v>1.1234169954791984</v>
      </c>
      <c r="C36" s="959">
        <f t="shared" ref="C36:L36" si="7">((((C31/C24))^(1/7))-1)*100</f>
        <v>3.4525188996927136</v>
      </c>
      <c r="D36" s="959">
        <f t="shared" si="7"/>
        <v>2.725584672394965</v>
      </c>
      <c r="E36" s="959">
        <f t="shared" si="7"/>
        <v>1.9533739087134183</v>
      </c>
      <c r="F36" s="959">
        <f t="shared" si="7"/>
        <v>0.58487510473412829</v>
      </c>
      <c r="G36" s="959">
        <f t="shared" si="7"/>
        <v>0.39653559516170667</v>
      </c>
      <c r="H36" s="959">
        <f t="shared" si="7"/>
        <v>0.48548254726759055</v>
      </c>
      <c r="I36" s="959">
        <f t="shared" si="7"/>
        <v>1.2539159533865973</v>
      </c>
      <c r="J36" s="959">
        <f t="shared" si="7"/>
        <v>2.5833366195784802</v>
      </c>
      <c r="K36" s="959">
        <f t="shared" si="7"/>
        <v>3.2328812114557959</v>
      </c>
      <c r="L36" s="959">
        <f t="shared" si="7"/>
        <v>2.0358550336943226</v>
      </c>
      <c r="M36" s="644"/>
      <c r="N36" s="644">
        <f>((((N28/N24))^(1/4))-1)*100</f>
        <v>-2.6904044106500158</v>
      </c>
      <c r="O36" s="644">
        <f>((((O28/O24))^(1/4))-1)*100</f>
        <v>-1.354373847924728</v>
      </c>
      <c r="P36" s="644">
        <f>((((P28/P24))^(1/4))-1)*100</f>
        <v>-0.73163442871123641</v>
      </c>
      <c r="Q36" s="644">
        <f>((((Q28/Q24))^(1/4))-1)*100</f>
        <v>-0.36648878450145084</v>
      </c>
    </row>
    <row r="37" spans="1:17" s="114" customFormat="1">
      <c r="A37" s="431"/>
      <c r="D37" s="644" t="s">
        <v>276</v>
      </c>
    </row>
    <row r="38" spans="1:17" s="114" customFormat="1">
      <c r="A38" s="431" t="s">
        <v>447</v>
      </c>
      <c r="B38" s="10">
        <f>(B31/B5-1)*100</f>
        <v>-4.842105263157892</v>
      </c>
      <c r="C38" s="10">
        <f t="shared" ref="C38:L38" si="8">(C31/C5-1)*100</f>
        <v>-18.271604938271601</v>
      </c>
      <c r="D38" s="10">
        <f t="shared" si="8"/>
        <v>20.711974110032362</v>
      </c>
      <c r="E38" s="10">
        <f t="shared" si="8"/>
        <v>0.79787234042554278</v>
      </c>
      <c r="F38" s="10">
        <f t="shared" si="8"/>
        <v>3.8575667655786461</v>
      </c>
      <c r="G38" s="10">
        <f t="shared" si="8"/>
        <v>-15.86206896551724</v>
      </c>
      <c r="H38" s="10">
        <f t="shared" si="8"/>
        <v>-1.7341040462427793</v>
      </c>
      <c r="I38" s="10">
        <f t="shared" si="8"/>
        <v>-0.23809523809523725</v>
      </c>
      <c r="J38" s="10">
        <f t="shared" si="8"/>
        <v>-3.4324942791762014</v>
      </c>
      <c r="K38" s="10">
        <f t="shared" si="8"/>
        <v>5.5357142857142883</v>
      </c>
      <c r="L38" s="10">
        <f t="shared" si="8"/>
        <v>-12.307692307692308</v>
      </c>
      <c r="M38" s="10"/>
      <c r="N38" s="10">
        <f>(N28/N5-1)*100</f>
        <v>-21.034675899994902</v>
      </c>
      <c r="O38" s="10">
        <f>(O28/O5-1)*100</f>
        <v>-11.137564685630464</v>
      </c>
      <c r="P38" s="10">
        <f>(P28/P5-1)*100</f>
        <v>-26.445563465879484</v>
      </c>
      <c r="Q38" s="10">
        <f>(Q28/Q5-1)*100</f>
        <v>-14.236116847404523</v>
      </c>
    </row>
    <row r="39" spans="1:17">
      <c r="B39" s="114"/>
      <c r="C39" s="114"/>
      <c r="D39" s="114"/>
      <c r="E39" s="114"/>
      <c r="F39" s="114"/>
      <c r="N39" s="644"/>
      <c r="O39" s="644"/>
      <c r="P39" s="644"/>
      <c r="Q39" s="644"/>
    </row>
    <row r="40" spans="1:17" ht="24.75" customHeight="1">
      <c r="A40" s="1170" t="s">
        <v>811</v>
      </c>
      <c r="B40" s="1170"/>
      <c r="C40" s="1170"/>
      <c r="D40" s="1170"/>
      <c r="E40" s="1170"/>
      <c r="F40" s="1170"/>
      <c r="G40" s="1170"/>
      <c r="H40" s="1170"/>
      <c r="I40" s="1170"/>
      <c r="J40" s="1170"/>
      <c r="K40" s="1170"/>
      <c r="L40" s="1170"/>
      <c r="N40" s="10"/>
      <c r="O40" s="10"/>
      <c r="P40" s="10"/>
      <c r="Q40" s="10"/>
    </row>
    <row r="41" spans="1:17">
      <c r="A41" s="4" t="s">
        <v>1868</v>
      </c>
      <c r="N41" s="10"/>
      <c r="O41" s="10"/>
      <c r="P41" s="10"/>
      <c r="Q41" s="10"/>
    </row>
    <row r="42" spans="1:17">
      <c r="A42" s="4" t="s">
        <v>388</v>
      </c>
      <c r="N42" s="10"/>
      <c r="O42" s="10"/>
      <c r="P42" s="10"/>
      <c r="Q42" s="10"/>
    </row>
    <row r="43" spans="1:17" ht="30" customHeight="1">
      <c r="A43" s="1168" t="s">
        <v>330</v>
      </c>
      <c r="B43" s="1169"/>
      <c r="C43" s="1169"/>
      <c r="D43" s="1169"/>
      <c r="E43" s="1169"/>
      <c r="F43" s="1169"/>
      <c r="G43" s="1169"/>
      <c r="H43" s="1169"/>
      <c r="I43" s="1169"/>
      <c r="J43" s="1169"/>
      <c r="K43" s="1169"/>
      <c r="L43" s="1169"/>
    </row>
    <row r="44" spans="1:17" ht="41.25" customHeight="1">
      <c r="A44" s="1168" t="s">
        <v>978</v>
      </c>
      <c r="B44" s="1169"/>
      <c r="C44" s="1169"/>
      <c r="D44" s="1169"/>
      <c r="E44" s="1169"/>
      <c r="F44" s="1169"/>
      <c r="G44" s="1169"/>
      <c r="H44" s="1169"/>
      <c r="I44" s="1169"/>
      <c r="J44" s="1169"/>
      <c r="K44" s="1169"/>
      <c r="L44" s="1169"/>
    </row>
    <row r="46" spans="1:17">
      <c r="E46" s="27"/>
    </row>
    <row r="47" spans="1:17" hidden="1">
      <c r="B47" s="1" t="s">
        <v>278</v>
      </c>
    </row>
    <row r="48" spans="1:17" hidden="1">
      <c r="B48" s="1" t="s">
        <v>279</v>
      </c>
    </row>
    <row r="49" spans="2:12" hidden="1">
      <c r="B49" s="1">
        <v>1981</v>
      </c>
      <c r="C49" s="300">
        <f>C5-$B5</f>
        <v>-7000</v>
      </c>
      <c r="D49" s="300">
        <f t="shared" ref="D49:L49" si="9">D5-$B5</f>
        <v>-16600</v>
      </c>
      <c r="E49" s="300">
        <f t="shared" si="9"/>
        <v>-9900</v>
      </c>
      <c r="F49" s="300">
        <f t="shared" si="9"/>
        <v>-13800</v>
      </c>
      <c r="G49" s="300">
        <f t="shared" si="9"/>
        <v>-4000</v>
      </c>
      <c r="H49" s="300">
        <f t="shared" si="9"/>
        <v>4400</v>
      </c>
      <c r="I49" s="300">
        <f t="shared" si="9"/>
        <v>-5500</v>
      </c>
      <c r="J49" s="300">
        <f t="shared" si="9"/>
        <v>-3800</v>
      </c>
      <c r="K49" s="300">
        <f t="shared" si="9"/>
        <v>8500</v>
      </c>
      <c r="L49" s="300">
        <f t="shared" si="9"/>
        <v>4500</v>
      </c>
    </row>
    <row r="50" spans="2:12" hidden="1">
      <c r="B50" s="1">
        <v>1982</v>
      </c>
      <c r="C50" s="300">
        <f t="shared" ref="C50:L65" si="10">C6-$B6</f>
        <v>-9400</v>
      </c>
      <c r="D50" s="300">
        <f t="shared" si="10"/>
        <v>-12900</v>
      </c>
      <c r="E50" s="300">
        <f t="shared" si="10"/>
        <v>-9800</v>
      </c>
      <c r="F50" s="300">
        <f t="shared" si="10"/>
        <v>-12900</v>
      </c>
      <c r="G50" s="300">
        <f t="shared" si="10"/>
        <v>-4600</v>
      </c>
      <c r="H50" s="300">
        <f t="shared" si="10"/>
        <v>3400</v>
      </c>
      <c r="I50" s="300">
        <f t="shared" si="10"/>
        <v>-4600</v>
      </c>
      <c r="J50" s="300">
        <f t="shared" si="10"/>
        <v>-3000</v>
      </c>
      <c r="K50" s="300">
        <f t="shared" si="10"/>
        <v>9900</v>
      </c>
      <c r="L50" s="300">
        <f t="shared" si="10"/>
        <v>3400</v>
      </c>
    </row>
    <row r="51" spans="2:12" hidden="1">
      <c r="B51" s="1">
        <v>1983</v>
      </c>
      <c r="C51" s="300">
        <f t="shared" si="10"/>
        <v>-14000</v>
      </c>
      <c r="D51" s="300">
        <f t="shared" si="10"/>
        <v>-11700</v>
      </c>
      <c r="E51" s="300">
        <f t="shared" si="10"/>
        <v>-10300</v>
      </c>
      <c r="F51" s="300">
        <f t="shared" si="10"/>
        <v>-14100</v>
      </c>
      <c r="G51" s="300">
        <f t="shared" si="10"/>
        <v>-3900</v>
      </c>
      <c r="H51" s="300">
        <f t="shared" si="10"/>
        <v>3900</v>
      </c>
      <c r="I51" s="300">
        <f t="shared" si="10"/>
        <v>-4000</v>
      </c>
      <c r="J51" s="300">
        <f t="shared" si="10"/>
        <v>-5900</v>
      </c>
      <c r="K51" s="300">
        <f t="shared" si="10"/>
        <v>5600</v>
      </c>
      <c r="L51" s="300">
        <f t="shared" si="10"/>
        <v>2500</v>
      </c>
    </row>
    <row r="52" spans="2:12" hidden="1">
      <c r="B52" s="1">
        <v>1984</v>
      </c>
      <c r="C52" s="300">
        <f t="shared" si="10"/>
        <v>-13900</v>
      </c>
      <c r="D52" s="300">
        <f t="shared" si="10"/>
        <v>-12800</v>
      </c>
      <c r="E52" s="300">
        <f t="shared" si="10"/>
        <v>-8500</v>
      </c>
      <c r="F52" s="300">
        <f t="shared" si="10"/>
        <v>-10500</v>
      </c>
      <c r="G52" s="300">
        <f t="shared" si="10"/>
        <v>-4100</v>
      </c>
      <c r="H52" s="300">
        <f t="shared" si="10"/>
        <v>5500</v>
      </c>
      <c r="I52" s="300">
        <f t="shared" si="10"/>
        <v>-2300</v>
      </c>
      <c r="J52" s="300">
        <f t="shared" si="10"/>
        <v>-4500</v>
      </c>
      <c r="K52" s="300">
        <f t="shared" si="10"/>
        <v>2400</v>
      </c>
      <c r="L52" s="300">
        <f t="shared" si="10"/>
        <v>-900</v>
      </c>
    </row>
    <row r="53" spans="2:12" hidden="1">
      <c r="B53" s="1">
        <v>1985</v>
      </c>
      <c r="C53" s="300">
        <f t="shared" si="10"/>
        <v>-15200</v>
      </c>
      <c r="D53" s="300">
        <f t="shared" si="10"/>
        <v>-15200</v>
      </c>
      <c r="E53" s="300">
        <f t="shared" si="10"/>
        <v>-7900</v>
      </c>
      <c r="F53" s="300">
        <f t="shared" si="10"/>
        <v>-11000</v>
      </c>
      <c r="G53" s="300">
        <f t="shared" si="10"/>
        <v>-4100</v>
      </c>
      <c r="H53" s="300">
        <f t="shared" si="10"/>
        <v>6500</v>
      </c>
      <c r="I53" s="300">
        <f t="shared" si="10"/>
        <v>-4300</v>
      </c>
      <c r="J53" s="300">
        <f t="shared" si="10"/>
        <v>-5200</v>
      </c>
      <c r="K53" s="300">
        <f t="shared" si="10"/>
        <v>4300</v>
      </c>
      <c r="L53" s="300">
        <f t="shared" si="10"/>
        <v>-1800</v>
      </c>
    </row>
    <row r="54" spans="2:12" hidden="1">
      <c r="B54" s="1">
        <v>1986</v>
      </c>
      <c r="C54" s="300">
        <f t="shared" si="10"/>
        <v>-17600</v>
      </c>
      <c r="D54" s="300">
        <f t="shared" si="10"/>
        <v>-12700</v>
      </c>
      <c r="E54" s="300">
        <f t="shared" si="10"/>
        <v>-8700</v>
      </c>
      <c r="F54" s="300">
        <f t="shared" si="10"/>
        <v>-10100</v>
      </c>
      <c r="G54" s="300">
        <f t="shared" si="10"/>
        <v>-4800</v>
      </c>
      <c r="H54" s="300">
        <f t="shared" si="10"/>
        <v>7500</v>
      </c>
      <c r="I54" s="300">
        <f t="shared" si="10"/>
        <v>-4000</v>
      </c>
      <c r="J54" s="300">
        <f t="shared" si="10"/>
        <v>-8400</v>
      </c>
      <c r="K54" s="300">
        <f t="shared" si="10"/>
        <v>2800</v>
      </c>
      <c r="L54" s="300">
        <f t="shared" si="10"/>
        <v>-800</v>
      </c>
    </row>
    <row r="55" spans="2:12" hidden="1">
      <c r="B55" s="1">
        <v>1987</v>
      </c>
      <c r="C55" s="300">
        <f t="shared" si="10"/>
        <v>-15200</v>
      </c>
      <c r="D55" s="300">
        <f t="shared" si="10"/>
        <v>-11800</v>
      </c>
      <c r="E55" s="300">
        <f t="shared" si="10"/>
        <v>-6000</v>
      </c>
      <c r="F55" s="300">
        <f t="shared" si="10"/>
        <v>-12200</v>
      </c>
      <c r="G55" s="300">
        <f t="shared" si="10"/>
        <v>-4600</v>
      </c>
      <c r="H55" s="300">
        <f t="shared" si="10"/>
        <v>8400</v>
      </c>
      <c r="I55" s="300">
        <f t="shared" si="10"/>
        <v>-6000</v>
      </c>
      <c r="J55" s="300">
        <f t="shared" si="10"/>
        <v>-7200</v>
      </c>
      <c r="K55" s="300">
        <f t="shared" si="10"/>
        <v>1400</v>
      </c>
      <c r="L55" s="300">
        <f t="shared" si="10"/>
        <v>-2100</v>
      </c>
    </row>
    <row r="56" spans="2:12" hidden="1">
      <c r="B56" s="1">
        <v>1988</v>
      </c>
      <c r="C56" s="300">
        <f t="shared" si="10"/>
        <v>-13600</v>
      </c>
      <c r="D56" s="300">
        <f t="shared" si="10"/>
        <v>-16000</v>
      </c>
      <c r="E56" s="300">
        <f t="shared" si="10"/>
        <v>-7700</v>
      </c>
      <c r="F56" s="300">
        <f t="shared" si="10"/>
        <v>-12600</v>
      </c>
      <c r="G56" s="300">
        <f t="shared" si="10"/>
        <v>-6700</v>
      </c>
      <c r="H56" s="300">
        <f t="shared" si="10"/>
        <v>8500</v>
      </c>
      <c r="I56" s="300">
        <f t="shared" si="10"/>
        <v>-5900</v>
      </c>
      <c r="J56" s="300">
        <f t="shared" si="10"/>
        <v>-9000</v>
      </c>
      <c r="K56" s="300">
        <f t="shared" si="10"/>
        <v>1800</v>
      </c>
      <c r="L56" s="300">
        <f t="shared" si="10"/>
        <v>400</v>
      </c>
    </row>
    <row r="57" spans="2:12" hidden="1">
      <c r="B57" s="1">
        <v>1989</v>
      </c>
      <c r="C57" s="300">
        <f t="shared" si="10"/>
        <v>-13300</v>
      </c>
      <c r="D57" s="300">
        <f t="shared" si="10"/>
        <v>-15000</v>
      </c>
      <c r="E57" s="300">
        <f t="shared" si="10"/>
        <v>-8800</v>
      </c>
      <c r="F57" s="300">
        <f t="shared" si="10"/>
        <v>-10900</v>
      </c>
      <c r="G57" s="300">
        <f t="shared" si="10"/>
        <v>-4600</v>
      </c>
      <c r="H57" s="300">
        <f t="shared" si="10"/>
        <v>8100</v>
      </c>
      <c r="I57" s="300">
        <f t="shared" si="10"/>
        <v>-7800</v>
      </c>
      <c r="J57" s="300">
        <f t="shared" si="10"/>
        <v>-10400</v>
      </c>
      <c r="K57" s="300">
        <f t="shared" si="10"/>
        <v>1900</v>
      </c>
      <c r="L57" s="300">
        <f t="shared" si="10"/>
        <v>900</v>
      </c>
    </row>
    <row r="58" spans="2:12" hidden="1">
      <c r="B58" s="1">
        <v>1990</v>
      </c>
      <c r="C58" s="300">
        <f t="shared" si="10"/>
        <v>-13900</v>
      </c>
      <c r="D58" s="300">
        <f t="shared" si="10"/>
        <v>-11400</v>
      </c>
      <c r="E58" s="300">
        <f t="shared" si="10"/>
        <v>-7100</v>
      </c>
      <c r="F58" s="300">
        <f t="shared" si="10"/>
        <v>-8600</v>
      </c>
      <c r="G58" s="300">
        <f t="shared" si="10"/>
        <v>-7100</v>
      </c>
      <c r="H58" s="300">
        <f t="shared" si="10"/>
        <v>8500</v>
      </c>
      <c r="I58" s="300">
        <f t="shared" si="10"/>
        <v>-4300</v>
      </c>
      <c r="J58" s="300">
        <f t="shared" si="10"/>
        <v>-8100</v>
      </c>
      <c r="K58" s="300">
        <f t="shared" si="10"/>
        <v>2800</v>
      </c>
      <c r="L58" s="300">
        <f t="shared" si="10"/>
        <v>100</v>
      </c>
    </row>
    <row r="59" spans="2:12" hidden="1">
      <c r="B59" s="1">
        <v>1991</v>
      </c>
      <c r="C59" s="300">
        <f t="shared" si="10"/>
        <v>-12900</v>
      </c>
      <c r="D59" s="300">
        <f t="shared" si="10"/>
        <v>-12000</v>
      </c>
      <c r="E59" s="300">
        <f t="shared" si="10"/>
        <v>-6500</v>
      </c>
      <c r="F59" s="300">
        <f t="shared" si="10"/>
        <v>-10100</v>
      </c>
      <c r="G59" s="300">
        <f t="shared" si="10"/>
        <v>-4800</v>
      </c>
      <c r="H59" s="300">
        <f t="shared" si="10"/>
        <v>6600</v>
      </c>
      <c r="I59" s="300">
        <f t="shared" si="10"/>
        <v>-4100</v>
      </c>
      <c r="J59" s="300">
        <f t="shared" si="10"/>
        <v>-6400</v>
      </c>
      <c r="K59" s="300">
        <f t="shared" si="10"/>
        <v>4400</v>
      </c>
      <c r="L59" s="300">
        <f t="shared" si="10"/>
        <v>-100</v>
      </c>
    </row>
    <row r="60" spans="2:12" hidden="1">
      <c r="B60" s="1">
        <v>1992</v>
      </c>
      <c r="C60" s="300">
        <f t="shared" si="10"/>
        <v>-15300</v>
      </c>
      <c r="D60" s="300">
        <f t="shared" si="10"/>
        <v>-10100</v>
      </c>
      <c r="E60" s="300">
        <f t="shared" si="10"/>
        <v>-5800</v>
      </c>
      <c r="F60" s="300">
        <f t="shared" si="10"/>
        <v>-9100</v>
      </c>
      <c r="G60" s="300">
        <f t="shared" si="10"/>
        <v>-5400</v>
      </c>
      <c r="H60" s="300">
        <f t="shared" si="10"/>
        <v>7300</v>
      </c>
      <c r="I60" s="300">
        <f t="shared" si="10"/>
        <v>-5100</v>
      </c>
      <c r="J60" s="300">
        <f t="shared" si="10"/>
        <v>-5600</v>
      </c>
      <c r="K60" s="300">
        <f t="shared" si="10"/>
        <v>500</v>
      </c>
      <c r="L60" s="300">
        <f t="shared" si="10"/>
        <v>1200</v>
      </c>
    </row>
    <row r="61" spans="2:12" hidden="1">
      <c r="B61" s="1">
        <v>1993</v>
      </c>
      <c r="C61" s="300">
        <f t="shared" si="10"/>
        <v>-13100</v>
      </c>
      <c r="D61" s="300">
        <f t="shared" si="10"/>
        <v>-9500</v>
      </c>
      <c r="E61" s="300">
        <f t="shared" si="10"/>
        <v>-6300</v>
      </c>
      <c r="F61" s="300">
        <f t="shared" si="10"/>
        <v>-7800</v>
      </c>
      <c r="G61" s="300">
        <f t="shared" si="10"/>
        <v>-5700</v>
      </c>
      <c r="H61" s="300">
        <f t="shared" si="10"/>
        <v>6400</v>
      </c>
      <c r="I61" s="300">
        <f t="shared" si="10"/>
        <v>-4200</v>
      </c>
      <c r="J61" s="300">
        <f t="shared" si="10"/>
        <v>-6000</v>
      </c>
      <c r="K61" s="300">
        <f t="shared" si="10"/>
        <v>4600</v>
      </c>
      <c r="L61" s="300">
        <f t="shared" si="10"/>
        <v>2000</v>
      </c>
    </row>
    <row r="62" spans="2:12" hidden="1">
      <c r="B62" s="1">
        <v>1994</v>
      </c>
      <c r="C62" s="300">
        <f t="shared" si="10"/>
        <v>-11200</v>
      </c>
      <c r="D62" s="300">
        <f t="shared" si="10"/>
        <v>-8900</v>
      </c>
      <c r="E62" s="300">
        <f t="shared" si="10"/>
        <v>-8800</v>
      </c>
      <c r="F62" s="300">
        <f t="shared" si="10"/>
        <v>-8400</v>
      </c>
      <c r="G62" s="300">
        <f t="shared" si="10"/>
        <v>-5600</v>
      </c>
      <c r="H62" s="300">
        <f t="shared" si="10"/>
        <v>5300</v>
      </c>
      <c r="I62" s="300">
        <f t="shared" si="10"/>
        <v>-3000</v>
      </c>
      <c r="J62" s="300">
        <f t="shared" si="10"/>
        <v>-5500</v>
      </c>
      <c r="K62" s="300">
        <f t="shared" si="10"/>
        <v>5200</v>
      </c>
      <c r="L62" s="300">
        <f t="shared" si="10"/>
        <v>1100</v>
      </c>
    </row>
    <row r="63" spans="2:12" hidden="1">
      <c r="B63" s="1">
        <v>1995</v>
      </c>
      <c r="C63" s="300">
        <f t="shared" si="10"/>
        <v>-12900</v>
      </c>
      <c r="D63" s="300">
        <f t="shared" si="10"/>
        <v>-8100</v>
      </c>
      <c r="E63" s="300">
        <f t="shared" si="10"/>
        <v>-9000</v>
      </c>
      <c r="F63" s="300">
        <f t="shared" si="10"/>
        <v>-8700</v>
      </c>
      <c r="G63" s="300">
        <f t="shared" si="10"/>
        <v>-6100</v>
      </c>
      <c r="H63" s="300">
        <f t="shared" si="10"/>
        <v>6100</v>
      </c>
      <c r="I63" s="300">
        <f t="shared" si="10"/>
        <v>-1700</v>
      </c>
      <c r="J63" s="300">
        <f t="shared" si="10"/>
        <v>-5000</v>
      </c>
      <c r="K63" s="300">
        <f t="shared" si="10"/>
        <v>3800</v>
      </c>
      <c r="L63" s="300">
        <f t="shared" si="10"/>
        <v>900</v>
      </c>
    </row>
    <row r="64" spans="2:12" hidden="1">
      <c r="B64" s="1">
        <v>1996</v>
      </c>
      <c r="C64" s="300">
        <f t="shared" si="10"/>
        <v>-12800</v>
      </c>
      <c r="D64" s="300">
        <f t="shared" si="10"/>
        <v>-6100</v>
      </c>
      <c r="E64" s="300">
        <f t="shared" si="10"/>
        <v>-7800</v>
      </c>
      <c r="F64" s="300">
        <f t="shared" si="10"/>
        <v>-7900</v>
      </c>
      <c r="G64" s="300">
        <f t="shared" si="10"/>
        <v>-5400</v>
      </c>
      <c r="H64" s="300">
        <f t="shared" si="10"/>
        <v>5300</v>
      </c>
      <c r="I64" s="300">
        <f t="shared" si="10"/>
        <v>-1700</v>
      </c>
      <c r="J64" s="300">
        <f t="shared" si="10"/>
        <v>-4200</v>
      </c>
      <c r="K64" s="300">
        <f t="shared" si="10"/>
        <v>3800</v>
      </c>
      <c r="L64" s="300">
        <f t="shared" si="10"/>
        <v>100</v>
      </c>
    </row>
    <row r="65" spans="2:12" hidden="1">
      <c r="B65" s="1">
        <v>1997</v>
      </c>
      <c r="C65" s="300">
        <f t="shared" si="10"/>
        <v>-12600</v>
      </c>
      <c r="D65" s="300">
        <f t="shared" si="10"/>
        <v>-8800</v>
      </c>
      <c r="E65" s="300">
        <f t="shared" si="10"/>
        <v>-8000</v>
      </c>
      <c r="F65" s="300">
        <f t="shared" si="10"/>
        <v>-8000</v>
      </c>
      <c r="G65" s="300">
        <f t="shared" si="10"/>
        <v>-5600</v>
      </c>
      <c r="H65" s="300">
        <f t="shared" si="10"/>
        <v>5600</v>
      </c>
      <c r="I65" s="300">
        <f t="shared" si="10"/>
        <v>-1600</v>
      </c>
      <c r="J65" s="300">
        <f t="shared" si="10"/>
        <v>-3600</v>
      </c>
      <c r="K65" s="300">
        <f t="shared" si="10"/>
        <v>7000</v>
      </c>
      <c r="L65" s="300">
        <f t="shared" si="10"/>
        <v>700</v>
      </c>
    </row>
    <row r="66" spans="2:12" hidden="1">
      <c r="B66" s="1">
        <v>1998</v>
      </c>
      <c r="C66" s="300">
        <f t="shared" ref="C66:L66" si="11">C22-$B22</f>
        <v>-12400</v>
      </c>
      <c r="D66" s="300">
        <f t="shared" si="11"/>
        <v>-8800</v>
      </c>
      <c r="E66" s="300">
        <f t="shared" si="11"/>
        <v>-7500</v>
      </c>
      <c r="F66" s="300">
        <f t="shared" si="11"/>
        <v>-7500</v>
      </c>
      <c r="G66" s="300">
        <f t="shared" si="11"/>
        <v>-5700</v>
      </c>
      <c r="H66" s="300">
        <f t="shared" si="11"/>
        <v>7300</v>
      </c>
      <c r="I66" s="300">
        <f t="shared" si="11"/>
        <v>-1100</v>
      </c>
      <c r="J66" s="300">
        <f t="shared" si="11"/>
        <v>-5500</v>
      </c>
      <c r="K66" s="300">
        <f t="shared" si="11"/>
        <v>5200</v>
      </c>
      <c r="L66" s="300">
        <f t="shared" si="11"/>
        <v>-800</v>
      </c>
    </row>
    <row r="67" spans="2:12" hidden="1">
      <c r="B67" s="1">
        <v>1999</v>
      </c>
      <c r="C67" s="300">
        <f t="shared" ref="C67:L67" si="12">C23-$B23</f>
        <v>-14400</v>
      </c>
      <c r="D67" s="300">
        <f t="shared" si="12"/>
        <v>-10900</v>
      </c>
      <c r="E67" s="300">
        <f t="shared" si="12"/>
        <v>-8000</v>
      </c>
      <c r="F67" s="300">
        <f t="shared" si="12"/>
        <v>-7200</v>
      </c>
      <c r="G67" s="300">
        <f t="shared" si="12"/>
        <v>-5900</v>
      </c>
      <c r="H67" s="300">
        <f t="shared" si="12"/>
        <v>6800</v>
      </c>
      <c r="I67" s="300">
        <f t="shared" si="12"/>
        <v>-2800</v>
      </c>
      <c r="J67" s="300">
        <f t="shared" si="12"/>
        <v>-5400</v>
      </c>
      <c r="K67" s="300">
        <f t="shared" si="12"/>
        <v>4700</v>
      </c>
      <c r="L67" s="300">
        <f t="shared" si="12"/>
        <v>-1300</v>
      </c>
    </row>
    <row r="68" spans="2:12" hidden="1">
      <c r="B68" s="1">
        <v>2000</v>
      </c>
      <c r="C68" s="300">
        <f t="shared" ref="C68:L68" si="13">C24-$B24</f>
        <v>-15700</v>
      </c>
      <c r="D68" s="300">
        <f t="shared" si="13"/>
        <v>-10900</v>
      </c>
      <c r="E68" s="300">
        <f t="shared" si="13"/>
        <v>-8700</v>
      </c>
      <c r="F68" s="300">
        <f t="shared" si="13"/>
        <v>-8200</v>
      </c>
      <c r="G68" s="300">
        <f t="shared" si="13"/>
        <v>-6200</v>
      </c>
      <c r="H68" s="300">
        <f t="shared" si="13"/>
        <v>7500</v>
      </c>
      <c r="I68" s="300">
        <f t="shared" si="13"/>
        <v>-3400</v>
      </c>
      <c r="J68" s="300">
        <f t="shared" si="13"/>
        <v>-6500</v>
      </c>
      <c r="K68" s="300">
        <f t="shared" si="13"/>
        <v>5500</v>
      </c>
      <c r="L68" s="300">
        <f t="shared" si="13"/>
        <v>-2200</v>
      </c>
    </row>
    <row r="69" spans="2:12" hidden="1">
      <c r="B69" s="1">
        <v>2001</v>
      </c>
      <c r="C69" s="300">
        <f t="shared" ref="C69:L69" si="14">C25-$B25</f>
        <v>-15700</v>
      </c>
      <c r="D69" s="300">
        <f t="shared" si="14"/>
        <v>-12900</v>
      </c>
      <c r="E69" s="300">
        <f t="shared" si="14"/>
        <v>-8700</v>
      </c>
      <c r="F69" s="300">
        <f t="shared" si="14"/>
        <v>-9100</v>
      </c>
      <c r="G69" s="300">
        <f t="shared" si="14"/>
        <v>-6500</v>
      </c>
      <c r="H69" s="300">
        <f t="shared" si="14"/>
        <v>7500</v>
      </c>
      <c r="I69" s="300">
        <f t="shared" si="14"/>
        <v>-2500</v>
      </c>
      <c r="J69" s="300">
        <f t="shared" si="14"/>
        <v>-4900</v>
      </c>
      <c r="K69" s="300">
        <f t="shared" si="14"/>
        <v>7300</v>
      </c>
      <c r="L69" s="300">
        <f t="shared" si="14"/>
        <v>-3000</v>
      </c>
    </row>
    <row r="70" spans="2:12" hidden="1">
      <c r="B70" s="1">
        <v>2002</v>
      </c>
      <c r="C70" s="300">
        <f t="shared" ref="C70:L70" si="15">C26-$B26</f>
        <v>-14200</v>
      </c>
      <c r="D70" s="300">
        <f t="shared" si="15"/>
        <v>-12100</v>
      </c>
      <c r="E70" s="300">
        <f t="shared" si="15"/>
        <v>-8000</v>
      </c>
      <c r="F70" s="300">
        <f t="shared" si="15"/>
        <v>-10300</v>
      </c>
      <c r="G70" s="300">
        <f t="shared" si="15"/>
        <v>-6000</v>
      </c>
      <c r="H70" s="300">
        <f t="shared" si="15"/>
        <v>7200</v>
      </c>
      <c r="I70" s="300">
        <f t="shared" si="15"/>
        <v>-3700</v>
      </c>
      <c r="J70" s="300">
        <f t="shared" si="15"/>
        <v>-6000</v>
      </c>
      <c r="K70" s="300">
        <f t="shared" si="15"/>
        <v>6500</v>
      </c>
      <c r="L70" s="300">
        <f t="shared" si="15"/>
        <v>-2500</v>
      </c>
    </row>
    <row r="71" spans="2:12" hidden="1">
      <c r="B71" s="1">
        <v>2003</v>
      </c>
      <c r="C71" s="300">
        <f t="shared" ref="C71:L71" si="16">C27-$B27</f>
        <v>-15400</v>
      </c>
      <c r="D71" s="300">
        <f t="shared" si="16"/>
        <v>-7600</v>
      </c>
      <c r="E71" s="300">
        <f t="shared" si="16"/>
        <v>-6900</v>
      </c>
      <c r="F71" s="300">
        <f t="shared" si="16"/>
        <v>-10000</v>
      </c>
      <c r="G71" s="300">
        <f t="shared" si="16"/>
        <v>-5600</v>
      </c>
      <c r="H71" s="300">
        <f t="shared" si="16"/>
        <v>7200</v>
      </c>
      <c r="I71" s="300">
        <f t="shared" si="16"/>
        <v>-3200</v>
      </c>
      <c r="J71" s="300">
        <f t="shared" si="16"/>
        <v>-6000</v>
      </c>
      <c r="K71" s="300">
        <f t="shared" si="16"/>
        <v>6400</v>
      </c>
      <c r="L71" s="300">
        <f t="shared" si="16"/>
        <v>-3100</v>
      </c>
    </row>
    <row r="72" spans="2:12" hidden="1">
      <c r="B72" s="1">
        <v>2004</v>
      </c>
      <c r="C72" s="300">
        <f t="shared" ref="C72:L72" si="17">C28-$B28</f>
        <v>-14600</v>
      </c>
      <c r="D72" s="300">
        <f t="shared" si="17"/>
        <v>-7900</v>
      </c>
      <c r="E72" s="300">
        <f t="shared" si="17"/>
        <v>-7300</v>
      </c>
      <c r="F72" s="300">
        <f t="shared" si="17"/>
        <v>-10100</v>
      </c>
      <c r="G72" s="300">
        <f t="shared" si="17"/>
        <v>-5600</v>
      </c>
      <c r="H72" s="300">
        <f t="shared" si="17"/>
        <v>6000</v>
      </c>
      <c r="I72" s="300">
        <f t="shared" si="17"/>
        <v>-3000</v>
      </c>
      <c r="J72" s="300">
        <f t="shared" si="17"/>
        <v>-6400</v>
      </c>
      <c r="K72" s="300">
        <f t="shared" si="17"/>
        <v>8300</v>
      </c>
      <c r="L72" s="300">
        <f t="shared" si="17"/>
        <v>-1800</v>
      </c>
    </row>
    <row r="73" spans="2:12" hidden="1">
      <c r="B73" s="1">
        <v>2005</v>
      </c>
      <c r="C73" s="300">
        <f t="shared" ref="C73:L73" si="18">C32-$B32</f>
        <v>0</v>
      </c>
      <c r="D73" s="300" t="e">
        <f t="shared" si="18"/>
        <v>#VALUE!</v>
      </c>
      <c r="E73" s="300">
        <f t="shared" si="18"/>
        <v>0</v>
      </c>
      <c r="F73" s="300">
        <f t="shared" si="18"/>
        <v>0</v>
      </c>
      <c r="G73" s="300">
        <f t="shared" si="18"/>
        <v>0</v>
      </c>
      <c r="H73" s="300">
        <f t="shared" si="18"/>
        <v>0</v>
      </c>
      <c r="I73" s="300">
        <f t="shared" si="18"/>
        <v>0</v>
      </c>
      <c r="J73" s="300">
        <f t="shared" si="18"/>
        <v>0</v>
      </c>
      <c r="K73" s="300">
        <f t="shared" si="18"/>
        <v>0</v>
      </c>
      <c r="L73" s="300">
        <f t="shared" si="18"/>
        <v>0</v>
      </c>
    </row>
    <row r="74" spans="2:12" hidden="1"/>
    <row r="75" spans="2:12" hidden="1">
      <c r="B75" s="1" t="s">
        <v>280</v>
      </c>
    </row>
    <row r="76" spans="2:12" hidden="1">
      <c r="B76" s="1">
        <v>1981</v>
      </c>
      <c r="C76" s="300">
        <f>C49^2</f>
        <v>49000000</v>
      </c>
      <c r="D76" s="300">
        <f t="shared" ref="D76:L76" si="19">D49^2</f>
        <v>275560000</v>
      </c>
      <c r="E76" s="300">
        <f t="shared" si="19"/>
        <v>98010000</v>
      </c>
      <c r="F76" s="300">
        <f t="shared" si="19"/>
        <v>190440000</v>
      </c>
      <c r="G76" s="300">
        <f t="shared" si="19"/>
        <v>16000000</v>
      </c>
      <c r="H76" s="300">
        <f t="shared" si="19"/>
        <v>19360000</v>
      </c>
      <c r="I76" s="300">
        <f t="shared" si="19"/>
        <v>30250000</v>
      </c>
      <c r="J76" s="300">
        <f t="shared" si="19"/>
        <v>14440000</v>
      </c>
      <c r="K76" s="300">
        <f t="shared" si="19"/>
        <v>72250000</v>
      </c>
      <c r="L76" s="300">
        <f t="shared" si="19"/>
        <v>20250000</v>
      </c>
    </row>
    <row r="77" spans="2:12" hidden="1">
      <c r="B77" s="1">
        <v>1982</v>
      </c>
      <c r="C77" s="300">
        <f t="shared" ref="C77:L92" si="20">C50^2</f>
        <v>88360000</v>
      </c>
      <c r="D77" s="300">
        <f t="shared" si="20"/>
        <v>166410000</v>
      </c>
      <c r="E77" s="300">
        <f t="shared" si="20"/>
        <v>96040000</v>
      </c>
      <c r="F77" s="300">
        <f t="shared" si="20"/>
        <v>166410000</v>
      </c>
      <c r="G77" s="300">
        <f t="shared" si="20"/>
        <v>21160000</v>
      </c>
      <c r="H77" s="300">
        <f t="shared" si="20"/>
        <v>11560000</v>
      </c>
      <c r="I77" s="300">
        <f t="shared" si="20"/>
        <v>21160000</v>
      </c>
      <c r="J77" s="300">
        <f t="shared" si="20"/>
        <v>9000000</v>
      </c>
      <c r="K77" s="300">
        <f t="shared" si="20"/>
        <v>98010000</v>
      </c>
      <c r="L77" s="300">
        <f t="shared" si="20"/>
        <v>11560000</v>
      </c>
    </row>
    <row r="78" spans="2:12" hidden="1">
      <c r="B78" s="1">
        <v>1983</v>
      </c>
      <c r="C78" s="300">
        <f t="shared" si="20"/>
        <v>196000000</v>
      </c>
      <c r="D78" s="300">
        <f t="shared" si="20"/>
        <v>136890000</v>
      </c>
      <c r="E78" s="300">
        <f t="shared" si="20"/>
        <v>106090000</v>
      </c>
      <c r="F78" s="300">
        <f t="shared" si="20"/>
        <v>198810000</v>
      </c>
      <c r="G78" s="300">
        <f t="shared" si="20"/>
        <v>15210000</v>
      </c>
      <c r="H78" s="300">
        <f t="shared" si="20"/>
        <v>15210000</v>
      </c>
      <c r="I78" s="300">
        <f t="shared" si="20"/>
        <v>16000000</v>
      </c>
      <c r="J78" s="300">
        <f t="shared" si="20"/>
        <v>34810000</v>
      </c>
      <c r="K78" s="300">
        <f t="shared" si="20"/>
        <v>31360000</v>
      </c>
      <c r="L78" s="300">
        <f t="shared" si="20"/>
        <v>6250000</v>
      </c>
    </row>
    <row r="79" spans="2:12" hidden="1">
      <c r="B79" s="1">
        <v>1984</v>
      </c>
      <c r="C79" s="300">
        <f t="shared" si="20"/>
        <v>193210000</v>
      </c>
      <c r="D79" s="300">
        <f t="shared" si="20"/>
        <v>163840000</v>
      </c>
      <c r="E79" s="300">
        <f t="shared" si="20"/>
        <v>72250000</v>
      </c>
      <c r="F79" s="300">
        <f t="shared" si="20"/>
        <v>110250000</v>
      </c>
      <c r="G79" s="300">
        <f t="shared" si="20"/>
        <v>16810000</v>
      </c>
      <c r="H79" s="300">
        <f t="shared" si="20"/>
        <v>30250000</v>
      </c>
      <c r="I79" s="300">
        <f t="shared" si="20"/>
        <v>5290000</v>
      </c>
      <c r="J79" s="300">
        <f t="shared" si="20"/>
        <v>20250000</v>
      </c>
      <c r="K79" s="300">
        <f t="shared" si="20"/>
        <v>5760000</v>
      </c>
      <c r="L79" s="300">
        <f t="shared" si="20"/>
        <v>810000</v>
      </c>
    </row>
    <row r="80" spans="2:12" hidden="1">
      <c r="B80" s="1">
        <v>1985</v>
      </c>
      <c r="C80" s="300">
        <f t="shared" si="20"/>
        <v>231040000</v>
      </c>
      <c r="D80" s="300">
        <f t="shared" si="20"/>
        <v>231040000</v>
      </c>
      <c r="E80" s="300">
        <f t="shared" si="20"/>
        <v>62410000</v>
      </c>
      <c r="F80" s="300">
        <f t="shared" si="20"/>
        <v>121000000</v>
      </c>
      <c r="G80" s="300">
        <f t="shared" si="20"/>
        <v>16810000</v>
      </c>
      <c r="H80" s="300">
        <f t="shared" si="20"/>
        <v>42250000</v>
      </c>
      <c r="I80" s="300">
        <f t="shared" si="20"/>
        <v>18490000</v>
      </c>
      <c r="J80" s="300">
        <f t="shared" si="20"/>
        <v>27040000</v>
      </c>
      <c r="K80" s="300">
        <f t="shared" si="20"/>
        <v>18490000</v>
      </c>
      <c r="L80" s="300">
        <f t="shared" si="20"/>
        <v>3240000</v>
      </c>
    </row>
    <row r="81" spans="2:12" hidden="1">
      <c r="B81" s="1">
        <v>1986</v>
      </c>
      <c r="C81" s="300">
        <f t="shared" si="20"/>
        <v>309760000</v>
      </c>
      <c r="D81" s="300">
        <f t="shared" si="20"/>
        <v>161290000</v>
      </c>
      <c r="E81" s="300">
        <f t="shared" si="20"/>
        <v>75690000</v>
      </c>
      <c r="F81" s="300">
        <f t="shared" si="20"/>
        <v>102010000</v>
      </c>
      <c r="G81" s="300">
        <f t="shared" si="20"/>
        <v>23040000</v>
      </c>
      <c r="H81" s="300">
        <f t="shared" si="20"/>
        <v>56250000</v>
      </c>
      <c r="I81" s="300">
        <f t="shared" si="20"/>
        <v>16000000</v>
      </c>
      <c r="J81" s="300">
        <f t="shared" si="20"/>
        <v>70560000</v>
      </c>
      <c r="K81" s="300">
        <f t="shared" si="20"/>
        <v>7840000</v>
      </c>
      <c r="L81" s="300">
        <f t="shared" si="20"/>
        <v>640000</v>
      </c>
    </row>
    <row r="82" spans="2:12" hidden="1">
      <c r="B82" s="1">
        <v>1987</v>
      </c>
      <c r="C82" s="300">
        <f t="shared" si="20"/>
        <v>231040000</v>
      </c>
      <c r="D82" s="300">
        <f t="shared" si="20"/>
        <v>139240000</v>
      </c>
      <c r="E82" s="300">
        <f t="shared" si="20"/>
        <v>36000000</v>
      </c>
      <c r="F82" s="300">
        <f t="shared" si="20"/>
        <v>148840000</v>
      </c>
      <c r="G82" s="300">
        <f t="shared" si="20"/>
        <v>21160000</v>
      </c>
      <c r="H82" s="300">
        <f t="shared" si="20"/>
        <v>70560000</v>
      </c>
      <c r="I82" s="300">
        <f t="shared" si="20"/>
        <v>36000000</v>
      </c>
      <c r="J82" s="300">
        <f t="shared" si="20"/>
        <v>51840000</v>
      </c>
      <c r="K82" s="300">
        <f t="shared" si="20"/>
        <v>1960000</v>
      </c>
      <c r="L82" s="300">
        <f t="shared" si="20"/>
        <v>4410000</v>
      </c>
    </row>
    <row r="83" spans="2:12" hidden="1">
      <c r="B83" s="1">
        <v>1988</v>
      </c>
      <c r="C83" s="300">
        <f t="shared" si="20"/>
        <v>184960000</v>
      </c>
      <c r="D83" s="300">
        <f t="shared" si="20"/>
        <v>256000000</v>
      </c>
      <c r="E83" s="300">
        <f t="shared" si="20"/>
        <v>59290000</v>
      </c>
      <c r="F83" s="300">
        <f t="shared" si="20"/>
        <v>158760000</v>
      </c>
      <c r="G83" s="300">
        <f t="shared" si="20"/>
        <v>44890000</v>
      </c>
      <c r="H83" s="300">
        <f t="shared" si="20"/>
        <v>72250000</v>
      </c>
      <c r="I83" s="300">
        <f t="shared" si="20"/>
        <v>34810000</v>
      </c>
      <c r="J83" s="300">
        <f t="shared" si="20"/>
        <v>81000000</v>
      </c>
      <c r="K83" s="300">
        <f t="shared" si="20"/>
        <v>3240000</v>
      </c>
      <c r="L83" s="300">
        <f t="shared" si="20"/>
        <v>160000</v>
      </c>
    </row>
    <row r="84" spans="2:12" hidden="1">
      <c r="B84" s="1">
        <v>1989</v>
      </c>
      <c r="C84" s="300">
        <f t="shared" si="20"/>
        <v>176890000</v>
      </c>
      <c r="D84" s="300">
        <f t="shared" si="20"/>
        <v>225000000</v>
      </c>
      <c r="E84" s="300">
        <f t="shared" si="20"/>
        <v>77440000</v>
      </c>
      <c r="F84" s="300">
        <f t="shared" si="20"/>
        <v>118810000</v>
      </c>
      <c r="G84" s="300">
        <f t="shared" si="20"/>
        <v>21160000</v>
      </c>
      <c r="H84" s="300">
        <f t="shared" si="20"/>
        <v>65610000</v>
      </c>
      <c r="I84" s="300">
        <f t="shared" si="20"/>
        <v>60840000</v>
      </c>
      <c r="J84" s="300">
        <f t="shared" si="20"/>
        <v>108160000</v>
      </c>
      <c r="K84" s="300">
        <f t="shared" si="20"/>
        <v>3610000</v>
      </c>
      <c r="L84" s="300">
        <f t="shared" si="20"/>
        <v>810000</v>
      </c>
    </row>
    <row r="85" spans="2:12" hidden="1">
      <c r="B85" s="1">
        <v>1990</v>
      </c>
      <c r="C85" s="300">
        <f t="shared" si="20"/>
        <v>193210000</v>
      </c>
      <c r="D85" s="300">
        <f t="shared" si="20"/>
        <v>129960000</v>
      </c>
      <c r="E85" s="300">
        <f t="shared" si="20"/>
        <v>50410000</v>
      </c>
      <c r="F85" s="300">
        <f t="shared" si="20"/>
        <v>73960000</v>
      </c>
      <c r="G85" s="300">
        <f t="shared" si="20"/>
        <v>50410000</v>
      </c>
      <c r="H85" s="300">
        <f t="shared" si="20"/>
        <v>72250000</v>
      </c>
      <c r="I85" s="300">
        <f t="shared" si="20"/>
        <v>18490000</v>
      </c>
      <c r="J85" s="300">
        <f t="shared" si="20"/>
        <v>65610000</v>
      </c>
      <c r="K85" s="300">
        <f t="shared" si="20"/>
        <v>7840000</v>
      </c>
      <c r="L85" s="300">
        <f t="shared" si="20"/>
        <v>10000</v>
      </c>
    </row>
    <row r="86" spans="2:12" hidden="1">
      <c r="B86" s="1">
        <v>1991</v>
      </c>
      <c r="C86" s="300">
        <f t="shared" si="20"/>
        <v>166410000</v>
      </c>
      <c r="D86" s="300">
        <f t="shared" si="20"/>
        <v>144000000</v>
      </c>
      <c r="E86" s="300">
        <f t="shared" si="20"/>
        <v>42250000</v>
      </c>
      <c r="F86" s="300">
        <f t="shared" si="20"/>
        <v>102010000</v>
      </c>
      <c r="G86" s="300">
        <f t="shared" si="20"/>
        <v>23040000</v>
      </c>
      <c r="H86" s="300">
        <f t="shared" si="20"/>
        <v>43560000</v>
      </c>
      <c r="I86" s="300">
        <f t="shared" si="20"/>
        <v>16810000</v>
      </c>
      <c r="J86" s="300">
        <f t="shared" si="20"/>
        <v>40960000</v>
      </c>
      <c r="K86" s="300">
        <f t="shared" si="20"/>
        <v>19360000</v>
      </c>
      <c r="L86" s="300">
        <f t="shared" si="20"/>
        <v>10000</v>
      </c>
    </row>
    <row r="87" spans="2:12" hidden="1">
      <c r="B87" s="1">
        <v>1992</v>
      </c>
      <c r="C87" s="300">
        <f t="shared" si="20"/>
        <v>234090000</v>
      </c>
      <c r="D87" s="300">
        <f t="shared" si="20"/>
        <v>102010000</v>
      </c>
      <c r="E87" s="300">
        <f t="shared" si="20"/>
        <v>33640000</v>
      </c>
      <c r="F87" s="300">
        <f t="shared" si="20"/>
        <v>82810000</v>
      </c>
      <c r="G87" s="300">
        <f t="shared" si="20"/>
        <v>29160000</v>
      </c>
      <c r="H87" s="300">
        <f t="shared" si="20"/>
        <v>53290000</v>
      </c>
      <c r="I87" s="300">
        <f t="shared" si="20"/>
        <v>26010000</v>
      </c>
      <c r="J87" s="300">
        <f t="shared" si="20"/>
        <v>31360000</v>
      </c>
      <c r="K87" s="300">
        <f t="shared" si="20"/>
        <v>250000</v>
      </c>
      <c r="L87" s="300">
        <f t="shared" si="20"/>
        <v>1440000</v>
      </c>
    </row>
    <row r="88" spans="2:12" hidden="1">
      <c r="B88" s="1">
        <v>1993</v>
      </c>
      <c r="C88" s="300">
        <f t="shared" si="20"/>
        <v>171610000</v>
      </c>
      <c r="D88" s="300">
        <f t="shared" si="20"/>
        <v>90250000</v>
      </c>
      <c r="E88" s="300">
        <f t="shared" si="20"/>
        <v>39690000</v>
      </c>
      <c r="F88" s="300">
        <f t="shared" si="20"/>
        <v>60840000</v>
      </c>
      <c r="G88" s="300">
        <f t="shared" si="20"/>
        <v>32490000</v>
      </c>
      <c r="H88" s="300">
        <f t="shared" si="20"/>
        <v>40960000</v>
      </c>
      <c r="I88" s="300">
        <f t="shared" si="20"/>
        <v>17640000</v>
      </c>
      <c r="J88" s="300">
        <f t="shared" si="20"/>
        <v>36000000</v>
      </c>
      <c r="K88" s="300">
        <f t="shared" si="20"/>
        <v>21160000</v>
      </c>
      <c r="L88" s="300">
        <f t="shared" si="20"/>
        <v>4000000</v>
      </c>
    </row>
    <row r="89" spans="2:12" hidden="1">
      <c r="B89" s="1">
        <v>1994</v>
      </c>
      <c r="C89" s="300">
        <f t="shared" si="20"/>
        <v>125440000</v>
      </c>
      <c r="D89" s="300">
        <f t="shared" si="20"/>
        <v>79210000</v>
      </c>
      <c r="E89" s="300">
        <f t="shared" si="20"/>
        <v>77440000</v>
      </c>
      <c r="F89" s="300">
        <f t="shared" si="20"/>
        <v>70560000</v>
      </c>
      <c r="G89" s="300">
        <f t="shared" si="20"/>
        <v>31360000</v>
      </c>
      <c r="H89" s="300">
        <f t="shared" si="20"/>
        <v>28090000</v>
      </c>
      <c r="I89" s="300">
        <f t="shared" si="20"/>
        <v>9000000</v>
      </c>
      <c r="J89" s="300">
        <f t="shared" si="20"/>
        <v>30250000</v>
      </c>
      <c r="K89" s="300">
        <f t="shared" si="20"/>
        <v>27040000</v>
      </c>
      <c r="L89" s="300">
        <f t="shared" si="20"/>
        <v>1210000</v>
      </c>
    </row>
    <row r="90" spans="2:12" hidden="1">
      <c r="B90" s="1">
        <v>1995</v>
      </c>
      <c r="C90" s="300">
        <f t="shared" si="20"/>
        <v>166410000</v>
      </c>
      <c r="D90" s="300">
        <f t="shared" si="20"/>
        <v>65610000</v>
      </c>
      <c r="E90" s="300">
        <f t="shared" si="20"/>
        <v>81000000</v>
      </c>
      <c r="F90" s="300">
        <f t="shared" si="20"/>
        <v>75690000</v>
      </c>
      <c r="G90" s="300">
        <f t="shared" si="20"/>
        <v>37210000</v>
      </c>
      <c r="H90" s="300">
        <f t="shared" si="20"/>
        <v>37210000</v>
      </c>
      <c r="I90" s="300">
        <f t="shared" si="20"/>
        <v>2890000</v>
      </c>
      <c r="J90" s="300">
        <f t="shared" si="20"/>
        <v>25000000</v>
      </c>
      <c r="K90" s="300">
        <f t="shared" si="20"/>
        <v>14440000</v>
      </c>
      <c r="L90" s="300">
        <f t="shared" si="20"/>
        <v>810000</v>
      </c>
    </row>
    <row r="91" spans="2:12" hidden="1">
      <c r="B91" s="1">
        <v>1996</v>
      </c>
      <c r="C91" s="300">
        <f t="shared" si="20"/>
        <v>163840000</v>
      </c>
      <c r="D91" s="300">
        <f t="shared" si="20"/>
        <v>37210000</v>
      </c>
      <c r="E91" s="300">
        <f t="shared" si="20"/>
        <v>60840000</v>
      </c>
      <c r="F91" s="300">
        <f t="shared" si="20"/>
        <v>62410000</v>
      </c>
      <c r="G91" s="300">
        <f t="shared" si="20"/>
        <v>29160000</v>
      </c>
      <c r="H91" s="300">
        <f t="shared" si="20"/>
        <v>28090000</v>
      </c>
      <c r="I91" s="300">
        <f t="shared" si="20"/>
        <v>2890000</v>
      </c>
      <c r="J91" s="300">
        <f t="shared" si="20"/>
        <v>17640000</v>
      </c>
      <c r="K91" s="300">
        <f t="shared" si="20"/>
        <v>14440000</v>
      </c>
      <c r="L91" s="300">
        <f t="shared" si="20"/>
        <v>10000</v>
      </c>
    </row>
    <row r="92" spans="2:12" hidden="1">
      <c r="B92" s="1">
        <v>1997</v>
      </c>
      <c r="C92" s="300">
        <f t="shared" si="20"/>
        <v>158760000</v>
      </c>
      <c r="D92" s="300">
        <f t="shared" si="20"/>
        <v>77440000</v>
      </c>
      <c r="E92" s="300">
        <f t="shared" si="20"/>
        <v>64000000</v>
      </c>
      <c r="F92" s="300">
        <f t="shared" si="20"/>
        <v>64000000</v>
      </c>
      <c r="G92" s="300">
        <f t="shared" si="20"/>
        <v>31360000</v>
      </c>
      <c r="H92" s="300">
        <f t="shared" si="20"/>
        <v>31360000</v>
      </c>
      <c r="I92" s="300">
        <f t="shared" si="20"/>
        <v>2560000</v>
      </c>
      <c r="J92" s="300">
        <f t="shared" si="20"/>
        <v>12960000</v>
      </c>
      <c r="K92" s="300">
        <f t="shared" si="20"/>
        <v>49000000</v>
      </c>
      <c r="L92" s="300">
        <f t="shared" si="20"/>
        <v>490000</v>
      </c>
    </row>
    <row r="93" spans="2:12" hidden="1">
      <c r="B93" s="1">
        <v>1998</v>
      </c>
      <c r="C93" s="300">
        <f t="shared" ref="C93:L100" si="21">C66^2</f>
        <v>153760000</v>
      </c>
      <c r="D93" s="300">
        <f t="shared" si="21"/>
        <v>77440000</v>
      </c>
      <c r="E93" s="300">
        <f t="shared" si="21"/>
        <v>56250000</v>
      </c>
      <c r="F93" s="300">
        <f t="shared" si="21"/>
        <v>56250000</v>
      </c>
      <c r="G93" s="300">
        <f t="shared" si="21"/>
        <v>32490000</v>
      </c>
      <c r="H93" s="300">
        <f t="shared" si="21"/>
        <v>53290000</v>
      </c>
      <c r="I93" s="300">
        <f t="shared" si="21"/>
        <v>1210000</v>
      </c>
      <c r="J93" s="300">
        <f t="shared" si="21"/>
        <v>30250000</v>
      </c>
      <c r="K93" s="300">
        <f t="shared" si="21"/>
        <v>27040000</v>
      </c>
      <c r="L93" s="300">
        <f t="shared" si="21"/>
        <v>640000</v>
      </c>
    </row>
    <row r="94" spans="2:12" hidden="1">
      <c r="B94" s="1">
        <v>1999</v>
      </c>
      <c r="C94" s="300">
        <f t="shared" si="21"/>
        <v>207360000</v>
      </c>
      <c r="D94" s="300">
        <f t="shared" si="21"/>
        <v>118810000</v>
      </c>
      <c r="E94" s="300">
        <f t="shared" si="21"/>
        <v>64000000</v>
      </c>
      <c r="F94" s="300">
        <f t="shared" si="21"/>
        <v>51840000</v>
      </c>
      <c r="G94" s="300">
        <f t="shared" si="21"/>
        <v>34810000</v>
      </c>
      <c r="H94" s="300">
        <f t="shared" si="21"/>
        <v>46240000</v>
      </c>
      <c r="I94" s="300">
        <f t="shared" si="21"/>
        <v>7840000</v>
      </c>
      <c r="J94" s="300">
        <f t="shared" si="21"/>
        <v>29160000</v>
      </c>
      <c r="K94" s="300">
        <f t="shared" si="21"/>
        <v>22090000</v>
      </c>
      <c r="L94" s="300">
        <f t="shared" si="21"/>
        <v>1690000</v>
      </c>
    </row>
    <row r="95" spans="2:12" hidden="1">
      <c r="B95" s="1">
        <v>2000</v>
      </c>
      <c r="C95" s="300">
        <f t="shared" si="21"/>
        <v>246490000</v>
      </c>
      <c r="D95" s="300">
        <f t="shared" si="21"/>
        <v>118810000</v>
      </c>
      <c r="E95" s="300">
        <f t="shared" si="21"/>
        <v>75690000</v>
      </c>
      <c r="F95" s="300">
        <f t="shared" si="21"/>
        <v>67240000</v>
      </c>
      <c r="G95" s="300">
        <f t="shared" si="21"/>
        <v>38440000</v>
      </c>
      <c r="H95" s="300">
        <f t="shared" si="21"/>
        <v>56250000</v>
      </c>
      <c r="I95" s="300">
        <f t="shared" si="21"/>
        <v>11560000</v>
      </c>
      <c r="J95" s="300">
        <f t="shared" si="21"/>
        <v>42250000</v>
      </c>
      <c r="K95" s="300">
        <f t="shared" si="21"/>
        <v>30250000</v>
      </c>
      <c r="L95" s="300">
        <f t="shared" si="21"/>
        <v>4840000</v>
      </c>
    </row>
    <row r="96" spans="2:12" hidden="1">
      <c r="B96" s="1">
        <v>2001</v>
      </c>
      <c r="C96" s="300">
        <f t="shared" si="21"/>
        <v>246490000</v>
      </c>
      <c r="D96" s="300">
        <f t="shared" si="21"/>
        <v>166410000</v>
      </c>
      <c r="E96" s="300">
        <f t="shared" si="21"/>
        <v>75690000</v>
      </c>
      <c r="F96" s="300">
        <f t="shared" si="21"/>
        <v>82810000</v>
      </c>
      <c r="G96" s="300">
        <f t="shared" si="21"/>
        <v>42250000</v>
      </c>
      <c r="H96" s="300">
        <f t="shared" si="21"/>
        <v>56250000</v>
      </c>
      <c r="I96" s="300">
        <f t="shared" si="21"/>
        <v>6250000</v>
      </c>
      <c r="J96" s="300">
        <f t="shared" si="21"/>
        <v>24010000</v>
      </c>
      <c r="K96" s="300">
        <f t="shared" si="21"/>
        <v>53290000</v>
      </c>
      <c r="L96" s="300">
        <f t="shared" si="21"/>
        <v>9000000</v>
      </c>
    </row>
    <row r="97" spans="2:13" hidden="1">
      <c r="B97" s="1">
        <v>2002</v>
      </c>
      <c r="C97" s="300">
        <f t="shared" si="21"/>
        <v>201640000</v>
      </c>
      <c r="D97" s="300">
        <f t="shared" si="21"/>
        <v>146410000</v>
      </c>
      <c r="E97" s="300">
        <f t="shared" si="21"/>
        <v>64000000</v>
      </c>
      <c r="F97" s="300">
        <f t="shared" si="21"/>
        <v>106090000</v>
      </c>
      <c r="G97" s="300">
        <f t="shared" si="21"/>
        <v>36000000</v>
      </c>
      <c r="H97" s="300">
        <f t="shared" si="21"/>
        <v>51840000</v>
      </c>
      <c r="I97" s="300">
        <f t="shared" si="21"/>
        <v>13690000</v>
      </c>
      <c r="J97" s="300">
        <f t="shared" si="21"/>
        <v>36000000</v>
      </c>
      <c r="K97" s="300">
        <f t="shared" si="21"/>
        <v>42250000</v>
      </c>
      <c r="L97" s="300">
        <f t="shared" si="21"/>
        <v>6250000</v>
      </c>
    </row>
    <row r="98" spans="2:13" hidden="1">
      <c r="B98" s="1">
        <v>2003</v>
      </c>
      <c r="C98" s="300">
        <f t="shared" si="21"/>
        <v>237160000</v>
      </c>
      <c r="D98" s="300">
        <f t="shared" si="21"/>
        <v>57760000</v>
      </c>
      <c r="E98" s="300">
        <f t="shared" si="21"/>
        <v>47610000</v>
      </c>
      <c r="F98" s="300">
        <f t="shared" si="21"/>
        <v>100000000</v>
      </c>
      <c r="G98" s="300">
        <f t="shared" si="21"/>
        <v>31360000</v>
      </c>
      <c r="H98" s="300">
        <f t="shared" si="21"/>
        <v>51840000</v>
      </c>
      <c r="I98" s="300">
        <f t="shared" si="21"/>
        <v>10240000</v>
      </c>
      <c r="J98" s="300">
        <f t="shared" si="21"/>
        <v>36000000</v>
      </c>
      <c r="K98" s="300">
        <f t="shared" si="21"/>
        <v>40960000</v>
      </c>
      <c r="L98" s="300">
        <f t="shared" si="21"/>
        <v>9610000</v>
      </c>
    </row>
    <row r="99" spans="2:13" hidden="1">
      <c r="B99" s="1">
        <v>2004</v>
      </c>
      <c r="C99" s="300">
        <f t="shared" si="21"/>
        <v>213160000</v>
      </c>
      <c r="D99" s="300">
        <f t="shared" si="21"/>
        <v>62410000</v>
      </c>
      <c r="E99" s="300">
        <f t="shared" si="21"/>
        <v>53290000</v>
      </c>
      <c r="F99" s="300">
        <f t="shared" si="21"/>
        <v>102010000</v>
      </c>
      <c r="G99" s="300">
        <f t="shared" si="21"/>
        <v>31360000</v>
      </c>
      <c r="H99" s="300">
        <f t="shared" si="21"/>
        <v>36000000</v>
      </c>
      <c r="I99" s="300">
        <f t="shared" si="21"/>
        <v>9000000</v>
      </c>
      <c r="J99" s="300">
        <f t="shared" si="21"/>
        <v>40960000</v>
      </c>
      <c r="K99" s="300">
        <f t="shared" si="21"/>
        <v>68890000</v>
      </c>
      <c r="L99" s="300">
        <f t="shared" si="21"/>
        <v>3240000</v>
      </c>
    </row>
    <row r="100" spans="2:13" hidden="1">
      <c r="B100" s="1">
        <v>2005</v>
      </c>
      <c r="C100" s="300">
        <f t="shared" si="21"/>
        <v>0</v>
      </c>
      <c r="D100" s="300" t="e">
        <f t="shared" si="21"/>
        <v>#VALUE!</v>
      </c>
      <c r="E100" s="300">
        <f t="shared" si="21"/>
        <v>0</v>
      </c>
      <c r="F100" s="300">
        <f t="shared" si="21"/>
        <v>0</v>
      </c>
      <c r="G100" s="300">
        <f t="shared" si="21"/>
        <v>0</v>
      </c>
      <c r="H100" s="300">
        <f t="shared" si="21"/>
        <v>0</v>
      </c>
      <c r="I100" s="300">
        <f t="shared" si="21"/>
        <v>0</v>
      </c>
      <c r="J100" s="300">
        <f t="shared" si="21"/>
        <v>0</v>
      </c>
      <c r="K100" s="300">
        <f t="shared" si="21"/>
        <v>0</v>
      </c>
      <c r="L100" s="300">
        <f t="shared" si="21"/>
        <v>0</v>
      </c>
    </row>
    <row r="101" spans="2:13">
      <c r="B101" s="961"/>
      <c r="C101" s="961"/>
      <c r="D101" s="961"/>
      <c r="E101" s="961"/>
      <c r="F101" s="961"/>
      <c r="G101" s="961"/>
      <c r="H101" s="961"/>
      <c r="I101" s="961"/>
      <c r="J101" s="961"/>
      <c r="K101" s="961"/>
      <c r="L101" s="961"/>
      <c r="M101" s="961"/>
    </row>
    <row r="102" spans="2:13">
      <c r="B102" s="961"/>
      <c r="C102" s="961"/>
      <c r="D102" s="961"/>
      <c r="E102" s="961"/>
      <c r="F102" s="961"/>
      <c r="G102" s="961"/>
      <c r="H102" s="961"/>
      <c r="I102" s="961"/>
      <c r="J102" s="961"/>
      <c r="K102" s="961"/>
      <c r="L102" s="961"/>
      <c r="M102" s="961"/>
    </row>
    <row r="103" spans="2:13">
      <c r="B103" s="961"/>
      <c r="C103" s="961"/>
      <c r="D103" s="961"/>
      <c r="E103" s="961"/>
      <c r="F103" s="961"/>
      <c r="G103" s="961"/>
      <c r="H103" s="961"/>
      <c r="I103" s="961"/>
      <c r="J103" s="961"/>
      <c r="K103" s="961"/>
      <c r="L103" s="961"/>
      <c r="M103" s="961"/>
    </row>
    <row r="104" spans="2:13">
      <c r="B104" s="961"/>
      <c r="C104" s="961"/>
      <c r="D104" s="961"/>
      <c r="E104" s="961"/>
      <c r="F104" s="961"/>
      <c r="G104" s="961"/>
      <c r="H104" s="961"/>
      <c r="I104" s="961"/>
      <c r="J104" s="961"/>
      <c r="K104" s="961"/>
      <c r="L104" s="961"/>
      <c r="M104" s="961"/>
    </row>
    <row r="105" spans="2:13">
      <c r="B105" s="961"/>
      <c r="C105" s="961"/>
      <c r="D105" s="961"/>
      <c r="E105" s="961"/>
      <c r="F105" s="961"/>
      <c r="G105" s="961"/>
      <c r="H105" s="961"/>
      <c r="I105" s="961"/>
      <c r="J105" s="961"/>
      <c r="K105" s="961"/>
      <c r="L105" s="961"/>
      <c r="M105" s="961"/>
    </row>
    <row r="106" spans="2:13">
      <c r="B106" s="961"/>
      <c r="C106" s="961"/>
      <c r="D106" s="961"/>
      <c r="E106" s="961"/>
      <c r="F106" s="961"/>
      <c r="G106" s="961"/>
      <c r="H106" s="961"/>
      <c r="I106" s="961"/>
      <c r="J106" s="961"/>
      <c r="K106" s="961"/>
      <c r="L106" s="961"/>
      <c r="M106" s="961"/>
    </row>
    <row r="107" spans="2:13">
      <c r="B107" s="961"/>
      <c r="C107" s="961"/>
      <c r="D107" s="961"/>
      <c r="E107" s="961"/>
      <c r="F107" s="961"/>
      <c r="G107" s="961"/>
      <c r="H107" s="961"/>
      <c r="I107" s="961"/>
      <c r="J107" s="961"/>
      <c r="K107" s="961"/>
      <c r="L107" s="961"/>
      <c r="M107" s="961"/>
    </row>
    <row r="108" spans="2:13">
      <c r="B108" s="961"/>
      <c r="C108" s="961"/>
      <c r="D108" s="961"/>
      <c r="E108" s="961"/>
      <c r="F108" s="961"/>
      <c r="G108" s="961"/>
      <c r="H108" s="961"/>
      <c r="I108" s="961"/>
      <c r="J108" s="961"/>
      <c r="K108" s="961"/>
      <c r="L108" s="961"/>
      <c r="M108" s="961"/>
    </row>
    <row r="109" spans="2:13">
      <c r="B109" s="961"/>
      <c r="C109" s="961"/>
      <c r="D109" s="961"/>
      <c r="E109" s="961"/>
      <c r="F109" s="961"/>
      <c r="G109" s="961"/>
      <c r="H109" s="961"/>
      <c r="I109" s="961"/>
      <c r="J109" s="961"/>
      <c r="K109" s="961"/>
      <c r="L109" s="961"/>
      <c r="M109" s="961"/>
    </row>
    <row r="110" spans="2:13">
      <c r="B110" s="961"/>
      <c r="C110" s="961"/>
      <c r="D110" s="961"/>
      <c r="E110" s="961"/>
      <c r="F110" s="961"/>
      <c r="G110" s="961"/>
      <c r="H110" s="961"/>
      <c r="I110" s="961"/>
      <c r="J110" s="961"/>
      <c r="K110" s="961"/>
      <c r="L110" s="961"/>
      <c r="M110" s="961"/>
    </row>
    <row r="111" spans="2:13">
      <c r="B111" s="961"/>
      <c r="C111" s="961"/>
      <c r="D111" s="961"/>
      <c r="E111" s="961"/>
      <c r="F111" s="961"/>
      <c r="G111" s="961"/>
      <c r="H111" s="961"/>
      <c r="I111" s="961"/>
      <c r="J111" s="961"/>
      <c r="K111" s="961"/>
      <c r="L111" s="961"/>
      <c r="M111" s="961"/>
    </row>
    <row r="112" spans="2:13">
      <c r="B112" s="961"/>
      <c r="C112" s="961"/>
      <c r="D112" s="961"/>
      <c r="E112" s="961"/>
      <c r="F112" s="961"/>
      <c r="G112" s="961"/>
      <c r="H112" s="961"/>
      <c r="I112" s="961"/>
      <c r="J112" s="961"/>
      <c r="K112" s="961"/>
      <c r="L112" s="961"/>
      <c r="M112" s="961"/>
    </row>
    <row r="113" spans="2:13">
      <c r="B113" s="961"/>
      <c r="C113" s="961"/>
      <c r="D113" s="961"/>
      <c r="E113" s="961"/>
      <c r="F113" s="961"/>
      <c r="G113" s="961"/>
      <c r="H113" s="961"/>
      <c r="I113" s="961"/>
      <c r="J113" s="961"/>
      <c r="K113" s="961"/>
      <c r="L113" s="961"/>
      <c r="M113" s="961"/>
    </row>
    <row r="114" spans="2:13">
      <c r="B114" s="961"/>
      <c r="C114" s="961"/>
      <c r="D114" s="961"/>
      <c r="E114" s="961"/>
      <c r="F114" s="961"/>
      <c r="G114" s="961"/>
      <c r="H114" s="961"/>
      <c r="I114" s="961"/>
      <c r="J114" s="961"/>
      <c r="K114" s="961"/>
      <c r="L114" s="961"/>
      <c r="M114" s="961"/>
    </row>
    <row r="115" spans="2:13">
      <c r="B115" s="961"/>
      <c r="C115" s="961"/>
      <c r="D115" s="961"/>
      <c r="E115" s="961"/>
      <c r="F115" s="961"/>
      <c r="G115" s="961"/>
      <c r="H115" s="961"/>
      <c r="I115" s="961"/>
      <c r="J115" s="961"/>
      <c r="K115" s="961"/>
      <c r="L115" s="961"/>
      <c r="M115" s="961"/>
    </row>
    <row r="116" spans="2:13">
      <c r="B116" s="961"/>
      <c r="C116" s="961"/>
      <c r="D116" s="961"/>
      <c r="E116" s="961"/>
      <c r="F116" s="961"/>
      <c r="G116" s="961"/>
      <c r="H116" s="961"/>
      <c r="I116" s="961"/>
      <c r="J116" s="961"/>
      <c r="K116" s="961"/>
      <c r="L116" s="961"/>
      <c r="M116" s="961"/>
    </row>
    <row r="117" spans="2:13">
      <c r="B117" s="961"/>
      <c r="C117" s="961"/>
      <c r="D117" s="961"/>
      <c r="E117" s="961"/>
      <c r="F117" s="961"/>
      <c r="G117" s="961"/>
      <c r="H117" s="961"/>
      <c r="I117" s="961"/>
      <c r="J117" s="961"/>
      <c r="K117" s="961"/>
      <c r="L117" s="961"/>
      <c r="M117" s="961"/>
    </row>
    <row r="118" spans="2:13">
      <c r="B118" s="961"/>
      <c r="C118" s="961"/>
      <c r="D118" s="961"/>
      <c r="E118" s="961"/>
      <c r="F118" s="961"/>
      <c r="G118" s="961"/>
      <c r="H118" s="961"/>
      <c r="I118" s="961"/>
      <c r="J118" s="961"/>
      <c r="K118" s="961"/>
      <c r="L118" s="961"/>
      <c r="M118" s="961"/>
    </row>
    <row r="119" spans="2:13">
      <c r="B119" s="961"/>
      <c r="C119" s="961"/>
      <c r="D119" s="961"/>
      <c r="E119" s="961"/>
      <c r="F119" s="961"/>
      <c r="G119" s="961"/>
      <c r="H119" s="961"/>
      <c r="I119" s="961"/>
      <c r="J119" s="961"/>
      <c r="K119" s="961"/>
      <c r="L119" s="961"/>
      <c r="M119" s="961"/>
    </row>
    <row r="120" spans="2:13">
      <c r="B120" s="961"/>
      <c r="C120" s="961"/>
      <c r="D120" s="961"/>
      <c r="E120" s="961"/>
      <c r="F120" s="961"/>
      <c r="G120" s="961"/>
      <c r="H120" s="961"/>
      <c r="I120" s="961"/>
      <c r="J120" s="961"/>
      <c r="K120" s="961"/>
      <c r="L120" s="961"/>
      <c r="M120" s="961"/>
    </row>
    <row r="121" spans="2:13">
      <c r="B121" s="961"/>
      <c r="C121" s="961"/>
      <c r="D121" s="961"/>
      <c r="E121" s="961"/>
      <c r="F121" s="961"/>
      <c r="G121" s="961"/>
      <c r="H121" s="961"/>
      <c r="I121" s="961"/>
      <c r="J121" s="961"/>
      <c r="K121" s="961"/>
      <c r="L121" s="961"/>
      <c r="M121" s="961"/>
    </row>
    <row r="122" spans="2:13">
      <c r="B122" s="961"/>
      <c r="C122" s="961"/>
      <c r="D122" s="961"/>
      <c r="E122" s="961"/>
      <c r="F122" s="961"/>
      <c r="G122" s="961"/>
      <c r="H122" s="961"/>
      <c r="I122" s="961"/>
      <c r="J122" s="961"/>
      <c r="K122" s="961"/>
      <c r="L122" s="961"/>
      <c r="M122" s="961"/>
    </row>
    <row r="123" spans="2:13">
      <c r="B123" s="961"/>
      <c r="C123" s="961"/>
      <c r="D123" s="961"/>
      <c r="E123" s="961"/>
      <c r="F123" s="961"/>
      <c r="G123" s="961"/>
      <c r="H123" s="961"/>
      <c r="I123" s="961"/>
      <c r="J123" s="961"/>
      <c r="K123" s="961"/>
      <c r="L123" s="961"/>
      <c r="M123" s="961"/>
    </row>
    <row r="124" spans="2:13">
      <c r="B124" s="961"/>
      <c r="C124" s="961"/>
      <c r="D124" s="961"/>
      <c r="E124" s="961"/>
      <c r="F124" s="961"/>
      <c r="G124" s="961"/>
      <c r="H124" s="961"/>
      <c r="I124" s="961"/>
      <c r="J124" s="961"/>
      <c r="K124" s="961"/>
      <c r="L124" s="961"/>
      <c r="M124" s="961"/>
    </row>
    <row r="125" spans="2:13">
      <c r="B125" s="961"/>
      <c r="C125" s="961"/>
      <c r="D125" s="961"/>
      <c r="E125" s="961"/>
      <c r="F125" s="961"/>
      <c r="G125" s="961"/>
      <c r="H125" s="961"/>
      <c r="I125" s="961"/>
      <c r="J125" s="961"/>
      <c r="K125" s="961"/>
      <c r="L125" s="961"/>
      <c r="M125" s="961"/>
    </row>
    <row r="126" spans="2:13">
      <c r="B126" s="961"/>
      <c r="C126" s="961"/>
      <c r="D126" s="961"/>
      <c r="E126" s="961"/>
      <c r="F126" s="961"/>
      <c r="G126" s="961"/>
      <c r="H126" s="961"/>
      <c r="I126" s="961"/>
      <c r="J126" s="961"/>
      <c r="K126" s="961"/>
      <c r="L126" s="961"/>
      <c r="M126" s="961"/>
    </row>
    <row r="127" spans="2:13">
      <c r="B127" s="961"/>
      <c r="C127" s="961"/>
      <c r="D127" s="961"/>
      <c r="E127" s="961"/>
      <c r="F127" s="961"/>
      <c r="G127" s="961"/>
      <c r="H127" s="961"/>
      <c r="I127" s="961"/>
      <c r="J127" s="961"/>
      <c r="K127" s="961"/>
      <c r="L127" s="961"/>
      <c r="M127" s="961"/>
    </row>
    <row r="128" spans="2:13">
      <c r="B128" s="961"/>
      <c r="C128" s="961"/>
      <c r="D128" s="961"/>
      <c r="E128" s="961"/>
      <c r="F128" s="961"/>
      <c r="G128" s="961"/>
      <c r="H128" s="961"/>
      <c r="I128" s="961"/>
      <c r="J128" s="961"/>
      <c r="K128" s="961"/>
      <c r="L128" s="961"/>
      <c r="M128" s="961"/>
    </row>
    <row r="129" spans="2:13">
      <c r="B129" s="961"/>
      <c r="C129" s="961"/>
      <c r="D129" s="961"/>
      <c r="E129" s="961"/>
      <c r="F129" s="961"/>
      <c r="G129" s="961"/>
      <c r="H129" s="961"/>
      <c r="I129" s="961"/>
      <c r="J129" s="961"/>
      <c r="K129" s="961"/>
      <c r="L129" s="961"/>
      <c r="M129" s="961"/>
    </row>
  </sheetData>
  <mergeCells count="14">
    <mergeCell ref="F3:F4"/>
    <mergeCell ref="G3:G4"/>
    <mergeCell ref="H3:H4"/>
    <mergeCell ref="I3:I4"/>
    <mergeCell ref="A44:L44"/>
    <mergeCell ref="A43:L43"/>
    <mergeCell ref="A40:L40"/>
    <mergeCell ref="B3:B4"/>
    <mergeCell ref="C3:C4"/>
    <mergeCell ref="D3:D4"/>
    <mergeCell ref="E3:E4"/>
    <mergeCell ref="J3:J4"/>
    <mergeCell ref="K3:K4"/>
    <mergeCell ref="L3:L4"/>
  </mergeCells>
  <phoneticPr fontId="35" type="noConversion"/>
  <pageMargins left="0.74803149606299213" right="0.74803149606299213" top="0.98425196850393704" bottom="0.98425196850393704" header="0.51181102362204722" footer="0.51181102362204722"/>
  <pageSetup scale="74" orientation="landscape" horizontalDpi="300" verticalDpi="300" r:id="rId1"/>
  <headerFooter alignWithMargins="0"/>
</worksheet>
</file>

<file path=xl/worksheets/sheet47.xml><?xml version="1.0" encoding="utf-8"?>
<worksheet xmlns="http://schemas.openxmlformats.org/spreadsheetml/2006/main" xmlns:r="http://schemas.openxmlformats.org/officeDocument/2006/relationships">
  <sheetPr codeName="Sheet29"/>
  <dimension ref="A1:Q129"/>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3" width="8.85546875" style="1" customWidth="1"/>
    <col min="14" max="15" width="8.85546875" style="1" hidden="1" customWidth="1"/>
    <col min="16" max="17" width="9.42578125" style="1" hidden="1" customWidth="1"/>
    <col min="18" max="16384" width="9.140625" style="1"/>
  </cols>
  <sheetData>
    <row r="1" spans="1:17" ht="15.75">
      <c r="A1" s="4"/>
      <c r="B1" s="3" t="s">
        <v>2131</v>
      </c>
    </row>
    <row r="2" spans="1:17">
      <c r="A2" s="4"/>
      <c r="B2" s="4"/>
    </row>
    <row r="3" spans="1:17" ht="25.5">
      <c r="A3" s="2"/>
      <c r="B3" s="1166"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7"/>
      <c r="C4" s="1165"/>
      <c r="D4" s="1165"/>
      <c r="E4" s="1165"/>
      <c r="F4" s="1165"/>
      <c r="G4" s="1165"/>
      <c r="H4" s="1165"/>
      <c r="I4" s="1165"/>
      <c r="J4" s="1165"/>
      <c r="K4" s="1165"/>
      <c r="L4" s="1165"/>
      <c r="N4" s="645" t="s">
        <v>282</v>
      </c>
      <c r="O4" s="645" t="s">
        <v>282</v>
      </c>
      <c r="P4" s="645" t="s">
        <v>281</v>
      </c>
      <c r="Q4" s="645" t="s">
        <v>281</v>
      </c>
    </row>
    <row r="5" spans="1:17">
      <c r="A5" s="120">
        <v>1981</v>
      </c>
      <c r="B5" s="709">
        <v>51700</v>
      </c>
      <c r="C5" s="709">
        <v>48100</v>
      </c>
      <c r="D5" s="709">
        <v>39200</v>
      </c>
      <c r="E5" s="709">
        <v>42700</v>
      </c>
      <c r="F5" s="709">
        <v>41600</v>
      </c>
      <c r="G5" s="709">
        <v>47400</v>
      </c>
      <c r="H5" s="709">
        <v>56000</v>
      </c>
      <c r="I5" s="709">
        <v>45300</v>
      </c>
      <c r="J5" s="709">
        <v>47200</v>
      </c>
      <c r="K5" s="709">
        <v>57900</v>
      </c>
      <c r="L5" s="709">
        <v>55600</v>
      </c>
      <c r="N5" s="19">
        <f>SUM(C76:L76)/10</f>
        <v>50406000</v>
      </c>
      <c r="O5" s="19">
        <f>SQRT(N5)</f>
        <v>7099.7183042709521</v>
      </c>
      <c r="P5" s="19">
        <f>Q5^2</f>
        <v>37446000</v>
      </c>
      <c r="Q5" s="19">
        <f>STDEVP(C5:L5)</f>
        <v>6119.3136870077187</v>
      </c>
    </row>
    <row r="6" spans="1:17">
      <c r="A6" s="120">
        <v>1982</v>
      </c>
      <c r="B6" s="39">
        <v>49800</v>
      </c>
      <c r="C6" s="39">
        <v>44700</v>
      </c>
      <c r="D6" s="39">
        <v>39500</v>
      </c>
      <c r="E6" s="39">
        <v>41800</v>
      </c>
      <c r="F6" s="39">
        <v>40300</v>
      </c>
      <c r="G6" s="39">
        <v>46500</v>
      </c>
      <c r="H6" s="39">
        <v>52500</v>
      </c>
      <c r="I6" s="39">
        <v>44600</v>
      </c>
      <c r="J6" s="39">
        <v>46100</v>
      </c>
      <c r="K6" s="39">
        <v>57100</v>
      </c>
      <c r="L6" s="39">
        <v>52400</v>
      </c>
      <c r="N6" s="19">
        <f t="shared" ref="N6:N28" si="0">SUM(C77:L77)/10</f>
        <v>40531000</v>
      </c>
      <c r="O6" s="19">
        <f t="shared" ref="O6:O28" si="1">SQRT(N6)</f>
        <v>6366.3961548116058</v>
      </c>
      <c r="P6" s="19">
        <f t="shared" ref="P6:P28" si="2">Q6^2</f>
        <v>29968499.999999996</v>
      </c>
      <c r="Q6" s="19">
        <f t="shared" ref="Q6:Q28" si="3">STDEVP(C6:L6)</f>
        <v>5474.349276398063</v>
      </c>
    </row>
    <row r="7" spans="1:17">
      <c r="A7" s="120">
        <v>1983</v>
      </c>
      <c r="B7" s="39">
        <v>48000</v>
      </c>
      <c r="C7" s="39">
        <v>39500</v>
      </c>
      <c r="D7" s="39">
        <v>41800</v>
      </c>
      <c r="E7" s="39">
        <v>38500</v>
      </c>
      <c r="F7" s="39">
        <v>38200</v>
      </c>
      <c r="G7" s="39">
        <v>45500</v>
      </c>
      <c r="H7" s="39">
        <v>51000</v>
      </c>
      <c r="I7" s="39">
        <v>45400</v>
      </c>
      <c r="J7" s="39">
        <v>42800</v>
      </c>
      <c r="K7" s="39">
        <v>52700</v>
      </c>
      <c r="L7" s="39">
        <v>50100</v>
      </c>
      <c r="N7" s="19">
        <f t="shared" si="0"/>
        <v>37253000</v>
      </c>
      <c r="O7" s="19">
        <f t="shared" si="1"/>
        <v>6103.5235724948261</v>
      </c>
      <c r="P7" s="19">
        <f t="shared" si="2"/>
        <v>25350500</v>
      </c>
      <c r="Q7" s="19">
        <f t="shared" si="3"/>
        <v>5034.9280034574476</v>
      </c>
    </row>
    <row r="8" spans="1:17">
      <c r="A8" s="120">
        <v>1984</v>
      </c>
      <c r="B8" s="39">
        <v>48300</v>
      </c>
      <c r="C8" s="39">
        <v>40800</v>
      </c>
      <c r="D8" s="39">
        <v>40200</v>
      </c>
      <c r="E8" s="39">
        <v>42500</v>
      </c>
      <c r="F8" s="39">
        <v>42200</v>
      </c>
      <c r="G8" s="39">
        <v>45700</v>
      </c>
      <c r="H8" s="39">
        <v>53000</v>
      </c>
      <c r="I8" s="39">
        <v>45900</v>
      </c>
      <c r="J8" s="39">
        <v>43400</v>
      </c>
      <c r="K8" s="39">
        <v>49900</v>
      </c>
      <c r="L8" s="39">
        <v>46500</v>
      </c>
      <c r="N8" s="19">
        <f t="shared" si="0"/>
        <v>25713000</v>
      </c>
      <c r="O8" s="19">
        <f t="shared" si="1"/>
        <v>5070.798753648186</v>
      </c>
      <c r="P8" s="19">
        <f t="shared" si="2"/>
        <v>14888899.999999998</v>
      </c>
      <c r="Q8" s="19">
        <f t="shared" si="3"/>
        <v>3858.6137407105157</v>
      </c>
    </row>
    <row r="9" spans="1:17">
      <c r="A9" s="120">
        <v>1985</v>
      </c>
      <c r="B9" s="39">
        <v>49000</v>
      </c>
      <c r="C9" s="39">
        <v>40200</v>
      </c>
      <c r="D9" s="39">
        <v>39400</v>
      </c>
      <c r="E9" s="39">
        <v>42300</v>
      </c>
      <c r="F9" s="39">
        <v>42100</v>
      </c>
      <c r="G9" s="39">
        <v>46000</v>
      </c>
      <c r="H9" s="39">
        <v>54200</v>
      </c>
      <c r="I9" s="39">
        <v>44900</v>
      </c>
      <c r="J9" s="39">
        <v>44200</v>
      </c>
      <c r="K9" s="39">
        <v>51700</v>
      </c>
      <c r="L9" s="39">
        <v>46100</v>
      </c>
      <c r="N9" s="19">
        <f t="shared" si="0"/>
        <v>35369000</v>
      </c>
      <c r="O9" s="19">
        <f t="shared" si="1"/>
        <v>5947.1842076734092</v>
      </c>
      <c r="P9" s="19">
        <f t="shared" si="2"/>
        <v>20236899.999999996</v>
      </c>
      <c r="Q9" s="19">
        <f t="shared" si="3"/>
        <v>4498.5442089636063</v>
      </c>
    </row>
    <row r="10" spans="1:17">
      <c r="A10" s="120">
        <v>1986</v>
      </c>
      <c r="B10" s="39">
        <v>49600</v>
      </c>
      <c r="C10" s="39">
        <v>39500</v>
      </c>
      <c r="D10" s="39">
        <v>41500</v>
      </c>
      <c r="E10" s="39">
        <v>42700</v>
      </c>
      <c r="F10" s="39">
        <v>44300</v>
      </c>
      <c r="G10" s="39">
        <v>45300</v>
      </c>
      <c r="H10" s="39">
        <v>56100</v>
      </c>
      <c r="I10" s="39">
        <v>45700</v>
      </c>
      <c r="J10" s="39">
        <v>41100</v>
      </c>
      <c r="K10" s="39">
        <v>51100</v>
      </c>
      <c r="L10" s="39">
        <v>49900</v>
      </c>
      <c r="N10" s="19">
        <f t="shared" si="0"/>
        <v>39386000</v>
      </c>
      <c r="O10" s="19">
        <f t="shared" si="1"/>
        <v>6275.8266387783533</v>
      </c>
      <c r="P10" s="19">
        <f t="shared" si="2"/>
        <v>24331599.999999996</v>
      </c>
      <c r="Q10" s="19">
        <f t="shared" si="3"/>
        <v>4932.7071674689951</v>
      </c>
    </row>
    <row r="11" spans="1:17">
      <c r="A11" s="120">
        <v>1987</v>
      </c>
      <c r="B11" s="39">
        <v>49600</v>
      </c>
      <c r="C11" s="39">
        <v>42900</v>
      </c>
      <c r="D11" s="39">
        <v>42700</v>
      </c>
      <c r="E11" s="39">
        <v>45600</v>
      </c>
      <c r="F11" s="39">
        <v>41400</v>
      </c>
      <c r="G11" s="39">
        <v>45300</v>
      </c>
      <c r="H11" s="39">
        <v>57200</v>
      </c>
      <c r="I11" s="39">
        <v>44400</v>
      </c>
      <c r="J11" s="39">
        <v>43200</v>
      </c>
      <c r="K11" s="39">
        <v>50100</v>
      </c>
      <c r="L11" s="39">
        <v>47000</v>
      </c>
      <c r="N11" s="19">
        <f t="shared" si="0"/>
        <v>32700000</v>
      </c>
      <c r="O11" s="19">
        <f t="shared" si="1"/>
        <v>5718.3913821983188</v>
      </c>
      <c r="P11" s="19">
        <f t="shared" si="2"/>
        <v>19595600.000000004</v>
      </c>
      <c r="Q11" s="19">
        <f t="shared" si="3"/>
        <v>4426.6917669971108</v>
      </c>
    </row>
    <row r="12" spans="1:17">
      <c r="A12" s="120">
        <v>1988</v>
      </c>
      <c r="B12" s="39">
        <v>50500</v>
      </c>
      <c r="C12" s="39">
        <v>44700</v>
      </c>
      <c r="D12" s="39">
        <v>40600</v>
      </c>
      <c r="E12" s="39">
        <v>45400</v>
      </c>
      <c r="F12" s="39">
        <v>43200</v>
      </c>
      <c r="G12" s="39">
        <v>45400</v>
      </c>
      <c r="H12" s="39">
        <v>58400</v>
      </c>
      <c r="I12" s="39">
        <v>45000</v>
      </c>
      <c r="J12" s="39">
        <v>41800</v>
      </c>
      <c r="K12" s="39">
        <v>51800</v>
      </c>
      <c r="L12" s="39">
        <v>50400</v>
      </c>
      <c r="N12" s="19">
        <f t="shared" si="0"/>
        <v>40701000</v>
      </c>
      <c r="O12" s="19">
        <f t="shared" si="1"/>
        <v>6379.7335367552778</v>
      </c>
      <c r="P12" s="19">
        <f t="shared" si="2"/>
        <v>26032100</v>
      </c>
      <c r="Q12" s="19">
        <f t="shared" si="3"/>
        <v>5102.166206622438</v>
      </c>
    </row>
    <row r="13" spans="1:17">
      <c r="A13" s="120">
        <v>1989</v>
      </c>
      <c r="B13" s="39">
        <v>52200</v>
      </c>
      <c r="C13" s="39">
        <v>46300</v>
      </c>
      <c r="D13" s="39">
        <v>40600</v>
      </c>
      <c r="E13" s="39">
        <v>44700</v>
      </c>
      <c r="F13" s="39">
        <v>44800</v>
      </c>
      <c r="G13" s="39">
        <v>47600</v>
      </c>
      <c r="H13" s="39">
        <v>59600</v>
      </c>
      <c r="I13" s="39">
        <v>45900</v>
      </c>
      <c r="J13" s="39">
        <v>43300</v>
      </c>
      <c r="K13" s="39">
        <v>52700</v>
      </c>
      <c r="L13" s="39">
        <v>52200</v>
      </c>
      <c r="N13" s="19">
        <f t="shared" si="0"/>
        <v>47545000</v>
      </c>
      <c r="O13" s="19">
        <f t="shared" si="1"/>
        <v>6895.2882463316937</v>
      </c>
      <c r="P13" s="19">
        <f t="shared" si="2"/>
        <v>27920099.999999996</v>
      </c>
      <c r="Q13" s="19">
        <f t="shared" si="3"/>
        <v>5283.9473880802407</v>
      </c>
    </row>
    <row r="14" spans="1:17">
      <c r="A14" s="120">
        <v>1990</v>
      </c>
      <c r="B14" s="39">
        <v>49800</v>
      </c>
      <c r="C14" s="39">
        <v>43200</v>
      </c>
      <c r="D14" s="39">
        <v>42000</v>
      </c>
      <c r="E14" s="39">
        <v>44100</v>
      </c>
      <c r="F14" s="39">
        <v>43800</v>
      </c>
      <c r="G14" s="39">
        <v>43300</v>
      </c>
      <c r="H14" s="39">
        <v>57200</v>
      </c>
      <c r="I14" s="39">
        <v>45500</v>
      </c>
      <c r="J14" s="39">
        <v>41900</v>
      </c>
      <c r="K14" s="39">
        <v>51400</v>
      </c>
      <c r="L14" s="39">
        <v>49300</v>
      </c>
      <c r="N14" s="19">
        <f t="shared" si="0"/>
        <v>35361000</v>
      </c>
      <c r="O14" s="19">
        <f t="shared" si="1"/>
        <v>5946.5115824321738</v>
      </c>
      <c r="P14" s="19">
        <f t="shared" si="2"/>
        <v>22184100</v>
      </c>
      <c r="Q14" s="19">
        <f t="shared" si="3"/>
        <v>4710</v>
      </c>
    </row>
    <row r="15" spans="1:17">
      <c r="A15" s="120">
        <v>1991</v>
      </c>
      <c r="B15" s="39">
        <v>47000</v>
      </c>
      <c r="C15" s="39">
        <v>42000</v>
      </c>
      <c r="D15" s="39">
        <v>40800</v>
      </c>
      <c r="E15" s="39">
        <v>42500</v>
      </c>
      <c r="F15" s="39">
        <v>40900</v>
      </c>
      <c r="G15" s="39">
        <v>42400</v>
      </c>
      <c r="H15" s="39">
        <v>52400</v>
      </c>
      <c r="I15" s="39">
        <v>42300</v>
      </c>
      <c r="J15" s="39">
        <v>40600</v>
      </c>
      <c r="K15" s="39">
        <v>48800</v>
      </c>
      <c r="L15" s="39">
        <v>47100</v>
      </c>
      <c r="N15" s="19">
        <f t="shared" si="0"/>
        <v>23752000</v>
      </c>
      <c r="O15" s="19">
        <f t="shared" si="1"/>
        <v>4873.6023637551716</v>
      </c>
      <c r="P15" s="19">
        <f t="shared" si="2"/>
        <v>14631600</v>
      </c>
      <c r="Q15" s="19">
        <f t="shared" si="3"/>
        <v>3825.1274488570966</v>
      </c>
    </row>
    <row r="16" spans="1:17">
      <c r="A16" s="120">
        <v>1992</v>
      </c>
      <c r="B16" s="39">
        <v>46800</v>
      </c>
      <c r="C16" s="39">
        <v>41000</v>
      </c>
      <c r="D16" s="39">
        <v>41800</v>
      </c>
      <c r="E16" s="39">
        <v>41700</v>
      </c>
      <c r="F16" s="39">
        <v>41100</v>
      </c>
      <c r="G16" s="39">
        <v>41600</v>
      </c>
      <c r="H16" s="39">
        <v>53100</v>
      </c>
      <c r="I16" s="39">
        <v>41300</v>
      </c>
      <c r="J16" s="39">
        <v>40200</v>
      </c>
      <c r="K16" s="39">
        <v>46000</v>
      </c>
      <c r="L16" s="39">
        <v>47800</v>
      </c>
      <c r="N16" s="19">
        <f t="shared" si="0"/>
        <v>25932000</v>
      </c>
      <c r="O16" s="19">
        <f t="shared" si="1"/>
        <v>5092.3471994749143</v>
      </c>
      <c r="P16" s="19">
        <f t="shared" si="2"/>
        <v>15434400.000000002</v>
      </c>
      <c r="Q16" s="19">
        <f t="shared" si="3"/>
        <v>3928.6638950157089</v>
      </c>
    </row>
    <row r="17" spans="1:17">
      <c r="A17" s="120">
        <v>1993</v>
      </c>
      <c r="B17" s="39">
        <v>45700</v>
      </c>
      <c r="C17" s="39">
        <v>41100</v>
      </c>
      <c r="D17" s="39">
        <v>40700</v>
      </c>
      <c r="E17" s="39">
        <v>41500</v>
      </c>
      <c r="F17" s="39">
        <v>41200</v>
      </c>
      <c r="G17" s="39">
        <v>40300</v>
      </c>
      <c r="H17" s="39">
        <v>51400</v>
      </c>
      <c r="I17" s="39">
        <v>41200</v>
      </c>
      <c r="J17" s="39">
        <v>39100</v>
      </c>
      <c r="K17" s="39">
        <v>48500</v>
      </c>
      <c r="L17" s="39">
        <v>47200</v>
      </c>
      <c r="N17" s="19">
        <f t="shared" si="0"/>
        <v>21960000</v>
      </c>
      <c r="O17" s="19">
        <f t="shared" si="1"/>
        <v>4686.1498055439924</v>
      </c>
      <c r="P17" s="19">
        <f t="shared" si="2"/>
        <v>15809600</v>
      </c>
      <c r="Q17" s="19">
        <f t="shared" si="3"/>
        <v>3976.1287705505715</v>
      </c>
    </row>
    <row r="18" spans="1:17">
      <c r="A18" s="120">
        <v>1994</v>
      </c>
      <c r="B18" s="39">
        <v>46200</v>
      </c>
      <c r="C18" s="39">
        <v>40400</v>
      </c>
      <c r="D18" s="39">
        <v>40900</v>
      </c>
      <c r="E18" s="39">
        <v>40300</v>
      </c>
      <c r="F18" s="39">
        <v>41700</v>
      </c>
      <c r="G18" s="39">
        <v>41400</v>
      </c>
      <c r="H18" s="39">
        <v>51400</v>
      </c>
      <c r="I18" s="39">
        <v>42500</v>
      </c>
      <c r="J18" s="39">
        <v>40500</v>
      </c>
      <c r="K18" s="39">
        <v>49400</v>
      </c>
      <c r="L18" s="39">
        <v>46900</v>
      </c>
      <c r="N18" s="19">
        <f t="shared" si="0"/>
        <v>22378000</v>
      </c>
      <c r="O18" s="19">
        <f t="shared" si="1"/>
        <v>4730.5390813310059</v>
      </c>
      <c r="P18" s="19">
        <f t="shared" si="2"/>
        <v>15302400.000000002</v>
      </c>
      <c r="Q18" s="19">
        <f t="shared" si="3"/>
        <v>3911.8282170872485</v>
      </c>
    </row>
    <row r="19" spans="1:17">
      <c r="A19" s="120">
        <v>1995</v>
      </c>
      <c r="B19" s="39">
        <v>46100</v>
      </c>
      <c r="C19" s="39">
        <v>40200</v>
      </c>
      <c r="D19" s="39">
        <v>42600</v>
      </c>
      <c r="E19" s="39">
        <v>39800</v>
      </c>
      <c r="F19" s="39">
        <v>40800</v>
      </c>
      <c r="G19" s="39">
        <v>41100</v>
      </c>
      <c r="H19" s="39">
        <v>51400</v>
      </c>
      <c r="I19" s="39">
        <v>43000</v>
      </c>
      <c r="J19" s="39">
        <v>41100</v>
      </c>
      <c r="K19" s="39">
        <v>48300</v>
      </c>
      <c r="L19" s="39">
        <v>47300</v>
      </c>
      <c r="N19" s="19">
        <f t="shared" si="0"/>
        <v>20882000</v>
      </c>
      <c r="O19" s="19">
        <f t="shared" si="1"/>
        <v>4569.6827023328433</v>
      </c>
      <c r="P19" s="19">
        <f t="shared" si="2"/>
        <v>14430400</v>
      </c>
      <c r="Q19" s="19">
        <f t="shared" si="3"/>
        <v>3798.7366320923065</v>
      </c>
    </row>
    <row r="20" spans="1:17">
      <c r="A20" s="120">
        <v>1996</v>
      </c>
      <c r="B20" s="39">
        <v>45400</v>
      </c>
      <c r="C20" s="39">
        <v>39100</v>
      </c>
      <c r="D20" s="39">
        <v>42600</v>
      </c>
      <c r="E20" s="39">
        <v>39200</v>
      </c>
      <c r="F20" s="39">
        <v>39900</v>
      </c>
      <c r="G20" s="39">
        <v>40500</v>
      </c>
      <c r="H20" s="39">
        <v>50700</v>
      </c>
      <c r="I20" s="39">
        <v>42700</v>
      </c>
      <c r="J20" s="39">
        <v>40700</v>
      </c>
      <c r="K20" s="39">
        <v>48200</v>
      </c>
      <c r="L20" s="39">
        <v>45400</v>
      </c>
      <c r="N20" s="19">
        <f t="shared" si="0"/>
        <v>20554000</v>
      </c>
      <c r="O20" s="19">
        <f t="shared" si="1"/>
        <v>4533.651949587661</v>
      </c>
      <c r="P20" s="19">
        <f t="shared" si="2"/>
        <v>14304000</v>
      </c>
      <c r="Q20" s="19">
        <f t="shared" si="3"/>
        <v>3782.0629291433002</v>
      </c>
    </row>
    <row r="21" spans="1:17">
      <c r="A21" s="120">
        <v>1997</v>
      </c>
      <c r="B21" s="39">
        <v>45200</v>
      </c>
      <c r="C21" s="39">
        <v>38000</v>
      </c>
      <c r="D21" s="39">
        <v>40500</v>
      </c>
      <c r="E21" s="39">
        <v>38500</v>
      </c>
      <c r="F21" s="39">
        <v>40200</v>
      </c>
      <c r="G21" s="39">
        <v>39600</v>
      </c>
      <c r="H21" s="39">
        <v>50700</v>
      </c>
      <c r="I21" s="39">
        <v>43200</v>
      </c>
      <c r="J21" s="39">
        <v>41000</v>
      </c>
      <c r="K21" s="39">
        <v>50600</v>
      </c>
      <c r="L21" s="39">
        <v>45300</v>
      </c>
      <c r="N21" s="19">
        <f t="shared" si="0"/>
        <v>25624000</v>
      </c>
      <c r="O21" s="19">
        <f t="shared" si="1"/>
        <v>5062.0154089058242</v>
      </c>
      <c r="P21" s="19">
        <f t="shared" si="2"/>
        <v>19670399.999999996</v>
      </c>
      <c r="Q21" s="19">
        <f t="shared" si="3"/>
        <v>4435.1324670183185</v>
      </c>
    </row>
    <row r="22" spans="1:17">
      <c r="A22" s="120">
        <v>1998</v>
      </c>
      <c r="B22" s="39">
        <v>46600</v>
      </c>
      <c r="C22" s="39">
        <v>38500</v>
      </c>
      <c r="D22" s="39">
        <v>39500</v>
      </c>
      <c r="E22" s="39">
        <v>39400</v>
      </c>
      <c r="F22" s="39">
        <v>40400</v>
      </c>
      <c r="G22" s="39">
        <v>41100</v>
      </c>
      <c r="H22" s="39">
        <v>52600</v>
      </c>
      <c r="I22" s="39">
        <v>43500</v>
      </c>
      <c r="J22" s="39">
        <v>41300</v>
      </c>
      <c r="K22" s="39">
        <v>50000</v>
      </c>
      <c r="L22" s="39">
        <v>46300</v>
      </c>
      <c r="N22" s="19">
        <f t="shared" si="0"/>
        <v>32190000</v>
      </c>
      <c r="O22" s="19">
        <f t="shared" si="1"/>
        <v>5673.6231810017134</v>
      </c>
      <c r="P22" s="19">
        <f t="shared" si="2"/>
        <v>21034400.000000004</v>
      </c>
      <c r="Q22" s="19">
        <f t="shared" si="3"/>
        <v>4586.3275068403045</v>
      </c>
    </row>
    <row r="23" spans="1:17">
      <c r="A23" s="120">
        <v>1999</v>
      </c>
      <c r="B23" s="39">
        <v>48000</v>
      </c>
      <c r="C23" s="39">
        <v>39900</v>
      </c>
      <c r="D23" s="39">
        <v>38200</v>
      </c>
      <c r="E23" s="39">
        <v>42300</v>
      </c>
      <c r="F23" s="39">
        <v>42500</v>
      </c>
      <c r="G23" s="39">
        <v>42700</v>
      </c>
      <c r="H23" s="39">
        <v>55100</v>
      </c>
      <c r="I23" s="39">
        <v>45500</v>
      </c>
      <c r="J23" s="39">
        <v>42600</v>
      </c>
      <c r="K23" s="39">
        <v>52000</v>
      </c>
      <c r="L23" s="39">
        <v>46500</v>
      </c>
      <c r="N23" s="19">
        <f t="shared" si="0"/>
        <v>35655000</v>
      </c>
      <c r="O23" s="19">
        <f t="shared" si="1"/>
        <v>5971.1807877504425</v>
      </c>
      <c r="P23" s="19">
        <f t="shared" si="2"/>
        <v>24962099.999999996</v>
      </c>
      <c r="Q23" s="19">
        <f t="shared" si="3"/>
        <v>4996.2085625001682</v>
      </c>
    </row>
    <row r="24" spans="1:17">
      <c r="A24" s="120">
        <v>2000</v>
      </c>
      <c r="B24" s="39">
        <v>48700</v>
      </c>
      <c r="C24" s="39">
        <v>39800</v>
      </c>
      <c r="D24" s="39">
        <v>40000</v>
      </c>
      <c r="E24" s="39">
        <v>41600</v>
      </c>
      <c r="F24" s="39">
        <v>42500</v>
      </c>
      <c r="G24" s="39">
        <v>42900</v>
      </c>
      <c r="H24" s="39">
        <v>56400</v>
      </c>
      <c r="I24" s="39">
        <v>44900</v>
      </c>
      <c r="J24" s="39">
        <v>42900</v>
      </c>
      <c r="K24" s="39">
        <v>53500</v>
      </c>
      <c r="L24" s="39">
        <v>45900</v>
      </c>
      <c r="N24" s="19">
        <f t="shared" si="0"/>
        <v>41564000</v>
      </c>
      <c r="O24" s="19">
        <f t="shared" si="1"/>
        <v>6447.0148130743428</v>
      </c>
      <c r="P24" s="19">
        <f t="shared" si="2"/>
        <v>28168400.000000004</v>
      </c>
      <c r="Q24" s="19">
        <f t="shared" si="3"/>
        <v>5307.3910728341853</v>
      </c>
    </row>
    <row r="25" spans="1:17">
      <c r="A25" s="120">
        <v>2001</v>
      </c>
      <c r="B25" s="39">
        <v>49800</v>
      </c>
      <c r="C25" s="39">
        <v>39500</v>
      </c>
      <c r="D25" s="39">
        <v>39200</v>
      </c>
      <c r="E25" s="39">
        <v>43200</v>
      </c>
      <c r="F25" s="39">
        <v>43500</v>
      </c>
      <c r="G25" s="39">
        <v>43800</v>
      </c>
      <c r="H25" s="39">
        <v>56600</v>
      </c>
      <c r="I25" s="39">
        <v>46000</v>
      </c>
      <c r="J25" s="39">
        <v>44800</v>
      </c>
      <c r="K25" s="39">
        <v>56000</v>
      </c>
      <c r="L25" s="39">
        <v>46400</v>
      </c>
      <c r="N25" s="19">
        <f t="shared" si="0"/>
        <v>47338000</v>
      </c>
      <c r="O25" s="19">
        <f t="shared" si="1"/>
        <v>6880.2616229326632</v>
      </c>
      <c r="P25" s="19">
        <f t="shared" si="2"/>
        <v>32128000.000000004</v>
      </c>
      <c r="Q25" s="19">
        <f t="shared" si="3"/>
        <v>5668.1566668538726</v>
      </c>
    </row>
    <row r="26" spans="1:17">
      <c r="A26" s="120">
        <v>2002</v>
      </c>
      <c r="B26" s="39">
        <v>49600</v>
      </c>
      <c r="C26" s="39">
        <v>40600</v>
      </c>
      <c r="D26" s="39">
        <v>41500</v>
      </c>
      <c r="E26" s="39">
        <v>42400</v>
      </c>
      <c r="F26" s="39">
        <v>42500</v>
      </c>
      <c r="G26" s="39">
        <v>44100</v>
      </c>
      <c r="H26" s="39">
        <v>56300</v>
      </c>
      <c r="I26" s="39">
        <v>44900</v>
      </c>
      <c r="J26" s="39">
        <v>44500</v>
      </c>
      <c r="K26" s="39">
        <v>55800</v>
      </c>
      <c r="L26" s="39">
        <v>47000</v>
      </c>
      <c r="N26" s="19">
        <f t="shared" si="0"/>
        <v>41730000</v>
      </c>
      <c r="O26" s="19">
        <f t="shared" si="1"/>
        <v>6459.8761598036845</v>
      </c>
      <c r="P26" s="19">
        <f t="shared" si="2"/>
        <v>28480400.000000004</v>
      </c>
      <c r="Q26" s="19">
        <f t="shared" si="3"/>
        <v>5336.7031021033954</v>
      </c>
    </row>
    <row r="27" spans="1:17">
      <c r="A27" s="120">
        <v>2003</v>
      </c>
      <c r="B27" s="39">
        <v>49500</v>
      </c>
      <c r="C27" s="39">
        <v>40600</v>
      </c>
      <c r="D27" s="39">
        <v>42900</v>
      </c>
      <c r="E27" s="39">
        <v>42100</v>
      </c>
      <c r="F27" s="39">
        <v>42600</v>
      </c>
      <c r="G27" s="39">
        <v>44200</v>
      </c>
      <c r="H27" s="39">
        <v>57000</v>
      </c>
      <c r="I27" s="39">
        <v>46400</v>
      </c>
      <c r="J27" s="39">
        <v>44600</v>
      </c>
      <c r="K27" s="39">
        <v>54400</v>
      </c>
      <c r="L27" s="39">
        <v>46100</v>
      </c>
      <c r="N27" s="19">
        <f t="shared" si="0"/>
        <v>37867000</v>
      </c>
      <c r="O27" s="19">
        <f t="shared" si="1"/>
        <v>6153.6168226499121</v>
      </c>
      <c r="P27" s="19">
        <f t="shared" si="2"/>
        <v>26238899.999999996</v>
      </c>
      <c r="Q27" s="19">
        <f t="shared" si="3"/>
        <v>5122.392019359705</v>
      </c>
    </row>
    <row r="28" spans="1:17">
      <c r="A28" s="120">
        <v>2004</v>
      </c>
      <c r="B28" s="39">
        <v>50100</v>
      </c>
      <c r="C28" s="39">
        <v>40500</v>
      </c>
      <c r="D28" s="39">
        <v>44700</v>
      </c>
      <c r="E28" s="39">
        <v>43700</v>
      </c>
      <c r="F28" s="39">
        <v>43200</v>
      </c>
      <c r="G28" s="39">
        <v>44100</v>
      </c>
      <c r="H28" s="39">
        <v>56600</v>
      </c>
      <c r="I28" s="39">
        <v>47000</v>
      </c>
      <c r="J28" s="39">
        <v>45600</v>
      </c>
      <c r="K28" s="39">
        <v>56700</v>
      </c>
      <c r="L28" s="39">
        <v>48400</v>
      </c>
      <c r="N28" s="19">
        <f t="shared" si="0"/>
        <v>36445000</v>
      </c>
      <c r="O28" s="19">
        <f t="shared" si="1"/>
        <v>6036.9694383854558</v>
      </c>
      <c r="P28" s="19">
        <f t="shared" si="2"/>
        <v>27142499.999999996</v>
      </c>
      <c r="Q28" s="19">
        <f t="shared" si="3"/>
        <v>5209.8464468734583</v>
      </c>
    </row>
    <row r="29" spans="1:17">
      <c r="A29" s="120">
        <v>2005</v>
      </c>
      <c r="B29" s="39">
        <v>50800</v>
      </c>
      <c r="C29" s="39">
        <v>41000</v>
      </c>
      <c r="D29" s="39">
        <v>44500</v>
      </c>
      <c r="E29" s="39">
        <v>45200</v>
      </c>
      <c r="F29" s="39">
        <v>43700</v>
      </c>
      <c r="G29" s="39">
        <v>44400</v>
      </c>
      <c r="H29" s="39">
        <v>57800</v>
      </c>
      <c r="I29" s="39">
        <v>47300</v>
      </c>
      <c r="J29" s="39">
        <v>44800</v>
      </c>
      <c r="K29" s="39">
        <v>58400</v>
      </c>
      <c r="L29" s="39">
        <v>49200</v>
      </c>
      <c r="N29" s="19"/>
      <c r="O29" s="19"/>
      <c r="P29" s="19"/>
      <c r="Q29" s="19"/>
    </row>
    <row r="30" spans="1:17">
      <c r="A30" s="120">
        <v>2006</v>
      </c>
      <c r="B30" s="39">
        <v>52000</v>
      </c>
      <c r="C30" s="39">
        <v>44300</v>
      </c>
      <c r="D30" s="39">
        <v>47000</v>
      </c>
      <c r="E30" s="39">
        <v>45800</v>
      </c>
      <c r="F30" s="39">
        <v>43900</v>
      </c>
      <c r="G30" s="39">
        <v>45200</v>
      </c>
      <c r="H30" s="39">
        <v>58100</v>
      </c>
      <c r="I30" s="39">
        <v>47100</v>
      </c>
      <c r="J30" s="39">
        <v>47500</v>
      </c>
      <c r="K30" s="39">
        <v>62900</v>
      </c>
      <c r="L30" s="39">
        <v>50800</v>
      </c>
      <c r="N30" s="19"/>
      <c r="O30" s="19"/>
      <c r="P30" s="19"/>
      <c r="Q30" s="19"/>
    </row>
    <row r="31" spans="1:17" s="961" customFormat="1">
      <c r="A31" s="120">
        <v>2007</v>
      </c>
      <c r="B31" s="39">
        <v>53200</v>
      </c>
      <c r="C31" s="39">
        <v>46700</v>
      </c>
      <c r="D31" s="39">
        <v>48700</v>
      </c>
      <c r="E31" s="39">
        <v>45700</v>
      </c>
      <c r="F31" s="39">
        <v>45500</v>
      </c>
      <c r="G31" s="39">
        <v>45200</v>
      </c>
      <c r="H31" s="39">
        <v>58700</v>
      </c>
      <c r="I31" s="39">
        <v>50300</v>
      </c>
      <c r="J31" s="39">
        <v>50200</v>
      </c>
      <c r="K31" s="39">
        <v>65200</v>
      </c>
      <c r="L31" s="39">
        <v>52300</v>
      </c>
      <c r="N31" s="19"/>
      <c r="O31" s="19"/>
      <c r="P31" s="19"/>
      <c r="Q31" s="19"/>
    </row>
    <row r="32" spans="1:17" s="114" customFormat="1">
      <c r="A32" s="738"/>
      <c r="B32" s="644"/>
      <c r="C32" s="644"/>
      <c r="D32" s="644" t="s">
        <v>802</v>
      </c>
      <c r="E32" s="644"/>
      <c r="F32" s="644"/>
      <c r="H32" s="644"/>
      <c r="I32" s="644"/>
      <c r="J32" s="644"/>
      <c r="K32" s="644"/>
      <c r="L32" s="644"/>
      <c r="N32" s="19"/>
      <c r="O32" s="19"/>
      <c r="P32" s="19"/>
      <c r="Q32" s="19"/>
    </row>
    <row r="33" spans="1:17" s="114" customFormat="1">
      <c r="A33" s="431" t="s">
        <v>603</v>
      </c>
      <c r="B33" s="644">
        <f t="shared" ref="B33:L33" si="4">((((B13/B5))^(1/8))-1)*100</f>
        <v>0.12038131738711932</v>
      </c>
      <c r="C33" s="644">
        <f t="shared" si="4"/>
        <v>-0.47561803845120876</v>
      </c>
      <c r="D33" s="644">
        <f t="shared" si="4"/>
        <v>0.43960493762560393</v>
      </c>
      <c r="E33" s="644">
        <f t="shared" si="4"/>
        <v>0.57382235665495163</v>
      </c>
      <c r="F33" s="644">
        <f t="shared" si="4"/>
        <v>0.93065354975838677</v>
      </c>
      <c r="G33" s="644">
        <f t="shared" si="4"/>
        <v>5.2645509590965034E-2</v>
      </c>
      <c r="H33" s="644">
        <f t="shared" si="4"/>
        <v>0.78183906560467253</v>
      </c>
      <c r="I33" s="644">
        <f t="shared" si="4"/>
        <v>0.16461139327417218</v>
      </c>
      <c r="J33" s="644">
        <f t="shared" si="4"/>
        <v>-1.0722259538665568</v>
      </c>
      <c r="K33" s="644">
        <f t="shared" si="4"/>
        <v>-1.1693830546610218</v>
      </c>
      <c r="L33" s="644">
        <f t="shared" si="4"/>
        <v>-0.78565628968766399</v>
      </c>
      <c r="M33" s="644"/>
      <c r="N33" s="644">
        <f>((((N13/N5))^(1/8))-1)*100</f>
        <v>-0.72775872523059837</v>
      </c>
      <c r="O33" s="644">
        <f>((((O13/O5))^(1/8))-1)*100</f>
        <v>-0.36454382361196247</v>
      </c>
      <c r="P33" s="644">
        <f>((((P13/P5))^(1/8))-1)*100</f>
        <v>-3.602905942123702</v>
      </c>
      <c r="Q33" s="644">
        <f>((((Q13/Q5))^(1/8))-1)*100</f>
        <v>-1.8179781946428331</v>
      </c>
    </row>
    <row r="34" spans="1:17" s="114" customFormat="1">
      <c r="A34" s="431" t="s">
        <v>604</v>
      </c>
      <c r="B34" s="644">
        <f t="shared" ref="B34:L34" si="5">((((B24/B13))^(1/11))-1)*100</f>
        <v>-0.62895433850571614</v>
      </c>
      <c r="C34" s="644">
        <f t="shared" si="5"/>
        <v>-1.3658146597475995</v>
      </c>
      <c r="D34" s="644">
        <f t="shared" si="5"/>
        <v>-0.13525946448673665</v>
      </c>
      <c r="E34" s="644">
        <f t="shared" si="5"/>
        <v>-0.65126397196771935</v>
      </c>
      <c r="F34" s="644">
        <f t="shared" si="5"/>
        <v>-0.47798186340880511</v>
      </c>
      <c r="G34" s="644">
        <f t="shared" si="5"/>
        <v>-0.94064738376066215</v>
      </c>
      <c r="H34" s="644">
        <f t="shared" si="5"/>
        <v>-0.50043830113246646</v>
      </c>
      <c r="I34" s="644">
        <f t="shared" si="5"/>
        <v>-0.20004802139758082</v>
      </c>
      <c r="J34" s="644">
        <f t="shared" si="5"/>
        <v>-8.4335409272762174E-2</v>
      </c>
      <c r="K34" s="644">
        <f t="shared" si="5"/>
        <v>0.13705928008400647</v>
      </c>
      <c r="L34" s="644">
        <f t="shared" si="5"/>
        <v>-1.1624397389428665</v>
      </c>
      <c r="M34" s="644"/>
      <c r="N34" s="644">
        <f>((((N24/N13))^(1/11))-1)*100</f>
        <v>-1.2147634738615576</v>
      </c>
      <c r="O34" s="644">
        <f>((((O24/O13))^(1/11))-1)*100</f>
        <v>-0.60923758913082882</v>
      </c>
      <c r="P34" s="644">
        <f>((((P24/P13))^(1/11))-1)*100</f>
        <v>8.0522608545940955E-2</v>
      </c>
      <c r="Q34" s="644">
        <f>((((Q24/Q13))^(1/11))-1)*100</f>
        <v>4.0253202671336474E-2</v>
      </c>
    </row>
    <row r="35" spans="1:17" s="114" customFormat="1">
      <c r="A35" s="431" t="s">
        <v>447</v>
      </c>
      <c r="B35" s="23">
        <f>((((B31/B5))^(1/26))-1)*100</f>
        <v>0.11006288953525623</v>
      </c>
      <c r="C35" s="23">
        <f t="shared" ref="C35:L35" si="6">((((C31/C5))^(1/26))-1)*100</f>
        <v>-0.11354323098012875</v>
      </c>
      <c r="D35" s="23">
        <f t="shared" si="6"/>
        <v>0.83811686420902642</v>
      </c>
      <c r="E35" s="23">
        <f t="shared" si="6"/>
        <v>0.26149275000220129</v>
      </c>
      <c r="F35" s="23">
        <f t="shared" si="6"/>
        <v>0.34525679176404811</v>
      </c>
      <c r="G35" s="23">
        <f t="shared" si="6"/>
        <v>-0.18262204980115104</v>
      </c>
      <c r="H35" s="23">
        <f t="shared" si="6"/>
        <v>0.18127193043273593</v>
      </c>
      <c r="I35" s="23">
        <f t="shared" si="6"/>
        <v>0.40349665156160786</v>
      </c>
      <c r="J35" s="23">
        <f t="shared" si="6"/>
        <v>0.23728543929606438</v>
      </c>
      <c r="K35" s="23">
        <f t="shared" si="6"/>
        <v>0.45774478978908295</v>
      </c>
      <c r="L35" s="23">
        <f t="shared" si="6"/>
        <v>-0.23505726897723456</v>
      </c>
      <c r="M35" s="23"/>
      <c r="N35" s="23">
        <f>((((N28/N5))^(1/23))-1)*100</f>
        <v>-1.400131523944359</v>
      </c>
      <c r="O35" s="23">
        <f>((((O28/O5))^(1/23))-1)*100</f>
        <v>-0.70253352876739061</v>
      </c>
      <c r="P35" s="23">
        <f>((((P28/P5))^(1/23))-1)*100</f>
        <v>-1.3893843640470305</v>
      </c>
      <c r="Q35" s="23">
        <f>((((Q28/Q5))^(1/23))-1)*100</f>
        <v>-0.69712207798156012</v>
      </c>
    </row>
    <row r="36" spans="1:17" s="114" customFormat="1">
      <c r="A36" s="431" t="s">
        <v>449</v>
      </c>
      <c r="B36" s="644">
        <f>((((B31/B24))^(1/7))-1)*100</f>
        <v>1.2705663434446235</v>
      </c>
      <c r="C36" s="959">
        <f t="shared" ref="C36:L36" si="7">((((C31/C24))^(1/7))-1)*100</f>
        <v>2.3102428413334097</v>
      </c>
      <c r="D36" s="959">
        <f t="shared" si="7"/>
        <v>2.8513159770852559</v>
      </c>
      <c r="E36" s="959">
        <f t="shared" si="7"/>
        <v>1.3518868977656417</v>
      </c>
      <c r="F36" s="959">
        <f t="shared" si="7"/>
        <v>0.97916634037091832</v>
      </c>
      <c r="G36" s="959">
        <f t="shared" si="7"/>
        <v>0.74886523083430578</v>
      </c>
      <c r="H36" s="959">
        <f t="shared" si="7"/>
        <v>0.57264147775082375</v>
      </c>
      <c r="I36" s="959">
        <f t="shared" si="7"/>
        <v>1.6356219528955718</v>
      </c>
      <c r="J36" s="959">
        <f t="shared" si="7"/>
        <v>2.2702904319435113</v>
      </c>
      <c r="K36" s="959">
        <f t="shared" si="7"/>
        <v>2.8656902920635607</v>
      </c>
      <c r="L36" s="959">
        <f t="shared" si="7"/>
        <v>1.8822269048933027</v>
      </c>
      <c r="M36" s="644"/>
      <c r="N36" s="644">
        <f>((((N28/N24))^(1/4))-1)*100</f>
        <v>-3.2323588555254745</v>
      </c>
      <c r="O36" s="644">
        <f>((((O28/O24))^(1/4))-1)*100</f>
        <v>-1.6294550465056568</v>
      </c>
      <c r="P36" s="644">
        <f>((((P28/P24))^(1/4))-1)*100</f>
        <v>-0.92321241062598425</v>
      </c>
      <c r="Q36" s="644">
        <f>((((Q28/Q24))^(1/4))-1)*100</f>
        <v>-0.46267655327775215</v>
      </c>
    </row>
    <row r="37" spans="1:17" s="114" customFormat="1">
      <c r="A37" s="431"/>
      <c r="D37" s="644" t="s">
        <v>276</v>
      </c>
    </row>
    <row r="38" spans="1:17" s="114" customFormat="1">
      <c r="A38" s="431" t="s">
        <v>447</v>
      </c>
      <c r="B38" s="10">
        <f>(B31/B5-1)*100</f>
        <v>2.9013539651837617</v>
      </c>
      <c r="C38" s="10">
        <f t="shared" ref="C38:L38" si="8">(C31/C5-1)*100</f>
        <v>-2.9106029106029108</v>
      </c>
      <c r="D38" s="10">
        <f t="shared" si="8"/>
        <v>24.234693877551017</v>
      </c>
      <c r="E38" s="10">
        <f t="shared" si="8"/>
        <v>7.0257611241217877</v>
      </c>
      <c r="F38" s="10">
        <f t="shared" si="8"/>
        <v>9.375</v>
      </c>
      <c r="G38" s="10">
        <f t="shared" si="8"/>
        <v>-4.6413502109704634</v>
      </c>
      <c r="H38" s="10">
        <f t="shared" si="8"/>
        <v>4.8214285714285765</v>
      </c>
      <c r="I38" s="10">
        <f t="shared" si="8"/>
        <v>11.037527593818975</v>
      </c>
      <c r="J38" s="10">
        <f t="shared" si="8"/>
        <v>6.3559322033898358</v>
      </c>
      <c r="K38" s="10">
        <f t="shared" si="8"/>
        <v>12.607944732297071</v>
      </c>
      <c r="L38" s="10">
        <f t="shared" si="8"/>
        <v>-5.935251798561147</v>
      </c>
      <c r="M38" s="10"/>
      <c r="N38" s="10">
        <f>(N28/N5-1)*100</f>
        <v>-27.697099551640679</v>
      </c>
      <c r="O38" s="10">
        <f>(O28/O5-1)*100</f>
        <v>-14.968887783141794</v>
      </c>
      <c r="P38" s="10">
        <f>(P28/P5-1)*100</f>
        <v>-27.515622496394819</v>
      </c>
      <c r="Q38" s="10">
        <f>(Q28/Q5-1)*100</f>
        <v>-14.86224251038486</v>
      </c>
    </row>
    <row r="39" spans="1:17">
      <c r="N39" s="644"/>
      <c r="O39" s="644"/>
      <c r="P39" s="644"/>
      <c r="Q39" s="644"/>
    </row>
    <row r="40" spans="1:17" ht="24.75" customHeight="1">
      <c r="A40" s="1170" t="s">
        <v>698</v>
      </c>
      <c r="B40" s="1170"/>
      <c r="C40" s="1170"/>
      <c r="D40" s="1170"/>
      <c r="E40" s="1170"/>
      <c r="F40" s="1170"/>
      <c r="G40" s="1170"/>
      <c r="H40" s="1170"/>
      <c r="I40" s="1170"/>
      <c r="J40" s="1170"/>
      <c r="K40" s="1170"/>
      <c r="L40" s="1170"/>
      <c r="N40" s="10"/>
      <c r="O40" s="10"/>
      <c r="P40" s="10"/>
      <c r="Q40" s="10"/>
    </row>
    <row r="41" spans="1:17">
      <c r="A41" s="4" t="s">
        <v>1868</v>
      </c>
      <c r="N41" s="10"/>
      <c r="O41" s="10"/>
      <c r="P41" s="10"/>
      <c r="Q41" s="10"/>
    </row>
    <row r="42" spans="1:17">
      <c r="A42" s="4" t="s">
        <v>388</v>
      </c>
      <c r="N42" s="10"/>
      <c r="O42" s="10"/>
      <c r="P42" s="10"/>
      <c r="Q42" s="10"/>
    </row>
    <row r="43" spans="1:17" ht="39" customHeight="1">
      <c r="A43" s="1168" t="s">
        <v>233</v>
      </c>
      <c r="B43" s="1169"/>
      <c r="C43" s="1169"/>
      <c r="D43" s="1169"/>
      <c r="E43" s="1169"/>
      <c r="F43" s="1169"/>
      <c r="G43" s="1169"/>
      <c r="H43" s="1169"/>
      <c r="I43" s="1169"/>
      <c r="J43" s="1169"/>
      <c r="K43" s="1169"/>
      <c r="L43" s="1169"/>
    </row>
    <row r="44" spans="1:17" ht="42.75" customHeight="1">
      <c r="A44" s="1168" t="s">
        <v>1160</v>
      </c>
      <c r="B44" s="1169"/>
      <c r="C44" s="1169"/>
      <c r="D44" s="1169"/>
      <c r="E44" s="1169"/>
      <c r="F44" s="1169"/>
      <c r="G44" s="1169"/>
      <c r="H44" s="1169"/>
      <c r="I44" s="1169"/>
      <c r="J44" s="1169"/>
      <c r="K44" s="1169"/>
      <c r="L44" s="1169"/>
    </row>
    <row r="46" spans="1:17">
      <c r="B46" s="961"/>
      <c r="C46" s="961"/>
      <c r="D46" s="961"/>
      <c r="E46" s="27"/>
      <c r="F46" s="27"/>
      <c r="G46" s="961"/>
      <c r="H46" s="961"/>
      <c r="I46" s="961"/>
      <c r="J46" s="961"/>
      <c r="K46" s="961"/>
      <c r="L46" s="961"/>
      <c r="M46" s="961"/>
      <c r="N46" s="961"/>
      <c r="O46" s="961"/>
      <c r="P46" s="961"/>
      <c r="Q46" s="961"/>
    </row>
    <row r="47" spans="1:17" ht="12.75" hidden="1" customHeight="1">
      <c r="B47" s="961" t="s">
        <v>278</v>
      </c>
      <c r="C47" s="961"/>
      <c r="D47" s="961"/>
      <c r="E47" s="961"/>
      <c r="F47" s="961"/>
      <c r="G47" s="961"/>
      <c r="H47" s="961"/>
      <c r="I47" s="961"/>
      <c r="J47" s="961"/>
      <c r="K47" s="961"/>
      <c r="L47" s="961"/>
      <c r="M47" s="961"/>
      <c r="N47" s="961"/>
      <c r="O47" s="961"/>
      <c r="P47" s="961"/>
      <c r="Q47" s="961"/>
    </row>
    <row r="48" spans="1:17" ht="12.75" hidden="1" customHeight="1">
      <c r="B48" s="961" t="s">
        <v>279</v>
      </c>
      <c r="C48" s="961"/>
      <c r="D48" s="961"/>
      <c r="E48" s="961"/>
      <c r="F48" s="961"/>
      <c r="G48" s="961"/>
      <c r="H48" s="961"/>
      <c r="I48" s="961"/>
      <c r="J48" s="961"/>
      <c r="K48" s="961"/>
      <c r="L48" s="961"/>
      <c r="M48" s="961"/>
      <c r="N48" s="961"/>
      <c r="O48" s="961"/>
      <c r="P48" s="961"/>
      <c r="Q48" s="961"/>
    </row>
    <row r="49" spans="2:17" ht="12.75" hidden="1" customHeight="1">
      <c r="B49" s="961">
        <v>1981</v>
      </c>
      <c r="C49" s="300">
        <f>C5-$B5</f>
        <v>-3600</v>
      </c>
      <c r="D49" s="300">
        <f t="shared" ref="D49:L49" si="9">D5-$B5</f>
        <v>-12500</v>
      </c>
      <c r="E49" s="300">
        <f t="shared" si="9"/>
        <v>-9000</v>
      </c>
      <c r="F49" s="300">
        <f t="shared" si="9"/>
        <v>-10100</v>
      </c>
      <c r="G49" s="300">
        <f t="shared" si="9"/>
        <v>-4300</v>
      </c>
      <c r="H49" s="300">
        <f t="shared" si="9"/>
        <v>4300</v>
      </c>
      <c r="I49" s="300">
        <f t="shared" si="9"/>
        <v>-6400</v>
      </c>
      <c r="J49" s="300">
        <f t="shared" si="9"/>
        <v>-4500</v>
      </c>
      <c r="K49" s="300">
        <f t="shared" si="9"/>
        <v>6200</v>
      </c>
      <c r="L49" s="300">
        <f t="shared" si="9"/>
        <v>3900</v>
      </c>
      <c r="M49" s="961"/>
      <c r="N49" s="961"/>
      <c r="O49" s="961"/>
      <c r="P49" s="961"/>
      <c r="Q49" s="961"/>
    </row>
    <row r="50" spans="2:17" ht="12.75" hidden="1" customHeight="1">
      <c r="B50" s="961">
        <v>1982</v>
      </c>
      <c r="C50" s="300">
        <f t="shared" ref="C50:L65" si="10">C6-$B6</f>
        <v>-5100</v>
      </c>
      <c r="D50" s="300">
        <f t="shared" si="10"/>
        <v>-10300</v>
      </c>
      <c r="E50" s="300">
        <f t="shared" si="10"/>
        <v>-8000</v>
      </c>
      <c r="F50" s="300">
        <f t="shared" si="10"/>
        <v>-9500</v>
      </c>
      <c r="G50" s="300">
        <f t="shared" si="10"/>
        <v>-3300</v>
      </c>
      <c r="H50" s="300">
        <f t="shared" si="10"/>
        <v>2700</v>
      </c>
      <c r="I50" s="300">
        <f t="shared" si="10"/>
        <v>-5200</v>
      </c>
      <c r="J50" s="300">
        <f t="shared" si="10"/>
        <v>-3700</v>
      </c>
      <c r="K50" s="300">
        <f t="shared" si="10"/>
        <v>7300</v>
      </c>
      <c r="L50" s="300">
        <f t="shared" si="10"/>
        <v>2600</v>
      </c>
      <c r="M50" s="961"/>
      <c r="N50" s="961"/>
      <c r="O50" s="961"/>
      <c r="P50" s="961"/>
      <c r="Q50" s="961"/>
    </row>
    <row r="51" spans="2:17" ht="12.75" hidden="1" customHeight="1">
      <c r="B51" s="961">
        <v>1983</v>
      </c>
      <c r="C51" s="300">
        <f t="shared" si="10"/>
        <v>-8500</v>
      </c>
      <c r="D51" s="300">
        <f t="shared" si="10"/>
        <v>-6200</v>
      </c>
      <c r="E51" s="300">
        <f t="shared" si="10"/>
        <v>-9500</v>
      </c>
      <c r="F51" s="300">
        <f t="shared" si="10"/>
        <v>-9800</v>
      </c>
      <c r="G51" s="300">
        <f t="shared" si="10"/>
        <v>-2500</v>
      </c>
      <c r="H51" s="300">
        <f t="shared" si="10"/>
        <v>3000</v>
      </c>
      <c r="I51" s="300">
        <f t="shared" si="10"/>
        <v>-2600</v>
      </c>
      <c r="J51" s="300">
        <f t="shared" si="10"/>
        <v>-5200</v>
      </c>
      <c r="K51" s="300">
        <f t="shared" si="10"/>
        <v>4700</v>
      </c>
      <c r="L51" s="300">
        <f t="shared" si="10"/>
        <v>2100</v>
      </c>
      <c r="M51" s="961"/>
      <c r="N51" s="961"/>
      <c r="O51" s="961"/>
      <c r="P51" s="961"/>
      <c r="Q51" s="961"/>
    </row>
    <row r="52" spans="2:17" ht="12.75" hidden="1" customHeight="1">
      <c r="B52" s="961">
        <v>1984</v>
      </c>
      <c r="C52" s="300">
        <f t="shared" si="10"/>
        <v>-7500</v>
      </c>
      <c r="D52" s="300">
        <f t="shared" si="10"/>
        <v>-8100</v>
      </c>
      <c r="E52" s="300">
        <f t="shared" si="10"/>
        <v>-5800</v>
      </c>
      <c r="F52" s="300">
        <f t="shared" si="10"/>
        <v>-6100</v>
      </c>
      <c r="G52" s="300">
        <f t="shared" si="10"/>
        <v>-2600</v>
      </c>
      <c r="H52" s="300">
        <f t="shared" si="10"/>
        <v>4700</v>
      </c>
      <c r="I52" s="300">
        <f t="shared" si="10"/>
        <v>-2400</v>
      </c>
      <c r="J52" s="300">
        <f t="shared" si="10"/>
        <v>-4900</v>
      </c>
      <c r="K52" s="300">
        <f t="shared" si="10"/>
        <v>1600</v>
      </c>
      <c r="L52" s="300">
        <f t="shared" si="10"/>
        <v>-1800</v>
      </c>
      <c r="M52" s="961"/>
      <c r="N52" s="961"/>
      <c r="O52" s="961"/>
      <c r="P52" s="961"/>
      <c r="Q52" s="961"/>
    </row>
    <row r="53" spans="2:17" ht="12.75" hidden="1" customHeight="1">
      <c r="B53" s="961">
        <v>1985</v>
      </c>
      <c r="C53" s="300">
        <f t="shared" si="10"/>
        <v>-8800</v>
      </c>
      <c r="D53" s="300">
        <f t="shared" si="10"/>
        <v>-9600</v>
      </c>
      <c r="E53" s="300">
        <f t="shared" si="10"/>
        <v>-6700</v>
      </c>
      <c r="F53" s="300">
        <f t="shared" si="10"/>
        <v>-6900</v>
      </c>
      <c r="G53" s="300">
        <f t="shared" si="10"/>
        <v>-3000</v>
      </c>
      <c r="H53" s="300">
        <f t="shared" si="10"/>
        <v>5200</v>
      </c>
      <c r="I53" s="300">
        <f t="shared" si="10"/>
        <v>-4100</v>
      </c>
      <c r="J53" s="300">
        <f t="shared" si="10"/>
        <v>-4800</v>
      </c>
      <c r="K53" s="300">
        <f t="shared" si="10"/>
        <v>2700</v>
      </c>
      <c r="L53" s="300">
        <f t="shared" si="10"/>
        <v>-2900</v>
      </c>
      <c r="M53" s="961"/>
      <c r="N53" s="961"/>
      <c r="O53" s="961"/>
      <c r="P53" s="961"/>
      <c r="Q53" s="961"/>
    </row>
    <row r="54" spans="2:17" ht="12.75" hidden="1" customHeight="1">
      <c r="B54" s="961">
        <v>1986</v>
      </c>
      <c r="C54" s="300">
        <f t="shared" si="10"/>
        <v>-10100</v>
      </c>
      <c r="D54" s="300">
        <f t="shared" si="10"/>
        <v>-8100</v>
      </c>
      <c r="E54" s="300">
        <f t="shared" si="10"/>
        <v>-6900</v>
      </c>
      <c r="F54" s="300">
        <f t="shared" si="10"/>
        <v>-5300</v>
      </c>
      <c r="G54" s="300">
        <f t="shared" si="10"/>
        <v>-4300</v>
      </c>
      <c r="H54" s="300">
        <f t="shared" si="10"/>
        <v>6500</v>
      </c>
      <c r="I54" s="300">
        <f t="shared" si="10"/>
        <v>-3900</v>
      </c>
      <c r="J54" s="300">
        <f t="shared" si="10"/>
        <v>-8500</v>
      </c>
      <c r="K54" s="300">
        <f t="shared" si="10"/>
        <v>1500</v>
      </c>
      <c r="L54" s="300">
        <f t="shared" si="10"/>
        <v>300</v>
      </c>
      <c r="M54" s="961"/>
      <c r="N54" s="961"/>
      <c r="O54" s="961"/>
      <c r="P54" s="961"/>
      <c r="Q54" s="961"/>
    </row>
    <row r="55" spans="2:17" ht="12.75" hidden="1" customHeight="1">
      <c r="B55" s="961">
        <v>1987</v>
      </c>
      <c r="C55" s="300">
        <f t="shared" si="10"/>
        <v>-6700</v>
      </c>
      <c r="D55" s="300">
        <f t="shared" si="10"/>
        <v>-6900</v>
      </c>
      <c r="E55" s="300">
        <f t="shared" si="10"/>
        <v>-4000</v>
      </c>
      <c r="F55" s="300">
        <f t="shared" si="10"/>
        <v>-8200</v>
      </c>
      <c r="G55" s="300">
        <f t="shared" si="10"/>
        <v>-4300</v>
      </c>
      <c r="H55" s="300">
        <f t="shared" si="10"/>
        <v>7600</v>
      </c>
      <c r="I55" s="300">
        <f t="shared" si="10"/>
        <v>-5200</v>
      </c>
      <c r="J55" s="300">
        <f t="shared" si="10"/>
        <v>-6400</v>
      </c>
      <c r="K55" s="300">
        <f t="shared" si="10"/>
        <v>500</v>
      </c>
      <c r="L55" s="300">
        <f t="shared" si="10"/>
        <v>-2600</v>
      </c>
      <c r="M55" s="961"/>
      <c r="N55" s="961"/>
      <c r="O55" s="961"/>
      <c r="P55" s="961"/>
      <c r="Q55" s="961"/>
    </row>
    <row r="56" spans="2:17" ht="12.75" hidden="1" customHeight="1">
      <c r="B56" s="961">
        <v>1988</v>
      </c>
      <c r="C56" s="300">
        <f t="shared" si="10"/>
        <v>-5800</v>
      </c>
      <c r="D56" s="300">
        <f t="shared" si="10"/>
        <v>-9900</v>
      </c>
      <c r="E56" s="300">
        <f t="shared" si="10"/>
        <v>-5100</v>
      </c>
      <c r="F56" s="300">
        <f t="shared" si="10"/>
        <v>-7300</v>
      </c>
      <c r="G56" s="300">
        <f t="shared" si="10"/>
        <v>-5100</v>
      </c>
      <c r="H56" s="300">
        <f t="shared" si="10"/>
        <v>7900</v>
      </c>
      <c r="I56" s="300">
        <f t="shared" si="10"/>
        <v>-5500</v>
      </c>
      <c r="J56" s="300">
        <f t="shared" si="10"/>
        <v>-8700</v>
      </c>
      <c r="K56" s="300">
        <f t="shared" si="10"/>
        <v>1300</v>
      </c>
      <c r="L56" s="300">
        <f t="shared" si="10"/>
        <v>-100</v>
      </c>
      <c r="M56" s="961"/>
      <c r="N56" s="961"/>
      <c r="O56" s="961"/>
      <c r="P56" s="961"/>
      <c r="Q56" s="961"/>
    </row>
    <row r="57" spans="2:17" ht="12.75" hidden="1" customHeight="1">
      <c r="B57" s="961">
        <v>1989</v>
      </c>
      <c r="C57" s="300">
        <f t="shared" si="10"/>
        <v>-5900</v>
      </c>
      <c r="D57" s="300">
        <f t="shared" si="10"/>
        <v>-11600</v>
      </c>
      <c r="E57" s="300">
        <f t="shared" si="10"/>
        <v>-7500</v>
      </c>
      <c r="F57" s="300">
        <f t="shared" si="10"/>
        <v>-7400</v>
      </c>
      <c r="G57" s="300">
        <f t="shared" si="10"/>
        <v>-4600</v>
      </c>
      <c r="H57" s="300">
        <f t="shared" si="10"/>
        <v>7400</v>
      </c>
      <c r="I57" s="300">
        <f t="shared" si="10"/>
        <v>-6300</v>
      </c>
      <c r="J57" s="300">
        <f t="shared" si="10"/>
        <v>-8900</v>
      </c>
      <c r="K57" s="300">
        <f t="shared" si="10"/>
        <v>500</v>
      </c>
      <c r="L57" s="300">
        <f t="shared" si="10"/>
        <v>0</v>
      </c>
      <c r="M57" s="961"/>
      <c r="N57" s="961"/>
      <c r="O57" s="961"/>
      <c r="P57" s="961"/>
      <c r="Q57" s="961"/>
    </row>
    <row r="58" spans="2:17" ht="12.75" hidden="1" customHeight="1">
      <c r="B58" s="961">
        <v>1990</v>
      </c>
      <c r="C58" s="300">
        <f t="shared" si="10"/>
        <v>-6600</v>
      </c>
      <c r="D58" s="300">
        <f t="shared" si="10"/>
        <v>-7800</v>
      </c>
      <c r="E58" s="300">
        <f t="shared" si="10"/>
        <v>-5700</v>
      </c>
      <c r="F58" s="300">
        <f t="shared" si="10"/>
        <v>-6000</v>
      </c>
      <c r="G58" s="300">
        <f t="shared" si="10"/>
        <v>-6500</v>
      </c>
      <c r="H58" s="300">
        <f t="shared" si="10"/>
        <v>7400</v>
      </c>
      <c r="I58" s="300">
        <f t="shared" si="10"/>
        <v>-4300</v>
      </c>
      <c r="J58" s="300">
        <f t="shared" si="10"/>
        <v>-7900</v>
      </c>
      <c r="K58" s="300">
        <f t="shared" si="10"/>
        <v>1600</v>
      </c>
      <c r="L58" s="300">
        <f t="shared" si="10"/>
        <v>-500</v>
      </c>
      <c r="M58" s="961"/>
      <c r="N58" s="961"/>
      <c r="O58" s="961"/>
      <c r="P58" s="961"/>
      <c r="Q58" s="961"/>
    </row>
    <row r="59" spans="2:17" ht="12.75" hidden="1" customHeight="1">
      <c r="B59" s="961">
        <v>1991</v>
      </c>
      <c r="C59" s="300">
        <f t="shared" si="10"/>
        <v>-5000</v>
      </c>
      <c r="D59" s="300">
        <f t="shared" si="10"/>
        <v>-6200</v>
      </c>
      <c r="E59" s="300">
        <f t="shared" si="10"/>
        <v>-4500</v>
      </c>
      <c r="F59" s="300">
        <f t="shared" si="10"/>
        <v>-6100</v>
      </c>
      <c r="G59" s="300">
        <f t="shared" si="10"/>
        <v>-4600</v>
      </c>
      <c r="H59" s="300">
        <f t="shared" si="10"/>
        <v>5400</v>
      </c>
      <c r="I59" s="300">
        <f t="shared" si="10"/>
        <v>-4700</v>
      </c>
      <c r="J59" s="300">
        <f t="shared" si="10"/>
        <v>-6400</v>
      </c>
      <c r="K59" s="300">
        <f t="shared" si="10"/>
        <v>1800</v>
      </c>
      <c r="L59" s="300">
        <f t="shared" si="10"/>
        <v>100</v>
      </c>
      <c r="M59" s="961"/>
      <c r="N59" s="961"/>
      <c r="O59" s="961"/>
      <c r="P59" s="961"/>
      <c r="Q59" s="961"/>
    </row>
    <row r="60" spans="2:17" ht="12.75" hidden="1" customHeight="1">
      <c r="B60" s="961">
        <v>1992</v>
      </c>
      <c r="C60" s="300">
        <f t="shared" si="10"/>
        <v>-5800</v>
      </c>
      <c r="D60" s="300">
        <f t="shared" si="10"/>
        <v>-5000</v>
      </c>
      <c r="E60" s="300">
        <f t="shared" si="10"/>
        <v>-5100</v>
      </c>
      <c r="F60" s="300">
        <f t="shared" si="10"/>
        <v>-5700</v>
      </c>
      <c r="G60" s="300">
        <f t="shared" si="10"/>
        <v>-5200</v>
      </c>
      <c r="H60" s="300">
        <f t="shared" si="10"/>
        <v>6300</v>
      </c>
      <c r="I60" s="300">
        <f t="shared" si="10"/>
        <v>-5500</v>
      </c>
      <c r="J60" s="300">
        <f t="shared" si="10"/>
        <v>-6600</v>
      </c>
      <c r="K60" s="300">
        <f t="shared" si="10"/>
        <v>-800</v>
      </c>
      <c r="L60" s="300">
        <f t="shared" si="10"/>
        <v>1000</v>
      </c>
      <c r="M60" s="961"/>
      <c r="N60" s="961"/>
      <c r="O60" s="961"/>
      <c r="P60" s="961"/>
      <c r="Q60" s="961"/>
    </row>
    <row r="61" spans="2:17" ht="12.75" hidden="1" customHeight="1">
      <c r="B61" s="961">
        <v>1993</v>
      </c>
      <c r="C61" s="300">
        <f t="shared" si="10"/>
        <v>-4600</v>
      </c>
      <c r="D61" s="300">
        <f t="shared" si="10"/>
        <v>-5000</v>
      </c>
      <c r="E61" s="300">
        <f t="shared" si="10"/>
        <v>-4200</v>
      </c>
      <c r="F61" s="300">
        <f t="shared" si="10"/>
        <v>-4500</v>
      </c>
      <c r="G61" s="300">
        <f t="shared" si="10"/>
        <v>-5400</v>
      </c>
      <c r="H61" s="300">
        <f t="shared" si="10"/>
        <v>5700</v>
      </c>
      <c r="I61" s="300">
        <f t="shared" si="10"/>
        <v>-4500</v>
      </c>
      <c r="J61" s="300">
        <f t="shared" si="10"/>
        <v>-6600</v>
      </c>
      <c r="K61" s="300">
        <f t="shared" si="10"/>
        <v>2800</v>
      </c>
      <c r="L61" s="300">
        <f t="shared" si="10"/>
        <v>1500</v>
      </c>
      <c r="M61" s="961"/>
      <c r="N61" s="961"/>
      <c r="O61" s="961"/>
      <c r="P61" s="961"/>
      <c r="Q61" s="961"/>
    </row>
    <row r="62" spans="2:17" ht="12.75" hidden="1" customHeight="1">
      <c r="B62" s="961">
        <v>1994</v>
      </c>
      <c r="C62" s="300">
        <f t="shared" si="10"/>
        <v>-5800</v>
      </c>
      <c r="D62" s="300">
        <f t="shared" si="10"/>
        <v>-5300</v>
      </c>
      <c r="E62" s="300">
        <f t="shared" si="10"/>
        <v>-5900</v>
      </c>
      <c r="F62" s="300">
        <f t="shared" si="10"/>
        <v>-4500</v>
      </c>
      <c r="G62" s="300">
        <f t="shared" si="10"/>
        <v>-4800</v>
      </c>
      <c r="H62" s="300">
        <f t="shared" si="10"/>
        <v>5200</v>
      </c>
      <c r="I62" s="300">
        <f t="shared" si="10"/>
        <v>-3700</v>
      </c>
      <c r="J62" s="300">
        <f t="shared" si="10"/>
        <v>-5700</v>
      </c>
      <c r="K62" s="300">
        <f t="shared" si="10"/>
        <v>3200</v>
      </c>
      <c r="L62" s="300">
        <f t="shared" si="10"/>
        <v>700</v>
      </c>
      <c r="M62" s="961"/>
      <c r="N62" s="961"/>
      <c r="O62" s="961"/>
      <c r="P62" s="961"/>
      <c r="Q62" s="961"/>
    </row>
    <row r="63" spans="2:17" ht="12.75" hidden="1" customHeight="1">
      <c r="B63" s="961">
        <v>1995</v>
      </c>
      <c r="C63" s="300">
        <f t="shared" si="10"/>
        <v>-5900</v>
      </c>
      <c r="D63" s="300">
        <f t="shared" si="10"/>
        <v>-3500</v>
      </c>
      <c r="E63" s="300">
        <f t="shared" si="10"/>
        <v>-6300</v>
      </c>
      <c r="F63" s="300">
        <f t="shared" si="10"/>
        <v>-5300</v>
      </c>
      <c r="G63" s="300">
        <f t="shared" si="10"/>
        <v>-5000</v>
      </c>
      <c r="H63" s="300">
        <f t="shared" si="10"/>
        <v>5300</v>
      </c>
      <c r="I63" s="300">
        <f t="shared" si="10"/>
        <v>-3100</v>
      </c>
      <c r="J63" s="300">
        <f t="shared" si="10"/>
        <v>-5000</v>
      </c>
      <c r="K63" s="300">
        <f t="shared" si="10"/>
        <v>2200</v>
      </c>
      <c r="L63" s="300">
        <f t="shared" si="10"/>
        <v>1200</v>
      </c>
      <c r="M63" s="961"/>
      <c r="N63" s="961"/>
      <c r="O63" s="961"/>
      <c r="P63" s="961"/>
      <c r="Q63" s="961"/>
    </row>
    <row r="64" spans="2:17" ht="12.75" hidden="1" customHeight="1">
      <c r="B64" s="961">
        <v>1996</v>
      </c>
      <c r="C64" s="300">
        <f t="shared" si="10"/>
        <v>-6300</v>
      </c>
      <c r="D64" s="300">
        <f t="shared" si="10"/>
        <v>-2800</v>
      </c>
      <c r="E64" s="300">
        <f t="shared" si="10"/>
        <v>-6200</v>
      </c>
      <c r="F64" s="300">
        <f t="shared" si="10"/>
        <v>-5500</v>
      </c>
      <c r="G64" s="300">
        <f t="shared" si="10"/>
        <v>-4900</v>
      </c>
      <c r="H64" s="300">
        <f t="shared" si="10"/>
        <v>5300</v>
      </c>
      <c r="I64" s="300">
        <f t="shared" si="10"/>
        <v>-2700</v>
      </c>
      <c r="J64" s="300">
        <f t="shared" si="10"/>
        <v>-4700</v>
      </c>
      <c r="K64" s="300">
        <f t="shared" si="10"/>
        <v>2800</v>
      </c>
      <c r="L64" s="300">
        <f t="shared" si="10"/>
        <v>0</v>
      </c>
      <c r="M64" s="961"/>
      <c r="N64" s="961"/>
      <c r="O64" s="961"/>
      <c r="P64" s="961"/>
      <c r="Q64" s="961"/>
    </row>
    <row r="65" spans="2:17" ht="12.75" hidden="1" customHeight="1">
      <c r="B65" s="961">
        <v>1997</v>
      </c>
      <c r="C65" s="300">
        <f t="shared" si="10"/>
        <v>-7200</v>
      </c>
      <c r="D65" s="300">
        <f t="shared" si="10"/>
        <v>-4700</v>
      </c>
      <c r="E65" s="300">
        <f t="shared" si="10"/>
        <v>-6700</v>
      </c>
      <c r="F65" s="300">
        <f t="shared" si="10"/>
        <v>-5000</v>
      </c>
      <c r="G65" s="300">
        <f t="shared" si="10"/>
        <v>-5600</v>
      </c>
      <c r="H65" s="300">
        <f t="shared" si="10"/>
        <v>5500</v>
      </c>
      <c r="I65" s="300">
        <f t="shared" si="10"/>
        <v>-2000</v>
      </c>
      <c r="J65" s="300">
        <f t="shared" si="10"/>
        <v>-4200</v>
      </c>
      <c r="K65" s="300">
        <f t="shared" si="10"/>
        <v>5400</v>
      </c>
      <c r="L65" s="300">
        <f t="shared" si="10"/>
        <v>100</v>
      </c>
      <c r="M65" s="961"/>
      <c r="N65" s="961"/>
      <c r="O65" s="961"/>
      <c r="P65" s="961"/>
      <c r="Q65" s="961"/>
    </row>
    <row r="66" spans="2:17" ht="12.75" hidden="1" customHeight="1">
      <c r="B66" s="961">
        <v>1998</v>
      </c>
      <c r="C66" s="300">
        <f t="shared" ref="C66:L66" si="11">C22-$B22</f>
        <v>-8100</v>
      </c>
      <c r="D66" s="300">
        <f t="shared" si="11"/>
        <v>-7100</v>
      </c>
      <c r="E66" s="300">
        <f t="shared" si="11"/>
        <v>-7200</v>
      </c>
      <c r="F66" s="300">
        <f t="shared" si="11"/>
        <v>-6200</v>
      </c>
      <c r="G66" s="300">
        <f t="shared" si="11"/>
        <v>-5500</v>
      </c>
      <c r="H66" s="300">
        <f t="shared" si="11"/>
        <v>6000</v>
      </c>
      <c r="I66" s="300">
        <f t="shared" si="11"/>
        <v>-3100</v>
      </c>
      <c r="J66" s="300">
        <f t="shared" si="11"/>
        <v>-5300</v>
      </c>
      <c r="K66" s="300">
        <f t="shared" si="11"/>
        <v>3400</v>
      </c>
      <c r="L66" s="300">
        <f t="shared" si="11"/>
        <v>-300</v>
      </c>
      <c r="M66" s="961"/>
      <c r="N66" s="961"/>
      <c r="O66" s="961"/>
      <c r="P66" s="961"/>
      <c r="Q66" s="961"/>
    </row>
    <row r="67" spans="2:17" ht="12.75" hidden="1" customHeight="1">
      <c r="B67" s="961">
        <v>1999</v>
      </c>
      <c r="C67" s="300">
        <f t="shared" ref="C67:L67" si="12">C23-$B23</f>
        <v>-8100</v>
      </c>
      <c r="D67" s="300">
        <f t="shared" si="12"/>
        <v>-9800</v>
      </c>
      <c r="E67" s="300">
        <f t="shared" si="12"/>
        <v>-5700</v>
      </c>
      <c r="F67" s="300">
        <f t="shared" si="12"/>
        <v>-5500</v>
      </c>
      <c r="G67" s="300">
        <f t="shared" si="12"/>
        <v>-5300</v>
      </c>
      <c r="H67" s="300">
        <f t="shared" si="12"/>
        <v>7100</v>
      </c>
      <c r="I67" s="300">
        <f t="shared" si="12"/>
        <v>-2500</v>
      </c>
      <c r="J67" s="300">
        <f t="shared" si="12"/>
        <v>-5400</v>
      </c>
      <c r="K67" s="300">
        <f t="shared" si="12"/>
        <v>4000</v>
      </c>
      <c r="L67" s="300">
        <f t="shared" si="12"/>
        <v>-1500</v>
      </c>
      <c r="M67" s="961"/>
      <c r="N67" s="961"/>
      <c r="O67" s="961"/>
      <c r="P67" s="961"/>
      <c r="Q67" s="961"/>
    </row>
    <row r="68" spans="2:17" ht="12.75" hidden="1" customHeight="1">
      <c r="B68" s="961">
        <v>2000</v>
      </c>
      <c r="C68" s="300">
        <f t="shared" ref="C68:L68" si="13">C24-$B24</f>
        <v>-8900</v>
      </c>
      <c r="D68" s="300">
        <f t="shared" si="13"/>
        <v>-8700</v>
      </c>
      <c r="E68" s="300">
        <f t="shared" si="13"/>
        <v>-7100</v>
      </c>
      <c r="F68" s="300">
        <f t="shared" si="13"/>
        <v>-6200</v>
      </c>
      <c r="G68" s="300">
        <f t="shared" si="13"/>
        <v>-5800</v>
      </c>
      <c r="H68" s="300">
        <f t="shared" si="13"/>
        <v>7700</v>
      </c>
      <c r="I68" s="300">
        <f t="shared" si="13"/>
        <v>-3800</v>
      </c>
      <c r="J68" s="300">
        <f t="shared" si="13"/>
        <v>-5800</v>
      </c>
      <c r="K68" s="300">
        <f t="shared" si="13"/>
        <v>4800</v>
      </c>
      <c r="L68" s="300">
        <f t="shared" si="13"/>
        <v>-2800</v>
      </c>
      <c r="M68" s="961"/>
      <c r="N68" s="961"/>
      <c r="O68" s="961"/>
      <c r="P68" s="961"/>
      <c r="Q68" s="961"/>
    </row>
    <row r="69" spans="2:17" ht="12.75" hidden="1" customHeight="1">
      <c r="B69" s="961">
        <v>2001</v>
      </c>
      <c r="C69" s="300">
        <f t="shared" ref="C69:L69" si="14">C25-$B25</f>
        <v>-10300</v>
      </c>
      <c r="D69" s="300">
        <f t="shared" si="14"/>
        <v>-10600</v>
      </c>
      <c r="E69" s="300">
        <f t="shared" si="14"/>
        <v>-6600</v>
      </c>
      <c r="F69" s="300">
        <f t="shared" si="14"/>
        <v>-6300</v>
      </c>
      <c r="G69" s="300">
        <f t="shared" si="14"/>
        <v>-6000</v>
      </c>
      <c r="H69" s="300">
        <f t="shared" si="14"/>
        <v>6800</v>
      </c>
      <c r="I69" s="300">
        <f t="shared" si="14"/>
        <v>-3800</v>
      </c>
      <c r="J69" s="300">
        <f t="shared" si="14"/>
        <v>-5000</v>
      </c>
      <c r="K69" s="300">
        <f t="shared" si="14"/>
        <v>6200</v>
      </c>
      <c r="L69" s="300">
        <f t="shared" si="14"/>
        <v>-3400</v>
      </c>
      <c r="M69" s="961"/>
      <c r="N69" s="961"/>
      <c r="O69" s="961"/>
      <c r="P69" s="961"/>
      <c r="Q69" s="961"/>
    </row>
    <row r="70" spans="2:17" ht="12.75" hidden="1" customHeight="1">
      <c r="B70" s="961">
        <v>2002</v>
      </c>
      <c r="C70" s="300">
        <f t="shared" ref="C70:L70" si="15">C26-$B26</f>
        <v>-9000</v>
      </c>
      <c r="D70" s="300">
        <f t="shared" si="15"/>
        <v>-8100</v>
      </c>
      <c r="E70" s="300">
        <f t="shared" si="15"/>
        <v>-7200</v>
      </c>
      <c r="F70" s="300">
        <f t="shared" si="15"/>
        <v>-7100</v>
      </c>
      <c r="G70" s="300">
        <f t="shared" si="15"/>
        <v>-5500</v>
      </c>
      <c r="H70" s="300">
        <f t="shared" si="15"/>
        <v>6700</v>
      </c>
      <c r="I70" s="300">
        <f t="shared" si="15"/>
        <v>-4700</v>
      </c>
      <c r="J70" s="300">
        <f t="shared" si="15"/>
        <v>-5100</v>
      </c>
      <c r="K70" s="300">
        <f t="shared" si="15"/>
        <v>6200</v>
      </c>
      <c r="L70" s="300">
        <f t="shared" si="15"/>
        <v>-2600</v>
      </c>
      <c r="M70" s="961"/>
      <c r="N70" s="961"/>
      <c r="O70" s="961"/>
      <c r="P70" s="961"/>
      <c r="Q70" s="961"/>
    </row>
    <row r="71" spans="2:17" ht="12.75" hidden="1" customHeight="1">
      <c r="B71" s="961">
        <v>2003</v>
      </c>
      <c r="C71" s="300">
        <f t="shared" ref="C71:L71" si="16">C27-$B27</f>
        <v>-8900</v>
      </c>
      <c r="D71" s="300">
        <f t="shared" si="16"/>
        <v>-6600</v>
      </c>
      <c r="E71" s="300">
        <f t="shared" si="16"/>
        <v>-7400</v>
      </c>
      <c r="F71" s="300">
        <f t="shared" si="16"/>
        <v>-6900</v>
      </c>
      <c r="G71" s="300">
        <f t="shared" si="16"/>
        <v>-5300</v>
      </c>
      <c r="H71" s="300">
        <f t="shared" si="16"/>
        <v>7500</v>
      </c>
      <c r="I71" s="300">
        <f t="shared" si="16"/>
        <v>-3100</v>
      </c>
      <c r="J71" s="300">
        <f t="shared" si="16"/>
        <v>-4900</v>
      </c>
      <c r="K71" s="300">
        <f t="shared" si="16"/>
        <v>4900</v>
      </c>
      <c r="L71" s="300">
        <f t="shared" si="16"/>
        <v>-3400</v>
      </c>
      <c r="M71" s="961"/>
      <c r="N71" s="961"/>
      <c r="O71" s="961"/>
      <c r="P71" s="961"/>
      <c r="Q71" s="961"/>
    </row>
    <row r="72" spans="2:17" ht="12.75" hidden="1" customHeight="1">
      <c r="B72" s="961">
        <v>2004</v>
      </c>
      <c r="C72" s="300">
        <f t="shared" ref="C72:L72" si="17">C28-$B28</f>
        <v>-9600</v>
      </c>
      <c r="D72" s="300">
        <f t="shared" si="17"/>
        <v>-5400</v>
      </c>
      <c r="E72" s="300">
        <f t="shared" si="17"/>
        <v>-6400</v>
      </c>
      <c r="F72" s="300">
        <f t="shared" si="17"/>
        <v>-6900</v>
      </c>
      <c r="G72" s="300">
        <f t="shared" si="17"/>
        <v>-6000</v>
      </c>
      <c r="H72" s="300">
        <f t="shared" si="17"/>
        <v>6500</v>
      </c>
      <c r="I72" s="300">
        <f t="shared" si="17"/>
        <v>-3100</v>
      </c>
      <c r="J72" s="300">
        <f t="shared" si="17"/>
        <v>-4500</v>
      </c>
      <c r="K72" s="300">
        <f t="shared" si="17"/>
        <v>6600</v>
      </c>
      <c r="L72" s="300">
        <f t="shared" si="17"/>
        <v>-1700</v>
      </c>
      <c r="M72" s="961"/>
      <c r="N72" s="961"/>
      <c r="O72" s="961"/>
      <c r="P72" s="961"/>
      <c r="Q72" s="961"/>
    </row>
    <row r="73" spans="2:17" ht="12.75" hidden="1" customHeight="1">
      <c r="B73" s="961">
        <v>2005</v>
      </c>
      <c r="C73" s="300">
        <f t="shared" ref="C73:L73" si="18">C32-$B32</f>
        <v>0</v>
      </c>
      <c r="D73" s="300" t="e">
        <f t="shared" si="18"/>
        <v>#VALUE!</v>
      </c>
      <c r="E73" s="300">
        <f t="shared" si="18"/>
        <v>0</v>
      </c>
      <c r="F73" s="300">
        <f t="shared" si="18"/>
        <v>0</v>
      </c>
      <c r="G73" s="300">
        <f t="shared" si="18"/>
        <v>0</v>
      </c>
      <c r="H73" s="300">
        <f t="shared" si="18"/>
        <v>0</v>
      </c>
      <c r="I73" s="300">
        <f t="shared" si="18"/>
        <v>0</v>
      </c>
      <c r="J73" s="300">
        <f t="shared" si="18"/>
        <v>0</v>
      </c>
      <c r="K73" s="300">
        <f t="shared" si="18"/>
        <v>0</v>
      </c>
      <c r="L73" s="300">
        <f t="shared" si="18"/>
        <v>0</v>
      </c>
      <c r="M73" s="961"/>
      <c r="N73" s="961"/>
      <c r="O73" s="961"/>
      <c r="P73" s="961"/>
      <c r="Q73" s="961"/>
    </row>
    <row r="74" spans="2:17" ht="12.75" hidden="1" customHeight="1">
      <c r="B74" s="961"/>
      <c r="C74" s="961"/>
      <c r="D74" s="961"/>
      <c r="E74" s="961"/>
      <c r="F74" s="961"/>
      <c r="G74" s="961"/>
      <c r="H74" s="961"/>
      <c r="I74" s="961"/>
      <c r="J74" s="961"/>
      <c r="K74" s="961"/>
      <c r="L74" s="961"/>
      <c r="M74" s="961"/>
      <c r="N74" s="961"/>
      <c r="O74" s="961"/>
      <c r="P74" s="961"/>
      <c r="Q74" s="961"/>
    </row>
    <row r="75" spans="2:17" ht="12.75" hidden="1" customHeight="1">
      <c r="B75" s="961" t="s">
        <v>280</v>
      </c>
      <c r="C75" s="961"/>
      <c r="D75" s="961"/>
      <c r="E75" s="961"/>
      <c r="F75" s="961"/>
      <c r="G75" s="961"/>
      <c r="H75" s="961"/>
      <c r="I75" s="961"/>
      <c r="J75" s="961"/>
      <c r="K75" s="961"/>
      <c r="L75" s="961"/>
      <c r="M75" s="961"/>
      <c r="N75" s="961"/>
      <c r="O75" s="961"/>
      <c r="P75" s="961"/>
      <c r="Q75" s="961"/>
    </row>
    <row r="76" spans="2:17" ht="12.75" hidden="1" customHeight="1">
      <c r="B76" s="961">
        <v>1981</v>
      </c>
      <c r="C76" s="300">
        <f>C49^2</f>
        <v>12960000</v>
      </c>
      <c r="D76" s="300">
        <f t="shared" ref="D76:L76" si="19">D49^2</f>
        <v>156250000</v>
      </c>
      <c r="E76" s="300">
        <f t="shared" si="19"/>
        <v>81000000</v>
      </c>
      <c r="F76" s="300">
        <f t="shared" si="19"/>
        <v>102010000</v>
      </c>
      <c r="G76" s="300">
        <f t="shared" si="19"/>
        <v>18490000</v>
      </c>
      <c r="H76" s="300">
        <f t="shared" si="19"/>
        <v>18490000</v>
      </c>
      <c r="I76" s="300">
        <f t="shared" si="19"/>
        <v>40960000</v>
      </c>
      <c r="J76" s="300">
        <f t="shared" si="19"/>
        <v>20250000</v>
      </c>
      <c r="K76" s="300">
        <f t="shared" si="19"/>
        <v>38440000</v>
      </c>
      <c r="L76" s="300">
        <f t="shared" si="19"/>
        <v>15210000</v>
      </c>
      <c r="M76" s="961"/>
      <c r="N76" s="961"/>
      <c r="O76" s="961"/>
      <c r="P76" s="961"/>
      <c r="Q76" s="961"/>
    </row>
    <row r="77" spans="2:17" ht="12.75" hidden="1" customHeight="1">
      <c r="B77" s="961">
        <v>1982</v>
      </c>
      <c r="C77" s="300">
        <f t="shared" ref="C77:L92" si="20">C50^2</f>
        <v>26010000</v>
      </c>
      <c r="D77" s="300">
        <f t="shared" si="20"/>
        <v>106090000</v>
      </c>
      <c r="E77" s="300">
        <f t="shared" si="20"/>
        <v>64000000</v>
      </c>
      <c r="F77" s="300">
        <f t="shared" si="20"/>
        <v>90250000</v>
      </c>
      <c r="G77" s="300">
        <f t="shared" si="20"/>
        <v>10890000</v>
      </c>
      <c r="H77" s="300">
        <f t="shared" si="20"/>
        <v>7290000</v>
      </c>
      <c r="I77" s="300">
        <f t="shared" si="20"/>
        <v>27040000</v>
      </c>
      <c r="J77" s="300">
        <f t="shared" si="20"/>
        <v>13690000</v>
      </c>
      <c r="K77" s="300">
        <f t="shared" si="20"/>
        <v>53290000</v>
      </c>
      <c r="L77" s="300">
        <f t="shared" si="20"/>
        <v>6760000</v>
      </c>
      <c r="M77" s="961"/>
      <c r="N77" s="961"/>
      <c r="O77" s="961"/>
      <c r="P77" s="961"/>
      <c r="Q77" s="961"/>
    </row>
    <row r="78" spans="2:17" ht="12.75" hidden="1" customHeight="1">
      <c r="B78" s="961">
        <v>1983</v>
      </c>
      <c r="C78" s="300">
        <f t="shared" si="20"/>
        <v>72250000</v>
      </c>
      <c r="D78" s="300">
        <f t="shared" si="20"/>
        <v>38440000</v>
      </c>
      <c r="E78" s="300">
        <f t="shared" si="20"/>
        <v>90250000</v>
      </c>
      <c r="F78" s="300">
        <f t="shared" si="20"/>
        <v>96040000</v>
      </c>
      <c r="G78" s="300">
        <f t="shared" si="20"/>
        <v>6250000</v>
      </c>
      <c r="H78" s="300">
        <f t="shared" si="20"/>
        <v>9000000</v>
      </c>
      <c r="I78" s="300">
        <f t="shared" si="20"/>
        <v>6760000</v>
      </c>
      <c r="J78" s="300">
        <f t="shared" si="20"/>
        <v>27040000</v>
      </c>
      <c r="K78" s="300">
        <f t="shared" si="20"/>
        <v>22090000</v>
      </c>
      <c r="L78" s="300">
        <f t="shared" si="20"/>
        <v>4410000</v>
      </c>
      <c r="M78" s="961"/>
      <c r="N78" s="961"/>
      <c r="O78" s="961"/>
      <c r="P78" s="961"/>
      <c r="Q78" s="961"/>
    </row>
    <row r="79" spans="2:17" ht="12.75" hidden="1" customHeight="1">
      <c r="B79" s="961">
        <v>1984</v>
      </c>
      <c r="C79" s="300">
        <f t="shared" si="20"/>
        <v>56250000</v>
      </c>
      <c r="D79" s="300">
        <f t="shared" si="20"/>
        <v>65610000</v>
      </c>
      <c r="E79" s="300">
        <f t="shared" si="20"/>
        <v>33640000</v>
      </c>
      <c r="F79" s="300">
        <f t="shared" si="20"/>
        <v>37210000</v>
      </c>
      <c r="G79" s="300">
        <f t="shared" si="20"/>
        <v>6760000</v>
      </c>
      <c r="H79" s="300">
        <f t="shared" si="20"/>
        <v>22090000</v>
      </c>
      <c r="I79" s="300">
        <f t="shared" si="20"/>
        <v>5760000</v>
      </c>
      <c r="J79" s="300">
        <f t="shared" si="20"/>
        <v>24010000</v>
      </c>
      <c r="K79" s="300">
        <f t="shared" si="20"/>
        <v>2560000</v>
      </c>
      <c r="L79" s="300">
        <f t="shared" si="20"/>
        <v>3240000</v>
      </c>
      <c r="M79" s="961"/>
      <c r="N79" s="961"/>
      <c r="O79" s="961"/>
      <c r="P79" s="961"/>
      <c r="Q79" s="961"/>
    </row>
    <row r="80" spans="2:17" ht="12.75" hidden="1" customHeight="1">
      <c r="B80" s="961">
        <v>1985</v>
      </c>
      <c r="C80" s="300">
        <f t="shared" si="20"/>
        <v>77440000</v>
      </c>
      <c r="D80" s="300">
        <f t="shared" si="20"/>
        <v>92160000</v>
      </c>
      <c r="E80" s="300">
        <f t="shared" si="20"/>
        <v>44890000</v>
      </c>
      <c r="F80" s="300">
        <f t="shared" si="20"/>
        <v>47610000</v>
      </c>
      <c r="G80" s="300">
        <f t="shared" si="20"/>
        <v>9000000</v>
      </c>
      <c r="H80" s="300">
        <f t="shared" si="20"/>
        <v>27040000</v>
      </c>
      <c r="I80" s="300">
        <f t="shared" si="20"/>
        <v>16810000</v>
      </c>
      <c r="J80" s="300">
        <f t="shared" si="20"/>
        <v>23040000</v>
      </c>
      <c r="K80" s="300">
        <f t="shared" si="20"/>
        <v>7290000</v>
      </c>
      <c r="L80" s="300">
        <f t="shared" si="20"/>
        <v>8410000</v>
      </c>
      <c r="M80" s="961"/>
      <c r="N80" s="961"/>
      <c r="O80" s="961"/>
      <c r="P80" s="961"/>
      <c r="Q80" s="961"/>
    </row>
    <row r="81" spans="2:17" ht="12.75" hidden="1" customHeight="1">
      <c r="B81" s="961">
        <v>1986</v>
      </c>
      <c r="C81" s="300">
        <f t="shared" si="20"/>
        <v>102010000</v>
      </c>
      <c r="D81" s="300">
        <f t="shared" si="20"/>
        <v>65610000</v>
      </c>
      <c r="E81" s="300">
        <f t="shared" si="20"/>
        <v>47610000</v>
      </c>
      <c r="F81" s="300">
        <f t="shared" si="20"/>
        <v>28090000</v>
      </c>
      <c r="G81" s="300">
        <f t="shared" si="20"/>
        <v>18490000</v>
      </c>
      <c r="H81" s="300">
        <f t="shared" si="20"/>
        <v>42250000</v>
      </c>
      <c r="I81" s="300">
        <f t="shared" si="20"/>
        <v>15210000</v>
      </c>
      <c r="J81" s="300">
        <f t="shared" si="20"/>
        <v>72250000</v>
      </c>
      <c r="K81" s="300">
        <f t="shared" si="20"/>
        <v>2250000</v>
      </c>
      <c r="L81" s="300">
        <f t="shared" si="20"/>
        <v>90000</v>
      </c>
      <c r="M81" s="961"/>
      <c r="N81" s="961"/>
      <c r="O81" s="961"/>
      <c r="P81" s="961"/>
      <c r="Q81" s="961"/>
    </row>
    <row r="82" spans="2:17" ht="12.75" hidden="1" customHeight="1">
      <c r="B82" s="961">
        <v>1987</v>
      </c>
      <c r="C82" s="300">
        <f t="shared" si="20"/>
        <v>44890000</v>
      </c>
      <c r="D82" s="300">
        <f t="shared" si="20"/>
        <v>47610000</v>
      </c>
      <c r="E82" s="300">
        <f t="shared" si="20"/>
        <v>16000000</v>
      </c>
      <c r="F82" s="300">
        <f t="shared" si="20"/>
        <v>67240000</v>
      </c>
      <c r="G82" s="300">
        <f t="shared" si="20"/>
        <v>18490000</v>
      </c>
      <c r="H82" s="300">
        <f t="shared" si="20"/>
        <v>57760000</v>
      </c>
      <c r="I82" s="300">
        <f t="shared" si="20"/>
        <v>27040000</v>
      </c>
      <c r="J82" s="300">
        <f t="shared" si="20"/>
        <v>40960000</v>
      </c>
      <c r="K82" s="300">
        <f t="shared" si="20"/>
        <v>250000</v>
      </c>
      <c r="L82" s="300">
        <f t="shared" si="20"/>
        <v>6760000</v>
      </c>
      <c r="M82" s="961"/>
      <c r="N82" s="961"/>
      <c r="O82" s="961"/>
      <c r="P82" s="961"/>
      <c r="Q82" s="961"/>
    </row>
    <row r="83" spans="2:17" ht="12.75" hidden="1" customHeight="1">
      <c r="B83" s="961">
        <v>1988</v>
      </c>
      <c r="C83" s="300">
        <f t="shared" si="20"/>
        <v>33640000</v>
      </c>
      <c r="D83" s="300">
        <f t="shared" si="20"/>
        <v>98010000</v>
      </c>
      <c r="E83" s="300">
        <f t="shared" si="20"/>
        <v>26010000</v>
      </c>
      <c r="F83" s="300">
        <f t="shared" si="20"/>
        <v>53290000</v>
      </c>
      <c r="G83" s="300">
        <f t="shared" si="20"/>
        <v>26010000</v>
      </c>
      <c r="H83" s="300">
        <f t="shared" si="20"/>
        <v>62410000</v>
      </c>
      <c r="I83" s="300">
        <f t="shared" si="20"/>
        <v>30250000</v>
      </c>
      <c r="J83" s="300">
        <f t="shared" si="20"/>
        <v>75690000</v>
      </c>
      <c r="K83" s="300">
        <f t="shared" si="20"/>
        <v>1690000</v>
      </c>
      <c r="L83" s="300">
        <f t="shared" si="20"/>
        <v>10000</v>
      </c>
      <c r="M83" s="961"/>
      <c r="N83" s="961"/>
      <c r="O83" s="961"/>
      <c r="P83" s="961"/>
      <c r="Q83" s="961"/>
    </row>
    <row r="84" spans="2:17" hidden="1">
      <c r="B84" s="1">
        <v>1989</v>
      </c>
      <c r="C84" s="300">
        <f t="shared" si="20"/>
        <v>34810000</v>
      </c>
      <c r="D84" s="300">
        <f t="shared" si="20"/>
        <v>134560000</v>
      </c>
      <c r="E84" s="300">
        <f t="shared" si="20"/>
        <v>56250000</v>
      </c>
      <c r="F84" s="300">
        <f t="shared" si="20"/>
        <v>54760000</v>
      </c>
      <c r="G84" s="300">
        <f t="shared" si="20"/>
        <v>21160000</v>
      </c>
      <c r="H84" s="300">
        <f t="shared" si="20"/>
        <v>54760000</v>
      </c>
      <c r="I84" s="300">
        <f t="shared" si="20"/>
        <v>39690000</v>
      </c>
      <c r="J84" s="300">
        <f t="shared" si="20"/>
        <v>79210000</v>
      </c>
      <c r="K84" s="300">
        <f t="shared" si="20"/>
        <v>250000</v>
      </c>
      <c r="L84" s="300">
        <f t="shared" si="20"/>
        <v>0</v>
      </c>
    </row>
    <row r="85" spans="2:17" hidden="1">
      <c r="B85" s="1">
        <v>1990</v>
      </c>
      <c r="C85" s="300">
        <f t="shared" si="20"/>
        <v>43560000</v>
      </c>
      <c r="D85" s="300">
        <f t="shared" si="20"/>
        <v>60840000</v>
      </c>
      <c r="E85" s="300">
        <f t="shared" si="20"/>
        <v>32490000</v>
      </c>
      <c r="F85" s="300">
        <f t="shared" si="20"/>
        <v>36000000</v>
      </c>
      <c r="G85" s="300">
        <f t="shared" si="20"/>
        <v>42250000</v>
      </c>
      <c r="H85" s="300">
        <f t="shared" si="20"/>
        <v>54760000</v>
      </c>
      <c r="I85" s="300">
        <f t="shared" si="20"/>
        <v>18490000</v>
      </c>
      <c r="J85" s="300">
        <f t="shared" si="20"/>
        <v>62410000</v>
      </c>
      <c r="K85" s="300">
        <f t="shared" si="20"/>
        <v>2560000</v>
      </c>
      <c r="L85" s="300">
        <f t="shared" si="20"/>
        <v>250000</v>
      </c>
    </row>
    <row r="86" spans="2:17" hidden="1">
      <c r="B86" s="1">
        <v>1991</v>
      </c>
      <c r="C86" s="300">
        <f t="shared" si="20"/>
        <v>25000000</v>
      </c>
      <c r="D86" s="300">
        <f t="shared" si="20"/>
        <v>38440000</v>
      </c>
      <c r="E86" s="300">
        <f t="shared" si="20"/>
        <v>20250000</v>
      </c>
      <c r="F86" s="300">
        <f t="shared" si="20"/>
        <v>37210000</v>
      </c>
      <c r="G86" s="300">
        <f t="shared" si="20"/>
        <v>21160000</v>
      </c>
      <c r="H86" s="300">
        <f t="shared" si="20"/>
        <v>29160000</v>
      </c>
      <c r="I86" s="300">
        <f t="shared" si="20"/>
        <v>22090000</v>
      </c>
      <c r="J86" s="300">
        <f t="shared" si="20"/>
        <v>40960000</v>
      </c>
      <c r="K86" s="300">
        <f t="shared" si="20"/>
        <v>3240000</v>
      </c>
      <c r="L86" s="300">
        <f t="shared" si="20"/>
        <v>10000</v>
      </c>
    </row>
    <row r="87" spans="2:17" hidden="1">
      <c r="B87" s="1">
        <v>1992</v>
      </c>
      <c r="C87" s="300">
        <f t="shared" si="20"/>
        <v>33640000</v>
      </c>
      <c r="D87" s="300">
        <f t="shared" si="20"/>
        <v>25000000</v>
      </c>
      <c r="E87" s="300">
        <f t="shared" si="20"/>
        <v>26010000</v>
      </c>
      <c r="F87" s="300">
        <f t="shared" si="20"/>
        <v>32490000</v>
      </c>
      <c r="G87" s="300">
        <f t="shared" si="20"/>
        <v>27040000</v>
      </c>
      <c r="H87" s="300">
        <f t="shared" si="20"/>
        <v>39690000</v>
      </c>
      <c r="I87" s="300">
        <f t="shared" si="20"/>
        <v>30250000</v>
      </c>
      <c r="J87" s="300">
        <f t="shared" si="20"/>
        <v>43560000</v>
      </c>
      <c r="K87" s="300">
        <f t="shared" si="20"/>
        <v>640000</v>
      </c>
      <c r="L87" s="300">
        <f t="shared" si="20"/>
        <v>1000000</v>
      </c>
    </row>
    <row r="88" spans="2:17" hidden="1">
      <c r="B88" s="1">
        <v>1993</v>
      </c>
      <c r="C88" s="300">
        <f t="shared" si="20"/>
        <v>21160000</v>
      </c>
      <c r="D88" s="300">
        <f t="shared" si="20"/>
        <v>25000000</v>
      </c>
      <c r="E88" s="300">
        <f t="shared" si="20"/>
        <v>17640000</v>
      </c>
      <c r="F88" s="300">
        <f t="shared" si="20"/>
        <v>20250000</v>
      </c>
      <c r="G88" s="300">
        <f t="shared" si="20"/>
        <v>29160000</v>
      </c>
      <c r="H88" s="300">
        <f t="shared" si="20"/>
        <v>32490000</v>
      </c>
      <c r="I88" s="300">
        <f t="shared" si="20"/>
        <v>20250000</v>
      </c>
      <c r="J88" s="300">
        <f t="shared" si="20"/>
        <v>43560000</v>
      </c>
      <c r="K88" s="300">
        <f t="shared" si="20"/>
        <v>7840000</v>
      </c>
      <c r="L88" s="300">
        <f t="shared" si="20"/>
        <v>2250000</v>
      </c>
    </row>
    <row r="89" spans="2:17" hidden="1">
      <c r="B89" s="1">
        <v>1994</v>
      </c>
      <c r="C89" s="300">
        <f t="shared" si="20"/>
        <v>33640000</v>
      </c>
      <c r="D89" s="300">
        <f t="shared" si="20"/>
        <v>28090000</v>
      </c>
      <c r="E89" s="300">
        <f t="shared" si="20"/>
        <v>34810000</v>
      </c>
      <c r="F89" s="300">
        <f t="shared" si="20"/>
        <v>20250000</v>
      </c>
      <c r="G89" s="300">
        <f t="shared" si="20"/>
        <v>23040000</v>
      </c>
      <c r="H89" s="300">
        <f t="shared" si="20"/>
        <v>27040000</v>
      </c>
      <c r="I89" s="300">
        <f t="shared" si="20"/>
        <v>13690000</v>
      </c>
      <c r="J89" s="300">
        <f t="shared" si="20"/>
        <v>32490000</v>
      </c>
      <c r="K89" s="300">
        <f t="shared" si="20"/>
        <v>10240000</v>
      </c>
      <c r="L89" s="300">
        <f t="shared" si="20"/>
        <v>490000</v>
      </c>
    </row>
    <row r="90" spans="2:17" hidden="1">
      <c r="B90" s="1">
        <v>1995</v>
      </c>
      <c r="C90" s="300">
        <f t="shared" si="20"/>
        <v>34810000</v>
      </c>
      <c r="D90" s="300">
        <f t="shared" si="20"/>
        <v>12250000</v>
      </c>
      <c r="E90" s="300">
        <f t="shared" si="20"/>
        <v>39690000</v>
      </c>
      <c r="F90" s="300">
        <f t="shared" si="20"/>
        <v>28090000</v>
      </c>
      <c r="G90" s="300">
        <f t="shared" si="20"/>
        <v>25000000</v>
      </c>
      <c r="H90" s="300">
        <f t="shared" si="20"/>
        <v>28090000</v>
      </c>
      <c r="I90" s="300">
        <f t="shared" si="20"/>
        <v>9610000</v>
      </c>
      <c r="J90" s="300">
        <f t="shared" si="20"/>
        <v>25000000</v>
      </c>
      <c r="K90" s="300">
        <f t="shared" si="20"/>
        <v>4840000</v>
      </c>
      <c r="L90" s="300">
        <f t="shared" si="20"/>
        <v>1440000</v>
      </c>
    </row>
    <row r="91" spans="2:17" hidden="1">
      <c r="B91" s="1">
        <v>1996</v>
      </c>
      <c r="C91" s="300">
        <f t="shared" si="20"/>
        <v>39690000</v>
      </c>
      <c r="D91" s="300">
        <f t="shared" si="20"/>
        <v>7840000</v>
      </c>
      <c r="E91" s="300">
        <f t="shared" si="20"/>
        <v>38440000</v>
      </c>
      <c r="F91" s="300">
        <f t="shared" si="20"/>
        <v>30250000</v>
      </c>
      <c r="G91" s="300">
        <f t="shared" si="20"/>
        <v>24010000</v>
      </c>
      <c r="H91" s="300">
        <f t="shared" si="20"/>
        <v>28090000</v>
      </c>
      <c r="I91" s="300">
        <f t="shared" si="20"/>
        <v>7290000</v>
      </c>
      <c r="J91" s="300">
        <f t="shared" si="20"/>
        <v>22090000</v>
      </c>
      <c r="K91" s="300">
        <f t="shared" si="20"/>
        <v>7840000</v>
      </c>
      <c r="L91" s="300">
        <f t="shared" si="20"/>
        <v>0</v>
      </c>
    </row>
    <row r="92" spans="2:17" hidden="1">
      <c r="B92" s="1">
        <v>1997</v>
      </c>
      <c r="C92" s="300">
        <f t="shared" si="20"/>
        <v>51840000</v>
      </c>
      <c r="D92" s="300">
        <f t="shared" si="20"/>
        <v>22090000</v>
      </c>
      <c r="E92" s="300">
        <f t="shared" si="20"/>
        <v>44890000</v>
      </c>
      <c r="F92" s="300">
        <f t="shared" si="20"/>
        <v>25000000</v>
      </c>
      <c r="G92" s="300">
        <f t="shared" si="20"/>
        <v>31360000</v>
      </c>
      <c r="H92" s="300">
        <f t="shared" si="20"/>
        <v>30250000</v>
      </c>
      <c r="I92" s="300">
        <f t="shared" si="20"/>
        <v>4000000</v>
      </c>
      <c r="J92" s="300">
        <f t="shared" si="20"/>
        <v>17640000</v>
      </c>
      <c r="K92" s="300">
        <f t="shared" si="20"/>
        <v>29160000</v>
      </c>
      <c r="L92" s="300">
        <f t="shared" si="20"/>
        <v>10000</v>
      </c>
    </row>
    <row r="93" spans="2:17" hidden="1">
      <c r="B93" s="1">
        <v>1998</v>
      </c>
      <c r="C93" s="300">
        <f t="shared" ref="C93:L100" si="21">C66^2</f>
        <v>65610000</v>
      </c>
      <c r="D93" s="300">
        <f t="shared" si="21"/>
        <v>50410000</v>
      </c>
      <c r="E93" s="300">
        <f t="shared" si="21"/>
        <v>51840000</v>
      </c>
      <c r="F93" s="300">
        <f t="shared" si="21"/>
        <v>38440000</v>
      </c>
      <c r="G93" s="300">
        <f t="shared" si="21"/>
        <v>30250000</v>
      </c>
      <c r="H93" s="300">
        <f t="shared" si="21"/>
        <v>36000000</v>
      </c>
      <c r="I93" s="300">
        <f t="shared" si="21"/>
        <v>9610000</v>
      </c>
      <c r="J93" s="300">
        <f t="shared" si="21"/>
        <v>28090000</v>
      </c>
      <c r="K93" s="300">
        <f t="shared" si="21"/>
        <v>11560000</v>
      </c>
      <c r="L93" s="300">
        <f t="shared" si="21"/>
        <v>90000</v>
      </c>
    </row>
    <row r="94" spans="2:17" hidden="1">
      <c r="B94" s="1">
        <v>1999</v>
      </c>
      <c r="C94" s="300">
        <f t="shared" si="21"/>
        <v>65610000</v>
      </c>
      <c r="D94" s="300">
        <f t="shared" si="21"/>
        <v>96040000</v>
      </c>
      <c r="E94" s="300">
        <f t="shared" si="21"/>
        <v>32490000</v>
      </c>
      <c r="F94" s="300">
        <f t="shared" si="21"/>
        <v>30250000</v>
      </c>
      <c r="G94" s="300">
        <f t="shared" si="21"/>
        <v>28090000</v>
      </c>
      <c r="H94" s="300">
        <f t="shared" si="21"/>
        <v>50410000</v>
      </c>
      <c r="I94" s="300">
        <f t="shared" si="21"/>
        <v>6250000</v>
      </c>
      <c r="J94" s="300">
        <f t="shared" si="21"/>
        <v>29160000</v>
      </c>
      <c r="K94" s="300">
        <f t="shared" si="21"/>
        <v>16000000</v>
      </c>
      <c r="L94" s="300">
        <f t="shared" si="21"/>
        <v>2250000</v>
      </c>
    </row>
    <row r="95" spans="2:17" hidden="1">
      <c r="B95" s="1">
        <v>2000</v>
      </c>
      <c r="C95" s="300">
        <f t="shared" si="21"/>
        <v>79210000</v>
      </c>
      <c r="D95" s="300">
        <f t="shared" si="21"/>
        <v>75690000</v>
      </c>
      <c r="E95" s="300">
        <f t="shared" si="21"/>
        <v>50410000</v>
      </c>
      <c r="F95" s="300">
        <f t="shared" si="21"/>
        <v>38440000</v>
      </c>
      <c r="G95" s="300">
        <f t="shared" si="21"/>
        <v>33640000</v>
      </c>
      <c r="H95" s="300">
        <f t="shared" si="21"/>
        <v>59290000</v>
      </c>
      <c r="I95" s="300">
        <f t="shared" si="21"/>
        <v>14440000</v>
      </c>
      <c r="J95" s="300">
        <f t="shared" si="21"/>
        <v>33640000</v>
      </c>
      <c r="K95" s="300">
        <f t="shared" si="21"/>
        <v>23040000</v>
      </c>
      <c r="L95" s="300">
        <f t="shared" si="21"/>
        <v>7840000</v>
      </c>
    </row>
    <row r="96" spans="2:17" hidden="1">
      <c r="B96" s="1">
        <v>2001</v>
      </c>
      <c r="C96" s="300">
        <f t="shared" si="21"/>
        <v>106090000</v>
      </c>
      <c r="D96" s="300">
        <f t="shared" si="21"/>
        <v>112360000</v>
      </c>
      <c r="E96" s="300">
        <f t="shared" si="21"/>
        <v>43560000</v>
      </c>
      <c r="F96" s="300">
        <f t="shared" si="21"/>
        <v>39690000</v>
      </c>
      <c r="G96" s="300">
        <f t="shared" si="21"/>
        <v>36000000</v>
      </c>
      <c r="H96" s="300">
        <f t="shared" si="21"/>
        <v>46240000</v>
      </c>
      <c r="I96" s="300">
        <f t="shared" si="21"/>
        <v>14440000</v>
      </c>
      <c r="J96" s="300">
        <f t="shared" si="21"/>
        <v>25000000</v>
      </c>
      <c r="K96" s="300">
        <f t="shared" si="21"/>
        <v>38440000</v>
      </c>
      <c r="L96" s="300">
        <f t="shared" si="21"/>
        <v>11560000</v>
      </c>
    </row>
    <row r="97" spans="2:13" hidden="1">
      <c r="B97" s="1">
        <v>2002</v>
      </c>
      <c r="C97" s="300">
        <f t="shared" si="21"/>
        <v>81000000</v>
      </c>
      <c r="D97" s="300">
        <f t="shared" si="21"/>
        <v>65610000</v>
      </c>
      <c r="E97" s="300">
        <f t="shared" si="21"/>
        <v>51840000</v>
      </c>
      <c r="F97" s="300">
        <f t="shared" si="21"/>
        <v>50410000</v>
      </c>
      <c r="G97" s="300">
        <f t="shared" si="21"/>
        <v>30250000</v>
      </c>
      <c r="H97" s="300">
        <f t="shared" si="21"/>
        <v>44890000</v>
      </c>
      <c r="I97" s="300">
        <f t="shared" si="21"/>
        <v>22090000</v>
      </c>
      <c r="J97" s="300">
        <f t="shared" si="21"/>
        <v>26010000</v>
      </c>
      <c r="K97" s="300">
        <f t="shared" si="21"/>
        <v>38440000</v>
      </c>
      <c r="L97" s="300">
        <f t="shared" si="21"/>
        <v>6760000</v>
      </c>
    </row>
    <row r="98" spans="2:13" hidden="1">
      <c r="B98" s="1">
        <v>2003</v>
      </c>
      <c r="C98" s="300">
        <f t="shared" si="21"/>
        <v>79210000</v>
      </c>
      <c r="D98" s="300">
        <f t="shared" si="21"/>
        <v>43560000</v>
      </c>
      <c r="E98" s="300">
        <f t="shared" si="21"/>
        <v>54760000</v>
      </c>
      <c r="F98" s="300">
        <f t="shared" si="21"/>
        <v>47610000</v>
      </c>
      <c r="G98" s="300">
        <f t="shared" si="21"/>
        <v>28090000</v>
      </c>
      <c r="H98" s="300">
        <f t="shared" si="21"/>
        <v>56250000</v>
      </c>
      <c r="I98" s="300">
        <f t="shared" si="21"/>
        <v>9610000</v>
      </c>
      <c r="J98" s="300">
        <f t="shared" si="21"/>
        <v>24010000</v>
      </c>
      <c r="K98" s="300">
        <f t="shared" si="21"/>
        <v>24010000</v>
      </c>
      <c r="L98" s="300">
        <f t="shared" si="21"/>
        <v>11560000</v>
      </c>
    </row>
    <row r="99" spans="2:13" hidden="1">
      <c r="B99" s="1">
        <v>2004</v>
      </c>
      <c r="C99" s="300">
        <f t="shared" si="21"/>
        <v>92160000</v>
      </c>
      <c r="D99" s="300">
        <f t="shared" si="21"/>
        <v>29160000</v>
      </c>
      <c r="E99" s="300">
        <f t="shared" si="21"/>
        <v>40960000</v>
      </c>
      <c r="F99" s="300">
        <f t="shared" si="21"/>
        <v>47610000</v>
      </c>
      <c r="G99" s="300">
        <f t="shared" si="21"/>
        <v>36000000</v>
      </c>
      <c r="H99" s="300">
        <f t="shared" si="21"/>
        <v>42250000</v>
      </c>
      <c r="I99" s="300">
        <f t="shared" si="21"/>
        <v>9610000</v>
      </c>
      <c r="J99" s="300">
        <f t="shared" si="21"/>
        <v>20250000</v>
      </c>
      <c r="K99" s="300">
        <f t="shared" si="21"/>
        <v>43560000</v>
      </c>
      <c r="L99" s="300">
        <f t="shared" si="21"/>
        <v>2890000</v>
      </c>
    </row>
    <row r="100" spans="2:13" hidden="1">
      <c r="B100" s="1">
        <v>2005</v>
      </c>
      <c r="C100" s="300">
        <f t="shared" si="21"/>
        <v>0</v>
      </c>
      <c r="D100" s="300" t="e">
        <f t="shared" si="21"/>
        <v>#VALUE!</v>
      </c>
      <c r="E100" s="300">
        <f t="shared" si="21"/>
        <v>0</v>
      </c>
      <c r="F100" s="300">
        <f t="shared" si="21"/>
        <v>0</v>
      </c>
      <c r="G100" s="300">
        <f t="shared" si="21"/>
        <v>0</v>
      </c>
      <c r="H100" s="300">
        <f t="shared" si="21"/>
        <v>0</v>
      </c>
      <c r="I100" s="300">
        <f t="shared" si="21"/>
        <v>0</v>
      </c>
      <c r="J100" s="300">
        <f t="shared" si="21"/>
        <v>0</v>
      </c>
      <c r="K100" s="300">
        <f t="shared" si="21"/>
        <v>0</v>
      </c>
      <c r="L100" s="300">
        <f t="shared" si="21"/>
        <v>0</v>
      </c>
    </row>
    <row r="101" spans="2:13">
      <c r="B101" s="961"/>
      <c r="C101" s="961"/>
      <c r="D101" s="961"/>
      <c r="E101" s="961"/>
      <c r="F101" s="961"/>
      <c r="G101" s="961"/>
      <c r="H101" s="961"/>
      <c r="I101" s="961"/>
      <c r="J101" s="961"/>
      <c r="K101" s="961"/>
      <c r="L101" s="961"/>
      <c r="M101" s="961"/>
    </row>
    <row r="102" spans="2:13">
      <c r="B102" s="961"/>
      <c r="C102" s="961"/>
      <c r="D102" s="961"/>
      <c r="E102" s="961"/>
      <c r="F102" s="961"/>
      <c r="G102" s="961"/>
      <c r="H102" s="961"/>
      <c r="I102" s="961"/>
      <c r="J102" s="961"/>
      <c r="K102" s="961"/>
      <c r="L102" s="961"/>
      <c r="M102" s="961"/>
    </row>
    <row r="103" spans="2:13">
      <c r="B103" s="961"/>
      <c r="C103" s="961"/>
      <c r="D103" s="961"/>
      <c r="E103" s="961"/>
      <c r="F103" s="961"/>
      <c r="G103" s="961"/>
      <c r="H103" s="961"/>
      <c r="I103" s="961"/>
      <c r="J103" s="961"/>
      <c r="K103" s="961"/>
      <c r="L103" s="961"/>
      <c r="M103" s="961"/>
    </row>
    <row r="104" spans="2:13">
      <c r="B104" s="961"/>
      <c r="C104" s="961"/>
      <c r="D104" s="961"/>
      <c r="E104" s="961"/>
      <c r="F104" s="961"/>
      <c r="G104" s="961"/>
      <c r="H104" s="961"/>
      <c r="I104" s="961"/>
      <c r="J104" s="961"/>
      <c r="K104" s="961"/>
      <c r="L104" s="961"/>
      <c r="M104" s="961"/>
    </row>
    <row r="105" spans="2:13">
      <c r="B105" s="961"/>
      <c r="C105" s="961"/>
      <c r="D105" s="961"/>
      <c r="E105" s="961"/>
      <c r="F105" s="961"/>
      <c r="G105" s="961"/>
      <c r="H105" s="961"/>
      <c r="I105" s="961"/>
      <c r="J105" s="961"/>
      <c r="K105" s="961"/>
      <c r="L105" s="961"/>
      <c r="M105" s="961"/>
    </row>
    <row r="106" spans="2:13">
      <c r="B106" s="961"/>
      <c r="C106" s="961"/>
      <c r="D106" s="961"/>
      <c r="E106" s="961"/>
      <c r="F106" s="961"/>
      <c r="G106" s="961"/>
      <c r="H106" s="961"/>
      <c r="I106" s="961"/>
      <c r="J106" s="961"/>
      <c r="K106" s="961"/>
      <c r="L106" s="961"/>
      <c r="M106" s="961"/>
    </row>
    <row r="107" spans="2:13">
      <c r="B107" s="961"/>
      <c r="C107" s="961"/>
      <c r="D107" s="961"/>
      <c r="E107" s="961"/>
      <c r="F107" s="961"/>
      <c r="G107" s="961"/>
      <c r="H107" s="961"/>
      <c r="I107" s="961"/>
      <c r="J107" s="961"/>
      <c r="K107" s="961"/>
      <c r="L107" s="961"/>
      <c r="M107" s="961"/>
    </row>
    <row r="108" spans="2:13">
      <c r="B108" s="961"/>
      <c r="C108" s="961"/>
      <c r="D108" s="961"/>
      <c r="E108" s="961"/>
      <c r="F108" s="961"/>
      <c r="G108" s="961"/>
      <c r="H108" s="961"/>
      <c r="I108" s="961"/>
      <c r="J108" s="961"/>
      <c r="K108" s="961"/>
      <c r="L108" s="961"/>
      <c r="M108" s="961"/>
    </row>
    <row r="109" spans="2:13">
      <c r="B109" s="961"/>
      <c r="C109" s="961"/>
      <c r="D109" s="961"/>
      <c r="E109" s="961"/>
      <c r="F109" s="961"/>
      <c r="G109" s="961"/>
      <c r="H109" s="961"/>
      <c r="I109" s="961"/>
      <c r="J109" s="961"/>
      <c r="K109" s="961"/>
      <c r="L109" s="961"/>
      <c r="M109" s="961"/>
    </row>
    <row r="110" spans="2:13">
      <c r="B110" s="961"/>
      <c r="C110" s="961"/>
      <c r="D110" s="961"/>
      <c r="E110" s="961"/>
      <c r="F110" s="961"/>
      <c r="G110" s="961"/>
      <c r="H110" s="961"/>
      <c r="I110" s="961"/>
      <c r="J110" s="961"/>
      <c r="K110" s="961"/>
      <c r="L110" s="961"/>
      <c r="M110" s="961"/>
    </row>
    <row r="111" spans="2:13">
      <c r="B111" s="961"/>
      <c r="C111" s="961"/>
      <c r="D111" s="961"/>
      <c r="E111" s="961"/>
      <c r="F111" s="961"/>
      <c r="G111" s="961"/>
      <c r="H111" s="961"/>
      <c r="I111" s="961"/>
      <c r="J111" s="961"/>
      <c r="K111" s="961"/>
      <c r="L111" s="961"/>
      <c r="M111" s="961"/>
    </row>
    <row r="112" spans="2:13">
      <c r="B112" s="961"/>
      <c r="C112" s="961"/>
      <c r="D112" s="961"/>
      <c r="E112" s="961"/>
      <c r="F112" s="961"/>
      <c r="G112" s="961"/>
      <c r="H112" s="961"/>
      <c r="I112" s="961"/>
      <c r="J112" s="961"/>
      <c r="K112" s="961"/>
      <c r="L112" s="961"/>
      <c r="M112" s="961"/>
    </row>
    <row r="113" spans="2:13">
      <c r="B113" s="961"/>
      <c r="C113" s="961"/>
      <c r="D113" s="961"/>
      <c r="E113" s="961"/>
      <c r="F113" s="961"/>
      <c r="G113" s="961"/>
      <c r="H113" s="961"/>
      <c r="I113" s="961"/>
      <c r="J113" s="961"/>
      <c r="K113" s="961"/>
      <c r="L113" s="961"/>
      <c r="M113" s="961"/>
    </row>
    <row r="114" spans="2:13">
      <c r="B114" s="961"/>
      <c r="C114" s="961"/>
      <c r="D114" s="961"/>
      <c r="E114" s="961"/>
      <c r="F114" s="961"/>
      <c r="G114" s="961"/>
      <c r="H114" s="961"/>
      <c r="I114" s="961"/>
      <c r="J114" s="961"/>
      <c r="K114" s="961"/>
      <c r="L114" s="961"/>
      <c r="M114" s="961"/>
    </row>
    <row r="115" spans="2:13">
      <c r="B115" s="961"/>
      <c r="C115" s="961"/>
      <c r="D115" s="961"/>
      <c r="E115" s="961"/>
      <c r="F115" s="961"/>
      <c r="G115" s="961"/>
      <c r="H115" s="961"/>
      <c r="I115" s="961"/>
      <c r="J115" s="961"/>
      <c r="K115" s="961"/>
      <c r="L115" s="961"/>
      <c r="M115" s="961"/>
    </row>
    <row r="116" spans="2:13">
      <c r="B116" s="961"/>
      <c r="C116" s="961"/>
      <c r="D116" s="961"/>
      <c r="E116" s="961"/>
      <c r="F116" s="961"/>
      <c r="G116" s="961"/>
      <c r="H116" s="961"/>
      <c r="I116" s="961"/>
      <c r="J116" s="961"/>
      <c r="K116" s="961"/>
      <c r="L116" s="961"/>
      <c r="M116" s="961"/>
    </row>
    <row r="117" spans="2:13">
      <c r="B117" s="961"/>
      <c r="C117" s="961"/>
      <c r="D117" s="961"/>
      <c r="E117" s="961"/>
      <c r="F117" s="961"/>
      <c r="G117" s="961"/>
      <c r="H117" s="961"/>
      <c r="I117" s="961"/>
      <c r="J117" s="961"/>
      <c r="K117" s="961"/>
      <c r="L117" s="961"/>
      <c r="M117" s="961"/>
    </row>
    <row r="118" spans="2:13">
      <c r="B118" s="961"/>
      <c r="C118" s="961"/>
      <c r="D118" s="961"/>
      <c r="E118" s="961"/>
      <c r="F118" s="961"/>
      <c r="G118" s="961"/>
      <c r="H118" s="961"/>
      <c r="I118" s="961"/>
      <c r="J118" s="961"/>
      <c r="K118" s="961"/>
      <c r="L118" s="961"/>
      <c r="M118" s="961"/>
    </row>
    <row r="119" spans="2:13">
      <c r="B119" s="961"/>
      <c r="C119" s="961"/>
      <c r="D119" s="961"/>
      <c r="E119" s="961"/>
      <c r="F119" s="961"/>
      <c r="G119" s="961"/>
      <c r="H119" s="961"/>
      <c r="I119" s="961"/>
      <c r="J119" s="961"/>
      <c r="K119" s="961"/>
      <c r="L119" s="961"/>
      <c r="M119" s="961"/>
    </row>
    <row r="120" spans="2:13">
      <c r="B120" s="961"/>
      <c r="C120" s="961"/>
      <c r="D120" s="961"/>
      <c r="E120" s="961"/>
      <c r="F120" s="961"/>
      <c r="G120" s="961"/>
      <c r="H120" s="961"/>
      <c r="I120" s="961"/>
      <c r="J120" s="961"/>
      <c r="K120" s="961"/>
      <c r="L120" s="961"/>
      <c r="M120" s="961"/>
    </row>
    <row r="121" spans="2:13">
      <c r="B121" s="961"/>
      <c r="C121" s="961"/>
      <c r="D121" s="961"/>
      <c r="E121" s="961"/>
      <c r="F121" s="961"/>
      <c r="G121" s="961"/>
      <c r="H121" s="961"/>
      <c r="I121" s="961"/>
      <c r="J121" s="961"/>
      <c r="K121" s="961"/>
      <c r="L121" s="961"/>
      <c r="M121" s="961"/>
    </row>
    <row r="122" spans="2:13">
      <c r="B122" s="961"/>
      <c r="C122" s="961"/>
      <c r="D122" s="961"/>
      <c r="E122" s="961"/>
      <c r="F122" s="961"/>
      <c r="G122" s="961"/>
      <c r="H122" s="961"/>
      <c r="I122" s="961"/>
      <c r="J122" s="961"/>
      <c r="K122" s="961"/>
      <c r="L122" s="961"/>
      <c r="M122" s="961"/>
    </row>
    <row r="123" spans="2:13">
      <c r="B123" s="961"/>
      <c r="C123" s="961"/>
      <c r="D123" s="961"/>
      <c r="E123" s="961"/>
      <c r="F123" s="961"/>
      <c r="G123" s="961"/>
      <c r="H123" s="961"/>
      <c r="I123" s="961"/>
      <c r="J123" s="961"/>
      <c r="K123" s="961"/>
      <c r="L123" s="961"/>
      <c r="M123" s="961"/>
    </row>
    <row r="124" spans="2:13">
      <c r="B124" s="961"/>
      <c r="C124" s="961"/>
      <c r="D124" s="961"/>
      <c r="E124" s="961"/>
      <c r="F124" s="961"/>
      <c r="G124" s="961"/>
      <c r="H124" s="961"/>
      <c r="I124" s="961"/>
      <c r="J124" s="961"/>
      <c r="K124" s="961"/>
      <c r="L124" s="961"/>
      <c r="M124" s="961"/>
    </row>
    <row r="125" spans="2:13">
      <c r="B125" s="961"/>
      <c r="C125" s="961"/>
      <c r="D125" s="961"/>
      <c r="E125" s="961"/>
      <c r="F125" s="961"/>
      <c r="G125" s="961"/>
      <c r="H125" s="961"/>
      <c r="I125" s="961"/>
      <c r="J125" s="961"/>
      <c r="K125" s="961"/>
      <c r="L125" s="961"/>
      <c r="M125" s="961"/>
    </row>
    <row r="126" spans="2:13">
      <c r="B126" s="961"/>
      <c r="C126" s="961"/>
      <c r="D126" s="961"/>
      <c r="E126" s="961"/>
      <c r="F126" s="961"/>
      <c r="G126" s="961"/>
      <c r="H126" s="961"/>
      <c r="I126" s="961"/>
      <c r="J126" s="961"/>
      <c r="K126" s="961"/>
      <c r="L126" s="961"/>
      <c r="M126" s="961"/>
    </row>
    <row r="127" spans="2:13">
      <c r="B127" s="961"/>
      <c r="C127" s="961"/>
      <c r="D127" s="961"/>
      <c r="E127" s="961"/>
      <c r="F127" s="961"/>
      <c r="G127" s="961"/>
      <c r="H127" s="961"/>
      <c r="I127" s="961"/>
      <c r="J127" s="961"/>
      <c r="K127" s="961"/>
      <c r="L127" s="961"/>
      <c r="M127" s="961"/>
    </row>
    <row r="128" spans="2:13">
      <c r="B128" s="961"/>
      <c r="C128" s="961"/>
      <c r="D128" s="961"/>
      <c r="E128" s="961"/>
      <c r="F128" s="961"/>
      <c r="G128" s="961"/>
      <c r="H128" s="961"/>
      <c r="I128" s="961"/>
      <c r="J128" s="961"/>
      <c r="K128" s="961"/>
      <c r="L128" s="961"/>
      <c r="M128" s="961"/>
    </row>
    <row r="129" spans="2:13">
      <c r="B129" s="961"/>
      <c r="C129" s="961"/>
      <c r="D129" s="961"/>
      <c r="E129" s="961"/>
      <c r="F129" s="961"/>
      <c r="G129" s="961"/>
      <c r="H129" s="961"/>
      <c r="I129" s="961"/>
      <c r="J129" s="961"/>
      <c r="K129" s="961"/>
      <c r="L129" s="961"/>
      <c r="M129" s="961"/>
    </row>
  </sheetData>
  <mergeCells count="14">
    <mergeCell ref="F3:F4"/>
    <mergeCell ref="G3:G4"/>
    <mergeCell ref="H3:H4"/>
    <mergeCell ref="I3:I4"/>
    <mergeCell ref="A44:L44"/>
    <mergeCell ref="A43:L43"/>
    <mergeCell ref="A40:L40"/>
    <mergeCell ref="B3:B4"/>
    <mergeCell ref="C3:C4"/>
    <mergeCell ref="D3:D4"/>
    <mergeCell ref="E3:E4"/>
    <mergeCell ref="J3:J4"/>
    <mergeCell ref="K3:K4"/>
    <mergeCell ref="L3:L4"/>
  </mergeCells>
  <phoneticPr fontId="35" type="noConversion"/>
  <pageMargins left="0.74803149606299213" right="0.74803149606299213" top="0.98425196850393704" bottom="0.98425196850393704" header="0.51181102362204722" footer="0.51181102362204722"/>
  <pageSetup scale="72"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sheetPr codeName="Sheet14">
    <pageSetUpPr fitToPage="1"/>
  </sheetPr>
  <dimension ref="A1:Q130"/>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3" width="8.85546875" style="1" customWidth="1"/>
    <col min="14" max="15" width="8.85546875" style="1" hidden="1" customWidth="1"/>
    <col min="16" max="17" width="9.42578125" style="1" hidden="1" customWidth="1"/>
    <col min="18" max="16384" width="9.140625" style="1"/>
  </cols>
  <sheetData>
    <row r="1" spans="1:17" ht="15.75">
      <c r="A1" s="4"/>
      <c r="B1" s="3" t="s">
        <v>2132</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N4" s="645" t="s">
        <v>282</v>
      </c>
      <c r="O4" s="645" t="s">
        <v>282</v>
      </c>
      <c r="P4" s="645" t="s">
        <v>281</v>
      </c>
      <c r="Q4" s="645" t="s">
        <v>281</v>
      </c>
    </row>
    <row r="5" spans="1:17">
      <c r="A5" s="120">
        <v>1981</v>
      </c>
      <c r="B5" s="416">
        <v>44800</v>
      </c>
      <c r="C5" s="416">
        <v>42300</v>
      </c>
      <c r="D5" s="416">
        <v>36000</v>
      </c>
      <c r="E5" s="416">
        <v>38200</v>
      </c>
      <c r="F5" s="416">
        <v>37500</v>
      </c>
      <c r="G5" s="416">
        <v>41100</v>
      </c>
      <c r="H5" s="416">
        <v>48300</v>
      </c>
      <c r="I5" s="416">
        <v>39800</v>
      </c>
      <c r="J5" s="416">
        <v>41400</v>
      </c>
      <c r="K5" s="416">
        <v>49500</v>
      </c>
      <c r="L5" s="416">
        <v>47800</v>
      </c>
      <c r="N5" s="19">
        <f>SUM(C76:L76)/10</f>
        <v>27413000</v>
      </c>
      <c r="O5" s="19">
        <f>SQRT(N5)</f>
        <v>5235.7425452365396</v>
      </c>
      <c r="P5" s="19">
        <f>Q5^2</f>
        <v>20600900.000000004</v>
      </c>
      <c r="Q5" s="19">
        <f>STDEVP(C5:L5)</f>
        <v>4538.8214329272751</v>
      </c>
    </row>
    <row r="6" spans="1:17">
      <c r="A6" s="120">
        <v>1982</v>
      </c>
      <c r="B6" s="416">
        <v>43400</v>
      </c>
      <c r="C6" s="416">
        <v>40400</v>
      </c>
      <c r="D6" s="416">
        <v>36400</v>
      </c>
      <c r="E6" s="416">
        <v>37300</v>
      </c>
      <c r="F6" s="416">
        <v>36700</v>
      </c>
      <c r="G6" s="416">
        <v>40500</v>
      </c>
      <c r="H6" s="416">
        <v>45800</v>
      </c>
      <c r="I6" s="416">
        <v>39800</v>
      </c>
      <c r="J6" s="416">
        <v>40700</v>
      </c>
      <c r="K6" s="416">
        <v>49200</v>
      </c>
      <c r="L6" s="416">
        <v>45300</v>
      </c>
      <c r="N6" s="19">
        <f t="shared" ref="N6:N28" si="0">SUM(C77:L77)/10</f>
        <v>21177000</v>
      </c>
      <c r="O6" s="19">
        <f t="shared" ref="O6:O28" si="1">SQRT(N6)</f>
        <v>4601.8474550988758</v>
      </c>
      <c r="P6" s="19">
        <f t="shared" ref="P6:P28" si="2">Q6^2</f>
        <v>16380900</v>
      </c>
      <c r="Q6" s="19">
        <f t="shared" ref="Q6:Q28" si="3">STDEVP(C6:L6)</f>
        <v>4047.3324548398541</v>
      </c>
    </row>
    <row r="7" spans="1:17">
      <c r="A7" s="120">
        <v>1983</v>
      </c>
      <c r="B7" s="416">
        <v>41800</v>
      </c>
      <c r="C7" s="416">
        <v>35800</v>
      </c>
      <c r="D7" s="416">
        <v>36600</v>
      </c>
      <c r="E7" s="416">
        <v>35400</v>
      </c>
      <c r="F7" s="416">
        <v>33900</v>
      </c>
      <c r="G7" s="416">
        <v>39700</v>
      </c>
      <c r="H7" s="416">
        <v>44000</v>
      </c>
      <c r="I7" s="416">
        <v>40600</v>
      </c>
      <c r="J7" s="416">
        <v>38300</v>
      </c>
      <c r="K7" s="416">
        <v>45600</v>
      </c>
      <c r="L7" s="416">
        <v>43000</v>
      </c>
      <c r="N7" s="19">
        <f t="shared" si="0"/>
        <v>20523000</v>
      </c>
      <c r="O7" s="19">
        <f t="shared" si="1"/>
        <v>4530.2317821497827</v>
      </c>
      <c r="P7" s="19">
        <f t="shared" si="2"/>
        <v>14222900</v>
      </c>
      <c r="Q7" s="19">
        <f t="shared" si="3"/>
        <v>3771.3260267444393</v>
      </c>
    </row>
    <row r="8" spans="1:17">
      <c r="A8" s="120">
        <v>1984</v>
      </c>
      <c r="B8" s="416">
        <v>42300</v>
      </c>
      <c r="C8" s="416">
        <v>36900</v>
      </c>
      <c r="D8" s="416">
        <v>36500</v>
      </c>
      <c r="E8" s="416">
        <v>37900</v>
      </c>
      <c r="F8" s="416">
        <v>37600</v>
      </c>
      <c r="G8" s="416">
        <v>39600</v>
      </c>
      <c r="H8" s="416">
        <v>45600</v>
      </c>
      <c r="I8" s="416">
        <v>40500</v>
      </c>
      <c r="J8" s="416">
        <v>38700</v>
      </c>
      <c r="K8" s="416">
        <v>43900</v>
      </c>
      <c r="L8" s="416">
        <v>41000</v>
      </c>
      <c r="N8" s="19">
        <f t="shared" si="0"/>
        <v>14288000</v>
      </c>
      <c r="O8" s="19">
        <f t="shared" si="1"/>
        <v>3779.947089576784</v>
      </c>
      <c r="P8" s="19">
        <f t="shared" si="2"/>
        <v>8137600.0000000009</v>
      </c>
      <c r="Q8" s="19">
        <f t="shared" si="3"/>
        <v>2852.6478927480694</v>
      </c>
    </row>
    <row r="9" spans="1:17">
      <c r="A9" s="120">
        <v>1985</v>
      </c>
      <c r="B9" s="416">
        <v>42400</v>
      </c>
      <c r="C9" s="416">
        <v>36500</v>
      </c>
      <c r="D9" s="416">
        <v>36400</v>
      </c>
      <c r="E9" s="416">
        <v>37600</v>
      </c>
      <c r="F9" s="416">
        <v>37700</v>
      </c>
      <c r="G9" s="416">
        <v>39800</v>
      </c>
      <c r="H9" s="416">
        <v>46600</v>
      </c>
      <c r="I9" s="416">
        <v>39900</v>
      </c>
      <c r="J9" s="416">
        <v>39300</v>
      </c>
      <c r="K9" s="416">
        <v>44800</v>
      </c>
      <c r="L9" s="416">
        <v>40400</v>
      </c>
      <c r="N9" s="19">
        <f t="shared" si="0"/>
        <v>16596000</v>
      </c>
      <c r="O9" s="19">
        <f t="shared" si="1"/>
        <v>4073.8188472243091</v>
      </c>
      <c r="P9" s="19">
        <f t="shared" si="2"/>
        <v>10346000</v>
      </c>
      <c r="Q9" s="19">
        <f t="shared" si="3"/>
        <v>3216.5198584805908</v>
      </c>
    </row>
    <row r="10" spans="1:17">
      <c r="A10" s="120">
        <v>1986</v>
      </c>
      <c r="B10" s="416">
        <v>42200</v>
      </c>
      <c r="C10" s="416">
        <v>35300</v>
      </c>
      <c r="D10" s="416">
        <v>36700</v>
      </c>
      <c r="E10" s="416">
        <v>37100</v>
      </c>
      <c r="F10" s="416">
        <v>38800</v>
      </c>
      <c r="G10" s="416">
        <v>38700</v>
      </c>
      <c r="H10" s="416">
        <v>46900</v>
      </c>
      <c r="I10" s="416">
        <v>40200</v>
      </c>
      <c r="J10" s="416">
        <v>36700</v>
      </c>
      <c r="K10" s="416">
        <v>44200</v>
      </c>
      <c r="L10" s="416">
        <v>42500</v>
      </c>
      <c r="N10" s="19">
        <f t="shared" si="0"/>
        <v>18811000</v>
      </c>
      <c r="O10" s="19">
        <f t="shared" si="1"/>
        <v>4337.1649726520664</v>
      </c>
      <c r="P10" s="19">
        <f t="shared" si="2"/>
        <v>12610900</v>
      </c>
      <c r="Q10" s="19">
        <f t="shared" si="3"/>
        <v>3551.1829015132407</v>
      </c>
    </row>
    <row r="11" spans="1:17">
      <c r="A11" s="120">
        <v>1987</v>
      </c>
      <c r="B11" s="416">
        <v>42000</v>
      </c>
      <c r="C11" s="416">
        <v>38000</v>
      </c>
      <c r="D11" s="416">
        <v>37800</v>
      </c>
      <c r="E11" s="416">
        <v>39300</v>
      </c>
      <c r="F11" s="416">
        <v>36300</v>
      </c>
      <c r="G11" s="416">
        <v>38300</v>
      </c>
      <c r="H11" s="416">
        <v>47800</v>
      </c>
      <c r="I11" s="416">
        <v>38300</v>
      </c>
      <c r="J11" s="416">
        <v>37600</v>
      </c>
      <c r="K11" s="416">
        <v>42400</v>
      </c>
      <c r="L11" s="416">
        <v>39700</v>
      </c>
      <c r="N11" s="19">
        <f t="shared" si="0"/>
        <v>15925000</v>
      </c>
      <c r="O11" s="19">
        <f t="shared" si="1"/>
        <v>3990.613987846983</v>
      </c>
      <c r="P11" s="19">
        <f t="shared" si="2"/>
        <v>9922500</v>
      </c>
      <c r="Q11" s="19">
        <f t="shared" si="3"/>
        <v>3150</v>
      </c>
    </row>
    <row r="12" spans="1:17">
      <c r="A12" s="120">
        <v>1988</v>
      </c>
      <c r="B12" s="416">
        <v>43100</v>
      </c>
      <c r="C12" s="416">
        <v>39500</v>
      </c>
      <c r="D12" s="416">
        <v>36500</v>
      </c>
      <c r="E12" s="416">
        <v>39300</v>
      </c>
      <c r="F12" s="416">
        <v>37900</v>
      </c>
      <c r="G12" s="416">
        <v>38600</v>
      </c>
      <c r="H12" s="416">
        <v>48700</v>
      </c>
      <c r="I12" s="416">
        <v>39200</v>
      </c>
      <c r="J12" s="416">
        <v>36600</v>
      </c>
      <c r="K12" s="416">
        <v>44500</v>
      </c>
      <c r="L12" s="416">
        <v>42900</v>
      </c>
      <c r="N12" s="19">
        <f t="shared" si="0"/>
        <v>20907000</v>
      </c>
      <c r="O12" s="19">
        <f t="shared" si="1"/>
        <v>4572.4173037901955</v>
      </c>
      <c r="P12" s="19">
        <f t="shared" si="2"/>
        <v>13454100.000000002</v>
      </c>
      <c r="Q12" s="19">
        <f t="shared" si="3"/>
        <v>3667.9830970166699</v>
      </c>
    </row>
    <row r="13" spans="1:17">
      <c r="A13" s="120">
        <v>1989</v>
      </c>
      <c r="B13" s="416">
        <v>43700</v>
      </c>
      <c r="C13" s="416">
        <v>40800</v>
      </c>
      <c r="D13" s="416">
        <v>36100</v>
      </c>
      <c r="E13" s="416">
        <v>39000</v>
      </c>
      <c r="F13" s="416">
        <v>38600</v>
      </c>
      <c r="G13" s="416">
        <v>40000</v>
      </c>
      <c r="H13" s="416">
        <v>49200</v>
      </c>
      <c r="I13" s="416">
        <v>39700</v>
      </c>
      <c r="J13" s="416">
        <v>37900</v>
      </c>
      <c r="K13" s="416">
        <v>44400</v>
      </c>
      <c r="L13" s="416">
        <v>43600</v>
      </c>
      <c r="N13" s="19">
        <f t="shared" si="0"/>
        <v>20835000</v>
      </c>
      <c r="O13" s="19">
        <f t="shared" si="1"/>
        <v>4564.5372164108812</v>
      </c>
      <c r="P13" s="19">
        <f t="shared" si="2"/>
        <v>13162099.999999998</v>
      </c>
      <c r="Q13" s="19">
        <f t="shared" si="3"/>
        <v>3627.9608597668193</v>
      </c>
    </row>
    <row r="14" spans="1:17">
      <c r="A14" s="120">
        <v>1990</v>
      </c>
      <c r="B14" s="416">
        <v>41900</v>
      </c>
      <c r="C14" s="416">
        <v>38200</v>
      </c>
      <c r="D14" s="416">
        <v>37000</v>
      </c>
      <c r="E14" s="416">
        <v>38100</v>
      </c>
      <c r="F14" s="416">
        <v>37500</v>
      </c>
      <c r="G14" s="416">
        <v>37300</v>
      </c>
      <c r="H14" s="416">
        <v>47100</v>
      </c>
      <c r="I14" s="416">
        <v>39400</v>
      </c>
      <c r="J14" s="416">
        <v>36300</v>
      </c>
      <c r="K14" s="416">
        <v>43100</v>
      </c>
      <c r="L14" s="416">
        <v>41700</v>
      </c>
      <c r="N14" s="19">
        <f t="shared" si="0"/>
        <v>15879000</v>
      </c>
      <c r="O14" s="19">
        <f t="shared" si="1"/>
        <v>3984.8462956555804</v>
      </c>
      <c r="P14" s="19">
        <f t="shared" si="2"/>
        <v>10450100</v>
      </c>
      <c r="Q14" s="19">
        <f t="shared" si="3"/>
        <v>3232.6614422175421</v>
      </c>
    </row>
    <row r="15" spans="1:17">
      <c r="A15" s="120">
        <v>1991</v>
      </c>
      <c r="B15" s="416">
        <v>39700</v>
      </c>
      <c r="C15" s="416">
        <v>37000</v>
      </c>
      <c r="D15" s="416">
        <v>35900</v>
      </c>
      <c r="E15" s="416">
        <v>36900</v>
      </c>
      <c r="F15" s="416">
        <v>35600</v>
      </c>
      <c r="G15" s="416">
        <v>36100</v>
      </c>
      <c r="H15" s="416">
        <v>44100</v>
      </c>
      <c r="I15" s="416">
        <v>36400</v>
      </c>
      <c r="J15" s="416">
        <v>35200</v>
      </c>
      <c r="K15" s="416">
        <v>41300</v>
      </c>
      <c r="L15" s="416">
        <v>40100</v>
      </c>
      <c r="N15" s="19">
        <f t="shared" si="0"/>
        <v>11256000</v>
      </c>
      <c r="O15" s="19">
        <f t="shared" si="1"/>
        <v>3354.9962742155171</v>
      </c>
      <c r="P15" s="19">
        <f t="shared" si="2"/>
        <v>7870400</v>
      </c>
      <c r="Q15" s="19">
        <f t="shared" si="3"/>
        <v>2805.4233192158363</v>
      </c>
    </row>
    <row r="16" spans="1:17">
      <c r="A16" s="120">
        <v>1992</v>
      </c>
      <c r="B16" s="416">
        <v>40100</v>
      </c>
      <c r="C16" s="416">
        <v>36800</v>
      </c>
      <c r="D16" s="416">
        <v>37200</v>
      </c>
      <c r="E16" s="416">
        <v>36800</v>
      </c>
      <c r="F16" s="416">
        <v>36100</v>
      </c>
      <c r="G16" s="416">
        <v>36200</v>
      </c>
      <c r="H16" s="416">
        <v>44800</v>
      </c>
      <c r="I16" s="416">
        <v>36300</v>
      </c>
      <c r="J16" s="416">
        <v>36000</v>
      </c>
      <c r="K16" s="416">
        <v>39400</v>
      </c>
      <c r="L16" s="416">
        <v>40500</v>
      </c>
      <c r="N16" s="19">
        <f t="shared" si="0"/>
        <v>11539000</v>
      </c>
      <c r="O16" s="19">
        <f t="shared" si="1"/>
        <v>3396.910360901506</v>
      </c>
      <c r="P16" s="19">
        <f t="shared" si="2"/>
        <v>7170899.9999999991</v>
      </c>
      <c r="Q16" s="19">
        <f t="shared" si="3"/>
        <v>2677.853618105366</v>
      </c>
    </row>
    <row r="17" spans="1:17">
      <c r="A17" s="120">
        <v>1993</v>
      </c>
      <c r="B17" s="416">
        <v>39100</v>
      </c>
      <c r="C17" s="416">
        <v>36000</v>
      </c>
      <c r="D17" s="416">
        <v>36300</v>
      </c>
      <c r="E17" s="416">
        <v>36400</v>
      </c>
      <c r="F17" s="416">
        <v>36100</v>
      </c>
      <c r="G17" s="416">
        <v>34700</v>
      </c>
      <c r="H17" s="416">
        <v>43400</v>
      </c>
      <c r="I17" s="416">
        <v>36500</v>
      </c>
      <c r="J17" s="416">
        <v>34300</v>
      </c>
      <c r="K17" s="416">
        <v>41500</v>
      </c>
      <c r="L17" s="416">
        <v>40300</v>
      </c>
      <c r="N17" s="19">
        <f t="shared" si="0"/>
        <v>10859000</v>
      </c>
      <c r="O17" s="19">
        <f t="shared" si="1"/>
        <v>3295.2996828816649</v>
      </c>
      <c r="P17" s="19">
        <f t="shared" si="2"/>
        <v>8456500.0000000019</v>
      </c>
      <c r="Q17" s="19">
        <f t="shared" si="3"/>
        <v>2908.0061898145955</v>
      </c>
    </row>
    <row r="18" spans="1:17">
      <c r="A18" s="120">
        <v>1994</v>
      </c>
      <c r="B18" s="416">
        <v>39300</v>
      </c>
      <c r="C18" s="416">
        <v>35900</v>
      </c>
      <c r="D18" s="416">
        <v>36200</v>
      </c>
      <c r="E18" s="416">
        <v>35500</v>
      </c>
      <c r="F18" s="416">
        <v>36300</v>
      </c>
      <c r="G18" s="416">
        <v>35400</v>
      </c>
      <c r="H18" s="416">
        <v>43400</v>
      </c>
      <c r="I18" s="416">
        <v>37100</v>
      </c>
      <c r="J18" s="416">
        <v>35200</v>
      </c>
      <c r="K18" s="416">
        <v>41900</v>
      </c>
      <c r="L18" s="416">
        <v>40000</v>
      </c>
      <c r="N18" s="19">
        <f t="shared" si="0"/>
        <v>10553000</v>
      </c>
      <c r="O18" s="19">
        <f t="shared" si="1"/>
        <v>3248.5381327606424</v>
      </c>
      <c r="P18" s="19">
        <f t="shared" si="2"/>
        <v>7960900</v>
      </c>
      <c r="Q18" s="19">
        <f t="shared" si="3"/>
        <v>2821.5066896961275</v>
      </c>
    </row>
    <row r="19" spans="1:17">
      <c r="A19" s="120">
        <v>1995</v>
      </c>
      <c r="B19" s="416">
        <v>39300</v>
      </c>
      <c r="C19" s="416">
        <v>35600</v>
      </c>
      <c r="D19" s="416">
        <v>37400</v>
      </c>
      <c r="E19" s="416">
        <v>35000</v>
      </c>
      <c r="F19" s="416">
        <v>35500</v>
      </c>
      <c r="G19" s="416">
        <v>35100</v>
      </c>
      <c r="H19" s="416">
        <v>43500</v>
      </c>
      <c r="I19" s="416">
        <v>37100</v>
      </c>
      <c r="J19" s="416">
        <v>35100</v>
      </c>
      <c r="K19" s="416">
        <v>41000</v>
      </c>
      <c r="L19" s="416">
        <v>39800</v>
      </c>
      <c r="N19" s="19">
        <f t="shared" si="0"/>
        <v>11113000</v>
      </c>
      <c r="O19" s="19">
        <f t="shared" si="1"/>
        <v>3333.6166546260233</v>
      </c>
      <c r="P19" s="19">
        <f t="shared" si="2"/>
        <v>7908899.9999999991</v>
      </c>
      <c r="Q19" s="19">
        <f t="shared" si="3"/>
        <v>2812.2766577988018</v>
      </c>
    </row>
    <row r="20" spans="1:17">
      <c r="A20" s="120">
        <v>1996</v>
      </c>
      <c r="B20" s="416">
        <v>38700</v>
      </c>
      <c r="C20" s="416">
        <v>34500</v>
      </c>
      <c r="D20" s="416">
        <v>36500</v>
      </c>
      <c r="E20" s="416">
        <v>34400</v>
      </c>
      <c r="F20" s="416">
        <v>34800</v>
      </c>
      <c r="G20" s="416">
        <v>34300</v>
      </c>
      <c r="H20" s="416">
        <v>42900</v>
      </c>
      <c r="I20" s="416">
        <v>37000</v>
      </c>
      <c r="J20" s="416">
        <v>35100</v>
      </c>
      <c r="K20" s="416">
        <v>40500</v>
      </c>
      <c r="L20" s="416">
        <v>38900</v>
      </c>
      <c r="N20" s="19">
        <f t="shared" si="0"/>
        <v>11231000</v>
      </c>
      <c r="O20" s="19">
        <f t="shared" si="1"/>
        <v>3351.2684165849801</v>
      </c>
      <c r="P20" s="19">
        <f t="shared" si="2"/>
        <v>7954900</v>
      </c>
      <c r="Q20" s="19">
        <f t="shared" si="3"/>
        <v>2820.4432275796653</v>
      </c>
    </row>
    <row r="21" spans="1:17">
      <c r="A21" s="120">
        <v>1997</v>
      </c>
      <c r="B21" s="416">
        <v>38500</v>
      </c>
      <c r="C21" s="416">
        <v>33600</v>
      </c>
      <c r="D21" s="416">
        <v>35300</v>
      </c>
      <c r="E21" s="416">
        <v>34300</v>
      </c>
      <c r="F21" s="416">
        <v>34800</v>
      </c>
      <c r="G21" s="416">
        <v>33700</v>
      </c>
      <c r="H21" s="416">
        <v>43300</v>
      </c>
      <c r="I21" s="416">
        <v>36800</v>
      </c>
      <c r="J21" s="416">
        <v>35300</v>
      </c>
      <c r="K21" s="416">
        <v>42600</v>
      </c>
      <c r="L21" s="416">
        <v>38700</v>
      </c>
      <c r="N21" s="19">
        <f t="shared" si="0"/>
        <v>14164000</v>
      </c>
      <c r="O21" s="19">
        <f t="shared" si="1"/>
        <v>3763.5090009192218</v>
      </c>
      <c r="P21" s="19">
        <f t="shared" si="2"/>
        <v>11408400</v>
      </c>
      <c r="Q21" s="19">
        <f t="shared" si="3"/>
        <v>3377.6323068090169</v>
      </c>
    </row>
    <row r="22" spans="1:17">
      <c r="A22" s="120">
        <v>1998</v>
      </c>
      <c r="B22" s="416">
        <v>39500</v>
      </c>
      <c r="C22" s="416">
        <v>33900</v>
      </c>
      <c r="D22" s="416">
        <v>34800</v>
      </c>
      <c r="E22" s="416">
        <v>34900</v>
      </c>
      <c r="F22" s="416">
        <v>35400</v>
      </c>
      <c r="G22" s="416">
        <v>34300</v>
      </c>
      <c r="H22" s="416">
        <v>45000</v>
      </c>
      <c r="I22" s="416">
        <v>37900</v>
      </c>
      <c r="J22" s="416">
        <v>35300</v>
      </c>
      <c r="K22" s="416">
        <v>42700</v>
      </c>
      <c r="L22" s="416">
        <v>39700</v>
      </c>
      <c r="N22" s="19">
        <f t="shared" si="0"/>
        <v>17919000</v>
      </c>
      <c r="O22" s="19">
        <f t="shared" si="1"/>
        <v>4233.0839821576892</v>
      </c>
      <c r="P22" s="19">
        <f t="shared" si="2"/>
        <v>13466900</v>
      </c>
      <c r="Q22" s="19">
        <f t="shared" si="3"/>
        <v>3669.7275103200782</v>
      </c>
    </row>
    <row r="23" spans="1:17">
      <c r="A23" s="120">
        <v>1999</v>
      </c>
      <c r="B23" s="416">
        <v>41300</v>
      </c>
      <c r="C23" s="416">
        <v>35400</v>
      </c>
      <c r="D23" s="416">
        <v>34400</v>
      </c>
      <c r="E23" s="416">
        <v>37000</v>
      </c>
      <c r="F23" s="416">
        <v>36900</v>
      </c>
      <c r="G23" s="416">
        <v>36400</v>
      </c>
      <c r="H23" s="416">
        <v>47300</v>
      </c>
      <c r="I23" s="416">
        <v>39000</v>
      </c>
      <c r="J23" s="416">
        <v>36900</v>
      </c>
      <c r="K23" s="416">
        <v>44200</v>
      </c>
      <c r="L23" s="416">
        <v>40400</v>
      </c>
      <c r="N23" s="19">
        <f t="shared" si="0"/>
        <v>21415000</v>
      </c>
      <c r="O23" s="19">
        <f t="shared" si="1"/>
        <v>4627.6343848666347</v>
      </c>
      <c r="P23" s="19">
        <f t="shared" si="2"/>
        <v>15114900.000000002</v>
      </c>
      <c r="Q23" s="19">
        <f t="shared" si="3"/>
        <v>3887.7885744983614</v>
      </c>
    </row>
    <row r="24" spans="1:17">
      <c r="A24" s="120">
        <v>2000</v>
      </c>
      <c r="B24" s="416">
        <v>41600</v>
      </c>
      <c r="C24" s="416">
        <v>35500</v>
      </c>
      <c r="D24" s="416">
        <v>35600</v>
      </c>
      <c r="E24" s="416">
        <v>36800</v>
      </c>
      <c r="F24" s="416">
        <v>37500</v>
      </c>
      <c r="G24" s="416">
        <v>36400</v>
      </c>
      <c r="H24" s="416">
        <v>47800</v>
      </c>
      <c r="I24" s="416">
        <v>38700</v>
      </c>
      <c r="J24" s="416">
        <v>37100</v>
      </c>
      <c r="K24" s="416">
        <v>45400</v>
      </c>
      <c r="L24" s="416">
        <v>39600</v>
      </c>
      <c r="N24" s="19">
        <f t="shared" si="0"/>
        <v>22564000</v>
      </c>
      <c r="O24" s="19">
        <f t="shared" si="1"/>
        <v>4750.1578921126402</v>
      </c>
      <c r="P24" s="19">
        <f t="shared" si="2"/>
        <v>16010400</v>
      </c>
      <c r="Q24" s="19">
        <f t="shared" si="3"/>
        <v>4001.2997888186283</v>
      </c>
    </row>
    <row r="25" spans="1:17">
      <c r="A25" s="120">
        <v>2001</v>
      </c>
      <c r="B25" s="416">
        <v>43300</v>
      </c>
      <c r="C25" s="416">
        <v>36000</v>
      </c>
      <c r="D25" s="416">
        <v>35300</v>
      </c>
      <c r="E25" s="416">
        <v>37900</v>
      </c>
      <c r="F25" s="416">
        <v>38400</v>
      </c>
      <c r="G25" s="416">
        <v>37800</v>
      </c>
      <c r="H25" s="416">
        <v>48800</v>
      </c>
      <c r="I25" s="416">
        <v>39800</v>
      </c>
      <c r="J25" s="416">
        <v>39400</v>
      </c>
      <c r="K25" s="416">
        <v>49100</v>
      </c>
      <c r="L25" s="416">
        <v>41500</v>
      </c>
      <c r="N25" s="19">
        <f t="shared" si="0"/>
        <v>29530000</v>
      </c>
      <c r="O25" s="19">
        <f t="shared" si="1"/>
        <v>5434.15126767741</v>
      </c>
      <c r="P25" s="19">
        <f t="shared" si="2"/>
        <v>21120000.000000004</v>
      </c>
      <c r="Q25" s="19">
        <f t="shared" si="3"/>
        <v>4595.6501172304233</v>
      </c>
    </row>
    <row r="26" spans="1:17">
      <c r="A26" s="120">
        <v>2002</v>
      </c>
      <c r="B26" s="416">
        <v>43200</v>
      </c>
      <c r="C26" s="416">
        <v>36300</v>
      </c>
      <c r="D26" s="416">
        <v>36500</v>
      </c>
      <c r="E26" s="416">
        <v>37200</v>
      </c>
      <c r="F26" s="416">
        <v>37400</v>
      </c>
      <c r="G26" s="416">
        <v>38000</v>
      </c>
      <c r="H26" s="416">
        <v>48700</v>
      </c>
      <c r="I26" s="416">
        <v>39600</v>
      </c>
      <c r="J26" s="416">
        <v>38700</v>
      </c>
      <c r="K26" s="416">
        <v>48300</v>
      </c>
      <c r="L26" s="416">
        <v>41400</v>
      </c>
      <c r="N26" s="19">
        <f t="shared" si="0"/>
        <v>28189000</v>
      </c>
      <c r="O26" s="19">
        <f t="shared" si="1"/>
        <v>5309.3314080023292</v>
      </c>
      <c r="P26" s="19">
        <f t="shared" si="2"/>
        <v>19248900</v>
      </c>
      <c r="Q26" s="19">
        <f t="shared" si="3"/>
        <v>4387.3568352710954</v>
      </c>
    </row>
    <row r="27" spans="1:17">
      <c r="A27" s="120">
        <v>2003</v>
      </c>
      <c r="B27" s="416">
        <v>43200</v>
      </c>
      <c r="C27" s="416">
        <v>36900</v>
      </c>
      <c r="D27" s="416">
        <v>38100</v>
      </c>
      <c r="E27" s="416">
        <v>36600</v>
      </c>
      <c r="F27" s="416">
        <v>37800</v>
      </c>
      <c r="G27" s="416">
        <v>38300</v>
      </c>
      <c r="H27" s="416">
        <v>49100</v>
      </c>
      <c r="I27" s="416">
        <v>39900</v>
      </c>
      <c r="J27" s="416">
        <v>38800</v>
      </c>
      <c r="K27" s="416">
        <v>47400</v>
      </c>
      <c r="L27" s="416">
        <v>40800</v>
      </c>
      <c r="N27" s="19">
        <f t="shared" si="0"/>
        <v>25089000</v>
      </c>
      <c r="O27" s="19">
        <f t="shared" si="1"/>
        <v>5008.892093068087</v>
      </c>
      <c r="P27" s="19">
        <f t="shared" si="2"/>
        <v>17080100.000000004</v>
      </c>
      <c r="Q27" s="19">
        <f t="shared" si="3"/>
        <v>4132.8077622846195</v>
      </c>
    </row>
    <row r="28" spans="1:17">
      <c r="A28" s="120">
        <v>2004</v>
      </c>
      <c r="B28" s="416">
        <v>43500</v>
      </c>
      <c r="C28" s="416">
        <v>36700</v>
      </c>
      <c r="D28" s="416">
        <v>39400</v>
      </c>
      <c r="E28" s="416">
        <v>38300</v>
      </c>
      <c r="F28" s="416">
        <v>37900</v>
      </c>
      <c r="G28" s="416">
        <v>38800</v>
      </c>
      <c r="H28" s="416">
        <v>49200</v>
      </c>
      <c r="I28" s="416">
        <v>40900</v>
      </c>
      <c r="J28" s="416">
        <v>39800</v>
      </c>
      <c r="K28" s="416">
        <v>49300</v>
      </c>
      <c r="L28" s="416">
        <v>42700</v>
      </c>
      <c r="N28" s="19">
        <f t="shared" si="0"/>
        <v>23076000</v>
      </c>
      <c r="O28" s="19">
        <f t="shared" si="1"/>
        <v>4803.748536299543</v>
      </c>
      <c r="P28" s="19">
        <f t="shared" si="2"/>
        <v>18236000.000000004</v>
      </c>
      <c r="Q28" s="19">
        <f t="shared" si="3"/>
        <v>4270.3629822299654</v>
      </c>
    </row>
    <row r="29" spans="1:17">
      <c r="A29" s="120">
        <v>2005</v>
      </c>
      <c r="B29" s="416">
        <v>44500</v>
      </c>
      <c r="C29" s="416">
        <v>37300</v>
      </c>
      <c r="D29" s="416">
        <v>40000</v>
      </c>
      <c r="E29" s="416">
        <v>39100</v>
      </c>
      <c r="F29" s="416">
        <v>38700</v>
      </c>
      <c r="G29" s="416">
        <v>38700</v>
      </c>
      <c r="H29" s="416">
        <v>50100</v>
      </c>
      <c r="I29" s="416">
        <v>41700</v>
      </c>
      <c r="J29" s="416">
        <v>39600</v>
      </c>
      <c r="K29" s="416">
        <v>51500</v>
      </c>
      <c r="L29" s="416">
        <v>44000</v>
      </c>
      <c r="N29" s="19"/>
      <c r="O29" s="19"/>
      <c r="P29" s="19"/>
      <c r="Q29" s="19"/>
    </row>
    <row r="30" spans="1:17">
      <c r="A30" s="120">
        <v>2006</v>
      </c>
      <c r="B30" s="416">
        <v>45400</v>
      </c>
      <c r="C30" s="416">
        <v>39600</v>
      </c>
      <c r="D30" s="416">
        <v>41600</v>
      </c>
      <c r="E30" s="416">
        <v>40100</v>
      </c>
      <c r="F30" s="416">
        <v>38400</v>
      </c>
      <c r="G30" s="416">
        <v>39300</v>
      </c>
      <c r="H30" s="416">
        <v>50700</v>
      </c>
      <c r="I30" s="416">
        <v>41500</v>
      </c>
      <c r="J30" s="416">
        <v>41900</v>
      </c>
      <c r="K30" s="416">
        <v>54900</v>
      </c>
      <c r="L30" s="416">
        <v>44900</v>
      </c>
      <c r="N30" s="19"/>
      <c r="O30" s="19"/>
      <c r="P30" s="19"/>
      <c r="Q30" s="19"/>
    </row>
    <row r="31" spans="1:17" s="961" customFormat="1">
      <c r="A31" s="120">
        <v>2007</v>
      </c>
      <c r="B31" s="416">
        <v>46700</v>
      </c>
      <c r="C31" s="416">
        <v>41600</v>
      </c>
      <c r="D31" s="416">
        <v>43200</v>
      </c>
      <c r="E31" s="416">
        <v>40700</v>
      </c>
      <c r="F31" s="416">
        <v>40900</v>
      </c>
      <c r="G31" s="416">
        <v>40000</v>
      </c>
      <c r="H31" s="416">
        <v>52000</v>
      </c>
      <c r="I31" s="416">
        <v>44100</v>
      </c>
      <c r="J31" s="416">
        <v>44000</v>
      </c>
      <c r="K31" s="416">
        <v>56200</v>
      </c>
      <c r="L31" s="416">
        <v>47000</v>
      </c>
      <c r="N31" s="19"/>
      <c r="O31" s="19"/>
      <c r="P31" s="19"/>
      <c r="Q31" s="19"/>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 t="shared" ref="B33:L33" si="4">((((B13/B5))^(1/8))-1)*100</f>
        <v>-0.31026813697340172</v>
      </c>
      <c r="C33" s="959">
        <f t="shared" si="4"/>
        <v>-0.45029567325268749</v>
      </c>
      <c r="D33" s="959">
        <f t="shared" si="4"/>
        <v>3.4680098190142949E-2</v>
      </c>
      <c r="E33" s="959">
        <f t="shared" si="4"/>
        <v>0.25941252498005163</v>
      </c>
      <c r="F33" s="959">
        <f t="shared" si="4"/>
        <v>0.3620456011879325</v>
      </c>
      <c r="G33" s="959">
        <f t="shared" si="4"/>
        <v>-0.33853401938966909</v>
      </c>
      <c r="H33" s="959">
        <f t="shared" si="4"/>
        <v>0.23104227777299702</v>
      </c>
      <c r="I33" s="959">
        <f t="shared" si="4"/>
        <v>-3.1441613553950809E-2</v>
      </c>
      <c r="J33" s="959">
        <f t="shared" si="4"/>
        <v>-1.0980490529944431</v>
      </c>
      <c r="K33" s="959">
        <f t="shared" si="4"/>
        <v>-1.3499700594828301</v>
      </c>
      <c r="L33" s="959">
        <f t="shared" si="4"/>
        <v>-1.1430233924617506</v>
      </c>
      <c r="M33" s="644"/>
      <c r="N33" s="644">
        <f>((((N13/N5))^(1/8))-1)*100</f>
        <v>-3.3716380668420864</v>
      </c>
      <c r="O33" s="644">
        <f>((((O13/O5))^(1/8))-1)*100</f>
        <v>-1.700273686465481</v>
      </c>
      <c r="P33" s="644">
        <f>((((P13/P5))^(1/8))-1)*100</f>
        <v>-5.4460069445909749</v>
      </c>
      <c r="Q33" s="644">
        <f>((((Q13/Q5))^(1/8))-1)*100</f>
        <v>-2.7611224584482175</v>
      </c>
    </row>
    <row r="34" spans="1:17" s="114" customFormat="1">
      <c r="A34" s="431" t="s">
        <v>604</v>
      </c>
      <c r="B34" s="959">
        <f t="shared" ref="B34:L34" si="5">((((B24/B13))^(1/11))-1)*100</f>
        <v>-0.44670777798969663</v>
      </c>
      <c r="C34" s="959">
        <f t="shared" si="5"/>
        <v>-1.2570269853804716</v>
      </c>
      <c r="D34" s="959">
        <f t="shared" si="5"/>
        <v>-0.12671262876570166</v>
      </c>
      <c r="E34" s="959">
        <f t="shared" si="5"/>
        <v>-0.52646204141381103</v>
      </c>
      <c r="F34" s="959">
        <f t="shared" si="5"/>
        <v>-0.26248529872594517</v>
      </c>
      <c r="G34" s="959">
        <f t="shared" si="5"/>
        <v>-0.85370487988077892</v>
      </c>
      <c r="H34" s="959">
        <f t="shared" si="5"/>
        <v>-0.26209215539408914</v>
      </c>
      <c r="I34" s="959">
        <f t="shared" si="5"/>
        <v>-0.23165478934620287</v>
      </c>
      <c r="J34" s="959">
        <f t="shared" si="5"/>
        <v>-0.19375879459453405</v>
      </c>
      <c r="K34" s="959">
        <f t="shared" si="5"/>
        <v>0.20268363168560732</v>
      </c>
      <c r="L34" s="959">
        <f t="shared" si="5"/>
        <v>-0.87098504737821436</v>
      </c>
      <c r="M34" s="644"/>
      <c r="N34" s="644">
        <f>((((N24/N13))^(1/11))-1)*100</f>
        <v>0.72737306336039254</v>
      </c>
      <c r="O34" s="644">
        <f>((((O24/O13))^(1/11))-1)*100</f>
        <v>0.36302758653725675</v>
      </c>
      <c r="P34" s="644">
        <f>((((P24/P13))^(1/11))-1)*100</f>
        <v>1.796834291656868</v>
      </c>
      <c r="Q34" s="644">
        <f>((((Q24/Q13))^(1/11))-1)*100</f>
        <v>0.89441723487819758</v>
      </c>
    </row>
    <row r="35" spans="1:17" s="114" customFormat="1">
      <c r="A35" s="431" t="s">
        <v>447</v>
      </c>
      <c r="B35" s="23">
        <f>((((B31/B5))^(1/26))-1)*100</f>
        <v>0.15988161787559019</v>
      </c>
      <c r="C35" s="23">
        <f t="shared" ref="C35:L35" si="6">((((C31/C5))^(1/26))-1)*100</f>
        <v>-6.4159865615642797E-2</v>
      </c>
      <c r="D35" s="23">
        <f t="shared" si="6"/>
        <v>0.70370117895595108</v>
      </c>
      <c r="E35" s="23">
        <f t="shared" si="6"/>
        <v>0.24411508005148796</v>
      </c>
      <c r="F35" s="23">
        <f t="shared" si="6"/>
        <v>0.33436209356281221</v>
      </c>
      <c r="G35" s="23">
        <f t="shared" si="6"/>
        <v>-0.10428661209312962</v>
      </c>
      <c r="H35" s="23">
        <f t="shared" si="6"/>
        <v>0.28429627263510948</v>
      </c>
      <c r="I35" s="23">
        <f t="shared" si="6"/>
        <v>0.39536748542694511</v>
      </c>
      <c r="J35" s="23">
        <f t="shared" si="6"/>
        <v>0.23453904847612339</v>
      </c>
      <c r="K35" s="23">
        <f t="shared" si="6"/>
        <v>0.48944035509626005</v>
      </c>
      <c r="L35" s="23">
        <f t="shared" si="6"/>
        <v>-6.489446437972779E-2</v>
      </c>
      <c r="M35" s="23"/>
      <c r="N35" s="23">
        <f>((((N28/N5))^(1/23))-1)*100</f>
        <v>-0.74600450018194042</v>
      </c>
      <c r="O35" s="23">
        <f>((((O28/O5))^(1/23))-1)*100</f>
        <v>-0.37370051044851582</v>
      </c>
      <c r="P35" s="23">
        <f>((((P28/P5))^(1/23))-1)*100</f>
        <v>-0.52875843739560446</v>
      </c>
      <c r="Q35" s="23">
        <f>((((Q28/Q5))^(1/23))-1)*100</f>
        <v>-0.26472962757638774</v>
      </c>
    </row>
    <row r="36" spans="1:17" s="114" customFormat="1">
      <c r="A36" s="431" t="s">
        <v>449</v>
      </c>
      <c r="B36" s="959">
        <f>((((B31/B24))^(1/7))-1)*100</f>
        <v>1.6657790297555986</v>
      </c>
      <c r="C36" s="959">
        <f t="shared" ref="C36:L36" si="7">((((C31/C24))^(1/7))-1)*100</f>
        <v>2.2911011931415537</v>
      </c>
      <c r="D36" s="959">
        <f t="shared" si="7"/>
        <v>2.802771057772846</v>
      </c>
      <c r="E36" s="959">
        <f t="shared" si="7"/>
        <v>1.4494070306501738</v>
      </c>
      <c r="F36" s="959">
        <f t="shared" si="7"/>
        <v>1.247562653744505</v>
      </c>
      <c r="G36" s="959">
        <f t="shared" si="7"/>
        <v>1.3564123437250108</v>
      </c>
      <c r="H36" s="959">
        <f t="shared" si="7"/>
        <v>1.2103819614048605</v>
      </c>
      <c r="I36" s="959">
        <f t="shared" si="7"/>
        <v>1.8835212309319616</v>
      </c>
      <c r="J36" s="959">
        <f t="shared" si="7"/>
        <v>2.4666837810432218</v>
      </c>
      <c r="K36" s="959">
        <f t="shared" si="7"/>
        <v>3.0955847134520598</v>
      </c>
      <c r="L36" s="959">
        <f t="shared" si="7"/>
        <v>2.4776017361576308</v>
      </c>
      <c r="M36" s="644"/>
      <c r="N36" s="644">
        <f>((((N28/N24))^(1/4))-1)*100</f>
        <v>0.56251119911505665</v>
      </c>
      <c r="O36" s="644">
        <f>((((O28/O24))^(1/4))-1)*100</f>
        <v>0.28086118453263254</v>
      </c>
      <c r="P36" s="644">
        <f>((((P28/P24))^(1/4))-1)*100</f>
        <v>3.3074996125656453</v>
      </c>
      <c r="Q36" s="644">
        <f>((((Q28/Q24))^(1/4))-1)*100</f>
        <v>1.640296936090091</v>
      </c>
    </row>
    <row r="37" spans="1:17" s="114" customFormat="1">
      <c r="A37" s="431"/>
      <c r="D37" s="959" t="s">
        <v>276</v>
      </c>
    </row>
    <row r="38" spans="1:17" s="114" customFormat="1">
      <c r="A38" s="431" t="s">
        <v>447</v>
      </c>
      <c r="B38" s="10">
        <f>(B31/B5-1)*100</f>
        <v>4.2410714285714191</v>
      </c>
      <c r="C38" s="10">
        <f t="shared" ref="C38:L38" si="8">(C31/C5-1)*100</f>
        <v>-1.6548463356974019</v>
      </c>
      <c r="D38" s="10">
        <f t="shared" si="8"/>
        <v>19.999999999999996</v>
      </c>
      <c r="E38" s="10">
        <f t="shared" si="8"/>
        <v>6.5445026178010401</v>
      </c>
      <c r="F38" s="10">
        <f t="shared" si="8"/>
        <v>9.0666666666666664</v>
      </c>
      <c r="G38" s="10">
        <f t="shared" si="8"/>
        <v>-2.676399026763987</v>
      </c>
      <c r="H38" s="10">
        <f t="shared" si="8"/>
        <v>7.660455486542439</v>
      </c>
      <c r="I38" s="10">
        <f t="shared" si="8"/>
        <v>10.80402010050252</v>
      </c>
      <c r="J38" s="10">
        <f t="shared" si="8"/>
        <v>6.2801932367149815</v>
      </c>
      <c r="K38" s="10">
        <f t="shared" si="8"/>
        <v>13.535353535353533</v>
      </c>
      <c r="L38" s="10">
        <f t="shared" si="8"/>
        <v>-1.6736401673640211</v>
      </c>
      <c r="M38" s="10"/>
      <c r="N38" s="10">
        <f>(N28/N5-1)*100</f>
        <v>-15.820960857987087</v>
      </c>
      <c r="O38" s="10">
        <f>(O28/O5-1)*100</f>
        <v>-8.2508642318561485</v>
      </c>
      <c r="P38" s="10">
        <f>(P28/P5-1)*100</f>
        <v>-11.479595551650657</v>
      </c>
      <c r="Q38" s="10">
        <f>(Q28/Q5-1)*100</f>
        <v>-5.9147171719458829</v>
      </c>
    </row>
    <row r="39" spans="1:17">
      <c r="N39" s="644"/>
      <c r="O39" s="644"/>
      <c r="P39" s="644"/>
      <c r="Q39" s="644"/>
    </row>
    <row r="40" spans="1:17" ht="24.75" customHeight="1">
      <c r="A40" s="1170" t="s">
        <v>1030</v>
      </c>
      <c r="B40" s="1170"/>
      <c r="C40" s="1170"/>
      <c r="D40" s="1170"/>
      <c r="E40" s="1170"/>
      <c r="F40" s="1170"/>
      <c r="G40" s="1170"/>
      <c r="H40" s="1170"/>
      <c r="I40" s="1170"/>
      <c r="J40" s="1170"/>
      <c r="K40" s="1170"/>
      <c r="L40" s="1170"/>
      <c r="N40" s="10"/>
      <c r="O40" s="10"/>
      <c r="P40" s="10"/>
      <c r="Q40" s="10"/>
    </row>
    <row r="41" spans="1:17">
      <c r="A41" s="4" t="s">
        <v>1868</v>
      </c>
      <c r="N41" s="10"/>
      <c r="O41" s="10"/>
      <c r="P41" s="10"/>
      <c r="Q41" s="10"/>
    </row>
    <row r="42" spans="1:17">
      <c r="A42" s="4" t="s">
        <v>388</v>
      </c>
      <c r="N42" s="10"/>
      <c r="O42" s="10"/>
      <c r="P42" s="10"/>
      <c r="Q42" s="10"/>
    </row>
    <row r="43" spans="1:17" ht="15.75">
      <c r="A43" s="1168" t="s">
        <v>1161</v>
      </c>
      <c r="B43" s="1169"/>
      <c r="C43" s="1169"/>
      <c r="D43" s="1169"/>
      <c r="E43" s="1169"/>
      <c r="F43" s="1169"/>
      <c r="G43" s="1169"/>
      <c r="H43" s="1169"/>
      <c r="I43" s="1169"/>
      <c r="J43" s="1169"/>
      <c r="K43" s="1169"/>
      <c r="L43" s="1169"/>
    </row>
    <row r="44" spans="1:17" ht="39.75" customHeight="1">
      <c r="A44" s="1168" t="s">
        <v>978</v>
      </c>
      <c r="B44" s="1169"/>
      <c r="C44" s="1169"/>
      <c r="D44" s="1169"/>
      <c r="E44" s="1169"/>
      <c r="F44" s="1169"/>
      <c r="G44" s="1169"/>
      <c r="H44" s="1169"/>
      <c r="I44" s="1169"/>
      <c r="J44" s="1169"/>
      <c r="K44" s="1169"/>
      <c r="L44" s="1169"/>
    </row>
    <row r="46" spans="1:17">
      <c r="B46" s="961"/>
      <c r="C46" s="961"/>
      <c r="D46" s="961"/>
      <c r="E46" s="27"/>
      <c r="F46" s="961"/>
      <c r="G46" s="961"/>
      <c r="H46" s="961"/>
      <c r="I46" s="961"/>
      <c r="J46" s="961"/>
      <c r="K46" s="961"/>
      <c r="L46" s="961"/>
      <c r="M46" s="961"/>
    </row>
    <row r="47" spans="1:17" ht="12.75" hidden="1" customHeight="1">
      <c r="B47" s="961" t="s">
        <v>278</v>
      </c>
      <c r="C47" s="961"/>
      <c r="D47" s="961"/>
      <c r="E47" s="961"/>
      <c r="F47" s="961"/>
      <c r="G47" s="961"/>
      <c r="H47" s="961"/>
      <c r="I47" s="961"/>
      <c r="J47" s="961"/>
      <c r="K47" s="961"/>
      <c r="L47" s="961"/>
      <c r="M47" s="961"/>
    </row>
    <row r="48" spans="1:17" ht="12.75" hidden="1" customHeight="1">
      <c r="B48" s="961" t="s">
        <v>279</v>
      </c>
      <c r="C48" s="961"/>
      <c r="D48" s="961"/>
      <c r="E48" s="961"/>
      <c r="F48" s="961"/>
      <c r="G48" s="961"/>
      <c r="H48" s="961"/>
      <c r="I48" s="961"/>
      <c r="J48" s="961"/>
      <c r="K48" s="961"/>
      <c r="L48" s="961"/>
      <c r="M48" s="961"/>
    </row>
    <row r="49" spans="2:13" ht="12.75" hidden="1" customHeight="1">
      <c r="B49" s="961">
        <v>1981</v>
      </c>
      <c r="C49" s="300">
        <f>C5-$B5</f>
        <v>-2500</v>
      </c>
      <c r="D49" s="300">
        <f t="shared" ref="D49:L49" si="9">D5-$B5</f>
        <v>-8800</v>
      </c>
      <c r="E49" s="300">
        <f t="shared" si="9"/>
        <v>-6600</v>
      </c>
      <c r="F49" s="300">
        <f t="shared" si="9"/>
        <v>-7300</v>
      </c>
      <c r="G49" s="300">
        <f t="shared" si="9"/>
        <v>-3700</v>
      </c>
      <c r="H49" s="300">
        <f t="shared" si="9"/>
        <v>3500</v>
      </c>
      <c r="I49" s="300">
        <f t="shared" si="9"/>
        <v>-5000</v>
      </c>
      <c r="J49" s="300">
        <f t="shared" si="9"/>
        <v>-3400</v>
      </c>
      <c r="K49" s="300">
        <f t="shared" si="9"/>
        <v>4700</v>
      </c>
      <c r="L49" s="300">
        <f t="shared" si="9"/>
        <v>3000</v>
      </c>
      <c r="M49" s="961"/>
    </row>
    <row r="50" spans="2:13" ht="12.75" hidden="1" customHeight="1">
      <c r="B50" s="961">
        <v>1982</v>
      </c>
      <c r="C50" s="300">
        <f t="shared" ref="C50:L65" si="10">C6-$B6</f>
        <v>-3000</v>
      </c>
      <c r="D50" s="300">
        <f t="shared" si="10"/>
        <v>-7000</v>
      </c>
      <c r="E50" s="300">
        <f t="shared" si="10"/>
        <v>-6100</v>
      </c>
      <c r="F50" s="300">
        <f t="shared" si="10"/>
        <v>-6700</v>
      </c>
      <c r="G50" s="300">
        <f t="shared" si="10"/>
        <v>-2900</v>
      </c>
      <c r="H50" s="300">
        <f t="shared" si="10"/>
        <v>2400</v>
      </c>
      <c r="I50" s="300">
        <f t="shared" si="10"/>
        <v>-3600</v>
      </c>
      <c r="J50" s="300">
        <f t="shared" si="10"/>
        <v>-2700</v>
      </c>
      <c r="K50" s="300">
        <f t="shared" si="10"/>
        <v>5800</v>
      </c>
      <c r="L50" s="300">
        <f t="shared" si="10"/>
        <v>1900</v>
      </c>
      <c r="M50" s="961"/>
    </row>
    <row r="51" spans="2:13" ht="12.75" hidden="1" customHeight="1">
      <c r="B51" s="961">
        <v>1983</v>
      </c>
      <c r="C51" s="300">
        <f t="shared" si="10"/>
        <v>-6000</v>
      </c>
      <c r="D51" s="300">
        <f t="shared" si="10"/>
        <v>-5200</v>
      </c>
      <c r="E51" s="300">
        <f t="shared" si="10"/>
        <v>-6400</v>
      </c>
      <c r="F51" s="300">
        <f t="shared" si="10"/>
        <v>-7900</v>
      </c>
      <c r="G51" s="300">
        <f t="shared" si="10"/>
        <v>-2100</v>
      </c>
      <c r="H51" s="300">
        <f t="shared" si="10"/>
        <v>2200</v>
      </c>
      <c r="I51" s="300">
        <f t="shared" si="10"/>
        <v>-1200</v>
      </c>
      <c r="J51" s="300">
        <f t="shared" si="10"/>
        <v>-3500</v>
      </c>
      <c r="K51" s="300">
        <f t="shared" si="10"/>
        <v>3800</v>
      </c>
      <c r="L51" s="300">
        <f t="shared" si="10"/>
        <v>1200</v>
      </c>
      <c r="M51" s="961"/>
    </row>
    <row r="52" spans="2:13" ht="12.75" hidden="1" customHeight="1">
      <c r="B52" s="961">
        <v>1984</v>
      </c>
      <c r="C52" s="300">
        <f t="shared" si="10"/>
        <v>-5400</v>
      </c>
      <c r="D52" s="300">
        <f t="shared" si="10"/>
        <v>-5800</v>
      </c>
      <c r="E52" s="300">
        <f t="shared" si="10"/>
        <v>-4400</v>
      </c>
      <c r="F52" s="300">
        <f t="shared" si="10"/>
        <v>-4700</v>
      </c>
      <c r="G52" s="300">
        <f t="shared" si="10"/>
        <v>-2700</v>
      </c>
      <c r="H52" s="300">
        <f t="shared" si="10"/>
        <v>3300</v>
      </c>
      <c r="I52" s="300">
        <f t="shared" si="10"/>
        <v>-1800</v>
      </c>
      <c r="J52" s="300">
        <f t="shared" si="10"/>
        <v>-3600</v>
      </c>
      <c r="K52" s="300">
        <f t="shared" si="10"/>
        <v>1600</v>
      </c>
      <c r="L52" s="300">
        <f t="shared" si="10"/>
        <v>-1300</v>
      </c>
      <c r="M52" s="961"/>
    </row>
    <row r="53" spans="2:13" ht="12.75" hidden="1" customHeight="1">
      <c r="B53" s="961">
        <v>1985</v>
      </c>
      <c r="C53" s="300">
        <f t="shared" si="10"/>
        <v>-5900</v>
      </c>
      <c r="D53" s="300">
        <f t="shared" si="10"/>
        <v>-6000</v>
      </c>
      <c r="E53" s="300">
        <f t="shared" si="10"/>
        <v>-4800</v>
      </c>
      <c r="F53" s="300">
        <f t="shared" si="10"/>
        <v>-4700</v>
      </c>
      <c r="G53" s="300">
        <f t="shared" si="10"/>
        <v>-2600</v>
      </c>
      <c r="H53" s="300">
        <f t="shared" si="10"/>
        <v>4200</v>
      </c>
      <c r="I53" s="300">
        <f t="shared" si="10"/>
        <v>-2500</v>
      </c>
      <c r="J53" s="300">
        <f t="shared" si="10"/>
        <v>-3100</v>
      </c>
      <c r="K53" s="300">
        <f t="shared" si="10"/>
        <v>2400</v>
      </c>
      <c r="L53" s="300">
        <f t="shared" si="10"/>
        <v>-2000</v>
      </c>
      <c r="M53" s="961"/>
    </row>
    <row r="54" spans="2:13" ht="12.75" hidden="1" customHeight="1">
      <c r="B54" s="961">
        <v>1986</v>
      </c>
      <c r="C54" s="300">
        <f t="shared" si="10"/>
        <v>-6900</v>
      </c>
      <c r="D54" s="300">
        <f t="shared" si="10"/>
        <v>-5500</v>
      </c>
      <c r="E54" s="300">
        <f t="shared" si="10"/>
        <v>-5100</v>
      </c>
      <c r="F54" s="300">
        <f t="shared" si="10"/>
        <v>-3400</v>
      </c>
      <c r="G54" s="300">
        <f t="shared" si="10"/>
        <v>-3500</v>
      </c>
      <c r="H54" s="300">
        <f t="shared" si="10"/>
        <v>4700</v>
      </c>
      <c r="I54" s="300">
        <f t="shared" si="10"/>
        <v>-2000</v>
      </c>
      <c r="J54" s="300">
        <f t="shared" si="10"/>
        <v>-5500</v>
      </c>
      <c r="K54" s="300">
        <f t="shared" si="10"/>
        <v>2000</v>
      </c>
      <c r="L54" s="300">
        <f t="shared" si="10"/>
        <v>300</v>
      </c>
      <c r="M54" s="961"/>
    </row>
    <row r="55" spans="2:13" ht="12.75" hidden="1" customHeight="1">
      <c r="B55" s="961">
        <v>1987</v>
      </c>
      <c r="C55" s="300">
        <f t="shared" si="10"/>
        <v>-4000</v>
      </c>
      <c r="D55" s="300">
        <f t="shared" si="10"/>
        <v>-4200</v>
      </c>
      <c r="E55" s="300">
        <f t="shared" si="10"/>
        <v>-2700</v>
      </c>
      <c r="F55" s="300">
        <f t="shared" si="10"/>
        <v>-5700</v>
      </c>
      <c r="G55" s="300">
        <f t="shared" si="10"/>
        <v>-3700</v>
      </c>
      <c r="H55" s="300">
        <f t="shared" si="10"/>
        <v>5800</v>
      </c>
      <c r="I55" s="300">
        <f t="shared" si="10"/>
        <v>-3700</v>
      </c>
      <c r="J55" s="300">
        <f t="shared" si="10"/>
        <v>-4400</v>
      </c>
      <c r="K55" s="300">
        <f t="shared" si="10"/>
        <v>400</v>
      </c>
      <c r="L55" s="300">
        <f t="shared" si="10"/>
        <v>-2300</v>
      </c>
      <c r="M55" s="961"/>
    </row>
    <row r="56" spans="2:13" ht="12.75" hidden="1" customHeight="1">
      <c r="B56" s="961">
        <v>1988</v>
      </c>
      <c r="C56" s="300">
        <f t="shared" si="10"/>
        <v>-3600</v>
      </c>
      <c r="D56" s="300">
        <f t="shared" si="10"/>
        <v>-6600</v>
      </c>
      <c r="E56" s="300">
        <f t="shared" si="10"/>
        <v>-3800</v>
      </c>
      <c r="F56" s="300">
        <f t="shared" si="10"/>
        <v>-5200</v>
      </c>
      <c r="G56" s="300">
        <f t="shared" si="10"/>
        <v>-4500</v>
      </c>
      <c r="H56" s="300">
        <f t="shared" si="10"/>
        <v>5600</v>
      </c>
      <c r="I56" s="300">
        <f t="shared" si="10"/>
        <v>-3900</v>
      </c>
      <c r="J56" s="300">
        <f t="shared" si="10"/>
        <v>-6500</v>
      </c>
      <c r="K56" s="300">
        <f t="shared" si="10"/>
        <v>1400</v>
      </c>
      <c r="L56" s="300">
        <f t="shared" si="10"/>
        <v>-200</v>
      </c>
      <c r="M56" s="961"/>
    </row>
    <row r="57" spans="2:13" ht="12.75" hidden="1" customHeight="1">
      <c r="B57" s="961">
        <v>1989</v>
      </c>
      <c r="C57" s="300">
        <f t="shared" si="10"/>
        <v>-2900</v>
      </c>
      <c r="D57" s="300">
        <f t="shared" si="10"/>
        <v>-7600</v>
      </c>
      <c r="E57" s="300">
        <f t="shared" si="10"/>
        <v>-4700</v>
      </c>
      <c r="F57" s="300">
        <f t="shared" si="10"/>
        <v>-5100</v>
      </c>
      <c r="G57" s="300">
        <f t="shared" si="10"/>
        <v>-3700</v>
      </c>
      <c r="H57" s="300">
        <f t="shared" si="10"/>
        <v>5500</v>
      </c>
      <c r="I57" s="300">
        <f t="shared" si="10"/>
        <v>-4000</v>
      </c>
      <c r="J57" s="300">
        <f t="shared" si="10"/>
        <v>-5800</v>
      </c>
      <c r="K57" s="300">
        <f t="shared" si="10"/>
        <v>700</v>
      </c>
      <c r="L57" s="300">
        <f t="shared" si="10"/>
        <v>-100</v>
      </c>
      <c r="M57" s="961"/>
    </row>
    <row r="58" spans="2:13" ht="12.75" hidden="1" customHeight="1">
      <c r="B58" s="961">
        <v>1990</v>
      </c>
      <c r="C58" s="300">
        <f t="shared" si="10"/>
        <v>-3700</v>
      </c>
      <c r="D58" s="300">
        <f t="shared" si="10"/>
        <v>-4900</v>
      </c>
      <c r="E58" s="300">
        <f t="shared" si="10"/>
        <v>-3800</v>
      </c>
      <c r="F58" s="300">
        <f t="shared" si="10"/>
        <v>-4400</v>
      </c>
      <c r="G58" s="300">
        <f t="shared" si="10"/>
        <v>-4600</v>
      </c>
      <c r="H58" s="300">
        <f t="shared" si="10"/>
        <v>5200</v>
      </c>
      <c r="I58" s="300">
        <f t="shared" si="10"/>
        <v>-2500</v>
      </c>
      <c r="J58" s="300">
        <f t="shared" si="10"/>
        <v>-5600</v>
      </c>
      <c r="K58" s="300">
        <f t="shared" si="10"/>
        <v>1200</v>
      </c>
      <c r="L58" s="300">
        <f t="shared" si="10"/>
        <v>-200</v>
      </c>
      <c r="M58" s="961"/>
    </row>
    <row r="59" spans="2:13" ht="12.75" hidden="1" customHeight="1">
      <c r="B59" s="961">
        <v>1991</v>
      </c>
      <c r="C59" s="300">
        <f t="shared" si="10"/>
        <v>-2700</v>
      </c>
      <c r="D59" s="300">
        <f t="shared" si="10"/>
        <v>-3800</v>
      </c>
      <c r="E59" s="300">
        <f t="shared" si="10"/>
        <v>-2800</v>
      </c>
      <c r="F59" s="300">
        <f t="shared" si="10"/>
        <v>-4100</v>
      </c>
      <c r="G59" s="300">
        <f t="shared" si="10"/>
        <v>-3600</v>
      </c>
      <c r="H59" s="300">
        <f t="shared" si="10"/>
        <v>4400</v>
      </c>
      <c r="I59" s="300">
        <f t="shared" si="10"/>
        <v>-3300</v>
      </c>
      <c r="J59" s="300">
        <f t="shared" si="10"/>
        <v>-4500</v>
      </c>
      <c r="K59" s="300">
        <f t="shared" si="10"/>
        <v>1600</v>
      </c>
      <c r="L59" s="300">
        <f t="shared" si="10"/>
        <v>400</v>
      </c>
      <c r="M59" s="961"/>
    </row>
    <row r="60" spans="2:13" ht="12.75" hidden="1" customHeight="1">
      <c r="B60" s="961">
        <v>1992</v>
      </c>
      <c r="C60" s="300">
        <f t="shared" si="10"/>
        <v>-3300</v>
      </c>
      <c r="D60" s="300">
        <f t="shared" si="10"/>
        <v>-2900</v>
      </c>
      <c r="E60" s="300">
        <f t="shared" si="10"/>
        <v>-3300</v>
      </c>
      <c r="F60" s="300">
        <f t="shared" si="10"/>
        <v>-4000</v>
      </c>
      <c r="G60" s="300">
        <f t="shared" si="10"/>
        <v>-3900</v>
      </c>
      <c r="H60" s="300">
        <f t="shared" si="10"/>
        <v>4700</v>
      </c>
      <c r="I60" s="300">
        <f t="shared" si="10"/>
        <v>-3800</v>
      </c>
      <c r="J60" s="300">
        <f t="shared" si="10"/>
        <v>-4100</v>
      </c>
      <c r="K60" s="300">
        <f t="shared" si="10"/>
        <v>-700</v>
      </c>
      <c r="L60" s="300">
        <f t="shared" si="10"/>
        <v>400</v>
      </c>
      <c r="M60" s="961"/>
    </row>
    <row r="61" spans="2:13" ht="12.75" hidden="1" customHeight="1">
      <c r="B61" s="961">
        <v>1993</v>
      </c>
      <c r="C61" s="300">
        <f t="shared" si="10"/>
        <v>-3100</v>
      </c>
      <c r="D61" s="300">
        <f t="shared" si="10"/>
        <v>-2800</v>
      </c>
      <c r="E61" s="300">
        <f t="shared" si="10"/>
        <v>-2700</v>
      </c>
      <c r="F61" s="300">
        <f t="shared" si="10"/>
        <v>-3000</v>
      </c>
      <c r="G61" s="300">
        <f t="shared" si="10"/>
        <v>-4400</v>
      </c>
      <c r="H61" s="300">
        <f t="shared" si="10"/>
        <v>4300</v>
      </c>
      <c r="I61" s="300">
        <f t="shared" si="10"/>
        <v>-2600</v>
      </c>
      <c r="J61" s="300">
        <f t="shared" si="10"/>
        <v>-4800</v>
      </c>
      <c r="K61" s="300">
        <f t="shared" si="10"/>
        <v>2400</v>
      </c>
      <c r="L61" s="300">
        <f t="shared" si="10"/>
        <v>1200</v>
      </c>
      <c r="M61" s="961"/>
    </row>
    <row r="62" spans="2:13" ht="12.75" hidden="1" customHeight="1">
      <c r="B62" s="961">
        <v>1994</v>
      </c>
      <c r="C62" s="300">
        <f t="shared" si="10"/>
        <v>-3400</v>
      </c>
      <c r="D62" s="300">
        <f t="shared" si="10"/>
        <v>-3100</v>
      </c>
      <c r="E62" s="300">
        <f t="shared" si="10"/>
        <v>-3800</v>
      </c>
      <c r="F62" s="300">
        <f t="shared" si="10"/>
        <v>-3000</v>
      </c>
      <c r="G62" s="300">
        <f t="shared" si="10"/>
        <v>-3900</v>
      </c>
      <c r="H62" s="300">
        <f t="shared" si="10"/>
        <v>4100</v>
      </c>
      <c r="I62" s="300">
        <f t="shared" si="10"/>
        <v>-2200</v>
      </c>
      <c r="J62" s="300">
        <f t="shared" si="10"/>
        <v>-4100</v>
      </c>
      <c r="K62" s="300">
        <f t="shared" si="10"/>
        <v>2600</v>
      </c>
      <c r="L62" s="300">
        <f t="shared" si="10"/>
        <v>700</v>
      </c>
      <c r="M62" s="961"/>
    </row>
    <row r="63" spans="2:13" ht="12.75" hidden="1" customHeight="1">
      <c r="B63" s="961">
        <v>1995</v>
      </c>
      <c r="C63" s="300">
        <f t="shared" si="10"/>
        <v>-3700</v>
      </c>
      <c r="D63" s="300">
        <f t="shared" si="10"/>
        <v>-1900</v>
      </c>
      <c r="E63" s="300">
        <f t="shared" si="10"/>
        <v>-4300</v>
      </c>
      <c r="F63" s="300">
        <f t="shared" si="10"/>
        <v>-3800</v>
      </c>
      <c r="G63" s="300">
        <f t="shared" si="10"/>
        <v>-4200</v>
      </c>
      <c r="H63" s="300">
        <f t="shared" si="10"/>
        <v>4200</v>
      </c>
      <c r="I63" s="300">
        <f t="shared" si="10"/>
        <v>-2200</v>
      </c>
      <c r="J63" s="300">
        <f t="shared" si="10"/>
        <v>-4200</v>
      </c>
      <c r="K63" s="300">
        <f t="shared" si="10"/>
        <v>1700</v>
      </c>
      <c r="L63" s="300">
        <f t="shared" si="10"/>
        <v>500</v>
      </c>
      <c r="M63" s="961"/>
    </row>
    <row r="64" spans="2:13" ht="12.75" hidden="1" customHeight="1">
      <c r="B64" s="961">
        <v>1996</v>
      </c>
      <c r="C64" s="300">
        <f t="shared" si="10"/>
        <v>-4200</v>
      </c>
      <c r="D64" s="300">
        <f t="shared" si="10"/>
        <v>-2200</v>
      </c>
      <c r="E64" s="300">
        <f t="shared" si="10"/>
        <v>-4300</v>
      </c>
      <c r="F64" s="300">
        <f t="shared" si="10"/>
        <v>-3900</v>
      </c>
      <c r="G64" s="300">
        <f t="shared" si="10"/>
        <v>-4400</v>
      </c>
      <c r="H64" s="300">
        <f t="shared" si="10"/>
        <v>4200</v>
      </c>
      <c r="I64" s="300">
        <f t="shared" si="10"/>
        <v>-1700</v>
      </c>
      <c r="J64" s="300">
        <f t="shared" si="10"/>
        <v>-3600</v>
      </c>
      <c r="K64" s="300">
        <f t="shared" si="10"/>
        <v>1800</v>
      </c>
      <c r="L64" s="300">
        <f t="shared" si="10"/>
        <v>200</v>
      </c>
      <c r="M64" s="961"/>
    </row>
    <row r="65" spans="2:13" ht="12.75" hidden="1" customHeight="1">
      <c r="B65" s="961">
        <v>1997</v>
      </c>
      <c r="C65" s="300">
        <f t="shared" si="10"/>
        <v>-4900</v>
      </c>
      <c r="D65" s="300">
        <f t="shared" si="10"/>
        <v>-3200</v>
      </c>
      <c r="E65" s="300">
        <f t="shared" si="10"/>
        <v>-4200</v>
      </c>
      <c r="F65" s="300">
        <f t="shared" si="10"/>
        <v>-3700</v>
      </c>
      <c r="G65" s="300">
        <f t="shared" si="10"/>
        <v>-4800</v>
      </c>
      <c r="H65" s="300">
        <f t="shared" si="10"/>
        <v>4800</v>
      </c>
      <c r="I65" s="300">
        <f t="shared" si="10"/>
        <v>-1700</v>
      </c>
      <c r="J65" s="300">
        <f t="shared" si="10"/>
        <v>-3200</v>
      </c>
      <c r="K65" s="300">
        <f t="shared" si="10"/>
        <v>4100</v>
      </c>
      <c r="L65" s="300">
        <f t="shared" si="10"/>
        <v>200</v>
      </c>
      <c r="M65" s="961"/>
    </row>
    <row r="66" spans="2:13" ht="12.75" hidden="1" customHeight="1">
      <c r="B66" s="961">
        <v>1998</v>
      </c>
      <c r="C66" s="300">
        <f t="shared" ref="C66:L66" si="11">C22-$B22</f>
        <v>-5600</v>
      </c>
      <c r="D66" s="300">
        <f t="shared" si="11"/>
        <v>-4700</v>
      </c>
      <c r="E66" s="300">
        <f t="shared" si="11"/>
        <v>-4600</v>
      </c>
      <c r="F66" s="300">
        <f t="shared" si="11"/>
        <v>-4100</v>
      </c>
      <c r="G66" s="300">
        <f t="shared" si="11"/>
        <v>-5200</v>
      </c>
      <c r="H66" s="300">
        <f t="shared" si="11"/>
        <v>5500</v>
      </c>
      <c r="I66" s="300">
        <f t="shared" si="11"/>
        <v>-1600</v>
      </c>
      <c r="J66" s="300">
        <f t="shared" si="11"/>
        <v>-4200</v>
      </c>
      <c r="K66" s="300">
        <f t="shared" si="11"/>
        <v>3200</v>
      </c>
      <c r="L66" s="300">
        <f t="shared" si="11"/>
        <v>200</v>
      </c>
      <c r="M66" s="961"/>
    </row>
    <row r="67" spans="2:13" ht="12.75" hidden="1" customHeight="1">
      <c r="B67" s="961">
        <v>1999</v>
      </c>
      <c r="C67" s="300">
        <f t="shared" ref="C67:L67" si="12">C23-$B23</f>
        <v>-5900</v>
      </c>
      <c r="D67" s="300">
        <f t="shared" si="12"/>
        <v>-6900</v>
      </c>
      <c r="E67" s="300">
        <f t="shared" si="12"/>
        <v>-4300</v>
      </c>
      <c r="F67" s="300">
        <f t="shared" si="12"/>
        <v>-4400</v>
      </c>
      <c r="G67" s="300">
        <f t="shared" si="12"/>
        <v>-4900</v>
      </c>
      <c r="H67" s="300">
        <f t="shared" si="12"/>
        <v>6000</v>
      </c>
      <c r="I67" s="300">
        <f t="shared" si="12"/>
        <v>-2300</v>
      </c>
      <c r="J67" s="300">
        <f t="shared" si="12"/>
        <v>-4400</v>
      </c>
      <c r="K67" s="300">
        <f t="shared" si="12"/>
        <v>2900</v>
      </c>
      <c r="L67" s="300">
        <f t="shared" si="12"/>
        <v>-900</v>
      </c>
      <c r="M67" s="961"/>
    </row>
    <row r="68" spans="2:13" ht="12.75" hidden="1" customHeight="1">
      <c r="B68" s="961">
        <v>2000</v>
      </c>
      <c r="C68" s="300">
        <f t="shared" ref="C68:L68" si="13">C24-$B24</f>
        <v>-6100</v>
      </c>
      <c r="D68" s="300">
        <f t="shared" si="13"/>
        <v>-6000</v>
      </c>
      <c r="E68" s="300">
        <f t="shared" si="13"/>
        <v>-4800</v>
      </c>
      <c r="F68" s="300">
        <f t="shared" si="13"/>
        <v>-4100</v>
      </c>
      <c r="G68" s="300">
        <f t="shared" si="13"/>
        <v>-5200</v>
      </c>
      <c r="H68" s="300">
        <f t="shared" si="13"/>
        <v>6200</v>
      </c>
      <c r="I68" s="300">
        <f t="shared" si="13"/>
        <v>-2900</v>
      </c>
      <c r="J68" s="300">
        <f t="shared" si="13"/>
        <v>-4500</v>
      </c>
      <c r="K68" s="300">
        <f t="shared" si="13"/>
        <v>3800</v>
      </c>
      <c r="L68" s="300">
        <f t="shared" si="13"/>
        <v>-2000</v>
      </c>
      <c r="M68" s="961"/>
    </row>
    <row r="69" spans="2:13" ht="12.75" hidden="1" customHeight="1">
      <c r="B69" s="961">
        <v>2001</v>
      </c>
      <c r="C69" s="300">
        <f t="shared" ref="C69:L69" si="14">C25-$B25</f>
        <v>-7300</v>
      </c>
      <c r="D69" s="300">
        <f t="shared" si="14"/>
        <v>-8000</v>
      </c>
      <c r="E69" s="300">
        <f t="shared" si="14"/>
        <v>-5400</v>
      </c>
      <c r="F69" s="300">
        <f t="shared" si="14"/>
        <v>-4900</v>
      </c>
      <c r="G69" s="300">
        <f t="shared" si="14"/>
        <v>-5500</v>
      </c>
      <c r="H69" s="300">
        <f t="shared" si="14"/>
        <v>5500</v>
      </c>
      <c r="I69" s="300">
        <f t="shared" si="14"/>
        <v>-3500</v>
      </c>
      <c r="J69" s="300">
        <f t="shared" si="14"/>
        <v>-3900</v>
      </c>
      <c r="K69" s="300">
        <f t="shared" si="14"/>
        <v>5800</v>
      </c>
      <c r="L69" s="300">
        <f t="shared" si="14"/>
        <v>-1800</v>
      </c>
      <c r="M69" s="961"/>
    </row>
    <row r="70" spans="2:13" ht="12.75" hidden="1" customHeight="1">
      <c r="B70" s="961">
        <v>2002</v>
      </c>
      <c r="C70" s="300">
        <f t="shared" ref="C70:L70" si="15">C26-$B26</f>
        <v>-6900</v>
      </c>
      <c r="D70" s="300">
        <f t="shared" si="15"/>
        <v>-6700</v>
      </c>
      <c r="E70" s="300">
        <f t="shared" si="15"/>
        <v>-6000</v>
      </c>
      <c r="F70" s="300">
        <f t="shared" si="15"/>
        <v>-5800</v>
      </c>
      <c r="G70" s="300">
        <f t="shared" si="15"/>
        <v>-5200</v>
      </c>
      <c r="H70" s="300">
        <f t="shared" si="15"/>
        <v>5500</v>
      </c>
      <c r="I70" s="300">
        <f t="shared" si="15"/>
        <v>-3600</v>
      </c>
      <c r="J70" s="300">
        <f t="shared" si="15"/>
        <v>-4500</v>
      </c>
      <c r="K70" s="300">
        <f t="shared" si="15"/>
        <v>5100</v>
      </c>
      <c r="L70" s="300">
        <f t="shared" si="15"/>
        <v>-1800</v>
      </c>
      <c r="M70" s="961"/>
    </row>
    <row r="71" spans="2:13" ht="12.75" hidden="1" customHeight="1">
      <c r="B71" s="961">
        <v>2003</v>
      </c>
      <c r="C71" s="300">
        <f t="shared" ref="C71:L71" si="16">C27-$B27</f>
        <v>-6300</v>
      </c>
      <c r="D71" s="300">
        <f t="shared" si="16"/>
        <v>-5100</v>
      </c>
      <c r="E71" s="300">
        <f t="shared" si="16"/>
        <v>-6600</v>
      </c>
      <c r="F71" s="300">
        <f t="shared" si="16"/>
        <v>-5400</v>
      </c>
      <c r="G71" s="300">
        <f t="shared" si="16"/>
        <v>-4900</v>
      </c>
      <c r="H71" s="300">
        <f t="shared" si="16"/>
        <v>5900</v>
      </c>
      <c r="I71" s="300">
        <f t="shared" si="16"/>
        <v>-3300</v>
      </c>
      <c r="J71" s="300">
        <f t="shared" si="16"/>
        <v>-4400</v>
      </c>
      <c r="K71" s="300">
        <f t="shared" si="16"/>
        <v>4200</v>
      </c>
      <c r="L71" s="300">
        <f t="shared" si="16"/>
        <v>-2400</v>
      </c>
      <c r="M71" s="961"/>
    </row>
    <row r="72" spans="2:13" ht="12.75" hidden="1" customHeight="1">
      <c r="B72" s="961">
        <v>2004</v>
      </c>
      <c r="C72" s="300">
        <f t="shared" ref="C72:L72" si="17">C28-$B28</f>
        <v>-6800</v>
      </c>
      <c r="D72" s="300">
        <f t="shared" si="17"/>
        <v>-4100</v>
      </c>
      <c r="E72" s="300">
        <f t="shared" si="17"/>
        <v>-5200</v>
      </c>
      <c r="F72" s="300">
        <f t="shared" si="17"/>
        <v>-5600</v>
      </c>
      <c r="G72" s="300">
        <f t="shared" si="17"/>
        <v>-4700</v>
      </c>
      <c r="H72" s="300">
        <f t="shared" si="17"/>
        <v>5700</v>
      </c>
      <c r="I72" s="300">
        <f t="shared" si="17"/>
        <v>-2600</v>
      </c>
      <c r="J72" s="300">
        <f t="shared" si="17"/>
        <v>-3700</v>
      </c>
      <c r="K72" s="300">
        <f t="shared" si="17"/>
        <v>5800</v>
      </c>
      <c r="L72" s="300">
        <f t="shared" si="17"/>
        <v>-800</v>
      </c>
      <c r="M72" s="961"/>
    </row>
    <row r="73" spans="2:13" ht="12.75" hidden="1" customHeight="1">
      <c r="B73" s="961">
        <v>2005</v>
      </c>
      <c r="C73" s="300">
        <f t="shared" ref="C73:L73" si="18">C32-$B32</f>
        <v>0</v>
      </c>
      <c r="D73" s="300" t="e">
        <f t="shared" si="18"/>
        <v>#VALUE!</v>
      </c>
      <c r="E73" s="300">
        <f t="shared" si="18"/>
        <v>0</v>
      </c>
      <c r="F73" s="300">
        <f t="shared" si="18"/>
        <v>0</v>
      </c>
      <c r="G73" s="300">
        <f t="shared" si="18"/>
        <v>0</v>
      </c>
      <c r="H73" s="300">
        <f t="shared" si="18"/>
        <v>0</v>
      </c>
      <c r="I73" s="300">
        <f t="shared" si="18"/>
        <v>0</v>
      </c>
      <c r="J73" s="300">
        <f t="shared" si="18"/>
        <v>0</v>
      </c>
      <c r="K73" s="300">
        <f t="shared" si="18"/>
        <v>0</v>
      </c>
      <c r="L73" s="300">
        <f t="shared" si="18"/>
        <v>0</v>
      </c>
      <c r="M73" s="961"/>
    </row>
    <row r="74" spans="2:13" ht="12.75" hidden="1" customHeight="1">
      <c r="B74" s="961"/>
      <c r="C74" s="961"/>
      <c r="D74" s="961"/>
      <c r="E74" s="961"/>
      <c r="F74" s="961"/>
      <c r="G74" s="961"/>
      <c r="H74" s="961"/>
      <c r="I74" s="961"/>
      <c r="J74" s="961"/>
      <c r="K74" s="961"/>
      <c r="L74" s="961"/>
      <c r="M74" s="961"/>
    </row>
    <row r="75" spans="2:13" hidden="1">
      <c r="B75" s="1" t="s">
        <v>280</v>
      </c>
    </row>
    <row r="76" spans="2:13" hidden="1">
      <c r="B76" s="1">
        <v>1981</v>
      </c>
      <c r="C76" s="300">
        <f>C49^2</f>
        <v>6250000</v>
      </c>
      <c r="D76" s="300">
        <f t="shared" ref="D76:L76" si="19">D49^2</f>
        <v>77440000</v>
      </c>
      <c r="E76" s="300">
        <f t="shared" si="19"/>
        <v>43560000</v>
      </c>
      <c r="F76" s="300">
        <f t="shared" si="19"/>
        <v>53290000</v>
      </c>
      <c r="G76" s="300">
        <f t="shared" si="19"/>
        <v>13690000</v>
      </c>
      <c r="H76" s="300">
        <f t="shared" si="19"/>
        <v>12250000</v>
      </c>
      <c r="I76" s="300">
        <f t="shared" si="19"/>
        <v>25000000</v>
      </c>
      <c r="J76" s="300">
        <f t="shared" si="19"/>
        <v>11560000</v>
      </c>
      <c r="K76" s="300">
        <f t="shared" si="19"/>
        <v>22090000</v>
      </c>
      <c r="L76" s="300">
        <f t="shared" si="19"/>
        <v>9000000</v>
      </c>
    </row>
    <row r="77" spans="2:13" hidden="1">
      <c r="B77" s="1">
        <v>1982</v>
      </c>
      <c r="C77" s="300">
        <f t="shared" ref="C77:L92" si="20">C50^2</f>
        <v>9000000</v>
      </c>
      <c r="D77" s="300">
        <f t="shared" si="20"/>
        <v>49000000</v>
      </c>
      <c r="E77" s="300">
        <f t="shared" si="20"/>
        <v>37210000</v>
      </c>
      <c r="F77" s="300">
        <f t="shared" si="20"/>
        <v>44890000</v>
      </c>
      <c r="G77" s="300">
        <f t="shared" si="20"/>
        <v>8410000</v>
      </c>
      <c r="H77" s="300">
        <f t="shared" si="20"/>
        <v>5760000</v>
      </c>
      <c r="I77" s="300">
        <f t="shared" si="20"/>
        <v>12960000</v>
      </c>
      <c r="J77" s="300">
        <f t="shared" si="20"/>
        <v>7290000</v>
      </c>
      <c r="K77" s="300">
        <f t="shared" si="20"/>
        <v>33640000</v>
      </c>
      <c r="L77" s="300">
        <f t="shared" si="20"/>
        <v>3610000</v>
      </c>
    </row>
    <row r="78" spans="2:13" hidden="1">
      <c r="B78" s="1">
        <v>1983</v>
      </c>
      <c r="C78" s="300">
        <f t="shared" si="20"/>
        <v>36000000</v>
      </c>
      <c r="D78" s="300">
        <f t="shared" si="20"/>
        <v>27040000</v>
      </c>
      <c r="E78" s="300">
        <f t="shared" si="20"/>
        <v>40960000</v>
      </c>
      <c r="F78" s="300">
        <f t="shared" si="20"/>
        <v>62410000</v>
      </c>
      <c r="G78" s="300">
        <f t="shared" si="20"/>
        <v>4410000</v>
      </c>
      <c r="H78" s="300">
        <f t="shared" si="20"/>
        <v>4840000</v>
      </c>
      <c r="I78" s="300">
        <f t="shared" si="20"/>
        <v>1440000</v>
      </c>
      <c r="J78" s="300">
        <f t="shared" si="20"/>
        <v>12250000</v>
      </c>
      <c r="K78" s="300">
        <f t="shared" si="20"/>
        <v>14440000</v>
      </c>
      <c r="L78" s="300">
        <f t="shared" si="20"/>
        <v>1440000</v>
      </c>
    </row>
    <row r="79" spans="2:13" hidden="1">
      <c r="B79" s="1">
        <v>1984</v>
      </c>
      <c r="C79" s="300">
        <f t="shared" si="20"/>
        <v>29160000</v>
      </c>
      <c r="D79" s="300">
        <f t="shared" si="20"/>
        <v>33640000</v>
      </c>
      <c r="E79" s="300">
        <f t="shared" si="20"/>
        <v>19360000</v>
      </c>
      <c r="F79" s="300">
        <f t="shared" si="20"/>
        <v>22090000</v>
      </c>
      <c r="G79" s="300">
        <f t="shared" si="20"/>
        <v>7290000</v>
      </c>
      <c r="H79" s="300">
        <f t="shared" si="20"/>
        <v>10890000</v>
      </c>
      <c r="I79" s="300">
        <f t="shared" si="20"/>
        <v>3240000</v>
      </c>
      <c r="J79" s="300">
        <f t="shared" si="20"/>
        <v>12960000</v>
      </c>
      <c r="K79" s="300">
        <f t="shared" si="20"/>
        <v>2560000</v>
      </c>
      <c r="L79" s="300">
        <f t="shared" si="20"/>
        <v>1690000</v>
      </c>
    </row>
    <row r="80" spans="2:13" hidden="1">
      <c r="B80" s="1">
        <v>1985</v>
      </c>
      <c r="C80" s="300">
        <f t="shared" si="20"/>
        <v>34810000</v>
      </c>
      <c r="D80" s="300">
        <f t="shared" si="20"/>
        <v>36000000</v>
      </c>
      <c r="E80" s="300">
        <f t="shared" si="20"/>
        <v>23040000</v>
      </c>
      <c r="F80" s="300">
        <f t="shared" si="20"/>
        <v>22090000</v>
      </c>
      <c r="G80" s="300">
        <f t="shared" si="20"/>
        <v>6760000</v>
      </c>
      <c r="H80" s="300">
        <f t="shared" si="20"/>
        <v>17640000</v>
      </c>
      <c r="I80" s="300">
        <f t="shared" si="20"/>
        <v>6250000</v>
      </c>
      <c r="J80" s="300">
        <f t="shared" si="20"/>
        <v>9610000</v>
      </c>
      <c r="K80" s="300">
        <f t="shared" si="20"/>
        <v>5760000</v>
      </c>
      <c r="L80" s="300">
        <f t="shared" si="20"/>
        <v>4000000</v>
      </c>
    </row>
    <row r="81" spans="2:12" hidden="1">
      <c r="B81" s="1">
        <v>1986</v>
      </c>
      <c r="C81" s="300">
        <f t="shared" si="20"/>
        <v>47610000</v>
      </c>
      <c r="D81" s="300">
        <f t="shared" si="20"/>
        <v>30250000</v>
      </c>
      <c r="E81" s="300">
        <f t="shared" si="20"/>
        <v>26010000</v>
      </c>
      <c r="F81" s="300">
        <f t="shared" si="20"/>
        <v>11560000</v>
      </c>
      <c r="G81" s="300">
        <f t="shared" si="20"/>
        <v>12250000</v>
      </c>
      <c r="H81" s="300">
        <f t="shared" si="20"/>
        <v>22090000</v>
      </c>
      <c r="I81" s="300">
        <f t="shared" si="20"/>
        <v>4000000</v>
      </c>
      <c r="J81" s="300">
        <f t="shared" si="20"/>
        <v>30250000</v>
      </c>
      <c r="K81" s="300">
        <f t="shared" si="20"/>
        <v>4000000</v>
      </c>
      <c r="L81" s="300">
        <f t="shared" si="20"/>
        <v>90000</v>
      </c>
    </row>
    <row r="82" spans="2:12" hidden="1">
      <c r="B82" s="1">
        <v>1987</v>
      </c>
      <c r="C82" s="300">
        <f t="shared" si="20"/>
        <v>16000000</v>
      </c>
      <c r="D82" s="300">
        <f t="shared" si="20"/>
        <v>17640000</v>
      </c>
      <c r="E82" s="300">
        <f t="shared" si="20"/>
        <v>7290000</v>
      </c>
      <c r="F82" s="300">
        <f t="shared" si="20"/>
        <v>32490000</v>
      </c>
      <c r="G82" s="300">
        <f t="shared" si="20"/>
        <v>13690000</v>
      </c>
      <c r="H82" s="300">
        <f t="shared" si="20"/>
        <v>33640000</v>
      </c>
      <c r="I82" s="300">
        <f t="shared" si="20"/>
        <v>13690000</v>
      </c>
      <c r="J82" s="300">
        <f t="shared" si="20"/>
        <v>19360000</v>
      </c>
      <c r="K82" s="300">
        <f t="shared" si="20"/>
        <v>160000</v>
      </c>
      <c r="L82" s="300">
        <f t="shared" si="20"/>
        <v>5290000</v>
      </c>
    </row>
    <row r="83" spans="2:12" hidden="1">
      <c r="B83" s="1">
        <v>1988</v>
      </c>
      <c r="C83" s="300">
        <f t="shared" si="20"/>
        <v>12960000</v>
      </c>
      <c r="D83" s="300">
        <f t="shared" si="20"/>
        <v>43560000</v>
      </c>
      <c r="E83" s="300">
        <f t="shared" si="20"/>
        <v>14440000</v>
      </c>
      <c r="F83" s="300">
        <f t="shared" si="20"/>
        <v>27040000</v>
      </c>
      <c r="G83" s="300">
        <f t="shared" si="20"/>
        <v>20250000</v>
      </c>
      <c r="H83" s="300">
        <f t="shared" si="20"/>
        <v>31360000</v>
      </c>
      <c r="I83" s="300">
        <f t="shared" si="20"/>
        <v>15210000</v>
      </c>
      <c r="J83" s="300">
        <f t="shared" si="20"/>
        <v>42250000</v>
      </c>
      <c r="K83" s="300">
        <f t="shared" si="20"/>
        <v>1960000</v>
      </c>
      <c r="L83" s="300">
        <f t="shared" si="20"/>
        <v>40000</v>
      </c>
    </row>
    <row r="84" spans="2:12" hidden="1">
      <c r="B84" s="1">
        <v>1989</v>
      </c>
      <c r="C84" s="300">
        <f t="shared" si="20"/>
        <v>8410000</v>
      </c>
      <c r="D84" s="300">
        <f t="shared" si="20"/>
        <v>57760000</v>
      </c>
      <c r="E84" s="300">
        <f t="shared" si="20"/>
        <v>22090000</v>
      </c>
      <c r="F84" s="300">
        <f t="shared" si="20"/>
        <v>26010000</v>
      </c>
      <c r="G84" s="300">
        <f t="shared" si="20"/>
        <v>13690000</v>
      </c>
      <c r="H84" s="300">
        <f t="shared" si="20"/>
        <v>30250000</v>
      </c>
      <c r="I84" s="300">
        <f t="shared" si="20"/>
        <v>16000000</v>
      </c>
      <c r="J84" s="300">
        <f t="shared" si="20"/>
        <v>33640000</v>
      </c>
      <c r="K84" s="300">
        <f t="shared" si="20"/>
        <v>490000</v>
      </c>
      <c r="L84" s="300">
        <f t="shared" si="20"/>
        <v>10000</v>
      </c>
    </row>
    <row r="85" spans="2:12" hidden="1">
      <c r="B85" s="1">
        <v>1990</v>
      </c>
      <c r="C85" s="300">
        <f t="shared" si="20"/>
        <v>13690000</v>
      </c>
      <c r="D85" s="300">
        <f t="shared" si="20"/>
        <v>24010000</v>
      </c>
      <c r="E85" s="300">
        <f t="shared" si="20"/>
        <v>14440000</v>
      </c>
      <c r="F85" s="300">
        <f t="shared" si="20"/>
        <v>19360000</v>
      </c>
      <c r="G85" s="300">
        <f t="shared" si="20"/>
        <v>21160000</v>
      </c>
      <c r="H85" s="300">
        <f t="shared" si="20"/>
        <v>27040000</v>
      </c>
      <c r="I85" s="300">
        <f t="shared" si="20"/>
        <v>6250000</v>
      </c>
      <c r="J85" s="300">
        <f t="shared" si="20"/>
        <v>31360000</v>
      </c>
      <c r="K85" s="300">
        <f t="shared" si="20"/>
        <v>1440000</v>
      </c>
      <c r="L85" s="300">
        <f t="shared" si="20"/>
        <v>40000</v>
      </c>
    </row>
    <row r="86" spans="2:12" hidden="1">
      <c r="B86" s="1">
        <v>1991</v>
      </c>
      <c r="C86" s="300">
        <f t="shared" si="20"/>
        <v>7290000</v>
      </c>
      <c r="D86" s="300">
        <f t="shared" si="20"/>
        <v>14440000</v>
      </c>
      <c r="E86" s="300">
        <f t="shared" si="20"/>
        <v>7840000</v>
      </c>
      <c r="F86" s="300">
        <f t="shared" si="20"/>
        <v>16810000</v>
      </c>
      <c r="G86" s="300">
        <f t="shared" si="20"/>
        <v>12960000</v>
      </c>
      <c r="H86" s="300">
        <f t="shared" si="20"/>
        <v>19360000</v>
      </c>
      <c r="I86" s="300">
        <f t="shared" si="20"/>
        <v>10890000</v>
      </c>
      <c r="J86" s="300">
        <f t="shared" si="20"/>
        <v>20250000</v>
      </c>
      <c r="K86" s="300">
        <f t="shared" si="20"/>
        <v>2560000</v>
      </c>
      <c r="L86" s="300">
        <f t="shared" si="20"/>
        <v>160000</v>
      </c>
    </row>
    <row r="87" spans="2:12" hidden="1">
      <c r="B87" s="1">
        <v>1992</v>
      </c>
      <c r="C87" s="300">
        <f t="shared" si="20"/>
        <v>10890000</v>
      </c>
      <c r="D87" s="300">
        <f t="shared" si="20"/>
        <v>8410000</v>
      </c>
      <c r="E87" s="300">
        <f t="shared" si="20"/>
        <v>10890000</v>
      </c>
      <c r="F87" s="300">
        <f t="shared" si="20"/>
        <v>16000000</v>
      </c>
      <c r="G87" s="300">
        <f t="shared" si="20"/>
        <v>15210000</v>
      </c>
      <c r="H87" s="300">
        <f t="shared" si="20"/>
        <v>22090000</v>
      </c>
      <c r="I87" s="300">
        <f t="shared" si="20"/>
        <v>14440000</v>
      </c>
      <c r="J87" s="300">
        <f t="shared" si="20"/>
        <v>16810000</v>
      </c>
      <c r="K87" s="300">
        <f t="shared" si="20"/>
        <v>490000</v>
      </c>
      <c r="L87" s="300">
        <f t="shared" si="20"/>
        <v>160000</v>
      </c>
    </row>
    <row r="88" spans="2:12" hidden="1">
      <c r="B88" s="1">
        <v>1993</v>
      </c>
      <c r="C88" s="300">
        <f t="shared" si="20"/>
        <v>9610000</v>
      </c>
      <c r="D88" s="300">
        <f t="shared" si="20"/>
        <v>7840000</v>
      </c>
      <c r="E88" s="300">
        <f t="shared" si="20"/>
        <v>7290000</v>
      </c>
      <c r="F88" s="300">
        <f t="shared" si="20"/>
        <v>9000000</v>
      </c>
      <c r="G88" s="300">
        <f t="shared" si="20"/>
        <v>19360000</v>
      </c>
      <c r="H88" s="300">
        <f t="shared" si="20"/>
        <v>18490000</v>
      </c>
      <c r="I88" s="300">
        <f t="shared" si="20"/>
        <v>6760000</v>
      </c>
      <c r="J88" s="300">
        <f t="shared" si="20"/>
        <v>23040000</v>
      </c>
      <c r="K88" s="300">
        <f t="shared" si="20"/>
        <v>5760000</v>
      </c>
      <c r="L88" s="300">
        <f t="shared" si="20"/>
        <v>1440000</v>
      </c>
    </row>
    <row r="89" spans="2:12" hidden="1">
      <c r="B89" s="1">
        <v>1994</v>
      </c>
      <c r="C89" s="300">
        <f t="shared" si="20"/>
        <v>11560000</v>
      </c>
      <c r="D89" s="300">
        <f t="shared" si="20"/>
        <v>9610000</v>
      </c>
      <c r="E89" s="300">
        <f t="shared" si="20"/>
        <v>14440000</v>
      </c>
      <c r="F89" s="300">
        <f t="shared" si="20"/>
        <v>9000000</v>
      </c>
      <c r="G89" s="300">
        <f t="shared" si="20"/>
        <v>15210000</v>
      </c>
      <c r="H89" s="300">
        <f t="shared" si="20"/>
        <v>16810000</v>
      </c>
      <c r="I89" s="300">
        <f t="shared" si="20"/>
        <v>4840000</v>
      </c>
      <c r="J89" s="300">
        <f t="shared" si="20"/>
        <v>16810000</v>
      </c>
      <c r="K89" s="300">
        <f t="shared" si="20"/>
        <v>6760000</v>
      </c>
      <c r="L89" s="300">
        <f t="shared" si="20"/>
        <v>490000</v>
      </c>
    </row>
    <row r="90" spans="2:12" hidden="1">
      <c r="B90" s="1">
        <v>1995</v>
      </c>
      <c r="C90" s="300">
        <f t="shared" si="20"/>
        <v>13690000</v>
      </c>
      <c r="D90" s="300">
        <f t="shared" si="20"/>
        <v>3610000</v>
      </c>
      <c r="E90" s="300">
        <f t="shared" si="20"/>
        <v>18490000</v>
      </c>
      <c r="F90" s="300">
        <f t="shared" si="20"/>
        <v>14440000</v>
      </c>
      <c r="G90" s="300">
        <f t="shared" si="20"/>
        <v>17640000</v>
      </c>
      <c r="H90" s="300">
        <f t="shared" si="20"/>
        <v>17640000</v>
      </c>
      <c r="I90" s="300">
        <f t="shared" si="20"/>
        <v>4840000</v>
      </c>
      <c r="J90" s="300">
        <f t="shared" si="20"/>
        <v>17640000</v>
      </c>
      <c r="K90" s="300">
        <f t="shared" si="20"/>
        <v>2890000</v>
      </c>
      <c r="L90" s="300">
        <f t="shared" si="20"/>
        <v>250000</v>
      </c>
    </row>
    <row r="91" spans="2:12" hidden="1">
      <c r="B91" s="1">
        <v>1996</v>
      </c>
      <c r="C91" s="300">
        <f t="shared" si="20"/>
        <v>17640000</v>
      </c>
      <c r="D91" s="300">
        <f t="shared" si="20"/>
        <v>4840000</v>
      </c>
      <c r="E91" s="300">
        <f t="shared" si="20"/>
        <v>18490000</v>
      </c>
      <c r="F91" s="300">
        <f t="shared" si="20"/>
        <v>15210000</v>
      </c>
      <c r="G91" s="300">
        <f t="shared" si="20"/>
        <v>19360000</v>
      </c>
      <c r="H91" s="300">
        <f t="shared" si="20"/>
        <v>17640000</v>
      </c>
      <c r="I91" s="300">
        <f t="shared" si="20"/>
        <v>2890000</v>
      </c>
      <c r="J91" s="300">
        <f t="shared" si="20"/>
        <v>12960000</v>
      </c>
      <c r="K91" s="300">
        <f t="shared" si="20"/>
        <v>3240000</v>
      </c>
      <c r="L91" s="300">
        <f t="shared" si="20"/>
        <v>40000</v>
      </c>
    </row>
    <row r="92" spans="2:12" hidden="1">
      <c r="B92" s="1">
        <v>1997</v>
      </c>
      <c r="C92" s="300">
        <f t="shared" si="20"/>
        <v>24010000</v>
      </c>
      <c r="D92" s="300">
        <f t="shared" si="20"/>
        <v>10240000</v>
      </c>
      <c r="E92" s="300">
        <f t="shared" si="20"/>
        <v>17640000</v>
      </c>
      <c r="F92" s="300">
        <f t="shared" si="20"/>
        <v>13690000</v>
      </c>
      <c r="G92" s="300">
        <f t="shared" si="20"/>
        <v>23040000</v>
      </c>
      <c r="H92" s="300">
        <f t="shared" si="20"/>
        <v>23040000</v>
      </c>
      <c r="I92" s="300">
        <f t="shared" si="20"/>
        <v>2890000</v>
      </c>
      <c r="J92" s="300">
        <f t="shared" si="20"/>
        <v>10240000</v>
      </c>
      <c r="K92" s="300">
        <f t="shared" si="20"/>
        <v>16810000</v>
      </c>
      <c r="L92" s="300">
        <f t="shared" si="20"/>
        <v>40000</v>
      </c>
    </row>
    <row r="93" spans="2:12" hidden="1">
      <c r="B93" s="1">
        <v>1998</v>
      </c>
      <c r="C93" s="300">
        <f t="shared" ref="C93:L100" si="21">C66^2</f>
        <v>31360000</v>
      </c>
      <c r="D93" s="300">
        <f t="shared" si="21"/>
        <v>22090000</v>
      </c>
      <c r="E93" s="300">
        <f t="shared" si="21"/>
        <v>21160000</v>
      </c>
      <c r="F93" s="300">
        <f t="shared" si="21"/>
        <v>16810000</v>
      </c>
      <c r="G93" s="300">
        <f t="shared" si="21"/>
        <v>27040000</v>
      </c>
      <c r="H93" s="300">
        <f t="shared" si="21"/>
        <v>30250000</v>
      </c>
      <c r="I93" s="300">
        <f t="shared" si="21"/>
        <v>2560000</v>
      </c>
      <c r="J93" s="300">
        <f t="shared" si="21"/>
        <v>17640000</v>
      </c>
      <c r="K93" s="300">
        <f t="shared" si="21"/>
        <v>10240000</v>
      </c>
      <c r="L93" s="300">
        <f t="shared" si="21"/>
        <v>40000</v>
      </c>
    </row>
    <row r="94" spans="2:12" hidden="1">
      <c r="B94" s="1">
        <v>1999</v>
      </c>
      <c r="C94" s="300">
        <f t="shared" si="21"/>
        <v>34810000</v>
      </c>
      <c r="D94" s="300">
        <f t="shared" si="21"/>
        <v>47610000</v>
      </c>
      <c r="E94" s="300">
        <f t="shared" si="21"/>
        <v>18490000</v>
      </c>
      <c r="F94" s="300">
        <f t="shared" si="21"/>
        <v>19360000</v>
      </c>
      <c r="G94" s="300">
        <f t="shared" si="21"/>
        <v>24010000</v>
      </c>
      <c r="H94" s="300">
        <f t="shared" si="21"/>
        <v>36000000</v>
      </c>
      <c r="I94" s="300">
        <f t="shared" si="21"/>
        <v>5290000</v>
      </c>
      <c r="J94" s="300">
        <f t="shared" si="21"/>
        <v>19360000</v>
      </c>
      <c r="K94" s="300">
        <f t="shared" si="21"/>
        <v>8410000</v>
      </c>
      <c r="L94" s="300">
        <f t="shared" si="21"/>
        <v>810000</v>
      </c>
    </row>
    <row r="95" spans="2:12" hidden="1">
      <c r="B95" s="1">
        <v>2000</v>
      </c>
      <c r="C95" s="300">
        <f t="shared" si="21"/>
        <v>37210000</v>
      </c>
      <c r="D95" s="300">
        <f t="shared" si="21"/>
        <v>36000000</v>
      </c>
      <c r="E95" s="300">
        <f t="shared" si="21"/>
        <v>23040000</v>
      </c>
      <c r="F95" s="300">
        <f t="shared" si="21"/>
        <v>16810000</v>
      </c>
      <c r="G95" s="300">
        <f t="shared" si="21"/>
        <v>27040000</v>
      </c>
      <c r="H95" s="300">
        <f t="shared" si="21"/>
        <v>38440000</v>
      </c>
      <c r="I95" s="300">
        <f t="shared" si="21"/>
        <v>8410000</v>
      </c>
      <c r="J95" s="300">
        <f t="shared" si="21"/>
        <v>20250000</v>
      </c>
      <c r="K95" s="300">
        <f t="shared" si="21"/>
        <v>14440000</v>
      </c>
      <c r="L95" s="300">
        <f t="shared" si="21"/>
        <v>4000000</v>
      </c>
    </row>
    <row r="96" spans="2:12" hidden="1">
      <c r="B96" s="1">
        <v>2001</v>
      </c>
      <c r="C96" s="300">
        <f t="shared" si="21"/>
        <v>53290000</v>
      </c>
      <c r="D96" s="300">
        <f t="shared" si="21"/>
        <v>64000000</v>
      </c>
      <c r="E96" s="300">
        <f t="shared" si="21"/>
        <v>29160000</v>
      </c>
      <c r="F96" s="300">
        <f t="shared" si="21"/>
        <v>24010000</v>
      </c>
      <c r="G96" s="300">
        <f t="shared" si="21"/>
        <v>30250000</v>
      </c>
      <c r="H96" s="300">
        <f t="shared" si="21"/>
        <v>30250000</v>
      </c>
      <c r="I96" s="300">
        <f t="shared" si="21"/>
        <v>12250000</v>
      </c>
      <c r="J96" s="300">
        <f t="shared" si="21"/>
        <v>15210000</v>
      </c>
      <c r="K96" s="300">
        <f t="shared" si="21"/>
        <v>33640000</v>
      </c>
      <c r="L96" s="300">
        <f t="shared" si="21"/>
        <v>3240000</v>
      </c>
    </row>
    <row r="97" spans="2:13" hidden="1">
      <c r="B97" s="1">
        <v>2002</v>
      </c>
      <c r="C97" s="300">
        <f t="shared" si="21"/>
        <v>47610000</v>
      </c>
      <c r="D97" s="300">
        <f t="shared" si="21"/>
        <v>44890000</v>
      </c>
      <c r="E97" s="300">
        <f t="shared" si="21"/>
        <v>36000000</v>
      </c>
      <c r="F97" s="300">
        <f t="shared" si="21"/>
        <v>33640000</v>
      </c>
      <c r="G97" s="300">
        <f t="shared" si="21"/>
        <v>27040000</v>
      </c>
      <c r="H97" s="300">
        <f t="shared" si="21"/>
        <v>30250000</v>
      </c>
      <c r="I97" s="300">
        <f t="shared" si="21"/>
        <v>12960000</v>
      </c>
      <c r="J97" s="300">
        <f t="shared" si="21"/>
        <v>20250000</v>
      </c>
      <c r="K97" s="300">
        <f t="shared" si="21"/>
        <v>26010000</v>
      </c>
      <c r="L97" s="300">
        <f t="shared" si="21"/>
        <v>3240000</v>
      </c>
    </row>
    <row r="98" spans="2:13" hidden="1">
      <c r="B98" s="1">
        <v>2003</v>
      </c>
      <c r="C98" s="300">
        <f t="shared" si="21"/>
        <v>39690000</v>
      </c>
      <c r="D98" s="300">
        <f t="shared" si="21"/>
        <v>26010000</v>
      </c>
      <c r="E98" s="300">
        <f t="shared" si="21"/>
        <v>43560000</v>
      </c>
      <c r="F98" s="300">
        <f t="shared" si="21"/>
        <v>29160000</v>
      </c>
      <c r="G98" s="300">
        <f t="shared" si="21"/>
        <v>24010000</v>
      </c>
      <c r="H98" s="300">
        <f t="shared" si="21"/>
        <v>34810000</v>
      </c>
      <c r="I98" s="300">
        <f t="shared" si="21"/>
        <v>10890000</v>
      </c>
      <c r="J98" s="300">
        <f t="shared" si="21"/>
        <v>19360000</v>
      </c>
      <c r="K98" s="300">
        <f t="shared" si="21"/>
        <v>17640000</v>
      </c>
      <c r="L98" s="300">
        <f t="shared" si="21"/>
        <v>5760000</v>
      </c>
    </row>
    <row r="99" spans="2:13" hidden="1">
      <c r="B99" s="1">
        <v>2004</v>
      </c>
      <c r="C99" s="300">
        <f t="shared" si="21"/>
        <v>46240000</v>
      </c>
      <c r="D99" s="300">
        <f t="shared" si="21"/>
        <v>16810000</v>
      </c>
      <c r="E99" s="300">
        <f t="shared" si="21"/>
        <v>27040000</v>
      </c>
      <c r="F99" s="300">
        <f t="shared" si="21"/>
        <v>31360000</v>
      </c>
      <c r="G99" s="300">
        <f t="shared" si="21"/>
        <v>22090000</v>
      </c>
      <c r="H99" s="300">
        <f t="shared" si="21"/>
        <v>32490000</v>
      </c>
      <c r="I99" s="300">
        <f t="shared" si="21"/>
        <v>6760000</v>
      </c>
      <c r="J99" s="300">
        <f t="shared" si="21"/>
        <v>13690000</v>
      </c>
      <c r="K99" s="300">
        <f t="shared" si="21"/>
        <v>33640000</v>
      </c>
      <c r="L99" s="300">
        <f t="shared" si="21"/>
        <v>640000</v>
      </c>
    </row>
    <row r="100" spans="2:13" hidden="1">
      <c r="B100" s="1">
        <v>2005</v>
      </c>
      <c r="C100" s="300">
        <f t="shared" si="21"/>
        <v>0</v>
      </c>
      <c r="D100" s="300" t="e">
        <f t="shared" si="21"/>
        <v>#VALUE!</v>
      </c>
      <c r="E100" s="300">
        <f t="shared" si="21"/>
        <v>0</v>
      </c>
      <c r="F100" s="300">
        <f t="shared" si="21"/>
        <v>0</v>
      </c>
      <c r="G100" s="300">
        <f t="shared" si="21"/>
        <v>0</v>
      </c>
      <c r="H100" s="300">
        <f t="shared" si="21"/>
        <v>0</v>
      </c>
      <c r="I100" s="300">
        <f t="shared" si="21"/>
        <v>0</v>
      </c>
      <c r="J100" s="300">
        <f t="shared" si="21"/>
        <v>0</v>
      </c>
      <c r="K100" s="300">
        <f t="shared" si="21"/>
        <v>0</v>
      </c>
      <c r="L100" s="300">
        <f t="shared" si="21"/>
        <v>0</v>
      </c>
    </row>
    <row r="102" spans="2:13">
      <c r="B102" s="961"/>
      <c r="C102" s="961"/>
      <c r="D102" s="961"/>
      <c r="E102" s="961"/>
      <c r="F102" s="961"/>
      <c r="G102" s="961"/>
      <c r="H102" s="961"/>
      <c r="I102" s="961"/>
      <c r="J102" s="961"/>
      <c r="K102" s="961"/>
      <c r="L102" s="961"/>
      <c r="M102" s="961"/>
    </row>
    <row r="103" spans="2:13">
      <c r="B103" s="961"/>
      <c r="C103" s="961"/>
      <c r="D103" s="961"/>
      <c r="E103" s="961"/>
      <c r="F103" s="961"/>
      <c r="G103" s="961"/>
      <c r="H103" s="961"/>
      <c r="I103" s="961"/>
      <c r="J103" s="961"/>
      <c r="K103" s="961"/>
      <c r="L103" s="961"/>
      <c r="M103" s="961"/>
    </row>
    <row r="104" spans="2:13">
      <c r="B104" s="961"/>
      <c r="C104" s="416"/>
      <c r="D104" s="416"/>
      <c r="E104" s="416"/>
      <c r="F104" s="416"/>
      <c r="G104" s="416"/>
      <c r="H104" s="416"/>
      <c r="I104" s="416"/>
      <c r="J104" s="416"/>
      <c r="K104" s="416"/>
      <c r="L104" s="416"/>
      <c r="M104" s="416"/>
    </row>
    <row r="105" spans="2:13">
      <c r="B105" s="961"/>
      <c r="C105" s="416"/>
      <c r="D105" s="416"/>
      <c r="E105" s="416"/>
      <c r="F105" s="416"/>
      <c r="G105" s="416"/>
      <c r="H105" s="416"/>
      <c r="I105" s="416"/>
      <c r="J105" s="416"/>
      <c r="K105" s="416"/>
      <c r="L105" s="416"/>
      <c r="M105" s="416"/>
    </row>
    <row r="106" spans="2:13">
      <c r="B106" s="961"/>
      <c r="C106" s="416"/>
      <c r="D106" s="416"/>
      <c r="E106" s="416"/>
      <c r="F106" s="416"/>
      <c r="G106" s="416"/>
      <c r="H106" s="416"/>
      <c r="I106" s="416"/>
      <c r="J106" s="416"/>
      <c r="K106" s="416"/>
      <c r="L106" s="416"/>
      <c r="M106" s="416"/>
    </row>
    <row r="107" spans="2:13">
      <c r="B107" s="961"/>
      <c r="C107" s="416"/>
      <c r="D107" s="416"/>
      <c r="E107" s="416"/>
      <c r="F107" s="416"/>
      <c r="G107" s="416"/>
      <c r="H107" s="416"/>
      <c r="I107" s="416"/>
      <c r="J107" s="416"/>
      <c r="K107" s="416"/>
      <c r="L107" s="416"/>
      <c r="M107" s="416"/>
    </row>
    <row r="108" spans="2:13">
      <c r="B108" s="961"/>
      <c r="C108" s="416"/>
      <c r="D108" s="416"/>
      <c r="E108" s="416"/>
      <c r="F108" s="416"/>
      <c r="G108" s="416"/>
      <c r="H108" s="416"/>
      <c r="I108" s="416"/>
      <c r="J108" s="416"/>
      <c r="K108" s="416"/>
      <c r="L108" s="416"/>
      <c r="M108" s="416"/>
    </row>
    <row r="109" spans="2:13">
      <c r="B109" s="961"/>
      <c r="C109" s="416"/>
      <c r="D109" s="416"/>
      <c r="E109" s="416"/>
      <c r="F109" s="416"/>
      <c r="G109" s="416"/>
      <c r="H109" s="416"/>
      <c r="I109" s="416"/>
      <c r="J109" s="416"/>
      <c r="K109" s="416"/>
      <c r="L109" s="416"/>
      <c r="M109" s="416"/>
    </row>
    <row r="110" spans="2:13">
      <c r="B110" s="961"/>
      <c r="C110" s="416"/>
      <c r="D110" s="416"/>
      <c r="E110" s="416"/>
      <c r="F110" s="416"/>
      <c r="G110" s="416"/>
      <c r="H110" s="416"/>
      <c r="I110" s="416"/>
      <c r="J110" s="416"/>
      <c r="K110" s="416"/>
      <c r="L110" s="416"/>
      <c r="M110" s="416"/>
    </row>
    <row r="111" spans="2:13">
      <c r="B111" s="961"/>
      <c r="C111" s="416"/>
      <c r="D111" s="416"/>
      <c r="E111" s="416"/>
      <c r="F111" s="416"/>
      <c r="G111" s="416"/>
      <c r="H111" s="416"/>
      <c r="I111" s="416"/>
      <c r="J111" s="416"/>
      <c r="K111" s="416"/>
      <c r="L111" s="416"/>
      <c r="M111" s="416"/>
    </row>
    <row r="112" spans="2:13">
      <c r="B112" s="961"/>
      <c r="C112" s="416"/>
      <c r="D112" s="416"/>
      <c r="E112" s="416"/>
      <c r="F112" s="416"/>
      <c r="G112" s="416"/>
      <c r="H112" s="416"/>
      <c r="I112" s="416"/>
      <c r="J112" s="416"/>
      <c r="K112" s="416"/>
      <c r="L112" s="416"/>
      <c r="M112" s="416"/>
    </row>
    <row r="113" spans="2:13">
      <c r="B113" s="961"/>
      <c r="C113" s="416"/>
      <c r="D113" s="416"/>
      <c r="E113" s="416"/>
      <c r="F113" s="416"/>
      <c r="G113" s="416"/>
      <c r="H113" s="416"/>
      <c r="I113" s="416"/>
      <c r="J113" s="416"/>
      <c r="K113" s="416"/>
      <c r="L113" s="416"/>
      <c r="M113" s="416"/>
    </row>
    <row r="114" spans="2:13">
      <c r="B114" s="961"/>
      <c r="C114" s="416"/>
      <c r="D114" s="416"/>
      <c r="E114" s="416"/>
      <c r="F114" s="416"/>
      <c r="G114" s="416"/>
      <c r="H114" s="416"/>
      <c r="I114" s="416"/>
      <c r="J114" s="416"/>
      <c r="K114" s="416"/>
      <c r="L114" s="416"/>
      <c r="M114" s="416"/>
    </row>
    <row r="115" spans="2:13">
      <c r="B115" s="961"/>
      <c r="C115" s="416"/>
      <c r="D115" s="416"/>
      <c r="E115" s="416"/>
      <c r="F115" s="416"/>
      <c r="G115" s="416"/>
      <c r="H115" s="416"/>
      <c r="I115" s="416"/>
      <c r="J115" s="416"/>
      <c r="K115" s="416"/>
      <c r="L115" s="416"/>
      <c r="M115" s="416"/>
    </row>
    <row r="116" spans="2:13">
      <c r="B116" s="961"/>
      <c r="C116" s="416"/>
      <c r="D116" s="416"/>
      <c r="E116" s="416"/>
      <c r="F116" s="416"/>
      <c r="G116" s="416"/>
      <c r="H116" s="416"/>
      <c r="I116" s="416"/>
      <c r="J116" s="416"/>
      <c r="K116" s="416"/>
      <c r="L116" s="416"/>
      <c r="M116" s="416"/>
    </row>
    <row r="117" spans="2:13">
      <c r="B117" s="961"/>
      <c r="C117" s="416"/>
      <c r="D117" s="416"/>
      <c r="E117" s="416"/>
      <c r="F117" s="416"/>
      <c r="G117" s="416"/>
      <c r="H117" s="416"/>
      <c r="I117" s="416"/>
      <c r="J117" s="416"/>
      <c r="K117" s="416"/>
      <c r="L117" s="416"/>
      <c r="M117" s="416"/>
    </row>
    <row r="118" spans="2:13">
      <c r="B118" s="961"/>
      <c r="C118" s="416"/>
      <c r="D118" s="416"/>
      <c r="E118" s="416"/>
      <c r="F118" s="416"/>
      <c r="G118" s="416"/>
      <c r="H118" s="416"/>
      <c r="I118" s="416"/>
      <c r="J118" s="416"/>
      <c r="K118" s="416"/>
      <c r="L118" s="416"/>
      <c r="M118" s="416"/>
    </row>
    <row r="119" spans="2:13">
      <c r="B119" s="961"/>
      <c r="C119" s="416"/>
      <c r="D119" s="416"/>
      <c r="E119" s="416"/>
      <c r="F119" s="416"/>
      <c r="G119" s="416"/>
      <c r="H119" s="416"/>
      <c r="I119" s="416"/>
      <c r="J119" s="416"/>
      <c r="K119" s="416"/>
      <c r="L119" s="416"/>
      <c r="M119" s="416"/>
    </row>
    <row r="120" spans="2:13">
      <c r="B120" s="961"/>
      <c r="C120" s="416"/>
      <c r="D120" s="416"/>
      <c r="E120" s="416"/>
      <c r="F120" s="416"/>
      <c r="G120" s="416"/>
      <c r="H120" s="416"/>
      <c r="I120" s="416"/>
      <c r="J120" s="416"/>
      <c r="K120" s="416"/>
      <c r="L120" s="416"/>
      <c r="M120" s="416"/>
    </row>
    <row r="121" spans="2:13">
      <c r="B121" s="961"/>
      <c r="C121" s="416"/>
      <c r="D121" s="416"/>
      <c r="E121" s="416"/>
      <c r="F121" s="416"/>
      <c r="G121" s="416"/>
      <c r="H121" s="416"/>
      <c r="I121" s="416"/>
      <c r="J121" s="416"/>
      <c r="K121" s="416"/>
      <c r="L121" s="416"/>
      <c r="M121" s="416"/>
    </row>
    <row r="122" spans="2:13">
      <c r="B122" s="961"/>
      <c r="C122" s="416"/>
      <c r="D122" s="416"/>
      <c r="E122" s="416"/>
      <c r="F122" s="416"/>
      <c r="G122" s="416"/>
      <c r="H122" s="416"/>
      <c r="I122" s="416"/>
      <c r="J122" s="416"/>
      <c r="K122" s="416"/>
      <c r="L122" s="416"/>
      <c r="M122" s="416"/>
    </row>
    <row r="123" spans="2:13">
      <c r="B123" s="961"/>
      <c r="C123" s="416"/>
      <c r="D123" s="416"/>
      <c r="E123" s="416"/>
      <c r="F123" s="416"/>
      <c r="G123" s="416"/>
      <c r="H123" s="416"/>
      <c r="I123" s="416"/>
      <c r="J123" s="416"/>
      <c r="K123" s="416"/>
      <c r="L123" s="416"/>
      <c r="M123" s="416"/>
    </row>
    <row r="124" spans="2:13">
      <c r="B124" s="961"/>
      <c r="C124" s="416"/>
      <c r="D124" s="416"/>
      <c r="E124" s="416"/>
      <c r="F124" s="416"/>
      <c r="G124" s="416"/>
      <c r="H124" s="416"/>
      <c r="I124" s="416"/>
      <c r="J124" s="416"/>
      <c r="K124" s="416"/>
      <c r="L124" s="416"/>
      <c r="M124" s="416"/>
    </row>
    <row r="125" spans="2:13">
      <c r="B125" s="961"/>
      <c r="C125" s="416"/>
      <c r="D125" s="416"/>
      <c r="E125" s="416"/>
      <c r="F125" s="416"/>
      <c r="G125" s="416"/>
      <c r="H125" s="416"/>
      <c r="I125" s="416"/>
      <c r="J125" s="416"/>
      <c r="K125" s="416"/>
      <c r="L125" s="416"/>
      <c r="M125" s="416"/>
    </row>
    <row r="126" spans="2:13">
      <c r="B126" s="961"/>
      <c r="C126" s="416"/>
      <c r="D126" s="416"/>
      <c r="E126" s="416"/>
      <c r="F126" s="416"/>
      <c r="G126" s="416"/>
      <c r="H126" s="416"/>
      <c r="I126" s="416"/>
      <c r="J126" s="416"/>
      <c r="K126" s="416"/>
      <c r="L126" s="416"/>
      <c r="M126" s="416"/>
    </row>
    <row r="127" spans="2:13">
      <c r="B127" s="961"/>
      <c r="C127" s="416"/>
      <c r="D127" s="416"/>
      <c r="E127" s="416"/>
      <c r="F127" s="416"/>
      <c r="G127" s="416"/>
      <c r="H127" s="416"/>
      <c r="I127" s="416"/>
      <c r="J127" s="416"/>
      <c r="K127" s="416"/>
      <c r="L127" s="416"/>
      <c r="M127" s="416"/>
    </row>
    <row r="128" spans="2:13">
      <c r="B128" s="961"/>
      <c r="C128" s="416"/>
      <c r="D128" s="416"/>
      <c r="E128" s="416"/>
      <c r="F128" s="416"/>
      <c r="G128" s="416"/>
      <c r="H128" s="416"/>
      <c r="I128" s="416"/>
      <c r="J128" s="416"/>
      <c r="K128" s="416"/>
      <c r="L128" s="416"/>
      <c r="M128" s="416"/>
    </row>
    <row r="129" spans="2:13">
      <c r="B129" s="961"/>
      <c r="C129" s="416"/>
      <c r="D129" s="416"/>
      <c r="E129" s="416"/>
      <c r="F129" s="416"/>
      <c r="G129" s="416"/>
      <c r="H129" s="416"/>
      <c r="I129" s="416"/>
      <c r="J129" s="416"/>
      <c r="K129" s="416"/>
      <c r="L129" s="416"/>
      <c r="M129" s="416"/>
    </row>
    <row r="130" spans="2:13">
      <c r="B130" s="961"/>
      <c r="C130" s="416"/>
      <c r="D130" s="416"/>
      <c r="E130" s="416"/>
      <c r="F130" s="416"/>
      <c r="G130" s="416"/>
      <c r="H130" s="416"/>
      <c r="I130" s="416"/>
      <c r="J130" s="416"/>
      <c r="K130" s="416"/>
      <c r="L130" s="416"/>
      <c r="M130" s="416"/>
    </row>
  </sheetData>
  <mergeCells count="14">
    <mergeCell ref="L3:L4"/>
    <mergeCell ref="F3:F4"/>
    <mergeCell ref="A44:L44"/>
    <mergeCell ref="G3:G4"/>
    <mergeCell ref="H3:H4"/>
    <mergeCell ref="I3:I4"/>
    <mergeCell ref="A43:L43"/>
    <mergeCell ref="A40:L40"/>
    <mergeCell ref="B3:B4"/>
    <mergeCell ref="C3:C4"/>
    <mergeCell ref="D3:D4"/>
    <mergeCell ref="E3:E4"/>
    <mergeCell ref="J3:J4"/>
    <mergeCell ref="K3:K4"/>
  </mergeCells>
  <phoneticPr fontId="35" type="noConversion"/>
  <pageMargins left="0.75" right="0.75" top="1" bottom="1" header="0.5" footer="0.5"/>
  <pageSetup scale="74"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sheetPr codeName="Sheet37">
    <pageSetUpPr fitToPage="1"/>
  </sheetPr>
  <dimension ref="A1:Q103"/>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5" width="8.85546875" style="1" customWidth="1"/>
    <col min="16" max="17" width="9.42578125" style="1" hidden="1" customWidth="1"/>
    <col min="18" max="16384" width="8.85546875" style="1"/>
  </cols>
  <sheetData>
    <row r="1" spans="1:17" ht="18.75">
      <c r="A1" s="4"/>
      <c r="B1" s="3" t="s">
        <v>2133</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M4" s="1054"/>
      <c r="N4" s="1048" t="s">
        <v>282</v>
      </c>
      <c r="O4" s="1048" t="s">
        <v>282</v>
      </c>
      <c r="P4" s="645" t="s">
        <v>281</v>
      </c>
      <c r="Q4" s="645" t="s">
        <v>281</v>
      </c>
    </row>
    <row r="5" spans="1:17">
      <c r="A5" s="2">
        <v>1981</v>
      </c>
      <c r="B5" s="135">
        <f>'12a'!B5/'12a'!$B5*100</f>
        <v>100</v>
      </c>
      <c r="C5" s="10">
        <f>'12a'!C5/'12a'!$B5*100</f>
        <v>85.263157894736835</v>
      </c>
      <c r="D5" s="10">
        <f>'12a'!D5/'12a'!$B5*100</f>
        <v>65.05263157894737</v>
      </c>
      <c r="E5" s="10">
        <f>'12a'!E5/'12a'!$B5*100</f>
        <v>79.15789473684211</v>
      </c>
      <c r="F5" s="10">
        <f>'12a'!F5/'12a'!$B5*100</f>
        <v>70.94736842105263</v>
      </c>
      <c r="G5" s="10">
        <f>'12a'!G5/'12a'!$B5*100</f>
        <v>91.578947368421055</v>
      </c>
      <c r="H5" s="10">
        <f>'12a'!H5/'12a'!$B5*100</f>
        <v>109.26315789473684</v>
      </c>
      <c r="I5" s="10">
        <f>'12a'!I5/'12a'!$B5*100</f>
        <v>88.421052631578945</v>
      </c>
      <c r="J5" s="10">
        <f>'12a'!J5/'12a'!$B5*100</f>
        <v>92</v>
      </c>
      <c r="K5" s="10">
        <f>'12a'!K5/'12a'!$B5*100</f>
        <v>117.89473684210525</v>
      </c>
      <c r="L5" s="10">
        <f>'12a'!L5/'12a'!$B5*100</f>
        <v>109.47368421052633</v>
      </c>
      <c r="N5" s="19">
        <f>SUM(C77:L77)/10</f>
        <v>348.17063711911351</v>
      </c>
      <c r="O5" s="19">
        <f>SQRT(N5)</f>
        <v>18.65933110052752</v>
      </c>
      <c r="P5" s="19">
        <f>Q5^2</f>
        <v>265.45639889196718</v>
      </c>
      <c r="Q5" s="19">
        <f>STDEVP(C5:L5)</f>
        <v>16.292832746087072</v>
      </c>
    </row>
    <row r="6" spans="1:17">
      <c r="A6" s="2">
        <v>1982</v>
      </c>
      <c r="B6" s="135">
        <f>'12a'!B6/'12a'!$B6*100</f>
        <v>100</v>
      </c>
      <c r="C6" s="10">
        <f>'12a'!C6/'12a'!$B6*100</f>
        <v>78.828828828828833</v>
      </c>
      <c r="D6" s="10">
        <f>'12a'!D6/'12a'!$B6*100</f>
        <v>70.945945945945937</v>
      </c>
      <c r="E6" s="10">
        <f>'12a'!E6/'12a'!$B6*100</f>
        <v>77.927927927927925</v>
      </c>
      <c r="F6" s="10">
        <f>'12a'!F6/'12a'!$B6*100</f>
        <v>70.945945945945937</v>
      </c>
      <c r="G6" s="10">
        <f>'12a'!G6/'12a'!$B6*100</f>
        <v>89.63963963963964</v>
      </c>
      <c r="H6" s="10">
        <f>'12a'!H6/'12a'!$B6*100</f>
        <v>107.65765765765767</v>
      </c>
      <c r="I6" s="10">
        <f>'12a'!I6/'12a'!$B6*100</f>
        <v>89.63963963963964</v>
      </c>
      <c r="J6" s="10">
        <f>'12a'!J6/'12a'!$B6*100</f>
        <v>93.243243243243242</v>
      </c>
      <c r="K6" s="10">
        <f>'12a'!K6/'12a'!$B6*100</f>
        <v>122.29729729729731</v>
      </c>
      <c r="L6" s="10">
        <f>'12a'!L6/'12a'!$B6*100</f>
        <v>107.65765765765767</v>
      </c>
      <c r="N6" s="19">
        <f t="shared" ref="N6:N28" si="0">SUM(C78:L78)/10</f>
        <v>349.84477720964225</v>
      </c>
      <c r="O6" s="19">
        <f t="shared" ref="O6:O28" si="1">SQRT(N6)</f>
        <v>18.704137970236484</v>
      </c>
      <c r="P6" s="19">
        <f t="shared" ref="P6:P28" si="2">Q6^2</f>
        <v>266.64079620160743</v>
      </c>
      <c r="Q6" s="19">
        <f t="shared" ref="Q6:Q28" si="3">STDEVP(C6:L6)</f>
        <v>16.329139481356862</v>
      </c>
    </row>
    <row r="7" spans="1:17">
      <c r="A7" s="2">
        <v>1983</v>
      </c>
      <c r="B7" s="135">
        <f>'12a'!B7/'12a'!$B7*100</f>
        <v>100</v>
      </c>
      <c r="C7" s="10">
        <f>'12a'!C7/'12a'!$B7*100</f>
        <v>66.981132075471692</v>
      </c>
      <c r="D7" s="10">
        <f>'12a'!D7/'12a'!$B7*100</f>
        <v>72.405660377358487</v>
      </c>
      <c r="E7" s="10">
        <f>'12a'!E7/'12a'!$B7*100</f>
        <v>75.70754716981132</v>
      </c>
      <c r="F7" s="10">
        <f>'12a'!F7/'12a'!$B7*100</f>
        <v>66.745283018867923</v>
      </c>
      <c r="G7" s="10">
        <f>'12a'!G7/'12a'!$B7*100</f>
        <v>90.801886792452834</v>
      </c>
      <c r="H7" s="10">
        <f>'12a'!H7/'12a'!$B7*100</f>
        <v>109.19811320754718</v>
      </c>
      <c r="I7" s="10">
        <f>'12a'!I7/'12a'!$B7*100</f>
        <v>90.566037735849065</v>
      </c>
      <c r="J7" s="10">
        <f>'12a'!J7/'12a'!$B7*100</f>
        <v>86.084905660377359</v>
      </c>
      <c r="K7" s="10">
        <f>'12a'!K7/'12a'!$B7*100</f>
        <v>113.20754716981132</v>
      </c>
      <c r="L7" s="10">
        <f>'12a'!L7/'12a'!$B7*100</f>
        <v>105.89622641509433</v>
      </c>
      <c r="N7" s="19">
        <f t="shared" si="0"/>
        <v>420.87375400498411</v>
      </c>
      <c r="O7" s="19">
        <f t="shared" si="1"/>
        <v>20.5152078713569</v>
      </c>
      <c r="P7" s="19">
        <f t="shared" si="2"/>
        <v>271.04229708081459</v>
      </c>
      <c r="Q7" s="19">
        <f t="shared" si="3"/>
        <v>16.463362265370176</v>
      </c>
    </row>
    <row r="8" spans="1:17">
      <c r="A8" s="2">
        <v>1984</v>
      </c>
      <c r="B8" s="135">
        <f>'12a'!B8/'12a'!$B8*100</f>
        <v>100</v>
      </c>
      <c r="C8" s="10">
        <f>'12a'!C8/'12a'!$B8*100</f>
        <v>67.523364485981304</v>
      </c>
      <c r="D8" s="10">
        <f>'12a'!D8/'12a'!$B8*100</f>
        <v>70.09345794392523</v>
      </c>
      <c r="E8" s="10">
        <f>'12a'!E8/'12a'!$B8*100</f>
        <v>80.140186915887853</v>
      </c>
      <c r="F8" s="10">
        <f>'12a'!F8/'12a'!$B8*100</f>
        <v>75.467289719626166</v>
      </c>
      <c r="G8" s="10">
        <f>'12a'!G8/'12a'!$B8*100</f>
        <v>90.420560747663544</v>
      </c>
      <c r="H8" s="10">
        <f>'12a'!H8/'12a'!$B8*100</f>
        <v>112.85046728971963</v>
      </c>
      <c r="I8" s="10">
        <f>'12a'!I8/'12a'!$B8*100</f>
        <v>94.626168224299064</v>
      </c>
      <c r="J8" s="10">
        <f>'12a'!J8/'12a'!$B8*100</f>
        <v>89.485981308411212</v>
      </c>
      <c r="K8" s="10">
        <f>'12a'!K8/'12a'!$B8*100</f>
        <v>105.60747663551402</v>
      </c>
      <c r="L8" s="10">
        <f>'12a'!L8/'12a'!$B8*100</f>
        <v>97.89719626168224</v>
      </c>
      <c r="N8" s="19">
        <f t="shared" si="0"/>
        <v>337.75875622325105</v>
      </c>
      <c r="O8" s="19">
        <f t="shared" si="1"/>
        <v>18.378214173941142</v>
      </c>
      <c r="P8" s="19">
        <f t="shared" si="2"/>
        <v>203.4588173639635</v>
      </c>
      <c r="Q8" s="19">
        <f t="shared" si="3"/>
        <v>14.263899094005239</v>
      </c>
    </row>
    <row r="9" spans="1:17">
      <c r="A9" s="2">
        <v>1985</v>
      </c>
      <c r="B9" s="135">
        <f>'12a'!B9/'12a'!$B9*100</f>
        <v>100</v>
      </c>
      <c r="C9" s="10">
        <f>'12a'!C9/'12a'!$B9*100</f>
        <v>65.05747126436782</v>
      </c>
      <c r="D9" s="10">
        <f>'12a'!D9/'12a'!$B9*100</f>
        <v>65.05747126436782</v>
      </c>
      <c r="E9" s="10">
        <f>'12a'!E9/'12a'!$B9*100</f>
        <v>81.839080459770116</v>
      </c>
      <c r="F9" s="10">
        <f>'12a'!F9/'12a'!$B9*100</f>
        <v>74.712643678160916</v>
      </c>
      <c r="G9" s="10">
        <f>'12a'!G9/'12a'!$B9*100</f>
        <v>90.574712643678154</v>
      </c>
      <c r="H9" s="10">
        <f>'12a'!H9/'12a'!$B9*100</f>
        <v>114.94252873563218</v>
      </c>
      <c r="I9" s="10">
        <f>'12a'!I9/'12a'!$B9*100</f>
        <v>90.114942528735625</v>
      </c>
      <c r="J9" s="10">
        <f>'12a'!J9/'12a'!$B9*100</f>
        <v>88.045977011494244</v>
      </c>
      <c r="K9" s="10">
        <f>'12a'!K9/'12a'!$B9*100</f>
        <v>109.88505747126436</v>
      </c>
      <c r="L9" s="10">
        <f>'12a'!L9/'12a'!$B9*100</f>
        <v>95.862068965517238</v>
      </c>
      <c r="N9" s="19">
        <f t="shared" si="0"/>
        <v>407.87950852160128</v>
      </c>
      <c r="O9" s="19">
        <f t="shared" si="1"/>
        <v>20.196027047951816</v>
      </c>
      <c r="P9" s="19">
        <f t="shared" si="2"/>
        <v>254.34746994319255</v>
      </c>
      <c r="Q9" s="19">
        <f t="shared" si="3"/>
        <v>15.948274826550756</v>
      </c>
    </row>
    <row r="10" spans="1:17">
      <c r="A10" s="2">
        <v>1986</v>
      </c>
      <c r="B10" s="135">
        <f>'12a'!B10/'12a'!$B10*100</f>
        <v>100</v>
      </c>
      <c r="C10" s="10">
        <f>'12a'!C10/'12a'!$B10*100</f>
        <v>60.090702947845806</v>
      </c>
      <c r="D10" s="10">
        <f>'12a'!D10/'12a'!$B10*100</f>
        <v>71.201814058956913</v>
      </c>
      <c r="E10" s="10">
        <f>'12a'!E10/'12a'!$B10*100</f>
        <v>80.27210884353741</v>
      </c>
      <c r="F10" s="10">
        <f>'12a'!F10/'12a'!$B10*100</f>
        <v>77.097505668934247</v>
      </c>
      <c r="G10" s="10">
        <f>'12a'!G10/'12a'!$B10*100</f>
        <v>89.115646258503403</v>
      </c>
      <c r="H10" s="10">
        <f>'12a'!H10/'12a'!$B10*100</f>
        <v>117.00680272108843</v>
      </c>
      <c r="I10" s="10">
        <f>'12a'!I10/'12a'!$B10*100</f>
        <v>90.929705215419503</v>
      </c>
      <c r="J10" s="10">
        <f>'12a'!J10/'12a'!$B10*100</f>
        <v>80.952380952380949</v>
      </c>
      <c r="K10" s="10">
        <f>'12a'!K10/'12a'!$B10*100</f>
        <v>106.34920634920636</v>
      </c>
      <c r="L10" s="10">
        <f>'12a'!L10/'12a'!$B10*100</f>
        <v>98.185941043083901</v>
      </c>
      <c r="N10" s="19">
        <f t="shared" si="0"/>
        <v>423.21872059481393</v>
      </c>
      <c r="O10" s="19">
        <f t="shared" si="1"/>
        <v>20.572280393646544</v>
      </c>
      <c r="P10" s="19">
        <f t="shared" si="2"/>
        <v>257.32899357777904</v>
      </c>
      <c r="Q10" s="19">
        <f t="shared" si="3"/>
        <v>16.041477287886519</v>
      </c>
    </row>
    <row r="11" spans="1:17">
      <c r="A11" s="2">
        <v>1987</v>
      </c>
      <c r="B11" s="135">
        <f>'12a'!B11/'12a'!$B11*100</f>
        <v>100</v>
      </c>
      <c r="C11" s="10">
        <f>'12a'!C11/'12a'!$B11*100</f>
        <v>65.532879818594097</v>
      </c>
      <c r="D11" s="10">
        <f>'12a'!D11/'12a'!$B11*100</f>
        <v>73.24263038548753</v>
      </c>
      <c r="E11" s="10">
        <f>'12a'!E11/'12a'!$B11*100</f>
        <v>86.394557823129247</v>
      </c>
      <c r="F11" s="10">
        <f>'12a'!F11/'12a'!$B11*100</f>
        <v>72.335600907029473</v>
      </c>
      <c r="G11" s="10">
        <f>'12a'!G11/'12a'!$B11*100</f>
        <v>89.569160997732425</v>
      </c>
      <c r="H11" s="10">
        <f>'12a'!H11/'12a'!$B11*100</f>
        <v>119.04761904761905</v>
      </c>
      <c r="I11" s="10">
        <f>'12a'!I11/'12a'!$B11*100</f>
        <v>86.394557823129247</v>
      </c>
      <c r="J11" s="10">
        <f>'12a'!J11/'12a'!$B11*100</f>
        <v>83.673469387755105</v>
      </c>
      <c r="K11" s="10">
        <f>'12a'!K11/'12a'!$B11*100</f>
        <v>103.17460317460319</v>
      </c>
      <c r="L11" s="10">
        <f>'12a'!L11/'12a'!$B11*100</f>
        <v>95.238095238095227</v>
      </c>
      <c r="N11" s="19">
        <f t="shared" si="0"/>
        <v>381.03979309032775</v>
      </c>
      <c r="O11" s="19">
        <f t="shared" si="1"/>
        <v>19.520240600216169</v>
      </c>
      <c r="P11" s="19">
        <f t="shared" si="2"/>
        <v>223.79615489431308</v>
      </c>
      <c r="Q11" s="19">
        <f t="shared" si="3"/>
        <v>14.959818010066602</v>
      </c>
    </row>
    <row r="12" spans="1:17">
      <c r="A12" s="2">
        <v>1988</v>
      </c>
      <c r="B12" s="135">
        <f>'12a'!B12/'12a'!$B12*100</f>
        <v>100</v>
      </c>
      <c r="C12" s="10">
        <f>'12a'!C12/'12a'!$B12*100</f>
        <v>70.044052863436121</v>
      </c>
      <c r="D12" s="10">
        <f>'12a'!D12/'12a'!$B12*100</f>
        <v>64.757709251101332</v>
      </c>
      <c r="E12" s="10">
        <f>'12a'!E12/'12a'!$B12*100</f>
        <v>83.039647577092509</v>
      </c>
      <c r="F12" s="10">
        <f>'12a'!F12/'12a'!$B12*100</f>
        <v>72.24669603524228</v>
      </c>
      <c r="G12" s="10">
        <f>'12a'!G12/'12a'!$B12*100</f>
        <v>85.242290748898668</v>
      </c>
      <c r="H12" s="10">
        <f>'12a'!H12/'12a'!$B12*100</f>
        <v>118.72246696035242</v>
      </c>
      <c r="I12" s="10">
        <f>'12a'!I12/'12a'!$B12*100</f>
        <v>87.004405286343612</v>
      </c>
      <c r="J12" s="10">
        <f>'12a'!J12/'12a'!$B12*100</f>
        <v>80.1762114537445</v>
      </c>
      <c r="K12" s="10">
        <f>'12a'!K12/'12a'!$B12*100</f>
        <v>103.9647577092511</v>
      </c>
      <c r="L12" s="10">
        <f>'12a'!L12/'12a'!$B12*100</f>
        <v>100.88105726872247</v>
      </c>
      <c r="N12" s="19">
        <f t="shared" si="0"/>
        <v>434.39616526616084</v>
      </c>
      <c r="O12" s="19">
        <f t="shared" si="1"/>
        <v>20.842172757804327</v>
      </c>
      <c r="P12" s="19">
        <f t="shared" si="2"/>
        <v>255.04861340216479</v>
      </c>
      <c r="Q12" s="19">
        <f t="shared" si="3"/>
        <v>15.970241494797904</v>
      </c>
    </row>
    <row r="13" spans="1:17">
      <c r="A13" s="2">
        <v>1989</v>
      </c>
      <c r="B13" s="135">
        <f>'12a'!B13/'12a'!$B13*100</f>
        <v>100</v>
      </c>
      <c r="C13" s="10">
        <f>'12a'!C13/'12a'!$B13*100</f>
        <v>71.274298056155502</v>
      </c>
      <c r="D13" s="10">
        <f>'12a'!D13/'12a'!$B13*100</f>
        <v>67.602591792656582</v>
      </c>
      <c r="E13" s="10">
        <f>'12a'!E13/'12a'!$B13*100</f>
        <v>80.993520518358537</v>
      </c>
      <c r="F13" s="10">
        <f>'12a'!F13/'12a'!$B13*100</f>
        <v>76.457883369330446</v>
      </c>
      <c r="G13" s="10">
        <f>'12a'!G13/'12a'!$B13*100</f>
        <v>90.06479481641469</v>
      </c>
      <c r="H13" s="10">
        <f>'12a'!H13/'12a'!$B13*100</f>
        <v>117.49460043196545</v>
      </c>
      <c r="I13" s="10">
        <f>'12a'!I13/'12a'!$B13*100</f>
        <v>83.15334773218143</v>
      </c>
      <c r="J13" s="10">
        <f>'12a'!J13/'12a'!$B13*100</f>
        <v>77.537796976241907</v>
      </c>
      <c r="K13" s="10">
        <f>'12a'!K13/'12a'!$B13*100</f>
        <v>104.10367170626348</v>
      </c>
      <c r="L13" s="10">
        <f>'12a'!L13/'12a'!$B13*100</f>
        <v>101.9438444924406</v>
      </c>
      <c r="N13" s="19">
        <f t="shared" si="0"/>
        <v>400.39837849689098</v>
      </c>
      <c r="O13" s="19">
        <f t="shared" si="1"/>
        <v>20.009956983884074</v>
      </c>
      <c r="P13" s="19">
        <f t="shared" si="2"/>
        <v>233.02296507424094</v>
      </c>
      <c r="Q13" s="19">
        <f t="shared" si="3"/>
        <v>15.265089749956957</v>
      </c>
    </row>
    <row r="14" spans="1:17">
      <c r="A14" s="2">
        <v>1990</v>
      </c>
      <c r="B14" s="135">
        <f>'12a'!B14/'12a'!$B14*100</f>
        <v>100</v>
      </c>
      <c r="C14" s="10">
        <f>'12a'!C14/'12a'!$B14*100</f>
        <v>67.44730679156909</v>
      </c>
      <c r="D14" s="10">
        <f>'12a'!D14/'12a'!$B14*100</f>
        <v>73.302107728337234</v>
      </c>
      <c r="E14" s="10">
        <f>'12a'!E14/'12a'!$B14*100</f>
        <v>83.372365339578465</v>
      </c>
      <c r="F14" s="10">
        <f>'12a'!F14/'12a'!$B14*100</f>
        <v>79.859484777517565</v>
      </c>
      <c r="G14" s="10">
        <f>'12a'!G14/'12a'!$B14*100</f>
        <v>83.372365339578465</v>
      </c>
      <c r="H14" s="10">
        <f>'12a'!H14/'12a'!$B14*100</f>
        <v>119.90632318501171</v>
      </c>
      <c r="I14" s="10">
        <f>'12a'!I14/'12a'!$B14*100</f>
        <v>89.929742388758783</v>
      </c>
      <c r="J14" s="10">
        <f>'12a'!J14/'12a'!$B14*100</f>
        <v>81.030444964871194</v>
      </c>
      <c r="K14" s="10">
        <f>'12a'!K14/'12a'!$B14*100</f>
        <v>106.55737704918033</v>
      </c>
      <c r="L14" s="10">
        <f>'12a'!L14/'12a'!$B14*100</f>
        <v>100.23419203747072</v>
      </c>
      <c r="N14" s="19">
        <f t="shared" si="0"/>
        <v>363.16219581086932</v>
      </c>
      <c r="O14" s="19">
        <f t="shared" si="1"/>
        <v>19.056814944026435</v>
      </c>
      <c r="P14" s="19">
        <f t="shared" si="2"/>
        <v>230.93912652402997</v>
      </c>
      <c r="Q14" s="19">
        <f t="shared" si="3"/>
        <v>15.196681431287226</v>
      </c>
    </row>
    <row r="15" spans="1:17">
      <c r="A15" s="2">
        <v>1991</v>
      </c>
      <c r="B15" s="135">
        <f>'12a'!B15/'12a'!$B15*100</f>
        <v>100</v>
      </c>
      <c r="C15" s="10">
        <f>'12a'!C15/'12a'!$B15*100</f>
        <v>67.506297229219143</v>
      </c>
      <c r="D15" s="10">
        <f>'12a'!D15/'12a'!$B15*100</f>
        <v>69.77329974811083</v>
      </c>
      <c r="E15" s="10">
        <f>'12a'!E15/'12a'!$B15*100</f>
        <v>83.627204030226693</v>
      </c>
      <c r="F15" s="10">
        <f>'12a'!F15/'12a'!$B15*100</f>
        <v>74.559193954659946</v>
      </c>
      <c r="G15" s="10">
        <f>'12a'!G15/'12a'!$B15*100</f>
        <v>87.909319899244338</v>
      </c>
      <c r="H15" s="10">
        <f>'12a'!H15/'12a'!$B15*100</f>
        <v>116.62468513853905</v>
      </c>
      <c r="I15" s="10">
        <f>'12a'!I15/'12a'!$B15*100</f>
        <v>89.672544080604538</v>
      </c>
      <c r="J15" s="10">
        <f>'12a'!J15/'12a'!$B15*100</f>
        <v>83.879093198992436</v>
      </c>
      <c r="K15" s="10">
        <f>'12a'!K15/'12a'!$B15*100</f>
        <v>111.08312342569269</v>
      </c>
      <c r="L15" s="10">
        <f>'12a'!L15/'12a'!$B15*100</f>
        <v>99.748110831234257</v>
      </c>
      <c r="N15" s="19">
        <f t="shared" si="0"/>
        <v>379.68009441085223</v>
      </c>
      <c r="O15" s="19">
        <f t="shared" si="1"/>
        <v>19.485381556717133</v>
      </c>
      <c r="P15" s="19">
        <f t="shared" si="2"/>
        <v>246.00689046945303</v>
      </c>
      <c r="Q15" s="19">
        <f t="shared" si="3"/>
        <v>15.684606799963237</v>
      </c>
    </row>
    <row r="16" spans="1:17">
      <c r="A16" s="2">
        <v>1992</v>
      </c>
      <c r="B16" s="135">
        <f>'12a'!B16/'12a'!$B16*100</f>
        <v>100</v>
      </c>
      <c r="C16" s="10">
        <f>'12a'!C16/'12a'!$B16*100</f>
        <v>60.362694300518136</v>
      </c>
      <c r="D16" s="10">
        <f>'12a'!D16/'12a'!$B16*100</f>
        <v>73.834196891191709</v>
      </c>
      <c r="E16" s="10">
        <f>'12a'!E16/'12a'!$B16*100</f>
        <v>84.974093264248708</v>
      </c>
      <c r="F16" s="10">
        <f>'12a'!F16/'12a'!$B16*100</f>
        <v>76.424870466321252</v>
      </c>
      <c r="G16" s="10">
        <f>'12a'!G16/'12a'!$B16*100</f>
        <v>86.010362694300511</v>
      </c>
      <c r="H16" s="10">
        <f>'12a'!H16/'12a'!$B16*100</f>
        <v>118.9119170984456</v>
      </c>
      <c r="I16" s="10">
        <f>'12a'!I16/'12a'!$B16*100</f>
        <v>86.787564766839381</v>
      </c>
      <c r="J16" s="10">
        <f>'12a'!J16/'12a'!$B16*100</f>
        <v>85.492227979274617</v>
      </c>
      <c r="K16" s="10">
        <f>'12a'!K16/'12a'!$B16*100</f>
        <v>101.29533678756476</v>
      </c>
      <c r="L16" s="10">
        <f>'12a'!L16/'12a'!$B16*100</f>
        <v>103.10880829015545</v>
      </c>
      <c r="N16" s="19">
        <f t="shared" si="0"/>
        <v>398.70869016617894</v>
      </c>
      <c r="O16" s="19">
        <f t="shared" si="1"/>
        <v>19.967691157622077</v>
      </c>
      <c r="P16" s="19">
        <f t="shared" si="2"/>
        <v>247.91538027866275</v>
      </c>
      <c r="Q16" s="19">
        <f t="shared" si="3"/>
        <v>15.745328839965927</v>
      </c>
    </row>
    <row r="17" spans="1:17">
      <c r="A17" s="2">
        <v>1993</v>
      </c>
      <c r="B17" s="135">
        <f>'12a'!B17/'12a'!$B17*100</f>
        <v>100</v>
      </c>
      <c r="C17" s="10">
        <f>'12a'!C17/'12a'!$B17*100</f>
        <v>65.066666666666663</v>
      </c>
      <c r="D17" s="10">
        <f>'12a'!D17/'12a'!$B17*100</f>
        <v>74.666666666666671</v>
      </c>
      <c r="E17" s="10">
        <f>'12a'!E17/'12a'!$B17*100</f>
        <v>83.2</v>
      </c>
      <c r="F17" s="10">
        <f>'12a'!F17/'12a'!$B17*100</f>
        <v>79.2</v>
      </c>
      <c r="G17" s="10">
        <f>'12a'!G17/'12a'!$B17*100</f>
        <v>84.8</v>
      </c>
      <c r="H17" s="10">
        <f>'12a'!H17/'12a'!$B17*100</f>
        <v>117.06666666666668</v>
      </c>
      <c r="I17" s="10">
        <f>'12a'!I17/'12a'!$B17*100</f>
        <v>88.8</v>
      </c>
      <c r="J17" s="10">
        <f>'12a'!J17/'12a'!$B17*100</f>
        <v>84</v>
      </c>
      <c r="K17" s="10">
        <f>'12a'!K17/'12a'!$B17*100</f>
        <v>112.26666666666667</v>
      </c>
      <c r="L17" s="10">
        <f>'12a'!L17/'12a'!$B17*100</f>
        <v>105.33333333333333</v>
      </c>
      <c r="N17" s="19">
        <f t="shared" si="0"/>
        <v>365.9662222222222</v>
      </c>
      <c r="O17" s="19">
        <f t="shared" si="1"/>
        <v>19.130243652975835</v>
      </c>
      <c r="P17" s="19">
        <f t="shared" si="2"/>
        <v>254.45262222222169</v>
      </c>
      <c r="Q17" s="19">
        <f t="shared" si="3"/>
        <v>15.951571152153686</v>
      </c>
    </row>
    <row r="18" spans="1:17">
      <c r="A18" s="2">
        <v>1994</v>
      </c>
      <c r="B18" s="135">
        <f>'12a'!B18/'12a'!$B18*100</f>
        <v>100</v>
      </c>
      <c r="C18" s="10">
        <f>'12a'!C18/'12a'!$B18*100</f>
        <v>70.60367454068242</v>
      </c>
      <c r="D18" s="10">
        <f>'12a'!D18/'12a'!$B18*100</f>
        <v>76.640419947506572</v>
      </c>
      <c r="E18" s="10">
        <f>'12a'!E18/'12a'!$B18*100</f>
        <v>76.902887139107605</v>
      </c>
      <c r="F18" s="10">
        <f>'12a'!F18/'12a'!$B18*100</f>
        <v>77.952755905511808</v>
      </c>
      <c r="G18" s="10">
        <f>'12a'!G18/'12a'!$B18*100</f>
        <v>85.30183727034121</v>
      </c>
      <c r="H18" s="10">
        <f>'12a'!H18/'12a'!$B18*100</f>
        <v>113.91076115485563</v>
      </c>
      <c r="I18" s="10">
        <f>'12a'!I18/'12a'!$B18*100</f>
        <v>92.125984251968504</v>
      </c>
      <c r="J18" s="10">
        <f>'12a'!J18/'12a'!$B18*100</f>
        <v>85.564304461942257</v>
      </c>
      <c r="K18" s="10">
        <f>'12a'!K18/'12a'!$B18*100</f>
        <v>113.6482939632546</v>
      </c>
      <c r="L18" s="10">
        <f>'12a'!L18/'12a'!$B18*100</f>
        <v>102.88713910761156</v>
      </c>
      <c r="N18" s="19">
        <f t="shared" si="0"/>
        <v>330.39177189465488</v>
      </c>
      <c r="O18" s="19">
        <f t="shared" si="1"/>
        <v>18.17668209257825</v>
      </c>
      <c r="P18" s="19">
        <f t="shared" si="2"/>
        <v>221.26879809315548</v>
      </c>
      <c r="Q18" s="19">
        <f t="shared" si="3"/>
        <v>14.875106658211076</v>
      </c>
    </row>
    <row r="19" spans="1:17">
      <c r="A19" s="2">
        <v>1995</v>
      </c>
      <c r="B19" s="135">
        <f>'12a'!B19/'12a'!$B19*100</f>
        <v>100</v>
      </c>
      <c r="C19" s="10">
        <f>'12a'!C19/'12a'!$B19*100</f>
        <v>66.230366492146601</v>
      </c>
      <c r="D19" s="10">
        <f>'12a'!D19/'12a'!$B19*100</f>
        <v>78.795811518324612</v>
      </c>
      <c r="E19" s="10">
        <f>'12a'!E19/'12a'!$B19*100</f>
        <v>76.439790575916234</v>
      </c>
      <c r="F19" s="10">
        <f>'12a'!F19/'12a'!$B19*100</f>
        <v>77.225130890052355</v>
      </c>
      <c r="G19" s="10">
        <f>'12a'!G19/'12a'!$B19*100</f>
        <v>84.031413612565444</v>
      </c>
      <c r="H19" s="10">
        <f>'12a'!H19/'12a'!$B19*100</f>
        <v>115.96858638743454</v>
      </c>
      <c r="I19" s="10">
        <f>'12a'!I19/'12a'!$B19*100</f>
        <v>95.549738219895289</v>
      </c>
      <c r="J19" s="10">
        <f>'12a'!J19/'12a'!$B19*100</f>
        <v>86.910994764397913</v>
      </c>
      <c r="K19" s="10">
        <f>'12a'!K19/'12a'!$B19*100</f>
        <v>109.94764397905759</v>
      </c>
      <c r="L19" s="10">
        <f>'12a'!L19/'12a'!$B19*100</f>
        <v>102.35602094240839</v>
      </c>
      <c r="N19" s="19">
        <f t="shared" si="0"/>
        <v>346.94087333132308</v>
      </c>
      <c r="O19" s="19">
        <f t="shared" si="1"/>
        <v>18.626348899645446</v>
      </c>
      <c r="P19" s="19">
        <f t="shared" si="2"/>
        <v>233.42356295057689</v>
      </c>
      <c r="Q19" s="19">
        <f t="shared" si="3"/>
        <v>15.27820548855712</v>
      </c>
    </row>
    <row r="20" spans="1:17">
      <c r="A20" s="2">
        <v>1996</v>
      </c>
      <c r="B20" s="135">
        <f>'12a'!B20/'12a'!$B20*100</f>
        <v>100</v>
      </c>
      <c r="C20" s="10">
        <f>'12a'!C20/'12a'!$B20*100</f>
        <v>65.86666666666666</v>
      </c>
      <c r="D20" s="10">
        <f>'12a'!D20/'12a'!$B20*100</f>
        <v>83.733333333333334</v>
      </c>
      <c r="E20" s="10">
        <f>'12a'!E20/'12a'!$B20*100</f>
        <v>79.2</v>
      </c>
      <c r="F20" s="10">
        <f>'12a'!F20/'12a'!$B20*100</f>
        <v>78.933333333333337</v>
      </c>
      <c r="G20" s="10">
        <f>'12a'!G20/'12a'!$B20*100</f>
        <v>85.6</v>
      </c>
      <c r="H20" s="10">
        <f>'12a'!H20/'12a'!$B20*100</f>
        <v>114.13333333333333</v>
      </c>
      <c r="I20" s="10">
        <f>'12a'!I20/'12a'!$B20*100</f>
        <v>95.466666666666669</v>
      </c>
      <c r="J20" s="10">
        <f>'12a'!J20/'12a'!$B20*100</f>
        <v>88.8</v>
      </c>
      <c r="K20" s="10">
        <f>'12a'!K20/'12a'!$B20*100</f>
        <v>110.13333333333333</v>
      </c>
      <c r="L20" s="10">
        <f>'12a'!L20/'12a'!$B20*100</f>
        <v>100.26666666666667</v>
      </c>
      <c r="N20" s="19">
        <f t="shared" si="0"/>
        <v>296.19911111111105</v>
      </c>
      <c r="O20" s="19">
        <f t="shared" si="1"/>
        <v>17.210436110427622</v>
      </c>
      <c r="P20" s="19">
        <f t="shared" si="2"/>
        <v>200.42026666666729</v>
      </c>
      <c r="Q20" s="19">
        <f t="shared" si="3"/>
        <v>14.156986496661897</v>
      </c>
    </row>
    <row r="21" spans="1:17">
      <c r="A21" s="2">
        <v>1997</v>
      </c>
      <c r="B21" s="135">
        <f>'12a'!B21/'12a'!$B21*100</f>
        <v>100</v>
      </c>
      <c r="C21" s="10">
        <f>'12a'!C21/'12a'!$B21*100</f>
        <v>66.489361702127653</v>
      </c>
      <c r="D21" s="10">
        <f>'12a'!D21/'12a'!$B21*100</f>
        <v>76.59574468085107</v>
      </c>
      <c r="E21" s="10">
        <f>'12a'!E21/'12a'!$B21*100</f>
        <v>78.723404255319153</v>
      </c>
      <c r="F21" s="10">
        <f>'12a'!F21/'12a'!$B21*100</f>
        <v>78.723404255319153</v>
      </c>
      <c r="G21" s="10">
        <f>'12a'!G21/'12a'!$B21*100</f>
        <v>85.106382978723403</v>
      </c>
      <c r="H21" s="10">
        <f>'12a'!H21/'12a'!$B21*100</f>
        <v>114.89361702127661</v>
      </c>
      <c r="I21" s="10">
        <f>'12a'!I21/'12a'!$B21*100</f>
        <v>95.744680851063833</v>
      </c>
      <c r="J21" s="10">
        <f>'12a'!J21/'12a'!$B21*100</f>
        <v>90.425531914893625</v>
      </c>
      <c r="K21" s="10">
        <f>'12a'!K21/'12a'!$B21*100</f>
        <v>118.61702127659575</v>
      </c>
      <c r="L21" s="10">
        <f>'12a'!L21/'12a'!$B21*100</f>
        <v>101.86170212765957</v>
      </c>
      <c r="N21" s="19">
        <f t="shared" si="0"/>
        <v>347.95863512901781</v>
      </c>
      <c r="O21" s="19">
        <f t="shared" si="1"/>
        <v>18.653649378312487</v>
      </c>
      <c r="P21" s="19">
        <f t="shared" si="2"/>
        <v>261.80469103666837</v>
      </c>
      <c r="Q21" s="19">
        <f t="shared" si="3"/>
        <v>16.180379817441505</v>
      </c>
    </row>
    <row r="22" spans="1:17">
      <c r="A22" s="2">
        <v>1998</v>
      </c>
      <c r="B22" s="135">
        <f>'12a'!B22/'12a'!$B22*100</f>
        <v>100</v>
      </c>
      <c r="C22" s="10">
        <f>'12a'!C22/'12a'!$B22*100</f>
        <v>67.79220779220779</v>
      </c>
      <c r="D22" s="10">
        <f>'12a'!D22/'12a'!$B22*100</f>
        <v>77.142857142857153</v>
      </c>
      <c r="E22" s="10">
        <f>'12a'!E22/'12a'!$B22*100</f>
        <v>80.519480519480524</v>
      </c>
      <c r="F22" s="10">
        <f>'12a'!F22/'12a'!$B22*100</f>
        <v>80.519480519480524</v>
      </c>
      <c r="G22" s="10">
        <f>'12a'!G22/'12a'!$B22*100</f>
        <v>85.194805194805184</v>
      </c>
      <c r="H22" s="10">
        <f>'12a'!H22/'12a'!$B22*100</f>
        <v>118.96103896103895</v>
      </c>
      <c r="I22" s="10">
        <f>'12a'!I22/'12a'!$B22*100</f>
        <v>97.142857142857139</v>
      </c>
      <c r="J22" s="10">
        <f>'12a'!J22/'12a'!$B22*100</f>
        <v>85.714285714285708</v>
      </c>
      <c r="K22" s="10">
        <f>'12a'!K22/'12a'!$B22*100</f>
        <v>113.50649350649351</v>
      </c>
      <c r="L22" s="10">
        <f>'12a'!L22/'12a'!$B22*100</f>
        <v>97.922077922077918</v>
      </c>
      <c r="N22" s="19">
        <f t="shared" si="0"/>
        <v>329.64749536178101</v>
      </c>
      <c r="O22" s="19">
        <f t="shared" si="1"/>
        <v>18.156197161349098</v>
      </c>
      <c r="P22" s="19">
        <f t="shared" si="2"/>
        <v>238.28369033563882</v>
      </c>
      <c r="Q22" s="19">
        <f t="shared" si="3"/>
        <v>15.436440338874725</v>
      </c>
    </row>
    <row r="23" spans="1:17">
      <c r="A23" s="2">
        <v>1999</v>
      </c>
      <c r="B23" s="135">
        <f>'12a'!B23/'12a'!$B23*100</f>
        <v>100</v>
      </c>
      <c r="C23" s="10">
        <f>'12a'!C23/'12a'!$B23*100</f>
        <v>64.792176039119809</v>
      </c>
      <c r="D23" s="10">
        <f>'12a'!D23/'12a'!$B23*100</f>
        <v>73.349633251833751</v>
      </c>
      <c r="E23" s="10">
        <f>'12a'!E23/'12a'!$B23*100</f>
        <v>80.440097799510994</v>
      </c>
      <c r="F23" s="10">
        <f>'12a'!F23/'12a'!$B23*100</f>
        <v>82.396088019559897</v>
      </c>
      <c r="G23" s="10">
        <f>'12a'!G23/'12a'!$B23*100</f>
        <v>85.574572127139362</v>
      </c>
      <c r="H23" s="10">
        <f>'12a'!H23/'12a'!$B23*100</f>
        <v>116.62591687041567</v>
      </c>
      <c r="I23" s="10">
        <f>'12a'!I23/'12a'!$B23*100</f>
        <v>93.154034229828852</v>
      </c>
      <c r="J23" s="10">
        <f>'12a'!J23/'12a'!$B23*100</f>
        <v>86.797066014669923</v>
      </c>
      <c r="K23" s="10">
        <f>'12a'!K23/'12a'!$B23*100</f>
        <v>111.49144254278728</v>
      </c>
      <c r="L23" s="10">
        <f>'12a'!L23/'12a'!$B23*100</f>
        <v>96.821515892420535</v>
      </c>
      <c r="N23" s="19">
        <f t="shared" si="0"/>
        <v>349.01752141606045</v>
      </c>
      <c r="O23" s="19">
        <f t="shared" si="1"/>
        <v>18.682010636333029</v>
      </c>
      <c r="P23" s="19">
        <f t="shared" si="2"/>
        <v>231.17030625115845</v>
      </c>
      <c r="Q23" s="19">
        <f t="shared" si="3"/>
        <v>15.204285785631578</v>
      </c>
    </row>
    <row r="24" spans="1:17">
      <c r="A24" s="2">
        <v>2000</v>
      </c>
      <c r="B24" s="135">
        <f>'12a'!B24/'12a'!$B24*100</f>
        <v>100</v>
      </c>
      <c r="C24" s="10">
        <f>'12a'!C24/'12a'!$B24*100</f>
        <v>62.440191387559807</v>
      </c>
      <c r="D24" s="10">
        <f>'12a'!D24/'12a'!$B24*100</f>
        <v>73.923444976076553</v>
      </c>
      <c r="E24" s="10">
        <f>'12a'!E24/'12a'!$B24*100</f>
        <v>79.186602870813388</v>
      </c>
      <c r="F24" s="10">
        <f>'12a'!F24/'12a'!$B24*100</f>
        <v>80.382775119617222</v>
      </c>
      <c r="G24" s="10">
        <f>'12a'!G24/'12a'!$B24*100</f>
        <v>85.167464114832541</v>
      </c>
      <c r="H24" s="10">
        <f>'12a'!H24/'12a'!$B24*100</f>
        <v>117.94258373205741</v>
      </c>
      <c r="I24" s="10">
        <f>'12a'!I24/'12a'!$B24*100</f>
        <v>91.866028708133967</v>
      </c>
      <c r="J24" s="10">
        <f>'12a'!J24/'12a'!$B24*100</f>
        <v>84.449760765550238</v>
      </c>
      <c r="K24" s="10">
        <f>'12a'!K24/'12a'!$B24*100</f>
        <v>113.1578947368421</v>
      </c>
      <c r="L24" s="10">
        <f>'12a'!L24/'12a'!$B24*100</f>
        <v>94.73684210526315</v>
      </c>
      <c r="N24" s="19">
        <f t="shared" si="0"/>
        <v>395.95018429065277</v>
      </c>
      <c r="O24" s="19">
        <f t="shared" si="1"/>
        <v>19.898497035973666</v>
      </c>
      <c r="P24" s="19">
        <f t="shared" si="2"/>
        <v>259.65293834848211</v>
      </c>
      <c r="Q24" s="19">
        <f t="shared" si="3"/>
        <v>16.113749977844453</v>
      </c>
    </row>
    <row r="25" spans="1:17">
      <c r="A25" s="2">
        <v>2001</v>
      </c>
      <c r="B25" s="135">
        <f>'12a'!B25/'12a'!$B25*100</f>
        <v>100</v>
      </c>
      <c r="C25" s="10">
        <f>'12a'!C25/'12a'!$B25*100</f>
        <v>62.796208530805686</v>
      </c>
      <c r="D25" s="10">
        <f>'12a'!D25/'12a'!$B25*100</f>
        <v>69.431279620853076</v>
      </c>
      <c r="E25" s="10">
        <f>'12a'!E25/'12a'!$B25*100</f>
        <v>79.383886255924168</v>
      </c>
      <c r="F25" s="10">
        <f>'12a'!F25/'12a'!$B25*100</f>
        <v>78.436018957345979</v>
      </c>
      <c r="G25" s="10">
        <f>'12a'!G25/'12a'!$B25*100</f>
        <v>84.597156398104261</v>
      </c>
      <c r="H25" s="10">
        <f>'12a'!H25/'12a'!$B25*100</f>
        <v>117.77251184834124</v>
      </c>
      <c r="I25" s="10">
        <f>'12a'!I25/'12a'!$B25*100</f>
        <v>94.075829383886258</v>
      </c>
      <c r="J25" s="10">
        <f>'12a'!J25/'12a'!$B25*100</f>
        <v>88.388625592417057</v>
      </c>
      <c r="K25" s="10">
        <f>'12a'!K25/'12a'!$B25*100</f>
        <v>117.29857819905214</v>
      </c>
      <c r="L25" s="10">
        <f>'12a'!L25/'12a'!$B25*100</f>
        <v>92.890995260663516</v>
      </c>
      <c r="N25" s="19">
        <f t="shared" si="0"/>
        <v>428.14065272568013</v>
      </c>
      <c r="O25" s="19">
        <f t="shared" si="1"/>
        <v>20.691559939397514</v>
      </c>
      <c r="P25" s="19">
        <f t="shared" si="2"/>
        <v>296.05410929673462</v>
      </c>
      <c r="Q25" s="19">
        <f t="shared" si="3"/>
        <v>17.206222981721893</v>
      </c>
    </row>
    <row r="26" spans="1:17">
      <c r="A26" s="2">
        <v>2002</v>
      </c>
      <c r="B26" s="135">
        <f>'12a'!B26/'12a'!$B26*100</f>
        <v>100</v>
      </c>
      <c r="C26" s="10">
        <f>'12a'!C26/'12a'!$B26*100</f>
        <v>66.350710900473928</v>
      </c>
      <c r="D26" s="10">
        <f>'12a'!D26/'12a'!$B26*100</f>
        <v>71.327014218009481</v>
      </c>
      <c r="E26" s="10">
        <f>'12a'!E26/'12a'!$B26*100</f>
        <v>81.042654028436019</v>
      </c>
      <c r="F26" s="10">
        <f>'12a'!F26/'12a'!$B26*100</f>
        <v>75.592417061611371</v>
      </c>
      <c r="G26" s="10">
        <f>'12a'!G26/'12a'!$B26*100</f>
        <v>85.781990521327018</v>
      </c>
      <c r="H26" s="10">
        <f>'12a'!H26/'12a'!$B26*100</f>
        <v>117.06161137440758</v>
      </c>
      <c r="I26" s="10">
        <f>'12a'!I26/'12a'!$B26*100</f>
        <v>91.232227488151665</v>
      </c>
      <c r="J26" s="10">
        <f>'12a'!J26/'12a'!$B26*100</f>
        <v>85.781990521327018</v>
      </c>
      <c r="K26" s="10">
        <f>'12a'!K26/'12a'!$B26*100</f>
        <v>115.40284360189574</v>
      </c>
      <c r="L26" s="10">
        <f>'12a'!L26/'12a'!$B26*100</f>
        <v>94.075829383886258</v>
      </c>
      <c r="N26" s="19">
        <f t="shared" si="0"/>
        <v>395.41452348330006</v>
      </c>
      <c r="O26" s="19">
        <f t="shared" si="1"/>
        <v>19.885032649792155</v>
      </c>
      <c r="P26" s="19">
        <f t="shared" si="2"/>
        <v>260.03964421284502</v>
      </c>
      <c r="Q26" s="19">
        <f t="shared" si="3"/>
        <v>16.12574476459444</v>
      </c>
    </row>
    <row r="27" spans="1:17">
      <c r="A27" s="2">
        <v>2003</v>
      </c>
      <c r="B27" s="135">
        <f>'12a'!B27/'12a'!$B27*100</f>
        <v>100</v>
      </c>
      <c r="C27" s="10">
        <f>'12a'!C27/'12a'!$B27*100</f>
        <v>63.507109004739334</v>
      </c>
      <c r="D27" s="10">
        <f>'12a'!D27/'12a'!$B27*100</f>
        <v>81.990521327014221</v>
      </c>
      <c r="E27" s="10">
        <f>'12a'!E27/'12a'!$B27*100</f>
        <v>83.649289099526072</v>
      </c>
      <c r="F27" s="10">
        <f>'12a'!F27/'12a'!$B27*100</f>
        <v>76.30331753554502</v>
      </c>
      <c r="G27" s="10">
        <f>'12a'!G27/'12a'!$B27*100</f>
        <v>86.729857819905206</v>
      </c>
      <c r="H27" s="10">
        <f>'12a'!H27/'12a'!$B27*100</f>
        <v>117.06161137440758</v>
      </c>
      <c r="I27" s="10">
        <f>'12a'!I27/'12a'!$B27*100</f>
        <v>92.417061611374407</v>
      </c>
      <c r="J27" s="10">
        <f>'12a'!J27/'12a'!$B27*100</f>
        <v>85.781990521327018</v>
      </c>
      <c r="K27" s="10">
        <f>'12a'!K27/'12a'!$B27*100</f>
        <v>115.16587677725119</v>
      </c>
      <c r="L27" s="10">
        <f>'12a'!L27/'12a'!$B27*100</f>
        <v>92.654028436018947</v>
      </c>
      <c r="N27" s="19">
        <f t="shared" si="0"/>
        <v>349.57660429909481</v>
      </c>
      <c r="O27" s="19">
        <f t="shared" si="1"/>
        <v>18.696967783549685</v>
      </c>
      <c r="P27" s="19">
        <f t="shared" si="2"/>
        <v>239.87331820938385</v>
      </c>
      <c r="Q27" s="19">
        <f t="shared" si="3"/>
        <v>15.487844207938814</v>
      </c>
    </row>
    <row r="28" spans="1:17">
      <c r="A28" s="120">
        <v>2004</v>
      </c>
      <c r="B28" s="135">
        <f>'12a'!B28/'12a'!$B28*100</f>
        <v>100</v>
      </c>
      <c r="C28" s="10">
        <f>'12a'!C28/'12a'!$B28*100</f>
        <v>65.566037735849065</v>
      </c>
      <c r="D28" s="10">
        <f>'12a'!D28/'12a'!$B28*100</f>
        <v>81.367924528301884</v>
      </c>
      <c r="E28" s="10">
        <f>'12a'!E28/'12a'!$B28*100</f>
        <v>82.783018867924525</v>
      </c>
      <c r="F28" s="10">
        <f>'12a'!F28/'12a'!$B28*100</f>
        <v>76.179245283018872</v>
      </c>
      <c r="G28" s="10">
        <f>'12a'!G28/'12a'!$B28*100</f>
        <v>86.79245283018868</v>
      </c>
      <c r="H28" s="10">
        <f>'12a'!H28/'12a'!$B28*100</f>
        <v>114.15094339622642</v>
      </c>
      <c r="I28" s="10">
        <f>'12a'!I28/'12a'!$B28*100</f>
        <v>92.924528301886795</v>
      </c>
      <c r="J28" s="10">
        <f>'12a'!J28/'12a'!$B28*100</f>
        <v>84.905660377358487</v>
      </c>
      <c r="K28" s="10">
        <f>'12a'!K28/'12a'!$B28*100</f>
        <v>119.5754716981132</v>
      </c>
      <c r="L28" s="10">
        <f>'12a'!L28/'12a'!$B28*100</f>
        <v>95.754716981132077</v>
      </c>
      <c r="N28" s="19">
        <f t="shared" si="0"/>
        <v>345.05161979352079</v>
      </c>
      <c r="O28" s="19">
        <f t="shared" si="1"/>
        <v>18.575565127164253</v>
      </c>
      <c r="P28" s="19">
        <f t="shared" si="2"/>
        <v>245.05161979352124</v>
      </c>
      <c r="Q28" s="19">
        <f t="shared" si="3"/>
        <v>15.654124689471502</v>
      </c>
    </row>
    <row r="29" spans="1:17">
      <c r="A29" s="120">
        <v>2005</v>
      </c>
      <c r="B29" s="135">
        <f>'12a'!B29/'12a'!$B29*100</f>
        <v>100</v>
      </c>
      <c r="C29" s="10">
        <f>'12a'!C29/'12a'!$B29*100</f>
        <v>69.230769230769226</v>
      </c>
      <c r="D29" s="10">
        <f>'12a'!D29/'12a'!$B29*100</f>
        <v>80.652680652680658</v>
      </c>
      <c r="E29" s="10">
        <f>'12a'!E29/'12a'!$B29*100</f>
        <v>85.081585081585075</v>
      </c>
      <c r="F29" s="10">
        <f>'12a'!F29/'12a'!$B29*100</f>
        <v>76.456876456876458</v>
      </c>
      <c r="G29" s="10">
        <f>'12a'!G29/'12a'!$B29*100</f>
        <v>84.382284382284382</v>
      </c>
      <c r="H29" s="10">
        <f>'12a'!H29/'12a'!$B29*100</f>
        <v>116.08391608391608</v>
      </c>
      <c r="I29" s="10">
        <f>'12a'!I29/'12a'!$B29*100</f>
        <v>91.841491841491845</v>
      </c>
      <c r="J29" s="10">
        <f>'12a'!J29/'12a'!$B29*100</f>
        <v>85.081585081585075</v>
      </c>
      <c r="K29" s="10">
        <f>'12a'!K29/'12a'!$B29*100</f>
        <v>122.6107226107226</v>
      </c>
      <c r="L29" s="10">
        <f>'12a'!L29/'12a'!$B29*100</f>
        <v>98.135198135198138</v>
      </c>
      <c r="N29" s="19">
        <f>SUM(C101:L101)/10</f>
        <v>340.43501176368306</v>
      </c>
      <c r="O29" s="19">
        <f>SQRT(N29)</f>
        <v>18.450881056569713</v>
      </c>
      <c r="P29" s="19"/>
      <c r="Q29" s="19"/>
    </row>
    <row r="30" spans="1:17">
      <c r="A30" s="120">
        <v>2006</v>
      </c>
      <c r="B30" s="135">
        <f>'12a'!B30/'12a'!$B30*100</f>
        <v>100</v>
      </c>
      <c r="C30" s="10">
        <f>'12a'!C30/'12a'!$B30*100</f>
        <v>71.882086167800452</v>
      </c>
      <c r="D30" s="10">
        <f>'12a'!D30/'12a'!$B30*100</f>
        <v>81.179138321995467</v>
      </c>
      <c r="E30" s="10">
        <f>'12a'!E30/'12a'!$B30*100</f>
        <v>87.301587301587304</v>
      </c>
      <c r="F30" s="10">
        <f>'12a'!F30/'12a'!$B30*100</f>
        <v>76.870748299319729</v>
      </c>
      <c r="G30" s="10">
        <f>'12a'!G30/'12a'!$B30*100</f>
        <v>82.993197278911566</v>
      </c>
      <c r="H30" s="10">
        <f>'12a'!H30/'12a'!$B30*100</f>
        <v>113.60544217687074</v>
      </c>
      <c r="I30" s="10">
        <f>'12a'!I30/'12a'!$B30*100</f>
        <v>90.476190476190482</v>
      </c>
      <c r="J30" s="10">
        <f>'12a'!J30/'12a'!$B30*100</f>
        <v>90.702947845804999</v>
      </c>
      <c r="K30" s="10">
        <f>'12a'!K30/'12a'!$B30*100</f>
        <v>128.11791383219955</v>
      </c>
      <c r="L30" s="10">
        <f>'12a'!L30/'12a'!$B30*100</f>
        <v>97.959183673469383</v>
      </c>
      <c r="N30" s="19">
        <f>SUM(C102:L102)/10</f>
        <v>328.73134136496617</v>
      </c>
      <c r="O30" s="19">
        <f>SQRT(N30)</f>
        <v>18.130949819713422</v>
      </c>
      <c r="P30" s="19"/>
      <c r="Q30" s="19"/>
    </row>
    <row r="31" spans="1:17" s="961" customFormat="1">
      <c r="A31" s="120">
        <v>2007</v>
      </c>
      <c r="B31" s="135">
        <f>'12a'!B31/'12a'!$B31*100</f>
        <v>100</v>
      </c>
      <c r="C31" s="10">
        <f>'12a'!C31/'12a'!$B31*100</f>
        <v>73.230088495575217</v>
      </c>
      <c r="D31" s="10">
        <f>'12a'!D31/'12a'!$B31*100</f>
        <v>82.522123893805315</v>
      </c>
      <c r="E31" s="10">
        <f>'12a'!E31/'12a'!$B31*100</f>
        <v>83.849557522123902</v>
      </c>
      <c r="F31" s="10">
        <f>'12a'!F31/'12a'!$B31*100</f>
        <v>77.43362831858407</v>
      </c>
      <c r="G31" s="10">
        <f>'12a'!G31/'12a'!$B31*100</f>
        <v>80.973451327433636</v>
      </c>
      <c r="H31" s="10">
        <f>'12a'!H31/'12a'!$B31*100</f>
        <v>112.83185840707965</v>
      </c>
      <c r="I31" s="10">
        <f>'12a'!I31/'12a'!$B31*100</f>
        <v>92.69911504424779</v>
      </c>
      <c r="J31" s="10">
        <f>'12a'!J31/'12a'!$B31*100</f>
        <v>93.362831858407077</v>
      </c>
      <c r="K31" s="10">
        <f>'12a'!K31/'12a'!$B31*100</f>
        <v>130.75221238938053</v>
      </c>
      <c r="L31" s="10">
        <f>'12a'!L31/'12a'!$B31*100</f>
        <v>100.88495575221239</v>
      </c>
      <c r="N31" s="19">
        <f>SUM(C103:L103)/10</f>
        <v>336.26850184039466</v>
      </c>
      <c r="O31" s="19">
        <f>SQRT(N31)</f>
        <v>18.337625305376775</v>
      </c>
      <c r="P31" s="19"/>
      <c r="Q31" s="19"/>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 t="shared" ref="B33:L33" si="4">((((B13/B5))^(1/8))-1)*100</f>
        <v>0</v>
      </c>
      <c r="C33" s="959">
        <f t="shared" si="4"/>
        <v>-2.2151797182724309</v>
      </c>
      <c r="D33" s="959">
        <f t="shared" si="4"/>
        <v>0.48177762921381984</v>
      </c>
      <c r="E33" s="959">
        <f t="shared" si="4"/>
        <v>0.2869688762423106</v>
      </c>
      <c r="F33" s="959">
        <f t="shared" si="4"/>
        <v>0.93940664283140851</v>
      </c>
      <c r="G33" s="959">
        <f t="shared" si="4"/>
        <v>-0.20818373819445624</v>
      </c>
      <c r="H33" s="959">
        <f t="shared" si="4"/>
        <v>0.91204796061945537</v>
      </c>
      <c r="I33" s="959">
        <f t="shared" si="4"/>
        <v>-0.76485531886510971</v>
      </c>
      <c r="J33" s="959">
        <f t="shared" si="4"/>
        <v>-2.11509948270453</v>
      </c>
      <c r="K33" s="959">
        <f t="shared" si="4"/>
        <v>-1.5430328470178778</v>
      </c>
      <c r="L33" s="959">
        <f t="shared" si="4"/>
        <v>-0.88682029560319675</v>
      </c>
      <c r="M33" s="644"/>
      <c r="N33" s="959">
        <f>((((N13/N5))^(1/8))-1)*100</f>
        <v>1.7624421770475962</v>
      </c>
      <c r="O33" s="959">
        <f>((((O13/O5))^(1/8))-1)*100</f>
        <v>0.87737217882293272</v>
      </c>
      <c r="P33" s="644">
        <f>((((P13/P5))^(1/8))-1)*100</f>
        <v>-1.6157247592073487</v>
      </c>
      <c r="Q33" s="644">
        <f>((((Q13/Q5))^(1/8))-1)*100</f>
        <v>-0.81115221921738145</v>
      </c>
    </row>
    <row r="34" spans="1:17" s="114" customFormat="1">
      <c r="A34" s="431" t="s">
        <v>604</v>
      </c>
      <c r="B34" s="959">
        <f t="shared" ref="B34:L34" si="5">((((B24/B13))^(1/11))-1)*100</f>
        <v>0</v>
      </c>
      <c r="C34" s="959">
        <f t="shared" si="5"/>
        <v>-1.1957625747278544</v>
      </c>
      <c r="D34" s="959">
        <f t="shared" si="5"/>
        <v>0.81588954780491552</v>
      </c>
      <c r="E34" s="959">
        <f t="shared" si="5"/>
        <v>-0.20489914933958797</v>
      </c>
      <c r="F34" s="959">
        <f t="shared" si="5"/>
        <v>0.45612681853464121</v>
      </c>
      <c r="G34" s="959">
        <f t="shared" si="5"/>
        <v>-0.50698202574459561</v>
      </c>
      <c r="H34" s="959">
        <f t="shared" si="5"/>
        <v>3.4601882782014926E-2</v>
      </c>
      <c r="I34" s="959">
        <f t="shared" si="5"/>
        <v>0.90997752908494878</v>
      </c>
      <c r="J34" s="959">
        <f t="shared" si="5"/>
        <v>0.77930535424215464</v>
      </c>
      <c r="K34" s="959">
        <f t="shared" si="5"/>
        <v>0.76103486129099895</v>
      </c>
      <c r="L34" s="959">
        <f t="shared" si="5"/>
        <v>-0.66432131676793515</v>
      </c>
      <c r="M34" s="644"/>
      <c r="N34" s="959">
        <f>((((N24/N13))^(1/11))-1)*100</f>
        <v>-0.10150836926628992</v>
      </c>
      <c r="O34" s="959">
        <f>((((O24/O13))^(1/11))-1)*100</f>
        <v>-5.076707111069112E-2</v>
      </c>
      <c r="P34" s="644">
        <f>((((P24/P13))^(1/11))-1)*100</f>
        <v>0.98857145135107238</v>
      </c>
      <c r="Q34" s="644">
        <f>((((Q24/Q13))^(1/11))-1)*100</f>
        <v>0.49307013488595341</v>
      </c>
    </row>
    <row r="35" spans="1:17" s="114" customFormat="1">
      <c r="A35" s="431" t="s">
        <v>447</v>
      </c>
      <c r="B35" s="23">
        <f>((((B31/B5))^(1/26))-1)*100</f>
        <v>0</v>
      </c>
      <c r="C35" s="23">
        <f t="shared" ref="C35:L35" si="6">((((C31/C5))^(1/26))-1)*100</f>
        <v>-0.5834301188315405</v>
      </c>
      <c r="D35" s="23">
        <f t="shared" si="6"/>
        <v>0.91908157218829611</v>
      </c>
      <c r="E35" s="23">
        <f t="shared" si="6"/>
        <v>0.22170573487922951</v>
      </c>
      <c r="F35" s="23">
        <f t="shared" si="6"/>
        <v>0.33703919770802226</v>
      </c>
      <c r="G35" s="23">
        <f t="shared" si="6"/>
        <v>-0.47226619765952105</v>
      </c>
      <c r="H35" s="23">
        <f t="shared" si="6"/>
        <v>0.12368976644443475</v>
      </c>
      <c r="I35" s="23">
        <f t="shared" si="6"/>
        <v>0.18189150245475627</v>
      </c>
      <c r="J35" s="23">
        <f t="shared" si="6"/>
        <v>5.6572700715085134E-2</v>
      </c>
      <c r="K35" s="23">
        <f t="shared" si="6"/>
        <v>0.3989160908156375</v>
      </c>
      <c r="L35" s="23">
        <f t="shared" si="6"/>
        <v>-0.31375053207060022</v>
      </c>
      <c r="M35" s="23"/>
      <c r="N35" s="23">
        <f>((((N31/N5))^(1/26))-1)*100</f>
        <v>-0.13369033430172816</v>
      </c>
      <c r="O35" s="23">
        <f>((((O31/O5))^(1/26))-1)*100</f>
        <v>-6.6867523479352542E-2</v>
      </c>
      <c r="P35" s="23">
        <f>((((P28/P5))^(1/23))-1)*100</f>
        <v>-0.34714268421557337</v>
      </c>
      <c r="Q35" s="23">
        <f>((((Q28/Q5))^(1/23))-1)*100</f>
        <v>-0.17372223918973306</v>
      </c>
    </row>
    <row r="36" spans="1:17" s="114" customFormat="1">
      <c r="A36" s="431" t="s">
        <v>449</v>
      </c>
      <c r="B36" s="959">
        <f>((((B31/B24))^(1/7))-1)*100</f>
        <v>0</v>
      </c>
      <c r="C36" s="959">
        <f t="shared" ref="C36:L36" si="7">((((C31/C24))^(1/7))-1)*100</f>
        <v>2.3032270599772531</v>
      </c>
      <c r="D36" s="959">
        <f t="shared" si="7"/>
        <v>1.5843686106724375</v>
      </c>
      <c r="E36" s="959">
        <f t="shared" si="7"/>
        <v>0.82073661857304803</v>
      </c>
      <c r="F36" s="959">
        <f t="shared" si="7"/>
        <v>-0.5325590320678586</v>
      </c>
      <c r="G36" s="959">
        <f t="shared" si="7"/>
        <v>-0.71880620919879679</v>
      </c>
      <c r="H36" s="959">
        <f t="shared" si="7"/>
        <v>-0.63084740128996897</v>
      </c>
      <c r="I36" s="959">
        <f t="shared" si="7"/>
        <v>0.12904919729246345</v>
      </c>
      <c r="J36" s="959">
        <f t="shared" si="7"/>
        <v>1.4437008434599718</v>
      </c>
      <c r="K36" s="959">
        <f t="shared" si="7"/>
        <v>2.0860294070866869</v>
      </c>
      <c r="L36" s="959">
        <f t="shared" si="7"/>
        <v>0.90230143059337742</v>
      </c>
      <c r="M36" s="644"/>
      <c r="N36" s="959">
        <f>((((N31/N24))^(1/7))-1)*100</f>
        <v>-2.3069513038944445</v>
      </c>
      <c r="O36" s="959">
        <f>((((O31/O24))^(1/7))-1)*100</f>
        <v>-1.1602060422495786</v>
      </c>
      <c r="P36" s="644">
        <f>((((P28/P24))^(1/4))-1)*100</f>
        <v>-1.4365074793573296</v>
      </c>
      <c r="Q36" s="644">
        <f>((((Q28/Q24))^(1/4))-1)*100</f>
        <v>-0.72085187682023877</v>
      </c>
    </row>
    <row r="37" spans="1:17" s="114" customFormat="1">
      <c r="A37" s="431"/>
      <c r="D37" s="959" t="s">
        <v>276</v>
      </c>
    </row>
    <row r="38" spans="1:17" s="114" customFormat="1">
      <c r="A38" s="431" t="s">
        <v>447</v>
      </c>
      <c r="B38" s="10">
        <f>(B31/B5-1)*100</f>
        <v>0</v>
      </c>
      <c r="C38" s="10">
        <f t="shared" ref="C38:L38" si="8">(C31/C5-1)*100</f>
        <v>-14.112859171856218</v>
      </c>
      <c r="D38" s="10">
        <f t="shared" si="8"/>
        <v>26.854397571383572</v>
      </c>
      <c r="E38" s="10">
        <f t="shared" si="8"/>
        <v>5.9269676143852479</v>
      </c>
      <c r="F38" s="10">
        <f t="shared" si="8"/>
        <v>9.1423544549775535</v>
      </c>
      <c r="G38" s="10">
        <f t="shared" si="8"/>
        <v>-11.580714067744879</v>
      </c>
      <c r="H38" s="10">
        <f t="shared" si="8"/>
        <v>3.2661517213156799</v>
      </c>
      <c r="I38" s="10">
        <f t="shared" si="8"/>
        <v>4.8382848714707105</v>
      </c>
      <c r="J38" s="10">
        <f t="shared" si="8"/>
        <v>1.4813389765294227</v>
      </c>
      <c r="K38" s="10">
        <f t="shared" si="8"/>
        <v>10.905894437421004</v>
      </c>
      <c r="L38" s="10">
        <f t="shared" si="8"/>
        <v>-7.8454731109598441</v>
      </c>
      <c r="M38" s="10"/>
      <c r="N38" s="10">
        <f>(N31/N5-1)*100</f>
        <v>-3.4184776112084925</v>
      </c>
      <c r="O38" s="10">
        <f>(O31/O5-1)*100</f>
        <v>-1.724101434384484</v>
      </c>
      <c r="P38" s="10">
        <f>(P28/P5-1)*100</f>
        <v>-7.6866781827889081</v>
      </c>
      <c r="Q38" s="10">
        <f>(Q28/Q5-1)*100</f>
        <v>-3.9201780719744006</v>
      </c>
    </row>
    <row r="39" spans="1:17">
      <c r="A39" s="4"/>
      <c r="N39" s="644"/>
      <c r="O39" s="644"/>
      <c r="P39" s="644"/>
      <c r="Q39" s="644"/>
    </row>
    <row r="40" spans="1:17">
      <c r="A40" s="9" t="s">
        <v>219</v>
      </c>
      <c r="N40" s="10"/>
      <c r="O40" s="10"/>
      <c r="P40" s="10"/>
      <c r="Q40" s="10"/>
    </row>
    <row r="41" spans="1:17" ht="27.75" customHeight="1">
      <c r="A41" s="1168" t="s">
        <v>927</v>
      </c>
      <c r="B41" s="1169"/>
      <c r="C41" s="1169"/>
      <c r="D41" s="1169"/>
      <c r="E41" s="1169"/>
      <c r="F41" s="1169"/>
      <c r="G41" s="1169"/>
      <c r="H41" s="1169"/>
      <c r="I41" s="1169"/>
      <c r="J41" s="1169"/>
      <c r="K41" s="1169"/>
      <c r="L41" s="1169"/>
      <c r="N41" s="10"/>
      <c r="O41" s="10"/>
      <c r="P41" s="10"/>
      <c r="Q41" s="10"/>
    </row>
    <row r="42" spans="1:17" ht="40.5" customHeight="1">
      <c r="A42" s="1168" t="s">
        <v>822</v>
      </c>
      <c r="B42" s="1169"/>
      <c r="C42" s="1169"/>
      <c r="D42" s="1169"/>
      <c r="E42" s="1169"/>
      <c r="F42" s="1169"/>
      <c r="G42" s="1169"/>
      <c r="H42" s="1169"/>
      <c r="I42" s="1169"/>
      <c r="J42" s="1169"/>
      <c r="K42" s="1169"/>
      <c r="L42" s="1169"/>
      <c r="N42" s="10"/>
      <c r="O42" s="10"/>
      <c r="P42" s="10"/>
      <c r="Q42" s="10"/>
    </row>
    <row r="47" spans="1:17">
      <c r="B47" s="1" t="s">
        <v>278</v>
      </c>
    </row>
    <row r="48" spans="1:17">
      <c r="B48" s="1" t="s">
        <v>279</v>
      </c>
    </row>
    <row r="49" spans="2:12">
      <c r="B49" s="1">
        <v>1981</v>
      </c>
      <c r="C49" s="300">
        <f>C5-$B5</f>
        <v>-14.736842105263165</v>
      </c>
      <c r="D49" s="300">
        <f t="shared" ref="D49:L49" si="9">D5-$B5</f>
        <v>-34.94736842105263</v>
      </c>
      <c r="E49" s="300">
        <f t="shared" si="9"/>
        <v>-20.84210526315789</v>
      </c>
      <c r="F49" s="300">
        <f t="shared" si="9"/>
        <v>-29.05263157894737</v>
      </c>
      <c r="G49" s="300">
        <f t="shared" si="9"/>
        <v>-8.4210526315789451</v>
      </c>
      <c r="H49" s="300">
        <f t="shared" si="9"/>
        <v>9.2631578947368354</v>
      </c>
      <c r="I49" s="300">
        <f t="shared" si="9"/>
        <v>-11.578947368421055</v>
      </c>
      <c r="J49" s="300">
        <f t="shared" si="9"/>
        <v>-8</v>
      </c>
      <c r="K49" s="300">
        <f t="shared" si="9"/>
        <v>17.894736842105246</v>
      </c>
      <c r="L49" s="300">
        <f t="shared" si="9"/>
        <v>9.4736842105263293</v>
      </c>
    </row>
    <row r="50" spans="2:12">
      <c r="B50" s="1">
        <v>1982</v>
      </c>
      <c r="C50" s="300">
        <f t="shared" ref="C50:L65" si="10">C6-$B6</f>
        <v>-21.171171171171167</v>
      </c>
      <c r="D50" s="300">
        <f t="shared" si="10"/>
        <v>-29.054054054054063</v>
      </c>
      <c r="E50" s="300">
        <f t="shared" si="10"/>
        <v>-22.072072072072075</v>
      </c>
      <c r="F50" s="300">
        <f t="shared" si="10"/>
        <v>-29.054054054054063</v>
      </c>
      <c r="G50" s="300">
        <f t="shared" si="10"/>
        <v>-10.36036036036036</v>
      </c>
      <c r="H50" s="300">
        <f t="shared" si="10"/>
        <v>7.6576576576576656</v>
      </c>
      <c r="I50" s="300">
        <f t="shared" si="10"/>
        <v>-10.36036036036036</v>
      </c>
      <c r="J50" s="300">
        <f t="shared" si="10"/>
        <v>-6.7567567567567579</v>
      </c>
      <c r="K50" s="300">
        <f t="shared" si="10"/>
        <v>22.297297297297305</v>
      </c>
      <c r="L50" s="300">
        <f t="shared" si="10"/>
        <v>7.6576576576576656</v>
      </c>
    </row>
    <row r="51" spans="2:12">
      <c r="B51" s="1">
        <v>1983</v>
      </c>
      <c r="C51" s="300">
        <f t="shared" si="10"/>
        <v>-33.018867924528308</v>
      </c>
      <c r="D51" s="300">
        <f t="shared" si="10"/>
        <v>-27.594339622641513</v>
      </c>
      <c r="E51" s="300">
        <f t="shared" si="10"/>
        <v>-24.29245283018868</v>
      </c>
      <c r="F51" s="300">
        <f t="shared" si="10"/>
        <v>-33.254716981132077</v>
      </c>
      <c r="G51" s="300">
        <f t="shared" si="10"/>
        <v>-9.1981132075471663</v>
      </c>
      <c r="H51" s="300">
        <f t="shared" si="10"/>
        <v>9.1981132075471805</v>
      </c>
      <c r="I51" s="300">
        <f t="shared" si="10"/>
        <v>-9.4339622641509351</v>
      </c>
      <c r="J51" s="300">
        <f t="shared" si="10"/>
        <v>-13.915094339622641</v>
      </c>
      <c r="K51" s="300">
        <f t="shared" si="10"/>
        <v>13.20754716981132</v>
      </c>
      <c r="L51" s="300">
        <f t="shared" si="10"/>
        <v>5.8962264150943327</v>
      </c>
    </row>
    <row r="52" spans="2:12">
      <c r="B52" s="1">
        <v>1984</v>
      </c>
      <c r="C52" s="300">
        <f t="shared" si="10"/>
        <v>-32.476635514018696</v>
      </c>
      <c r="D52" s="300">
        <f t="shared" si="10"/>
        <v>-29.90654205607477</v>
      </c>
      <c r="E52" s="300">
        <f t="shared" si="10"/>
        <v>-19.859813084112147</v>
      </c>
      <c r="F52" s="300">
        <f t="shared" si="10"/>
        <v>-24.532710280373834</v>
      </c>
      <c r="G52" s="300">
        <f t="shared" si="10"/>
        <v>-9.5794392523364564</v>
      </c>
      <c r="H52" s="300">
        <f t="shared" si="10"/>
        <v>12.850467289719631</v>
      </c>
      <c r="I52" s="300">
        <f t="shared" si="10"/>
        <v>-5.3738317757009355</v>
      </c>
      <c r="J52" s="300">
        <f t="shared" si="10"/>
        <v>-10.514018691588788</v>
      </c>
      <c r="K52" s="300">
        <f t="shared" si="10"/>
        <v>5.6074766355140184</v>
      </c>
      <c r="L52" s="300">
        <f t="shared" si="10"/>
        <v>-2.1028037383177605</v>
      </c>
    </row>
    <row r="53" spans="2:12">
      <c r="B53" s="1">
        <v>1985</v>
      </c>
      <c r="C53" s="300">
        <f t="shared" si="10"/>
        <v>-34.94252873563218</v>
      </c>
      <c r="D53" s="300">
        <f t="shared" si="10"/>
        <v>-34.94252873563218</v>
      </c>
      <c r="E53" s="300">
        <f t="shared" si="10"/>
        <v>-18.160919540229884</v>
      </c>
      <c r="F53" s="300">
        <f t="shared" si="10"/>
        <v>-25.287356321839084</v>
      </c>
      <c r="G53" s="300">
        <f t="shared" si="10"/>
        <v>-9.4252873563218458</v>
      </c>
      <c r="H53" s="300">
        <f t="shared" si="10"/>
        <v>14.94252873563218</v>
      </c>
      <c r="I53" s="300">
        <f t="shared" si="10"/>
        <v>-9.8850574712643748</v>
      </c>
      <c r="J53" s="300">
        <f t="shared" si="10"/>
        <v>-11.954022988505756</v>
      </c>
      <c r="K53" s="300">
        <f t="shared" si="10"/>
        <v>9.8850574712643606</v>
      </c>
      <c r="L53" s="300">
        <f t="shared" si="10"/>
        <v>-4.1379310344827616</v>
      </c>
    </row>
    <row r="54" spans="2:12">
      <c r="B54" s="1">
        <v>1986</v>
      </c>
      <c r="C54" s="300">
        <f t="shared" si="10"/>
        <v>-39.909297052154194</v>
      </c>
      <c r="D54" s="300">
        <f t="shared" si="10"/>
        <v>-28.798185941043087</v>
      </c>
      <c r="E54" s="300">
        <f t="shared" si="10"/>
        <v>-19.72789115646259</v>
      </c>
      <c r="F54" s="300">
        <f t="shared" si="10"/>
        <v>-22.902494331065753</v>
      </c>
      <c r="G54" s="300">
        <f t="shared" si="10"/>
        <v>-10.884353741496597</v>
      </c>
      <c r="H54" s="300">
        <f t="shared" si="10"/>
        <v>17.006802721088434</v>
      </c>
      <c r="I54" s="300">
        <f t="shared" si="10"/>
        <v>-9.0702947845804971</v>
      </c>
      <c r="J54" s="300">
        <f t="shared" si="10"/>
        <v>-19.047619047619051</v>
      </c>
      <c r="K54" s="300">
        <f t="shared" si="10"/>
        <v>6.3492063492063551</v>
      </c>
      <c r="L54" s="300">
        <f t="shared" si="10"/>
        <v>-1.8140589569160994</v>
      </c>
    </row>
    <row r="55" spans="2:12">
      <c r="B55" s="1">
        <v>1987</v>
      </c>
      <c r="C55" s="300">
        <f t="shared" si="10"/>
        <v>-34.467120181405903</v>
      </c>
      <c r="D55" s="300">
        <f t="shared" si="10"/>
        <v>-26.75736961451247</v>
      </c>
      <c r="E55" s="300">
        <f t="shared" si="10"/>
        <v>-13.605442176870753</v>
      </c>
      <c r="F55" s="300">
        <f t="shared" si="10"/>
        <v>-27.664399092970527</v>
      </c>
      <c r="G55" s="300">
        <f t="shared" si="10"/>
        <v>-10.430839002267575</v>
      </c>
      <c r="H55" s="300">
        <f t="shared" si="10"/>
        <v>19.047619047619051</v>
      </c>
      <c r="I55" s="300">
        <f t="shared" si="10"/>
        <v>-13.605442176870753</v>
      </c>
      <c r="J55" s="300">
        <f t="shared" si="10"/>
        <v>-16.326530612244895</v>
      </c>
      <c r="K55" s="300">
        <f t="shared" si="10"/>
        <v>3.1746031746031917</v>
      </c>
      <c r="L55" s="300">
        <f t="shared" si="10"/>
        <v>-4.7619047619047734</v>
      </c>
    </row>
    <row r="56" spans="2:12">
      <c r="B56" s="1">
        <v>1988</v>
      </c>
      <c r="C56" s="300">
        <f t="shared" si="10"/>
        <v>-29.955947136563879</v>
      </c>
      <c r="D56" s="300">
        <f t="shared" si="10"/>
        <v>-35.242290748898668</v>
      </c>
      <c r="E56" s="300">
        <f t="shared" si="10"/>
        <v>-16.960352422907491</v>
      </c>
      <c r="F56" s="300">
        <f t="shared" si="10"/>
        <v>-27.75330396475772</v>
      </c>
      <c r="G56" s="300">
        <f t="shared" si="10"/>
        <v>-14.757709251101332</v>
      </c>
      <c r="H56" s="300">
        <f t="shared" si="10"/>
        <v>18.722466960352421</v>
      </c>
      <c r="I56" s="300">
        <f t="shared" si="10"/>
        <v>-12.995594713656388</v>
      </c>
      <c r="J56" s="300">
        <f t="shared" si="10"/>
        <v>-19.8237885462555</v>
      </c>
      <c r="K56" s="300">
        <f t="shared" si="10"/>
        <v>3.9647577092511028</v>
      </c>
      <c r="L56" s="300">
        <f t="shared" si="10"/>
        <v>0.88105726872247203</v>
      </c>
    </row>
    <row r="57" spans="2:12">
      <c r="B57" s="1">
        <v>1989</v>
      </c>
      <c r="C57" s="300">
        <f t="shared" si="10"/>
        <v>-28.725701943844498</v>
      </c>
      <c r="D57" s="300">
        <f t="shared" si="10"/>
        <v>-32.397408207343418</v>
      </c>
      <c r="E57" s="300">
        <f t="shared" si="10"/>
        <v>-19.006479481641463</v>
      </c>
      <c r="F57" s="300">
        <f t="shared" si="10"/>
        <v>-23.542116630669554</v>
      </c>
      <c r="G57" s="300">
        <f t="shared" si="10"/>
        <v>-9.9352051835853104</v>
      </c>
      <c r="H57" s="300">
        <f t="shared" si="10"/>
        <v>17.494600431965452</v>
      </c>
      <c r="I57" s="300">
        <f t="shared" si="10"/>
        <v>-16.84665226781857</v>
      </c>
      <c r="J57" s="300">
        <f t="shared" si="10"/>
        <v>-22.462203023758093</v>
      </c>
      <c r="K57" s="300">
        <f t="shared" si="10"/>
        <v>4.1036717062634835</v>
      </c>
      <c r="L57" s="300">
        <f t="shared" si="10"/>
        <v>1.9438444924406042</v>
      </c>
    </row>
    <row r="58" spans="2:12">
      <c r="B58" s="1">
        <v>1990</v>
      </c>
      <c r="C58" s="300">
        <f t="shared" si="10"/>
        <v>-32.55269320843091</v>
      </c>
      <c r="D58" s="300">
        <f t="shared" si="10"/>
        <v>-26.697892271662766</v>
      </c>
      <c r="E58" s="300">
        <f t="shared" si="10"/>
        <v>-16.627634660421535</v>
      </c>
      <c r="F58" s="300">
        <f t="shared" si="10"/>
        <v>-20.140515222482435</v>
      </c>
      <c r="G58" s="300">
        <f t="shared" si="10"/>
        <v>-16.627634660421535</v>
      </c>
      <c r="H58" s="300">
        <f t="shared" si="10"/>
        <v>19.906323185011715</v>
      </c>
      <c r="I58" s="300">
        <f t="shared" si="10"/>
        <v>-10.070257611241217</v>
      </c>
      <c r="J58" s="300">
        <f t="shared" si="10"/>
        <v>-18.969555035128806</v>
      </c>
      <c r="K58" s="300">
        <f t="shared" si="10"/>
        <v>6.5573770491803316</v>
      </c>
      <c r="L58" s="300">
        <f t="shared" si="10"/>
        <v>0.23419203747072004</v>
      </c>
    </row>
    <row r="59" spans="2:12">
      <c r="B59" s="1">
        <v>1991</v>
      </c>
      <c r="C59" s="300">
        <f t="shared" si="10"/>
        <v>-32.493702770780857</v>
      </c>
      <c r="D59" s="300">
        <f t="shared" si="10"/>
        <v>-30.22670025188917</v>
      </c>
      <c r="E59" s="300">
        <f t="shared" si="10"/>
        <v>-16.372795969773307</v>
      </c>
      <c r="F59" s="300">
        <f t="shared" si="10"/>
        <v>-25.440806045340054</v>
      </c>
      <c r="G59" s="300">
        <f t="shared" si="10"/>
        <v>-12.090680100755662</v>
      </c>
      <c r="H59" s="300">
        <f t="shared" si="10"/>
        <v>16.62468513853905</v>
      </c>
      <c r="I59" s="300">
        <f t="shared" si="10"/>
        <v>-10.327455919395462</v>
      </c>
      <c r="J59" s="300">
        <f t="shared" si="10"/>
        <v>-16.120906801007564</v>
      </c>
      <c r="K59" s="300">
        <f t="shared" si="10"/>
        <v>11.08312342569269</v>
      </c>
      <c r="L59" s="300">
        <f t="shared" si="10"/>
        <v>-0.25188916876574297</v>
      </c>
    </row>
    <row r="60" spans="2:12">
      <c r="B60" s="1">
        <v>1992</v>
      </c>
      <c r="C60" s="300">
        <f t="shared" si="10"/>
        <v>-39.637305699481864</v>
      </c>
      <c r="D60" s="300">
        <f t="shared" si="10"/>
        <v>-26.165803108808291</v>
      </c>
      <c r="E60" s="300">
        <f t="shared" si="10"/>
        <v>-15.025906735751292</v>
      </c>
      <c r="F60" s="300">
        <f t="shared" si="10"/>
        <v>-23.575129533678748</v>
      </c>
      <c r="G60" s="300">
        <f t="shared" si="10"/>
        <v>-13.989637305699489</v>
      </c>
      <c r="H60" s="300">
        <f t="shared" si="10"/>
        <v>18.911917098445599</v>
      </c>
      <c r="I60" s="300">
        <f t="shared" si="10"/>
        <v>-13.212435233160619</v>
      </c>
      <c r="J60" s="300">
        <f t="shared" si="10"/>
        <v>-14.507772020725383</v>
      </c>
      <c r="K60" s="300">
        <f t="shared" si="10"/>
        <v>1.2953367875647643</v>
      </c>
      <c r="L60" s="300">
        <f t="shared" si="10"/>
        <v>3.1088082901554515</v>
      </c>
    </row>
    <row r="61" spans="2:12">
      <c r="B61" s="1">
        <v>1993</v>
      </c>
      <c r="C61" s="300">
        <f t="shared" si="10"/>
        <v>-34.933333333333337</v>
      </c>
      <c r="D61" s="300">
        <f t="shared" si="10"/>
        <v>-25.333333333333329</v>
      </c>
      <c r="E61" s="300">
        <f t="shared" si="10"/>
        <v>-16.799999999999997</v>
      </c>
      <c r="F61" s="300">
        <f t="shared" si="10"/>
        <v>-20.799999999999997</v>
      </c>
      <c r="G61" s="300">
        <f t="shared" si="10"/>
        <v>-15.200000000000003</v>
      </c>
      <c r="H61" s="300">
        <f t="shared" si="10"/>
        <v>17.066666666666677</v>
      </c>
      <c r="I61" s="300">
        <f t="shared" si="10"/>
        <v>-11.200000000000003</v>
      </c>
      <c r="J61" s="300">
        <f t="shared" si="10"/>
        <v>-16</v>
      </c>
      <c r="K61" s="300">
        <f t="shared" si="10"/>
        <v>12.266666666666666</v>
      </c>
      <c r="L61" s="300">
        <f t="shared" si="10"/>
        <v>5.3333333333333286</v>
      </c>
    </row>
    <row r="62" spans="2:12">
      <c r="B62" s="1">
        <v>1994</v>
      </c>
      <c r="C62" s="300">
        <f t="shared" si="10"/>
        <v>-29.39632545931758</v>
      </c>
      <c r="D62" s="300">
        <f t="shared" si="10"/>
        <v>-23.359580052493428</v>
      </c>
      <c r="E62" s="300">
        <f t="shared" si="10"/>
        <v>-23.097112860892395</v>
      </c>
      <c r="F62" s="300">
        <f t="shared" si="10"/>
        <v>-22.047244094488192</v>
      </c>
      <c r="G62" s="300">
        <f t="shared" si="10"/>
        <v>-14.69816272965879</v>
      </c>
      <c r="H62" s="300">
        <f t="shared" si="10"/>
        <v>13.910761154855635</v>
      </c>
      <c r="I62" s="300">
        <f t="shared" si="10"/>
        <v>-7.8740157480314963</v>
      </c>
      <c r="J62" s="300">
        <f t="shared" si="10"/>
        <v>-14.435695538057743</v>
      </c>
      <c r="K62" s="300">
        <f t="shared" si="10"/>
        <v>13.648293963254602</v>
      </c>
      <c r="L62" s="300">
        <f t="shared" si="10"/>
        <v>2.88713910761156</v>
      </c>
    </row>
    <row r="63" spans="2:12">
      <c r="B63" s="1">
        <v>1995</v>
      </c>
      <c r="C63" s="300">
        <f t="shared" si="10"/>
        <v>-33.769633507853399</v>
      </c>
      <c r="D63" s="300">
        <f t="shared" si="10"/>
        <v>-21.204188481675388</v>
      </c>
      <c r="E63" s="300">
        <f t="shared" si="10"/>
        <v>-23.560209424083766</v>
      </c>
      <c r="F63" s="300">
        <f t="shared" si="10"/>
        <v>-22.774869109947645</v>
      </c>
      <c r="G63" s="300">
        <f t="shared" si="10"/>
        <v>-15.968586387434556</v>
      </c>
      <c r="H63" s="300">
        <f t="shared" si="10"/>
        <v>15.968586387434542</v>
      </c>
      <c r="I63" s="300">
        <f t="shared" si="10"/>
        <v>-4.4502617801047109</v>
      </c>
      <c r="J63" s="300">
        <f t="shared" si="10"/>
        <v>-13.089005235602087</v>
      </c>
      <c r="K63" s="300">
        <f t="shared" si="10"/>
        <v>9.9476439790575881</v>
      </c>
      <c r="L63" s="300">
        <f t="shared" si="10"/>
        <v>2.3560209424083922</v>
      </c>
    </row>
    <row r="64" spans="2:12">
      <c r="B64" s="1">
        <v>1996</v>
      </c>
      <c r="C64" s="300">
        <f t="shared" si="10"/>
        <v>-34.13333333333334</v>
      </c>
      <c r="D64" s="300">
        <f t="shared" si="10"/>
        <v>-16.266666666666666</v>
      </c>
      <c r="E64" s="300">
        <f t="shared" si="10"/>
        <v>-20.799999999999997</v>
      </c>
      <c r="F64" s="300">
        <f t="shared" si="10"/>
        <v>-21.066666666666663</v>
      </c>
      <c r="G64" s="300">
        <f t="shared" si="10"/>
        <v>-14.400000000000006</v>
      </c>
      <c r="H64" s="300">
        <f t="shared" si="10"/>
        <v>14.133333333333326</v>
      </c>
      <c r="I64" s="300">
        <f t="shared" si="10"/>
        <v>-4.5333333333333314</v>
      </c>
      <c r="J64" s="300">
        <f t="shared" si="10"/>
        <v>-11.200000000000003</v>
      </c>
      <c r="K64" s="300">
        <f t="shared" si="10"/>
        <v>10.133333333333326</v>
      </c>
      <c r="L64" s="300">
        <f t="shared" si="10"/>
        <v>0.26666666666666572</v>
      </c>
    </row>
    <row r="65" spans="2:12">
      <c r="B65" s="1">
        <v>1997</v>
      </c>
      <c r="C65" s="300">
        <f t="shared" si="10"/>
        <v>-33.510638297872347</v>
      </c>
      <c r="D65" s="300">
        <f t="shared" si="10"/>
        <v>-23.40425531914893</v>
      </c>
      <c r="E65" s="300">
        <f t="shared" si="10"/>
        <v>-21.276595744680847</v>
      </c>
      <c r="F65" s="300">
        <f t="shared" si="10"/>
        <v>-21.276595744680847</v>
      </c>
      <c r="G65" s="300">
        <f t="shared" si="10"/>
        <v>-14.893617021276597</v>
      </c>
      <c r="H65" s="300">
        <f t="shared" si="10"/>
        <v>14.893617021276611</v>
      </c>
      <c r="I65" s="300">
        <f t="shared" si="10"/>
        <v>-4.2553191489361666</v>
      </c>
      <c r="J65" s="300">
        <f t="shared" si="10"/>
        <v>-9.5744680851063748</v>
      </c>
      <c r="K65" s="300">
        <f t="shared" si="10"/>
        <v>18.61702127659575</v>
      </c>
      <c r="L65" s="300">
        <f t="shared" si="10"/>
        <v>1.8617021276595693</v>
      </c>
    </row>
    <row r="66" spans="2:12">
      <c r="B66" s="1">
        <v>1998</v>
      </c>
      <c r="C66" s="300">
        <f t="shared" ref="C66:L66" si="11">C22-$B22</f>
        <v>-32.20779220779221</v>
      </c>
      <c r="D66" s="300">
        <f t="shared" si="11"/>
        <v>-22.857142857142847</v>
      </c>
      <c r="E66" s="300">
        <f t="shared" si="11"/>
        <v>-19.480519480519476</v>
      </c>
      <c r="F66" s="300">
        <f t="shared" si="11"/>
        <v>-19.480519480519476</v>
      </c>
      <c r="G66" s="300">
        <f t="shared" si="11"/>
        <v>-14.805194805194816</v>
      </c>
      <c r="H66" s="300">
        <f t="shared" si="11"/>
        <v>18.961038961038952</v>
      </c>
      <c r="I66" s="300">
        <f t="shared" si="11"/>
        <v>-2.8571428571428612</v>
      </c>
      <c r="J66" s="300">
        <f t="shared" si="11"/>
        <v>-14.285714285714292</v>
      </c>
      <c r="K66" s="300">
        <f t="shared" si="11"/>
        <v>13.506493506493513</v>
      </c>
      <c r="L66" s="300">
        <f t="shared" si="11"/>
        <v>-2.0779220779220822</v>
      </c>
    </row>
    <row r="67" spans="2:12">
      <c r="B67" s="1">
        <v>1999</v>
      </c>
      <c r="C67" s="300">
        <f t="shared" ref="C67:L67" si="12">C23-$B23</f>
        <v>-35.207823960880191</v>
      </c>
      <c r="D67" s="300">
        <f t="shared" si="12"/>
        <v>-26.650366748166249</v>
      </c>
      <c r="E67" s="300">
        <f t="shared" si="12"/>
        <v>-19.559902200489006</v>
      </c>
      <c r="F67" s="300">
        <f t="shared" si="12"/>
        <v>-17.603911980440103</v>
      </c>
      <c r="G67" s="300">
        <f t="shared" si="12"/>
        <v>-14.425427872860638</v>
      </c>
      <c r="H67" s="300">
        <f t="shared" si="12"/>
        <v>16.625916870415665</v>
      </c>
      <c r="I67" s="300">
        <f t="shared" si="12"/>
        <v>-6.8459657701711478</v>
      </c>
      <c r="J67" s="300">
        <f t="shared" si="12"/>
        <v>-13.202933985330077</v>
      </c>
      <c r="K67" s="300">
        <f t="shared" si="12"/>
        <v>11.491442542787283</v>
      </c>
      <c r="L67" s="300">
        <f t="shared" si="12"/>
        <v>-3.1784841075794645</v>
      </c>
    </row>
    <row r="68" spans="2:12">
      <c r="B68" s="1">
        <v>2000</v>
      </c>
      <c r="C68" s="300">
        <f t="shared" ref="C68:L68" si="13">C24-$B24</f>
        <v>-37.559808612440193</v>
      </c>
      <c r="D68" s="300">
        <f t="shared" si="13"/>
        <v>-26.076555023923447</v>
      </c>
      <c r="E68" s="300">
        <f t="shared" si="13"/>
        <v>-20.813397129186612</v>
      </c>
      <c r="F68" s="300">
        <f t="shared" si="13"/>
        <v>-19.617224880382778</v>
      </c>
      <c r="G68" s="300">
        <f t="shared" si="13"/>
        <v>-14.832535885167459</v>
      </c>
      <c r="H68" s="300">
        <f t="shared" si="13"/>
        <v>17.942583732057415</v>
      </c>
      <c r="I68" s="300">
        <f t="shared" si="13"/>
        <v>-8.1339712918660325</v>
      </c>
      <c r="J68" s="300">
        <f t="shared" si="13"/>
        <v>-15.550239234449762</v>
      </c>
      <c r="K68" s="300">
        <f t="shared" si="13"/>
        <v>13.157894736842096</v>
      </c>
      <c r="L68" s="300">
        <f t="shared" si="13"/>
        <v>-5.2631578947368496</v>
      </c>
    </row>
    <row r="69" spans="2:12">
      <c r="B69" s="1">
        <v>2001</v>
      </c>
      <c r="C69" s="300">
        <f t="shared" ref="C69:L69" si="14">C25-$B25</f>
        <v>-37.203791469194314</v>
      </c>
      <c r="D69" s="300">
        <f t="shared" si="14"/>
        <v>-30.568720379146924</v>
      </c>
      <c r="E69" s="300">
        <f t="shared" si="14"/>
        <v>-20.616113744075832</v>
      </c>
      <c r="F69" s="300">
        <f t="shared" si="14"/>
        <v>-21.563981042654021</v>
      </c>
      <c r="G69" s="300">
        <f t="shared" si="14"/>
        <v>-15.402843601895739</v>
      </c>
      <c r="H69" s="300">
        <f t="shared" si="14"/>
        <v>17.772511848341239</v>
      </c>
      <c r="I69" s="300">
        <f t="shared" si="14"/>
        <v>-5.9241706161137415</v>
      </c>
      <c r="J69" s="300">
        <f t="shared" si="14"/>
        <v>-11.611374407582943</v>
      </c>
      <c r="K69" s="300">
        <f t="shared" si="14"/>
        <v>17.298578199052145</v>
      </c>
      <c r="L69" s="300">
        <f t="shared" si="14"/>
        <v>-7.1090047393364841</v>
      </c>
    </row>
    <row r="70" spans="2:12">
      <c r="B70" s="1">
        <v>2002</v>
      </c>
      <c r="C70" s="300">
        <f t="shared" ref="C70:L70" si="15">C26-$B26</f>
        <v>-33.649289099526072</v>
      </c>
      <c r="D70" s="300">
        <f t="shared" si="15"/>
        <v>-28.672985781990519</v>
      </c>
      <c r="E70" s="300">
        <f t="shared" si="15"/>
        <v>-18.957345971563981</v>
      </c>
      <c r="F70" s="300">
        <f t="shared" si="15"/>
        <v>-24.407582938388629</v>
      </c>
      <c r="G70" s="300">
        <f t="shared" si="15"/>
        <v>-14.218009478672982</v>
      </c>
      <c r="H70" s="300">
        <f t="shared" si="15"/>
        <v>17.061611374407576</v>
      </c>
      <c r="I70" s="300">
        <f t="shared" si="15"/>
        <v>-8.7677725118483352</v>
      </c>
      <c r="J70" s="300">
        <f t="shared" si="15"/>
        <v>-14.218009478672982</v>
      </c>
      <c r="K70" s="300">
        <f t="shared" si="15"/>
        <v>15.402843601895739</v>
      </c>
      <c r="L70" s="300">
        <f t="shared" si="15"/>
        <v>-5.9241706161137415</v>
      </c>
    </row>
    <row r="71" spans="2:12">
      <c r="B71" s="1">
        <v>2003</v>
      </c>
      <c r="C71" s="300">
        <f t="shared" ref="C71:L71" si="16">C27-$B27</f>
        <v>-36.492890995260666</v>
      </c>
      <c r="D71" s="300">
        <f t="shared" si="16"/>
        <v>-18.009478672985779</v>
      </c>
      <c r="E71" s="300">
        <f t="shared" si="16"/>
        <v>-16.350710900473928</v>
      </c>
      <c r="F71" s="300">
        <f t="shared" si="16"/>
        <v>-23.69668246445498</v>
      </c>
      <c r="G71" s="300">
        <f t="shared" si="16"/>
        <v>-13.270142180094794</v>
      </c>
      <c r="H71" s="300">
        <f t="shared" si="16"/>
        <v>17.061611374407576</v>
      </c>
      <c r="I71" s="300">
        <f t="shared" si="16"/>
        <v>-7.5829383886255926</v>
      </c>
      <c r="J71" s="300">
        <f t="shared" si="16"/>
        <v>-14.218009478672982</v>
      </c>
      <c r="K71" s="300">
        <f t="shared" si="16"/>
        <v>15.165876777251185</v>
      </c>
      <c r="L71" s="300">
        <f t="shared" si="16"/>
        <v>-7.3459715639810526</v>
      </c>
    </row>
    <row r="72" spans="2:12">
      <c r="B72" s="1">
        <v>2004</v>
      </c>
      <c r="C72" s="300">
        <f t="shared" ref="C72:L72" si="17">C28-$B28</f>
        <v>-34.433962264150935</v>
      </c>
      <c r="D72" s="300">
        <f t="shared" si="17"/>
        <v>-18.632075471698116</v>
      </c>
      <c r="E72" s="300">
        <f t="shared" si="17"/>
        <v>-17.216981132075475</v>
      </c>
      <c r="F72" s="300">
        <f t="shared" si="17"/>
        <v>-23.820754716981128</v>
      </c>
      <c r="G72" s="300">
        <f t="shared" si="17"/>
        <v>-13.20754716981132</v>
      </c>
      <c r="H72" s="300">
        <f t="shared" si="17"/>
        <v>14.150943396226424</v>
      </c>
      <c r="I72" s="300">
        <f t="shared" si="17"/>
        <v>-7.0754716981132049</v>
      </c>
      <c r="J72" s="300">
        <f t="shared" si="17"/>
        <v>-15.094339622641513</v>
      </c>
      <c r="K72" s="300">
        <f t="shared" si="17"/>
        <v>19.575471698113205</v>
      </c>
      <c r="L72" s="300">
        <f t="shared" si="17"/>
        <v>-4.2452830188679229</v>
      </c>
    </row>
    <row r="73" spans="2:12">
      <c r="B73" s="1">
        <v>2005</v>
      </c>
      <c r="C73" s="300">
        <f t="shared" ref="C73:L75" si="18">C29-$B29</f>
        <v>-30.769230769230774</v>
      </c>
      <c r="D73" s="300">
        <f t="shared" si="18"/>
        <v>-19.347319347319342</v>
      </c>
      <c r="E73" s="300">
        <f t="shared" si="18"/>
        <v>-14.918414918414925</v>
      </c>
      <c r="F73" s="300">
        <f t="shared" si="18"/>
        <v>-23.543123543123542</v>
      </c>
      <c r="G73" s="300">
        <f t="shared" si="18"/>
        <v>-15.617715617715618</v>
      </c>
      <c r="H73" s="300">
        <f t="shared" si="18"/>
        <v>16.08391608391608</v>
      </c>
      <c r="I73" s="300">
        <f t="shared" si="18"/>
        <v>-8.1585081585081554</v>
      </c>
      <c r="J73" s="300">
        <f t="shared" si="18"/>
        <v>-14.918414918414925</v>
      </c>
      <c r="K73" s="300">
        <f t="shared" si="18"/>
        <v>22.610722610722604</v>
      </c>
      <c r="L73" s="300">
        <f t="shared" si="18"/>
        <v>-1.8648018648018621</v>
      </c>
    </row>
    <row r="74" spans="2:12">
      <c r="B74" s="1">
        <v>2006</v>
      </c>
      <c r="C74" s="300">
        <f t="shared" si="18"/>
        <v>-28.117913832199548</v>
      </c>
      <c r="D74" s="300">
        <f t="shared" si="18"/>
        <v>-18.820861678004533</v>
      </c>
      <c r="E74" s="300">
        <f t="shared" si="18"/>
        <v>-12.698412698412696</v>
      </c>
      <c r="F74" s="300">
        <f t="shared" si="18"/>
        <v>-23.129251700680271</v>
      </c>
      <c r="G74" s="300">
        <f t="shared" si="18"/>
        <v>-17.006802721088434</v>
      </c>
      <c r="H74" s="300">
        <f t="shared" si="18"/>
        <v>13.605442176870739</v>
      </c>
      <c r="I74" s="300">
        <f t="shared" si="18"/>
        <v>-9.5238095238095184</v>
      </c>
      <c r="J74" s="300">
        <f t="shared" si="18"/>
        <v>-9.2970521541950006</v>
      </c>
      <c r="K74" s="300">
        <f t="shared" si="18"/>
        <v>28.117913832199548</v>
      </c>
      <c r="L74" s="300">
        <f t="shared" si="18"/>
        <v>-2.0408163265306172</v>
      </c>
    </row>
    <row r="75" spans="2:12">
      <c r="B75" s="1">
        <v>2007</v>
      </c>
      <c r="C75" s="300">
        <f t="shared" si="18"/>
        <v>-26.769911504424783</v>
      </c>
      <c r="D75" s="300">
        <f t="shared" si="18"/>
        <v>-17.477876106194685</v>
      </c>
      <c r="E75" s="300">
        <f t="shared" si="18"/>
        <v>-16.150442477876098</v>
      </c>
      <c r="F75" s="300">
        <f t="shared" si="18"/>
        <v>-22.56637168141593</v>
      </c>
      <c r="G75" s="300">
        <f t="shared" si="18"/>
        <v>-19.026548672566364</v>
      </c>
      <c r="H75" s="300">
        <f t="shared" si="18"/>
        <v>12.83185840707965</v>
      </c>
      <c r="I75" s="300">
        <f t="shared" si="18"/>
        <v>-7.3008849557522097</v>
      </c>
      <c r="J75" s="300">
        <f t="shared" si="18"/>
        <v>-6.6371681415929231</v>
      </c>
      <c r="K75" s="300">
        <f t="shared" si="18"/>
        <v>30.752212389380531</v>
      </c>
      <c r="L75" s="300">
        <f t="shared" si="18"/>
        <v>0.88495575221239164</v>
      </c>
    </row>
    <row r="76" spans="2:12">
      <c r="B76" s="1" t="s">
        <v>280</v>
      </c>
    </row>
    <row r="77" spans="2:12">
      <c r="B77" s="1">
        <v>1981</v>
      </c>
      <c r="C77" s="300">
        <f>C49^2</f>
        <v>217.17451523545725</v>
      </c>
      <c r="D77" s="300">
        <f t="shared" ref="D77:L77" si="19">D49^2</f>
        <v>1221.3185595567866</v>
      </c>
      <c r="E77" s="300">
        <f t="shared" si="19"/>
        <v>434.39335180055383</v>
      </c>
      <c r="F77" s="300">
        <f t="shared" si="19"/>
        <v>844.05540166204992</v>
      </c>
      <c r="G77" s="300">
        <f t="shared" si="19"/>
        <v>70.914127423822677</v>
      </c>
      <c r="H77" s="300">
        <f t="shared" si="19"/>
        <v>85.806094182825362</v>
      </c>
      <c r="I77" s="300">
        <f t="shared" si="19"/>
        <v>134.07202216066486</v>
      </c>
      <c r="J77" s="300">
        <f t="shared" si="19"/>
        <v>64</v>
      </c>
      <c r="K77" s="300">
        <f t="shared" si="19"/>
        <v>320.22160664819882</v>
      </c>
      <c r="L77" s="300">
        <f t="shared" si="19"/>
        <v>89.750692520775885</v>
      </c>
    </row>
    <row r="78" spans="2:12">
      <c r="B78" s="1">
        <v>1982</v>
      </c>
      <c r="C78" s="300">
        <f t="shared" ref="C78:L93" si="20">C50^2</f>
        <v>448.21848875902913</v>
      </c>
      <c r="D78" s="300">
        <f t="shared" si="20"/>
        <v>844.13805697589532</v>
      </c>
      <c r="E78" s="300">
        <f t="shared" si="20"/>
        <v>487.17636555474405</v>
      </c>
      <c r="F78" s="300">
        <f t="shared" si="20"/>
        <v>844.13805697589532</v>
      </c>
      <c r="G78" s="300">
        <f t="shared" si="20"/>
        <v>107.33706679652626</v>
      </c>
      <c r="H78" s="300">
        <f t="shared" si="20"/>
        <v>58.639720801883087</v>
      </c>
      <c r="I78" s="300">
        <f t="shared" si="20"/>
        <v>107.33706679652626</v>
      </c>
      <c r="J78" s="300">
        <f t="shared" si="20"/>
        <v>45.653761869978105</v>
      </c>
      <c r="K78" s="300">
        <f t="shared" si="20"/>
        <v>497.16946676406172</v>
      </c>
      <c r="L78" s="300">
        <f t="shared" si="20"/>
        <v>58.639720801883087</v>
      </c>
    </row>
    <row r="79" spans="2:12">
      <c r="B79" s="1">
        <v>1983</v>
      </c>
      <c r="C79" s="300">
        <f t="shared" si="20"/>
        <v>1090.2456390174443</v>
      </c>
      <c r="D79" s="300">
        <f t="shared" si="20"/>
        <v>761.44757920968334</v>
      </c>
      <c r="E79" s="300">
        <f t="shared" si="20"/>
        <v>590.12326450694195</v>
      </c>
      <c r="F79" s="300">
        <f t="shared" si="20"/>
        <v>1105.8762014951942</v>
      </c>
      <c r="G79" s="300">
        <f t="shared" si="20"/>
        <v>84.605286578853622</v>
      </c>
      <c r="H79" s="300">
        <f t="shared" si="20"/>
        <v>84.605286578853878</v>
      </c>
      <c r="I79" s="300">
        <f t="shared" si="20"/>
        <v>88.999644001423832</v>
      </c>
      <c r="J79" s="300">
        <f t="shared" si="20"/>
        <v>193.62985048059807</v>
      </c>
      <c r="K79" s="300">
        <f t="shared" si="20"/>
        <v>174.43930224279103</v>
      </c>
      <c r="L79" s="300">
        <f t="shared" si="20"/>
        <v>34.765485938056166</v>
      </c>
    </row>
    <row r="80" spans="2:12">
      <c r="B80" s="1">
        <v>1984</v>
      </c>
      <c r="C80" s="300">
        <f t="shared" si="20"/>
        <v>1054.7318543104204</v>
      </c>
      <c r="D80" s="300">
        <f t="shared" si="20"/>
        <v>894.40125775176887</v>
      </c>
      <c r="E80" s="300">
        <f t="shared" si="20"/>
        <v>394.41217573587204</v>
      </c>
      <c r="F80" s="300">
        <f t="shared" si="20"/>
        <v>601.85387370076</v>
      </c>
      <c r="G80" s="300">
        <f t="shared" si="20"/>
        <v>91.765656389204452</v>
      </c>
      <c r="H80" s="300">
        <f t="shared" si="20"/>
        <v>165.1345095641542</v>
      </c>
      <c r="I80" s="300">
        <f t="shared" si="20"/>
        <v>28.878067953533069</v>
      </c>
      <c r="J80" s="300">
        <f t="shared" si="20"/>
        <v>110.54458904707842</v>
      </c>
      <c r="K80" s="300">
        <f t="shared" si="20"/>
        <v>31.443794217835617</v>
      </c>
      <c r="L80" s="300">
        <f t="shared" si="20"/>
        <v>4.4217835618831485</v>
      </c>
    </row>
    <row r="81" spans="2:12">
      <c r="B81" s="1">
        <v>1985</v>
      </c>
      <c r="C81" s="300">
        <f t="shared" si="20"/>
        <v>1220.9803144404807</v>
      </c>
      <c r="D81" s="300">
        <f t="shared" si="20"/>
        <v>1220.9803144404807</v>
      </c>
      <c r="E81" s="300">
        <f t="shared" si="20"/>
        <v>329.8189985467036</v>
      </c>
      <c r="F81" s="300">
        <f t="shared" si="20"/>
        <v>639.45038974765509</v>
      </c>
      <c r="G81" s="300">
        <f t="shared" si="20"/>
        <v>88.836041749240451</v>
      </c>
      <c r="H81" s="300">
        <f t="shared" si="20"/>
        <v>223.27916501519346</v>
      </c>
      <c r="I81" s="300">
        <f t="shared" si="20"/>
        <v>97.714361210199641</v>
      </c>
      <c r="J81" s="300">
        <f t="shared" si="20"/>
        <v>142.89866560972408</v>
      </c>
      <c r="K81" s="300">
        <f t="shared" si="20"/>
        <v>97.714361210199357</v>
      </c>
      <c r="L81" s="300">
        <f t="shared" si="20"/>
        <v>17.122473246135577</v>
      </c>
    </row>
    <row r="82" spans="2:12">
      <c r="B82" s="1">
        <v>1986</v>
      </c>
      <c r="C82" s="300">
        <f t="shared" si="20"/>
        <v>1592.7519911970835</v>
      </c>
      <c r="D82" s="300">
        <f t="shared" si="20"/>
        <v>829.33551349489176</v>
      </c>
      <c r="E82" s="300">
        <f t="shared" si="20"/>
        <v>389.18968948123489</v>
      </c>
      <c r="F82" s="300">
        <f t="shared" si="20"/>
        <v>524.524246584499</v>
      </c>
      <c r="G82" s="300">
        <f t="shared" si="20"/>
        <v>118.46915637003096</v>
      </c>
      <c r="H82" s="300">
        <f t="shared" si="20"/>
        <v>289.23133879402099</v>
      </c>
      <c r="I82" s="300">
        <f t="shared" si="20"/>
        <v>82.270247479188171</v>
      </c>
      <c r="J82" s="300">
        <f t="shared" si="20"/>
        <v>362.81179138322011</v>
      </c>
      <c r="K82" s="300">
        <f t="shared" si="20"/>
        <v>40.312421264802289</v>
      </c>
      <c r="L82" s="300">
        <f t="shared" si="20"/>
        <v>3.2908098991675265</v>
      </c>
    </row>
    <row r="83" spans="2:12">
      <c r="B83" s="1">
        <v>1987</v>
      </c>
      <c r="C83" s="300">
        <f t="shared" si="20"/>
        <v>1187.982373599478</v>
      </c>
      <c r="D83" s="300">
        <f t="shared" si="20"/>
        <v>715.95682868763515</v>
      </c>
      <c r="E83" s="300">
        <f t="shared" si="20"/>
        <v>185.10805682817357</v>
      </c>
      <c r="F83" s="300">
        <f t="shared" si="20"/>
        <v>765.31897717514846</v>
      </c>
      <c r="G83" s="300">
        <f t="shared" si="20"/>
        <v>108.80240229122643</v>
      </c>
      <c r="H83" s="300">
        <f t="shared" si="20"/>
        <v>362.81179138322011</v>
      </c>
      <c r="I83" s="300">
        <f t="shared" si="20"/>
        <v>185.10805682817357</v>
      </c>
      <c r="J83" s="300">
        <f t="shared" si="20"/>
        <v>266.55560183256966</v>
      </c>
      <c r="K83" s="300">
        <f t="shared" si="20"/>
        <v>10.078105316200663</v>
      </c>
      <c r="L83" s="300">
        <f t="shared" si="20"/>
        <v>22.675736961451356</v>
      </c>
    </row>
    <row r="84" spans="2:12">
      <c r="B84" s="1">
        <v>1988</v>
      </c>
      <c r="C84" s="300">
        <f t="shared" si="20"/>
        <v>897.35876884860966</v>
      </c>
      <c r="D84" s="300">
        <f t="shared" si="20"/>
        <v>1242.0190572299086</v>
      </c>
      <c r="E84" s="300">
        <f t="shared" si="20"/>
        <v>287.65355430922398</v>
      </c>
      <c r="F84" s="300">
        <f t="shared" si="20"/>
        <v>770.2458809602366</v>
      </c>
      <c r="G84" s="300">
        <f t="shared" si="20"/>
        <v>217.78998234004183</v>
      </c>
      <c r="H84" s="300">
        <f t="shared" si="20"/>
        <v>350.53076908148802</v>
      </c>
      <c r="I84" s="300">
        <f t="shared" si="20"/>
        <v>168.88548196161386</v>
      </c>
      <c r="J84" s="300">
        <f t="shared" si="20"/>
        <v>392.98259232665077</v>
      </c>
      <c r="K84" s="300">
        <f t="shared" si="20"/>
        <v>15.719303693066053</v>
      </c>
      <c r="L84" s="300">
        <f t="shared" si="20"/>
        <v>0.77626191076870232</v>
      </c>
    </row>
    <row r="85" spans="2:12">
      <c r="B85" s="1">
        <v>1989</v>
      </c>
      <c r="C85" s="300">
        <f t="shared" si="20"/>
        <v>825.16595216659164</v>
      </c>
      <c r="D85" s="300">
        <f t="shared" si="20"/>
        <v>1049.5920585532426</v>
      </c>
      <c r="E85" s="300">
        <f t="shared" si="20"/>
        <v>361.24626228605797</v>
      </c>
      <c r="F85" s="300">
        <f t="shared" si="20"/>
        <v>554.231255452048</v>
      </c>
      <c r="G85" s="300">
        <f t="shared" si="20"/>
        <v>98.708302039940421</v>
      </c>
      <c r="H85" s="300">
        <f t="shared" si="20"/>
        <v>306.06104427412578</v>
      </c>
      <c r="I85" s="300">
        <f t="shared" si="20"/>
        <v>283.80969263279655</v>
      </c>
      <c r="J85" s="300">
        <f t="shared" si="20"/>
        <v>504.5505646805272</v>
      </c>
      <c r="K85" s="300">
        <f t="shared" si="20"/>
        <v>16.840121472787452</v>
      </c>
      <c r="L85" s="300">
        <f t="shared" si="20"/>
        <v>3.7785314107916701</v>
      </c>
    </row>
    <row r="86" spans="2:12">
      <c r="B86" s="1">
        <v>1990</v>
      </c>
      <c r="C86" s="300">
        <f t="shared" si="20"/>
        <v>1059.6778351222238</v>
      </c>
      <c r="D86" s="300">
        <f t="shared" si="20"/>
        <v>712.77745174931044</v>
      </c>
      <c r="E86" s="300">
        <f t="shared" si="20"/>
        <v>276.47823440045158</v>
      </c>
      <c r="F86" s="300">
        <f t="shared" si="20"/>
        <v>405.6403534270467</v>
      </c>
      <c r="G86" s="300">
        <f t="shared" si="20"/>
        <v>276.47823440045158</v>
      </c>
      <c r="H86" s="300">
        <f t="shared" si="20"/>
        <v>396.26170274613492</v>
      </c>
      <c r="I86" s="300">
        <f t="shared" si="20"/>
        <v>101.41008835676168</v>
      </c>
      <c r="J86" s="300">
        <f t="shared" si="20"/>
        <v>359.84401823078065</v>
      </c>
      <c r="K86" s="300">
        <f t="shared" si="20"/>
        <v>42.999193765116956</v>
      </c>
      <c r="L86" s="300">
        <f t="shared" si="20"/>
        <v>5.4845910414687137E-2</v>
      </c>
    </row>
    <row r="87" spans="2:12">
      <c r="B87" s="1">
        <v>1991</v>
      </c>
      <c r="C87" s="300">
        <f t="shared" si="20"/>
        <v>1055.8407197558515</v>
      </c>
      <c r="D87" s="300">
        <f t="shared" si="20"/>
        <v>913.65340811755686</v>
      </c>
      <c r="E87" s="300">
        <f t="shared" si="20"/>
        <v>268.06844786782506</v>
      </c>
      <c r="F87" s="300">
        <f t="shared" si="20"/>
        <v>647.23461223661104</v>
      </c>
      <c r="G87" s="300">
        <f t="shared" si="20"/>
        <v>146.18454529880896</v>
      </c>
      <c r="H87" s="300">
        <f t="shared" si="20"/>
        <v>276.38015595556112</v>
      </c>
      <c r="I87" s="300">
        <f t="shared" si="20"/>
        <v>106.65634576705637</v>
      </c>
      <c r="J87" s="300">
        <f t="shared" si="20"/>
        <v>259.88363608677196</v>
      </c>
      <c r="K87" s="300">
        <f t="shared" si="20"/>
        <v>122.83562486913807</v>
      </c>
      <c r="L87" s="300">
        <f t="shared" si="20"/>
        <v>6.3448153341496935E-2</v>
      </c>
    </row>
    <row r="88" spans="2:12">
      <c r="B88" s="1">
        <v>1992</v>
      </c>
      <c r="C88" s="300">
        <f t="shared" si="20"/>
        <v>1571.1160031141774</v>
      </c>
      <c r="D88" s="300">
        <f t="shared" si="20"/>
        <v>684.64925232892165</v>
      </c>
      <c r="E88" s="300">
        <f t="shared" si="20"/>
        <v>225.77787323149605</v>
      </c>
      <c r="F88" s="300">
        <f t="shared" si="20"/>
        <v>555.78673252973192</v>
      </c>
      <c r="G88" s="300">
        <f t="shared" si="20"/>
        <v>195.70995194501884</v>
      </c>
      <c r="H88" s="300">
        <f t="shared" si="20"/>
        <v>357.66060833847899</v>
      </c>
      <c r="I88" s="300">
        <f t="shared" si="20"/>
        <v>174.5684447904641</v>
      </c>
      <c r="J88" s="300">
        <f t="shared" si="20"/>
        <v>210.47544900534228</v>
      </c>
      <c r="K88" s="300">
        <f t="shared" si="20"/>
        <v>1.6778973932186034</v>
      </c>
      <c r="L88" s="300">
        <f t="shared" si="20"/>
        <v>9.6646889849392625</v>
      </c>
    </row>
    <row r="89" spans="2:12">
      <c r="B89" s="1">
        <v>1993</v>
      </c>
      <c r="C89" s="300">
        <f t="shared" si="20"/>
        <v>1220.337777777778</v>
      </c>
      <c r="D89" s="300">
        <f t="shared" si="20"/>
        <v>641.77777777777749</v>
      </c>
      <c r="E89" s="300">
        <f t="shared" si="20"/>
        <v>282.2399999999999</v>
      </c>
      <c r="F89" s="300">
        <f t="shared" si="20"/>
        <v>432.63999999999987</v>
      </c>
      <c r="G89" s="300">
        <f t="shared" si="20"/>
        <v>231.04000000000008</v>
      </c>
      <c r="H89" s="300">
        <f t="shared" si="20"/>
        <v>291.27111111111145</v>
      </c>
      <c r="I89" s="300">
        <f t="shared" si="20"/>
        <v>125.44000000000007</v>
      </c>
      <c r="J89" s="300">
        <f t="shared" si="20"/>
        <v>256</v>
      </c>
      <c r="K89" s="300">
        <f t="shared" si="20"/>
        <v>150.4711111111111</v>
      </c>
      <c r="L89" s="300">
        <f t="shared" si="20"/>
        <v>28.444444444444393</v>
      </c>
    </row>
    <row r="90" spans="2:12">
      <c r="B90" s="1">
        <v>1994</v>
      </c>
      <c r="C90" s="300">
        <f t="shared" si="20"/>
        <v>864.14395051012298</v>
      </c>
      <c r="D90" s="300">
        <f t="shared" si="20"/>
        <v>545.66998022884889</v>
      </c>
      <c r="E90" s="300">
        <f t="shared" si="20"/>
        <v>533.47662250880092</v>
      </c>
      <c r="F90" s="300">
        <f t="shared" si="20"/>
        <v>486.08097216194449</v>
      </c>
      <c r="G90" s="300">
        <f t="shared" si="20"/>
        <v>216.03598762753074</v>
      </c>
      <c r="H90" s="300">
        <f t="shared" si="20"/>
        <v>193.50927590744047</v>
      </c>
      <c r="I90" s="300">
        <f t="shared" si="20"/>
        <v>62.000124000248007</v>
      </c>
      <c r="J90" s="300">
        <f t="shared" si="20"/>
        <v>208.38930566750022</v>
      </c>
      <c r="K90" s="300">
        <f t="shared" si="20"/>
        <v>186.275928107412</v>
      </c>
      <c r="L90" s="300">
        <f t="shared" si="20"/>
        <v>8.3355722267000747</v>
      </c>
    </row>
    <row r="91" spans="2:12">
      <c r="B91" s="1">
        <v>1995</v>
      </c>
      <c r="C91" s="300">
        <f t="shared" si="20"/>
        <v>1140.388147254735</v>
      </c>
      <c r="D91" s="300">
        <f t="shared" si="20"/>
        <v>449.61760916641521</v>
      </c>
      <c r="E91" s="300">
        <f t="shared" si="20"/>
        <v>555.08346810668547</v>
      </c>
      <c r="F91" s="300">
        <f t="shared" si="20"/>
        <v>518.69466297524741</v>
      </c>
      <c r="G91" s="300">
        <f t="shared" si="20"/>
        <v>254.99575121296019</v>
      </c>
      <c r="H91" s="300">
        <f t="shared" si="20"/>
        <v>254.99575121295973</v>
      </c>
      <c r="I91" s="300">
        <f t="shared" si="20"/>
        <v>19.80482991146075</v>
      </c>
      <c r="J91" s="300">
        <f t="shared" si="20"/>
        <v>171.32205805761885</v>
      </c>
      <c r="K91" s="300">
        <f t="shared" si="20"/>
        <v>98.955620734080682</v>
      </c>
      <c r="L91" s="300">
        <f t="shared" si="20"/>
        <v>5.5508346810669282</v>
      </c>
    </row>
    <row r="92" spans="2:12">
      <c r="B92" s="1">
        <v>1996</v>
      </c>
      <c r="C92" s="300">
        <f t="shared" si="20"/>
        <v>1165.0844444444449</v>
      </c>
      <c r="D92" s="300">
        <f t="shared" si="20"/>
        <v>264.60444444444443</v>
      </c>
      <c r="E92" s="300">
        <f t="shared" si="20"/>
        <v>432.63999999999987</v>
      </c>
      <c r="F92" s="300">
        <f t="shared" si="20"/>
        <v>443.8044444444443</v>
      </c>
      <c r="G92" s="300">
        <f t="shared" si="20"/>
        <v>207.36000000000016</v>
      </c>
      <c r="H92" s="300">
        <f t="shared" si="20"/>
        <v>199.7511111111109</v>
      </c>
      <c r="I92" s="300">
        <f t="shared" si="20"/>
        <v>20.551111111111094</v>
      </c>
      <c r="J92" s="300">
        <f t="shared" si="20"/>
        <v>125.44000000000007</v>
      </c>
      <c r="K92" s="300">
        <f t="shared" si="20"/>
        <v>102.6844444444443</v>
      </c>
      <c r="L92" s="300">
        <f t="shared" si="20"/>
        <v>7.1111111111110611E-2</v>
      </c>
    </row>
    <row r="93" spans="2:12">
      <c r="B93" s="1">
        <v>1997</v>
      </c>
      <c r="C93" s="300">
        <f t="shared" si="20"/>
        <v>1122.9628791308289</v>
      </c>
      <c r="D93" s="300">
        <f t="shared" si="20"/>
        <v>547.75916704391102</v>
      </c>
      <c r="E93" s="300">
        <f t="shared" si="20"/>
        <v>452.69352648257114</v>
      </c>
      <c r="F93" s="300">
        <f t="shared" si="20"/>
        <v>452.69352648257114</v>
      </c>
      <c r="G93" s="300">
        <f t="shared" si="20"/>
        <v>221.81982797645998</v>
      </c>
      <c r="H93" s="300">
        <f t="shared" si="20"/>
        <v>221.8198279764604</v>
      </c>
      <c r="I93" s="300">
        <f t="shared" si="20"/>
        <v>18.107741059302821</v>
      </c>
      <c r="J93" s="300">
        <f t="shared" si="20"/>
        <v>91.67043911272053</v>
      </c>
      <c r="K93" s="300">
        <f t="shared" si="20"/>
        <v>346.59348121321887</v>
      </c>
      <c r="L93" s="300">
        <f t="shared" si="20"/>
        <v>3.4659348121321676</v>
      </c>
    </row>
    <row r="94" spans="2:12">
      <c r="B94" s="1">
        <v>1998</v>
      </c>
      <c r="C94" s="300">
        <f t="shared" ref="C94:L100" si="21">C66^2</f>
        <v>1037.3418789003206</v>
      </c>
      <c r="D94" s="300">
        <f t="shared" si="21"/>
        <v>522.44897959183629</v>
      </c>
      <c r="E94" s="300">
        <f t="shared" si="21"/>
        <v>379.49063923089881</v>
      </c>
      <c r="F94" s="300">
        <f t="shared" si="21"/>
        <v>379.49063923089881</v>
      </c>
      <c r="G94" s="300">
        <f t="shared" si="21"/>
        <v>219.19379321976757</v>
      </c>
      <c r="H94" s="300">
        <f t="shared" si="21"/>
        <v>359.5209984820371</v>
      </c>
      <c r="I94" s="300">
        <f t="shared" si="21"/>
        <v>8.1632653061224723</v>
      </c>
      <c r="J94" s="300">
        <f t="shared" si="21"/>
        <v>204.0816326530614</v>
      </c>
      <c r="K94" s="300">
        <f t="shared" si="21"/>
        <v>182.42536684095143</v>
      </c>
      <c r="L94" s="300">
        <f t="shared" si="21"/>
        <v>4.3177601619160235</v>
      </c>
    </row>
    <row r="95" spans="2:12">
      <c r="B95" s="1">
        <v>1999</v>
      </c>
      <c r="C95" s="300">
        <f t="shared" si="21"/>
        <v>1239.5908680603293</v>
      </c>
      <c r="D95" s="300">
        <f t="shared" si="21"/>
        <v>710.24204781176525</v>
      </c>
      <c r="E95" s="300">
        <f t="shared" si="21"/>
        <v>382.58977409269465</v>
      </c>
      <c r="F95" s="300">
        <f t="shared" si="21"/>
        <v>309.89771701508255</v>
      </c>
      <c r="G95" s="300">
        <f t="shared" si="21"/>
        <v>208.0929693151046</v>
      </c>
      <c r="H95" s="300">
        <f t="shared" si="21"/>
        <v>276.42111178197223</v>
      </c>
      <c r="I95" s="300">
        <f t="shared" si="21"/>
        <v>46.867247326355034</v>
      </c>
      <c r="J95" s="300">
        <f t="shared" si="21"/>
        <v>174.31746582098395</v>
      </c>
      <c r="K95" s="300">
        <f t="shared" si="21"/>
        <v>132.05325171418144</v>
      </c>
      <c r="L95" s="300">
        <f t="shared" si="21"/>
        <v>10.102761222135225</v>
      </c>
    </row>
    <row r="96" spans="2:12">
      <c r="B96" s="1">
        <v>2000</v>
      </c>
      <c r="C96" s="300">
        <f t="shared" si="21"/>
        <v>1410.7392230031364</v>
      </c>
      <c r="D96" s="300">
        <f t="shared" si="21"/>
        <v>679.98672191570722</v>
      </c>
      <c r="E96" s="300">
        <f t="shared" si="21"/>
        <v>433.19750005723347</v>
      </c>
      <c r="F96" s="300">
        <f t="shared" si="21"/>
        <v>384.83551200750912</v>
      </c>
      <c r="G96" s="300">
        <f t="shared" si="21"/>
        <v>220.00412078478044</v>
      </c>
      <c r="H96" s="300">
        <f t="shared" si="21"/>
        <v>321.93631098189138</v>
      </c>
      <c r="I96" s="300">
        <f t="shared" si="21"/>
        <v>66.16148897690077</v>
      </c>
      <c r="J96" s="300">
        <f t="shared" si="21"/>
        <v>241.80994024862073</v>
      </c>
      <c r="K96" s="300">
        <f t="shared" si="21"/>
        <v>173.13019390581692</v>
      </c>
      <c r="L96" s="300">
        <f t="shared" si="21"/>
        <v>27.700831024930828</v>
      </c>
    </row>
    <row r="97" spans="2:12">
      <c r="B97" s="1">
        <v>2001</v>
      </c>
      <c r="C97" s="300">
        <f t="shared" si="21"/>
        <v>1384.1220996832956</v>
      </c>
      <c r="D97" s="300">
        <f t="shared" si="21"/>
        <v>934.44666561847248</v>
      </c>
      <c r="E97" s="300">
        <f t="shared" si="21"/>
        <v>425.02414590867244</v>
      </c>
      <c r="F97" s="300">
        <f t="shared" si="21"/>
        <v>465.005278407942</v>
      </c>
      <c r="G97" s="300">
        <f t="shared" si="21"/>
        <v>237.24759102446052</v>
      </c>
      <c r="H97" s="300">
        <f t="shared" si="21"/>
        <v>315.8621773994297</v>
      </c>
      <c r="I97" s="300">
        <f t="shared" si="21"/>
        <v>35.095797488825468</v>
      </c>
      <c r="J97" s="300">
        <f t="shared" si="21"/>
        <v>134.82401563307215</v>
      </c>
      <c r="K97" s="300">
        <f t="shared" si="21"/>
        <v>299.24080770872212</v>
      </c>
      <c r="L97" s="300">
        <f t="shared" si="21"/>
        <v>50.537948383908592</v>
      </c>
    </row>
    <row r="98" spans="2:12">
      <c r="B98" s="1">
        <v>2002</v>
      </c>
      <c r="C98" s="300">
        <f t="shared" si="21"/>
        <v>1132.2746569034841</v>
      </c>
      <c r="D98" s="300">
        <f t="shared" si="21"/>
        <v>822.1401136542305</v>
      </c>
      <c r="E98" s="300">
        <f t="shared" si="21"/>
        <v>359.38096628557309</v>
      </c>
      <c r="F98" s="300">
        <f t="shared" si="21"/>
        <v>595.73010489431965</v>
      </c>
      <c r="G98" s="300">
        <f t="shared" si="21"/>
        <v>202.15179353563477</v>
      </c>
      <c r="H98" s="300">
        <f t="shared" si="21"/>
        <v>291.09858269131399</v>
      </c>
      <c r="I98" s="300">
        <f t="shared" si="21"/>
        <v>76.873834819523267</v>
      </c>
      <c r="J98" s="300">
        <f t="shared" si="21"/>
        <v>202.15179353563477</v>
      </c>
      <c r="K98" s="300">
        <f t="shared" si="21"/>
        <v>237.24759102446052</v>
      </c>
      <c r="L98" s="300">
        <f t="shared" si="21"/>
        <v>35.095797488825468</v>
      </c>
    </row>
    <row r="99" spans="2:12">
      <c r="B99" s="1">
        <v>2003</v>
      </c>
      <c r="C99" s="300">
        <f t="shared" si="21"/>
        <v>1331.7310931919769</v>
      </c>
      <c r="D99" s="300">
        <f t="shared" si="21"/>
        <v>324.34132207272961</v>
      </c>
      <c r="E99" s="300">
        <f t="shared" si="21"/>
        <v>267.3457469508769</v>
      </c>
      <c r="F99" s="300">
        <f t="shared" si="21"/>
        <v>561.53275982120817</v>
      </c>
      <c r="G99" s="300">
        <f t="shared" si="21"/>
        <v>176.09667347993101</v>
      </c>
      <c r="H99" s="300">
        <f t="shared" si="21"/>
        <v>291.09858269131399</v>
      </c>
      <c r="I99" s="300">
        <f t="shared" si="21"/>
        <v>57.500954605691696</v>
      </c>
      <c r="J99" s="300">
        <f t="shared" si="21"/>
        <v>202.15179353563477</v>
      </c>
      <c r="K99" s="300">
        <f t="shared" si="21"/>
        <v>230.00381842276678</v>
      </c>
      <c r="L99" s="300">
        <f t="shared" si="21"/>
        <v>53.963298218818231</v>
      </c>
    </row>
    <row r="100" spans="2:12">
      <c r="B100" s="1">
        <v>2004</v>
      </c>
      <c r="C100" s="300">
        <f t="shared" si="21"/>
        <v>1185.6977572089706</v>
      </c>
      <c r="D100" s="300">
        <f t="shared" si="21"/>
        <v>347.15423638305458</v>
      </c>
      <c r="E100" s="300">
        <f t="shared" si="21"/>
        <v>296.42443930224289</v>
      </c>
      <c r="F100" s="300">
        <f t="shared" si="21"/>
        <v>567.42835528657861</v>
      </c>
      <c r="G100" s="300">
        <f t="shared" si="21"/>
        <v>174.43930224279103</v>
      </c>
      <c r="H100" s="300">
        <f t="shared" si="21"/>
        <v>200.24919900320424</v>
      </c>
      <c r="I100" s="300">
        <f t="shared" si="21"/>
        <v>50.06229975080096</v>
      </c>
      <c r="J100" s="300">
        <f t="shared" si="21"/>
        <v>227.83908864364554</v>
      </c>
      <c r="K100" s="300">
        <f t="shared" si="21"/>
        <v>383.1990922036311</v>
      </c>
      <c r="L100" s="300">
        <f t="shared" si="21"/>
        <v>18.022427910288346</v>
      </c>
    </row>
    <row r="101" spans="2:12">
      <c r="B101" s="1">
        <v>2005</v>
      </c>
      <c r="C101" s="300">
        <f t="shared" ref="C101:L103" si="22">C73^2</f>
        <v>946.74556213017775</v>
      </c>
      <c r="D101" s="300">
        <f t="shared" si="22"/>
        <v>374.3187659271573</v>
      </c>
      <c r="E101" s="300">
        <f t="shared" si="22"/>
        <v>222.55910367798498</v>
      </c>
      <c r="F101" s="300">
        <f t="shared" si="22"/>
        <v>554.27866616677807</v>
      </c>
      <c r="G101" s="300">
        <f t="shared" si="22"/>
        <v>243.91304111583833</v>
      </c>
      <c r="H101" s="300">
        <f t="shared" si="22"/>
        <v>258.69235659445434</v>
      </c>
      <c r="I101" s="300">
        <f t="shared" si="22"/>
        <v>66.561255372444137</v>
      </c>
      <c r="J101" s="300">
        <f t="shared" si="22"/>
        <v>222.55910367798498</v>
      </c>
      <c r="K101" s="300">
        <f t="shared" si="22"/>
        <v>511.2447769790424</v>
      </c>
      <c r="L101" s="300">
        <f t="shared" si="22"/>
        <v>3.4774859949685024</v>
      </c>
    </row>
    <row r="102" spans="2:12">
      <c r="B102" s="1">
        <v>2006</v>
      </c>
      <c r="C102" s="300">
        <f t="shared" si="22"/>
        <v>790.61707827499868</v>
      </c>
      <c r="D102" s="300">
        <f t="shared" si="22"/>
        <v>354.22483430257961</v>
      </c>
      <c r="E102" s="300">
        <f t="shared" si="22"/>
        <v>161.24968505920882</v>
      </c>
      <c r="F102" s="300">
        <f t="shared" si="22"/>
        <v>534.9622842334212</v>
      </c>
      <c r="G102" s="300">
        <f t="shared" si="22"/>
        <v>289.23133879402099</v>
      </c>
      <c r="H102" s="300">
        <f t="shared" si="22"/>
        <v>185.10805682817318</v>
      </c>
      <c r="I102" s="300">
        <f t="shared" si="22"/>
        <v>90.702947845804886</v>
      </c>
      <c r="J102" s="300">
        <f t="shared" si="22"/>
        <v>86.435178757821902</v>
      </c>
      <c r="K102" s="300">
        <f t="shared" si="22"/>
        <v>790.61707827499868</v>
      </c>
      <c r="L102" s="300">
        <f t="shared" si="22"/>
        <v>4.1649312786339223</v>
      </c>
    </row>
    <row r="103" spans="2:12">
      <c r="B103" s="1">
        <v>2007</v>
      </c>
      <c r="C103" s="300">
        <f t="shared" si="22"/>
        <v>716.62816195473431</v>
      </c>
      <c r="D103" s="300">
        <f t="shared" si="22"/>
        <v>305.47615318349108</v>
      </c>
      <c r="E103" s="300">
        <f t="shared" si="22"/>
        <v>260.83679223118463</v>
      </c>
      <c r="F103" s="300">
        <f t="shared" si="22"/>
        <v>509.24113086381084</v>
      </c>
      <c r="G103" s="300">
        <f t="shared" si="22"/>
        <v>362.00955438953685</v>
      </c>
      <c r="H103" s="300">
        <f t="shared" si="22"/>
        <v>164.6565901793407</v>
      </c>
      <c r="I103" s="300">
        <f t="shared" si="22"/>
        <v>53.302921137128948</v>
      </c>
      <c r="J103" s="300">
        <f t="shared" si="22"/>
        <v>44.052000939776057</v>
      </c>
      <c r="K103" s="300">
        <f t="shared" si="22"/>
        <v>945.69856684156946</v>
      </c>
      <c r="L103" s="300">
        <f t="shared" si="22"/>
        <v>0.78314668337379989</v>
      </c>
    </row>
  </sheetData>
  <mergeCells count="13">
    <mergeCell ref="G3:G4"/>
    <mergeCell ref="H3:H4"/>
    <mergeCell ref="I3:I4"/>
    <mergeCell ref="A42:L42"/>
    <mergeCell ref="A41:L41"/>
    <mergeCell ref="B3:B4"/>
    <mergeCell ref="C3:C4"/>
    <mergeCell ref="D3:D4"/>
    <mergeCell ref="E3:E4"/>
    <mergeCell ref="J3:J4"/>
    <mergeCell ref="K3:K4"/>
    <mergeCell ref="L3:L4"/>
    <mergeCell ref="F3:F4"/>
  </mergeCells>
  <phoneticPr fontId="35" type="noConversion"/>
  <pageMargins left="0.75" right="0.75" top="1" bottom="1" header="0.5" footer="0.5"/>
  <pageSetup scale="78"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2">
    <pageSetUpPr fitToPage="1"/>
  </sheetPr>
  <dimension ref="A1:N45"/>
  <sheetViews>
    <sheetView view="pageBreakPreview" zoomScale="85" zoomScaleSheetLayoutView="85" workbookViewId="0">
      <selection activeCell="H62" sqref="H62"/>
    </sheetView>
  </sheetViews>
  <sheetFormatPr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6384" width="9.140625" style="1"/>
  </cols>
  <sheetData>
    <row r="1" spans="1:12" ht="15.75">
      <c r="A1" s="3" t="s">
        <v>2090</v>
      </c>
    </row>
    <row r="2" spans="1:12">
      <c r="A2" s="4"/>
      <c r="B2" s="4"/>
    </row>
    <row r="3" spans="1:12">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5"/>
      <c r="C4" s="1165"/>
      <c r="D4" s="1165"/>
      <c r="E4" s="1165"/>
      <c r="F4" s="1165"/>
      <c r="G4" s="1165"/>
      <c r="H4" s="1165"/>
      <c r="I4" s="1165"/>
      <c r="J4" s="1165"/>
      <c r="K4" s="1165"/>
      <c r="L4" s="1165"/>
    </row>
    <row r="5" spans="1:12">
      <c r="A5" s="2">
        <v>1981</v>
      </c>
      <c r="B5" s="19">
        <v>6611</v>
      </c>
      <c r="C5" s="19">
        <v>136</v>
      </c>
      <c r="D5" s="19">
        <v>31</v>
      </c>
      <c r="E5" s="19">
        <v>221</v>
      </c>
      <c r="F5" s="19">
        <v>182</v>
      </c>
      <c r="G5" s="19">
        <v>1762</v>
      </c>
      <c r="H5" s="19">
        <v>2370</v>
      </c>
      <c r="I5" s="19">
        <v>270</v>
      </c>
      <c r="J5" s="19">
        <v>258</v>
      </c>
      <c r="K5" s="19">
        <v>613</v>
      </c>
      <c r="L5" s="19">
        <v>768</v>
      </c>
    </row>
    <row r="6" spans="1:12">
      <c r="A6" s="2">
        <v>1982</v>
      </c>
      <c r="B6" s="19">
        <v>6696</v>
      </c>
      <c r="C6" s="19">
        <v>138</v>
      </c>
      <c r="D6" s="19">
        <v>32</v>
      </c>
      <c r="E6" s="19">
        <v>224</v>
      </c>
      <c r="F6" s="19">
        <v>186</v>
      </c>
      <c r="G6" s="19">
        <v>1774</v>
      </c>
      <c r="H6" s="19">
        <v>2416</v>
      </c>
      <c r="I6" s="19">
        <v>273</v>
      </c>
      <c r="J6" s="19">
        <v>260</v>
      </c>
      <c r="K6" s="19">
        <v>619</v>
      </c>
      <c r="L6" s="19">
        <v>774</v>
      </c>
    </row>
    <row r="7" spans="1:12">
      <c r="A7" s="2">
        <v>1983</v>
      </c>
      <c r="B7" s="19">
        <v>6803</v>
      </c>
      <c r="C7" s="19">
        <v>141</v>
      </c>
      <c r="D7" s="19">
        <v>32</v>
      </c>
      <c r="E7" s="19">
        <v>232</v>
      </c>
      <c r="F7" s="19">
        <v>190</v>
      </c>
      <c r="G7" s="19">
        <v>1794</v>
      </c>
      <c r="H7" s="19">
        <v>2446</v>
      </c>
      <c r="I7" s="19">
        <v>280</v>
      </c>
      <c r="J7" s="19">
        <v>264</v>
      </c>
      <c r="K7" s="19">
        <v>630</v>
      </c>
      <c r="L7" s="19">
        <v>794</v>
      </c>
    </row>
    <row r="8" spans="1:12">
      <c r="A8" s="2">
        <v>1984</v>
      </c>
      <c r="B8" s="19">
        <v>6902</v>
      </c>
      <c r="C8" s="19">
        <v>141</v>
      </c>
      <c r="D8" s="19">
        <v>33</v>
      </c>
      <c r="E8" s="19">
        <v>233</v>
      </c>
      <c r="F8" s="19">
        <v>191</v>
      </c>
      <c r="G8" s="19">
        <v>1820</v>
      </c>
      <c r="H8" s="19">
        <v>2504</v>
      </c>
      <c r="I8" s="19">
        <v>281</v>
      </c>
      <c r="J8" s="19">
        <v>267</v>
      </c>
      <c r="K8" s="19">
        <v>636</v>
      </c>
      <c r="L8" s="19">
        <v>796</v>
      </c>
    </row>
    <row r="9" spans="1:12">
      <c r="A9" s="2">
        <v>1985</v>
      </c>
      <c r="B9" s="19">
        <v>7007</v>
      </c>
      <c r="C9" s="19">
        <v>144</v>
      </c>
      <c r="D9" s="19">
        <v>33</v>
      </c>
      <c r="E9" s="19">
        <v>235</v>
      </c>
      <c r="F9" s="19">
        <v>193</v>
      </c>
      <c r="G9" s="19">
        <v>1841</v>
      </c>
      <c r="H9" s="19">
        <v>2551</v>
      </c>
      <c r="I9" s="19">
        <v>286</v>
      </c>
      <c r="J9" s="19">
        <v>270</v>
      </c>
      <c r="K9" s="19">
        <v>643</v>
      </c>
      <c r="L9" s="19">
        <v>810</v>
      </c>
    </row>
    <row r="10" spans="1:12">
      <c r="A10" s="2">
        <v>1986</v>
      </c>
      <c r="B10" s="19">
        <v>7084</v>
      </c>
      <c r="C10" s="19">
        <v>148</v>
      </c>
      <c r="D10" s="19">
        <v>33</v>
      </c>
      <c r="E10" s="19">
        <v>240</v>
      </c>
      <c r="F10" s="19">
        <v>195</v>
      </c>
      <c r="G10" s="19">
        <v>1856</v>
      </c>
      <c r="H10" s="19">
        <v>2592</v>
      </c>
      <c r="I10" s="19">
        <v>286</v>
      </c>
      <c r="J10" s="19">
        <v>270</v>
      </c>
      <c r="K10" s="19">
        <v>643</v>
      </c>
      <c r="L10" s="19">
        <v>821</v>
      </c>
    </row>
    <row r="11" spans="1:12">
      <c r="A11" s="2">
        <v>1987</v>
      </c>
      <c r="B11" s="19">
        <v>7175</v>
      </c>
      <c r="C11" s="19">
        <v>148</v>
      </c>
      <c r="D11" s="19">
        <v>34</v>
      </c>
      <c r="E11" s="19">
        <v>240</v>
      </c>
      <c r="F11" s="19">
        <v>196</v>
      </c>
      <c r="G11" s="19">
        <v>1878</v>
      </c>
      <c r="H11" s="19">
        <v>2635</v>
      </c>
      <c r="I11" s="19">
        <v>288</v>
      </c>
      <c r="J11" s="19">
        <v>271</v>
      </c>
      <c r="K11" s="19">
        <v>649</v>
      </c>
      <c r="L11" s="19">
        <v>836</v>
      </c>
    </row>
    <row r="12" spans="1:12">
      <c r="A12" s="2">
        <v>1988</v>
      </c>
      <c r="B12" s="19">
        <v>7313</v>
      </c>
      <c r="C12" s="19">
        <v>151</v>
      </c>
      <c r="D12" s="19">
        <v>34</v>
      </c>
      <c r="E12" s="19">
        <v>244</v>
      </c>
      <c r="F12" s="19">
        <v>200</v>
      </c>
      <c r="G12" s="19">
        <v>1911</v>
      </c>
      <c r="H12" s="19">
        <v>2707</v>
      </c>
      <c r="I12" s="19">
        <v>290</v>
      </c>
      <c r="J12" s="19">
        <v>270</v>
      </c>
      <c r="K12" s="19">
        <v>660</v>
      </c>
      <c r="L12" s="19">
        <v>847</v>
      </c>
    </row>
    <row r="13" spans="1:12">
      <c r="A13" s="2">
        <v>1989</v>
      </c>
      <c r="B13" s="19">
        <v>7404</v>
      </c>
      <c r="C13" s="19">
        <v>152</v>
      </c>
      <c r="D13" s="19">
        <v>34</v>
      </c>
      <c r="E13" s="19">
        <v>245</v>
      </c>
      <c r="F13" s="19">
        <v>201</v>
      </c>
      <c r="G13" s="19">
        <v>1931</v>
      </c>
      <c r="H13" s="19">
        <v>2740</v>
      </c>
      <c r="I13" s="19">
        <v>290</v>
      </c>
      <c r="J13" s="19">
        <v>266</v>
      </c>
      <c r="K13" s="19">
        <v>670</v>
      </c>
      <c r="L13" s="19">
        <v>874</v>
      </c>
    </row>
    <row r="14" spans="1:12">
      <c r="A14" s="2">
        <v>1990</v>
      </c>
      <c r="B14" s="19">
        <v>7527</v>
      </c>
      <c r="C14" s="19">
        <v>155</v>
      </c>
      <c r="D14" s="19">
        <v>35</v>
      </c>
      <c r="E14" s="19">
        <v>249</v>
      </c>
      <c r="F14" s="19">
        <v>206</v>
      </c>
      <c r="G14" s="19">
        <v>1950</v>
      </c>
      <c r="H14" s="19">
        <v>2801</v>
      </c>
      <c r="I14" s="19">
        <v>290</v>
      </c>
      <c r="J14" s="19">
        <v>263</v>
      </c>
      <c r="K14" s="19">
        <v>681</v>
      </c>
      <c r="L14" s="19">
        <v>896</v>
      </c>
    </row>
    <row r="15" spans="1:12">
      <c r="A15" s="2">
        <v>1991</v>
      </c>
      <c r="B15" s="19">
        <v>7608</v>
      </c>
      <c r="C15" s="19">
        <v>155</v>
      </c>
      <c r="D15" s="19">
        <v>35</v>
      </c>
      <c r="E15" s="19">
        <v>252</v>
      </c>
      <c r="F15" s="19">
        <v>207</v>
      </c>
      <c r="G15" s="19">
        <v>1957</v>
      </c>
      <c r="H15" s="19">
        <v>2838</v>
      </c>
      <c r="I15" s="19">
        <v>292</v>
      </c>
      <c r="J15" s="19">
        <v>263</v>
      </c>
      <c r="K15" s="19">
        <v>694</v>
      </c>
      <c r="L15" s="19">
        <v>914</v>
      </c>
    </row>
    <row r="16" spans="1:12">
      <c r="A16" s="2">
        <v>1992</v>
      </c>
      <c r="B16" s="19">
        <v>7740</v>
      </c>
      <c r="C16" s="19">
        <v>158</v>
      </c>
      <c r="D16" s="19">
        <v>36</v>
      </c>
      <c r="E16" s="19">
        <v>251</v>
      </c>
      <c r="F16" s="19">
        <v>207</v>
      </c>
      <c r="G16" s="19">
        <v>1990</v>
      </c>
      <c r="H16" s="19">
        <v>2892</v>
      </c>
      <c r="I16" s="19">
        <v>291</v>
      </c>
      <c r="J16" s="19">
        <v>265</v>
      </c>
      <c r="K16" s="19">
        <v>710</v>
      </c>
      <c r="L16" s="19">
        <v>939</v>
      </c>
    </row>
    <row r="17" spans="1:13">
      <c r="A17" s="2">
        <v>1993</v>
      </c>
      <c r="B17" s="19">
        <v>7812</v>
      </c>
      <c r="C17" s="19">
        <v>160</v>
      </c>
      <c r="D17" s="19">
        <v>36</v>
      </c>
      <c r="E17" s="19">
        <v>254</v>
      </c>
      <c r="F17" s="19">
        <v>208</v>
      </c>
      <c r="G17" s="19">
        <v>1987</v>
      </c>
      <c r="H17" s="19">
        <v>2929</v>
      </c>
      <c r="I17" s="19">
        <v>292</v>
      </c>
      <c r="J17" s="19">
        <v>266</v>
      </c>
      <c r="K17" s="19">
        <v>712</v>
      </c>
      <c r="L17" s="19">
        <v>968</v>
      </c>
    </row>
    <row r="18" spans="1:13">
      <c r="A18" s="2">
        <v>1994</v>
      </c>
      <c r="B18" s="19">
        <v>7882</v>
      </c>
      <c r="C18" s="19">
        <v>159</v>
      </c>
      <c r="D18" s="19">
        <v>36</v>
      </c>
      <c r="E18" s="19">
        <v>258</v>
      </c>
      <c r="F18" s="19">
        <v>211</v>
      </c>
      <c r="G18" s="19">
        <v>1997</v>
      </c>
      <c r="H18" s="19">
        <v>2951</v>
      </c>
      <c r="I18" s="19">
        <v>292</v>
      </c>
      <c r="J18" s="19">
        <v>267</v>
      </c>
      <c r="K18" s="19">
        <v>718</v>
      </c>
      <c r="L18" s="19">
        <v>993</v>
      </c>
    </row>
    <row r="19" spans="1:13">
      <c r="A19" s="2">
        <v>1995</v>
      </c>
      <c r="B19" s="19">
        <v>8005</v>
      </c>
      <c r="C19" s="19">
        <v>160</v>
      </c>
      <c r="D19" s="19">
        <v>37</v>
      </c>
      <c r="E19" s="19">
        <v>260</v>
      </c>
      <c r="F19" s="19">
        <v>213</v>
      </c>
      <c r="G19" s="19">
        <v>2004</v>
      </c>
      <c r="H19" s="19">
        <v>3007</v>
      </c>
      <c r="I19" s="19">
        <v>294</v>
      </c>
      <c r="J19" s="19">
        <v>267</v>
      </c>
      <c r="K19" s="19">
        <v>738</v>
      </c>
      <c r="L19" s="19">
        <v>1026</v>
      </c>
    </row>
    <row r="20" spans="1:13">
      <c r="A20" s="2">
        <v>1996</v>
      </c>
      <c r="B20" s="19">
        <v>8078</v>
      </c>
      <c r="C20" s="19">
        <v>158</v>
      </c>
      <c r="D20" s="19">
        <v>37</v>
      </c>
      <c r="E20" s="19">
        <v>259</v>
      </c>
      <c r="F20" s="19">
        <v>213</v>
      </c>
      <c r="G20" s="19">
        <v>2013</v>
      </c>
      <c r="H20" s="19">
        <v>3052</v>
      </c>
      <c r="I20" s="19">
        <v>294</v>
      </c>
      <c r="J20" s="19">
        <v>267</v>
      </c>
      <c r="K20" s="19">
        <v>745</v>
      </c>
      <c r="L20" s="19">
        <v>1041</v>
      </c>
    </row>
    <row r="21" spans="1:13">
      <c r="A21" s="2">
        <v>1997</v>
      </c>
      <c r="B21" s="19">
        <v>8145</v>
      </c>
      <c r="C21" s="19">
        <v>156</v>
      </c>
      <c r="D21" s="19">
        <v>38</v>
      </c>
      <c r="E21" s="19">
        <v>259</v>
      </c>
      <c r="F21" s="19">
        <v>214</v>
      </c>
      <c r="G21" s="19">
        <v>2016</v>
      </c>
      <c r="H21" s="19">
        <v>3082</v>
      </c>
      <c r="I21" s="19">
        <v>292</v>
      </c>
      <c r="J21" s="19">
        <v>267</v>
      </c>
      <c r="K21" s="19">
        <v>769</v>
      </c>
      <c r="L21" s="19">
        <v>1051</v>
      </c>
    </row>
    <row r="22" spans="1:13">
      <c r="A22" s="2">
        <v>1998</v>
      </c>
      <c r="B22" s="19">
        <v>8206</v>
      </c>
      <c r="C22" s="19">
        <v>155</v>
      </c>
      <c r="D22" s="19">
        <v>38</v>
      </c>
      <c r="E22" s="19">
        <v>260</v>
      </c>
      <c r="F22" s="19">
        <v>215</v>
      </c>
      <c r="G22" s="19">
        <v>2021</v>
      </c>
      <c r="H22" s="19">
        <v>3112</v>
      </c>
      <c r="I22" s="19">
        <v>294</v>
      </c>
      <c r="J22" s="19">
        <v>268</v>
      </c>
      <c r="K22" s="19">
        <v>785</v>
      </c>
      <c r="L22" s="19">
        <v>1058</v>
      </c>
    </row>
    <row r="23" spans="1:13">
      <c r="A23" s="2">
        <v>1999</v>
      </c>
      <c r="B23" s="19">
        <v>8283</v>
      </c>
      <c r="C23" s="19">
        <v>155</v>
      </c>
      <c r="D23" s="19">
        <v>38</v>
      </c>
      <c r="E23" s="19">
        <v>262</v>
      </c>
      <c r="F23" s="19">
        <v>216</v>
      </c>
      <c r="G23" s="19">
        <v>2034</v>
      </c>
      <c r="H23" s="19">
        <v>3144</v>
      </c>
      <c r="I23" s="19">
        <v>296</v>
      </c>
      <c r="J23" s="19">
        <v>266</v>
      </c>
      <c r="K23" s="19">
        <v>802</v>
      </c>
      <c r="L23" s="19">
        <v>1070</v>
      </c>
    </row>
    <row r="24" spans="1:13">
      <c r="A24" s="2">
        <v>2000</v>
      </c>
      <c r="B24" s="19">
        <v>8373</v>
      </c>
      <c r="C24" s="19">
        <v>155</v>
      </c>
      <c r="D24" s="19">
        <v>39</v>
      </c>
      <c r="E24" s="19">
        <v>263</v>
      </c>
      <c r="F24" s="19">
        <v>215</v>
      </c>
      <c r="G24" s="19">
        <v>2046</v>
      </c>
      <c r="H24" s="19">
        <v>3202</v>
      </c>
      <c r="I24" s="19">
        <v>298</v>
      </c>
      <c r="J24" s="19">
        <v>265</v>
      </c>
      <c r="K24" s="19">
        <v>814</v>
      </c>
      <c r="L24" s="19">
        <v>1076</v>
      </c>
    </row>
    <row r="25" spans="1:13">
      <c r="A25" s="2">
        <v>2001</v>
      </c>
      <c r="B25" s="19">
        <v>8466</v>
      </c>
      <c r="C25" s="19">
        <v>155</v>
      </c>
      <c r="D25" s="19">
        <v>39</v>
      </c>
      <c r="E25" s="19">
        <v>263</v>
      </c>
      <c r="F25" s="19">
        <v>216</v>
      </c>
      <c r="G25" s="19">
        <v>2056</v>
      </c>
      <c r="H25" s="19">
        <v>3259</v>
      </c>
      <c r="I25" s="19">
        <v>298</v>
      </c>
      <c r="J25" s="19">
        <v>264</v>
      </c>
      <c r="K25" s="19">
        <v>829</v>
      </c>
      <c r="L25" s="19">
        <v>1087</v>
      </c>
    </row>
    <row r="26" spans="1:13">
      <c r="A26" s="2">
        <v>2002</v>
      </c>
      <c r="B26" s="19">
        <v>8584</v>
      </c>
      <c r="C26" s="19">
        <v>156</v>
      </c>
      <c r="D26" s="19">
        <v>40</v>
      </c>
      <c r="E26" s="19">
        <v>264</v>
      </c>
      <c r="F26" s="19">
        <v>218</v>
      </c>
      <c r="G26" s="19">
        <v>2077</v>
      </c>
      <c r="H26" s="19">
        <v>3312</v>
      </c>
      <c r="I26" s="19">
        <v>300</v>
      </c>
      <c r="J26" s="19">
        <v>262</v>
      </c>
      <c r="K26" s="19">
        <v>847</v>
      </c>
      <c r="L26" s="19">
        <v>1109</v>
      </c>
    </row>
    <row r="27" spans="1:13">
      <c r="A27" s="2">
        <v>2003</v>
      </c>
      <c r="B27" s="19">
        <v>8667</v>
      </c>
      <c r="C27" s="19">
        <v>157</v>
      </c>
      <c r="D27" s="19">
        <v>40</v>
      </c>
      <c r="E27" s="19">
        <v>265</v>
      </c>
      <c r="F27" s="19">
        <v>218</v>
      </c>
      <c r="G27" s="19">
        <v>2085</v>
      </c>
      <c r="H27" s="19">
        <v>3357</v>
      </c>
      <c r="I27" s="19">
        <v>303</v>
      </c>
      <c r="J27" s="19">
        <v>262</v>
      </c>
      <c r="K27" s="19">
        <v>859</v>
      </c>
      <c r="L27" s="19">
        <v>1121</v>
      </c>
    </row>
    <row r="28" spans="1:13">
      <c r="A28" s="2">
        <v>2004</v>
      </c>
      <c r="B28" s="19">
        <v>8766</v>
      </c>
      <c r="C28" s="19">
        <v>157</v>
      </c>
      <c r="D28" s="19">
        <v>40</v>
      </c>
      <c r="E28" s="19">
        <v>265</v>
      </c>
      <c r="F28" s="19">
        <v>219</v>
      </c>
      <c r="G28" s="19">
        <v>2100</v>
      </c>
      <c r="H28" s="19">
        <v>3410</v>
      </c>
      <c r="I28" s="19">
        <v>305</v>
      </c>
      <c r="J28" s="19">
        <v>263</v>
      </c>
      <c r="K28" s="19">
        <v>869</v>
      </c>
      <c r="L28" s="19">
        <v>1138</v>
      </c>
    </row>
    <row r="29" spans="1:13">
      <c r="A29" s="2">
        <v>2005</v>
      </c>
      <c r="B29" s="19">
        <v>8891</v>
      </c>
      <c r="C29" s="19">
        <v>158</v>
      </c>
      <c r="D29" s="19">
        <v>41</v>
      </c>
      <c r="E29" s="19">
        <v>266</v>
      </c>
      <c r="F29" s="19">
        <v>223</v>
      </c>
      <c r="G29" s="19">
        <v>2122</v>
      </c>
      <c r="H29" s="19">
        <v>3470</v>
      </c>
      <c r="I29" s="19">
        <v>305</v>
      </c>
      <c r="J29" s="19">
        <v>262</v>
      </c>
      <c r="K29" s="19">
        <v>892</v>
      </c>
      <c r="L29" s="19">
        <v>1151</v>
      </c>
      <c r="M29" s="300"/>
    </row>
    <row r="30" spans="1:13">
      <c r="A30" s="2">
        <v>2006</v>
      </c>
      <c r="B30" s="19">
        <v>8983</v>
      </c>
      <c r="C30" s="19">
        <v>157</v>
      </c>
      <c r="D30" s="19">
        <v>41</v>
      </c>
      <c r="E30" s="19">
        <v>267</v>
      </c>
      <c r="F30" s="19">
        <v>223</v>
      </c>
      <c r="G30" s="19">
        <v>2132</v>
      </c>
      <c r="H30" s="19">
        <v>3497</v>
      </c>
      <c r="I30" s="19">
        <v>306</v>
      </c>
      <c r="J30" s="19">
        <v>260</v>
      </c>
      <c r="K30" s="19">
        <v>928</v>
      </c>
      <c r="L30" s="19">
        <v>1170</v>
      </c>
      <c r="M30" s="300"/>
    </row>
    <row r="31" spans="1:13" s="961" customFormat="1">
      <c r="A31" s="2">
        <v>2007</v>
      </c>
      <c r="B31" s="19">
        <v>9067</v>
      </c>
      <c r="C31" s="19">
        <v>158</v>
      </c>
      <c r="D31" s="19">
        <v>42</v>
      </c>
      <c r="E31" s="19">
        <v>268</v>
      </c>
      <c r="F31" s="19">
        <v>225</v>
      </c>
      <c r="G31" s="19">
        <v>2146</v>
      </c>
      <c r="H31" s="19">
        <v>3524</v>
      </c>
      <c r="I31" s="19">
        <v>310</v>
      </c>
      <c r="J31" s="19">
        <v>265</v>
      </c>
      <c r="K31" s="19">
        <v>946</v>
      </c>
      <c r="L31" s="19">
        <v>1184</v>
      </c>
      <c r="M31" s="300"/>
    </row>
    <row r="32" spans="1:13">
      <c r="A32" s="961"/>
      <c r="B32" s="1053"/>
      <c r="C32" s="960"/>
      <c r="D32" s="962" t="s">
        <v>802</v>
      </c>
      <c r="E32" s="960"/>
      <c r="F32" s="960"/>
      <c r="G32" s="960"/>
      <c r="H32" s="960"/>
      <c r="I32" s="960"/>
      <c r="J32" s="960"/>
      <c r="K32" s="960"/>
      <c r="L32" s="960"/>
    </row>
    <row r="33" spans="1:14">
      <c r="A33" s="448" t="s">
        <v>603</v>
      </c>
      <c r="B33" s="27">
        <f>((((B13/B5))^(1/8))-1)*100</f>
        <v>1.4261420712571748</v>
      </c>
      <c r="C33" s="27">
        <f t="shared" ref="C33:L33" si="0">((((C13/C5))^(1/8))-1)*100</f>
        <v>1.4000303408909121</v>
      </c>
      <c r="D33" s="27">
        <f t="shared" si="0"/>
        <v>1.1613585072673294</v>
      </c>
      <c r="E33" s="27">
        <f t="shared" si="0"/>
        <v>1.2970333069953544</v>
      </c>
      <c r="F33" s="27">
        <f t="shared" si="0"/>
        <v>1.2489629647639333</v>
      </c>
      <c r="G33" s="27">
        <f t="shared" si="0"/>
        <v>1.1514345059062903</v>
      </c>
      <c r="H33" s="27">
        <f t="shared" si="0"/>
        <v>1.8298905797661247</v>
      </c>
      <c r="I33" s="27">
        <f t="shared" si="0"/>
        <v>0.89723831663830467</v>
      </c>
      <c r="J33" s="27">
        <f t="shared" si="0"/>
        <v>0.38243848505206124</v>
      </c>
      <c r="K33" s="27">
        <f t="shared" si="0"/>
        <v>1.1176088078003188</v>
      </c>
      <c r="L33" s="27">
        <f t="shared" si="0"/>
        <v>1.6292630989791057</v>
      </c>
    </row>
    <row r="34" spans="1:14">
      <c r="A34" s="448" t="s">
        <v>604</v>
      </c>
      <c r="B34" s="27">
        <f>((((B24/B13))^(1/11))-1)*100</f>
        <v>1.1243819002844768</v>
      </c>
      <c r="C34" s="27">
        <f t="shared" ref="C34:L34" si="1">((((C24/C13))^(1/11))-1)*100</f>
        <v>0.1778360872644047</v>
      </c>
      <c r="D34" s="27">
        <f t="shared" si="1"/>
        <v>1.2550939376665404</v>
      </c>
      <c r="E34" s="27">
        <f t="shared" si="1"/>
        <v>0.64658888801187864</v>
      </c>
      <c r="F34" s="27">
        <f t="shared" si="1"/>
        <v>0.61399655181457735</v>
      </c>
      <c r="G34" s="27">
        <f t="shared" si="1"/>
        <v>0.5272822114911202</v>
      </c>
      <c r="H34" s="27">
        <f t="shared" si="1"/>
        <v>1.4266047408430849</v>
      </c>
      <c r="I34" s="27">
        <f t="shared" si="1"/>
        <v>0.24769319512059074</v>
      </c>
      <c r="J34" s="27">
        <f t="shared" si="1"/>
        <v>-3.4234891209450335E-2</v>
      </c>
      <c r="K34" s="27">
        <f t="shared" si="1"/>
        <v>1.7855968206643258</v>
      </c>
      <c r="L34" s="27">
        <f t="shared" si="1"/>
        <v>1.9082085462353016</v>
      </c>
    </row>
    <row r="35" spans="1:14">
      <c r="A35" s="448" t="s">
        <v>447</v>
      </c>
      <c r="B35" s="27">
        <f>((((B31/B5))^(1/26))-1)*100</f>
        <v>1.2224364942649002</v>
      </c>
      <c r="C35" s="27">
        <f t="shared" ref="C35:L35" si="2">((((C31/C5))^(1/26))-1)*100</f>
        <v>0.57835894872284577</v>
      </c>
      <c r="D35" s="27">
        <f t="shared" si="2"/>
        <v>1.1748571475322267</v>
      </c>
      <c r="E35" s="27">
        <f t="shared" si="2"/>
        <v>0.74438874236406605</v>
      </c>
      <c r="F35" s="27">
        <f t="shared" si="2"/>
        <v>0.81908132382002563</v>
      </c>
      <c r="G35" s="27">
        <f t="shared" si="2"/>
        <v>0.76117507690980357</v>
      </c>
      <c r="H35" s="27">
        <f t="shared" si="2"/>
        <v>1.5374948872487693</v>
      </c>
      <c r="I35" s="27">
        <f t="shared" si="2"/>
        <v>0.53276160987012489</v>
      </c>
      <c r="J35" s="27">
        <f t="shared" si="2"/>
        <v>0.10301549017663891</v>
      </c>
      <c r="K35" s="27">
        <f t="shared" si="2"/>
        <v>1.6827617050009014</v>
      </c>
      <c r="L35" s="27">
        <f t="shared" si="2"/>
        <v>1.6787979112440787</v>
      </c>
    </row>
    <row r="36" spans="1:14">
      <c r="A36" s="448" t="s">
        <v>449</v>
      </c>
      <c r="B36" s="27">
        <f>((((B31/B24))^(1/7))-1)*100</f>
        <v>1.1440548965145902</v>
      </c>
      <c r="C36" s="27">
        <f t="shared" ref="C36:L36" si="3">((((C31/C24))^(1/7))-1)*100</f>
        <v>0.27423127232848454</v>
      </c>
      <c r="D36" s="27">
        <f t="shared" si="3"/>
        <v>1.0643092184314806</v>
      </c>
      <c r="E36" s="27">
        <f t="shared" si="3"/>
        <v>0.26940436214260011</v>
      </c>
      <c r="F36" s="27">
        <f t="shared" si="3"/>
        <v>0.65157606758028397</v>
      </c>
      <c r="G36" s="27">
        <f t="shared" si="3"/>
        <v>0.68402852796130009</v>
      </c>
      <c r="H36" s="27">
        <f t="shared" si="3"/>
        <v>1.3782847243864582</v>
      </c>
      <c r="I36" s="27">
        <f t="shared" si="3"/>
        <v>0.56557639216370248</v>
      </c>
      <c r="J36" s="27">
        <f t="shared" si="3"/>
        <v>0</v>
      </c>
      <c r="K36" s="27">
        <f t="shared" si="3"/>
        <v>2.1701000791056968</v>
      </c>
      <c r="L36" s="27">
        <f t="shared" si="3"/>
        <v>1.375778991516996</v>
      </c>
    </row>
    <row r="37" spans="1:14">
      <c r="A37" s="448"/>
      <c r="B37" s="961"/>
      <c r="C37" s="961"/>
      <c r="D37" s="27" t="s">
        <v>276</v>
      </c>
      <c r="E37" s="961"/>
      <c r="F37" s="961"/>
      <c r="G37" s="961"/>
      <c r="H37" s="961"/>
      <c r="I37" s="961"/>
      <c r="J37" s="961"/>
      <c r="K37" s="961"/>
      <c r="L37" s="961"/>
    </row>
    <row r="38" spans="1:14">
      <c r="A38" s="448" t="s">
        <v>447</v>
      </c>
      <c r="B38" s="12">
        <f>(B31/B5-1)*100</f>
        <v>37.150204205112679</v>
      </c>
      <c r="C38" s="12">
        <f t="shared" ref="C38:L38" si="4">(C31/C5-1)*100</f>
        <v>16.176470588235304</v>
      </c>
      <c r="D38" s="12">
        <f t="shared" si="4"/>
        <v>35.483870967741929</v>
      </c>
      <c r="E38" s="12">
        <f t="shared" si="4"/>
        <v>21.266968325791847</v>
      </c>
      <c r="F38" s="12">
        <f t="shared" si="4"/>
        <v>23.626373626373631</v>
      </c>
      <c r="G38" s="12">
        <f t="shared" si="4"/>
        <v>21.793416572077184</v>
      </c>
      <c r="H38" s="12">
        <f t="shared" si="4"/>
        <v>48.691983122362871</v>
      </c>
      <c r="I38" s="12">
        <f t="shared" si="4"/>
        <v>14.814814814814813</v>
      </c>
      <c r="J38" s="12">
        <f t="shared" si="4"/>
        <v>2.7131782945736482</v>
      </c>
      <c r="K38" s="12">
        <f t="shared" si="4"/>
        <v>54.323001631321375</v>
      </c>
      <c r="L38" s="12">
        <f t="shared" si="4"/>
        <v>54.166666666666671</v>
      </c>
    </row>
    <row r="39" spans="1:14">
      <c r="A39" s="140"/>
    </row>
    <row r="40" spans="1:14" ht="25.5" customHeight="1">
      <c r="A40" s="1170" t="s">
        <v>1264</v>
      </c>
      <c r="B40" s="1170"/>
      <c r="C40" s="1170"/>
      <c r="D40" s="1170"/>
      <c r="E40" s="1170"/>
      <c r="F40" s="1170"/>
      <c r="G40" s="1170"/>
      <c r="H40" s="1170"/>
      <c r="I40" s="1170"/>
      <c r="J40" s="1170"/>
      <c r="K40" s="1170"/>
      <c r="L40" s="1170"/>
      <c r="M40" s="643"/>
      <c r="N40" s="643"/>
    </row>
    <row r="41" spans="1:14">
      <c r="A41" s="4" t="s">
        <v>1917</v>
      </c>
      <c r="B41" s="9"/>
      <c r="C41" s="9"/>
      <c r="D41" s="9"/>
      <c r="E41" s="9"/>
      <c r="F41" s="9"/>
      <c r="G41" s="9"/>
      <c r="H41" s="9"/>
      <c r="I41" s="9"/>
      <c r="J41" s="9"/>
      <c r="K41" s="9"/>
      <c r="L41" s="9"/>
    </row>
    <row r="42" spans="1:14">
      <c r="A42" s="4" t="s">
        <v>388</v>
      </c>
      <c r="B42" s="9"/>
      <c r="C42" s="9"/>
      <c r="D42" s="9"/>
      <c r="E42" s="9"/>
      <c r="F42" s="9"/>
      <c r="G42" s="9"/>
      <c r="H42" s="9"/>
      <c r="I42" s="9"/>
      <c r="J42" s="9"/>
      <c r="K42" s="9"/>
      <c r="L42" s="9"/>
    </row>
    <row r="43" spans="1:14" s="16" customFormat="1" ht="27.75" customHeight="1">
      <c r="A43" s="1168" t="s">
        <v>1003</v>
      </c>
      <c r="B43" s="1169"/>
      <c r="C43" s="1169"/>
      <c r="D43" s="1169"/>
      <c r="E43" s="1169"/>
      <c r="F43" s="1169"/>
      <c r="G43" s="1169"/>
      <c r="H43" s="1169"/>
      <c r="I43" s="1169"/>
      <c r="J43" s="1169"/>
      <c r="K43" s="1169"/>
      <c r="L43" s="1169"/>
    </row>
    <row r="44" spans="1:14" ht="12.75" customHeight="1"/>
    <row r="45" spans="1:14" s="16" customFormat="1" ht="29.25" customHeight="1">
      <c r="A45" s="1"/>
      <c r="B45" s="1"/>
      <c r="C45" s="1"/>
      <c r="D45" s="1"/>
      <c r="E45" s="1"/>
      <c r="F45" s="1"/>
      <c r="G45" s="1"/>
      <c r="H45" s="1"/>
      <c r="I45" s="1"/>
      <c r="J45" s="1"/>
      <c r="K45" s="1"/>
      <c r="L45" s="1"/>
      <c r="M45" s="1"/>
      <c r="N45" s="1"/>
    </row>
  </sheetData>
  <mergeCells count="13">
    <mergeCell ref="A43:L43"/>
    <mergeCell ref="A40:L40"/>
    <mergeCell ref="J3:J4"/>
    <mergeCell ref="K3:K4"/>
    <mergeCell ref="L3:L4"/>
    <mergeCell ref="F3:F4"/>
    <mergeCell ref="G3:G4"/>
    <mergeCell ref="H3:H4"/>
    <mergeCell ref="I3:I4"/>
    <mergeCell ref="B3:B4"/>
    <mergeCell ref="C3:C4"/>
    <mergeCell ref="D3:D4"/>
    <mergeCell ref="E3:E4"/>
  </mergeCells>
  <phoneticPr fontId="35" type="noConversion"/>
  <pageMargins left="0.75" right="0.75" top="1" bottom="1" header="0.5" footer="0.5"/>
  <pageSetup scale="80" orientation="landscape" horizontalDpi="300" verticalDpi="300" r:id="rId1"/>
  <headerFooter alignWithMargins="0"/>
</worksheet>
</file>

<file path=xl/worksheets/sheet50.xml><?xml version="1.0" encoding="utf-8"?>
<worksheet xmlns="http://schemas.openxmlformats.org/spreadsheetml/2006/main" xmlns:r="http://schemas.openxmlformats.org/officeDocument/2006/relationships">
  <sheetPr codeName="Sheet38">
    <pageSetUpPr fitToPage="1"/>
  </sheetPr>
  <dimension ref="A1:Q103"/>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5" width="8.85546875" style="1" customWidth="1"/>
    <col min="16" max="17" width="9.42578125" style="1" hidden="1" customWidth="1"/>
    <col min="18" max="16384" width="8.85546875" style="1"/>
  </cols>
  <sheetData>
    <row r="1" spans="1:17" ht="18.75">
      <c r="A1" s="4"/>
      <c r="B1" s="3" t="s">
        <v>2134</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M4" s="1054"/>
      <c r="N4" s="1048" t="s">
        <v>282</v>
      </c>
      <c r="O4" s="1048" t="s">
        <v>282</v>
      </c>
      <c r="P4" s="645" t="s">
        <v>281</v>
      </c>
      <c r="Q4" s="645" t="s">
        <v>281</v>
      </c>
    </row>
    <row r="5" spans="1:17">
      <c r="A5" s="2">
        <v>1981</v>
      </c>
      <c r="B5" s="135">
        <f>'12b'!B5/'12b'!$B5*100</f>
        <v>100</v>
      </c>
      <c r="C5" s="10">
        <f>'12b'!C5/'12b'!$B5*100</f>
        <v>93.03675048355899</v>
      </c>
      <c r="D5" s="10">
        <f>'12b'!D5/'12b'!$B5*100</f>
        <v>75.822050290135394</v>
      </c>
      <c r="E5" s="10">
        <f>'12b'!E5/'12b'!$B5*100</f>
        <v>82.591876208897489</v>
      </c>
      <c r="F5" s="10">
        <f>'12b'!F5/'12b'!$B5*100</f>
        <v>80.464216634429391</v>
      </c>
      <c r="G5" s="10">
        <f>'12b'!G5/'12b'!$B5*100</f>
        <v>91.682785299806582</v>
      </c>
      <c r="H5" s="10">
        <f>'12b'!H5/'12b'!$B5*100</f>
        <v>108.31721470019342</v>
      </c>
      <c r="I5" s="10">
        <f>'12b'!I5/'12b'!$B5*100</f>
        <v>87.620889748549331</v>
      </c>
      <c r="J5" s="10">
        <f>'12b'!J5/'12b'!$B5*100</f>
        <v>91.295938104448737</v>
      </c>
      <c r="K5" s="10">
        <f>'12b'!K5/'12b'!$B5*100</f>
        <v>111.99226305609284</v>
      </c>
      <c r="L5" s="10">
        <f>'12b'!L5/'12b'!$B5*100</f>
        <v>107.54352030947776</v>
      </c>
      <c r="N5" s="19">
        <f>SUM(C77:L77)/10</f>
        <v>188.58239583372301</v>
      </c>
      <c r="O5" s="19">
        <f>SQRT(N5)</f>
        <v>13.732530569189461</v>
      </c>
      <c r="P5" s="19">
        <f>Q5^2</f>
        <v>140.09555200550821</v>
      </c>
      <c r="Q5" s="19">
        <f>STDEVP(C5:L5)</f>
        <v>11.836196686668746</v>
      </c>
    </row>
    <row r="6" spans="1:17">
      <c r="A6" s="2">
        <v>1982</v>
      </c>
      <c r="B6" s="135">
        <f>'12b'!B6/'12b'!$B6*100</f>
        <v>100</v>
      </c>
      <c r="C6" s="10">
        <f>'12b'!C6/'12b'!$B6*100</f>
        <v>89.759036144578303</v>
      </c>
      <c r="D6" s="10">
        <f>'12b'!D6/'12b'!$B6*100</f>
        <v>79.317269076305223</v>
      </c>
      <c r="E6" s="10">
        <f>'12b'!E6/'12b'!$B6*100</f>
        <v>83.935742971887549</v>
      </c>
      <c r="F6" s="10">
        <f>'12b'!F6/'12b'!$B6*100</f>
        <v>80.92369477911646</v>
      </c>
      <c r="G6" s="10">
        <f>'12b'!G6/'12b'!$B6*100</f>
        <v>93.373493975903614</v>
      </c>
      <c r="H6" s="10">
        <f>'12b'!H6/'12b'!$B6*100</f>
        <v>105.42168674698796</v>
      </c>
      <c r="I6" s="10">
        <f>'12b'!I6/'12b'!$B6*100</f>
        <v>89.558232931726906</v>
      </c>
      <c r="J6" s="10">
        <f>'12b'!J6/'12b'!$B6*100</f>
        <v>92.570281124497996</v>
      </c>
      <c r="K6" s="10">
        <f>'12b'!K6/'12b'!$B6*100</f>
        <v>114.65863453815261</v>
      </c>
      <c r="L6" s="10">
        <f>'12b'!L6/'12b'!$B6*100</f>
        <v>105.22088353413655</v>
      </c>
      <c r="N6" s="19">
        <f t="shared" ref="N6:N28" si="0">SUM(C78:L78)/10</f>
        <v>163.42881566426351</v>
      </c>
      <c r="O6" s="19">
        <f t="shared" ref="O6:O29" si="1">SQRT(N6)</f>
        <v>12.783928021710054</v>
      </c>
      <c r="P6" s="19">
        <f t="shared" ref="P6:P28" si="2">Q6^2</f>
        <v>120.83877679392231</v>
      </c>
      <c r="Q6" s="19">
        <f t="shared" ref="Q6:Q28" si="3">STDEVP(C6:L6)</f>
        <v>10.99266922971497</v>
      </c>
    </row>
    <row r="7" spans="1:17">
      <c r="A7" s="2">
        <v>1983</v>
      </c>
      <c r="B7" s="135">
        <f>'12b'!B7/'12b'!$B7*100</f>
        <v>100</v>
      </c>
      <c r="C7" s="10">
        <f>'12b'!C7/'12b'!$B7*100</f>
        <v>82.291666666666657</v>
      </c>
      <c r="D7" s="10">
        <f>'12b'!D7/'12b'!$B7*100</f>
        <v>87.083333333333329</v>
      </c>
      <c r="E7" s="10">
        <f>'12b'!E7/'12b'!$B7*100</f>
        <v>80.208333333333343</v>
      </c>
      <c r="F7" s="10">
        <f>'12b'!F7/'12b'!$B7*100</f>
        <v>79.583333333333329</v>
      </c>
      <c r="G7" s="10">
        <f>'12b'!G7/'12b'!$B7*100</f>
        <v>94.791666666666657</v>
      </c>
      <c r="H7" s="10">
        <f>'12b'!H7/'12b'!$B7*100</f>
        <v>106.25</v>
      </c>
      <c r="I7" s="10">
        <f>'12b'!I7/'12b'!$B7*100</f>
        <v>94.583333333333329</v>
      </c>
      <c r="J7" s="10">
        <f>'12b'!J7/'12b'!$B7*100</f>
        <v>89.166666666666671</v>
      </c>
      <c r="K7" s="10">
        <f>'12b'!K7/'12b'!$B7*100</f>
        <v>109.79166666666667</v>
      </c>
      <c r="L7" s="10">
        <f>'12b'!L7/'12b'!$B7*100</f>
        <v>104.375</v>
      </c>
      <c r="N7" s="19">
        <f t="shared" si="0"/>
        <v>161.6883680555556</v>
      </c>
      <c r="O7" s="19">
        <f t="shared" si="1"/>
        <v>12.715674109364222</v>
      </c>
      <c r="P7" s="19">
        <f t="shared" si="2"/>
        <v>110.0282118055562</v>
      </c>
      <c r="Q7" s="19">
        <f t="shared" si="3"/>
        <v>10.48943334053638</v>
      </c>
    </row>
    <row r="8" spans="1:17">
      <c r="A8" s="2">
        <v>1984</v>
      </c>
      <c r="B8" s="135">
        <f>'12b'!B8/'12b'!$B8*100</f>
        <v>100</v>
      </c>
      <c r="C8" s="10">
        <f>'12b'!C8/'12b'!$B8*100</f>
        <v>84.472049689440993</v>
      </c>
      <c r="D8" s="10">
        <f>'12b'!D8/'12b'!$B8*100</f>
        <v>83.229813664596278</v>
      </c>
      <c r="E8" s="10">
        <f>'12b'!E8/'12b'!$B8*100</f>
        <v>87.991718426501038</v>
      </c>
      <c r="F8" s="10">
        <f>'12b'!F8/'12b'!$B8*100</f>
        <v>87.370600414078666</v>
      </c>
      <c r="G8" s="10">
        <f>'12b'!G8/'12b'!$B8*100</f>
        <v>94.616977225672883</v>
      </c>
      <c r="H8" s="10">
        <f>'12b'!H8/'12b'!$B8*100</f>
        <v>109.73084886128363</v>
      </c>
      <c r="I8" s="10">
        <f>'12b'!I8/'12b'!$B8*100</f>
        <v>95.031055900621126</v>
      </c>
      <c r="J8" s="10">
        <f>'12b'!J8/'12b'!$B8*100</f>
        <v>89.85507246376811</v>
      </c>
      <c r="K8" s="10">
        <f>'12b'!K8/'12b'!$B8*100</f>
        <v>103.31262939958592</v>
      </c>
      <c r="L8" s="10">
        <f>'12b'!L8/'12b'!$B8*100</f>
        <v>96.273291925465841</v>
      </c>
      <c r="N8" s="19">
        <f t="shared" si="0"/>
        <v>110.21951313606723</v>
      </c>
      <c r="O8" s="19">
        <f t="shared" si="1"/>
        <v>10.498548144199141</v>
      </c>
      <c r="P8" s="19">
        <f t="shared" si="2"/>
        <v>63.821697551105181</v>
      </c>
      <c r="Q8" s="19">
        <f t="shared" si="3"/>
        <v>7.9888483244523538</v>
      </c>
    </row>
    <row r="9" spans="1:17">
      <c r="A9" s="2">
        <v>1985</v>
      </c>
      <c r="B9" s="135">
        <f>'12b'!B9/'12b'!$B9*100</f>
        <v>100</v>
      </c>
      <c r="C9" s="10">
        <f>'12b'!C9/'12b'!$B9*100</f>
        <v>82.040816326530603</v>
      </c>
      <c r="D9" s="10">
        <f>'12b'!D9/'12b'!$B9*100</f>
        <v>80.408163265306115</v>
      </c>
      <c r="E9" s="10">
        <f>'12b'!E9/'12b'!$B9*100</f>
        <v>86.326530612244895</v>
      </c>
      <c r="F9" s="10">
        <f>'12b'!F9/'12b'!$B9*100</f>
        <v>85.91836734693878</v>
      </c>
      <c r="G9" s="10">
        <f>'12b'!G9/'12b'!$B9*100</f>
        <v>93.877551020408163</v>
      </c>
      <c r="H9" s="10">
        <f>'12b'!H9/'12b'!$B9*100</f>
        <v>110.61224489795917</v>
      </c>
      <c r="I9" s="10">
        <f>'12b'!I9/'12b'!$B9*100</f>
        <v>91.632653061224488</v>
      </c>
      <c r="J9" s="10">
        <f>'12b'!J9/'12b'!$B9*100</f>
        <v>90.204081632653072</v>
      </c>
      <c r="K9" s="10">
        <f>'12b'!K9/'12b'!$B9*100</f>
        <v>105.51020408163265</v>
      </c>
      <c r="L9" s="10">
        <f>'12b'!L9/'12b'!$B9*100</f>
        <v>94.08163265306122</v>
      </c>
      <c r="N9" s="19">
        <f t="shared" si="0"/>
        <v>147.30945439400253</v>
      </c>
      <c r="O9" s="19">
        <f t="shared" si="1"/>
        <v>12.137110627904919</v>
      </c>
      <c r="P9" s="19">
        <f t="shared" si="2"/>
        <v>84.285297792586505</v>
      </c>
      <c r="Q9" s="19">
        <f t="shared" si="3"/>
        <v>9.1807024672726705</v>
      </c>
    </row>
    <row r="10" spans="1:17">
      <c r="A10" s="2">
        <v>1986</v>
      </c>
      <c r="B10" s="135">
        <f>'12b'!B10/'12b'!$B10*100</f>
        <v>100</v>
      </c>
      <c r="C10" s="10">
        <f>'12b'!C10/'12b'!$B10*100</f>
        <v>79.637096774193552</v>
      </c>
      <c r="D10" s="10">
        <f>'12b'!D10/'12b'!$B10*100</f>
        <v>83.66935483870968</v>
      </c>
      <c r="E10" s="10">
        <f>'12b'!E10/'12b'!$B10*100</f>
        <v>86.088709677419345</v>
      </c>
      <c r="F10" s="10">
        <f>'12b'!F10/'12b'!$B10*100</f>
        <v>89.314516129032256</v>
      </c>
      <c r="G10" s="10">
        <f>'12b'!G10/'12b'!$B10*100</f>
        <v>91.33064516129032</v>
      </c>
      <c r="H10" s="10">
        <f>'12b'!H10/'12b'!$B10*100</f>
        <v>113.10483870967742</v>
      </c>
      <c r="I10" s="10">
        <f>'12b'!I10/'12b'!$B10*100</f>
        <v>92.137096774193552</v>
      </c>
      <c r="J10" s="10">
        <f>'12b'!J10/'12b'!$B10*100</f>
        <v>82.862903225806448</v>
      </c>
      <c r="K10" s="10">
        <f>'12b'!K10/'12b'!$B10*100</f>
        <v>103.0241935483871</v>
      </c>
      <c r="L10" s="10">
        <f>'12b'!L10/'12b'!$B10*100</f>
        <v>100.60483870967742</v>
      </c>
      <c r="N10" s="19">
        <f t="shared" si="0"/>
        <v>160.09527835587932</v>
      </c>
      <c r="O10" s="19">
        <f t="shared" si="1"/>
        <v>12.652876287859584</v>
      </c>
      <c r="P10" s="19">
        <f t="shared" si="2"/>
        <v>98.902510405827783</v>
      </c>
      <c r="Q10" s="19">
        <f t="shared" si="3"/>
        <v>9.9449741279617108</v>
      </c>
    </row>
    <row r="11" spans="1:17">
      <c r="A11" s="2">
        <v>1987</v>
      </c>
      <c r="B11" s="135">
        <f>'12b'!B11/'12b'!$B11*100</f>
        <v>100</v>
      </c>
      <c r="C11" s="10">
        <f>'12b'!C11/'12b'!$B11*100</f>
        <v>86.491935483870961</v>
      </c>
      <c r="D11" s="10">
        <f>'12b'!D11/'12b'!$B11*100</f>
        <v>86.088709677419345</v>
      </c>
      <c r="E11" s="10">
        <f>'12b'!E11/'12b'!$B11*100</f>
        <v>91.935483870967744</v>
      </c>
      <c r="F11" s="10">
        <f>'12b'!F11/'12b'!$B11*100</f>
        <v>83.467741935483872</v>
      </c>
      <c r="G11" s="10">
        <f>'12b'!G11/'12b'!$B11*100</f>
        <v>91.33064516129032</v>
      </c>
      <c r="H11" s="10">
        <f>'12b'!H11/'12b'!$B11*100</f>
        <v>115.3225806451613</v>
      </c>
      <c r="I11" s="10">
        <f>'12b'!I11/'12b'!$B11*100</f>
        <v>89.516129032258064</v>
      </c>
      <c r="J11" s="10">
        <f>'12b'!J11/'12b'!$B11*100</f>
        <v>87.096774193548384</v>
      </c>
      <c r="K11" s="10">
        <f>'12b'!K11/'12b'!$B11*100</f>
        <v>101.00806451612902</v>
      </c>
      <c r="L11" s="10">
        <f>'12b'!L11/'12b'!$B11*100</f>
        <v>94.758064516129039</v>
      </c>
      <c r="N11" s="19">
        <f t="shared" si="0"/>
        <v>132.91818418314264</v>
      </c>
      <c r="O11" s="19">
        <f t="shared" si="1"/>
        <v>11.529014883464356</v>
      </c>
      <c r="P11" s="19">
        <f t="shared" si="2"/>
        <v>79.651729968783911</v>
      </c>
      <c r="Q11" s="19">
        <f t="shared" si="3"/>
        <v>8.9247817883007041</v>
      </c>
    </row>
    <row r="12" spans="1:17">
      <c r="A12" s="2">
        <v>1988</v>
      </c>
      <c r="B12" s="135">
        <f>'12b'!B12/'12b'!$B12*100</f>
        <v>100</v>
      </c>
      <c r="C12" s="10">
        <f>'12b'!C12/'12b'!$B12*100</f>
        <v>88.514851485148512</v>
      </c>
      <c r="D12" s="10">
        <f>'12b'!D12/'12b'!$B12*100</f>
        <v>80.396039603960403</v>
      </c>
      <c r="E12" s="10">
        <f>'12b'!E12/'12b'!$B12*100</f>
        <v>89.900990099009903</v>
      </c>
      <c r="F12" s="10">
        <f>'12b'!F12/'12b'!$B12*100</f>
        <v>85.544554455445549</v>
      </c>
      <c r="G12" s="10">
        <f>'12b'!G12/'12b'!$B12*100</f>
        <v>89.900990099009903</v>
      </c>
      <c r="H12" s="10">
        <f>'12b'!H12/'12b'!$B12*100</f>
        <v>115.64356435643563</v>
      </c>
      <c r="I12" s="10">
        <f>'12b'!I12/'12b'!$B12*100</f>
        <v>89.10891089108911</v>
      </c>
      <c r="J12" s="10">
        <f>'12b'!J12/'12b'!$B12*100</f>
        <v>82.772277227722768</v>
      </c>
      <c r="K12" s="10">
        <f>'12b'!K12/'12b'!$B12*100</f>
        <v>102.57425742574257</v>
      </c>
      <c r="L12" s="10">
        <f>'12b'!L12/'12b'!$B12*100</f>
        <v>99.801980198019805</v>
      </c>
      <c r="N12" s="19">
        <f t="shared" si="0"/>
        <v>159.59611802764431</v>
      </c>
      <c r="O12" s="19">
        <f t="shared" si="1"/>
        <v>12.633135716347082</v>
      </c>
      <c r="P12" s="19">
        <f t="shared" si="2"/>
        <v>102.07665915106422</v>
      </c>
      <c r="Q12" s="19">
        <f t="shared" si="3"/>
        <v>10.103299419054363</v>
      </c>
    </row>
    <row r="13" spans="1:17">
      <c r="A13" s="2">
        <v>1989</v>
      </c>
      <c r="B13" s="135">
        <f>'12b'!B13/'12b'!$B13*100</f>
        <v>100</v>
      </c>
      <c r="C13" s="10">
        <f>'12b'!C13/'12b'!$B13*100</f>
        <v>88.697318007662844</v>
      </c>
      <c r="D13" s="10">
        <f>'12b'!D13/'12b'!$B13*100</f>
        <v>77.777777777777786</v>
      </c>
      <c r="E13" s="10">
        <f>'12b'!E13/'12b'!$B13*100</f>
        <v>85.632183908045974</v>
      </c>
      <c r="F13" s="10">
        <f>'12b'!F13/'12b'!$B13*100</f>
        <v>85.82375478927203</v>
      </c>
      <c r="G13" s="10">
        <f>'12b'!G13/'12b'!$B13*100</f>
        <v>91.187739463601531</v>
      </c>
      <c r="H13" s="10">
        <f>'12b'!H13/'12b'!$B13*100</f>
        <v>114.17624521072798</v>
      </c>
      <c r="I13" s="10">
        <f>'12b'!I13/'12b'!$B13*100</f>
        <v>87.931034482758619</v>
      </c>
      <c r="J13" s="10">
        <f>'12b'!J13/'12b'!$B13*100</f>
        <v>82.950191570881231</v>
      </c>
      <c r="K13" s="10">
        <f>'12b'!K13/'12b'!$B13*100</f>
        <v>100.95785440613028</v>
      </c>
      <c r="L13" s="10">
        <f>'12b'!L13/'12b'!$B13*100</f>
        <v>100</v>
      </c>
      <c r="N13" s="19">
        <f t="shared" si="0"/>
        <v>174.48730934660381</v>
      </c>
      <c r="O13" s="19">
        <f t="shared" si="1"/>
        <v>13.209364456574125</v>
      </c>
      <c r="P13" s="19">
        <f t="shared" si="2"/>
        <v>102.46509886819287</v>
      </c>
      <c r="Q13" s="19">
        <f t="shared" si="3"/>
        <v>10.122504574866483</v>
      </c>
    </row>
    <row r="14" spans="1:17">
      <c r="A14" s="2">
        <v>1990</v>
      </c>
      <c r="B14" s="135">
        <f>'12b'!B14/'12b'!$B14*100</f>
        <v>100</v>
      </c>
      <c r="C14" s="10">
        <f>'12b'!C14/'12b'!$B14*100</f>
        <v>86.746987951807228</v>
      </c>
      <c r="D14" s="10">
        <f>'12b'!D14/'12b'!$B14*100</f>
        <v>84.337349397590373</v>
      </c>
      <c r="E14" s="10">
        <f>'12b'!E14/'12b'!$B14*100</f>
        <v>88.554216867469876</v>
      </c>
      <c r="F14" s="10">
        <f>'12b'!F14/'12b'!$B14*100</f>
        <v>87.951807228915655</v>
      </c>
      <c r="G14" s="10">
        <f>'12b'!G14/'12b'!$B14*100</f>
        <v>86.947791164658639</v>
      </c>
      <c r="H14" s="10">
        <f>'12b'!H14/'12b'!$B14*100</f>
        <v>114.85943775100402</v>
      </c>
      <c r="I14" s="10">
        <f>'12b'!I14/'12b'!$B14*100</f>
        <v>91.365461847389568</v>
      </c>
      <c r="J14" s="10">
        <f>'12b'!J14/'12b'!$B14*100</f>
        <v>84.136546184738961</v>
      </c>
      <c r="K14" s="10">
        <f>'12b'!K14/'12b'!$B14*100</f>
        <v>103.21285140562249</v>
      </c>
      <c r="L14" s="10">
        <f>'12b'!L14/'12b'!$B14*100</f>
        <v>98.99598393574297</v>
      </c>
      <c r="N14" s="19">
        <f t="shared" si="0"/>
        <v>142.58237770358542</v>
      </c>
      <c r="O14" s="19">
        <f t="shared" si="1"/>
        <v>11.940786310104768</v>
      </c>
      <c r="P14" s="19">
        <f t="shared" si="2"/>
        <v>89.450573377845558</v>
      </c>
      <c r="Q14" s="19">
        <f t="shared" si="3"/>
        <v>9.4578313253010364</v>
      </c>
    </row>
    <row r="15" spans="1:17">
      <c r="A15" s="2">
        <v>1991</v>
      </c>
      <c r="B15" s="135">
        <f>'12b'!B15/'12b'!$B15*100</f>
        <v>100</v>
      </c>
      <c r="C15" s="10">
        <f>'12b'!C15/'12b'!$B15*100</f>
        <v>89.361702127659569</v>
      </c>
      <c r="D15" s="10">
        <f>'12b'!D15/'12b'!$B15*100</f>
        <v>86.808510638297875</v>
      </c>
      <c r="E15" s="10">
        <f>'12b'!E15/'12b'!$B15*100</f>
        <v>90.425531914893625</v>
      </c>
      <c r="F15" s="10">
        <f>'12b'!F15/'12b'!$B15*100</f>
        <v>87.021276595744681</v>
      </c>
      <c r="G15" s="10">
        <f>'12b'!G15/'12b'!$B15*100</f>
        <v>90.212765957446805</v>
      </c>
      <c r="H15" s="10">
        <f>'12b'!H15/'12b'!$B15*100</f>
        <v>111.48936170212767</v>
      </c>
      <c r="I15" s="10">
        <f>'12b'!I15/'12b'!$B15*100</f>
        <v>90</v>
      </c>
      <c r="J15" s="10">
        <f>'12b'!J15/'12b'!$B15*100</f>
        <v>86.382978723404264</v>
      </c>
      <c r="K15" s="10">
        <f>'12b'!K15/'12b'!$B15*100</f>
        <v>103.82978723404254</v>
      </c>
      <c r="L15" s="10">
        <f>'12b'!L15/'12b'!$B15*100</f>
        <v>100.21276595744682</v>
      </c>
      <c r="N15" s="19">
        <f t="shared" si="0"/>
        <v>107.5237664101403</v>
      </c>
      <c r="O15" s="19">
        <f t="shared" si="1"/>
        <v>10.369366731393981</v>
      </c>
      <c r="P15" s="19">
        <f t="shared" si="2"/>
        <v>66.236306020825864</v>
      </c>
      <c r="Q15" s="19">
        <f t="shared" si="3"/>
        <v>8.1385690401216024</v>
      </c>
    </row>
    <row r="16" spans="1:17">
      <c r="A16" s="2">
        <v>1992</v>
      </c>
      <c r="B16" s="135">
        <f>'12b'!B16/'12b'!$B16*100</f>
        <v>100</v>
      </c>
      <c r="C16" s="10">
        <f>'12b'!C16/'12b'!$B16*100</f>
        <v>87.606837606837601</v>
      </c>
      <c r="D16" s="10">
        <f>'12b'!D16/'12b'!$B16*100</f>
        <v>89.316239316239319</v>
      </c>
      <c r="E16" s="10">
        <f>'12b'!E16/'12b'!$B16*100</f>
        <v>89.102564102564102</v>
      </c>
      <c r="F16" s="10">
        <f>'12b'!F16/'12b'!$B16*100</f>
        <v>87.820512820512818</v>
      </c>
      <c r="G16" s="10">
        <f>'12b'!G16/'12b'!$B16*100</f>
        <v>88.888888888888886</v>
      </c>
      <c r="H16" s="10">
        <f>'12b'!H16/'12b'!$B16*100</f>
        <v>113.46153846153845</v>
      </c>
      <c r="I16" s="10">
        <f>'12b'!I16/'12b'!$B16*100</f>
        <v>88.247863247863251</v>
      </c>
      <c r="J16" s="10">
        <f>'12b'!J16/'12b'!$B16*100</f>
        <v>85.897435897435898</v>
      </c>
      <c r="K16" s="10">
        <f>'12b'!K16/'12b'!$B16*100</f>
        <v>98.290598290598282</v>
      </c>
      <c r="L16" s="10">
        <f>'12b'!L16/'12b'!$B16*100</f>
        <v>102.13675213675214</v>
      </c>
      <c r="N16" s="19">
        <f t="shared" si="0"/>
        <v>118.39798378259916</v>
      </c>
      <c r="O16" s="19">
        <f t="shared" si="1"/>
        <v>10.881083759561781</v>
      </c>
      <c r="P16" s="19">
        <f t="shared" si="2"/>
        <v>70.468989699758822</v>
      </c>
      <c r="Q16" s="19">
        <f t="shared" si="3"/>
        <v>8.3945809722557811</v>
      </c>
    </row>
    <row r="17" spans="1:17">
      <c r="A17" s="2">
        <v>1993</v>
      </c>
      <c r="B17" s="135">
        <f>'12b'!B17/'12b'!$B17*100</f>
        <v>100</v>
      </c>
      <c r="C17" s="10">
        <f>'12b'!C17/'12b'!$B17*100</f>
        <v>89.934354485776808</v>
      </c>
      <c r="D17" s="10">
        <f>'12b'!D17/'12b'!$B17*100</f>
        <v>89.059080962800877</v>
      </c>
      <c r="E17" s="10">
        <f>'12b'!E17/'12b'!$B17*100</f>
        <v>90.809628008752739</v>
      </c>
      <c r="F17" s="10">
        <f>'12b'!F17/'12b'!$B17*100</f>
        <v>90.153172866520791</v>
      </c>
      <c r="G17" s="10">
        <f>'12b'!G17/'12b'!$B17*100</f>
        <v>88.183807439824946</v>
      </c>
      <c r="H17" s="10">
        <f>'12b'!H17/'12b'!$B17*100</f>
        <v>112.47264770240699</v>
      </c>
      <c r="I17" s="10">
        <f>'12b'!I17/'12b'!$B17*100</f>
        <v>90.153172866520791</v>
      </c>
      <c r="J17" s="10">
        <f>'12b'!J17/'12b'!$B17*100</f>
        <v>85.557986870897153</v>
      </c>
      <c r="K17" s="10">
        <f>'12b'!K17/'12b'!$B17*100</f>
        <v>106.1269146608315</v>
      </c>
      <c r="L17" s="10">
        <f>'12b'!L17/'12b'!$B17*100</f>
        <v>103.28227571115973</v>
      </c>
      <c r="N17" s="19">
        <f t="shared" si="0"/>
        <v>105.14773831811492</v>
      </c>
      <c r="O17" s="19">
        <f t="shared" si="1"/>
        <v>10.254157123728644</v>
      </c>
      <c r="P17" s="19">
        <f t="shared" si="2"/>
        <v>75.698710551642591</v>
      </c>
      <c r="Q17" s="19">
        <f t="shared" si="3"/>
        <v>8.7005005920143805</v>
      </c>
    </row>
    <row r="18" spans="1:17">
      <c r="A18" s="2">
        <v>1994</v>
      </c>
      <c r="B18" s="135">
        <f>'12b'!B18/'12b'!$B18*100</f>
        <v>100</v>
      </c>
      <c r="C18" s="10">
        <f>'12b'!C18/'12b'!$B18*100</f>
        <v>87.44588744588745</v>
      </c>
      <c r="D18" s="10">
        <f>'12b'!D18/'12b'!$B18*100</f>
        <v>88.528138528138527</v>
      </c>
      <c r="E18" s="10">
        <f>'12b'!E18/'12b'!$B18*100</f>
        <v>87.229437229437238</v>
      </c>
      <c r="F18" s="10">
        <f>'12b'!F18/'12b'!$B18*100</f>
        <v>90.259740259740255</v>
      </c>
      <c r="G18" s="10">
        <f>'12b'!G18/'12b'!$B18*100</f>
        <v>89.610389610389603</v>
      </c>
      <c r="H18" s="10">
        <f>'12b'!H18/'12b'!$B18*100</f>
        <v>111.25541125541125</v>
      </c>
      <c r="I18" s="10">
        <f>'12b'!I18/'12b'!$B18*100</f>
        <v>91.991341991341997</v>
      </c>
      <c r="J18" s="10">
        <f>'12b'!J18/'12b'!$B18*100</f>
        <v>87.662337662337663</v>
      </c>
      <c r="K18" s="10">
        <f>'12b'!K18/'12b'!$B18*100</f>
        <v>106.92640692640694</v>
      </c>
      <c r="L18" s="10">
        <f>'12b'!L18/'12b'!$B18*100</f>
        <v>101.51515151515152</v>
      </c>
      <c r="N18" s="19">
        <f t="shared" si="0"/>
        <v>104.84248795937108</v>
      </c>
      <c r="O18" s="19">
        <f t="shared" si="1"/>
        <v>10.239262080803044</v>
      </c>
      <c r="P18" s="19">
        <f t="shared" si="2"/>
        <v>71.69280935514719</v>
      </c>
      <c r="Q18" s="19">
        <f t="shared" si="3"/>
        <v>8.467160643046002</v>
      </c>
    </row>
    <row r="19" spans="1:17">
      <c r="A19" s="2">
        <v>1995</v>
      </c>
      <c r="B19" s="135">
        <f>'12b'!B19/'12b'!$B19*100</f>
        <v>100</v>
      </c>
      <c r="C19" s="10">
        <f>'12b'!C19/'12b'!$B19*100</f>
        <v>87.20173535791757</v>
      </c>
      <c r="D19" s="10">
        <f>'12b'!D19/'12b'!$B19*100</f>
        <v>92.407809110629074</v>
      </c>
      <c r="E19" s="10">
        <f>'12b'!E19/'12b'!$B19*100</f>
        <v>86.334056399132322</v>
      </c>
      <c r="F19" s="10">
        <f>'12b'!F19/'12b'!$B19*100</f>
        <v>88.50325379609545</v>
      </c>
      <c r="G19" s="10">
        <f>'12b'!G19/'12b'!$B19*100</f>
        <v>89.15401301518439</v>
      </c>
      <c r="H19" s="10">
        <f>'12b'!H19/'12b'!$B19*100</f>
        <v>111.49674620390455</v>
      </c>
      <c r="I19" s="10">
        <f>'12b'!I19/'12b'!$B19*100</f>
        <v>93.275488069414308</v>
      </c>
      <c r="J19" s="10">
        <f>'12b'!J19/'12b'!$B19*100</f>
        <v>89.15401301518439</v>
      </c>
      <c r="K19" s="10">
        <f>'12b'!K19/'12b'!$B19*100</f>
        <v>104.77223427331887</v>
      </c>
      <c r="L19" s="10">
        <f>'12b'!L19/'12b'!$B19*100</f>
        <v>102.60303687635574</v>
      </c>
      <c r="N19" s="19">
        <f t="shared" si="0"/>
        <v>98.25852503987835</v>
      </c>
      <c r="O19" s="19">
        <f t="shared" si="1"/>
        <v>9.9125438228478142</v>
      </c>
      <c r="P19" s="19">
        <f t="shared" si="2"/>
        <v>67.901054484025806</v>
      </c>
      <c r="Q19" s="19">
        <f t="shared" si="3"/>
        <v>8.2402096140829943</v>
      </c>
    </row>
    <row r="20" spans="1:17">
      <c r="A20" s="2">
        <v>1996</v>
      </c>
      <c r="B20" s="135">
        <f>'12b'!B20/'12b'!$B20*100</f>
        <v>100</v>
      </c>
      <c r="C20" s="10">
        <f>'12b'!C20/'12b'!$B20*100</f>
        <v>86.123348017621154</v>
      </c>
      <c r="D20" s="10">
        <f>'12b'!D20/'12b'!$B20*100</f>
        <v>93.832599118942724</v>
      </c>
      <c r="E20" s="10">
        <f>'12b'!E20/'12b'!$B20*100</f>
        <v>86.343612334801762</v>
      </c>
      <c r="F20" s="10">
        <f>'12b'!F20/'12b'!$B20*100</f>
        <v>87.88546255506607</v>
      </c>
      <c r="G20" s="10">
        <f>'12b'!G20/'12b'!$B20*100</f>
        <v>89.207048458149785</v>
      </c>
      <c r="H20" s="10">
        <f>'12b'!H20/'12b'!$B20*100</f>
        <v>111.67400881057267</v>
      </c>
      <c r="I20" s="10">
        <f>'12b'!I20/'12b'!$B20*100</f>
        <v>94.052863436123346</v>
      </c>
      <c r="J20" s="10">
        <f>'12b'!J20/'12b'!$B20*100</f>
        <v>89.647577092511014</v>
      </c>
      <c r="K20" s="10">
        <f>'12b'!K20/'12b'!$B20*100</f>
        <v>106.16740088105728</v>
      </c>
      <c r="L20" s="10">
        <f>'12b'!L20/'12b'!$B20*100</f>
        <v>100</v>
      </c>
      <c r="N20" s="19">
        <f t="shared" si="0"/>
        <v>99.72054571212324</v>
      </c>
      <c r="O20" s="19">
        <f t="shared" si="1"/>
        <v>9.9860175101049791</v>
      </c>
      <c r="P20" s="19">
        <f t="shared" si="2"/>
        <v>69.397814822723163</v>
      </c>
      <c r="Q20" s="19">
        <f t="shared" si="3"/>
        <v>8.3305350862188412</v>
      </c>
    </row>
    <row r="21" spans="1:17">
      <c r="A21" s="2">
        <v>1997</v>
      </c>
      <c r="B21" s="135">
        <f>'12b'!B21/'12b'!$B21*100</f>
        <v>100</v>
      </c>
      <c r="C21" s="10">
        <f>'12b'!C21/'12b'!$B21*100</f>
        <v>84.070796460176993</v>
      </c>
      <c r="D21" s="10">
        <f>'12b'!D21/'12b'!$B21*100</f>
        <v>89.601769911504419</v>
      </c>
      <c r="E21" s="10">
        <f>'12b'!E21/'12b'!$B21*100</f>
        <v>85.17699115044249</v>
      </c>
      <c r="F21" s="10">
        <f>'12b'!F21/'12b'!$B21*100</f>
        <v>88.938053097345133</v>
      </c>
      <c r="G21" s="10">
        <f>'12b'!G21/'12b'!$B21*100</f>
        <v>87.610619469026545</v>
      </c>
      <c r="H21" s="10">
        <f>'12b'!H21/'12b'!$B21*100</f>
        <v>112.16814159292035</v>
      </c>
      <c r="I21" s="10">
        <f>'12b'!I21/'12b'!$B21*100</f>
        <v>95.575221238938056</v>
      </c>
      <c r="J21" s="10">
        <f>'12b'!J21/'12b'!$B21*100</f>
        <v>90.707964601769902</v>
      </c>
      <c r="K21" s="10">
        <f>'12b'!K21/'12b'!$B21*100</f>
        <v>111.94690265486726</v>
      </c>
      <c r="L21" s="10">
        <f>'12b'!L21/'12b'!$B21*100</f>
        <v>100.22123893805311</v>
      </c>
      <c r="N21" s="19">
        <f t="shared" si="0"/>
        <v>125.4209413423134</v>
      </c>
      <c r="O21" s="19">
        <f t="shared" si="1"/>
        <v>11.199149134747397</v>
      </c>
      <c r="P21" s="19">
        <f t="shared" si="2"/>
        <v>96.28005325397595</v>
      </c>
      <c r="Q21" s="19">
        <f t="shared" si="3"/>
        <v>9.8122399712795421</v>
      </c>
    </row>
    <row r="22" spans="1:17">
      <c r="A22" s="2">
        <v>1998</v>
      </c>
      <c r="B22" s="135">
        <f>'12b'!B22/'12b'!$B22*100</f>
        <v>100</v>
      </c>
      <c r="C22" s="10">
        <f>'12b'!C22/'12b'!$B22*100</f>
        <v>82.618025751072963</v>
      </c>
      <c r="D22" s="10">
        <f>'12b'!D22/'12b'!$B22*100</f>
        <v>84.763948497854074</v>
      </c>
      <c r="E22" s="10">
        <f>'12b'!E22/'12b'!$B22*100</f>
        <v>84.549356223175963</v>
      </c>
      <c r="F22" s="10">
        <f>'12b'!F22/'12b'!$B22*100</f>
        <v>86.695278969957073</v>
      </c>
      <c r="G22" s="10">
        <f>'12b'!G22/'12b'!$B22*100</f>
        <v>88.19742489270385</v>
      </c>
      <c r="H22" s="10">
        <f>'12b'!H22/'12b'!$B22*100</f>
        <v>112.87553648068669</v>
      </c>
      <c r="I22" s="10">
        <f>'12b'!I22/'12b'!$B22*100</f>
        <v>93.347639484978544</v>
      </c>
      <c r="J22" s="10">
        <f>'12b'!J22/'12b'!$B22*100</f>
        <v>88.626609442060087</v>
      </c>
      <c r="K22" s="10">
        <f>'12b'!K22/'12b'!$B22*100</f>
        <v>107.29613733905579</v>
      </c>
      <c r="L22" s="10">
        <f>'12b'!L22/'12b'!$B22*100</f>
        <v>99.356223175965667</v>
      </c>
      <c r="N22" s="19">
        <f t="shared" si="0"/>
        <v>148.23444896756251</v>
      </c>
      <c r="O22" s="19">
        <f t="shared" si="1"/>
        <v>12.17515704077621</v>
      </c>
      <c r="P22" s="19">
        <f t="shared" si="2"/>
        <v>96.863084602773867</v>
      </c>
      <c r="Q22" s="19">
        <f t="shared" si="3"/>
        <v>9.8419045211165237</v>
      </c>
    </row>
    <row r="23" spans="1:17">
      <c r="A23" s="2">
        <v>1999</v>
      </c>
      <c r="B23" s="135">
        <f>'12b'!B23/'12b'!$B23*100</f>
        <v>100</v>
      </c>
      <c r="C23" s="10">
        <f>'12b'!C23/'12b'!$B23*100</f>
        <v>83.125</v>
      </c>
      <c r="D23" s="10">
        <f>'12b'!D23/'12b'!$B23*100</f>
        <v>79.583333333333329</v>
      </c>
      <c r="E23" s="10">
        <f>'12b'!E23/'12b'!$B23*100</f>
        <v>88.125</v>
      </c>
      <c r="F23" s="10">
        <f>'12b'!F23/'12b'!$B23*100</f>
        <v>88.541666666666657</v>
      </c>
      <c r="G23" s="10">
        <f>'12b'!G23/'12b'!$B23*100</f>
        <v>88.958333333333329</v>
      </c>
      <c r="H23" s="10">
        <f>'12b'!H23/'12b'!$B23*100</f>
        <v>114.79166666666667</v>
      </c>
      <c r="I23" s="10">
        <f>'12b'!I23/'12b'!$B23*100</f>
        <v>94.791666666666657</v>
      </c>
      <c r="J23" s="10">
        <f>'12b'!J23/'12b'!$B23*100</f>
        <v>88.75</v>
      </c>
      <c r="K23" s="10">
        <f>'12b'!K23/'12b'!$B23*100</f>
        <v>108.33333333333333</v>
      </c>
      <c r="L23" s="10">
        <f>'12b'!L23/'12b'!$B23*100</f>
        <v>96.875</v>
      </c>
      <c r="N23" s="19">
        <f t="shared" si="0"/>
        <v>154.75260416666674</v>
      </c>
      <c r="O23" s="19">
        <f t="shared" si="1"/>
        <v>12.439959974480093</v>
      </c>
      <c r="P23" s="19">
        <f t="shared" si="2"/>
        <v>108.34244791666744</v>
      </c>
      <c r="Q23" s="19">
        <f t="shared" si="3"/>
        <v>10.408767838542055</v>
      </c>
    </row>
    <row r="24" spans="1:17">
      <c r="A24" s="2">
        <v>2000</v>
      </c>
      <c r="B24" s="135">
        <f>'12b'!B24/'12b'!$B24*100</f>
        <v>100</v>
      </c>
      <c r="C24" s="10">
        <f>'12b'!C24/'12b'!$B24*100</f>
        <v>81.724845995893219</v>
      </c>
      <c r="D24" s="10">
        <f>'12b'!D24/'12b'!$B24*100</f>
        <v>82.135523613963031</v>
      </c>
      <c r="E24" s="10">
        <f>'12b'!E24/'12b'!$B24*100</f>
        <v>85.420944558521555</v>
      </c>
      <c r="F24" s="10">
        <f>'12b'!F24/'12b'!$B24*100</f>
        <v>87.26899383983573</v>
      </c>
      <c r="G24" s="10">
        <f>'12b'!G24/'12b'!$B24*100</f>
        <v>88.090349075975354</v>
      </c>
      <c r="H24" s="10">
        <f>'12b'!H24/'12b'!$B24*100</f>
        <v>115.8110882956879</v>
      </c>
      <c r="I24" s="10">
        <f>'12b'!I24/'12b'!$B24*100</f>
        <v>92.197125256673502</v>
      </c>
      <c r="J24" s="10">
        <f>'12b'!J24/'12b'!$B24*100</f>
        <v>88.090349075975354</v>
      </c>
      <c r="K24" s="10">
        <f>'12b'!K24/'12b'!$B24*100</f>
        <v>109.85626283367556</v>
      </c>
      <c r="L24" s="10">
        <f>'12b'!L24/'12b'!$B24*100</f>
        <v>94.25051334702259</v>
      </c>
      <c r="N24" s="19">
        <f t="shared" si="0"/>
        <v>175.25055972745184</v>
      </c>
      <c r="O24" s="19">
        <f t="shared" si="1"/>
        <v>13.238223435470934</v>
      </c>
      <c r="P24" s="19">
        <f t="shared" si="2"/>
        <v>118.76931639463757</v>
      </c>
      <c r="Q24" s="19">
        <f t="shared" si="3"/>
        <v>10.898133619782682</v>
      </c>
    </row>
    <row r="25" spans="1:17">
      <c r="A25" s="2">
        <v>2001</v>
      </c>
      <c r="B25" s="135">
        <f>'12b'!B25/'12b'!$B25*100</f>
        <v>100</v>
      </c>
      <c r="C25" s="10">
        <f>'12b'!C25/'12b'!$B25*100</f>
        <v>79.317269076305223</v>
      </c>
      <c r="D25" s="10">
        <f>'12b'!D25/'12b'!$B25*100</f>
        <v>78.714859437751002</v>
      </c>
      <c r="E25" s="10">
        <f>'12b'!E25/'12b'!$B25*100</f>
        <v>86.746987951807228</v>
      </c>
      <c r="F25" s="10">
        <f>'12b'!F25/'12b'!$B25*100</f>
        <v>87.349397590361448</v>
      </c>
      <c r="G25" s="10">
        <f>'12b'!G25/'12b'!$B25*100</f>
        <v>87.951807228915655</v>
      </c>
      <c r="H25" s="10">
        <f>'12b'!H25/'12b'!$B25*100</f>
        <v>113.65461847389557</v>
      </c>
      <c r="I25" s="10">
        <f>'12b'!I25/'12b'!$B25*100</f>
        <v>92.369477911646598</v>
      </c>
      <c r="J25" s="10">
        <f>'12b'!J25/'12b'!$B25*100</f>
        <v>89.959839357429715</v>
      </c>
      <c r="K25" s="10">
        <f>'12b'!K25/'12b'!$B25*100</f>
        <v>112.44979919678715</v>
      </c>
      <c r="L25" s="10">
        <f>'12b'!L25/'12b'!$B25*100</f>
        <v>93.172690763052216</v>
      </c>
      <c r="N25" s="19">
        <f t="shared" si="0"/>
        <v>190.87595361365135</v>
      </c>
      <c r="O25" s="19">
        <f t="shared" si="1"/>
        <v>13.815786391431049</v>
      </c>
      <c r="P25" s="19">
        <f t="shared" si="2"/>
        <v>129.54629764035928</v>
      </c>
      <c r="Q25" s="19">
        <f t="shared" si="3"/>
        <v>11.38184069649366</v>
      </c>
    </row>
    <row r="26" spans="1:17">
      <c r="A26" s="2">
        <v>2002</v>
      </c>
      <c r="B26" s="135">
        <f>'12b'!B26/'12b'!$B26*100</f>
        <v>100</v>
      </c>
      <c r="C26" s="10">
        <f>'12b'!C26/'12b'!$B26*100</f>
        <v>81.854838709677423</v>
      </c>
      <c r="D26" s="10">
        <f>'12b'!D26/'12b'!$B26*100</f>
        <v>83.66935483870968</v>
      </c>
      <c r="E26" s="10">
        <f>'12b'!E26/'12b'!$B26*100</f>
        <v>85.483870967741936</v>
      </c>
      <c r="F26" s="10">
        <f>'12b'!F26/'12b'!$B26*100</f>
        <v>85.685483870967744</v>
      </c>
      <c r="G26" s="10">
        <f>'12b'!G26/'12b'!$B26*100</f>
        <v>88.911290322580655</v>
      </c>
      <c r="H26" s="10">
        <f>'12b'!H26/'12b'!$B26*100</f>
        <v>113.50806451612902</v>
      </c>
      <c r="I26" s="10">
        <f>'12b'!I26/'12b'!$B26*100</f>
        <v>90.524193548387103</v>
      </c>
      <c r="J26" s="10">
        <f>'12b'!J26/'12b'!$B26*100</f>
        <v>89.717741935483872</v>
      </c>
      <c r="K26" s="10">
        <f>'12b'!K26/'12b'!$B26*100</f>
        <v>112.5</v>
      </c>
      <c r="L26" s="10">
        <f>'12b'!L26/'12b'!$B26*100</f>
        <v>94.758064516129039</v>
      </c>
      <c r="N26" s="19">
        <f t="shared" si="0"/>
        <v>169.62311394380845</v>
      </c>
      <c r="O26" s="19">
        <f t="shared" si="1"/>
        <v>13.023943870571941</v>
      </c>
      <c r="P26" s="19">
        <f t="shared" si="2"/>
        <v>115.76645421436174</v>
      </c>
      <c r="Q26" s="19">
        <f t="shared" si="3"/>
        <v>10.759482060692408</v>
      </c>
    </row>
    <row r="27" spans="1:17">
      <c r="A27" s="2">
        <v>2003</v>
      </c>
      <c r="B27" s="135">
        <f>'12b'!B27/'12b'!$B27*100</f>
        <v>100</v>
      </c>
      <c r="C27" s="10">
        <f>'12b'!C27/'12b'!$B27*100</f>
        <v>82.020202020202021</v>
      </c>
      <c r="D27" s="10">
        <f>'12b'!D27/'12b'!$B27*100</f>
        <v>86.666666666666671</v>
      </c>
      <c r="E27" s="10">
        <f>'12b'!E27/'12b'!$B27*100</f>
        <v>85.050505050505052</v>
      </c>
      <c r="F27" s="10">
        <f>'12b'!F27/'12b'!$B27*100</f>
        <v>86.060606060606062</v>
      </c>
      <c r="G27" s="10">
        <f>'12b'!G27/'12b'!$B27*100</f>
        <v>89.292929292929287</v>
      </c>
      <c r="H27" s="10">
        <f>'12b'!H27/'12b'!$B27*100</f>
        <v>115.15151515151516</v>
      </c>
      <c r="I27" s="10">
        <f>'12b'!I27/'12b'!$B27*100</f>
        <v>93.737373737373744</v>
      </c>
      <c r="J27" s="10">
        <f>'12b'!J27/'12b'!$B27*100</f>
        <v>90.101010101010104</v>
      </c>
      <c r="K27" s="10">
        <f>'12b'!K27/'12b'!$B27*100</f>
        <v>109.8989898989899</v>
      </c>
      <c r="L27" s="10">
        <f>'12b'!L27/'12b'!$B27*100</f>
        <v>93.131313131313135</v>
      </c>
      <c r="N27" s="19">
        <f t="shared" si="0"/>
        <v>154.54341393735328</v>
      </c>
      <c r="O27" s="19">
        <f t="shared" si="1"/>
        <v>12.431549136666487</v>
      </c>
      <c r="P27" s="19">
        <f t="shared" si="2"/>
        <v>107.08662381389644</v>
      </c>
      <c r="Q27" s="19">
        <f t="shared" si="3"/>
        <v>10.348266705777178</v>
      </c>
    </row>
    <row r="28" spans="1:17">
      <c r="A28" s="120">
        <v>2004</v>
      </c>
      <c r="B28" s="135">
        <f>'12b'!B28/'12b'!$B28*100</f>
        <v>100</v>
      </c>
      <c r="C28" s="10">
        <f>'12b'!C28/'12b'!$B28*100</f>
        <v>80.838323353293418</v>
      </c>
      <c r="D28" s="10">
        <f>'12b'!D28/'12b'!$B28*100</f>
        <v>89.221556886227546</v>
      </c>
      <c r="E28" s="10">
        <f>'12b'!E28/'12b'!$B28*100</f>
        <v>87.225548902195598</v>
      </c>
      <c r="F28" s="10">
        <f>'12b'!F28/'12b'!$B28*100</f>
        <v>86.227544910179645</v>
      </c>
      <c r="G28" s="10">
        <f>'12b'!G28/'12b'!$B28*100</f>
        <v>88.023952095808383</v>
      </c>
      <c r="H28" s="10">
        <f>'12b'!H28/'12b'!$B28*100</f>
        <v>112.9740518962076</v>
      </c>
      <c r="I28" s="10">
        <f>'12b'!I28/'12b'!$B28*100</f>
        <v>93.812375249501002</v>
      </c>
      <c r="J28" s="10">
        <f>'12b'!J28/'12b'!$B28*100</f>
        <v>91.017964071856284</v>
      </c>
      <c r="K28" s="10">
        <f>'12b'!K28/'12b'!$B28*100</f>
        <v>113.17365269461077</v>
      </c>
      <c r="L28" s="10">
        <f>'12b'!L28/'12b'!$B28*100</f>
        <v>96.606786427145707</v>
      </c>
      <c r="N28" s="19">
        <f t="shared" si="0"/>
        <v>145.19862470667445</v>
      </c>
      <c r="O28" s="19">
        <f t="shared" si="1"/>
        <v>12.049839198374162</v>
      </c>
      <c r="P28" s="19">
        <f t="shared" si="2"/>
        <v>108.13701937442529</v>
      </c>
      <c r="Q28" s="19">
        <f t="shared" si="3"/>
        <v>10.398895103539861</v>
      </c>
    </row>
    <row r="29" spans="1:17">
      <c r="A29" s="120">
        <v>2005</v>
      </c>
      <c r="B29" s="135">
        <f>'12b'!B29/'12b'!$B29*100</f>
        <v>100</v>
      </c>
      <c r="C29" s="10">
        <f>'12b'!C29/'12b'!$B29*100</f>
        <v>80.70866141732283</v>
      </c>
      <c r="D29" s="10">
        <f>'12b'!D29/'12b'!$B29*100</f>
        <v>87.5984251968504</v>
      </c>
      <c r="E29" s="10">
        <f>'12b'!E29/'12b'!$B29*100</f>
        <v>88.976377952755897</v>
      </c>
      <c r="F29" s="10">
        <f>'12b'!F29/'12b'!$B29*100</f>
        <v>86.023622047244103</v>
      </c>
      <c r="G29" s="10">
        <f>'12b'!G29/'12b'!$B29*100</f>
        <v>87.4015748031496</v>
      </c>
      <c r="H29" s="10">
        <f>'12b'!H29/'12b'!$B29*100</f>
        <v>113.77952755905511</v>
      </c>
      <c r="I29" s="10">
        <f>'12b'!I29/'12b'!$B29*100</f>
        <v>93.110236220472444</v>
      </c>
      <c r="J29" s="10">
        <f>'12b'!J29/'12b'!$B29*100</f>
        <v>88.188976377952756</v>
      </c>
      <c r="K29" s="10">
        <f>'12b'!K29/'12b'!$B29*100</f>
        <v>114.96062992125984</v>
      </c>
      <c r="L29" s="10">
        <f>'12b'!L29/'12b'!$B29*100</f>
        <v>96.850393700787393</v>
      </c>
      <c r="N29" s="19">
        <f>SUM(C101:L101)/10</f>
        <v>161.21194742389486</v>
      </c>
      <c r="O29" s="19">
        <f t="shared" si="1"/>
        <v>12.696926692073751</v>
      </c>
      <c r="P29" s="19"/>
      <c r="Q29" s="19"/>
    </row>
    <row r="30" spans="1:17">
      <c r="A30" s="2">
        <v>2006</v>
      </c>
      <c r="B30" s="135">
        <f>'12b'!B30/'12b'!$B30*100</f>
        <v>100</v>
      </c>
      <c r="C30" s="10">
        <f>'12b'!C30/'12b'!$B30*100</f>
        <v>85.192307692307693</v>
      </c>
      <c r="D30" s="10">
        <f>'12b'!D30/'12b'!$B30*100</f>
        <v>90.384615384615387</v>
      </c>
      <c r="E30" s="10">
        <f>'12b'!E30/'12b'!$B30*100</f>
        <v>88.07692307692308</v>
      </c>
      <c r="F30" s="10">
        <f>'12b'!F30/'12b'!$B30*100</f>
        <v>84.42307692307692</v>
      </c>
      <c r="G30" s="10">
        <f>'12b'!G30/'12b'!$B30*100</f>
        <v>86.92307692307692</v>
      </c>
      <c r="H30" s="10">
        <f>'12b'!H30/'12b'!$B30*100</f>
        <v>111.73076923076923</v>
      </c>
      <c r="I30" s="10">
        <f>'12b'!I30/'12b'!$B30*100</f>
        <v>90.57692307692308</v>
      </c>
      <c r="J30" s="10">
        <f>'12b'!J30/'12b'!$B30*100</f>
        <v>91.34615384615384</v>
      </c>
      <c r="K30" s="10">
        <f>'12b'!K30/'12b'!$B30*100</f>
        <v>120.96153846153845</v>
      </c>
      <c r="L30" s="10">
        <f>'12b'!L30/'12b'!$B30*100</f>
        <v>97.692307692307693</v>
      </c>
      <c r="N30" s="19">
        <f>SUM(C102:L102)/10</f>
        <v>161.35355029585796</v>
      </c>
      <c r="O30" s="19">
        <f>SQRT(N30)</f>
        <v>12.702501733747489</v>
      </c>
      <c r="P30" s="19"/>
      <c r="Q30" s="19"/>
    </row>
    <row r="31" spans="1:17" s="961" customFormat="1">
      <c r="A31" s="2">
        <v>2007</v>
      </c>
      <c r="B31" s="135">
        <f>'12b'!B31/'12b'!$B31*100</f>
        <v>100</v>
      </c>
      <c r="C31" s="10">
        <f>'12b'!C31/'12b'!$B31*100</f>
        <v>87.781954887218049</v>
      </c>
      <c r="D31" s="10">
        <f>'12b'!D31/'12b'!$B31*100</f>
        <v>91.541353383458642</v>
      </c>
      <c r="E31" s="10">
        <f>'12b'!E31/'12b'!$B31*100</f>
        <v>85.902255639097746</v>
      </c>
      <c r="F31" s="10">
        <f>'12b'!F31/'12b'!$B31*100</f>
        <v>85.526315789473685</v>
      </c>
      <c r="G31" s="10">
        <f>'12b'!G31/'12b'!$B31*100</f>
        <v>84.962406015037601</v>
      </c>
      <c r="H31" s="10">
        <f>'12b'!H31/'12b'!$B31*100</f>
        <v>110.33834586466165</v>
      </c>
      <c r="I31" s="10">
        <f>'12b'!I31/'12b'!$B31*100</f>
        <v>94.548872180451127</v>
      </c>
      <c r="J31" s="10">
        <f>'12b'!J31/'12b'!$B31*100</f>
        <v>94.360902255639104</v>
      </c>
      <c r="K31" s="10">
        <f>'12b'!K31/'12b'!$B31*100</f>
        <v>122.55639097744361</v>
      </c>
      <c r="L31" s="10">
        <f>'12b'!L31/'12b'!$B31*100</f>
        <v>98.308270676691734</v>
      </c>
      <c r="N31" s="19">
        <f>SUM(C103:L103)/10</f>
        <v>153.52408276329919</v>
      </c>
      <c r="O31" s="19">
        <f>SQRT(N31)</f>
        <v>12.39048355647588</v>
      </c>
      <c r="P31" s="19"/>
      <c r="Q31" s="19"/>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 t="shared" ref="B33:L33" si="4">((((B13/B5))^(1/8))-1)*100</f>
        <v>0</v>
      </c>
      <c r="C33" s="959">
        <f t="shared" si="4"/>
        <v>-0.5952827466257582</v>
      </c>
      <c r="D33" s="959">
        <f t="shared" si="4"/>
        <v>0.31883979669087292</v>
      </c>
      <c r="E33" s="959">
        <f t="shared" si="4"/>
        <v>0.45289583729253291</v>
      </c>
      <c r="F33" s="959">
        <f t="shared" si="4"/>
        <v>0.8092979887907692</v>
      </c>
      <c r="G33" s="959">
        <f t="shared" si="4"/>
        <v>-6.7654364580793658E-2</v>
      </c>
      <c r="H33" s="959">
        <f t="shared" si="4"/>
        <v>0.66066243407594261</v>
      </c>
      <c r="I33" s="959">
        <f t="shared" si="4"/>
        <v>4.4176895158698493E-2</v>
      </c>
      <c r="J33" s="959">
        <f t="shared" si="4"/>
        <v>-1.1911733211173336</v>
      </c>
      <c r="K33" s="959">
        <f t="shared" si="4"/>
        <v>-1.2882136035414216</v>
      </c>
      <c r="L33" s="959">
        <f t="shared" si="4"/>
        <v>-0.90494821848767781</v>
      </c>
      <c r="M33" s="959"/>
      <c r="N33" s="959">
        <f>((((N13/N5))^(1/8))-1)*100</f>
        <v>-0.96633829469667809</v>
      </c>
      <c r="O33" s="959">
        <f>((((O13/O5))^(1/8))-1)*100</f>
        <v>-0.48434208361815001</v>
      </c>
      <c r="P33" s="644">
        <f>((((P13/P5))^(1/8))-1)*100</f>
        <v>-3.8345757110617607</v>
      </c>
      <c r="Q33" s="644">
        <f>((((Q13/Q5))^(1/8))-1)*100</f>
        <v>-1.9360288949411109</v>
      </c>
    </row>
    <row r="34" spans="1:17" s="114" customFormat="1">
      <c r="A34" s="431" t="s">
        <v>604</v>
      </c>
      <c r="B34" s="959">
        <f t="shared" ref="B34:L34" si="5">((((B24/B13))^(1/11))-1)*100</f>
        <v>0</v>
      </c>
      <c r="C34" s="959">
        <f t="shared" si="5"/>
        <v>-0.74152416967814272</v>
      </c>
      <c r="D34" s="959">
        <f t="shared" si="5"/>
        <v>0.49681964271639512</v>
      </c>
      <c r="E34" s="959">
        <f t="shared" si="5"/>
        <v>-2.2450838987841948E-2</v>
      </c>
      <c r="F34" s="959">
        <f t="shared" si="5"/>
        <v>0.15192803305219549</v>
      </c>
      <c r="G34" s="959">
        <f t="shared" si="5"/>
        <v>-0.31366586029165644</v>
      </c>
      <c r="H34" s="959">
        <f t="shared" si="5"/>
        <v>0.12932946062682582</v>
      </c>
      <c r="I34" s="959">
        <f t="shared" si="5"/>
        <v>0.43162101621552207</v>
      </c>
      <c r="J34" s="959">
        <f t="shared" si="5"/>
        <v>0.54806601420718248</v>
      </c>
      <c r="K34" s="959">
        <f t="shared" si="5"/>
        <v>0.77086198851035181</v>
      </c>
      <c r="L34" s="959">
        <f t="shared" si="5"/>
        <v>-0.53686201738729622</v>
      </c>
      <c r="M34" s="959"/>
      <c r="N34" s="959">
        <f>((((N24/N13))^(1/11))-1)*100</f>
        <v>3.9687024117207592E-2</v>
      </c>
      <c r="O34" s="959">
        <f>((((O24/O13))^(1/11))-1)*100</f>
        <v>1.9841543624332658E-2</v>
      </c>
      <c r="P34" s="644">
        <f>((((P24/P13))^(1/11))-1)*100</f>
        <v>1.3514216400122292</v>
      </c>
      <c r="Q34" s="644">
        <f>((((Q24/Q13))^(1/11))-1)*100</f>
        <v>0.67344319134625685</v>
      </c>
    </row>
    <row r="35" spans="1:17" s="114" customFormat="1">
      <c r="A35" s="431" t="s">
        <v>447</v>
      </c>
      <c r="B35" s="23">
        <f>((((B31/B5))^(1/26))-1)*100</f>
        <v>0</v>
      </c>
      <c r="C35" s="23">
        <f t="shared" ref="C35:L35" si="6">((((C31/C5))^(1/26))-1)*100</f>
        <v>-0.22336028373302064</v>
      </c>
      <c r="D35" s="23">
        <f t="shared" si="6"/>
        <v>0.72725353841516238</v>
      </c>
      <c r="E35" s="23">
        <f t="shared" si="6"/>
        <v>0.15126337562494374</v>
      </c>
      <c r="F35" s="23">
        <f t="shared" si="6"/>
        <v>0.23493532562088859</v>
      </c>
      <c r="G35" s="23">
        <f t="shared" si="6"/>
        <v>-0.29236315599896479</v>
      </c>
      <c r="H35" s="23">
        <f t="shared" si="6"/>
        <v>7.1130752336112657E-2</v>
      </c>
      <c r="I35" s="23">
        <f t="shared" si="6"/>
        <v>0.29311115541914567</v>
      </c>
      <c r="J35" s="23">
        <f t="shared" si="6"/>
        <v>0.12708267889232072</v>
      </c>
      <c r="K35" s="23">
        <f t="shared" si="6"/>
        <v>0.34729965222124459</v>
      </c>
      <c r="L35" s="23">
        <f t="shared" si="6"/>
        <v>-0.3447407269070446</v>
      </c>
      <c r="M35" s="23"/>
      <c r="N35" s="23">
        <f>((((N31/N5))^(1/26))-1)*100</f>
        <v>-0.78794690560095582</v>
      </c>
      <c r="O35" s="23">
        <f>((((O31/O5))^(1/26))-1)*100</f>
        <v>-0.39475260087998842</v>
      </c>
      <c r="P35" s="23">
        <f>((((P28/P5))^(1/23))-1)*100</f>
        <v>-1.119450401071187</v>
      </c>
      <c r="Q35" s="23">
        <f>((((Q28/Q5))^(1/23))-1)*100</f>
        <v>-0.56130049174576424</v>
      </c>
    </row>
    <row r="36" spans="1:17" s="114" customFormat="1">
      <c r="A36" s="431" t="s">
        <v>449</v>
      </c>
      <c r="B36" s="959">
        <f>((((B31/B24))^(1/7))-1)*100</f>
        <v>0</v>
      </c>
      <c r="C36" s="959">
        <f t="shared" ref="C36:L36" si="7">((((C31/C24))^(1/7))-1)*100</f>
        <v>1.0266324514892844</v>
      </c>
      <c r="D36" s="959">
        <f t="shared" si="7"/>
        <v>1.5609171457378279</v>
      </c>
      <c r="E36" s="959">
        <f t="shared" si="7"/>
        <v>8.0300285914503E-2</v>
      </c>
      <c r="F36" s="959">
        <f t="shared" si="7"/>
        <v>-0.2877440243451046</v>
      </c>
      <c r="G36" s="959">
        <f t="shared" si="7"/>
        <v>-0.5151557174481014</v>
      </c>
      <c r="H36" s="959">
        <f t="shared" si="7"/>
        <v>-0.68916852239858661</v>
      </c>
      <c r="I36" s="959">
        <f t="shared" si="7"/>
        <v>0.36047552870683841</v>
      </c>
      <c r="J36" s="959">
        <f t="shared" si="7"/>
        <v>0.98718129521313536</v>
      </c>
      <c r="K36" s="959">
        <f t="shared" si="7"/>
        <v>1.575111116895811</v>
      </c>
      <c r="L36" s="959">
        <f t="shared" si="7"/>
        <v>0.60398651210689103</v>
      </c>
      <c r="M36" s="959"/>
      <c r="N36" s="959">
        <f>((((N31/N24))^(1/7))-1)*100</f>
        <v>-1.8730824071438446</v>
      </c>
      <c r="O36" s="959">
        <f>((((O31/O24))^(1/7))-1)*100</f>
        <v>-0.94096831037759898</v>
      </c>
      <c r="P36" s="644">
        <f>((((P28/P24))^(1/4))-1)*100</f>
        <v>-2.3173271553901365</v>
      </c>
      <c r="Q36" s="644">
        <f>((((Q28/Q24))^(1/4))-1)*100</f>
        <v>-1.1654550045330225</v>
      </c>
    </row>
    <row r="37" spans="1:17" s="114" customFormat="1">
      <c r="A37" s="431"/>
      <c r="D37" s="959" t="s">
        <v>276</v>
      </c>
    </row>
    <row r="38" spans="1:17" s="114" customFormat="1">
      <c r="A38" s="431" t="s">
        <v>447</v>
      </c>
      <c r="B38" s="10">
        <f>(B31/B5-1)*100</f>
        <v>0</v>
      </c>
      <c r="C38" s="10">
        <f t="shared" ref="C38:L38" si="8">(C31/C5-1)*100</f>
        <v>-5.6480859112437942</v>
      </c>
      <c r="D38" s="10">
        <f t="shared" si="8"/>
        <v>20.731835967469703</v>
      </c>
      <c r="E38" s="10">
        <f t="shared" si="8"/>
        <v>4.0081174834040612</v>
      </c>
      <c r="F38" s="10">
        <f t="shared" si="8"/>
        <v>6.291118421052655</v>
      </c>
      <c r="G38" s="10">
        <f t="shared" si="8"/>
        <v>-7.3300339456235486</v>
      </c>
      <c r="H38" s="10">
        <f t="shared" si="8"/>
        <v>1.8659371643394262</v>
      </c>
      <c r="I38" s="10">
        <f t="shared" si="8"/>
        <v>7.9067702368504023</v>
      </c>
      <c r="J38" s="10">
        <f t="shared" si="8"/>
        <v>3.3571747164521604</v>
      </c>
      <c r="K38" s="10">
        <f t="shared" si="8"/>
        <v>9.4329086966119959</v>
      </c>
      <c r="L38" s="10">
        <f t="shared" si="8"/>
        <v>-8.5874533455941986</v>
      </c>
      <c r="M38" s="10"/>
      <c r="N38" s="10">
        <f>(N31/N5-1)*100</f>
        <v>-18.590448443202224</v>
      </c>
      <c r="O38" s="10">
        <f>(O31/O5-1)*100</f>
        <v>-9.7727582396548218</v>
      </c>
      <c r="P38" s="10">
        <f>(P28/P5-1)*100</f>
        <v>-22.811953822649834</v>
      </c>
      <c r="Q38" s="10">
        <f>(Q28/Q5-1)*100</f>
        <v>-12.143272211315448</v>
      </c>
    </row>
    <row r="39" spans="1:17">
      <c r="A39" s="4"/>
      <c r="N39" s="644"/>
      <c r="O39" s="644"/>
      <c r="P39" s="644"/>
      <c r="Q39" s="644"/>
    </row>
    <row r="40" spans="1:17">
      <c r="A40" s="9" t="s">
        <v>218</v>
      </c>
      <c r="N40" s="10"/>
      <c r="O40" s="10"/>
      <c r="P40" s="10"/>
      <c r="Q40" s="10"/>
    </row>
    <row r="41" spans="1:17" ht="39.75" customHeight="1">
      <c r="A41" s="1168" t="s">
        <v>233</v>
      </c>
      <c r="B41" s="1169"/>
      <c r="C41" s="1169"/>
      <c r="D41" s="1169"/>
      <c r="E41" s="1169"/>
      <c r="F41" s="1169"/>
      <c r="G41" s="1169"/>
      <c r="H41" s="1169"/>
      <c r="I41" s="1169"/>
      <c r="J41" s="1169"/>
      <c r="K41" s="1169"/>
      <c r="L41" s="1169"/>
      <c r="N41" s="10"/>
      <c r="O41" s="10"/>
      <c r="P41" s="10"/>
      <c r="Q41" s="10"/>
    </row>
    <row r="42" spans="1:17" ht="40.5" customHeight="1">
      <c r="A42" s="1168" t="s">
        <v>978</v>
      </c>
      <c r="B42" s="1169"/>
      <c r="C42" s="1169"/>
      <c r="D42" s="1169"/>
      <c r="E42" s="1169"/>
      <c r="F42" s="1169"/>
      <c r="G42" s="1169"/>
      <c r="H42" s="1169"/>
      <c r="I42" s="1169"/>
      <c r="J42" s="1169"/>
      <c r="K42" s="1169"/>
      <c r="L42" s="1169"/>
      <c r="N42" s="10"/>
      <c r="O42" s="10"/>
      <c r="P42" s="10"/>
      <c r="Q42" s="10"/>
    </row>
    <row r="47" spans="1:17">
      <c r="B47" s="1" t="s">
        <v>278</v>
      </c>
    </row>
    <row r="48" spans="1:17">
      <c r="B48" s="1" t="s">
        <v>279</v>
      </c>
    </row>
    <row r="49" spans="2:12">
      <c r="B49" s="1">
        <v>1981</v>
      </c>
      <c r="C49" s="300">
        <f>C5-$B5</f>
        <v>-6.9632495164410102</v>
      </c>
      <c r="D49" s="300">
        <f t="shared" ref="D49:L49" si="9">D5-$B5</f>
        <v>-24.177949709864606</v>
      </c>
      <c r="E49" s="300">
        <f t="shared" si="9"/>
        <v>-17.408123791102511</v>
      </c>
      <c r="F49" s="300">
        <f t="shared" si="9"/>
        <v>-19.535783365570609</v>
      </c>
      <c r="G49" s="300">
        <f t="shared" si="9"/>
        <v>-8.3172147001934178</v>
      </c>
      <c r="H49" s="300">
        <f t="shared" si="9"/>
        <v>8.3172147001934178</v>
      </c>
      <c r="I49" s="300">
        <f t="shared" si="9"/>
        <v>-12.379110251450669</v>
      </c>
      <c r="J49" s="300">
        <f t="shared" si="9"/>
        <v>-8.7040618955512628</v>
      </c>
      <c r="K49" s="300">
        <f t="shared" si="9"/>
        <v>11.992263056092838</v>
      </c>
      <c r="L49" s="300">
        <f t="shared" si="9"/>
        <v>7.5435203094777563</v>
      </c>
    </row>
    <row r="50" spans="2:12">
      <c r="B50" s="1">
        <v>1982</v>
      </c>
      <c r="C50" s="300">
        <f t="shared" ref="C50:L65" si="10">C6-$B6</f>
        <v>-10.240963855421697</v>
      </c>
      <c r="D50" s="300">
        <f t="shared" si="10"/>
        <v>-20.682730923694777</v>
      </c>
      <c r="E50" s="300">
        <f t="shared" si="10"/>
        <v>-16.064257028112451</v>
      </c>
      <c r="F50" s="300">
        <f t="shared" si="10"/>
        <v>-19.07630522088354</v>
      </c>
      <c r="G50" s="300">
        <f t="shared" si="10"/>
        <v>-6.6265060240963862</v>
      </c>
      <c r="H50" s="300">
        <f t="shared" si="10"/>
        <v>5.4216867469879588</v>
      </c>
      <c r="I50" s="300">
        <f t="shared" si="10"/>
        <v>-10.441767068273094</v>
      </c>
      <c r="J50" s="300">
        <f t="shared" si="10"/>
        <v>-7.4297188755020045</v>
      </c>
      <c r="K50" s="300">
        <f t="shared" si="10"/>
        <v>14.658634538152612</v>
      </c>
      <c r="L50" s="300">
        <f t="shared" si="10"/>
        <v>5.2208835341365472</v>
      </c>
    </row>
    <row r="51" spans="2:12">
      <c r="B51" s="1">
        <v>1983</v>
      </c>
      <c r="C51" s="300">
        <f t="shared" si="10"/>
        <v>-17.708333333333343</v>
      </c>
      <c r="D51" s="300">
        <f t="shared" si="10"/>
        <v>-12.916666666666671</v>
      </c>
      <c r="E51" s="300">
        <f t="shared" si="10"/>
        <v>-19.791666666666657</v>
      </c>
      <c r="F51" s="300">
        <f t="shared" si="10"/>
        <v>-20.416666666666671</v>
      </c>
      <c r="G51" s="300">
        <f t="shared" si="10"/>
        <v>-5.2083333333333428</v>
      </c>
      <c r="H51" s="300">
        <f t="shared" si="10"/>
        <v>6.25</v>
      </c>
      <c r="I51" s="300">
        <f t="shared" si="10"/>
        <v>-5.4166666666666714</v>
      </c>
      <c r="J51" s="300">
        <f t="shared" si="10"/>
        <v>-10.833333333333329</v>
      </c>
      <c r="K51" s="300">
        <f t="shared" si="10"/>
        <v>9.7916666666666714</v>
      </c>
      <c r="L51" s="300">
        <f t="shared" si="10"/>
        <v>4.375</v>
      </c>
    </row>
    <row r="52" spans="2:12">
      <c r="B52" s="1">
        <v>1984</v>
      </c>
      <c r="C52" s="300">
        <f t="shared" si="10"/>
        <v>-15.527950310559007</v>
      </c>
      <c r="D52" s="300">
        <f t="shared" si="10"/>
        <v>-16.770186335403722</v>
      </c>
      <c r="E52" s="300">
        <f t="shared" si="10"/>
        <v>-12.008281573498962</v>
      </c>
      <c r="F52" s="300">
        <f t="shared" si="10"/>
        <v>-12.629399585921334</v>
      </c>
      <c r="G52" s="300">
        <f t="shared" si="10"/>
        <v>-5.3830227743271166</v>
      </c>
      <c r="H52" s="300">
        <f t="shared" si="10"/>
        <v>9.7308488612836328</v>
      </c>
      <c r="I52" s="300">
        <f t="shared" si="10"/>
        <v>-4.9689440993788736</v>
      </c>
      <c r="J52" s="300">
        <f t="shared" si="10"/>
        <v>-10.14492753623189</v>
      </c>
      <c r="K52" s="300">
        <f t="shared" si="10"/>
        <v>3.3126293995859157</v>
      </c>
      <c r="L52" s="300">
        <f t="shared" si="10"/>
        <v>-3.7267080745341588</v>
      </c>
    </row>
    <row r="53" spans="2:12">
      <c r="B53" s="1">
        <v>1985</v>
      </c>
      <c r="C53" s="300">
        <f t="shared" si="10"/>
        <v>-17.959183673469397</v>
      </c>
      <c r="D53" s="300">
        <f t="shared" si="10"/>
        <v>-19.591836734693885</v>
      </c>
      <c r="E53" s="300">
        <f t="shared" si="10"/>
        <v>-13.673469387755105</v>
      </c>
      <c r="F53" s="300">
        <f t="shared" si="10"/>
        <v>-14.08163265306122</v>
      </c>
      <c r="G53" s="300">
        <f t="shared" si="10"/>
        <v>-6.1224489795918373</v>
      </c>
      <c r="H53" s="300">
        <f t="shared" si="10"/>
        <v>10.612244897959172</v>
      </c>
      <c r="I53" s="300">
        <f t="shared" si="10"/>
        <v>-8.3673469387755119</v>
      </c>
      <c r="J53" s="300">
        <f t="shared" si="10"/>
        <v>-9.7959183673469283</v>
      </c>
      <c r="K53" s="300">
        <f t="shared" si="10"/>
        <v>5.5102040816326507</v>
      </c>
      <c r="L53" s="300">
        <f t="shared" si="10"/>
        <v>-5.9183673469387799</v>
      </c>
    </row>
    <row r="54" spans="2:12">
      <c r="B54" s="1">
        <v>1986</v>
      </c>
      <c r="C54" s="300">
        <f t="shared" si="10"/>
        <v>-20.362903225806448</v>
      </c>
      <c r="D54" s="300">
        <f t="shared" si="10"/>
        <v>-16.33064516129032</v>
      </c>
      <c r="E54" s="300">
        <f t="shared" si="10"/>
        <v>-13.911290322580655</v>
      </c>
      <c r="F54" s="300">
        <f t="shared" si="10"/>
        <v>-10.685483870967744</v>
      </c>
      <c r="G54" s="300">
        <f t="shared" si="10"/>
        <v>-8.6693548387096797</v>
      </c>
      <c r="H54" s="300">
        <f t="shared" si="10"/>
        <v>13.104838709677423</v>
      </c>
      <c r="I54" s="300">
        <f t="shared" si="10"/>
        <v>-7.8629032258064484</v>
      </c>
      <c r="J54" s="300">
        <f t="shared" si="10"/>
        <v>-17.137096774193552</v>
      </c>
      <c r="K54" s="300">
        <f t="shared" si="10"/>
        <v>3.0241935483871032</v>
      </c>
      <c r="L54" s="300">
        <f t="shared" si="10"/>
        <v>0.60483870967742348</v>
      </c>
    </row>
    <row r="55" spans="2:12">
      <c r="B55" s="1">
        <v>1987</v>
      </c>
      <c r="C55" s="300">
        <f t="shared" si="10"/>
        <v>-13.508064516129039</v>
      </c>
      <c r="D55" s="300">
        <f t="shared" si="10"/>
        <v>-13.911290322580655</v>
      </c>
      <c r="E55" s="300">
        <f t="shared" si="10"/>
        <v>-8.0645161290322562</v>
      </c>
      <c r="F55" s="300">
        <f t="shared" si="10"/>
        <v>-16.532258064516128</v>
      </c>
      <c r="G55" s="300">
        <f t="shared" si="10"/>
        <v>-8.6693548387096797</v>
      </c>
      <c r="H55" s="300">
        <f t="shared" si="10"/>
        <v>15.322580645161295</v>
      </c>
      <c r="I55" s="300">
        <f t="shared" si="10"/>
        <v>-10.483870967741936</v>
      </c>
      <c r="J55" s="300">
        <f t="shared" si="10"/>
        <v>-12.903225806451616</v>
      </c>
      <c r="K55" s="300">
        <f t="shared" si="10"/>
        <v>1.0080645161290249</v>
      </c>
      <c r="L55" s="300">
        <f t="shared" si="10"/>
        <v>-5.2419354838709609</v>
      </c>
    </row>
    <row r="56" spans="2:12">
      <c r="B56" s="1">
        <v>1988</v>
      </c>
      <c r="C56" s="300">
        <f t="shared" si="10"/>
        <v>-11.485148514851488</v>
      </c>
      <c r="D56" s="300">
        <f t="shared" si="10"/>
        <v>-19.603960396039597</v>
      </c>
      <c r="E56" s="300">
        <f t="shared" si="10"/>
        <v>-10.099009900990097</v>
      </c>
      <c r="F56" s="300">
        <f t="shared" si="10"/>
        <v>-14.455445544554451</v>
      </c>
      <c r="G56" s="300">
        <f t="shared" si="10"/>
        <v>-10.099009900990097</v>
      </c>
      <c r="H56" s="300">
        <f t="shared" si="10"/>
        <v>15.643564356435633</v>
      </c>
      <c r="I56" s="300">
        <f t="shared" si="10"/>
        <v>-10.89108910891089</v>
      </c>
      <c r="J56" s="300">
        <f t="shared" si="10"/>
        <v>-17.227722772277232</v>
      </c>
      <c r="K56" s="300">
        <f t="shared" si="10"/>
        <v>2.574257425742573</v>
      </c>
      <c r="L56" s="300">
        <f t="shared" si="10"/>
        <v>-0.19801980198019464</v>
      </c>
    </row>
    <row r="57" spans="2:12">
      <c r="B57" s="1">
        <v>1989</v>
      </c>
      <c r="C57" s="300">
        <f t="shared" si="10"/>
        <v>-11.302681992337156</v>
      </c>
      <c r="D57" s="300">
        <f t="shared" si="10"/>
        <v>-22.222222222222214</v>
      </c>
      <c r="E57" s="300">
        <f t="shared" si="10"/>
        <v>-14.367816091954026</v>
      </c>
      <c r="F57" s="300">
        <f t="shared" si="10"/>
        <v>-14.17624521072797</v>
      </c>
      <c r="G57" s="300">
        <f t="shared" si="10"/>
        <v>-8.812260536398469</v>
      </c>
      <c r="H57" s="300">
        <f t="shared" si="10"/>
        <v>14.176245210727984</v>
      </c>
      <c r="I57" s="300">
        <f t="shared" si="10"/>
        <v>-12.068965517241381</v>
      </c>
      <c r="J57" s="300">
        <f t="shared" si="10"/>
        <v>-17.049808429118769</v>
      </c>
      <c r="K57" s="300">
        <f t="shared" si="10"/>
        <v>0.95785440613028072</v>
      </c>
      <c r="L57" s="300">
        <f t="shared" si="10"/>
        <v>0</v>
      </c>
    </row>
    <row r="58" spans="2:12">
      <c r="B58" s="1">
        <v>1990</v>
      </c>
      <c r="C58" s="300">
        <f t="shared" si="10"/>
        <v>-13.253012048192772</v>
      </c>
      <c r="D58" s="300">
        <f t="shared" si="10"/>
        <v>-15.662650602409627</v>
      </c>
      <c r="E58" s="300">
        <f t="shared" si="10"/>
        <v>-11.445783132530124</v>
      </c>
      <c r="F58" s="300">
        <f t="shared" si="10"/>
        <v>-12.048192771084345</v>
      </c>
      <c r="G58" s="300">
        <f t="shared" si="10"/>
        <v>-13.052208835341361</v>
      </c>
      <c r="H58" s="300">
        <f t="shared" si="10"/>
        <v>14.859437751004023</v>
      </c>
      <c r="I58" s="300">
        <f t="shared" si="10"/>
        <v>-8.6345381526104319</v>
      </c>
      <c r="J58" s="300">
        <f t="shared" si="10"/>
        <v>-15.863453815261039</v>
      </c>
      <c r="K58" s="300">
        <f t="shared" si="10"/>
        <v>3.2128514056224873</v>
      </c>
      <c r="L58" s="300">
        <f t="shared" si="10"/>
        <v>-1.0040160642570299</v>
      </c>
    </row>
    <row r="59" spans="2:12">
      <c r="B59" s="1">
        <v>1991</v>
      </c>
      <c r="C59" s="300">
        <f t="shared" si="10"/>
        <v>-10.638297872340431</v>
      </c>
      <c r="D59" s="300">
        <f t="shared" si="10"/>
        <v>-13.191489361702125</v>
      </c>
      <c r="E59" s="300">
        <f t="shared" si="10"/>
        <v>-9.5744680851063748</v>
      </c>
      <c r="F59" s="300">
        <f t="shared" si="10"/>
        <v>-12.978723404255319</v>
      </c>
      <c r="G59" s="300">
        <f t="shared" si="10"/>
        <v>-9.7872340425531945</v>
      </c>
      <c r="H59" s="300">
        <f t="shared" si="10"/>
        <v>11.489361702127667</v>
      </c>
      <c r="I59" s="300">
        <f t="shared" si="10"/>
        <v>-10</v>
      </c>
      <c r="J59" s="300">
        <f t="shared" si="10"/>
        <v>-13.617021276595736</v>
      </c>
      <c r="K59" s="300">
        <f t="shared" si="10"/>
        <v>3.8297872340425414</v>
      </c>
      <c r="L59" s="300">
        <f t="shared" si="10"/>
        <v>0.2127659574468197</v>
      </c>
    </row>
    <row r="60" spans="2:12">
      <c r="B60" s="1">
        <v>1992</v>
      </c>
      <c r="C60" s="300">
        <f t="shared" si="10"/>
        <v>-12.393162393162399</v>
      </c>
      <c r="D60" s="300">
        <f t="shared" si="10"/>
        <v>-10.683760683760681</v>
      </c>
      <c r="E60" s="300">
        <f t="shared" si="10"/>
        <v>-10.897435897435898</v>
      </c>
      <c r="F60" s="300">
        <f t="shared" si="10"/>
        <v>-12.179487179487182</v>
      </c>
      <c r="G60" s="300">
        <f t="shared" si="10"/>
        <v>-11.111111111111114</v>
      </c>
      <c r="H60" s="300">
        <f t="shared" si="10"/>
        <v>13.461538461538453</v>
      </c>
      <c r="I60" s="300">
        <f t="shared" si="10"/>
        <v>-11.752136752136749</v>
      </c>
      <c r="J60" s="300">
        <f t="shared" si="10"/>
        <v>-14.102564102564102</v>
      </c>
      <c r="K60" s="300">
        <f t="shared" si="10"/>
        <v>-1.7094017094017175</v>
      </c>
      <c r="L60" s="300">
        <f t="shared" si="10"/>
        <v>2.1367521367521363</v>
      </c>
    </row>
    <row r="61" spans="2:12">
      <c r="B61" s="1">
        <v>1993</v>
      </c>
      <c r="C61" s="300">
        <f t="shared" si="10"/>
        <v>-10.065645514223192</v>
      </c>
      <c r="D61" s="300">
        <f t="shared" si="10"/>
        <v>-10.940919037199123</v>
      </c>
      <c r="E61" s="300">
        <f t="shared" si="10"/>
        <v>-9.190371991247261</v>
      </c>
      <c r="F61" s="300">
        <f t="shared" si="10"/>
        <v>-9.8468271334792092</v>
      </c>
      <c r="G61" s="300">
        <f t="shared" si="10"/>
        <v>-11.816192560175054</v>
      </c>
      <c r="H61" s="300">
        <f t="shared" si="10"/>
        <v>12.472647702406988</v>
      </c>
      <c r="I61" s="300">
        <f t="shared" si="10"/>
        <v>-9.8468271334792092</v>
      </c>
      <c r="J61" s="300">
        <f t="shared" si="10"/>
        <v>-14.442013129102847</v>
      </c>
      <c r="K61" s="300">
        <f t="shared" si="10"/>
        <v>6.1269146608315026</v>
      </c>
      <c r="L61" s="300">
        <f t="shared" si="10"/>
        <v>3.2822757111597269</v>
      </c>
    </row>
    <row r="62" spans="2:12">
      <c r="B62" s="1">
        <v>1994</v>
      </c>
      <c r="C62" s="300">
        <f t="shared" si="10"/>
        <v>-12.55411255411255</v>
      </c>
      <c r="D62" s="300">
        <f t="shared" si="10"/>
        <v>-11.471861471861473</v>
      </c>
      <c r="E62" s="300">
        <f t="shared" si="10"/>
        <v>-12.770562770562762</v>
      </c>
      <c r="F62" s="300">
        <f t="shared" si="10"/>
        <v>-9.7402597402597451</v>
      </c>
      <c r="G62" s="300">
        <f t="shared" si="10"/>
        <v>-10.389610389610397</v>
      </c>
      <c r="H62" s="300">
        <f t="shared" si="10"/>
        <v>11.255411255411246</v>
      </c>
      <c r="I62" s="300">
        <f t="shared" si="10"/>
        <v>-8.0086580086580028</v>
      </c>
      <c r="J62" s="300">
        <f t="shared" si="10"/>
        <v>-12.337662337662337</v>
      </c>
      <c r="K62" s="300">
        <f t="shared" si="10"/>
        <v>6.9264069264069406</v>
      </c>
      <c r="L62" s="300">
        <f t="shared" si="10"/>
        <v>1.5151515151515156</v>
      </c>
    </row>
    <row r="63" spans="2:12">
      <c r="B63" s="1">
        <v>1995</v>
      </c>
      <c r="C63" s="300">
        <f t="shared" si="10"/>
        <v>-12.79826464208243</v>
      </c>
      <c r="D63" s="300">
        <f t="shared" si="10"/>
        <v>-7.5921908893709258</v>
      </c>
      <c r="E63" s="300">
        <f t="shared" si="10"/>
        <v>-13.665943600867678</v>
      </c>
      <c r="F63" s="300">
        <f t="shared" si="10"/>
        <v>-11.49674620390455</v>
      </c>
      <c r="G63" s="300">
        <f t="shared" si="10"/>
        <v>-10.84598698481561</v>
      </c>
      <c r="H63" s="300">
        <f t="shared" si="10"/>
        <v>11.49674620390455</v>
      </c>
      <c r="I63" s="300">
        <f t="shared" si="10"/>
        <v>-6.7245119305856917</v>
      </c>
      <c r="J63" s="300">
        <f t="shared" si="10"/>
        <v>-10.84598698481561</v>
      </c>
      <c r="K63" s="300">
        <f t="shared" si="10"/>
        <v>4.7722342733188725</v>
      </c>
      <c r="L63" s="300">
        <f t="shared" si="10"/>
        <v>2.6030368763557448</v>
      </c>
    </row>
    <row r="64" spans="2:12">
      <c r="B64" s="1">
        <v>1996</v>
      </c>
      <c r="C64" s="300">
        <f t="shared" si="10"/>
        <v>-13.876651982378846</v>
      </c>
      <c r="D64" s="300">
        <f t="shared" si="10"/>
        <v>-6.1674008810572758</v>
      </c>
      <c r="E64" s="300">
        <f t="shared" si="10"/>
        <v>-13.656387665198238</v>
      </c>
      <c r="F64" s="300">
        <f t="shared" si="10"/>
        <v>-12.11453744493393</v>
      </c>
      <c r="G64" s="300">
        <f t="shared" si="10"/>
        <v>-10.792951541850215</v>
      </c>
      <c r="H64" s="300">
        <f t="shared" si="10"/>
        <v>11.674008810572673</v>
      </c>
      <c r="I64" s="300">
        <f t="shared" si="10"/>
        <v>-5.9471365638766542</v>
      </c>
      <c r="J64" s="300">
        <f t="shared" si="10"/>
        <v>-10.352422907488986</v>
      </c>
      <c r="K64" s="300">
        <f t="shared" si="10"/>
        <v>6.1674008810572758</v>
      </c>
      <c r="L64" s="300">
        <f t="shared" si="10"/>
        <v>0</v>
      </c>
    </row>
    <row r="65" spans="2:12">
      <c r="B65" s="1">
        <v>1997</v>
      </c>
      <c r="C65" s="300">
        <f t="shared" si="10"/>
        <v>-15.929203539823007</v>
      </c>
      <c r="D65" s="300">
        <f t="shared" si="10"/>
        <v>-10.398230088495581</v>
      </c>
      <c r="E65" s="300">
        <f t="shared" si="10"/>
        <v>-14.82300884955751</v>
      </c>
      <c r="F65" s="300">
        <f t="shared" si="10"/>
        <v>-11.061946902654867</v>
      </c>
      <c r="G65" s="300">
        <f t="shared" si="10"/>
        <v>-12.389380530973455</v>
      </c>
      <c r="H65" s="300">
        <f t="shared" si="10"/>
        <v>12.16814159292035</v>
      </c>
      <c r="I65" s="300">
        <f t="shared" si="10"/>
        <v>-4.424778761061944</v>
      </c>
      <c r="J65" s="300">
        <f t="shared" si="10"/>
        <v>-9.2920353982300981</v>
      </c>
      <c r="K65" s="300">
        <f t="shared" si="10"/>
        <v>11.946902654867259</v>
      </c>
      <c r="L65" s="300">
        <f t="shared" si="10"/>
        <v>0.22123893805310502</v>
      </c>
    </row>
    <row r="66" spans="2:12">
      <c r="B66" s="1">
        <v>1998</v>
      </c>
      <c r="C66" s="300">
        <f t="shared" ref="C66:L66" si="11">C22-$B22</f>
        <v>-17.381974248927037</v>
      </c>
      <c r="D66" s="300">
        <f t="shared" si="11"/>
        <v>-15.236051502145926</v>
      </c>
      <c r="E66" s="300">
        <f t="shared" si="11"/>
        <v>-15.450643776824037</v>
      </c>
      <c r="F66" s="300">
        <f t="shared" si="11"/>
        <v>-13.304721030042927</v>
      </c>
      <c r="G66" s="300">
        <f t="shared" si="11"/>
        <v>-11.80257510729615</v>
      </c>
      <c r="H66" s="300">
        <f t="shared" si="11"/>
        <v>12.875536480686691</v>
      </c>
      <c r="I66" s="300">
        <f t="shared" si="11"/>
        <v>-6.6523605150214564</v>
      </c>
      <c r="J66" s="300">
        <f t="shared" si="11"/>
        <v>-11.373390557939913</v>
      </c>
      <c r="K66" s="300">
        <f t="shared" si="11"/>
        <v>7.2961373390557895</v>
      </c>
      <c r="L66" s="300">
        <f t="shared" si="11"/>
        <v>-0.64377682403433312</v>
      </c>
    </row>
    <row r="67" spans="2:12">
      <c r="B67" s="1">
        <v>1999</v>
      </c>
      <c r="C67" s="300">
        <f t="shared" ref="C67:L67" si="12">C23-$B23</f>
        <v>-16.875</v>
      </c>
      <c r="D67" s="300">
        <f t="shared" si="12"/>
        <v>-20.416666666666671</v>
      </c>
      <c r="E67" s="300">
        <f t="shared" si="12"/>
        <v>-11.875</v>
      </c>
      <c r="F67" s="300">
        <f t="shared" si="12"/>
        <v>-11.458333333333343</v>
      </c>
      <c r="G67" s="300">
        <f t="shared" si="12"/>
        <v>-11.041666666666671</v>
      </c>
      <c r="H67" s="300">
        <f t="shared" si="12"/>
        <v>14.791666666666671</v>
      </c>
      <c r="I67" s="300">
        <f t="shared" si="12"/>
        <v>-5.2083333333333428</v>
      </c>
      <c r="J67" s="300">
        <f t="shared" si="12"/>
        <v>-11.25</v>
      </c>
      <c r="K67" s="300">
        <f t="shared" si="12"/>
        <v>8.3333333333333286</v>
      </c>
      <c r="L67" s="300">
        <f t="shared" si="12"/>
        <v>-3.125</v>
      </c>
    </row>
    <row r="68" spans="2:12">
      <c r="B68" s="1">
        <v>2000</v>
      </c>
      <c r="C68" s="300">
        <f t="shared" ref="C68:L68" si="13">C24-$B24</f>
        <v>-18.275154004106781</v>
      </c>
      <c r="D68" s="300">
        <f t="shared" si="13"/>
        <v>-17.864476386036969</v>
      </c>
      <c r="E68" s="300">
        <f t="shared" si="13"/>
        <v>-14.579055441478445</v>
      </c>
      <c r="F68" s="300">
        <f t="shared" si="13"/>
        <v>-12.73100616016427</v>
      </c>
      <c r="G68" s="300">
        <f t="shared" si="13"/>
        <v>-11.909650924024646</v>
      </c>
      <c r="H68" s="300">
        <f t="shared" si="13"/>
        <v>15.811088295687895</v>
      </c>
      <c r="I68" s="300">
        <f t="shared" si="13"/>
        <v>-7.8028747433264982</v>
      </c>
      <c r="J68" s="300">
        <f t="shared" si="13"/>
        <v>-11.909650924024646</v>
      </c>
      <c r="K68" s="300">
        <f t="shared" si="13"/>
        <v>9.856262833675558</v>
      </c>
      <c r="L68" s="300">
        <f t="shared" si="13"/>
        <v>-5.74948665297741</v>
      </c>
    </row>
    <row r="69" spans="2:12">
      <c r="B69" s="1">
        <v>2001</v>
      </c>
      <c r="C69" s="300">
        <f t="shared" ref="C69:L69" si="14">C25-$B25</f>
        <v>-20.682730923694777</v>
      </c>
      <c r="D69" s="300">
        <f t="shared" si="14"/>
        <v>-21.285140562248998</v>
      </c>
      <c r="E69" s="300">
        <f t="shared" si="14"/>
        <v>-13.253012048192772</v>
      </c>
      <c r="F69" s="300">
        <f t="shared" si="14"/>
        <v>-12.650602409638552</v>
      </c>
      <c r="G69" s="300">
        <f t="shared" si="14"/>
        <v>-12.048192771084345</v>
      </c>
      <c r="H69" s="300">
        <f t="shared" si="14"/>
        <v>13.654618473895567</v>
      </c>
      <c r="I69" s="300">
        <f t="shared" si="14"/>
        <v>-7.630522088353402</v>
      </c>
      <c r="J69" s="300">
        <f t="shared" si="14"/>
        <v>-10.040160642570285</v>
      </c>
      <c r="K69" s="300">
        <f t="shared" si="14"/>
        <v>12.449799196787154</v>
      </c>
      <c r="L69" s="300">
        <f t="shared" si="14"/>
        <v>-6.8273092369477837</v>
      </c>
    </row>
    <row r="70" spans="2:12">
      <c r="B70" s="1">
        <v>2002</v>
      </c>
      <c r="C70" s="300">
        <f t="shared" ref="C70:L70" si="15">C26-$B26</f>
        <v>-18.145161290322577</v>
      </c>
      <c r="D70" s="300">
        <f t="shared" si="15"/>
        <v>-16.33064516129032</v>
      </c>
      <c r="E70" s="300">
        <f t="shared" si="15"/>
        <v>-14.516129032258064</v>
      </c>
      <c r="F70" s="300">
        <f t="shared" si="15"/>
        <v>-14.314516129032256</v>
      </c>
      <c r="G70" s="300">
        <f t="shared" si="15"/>
        <v>-11.088709677419345</v>
      </c>
      <c r="H70" s="300">
        <f t="shared" si="15"/>
        <v>13.508064516129025</v>
      </c>
      <c r="I70" s="300">
        <f t="shared" si="15"/>
        <v>-9.4758064516128968</v>
      </c>
      <c r="J70" s="300">
        <f t="shared" si="15"/>
        <v>-10.282258064516128</v>
      </c>
      <c r="K70" s="300">
        <f t="shared" si="15"/>
        <v>12.5</v>
      </c>
      <c r="L70" s="300">
        <f t="shared" si="15"/>
        <v>-5.2419354838709609</v>
      </c>
    </row>
    <row r="71" spans="2:12">
      <c r="B71" s="1">
        <v>2003</v>
      </c>
      <c r="C71" s="300">
        <f t="shared" ref="C71:L71" si="16">C27-$B27</f>
        <v>-17.979797979797979</v>
      </c>
      <c r="D71" s="300">
        <f t="shared" si="16"/>
        <v>-13.333333333333329</v>
      </c>
      <c r="E71" s="300">
        <f t="shared" si="16"/>
        <v>-14.949494949494948</v>
      </c>
      <c r="F71" s="300">
        <f t="shared" si="16"/>
        <v>-13.939393939393938</v>
      </c>
      <c r="G71" s="300">
        <f t="shared" si="16"/>
        <v>-10.707070707070713</v>
      </c>
      <c r="H71" s="300">
        <f t="shared" si="16"/>
        <v>15.151515151515156</v>
      </c>
      <c r="I71" s="300">
        <f t="shared" si="16"/>
        <v>-6.2626262626262559</v>
      </c>
      <c r="J71" s="300">
        <f t="shared" si="16"/>
        <v>-9.8989898989898961</v>
      </c>
      <c r="K71" s="300">
        <f t="shared" si="16"/>
        <v>9.8989898989898961</v>
      </c>
      <c r="L71" s="300">
        <f t="shared" si="16"/>
        <v>-6.868686868686865</v>
      </c>
    </row>
    <row r="72" spans="2:12">
      <c r="B72" s="1">
        <v>2004</v>
      </c>
      <c r="C72" s="300">
        <f t="shared" ref="C72:L72" si="17">C28-$B28</f>
        <v>-19.161676646706582</v>
      </c>
      <c r="D72" s="300">
        <f t="shared" si="17"/>
        <v>-10.778443113772454</v>
      </c>
      <c r="E72" s="300">
        <f t="shared" si="17"/>
        <v>-12.774451097804402</v>
      </c>
      <c r="F72" s="300">
        <f t="shared" si="17"/>
        <v>-13.772455089820355</v>
      </c>
      <c r="G72" s="300">
        <f t="shared" si="17"/>
        <v>-11.976047904191617</v>
      </c>
      <c r="H72" s="300">
        <f t="shared" si="17"/>
        <v>12.974051896207598</v>
      </c>
      <c r="I72" s="300">
        <f t="shared" si="17"/>
        <v>-6.1876247504989976</v>
      </c>
      <c r="J72" s="300">
        <f t="shared" si="17"/>
        <v>-8.9820359281437163</v>
      </c>
      <c r="K72" s="300">
        <f t="shared" si="17"/>
        <v>13.173652694610766</v>
      </c>
      <c r="L72" s="300">
        <f t="shared" si="17"/>
        <v>-3.3932135728542931</v>
      </c>
    </row>
    <row r="73" spans="2:12">
      <c r="B73" s="1">
        <v>2005</v>
      </c>
      <c r="C73" s="300">
        <f t="shared" ref="C73:L75" si="18">C29-$B29</f>
        <v>-19.29133858267717</v>
      </c>
      <c r="D73" s="300">
        <f t="shared" si="18"/>
        <v>-12.4015748031496</v>
      </c>
      <c r="E73" s="300">
        <f t="shared" si="18"/>
        <v>-11.023622047244103</v>
      </c>
      <c r="F73" s="300">
        <f t="shared" si="18"/>
        <v>-13.976377952755897</v>
      </c>
      <c r="G73" s="300">
        <f t="shared" si="18"/>
        <v>-12.5984251968504</v>
      </c>
      <c r="H73" s="300">
        <f t="shared" si="18"/>
        <v>13.779527559055111</v>
      </c>
      <c r="I73" s="300">
        <f t="shared" si="18"/>
        <v>-6.8897637795275557</v>
      </c>
      <c r="J73" s="300">
        <f t="shared" si="18"/>
        <v>-11.811023622047244</v>
      </c>
      <c r="K73" s="300">
        <f t="shared" si="18"/>
        <v>14.960629921259837</v>
      </c>
      <c r="L73" s="300">
        <f t="shared" si="18"/>
        <v>-3.149606299212607</v>
      </c>
    </row>
    <row r="74" spans="2:12">
      <c r="B74" s="1">
        <v>2006</v>
      </c>
      <c r="C74" s="300">
        <f t="shared" si="18"/>
        <v>-14.807692307692307</v>
      </c>
      <c r="D74" s="300">
        <f t="shared" si="18"/>
        <v>-9.6153846153846132</v>
      </c>
      <c r="E74" s="300">
        <f t="shared" si="18"/>
        <v>-11.92307692307692</v>
      </c>
      <c r="F74" s="300">
        <f t="shared" si="18"/>
        <v>-15.57692307692308</v>
      </c>
      <c r="G74" s="300">
        <f t="shared" si="18"/>
        <v>-13.07692307692308</v>
      </c>
      <c r="H74" s="300">
        <f t="shared" si="18"/>
        <v>11.730769230769226</v>
      </c>
      <c r="I74" s="300">
        <f t="shared" si="18"/>
        <v>-9.4230769230769198</v>
      </c>
      <c r="J74" s="300">
        <f t="shared" si="18"/>
        <v>-8.6538461538461604</v>
      </c>
      <c r="K74" s="300">
        <f t="shared" si="18"/>
        <v>20.961538461538453</v>
      </c>
      <c r="L74" s="300">
        <f t="shared" si="18"/>
        <v>-2.3076923076923066</v>
      </c>
    </row>
    <row r="75" spans="2:12">
      <c r="C75" s="300">
        <f t="shared" si="18"/>
        <v>-12.218045112781951</v>
      </c>
      <c r="D75" s="300">
        <f t="shared" si="18"/>
        <v>-8.4586466165413583</v>
      </c>
      <c r="E75" s="300">
        <f t="shared" si="18"/>
        <v>-14.097744360902254</v>
      </c>
      <c r="F75" s="300">
        <f t="shared" si="18"/>
        <v>-14.473684210526315</v>
      </c>
      <c r="G75" s="300">
        <f t="shared" si="18"/>
        <v>-15.037593984962399</v>
      </c>
      <c r="H75" s="300">
        <f t="shared" si="18"/>
        <v>10.338345864661648</v>
      </c>
      <c r="I75" s="300">
        <f t="shared" si="18"/>
        <v>-5.4511278195488728</v>
      </c>
      <c r="J75" s="300">
        <f t="shared" si="18"/>
        <v>-5.6390977443608961</v>
      </c>
      <c r="K75" s="300">
        <f t="shared" si="18"/>
        <v>22.556390977443613</v>
      </c>
      <c r="L75" s="300">
        <f t="shared" si="18"/>
        <v>-1.691729323308266</v>
      </c>
    </row>
    <row r="76" spans="2:12">
      <c r="B76" s="1" t="s">
        <v>280</v>
      </c>
    </row>
    <row r="77" spans="2:12">
      <c r="B77" s="1">
        <v>1981</v>
      </c>
      <c r="C77" s="300">
        <f>C49^2</f>
        <v>48.48684382821596</v>
      </c>
      <c r="D77" s="300">
        <f t="shared" ref="D77:L77" si="19">D49^2</f>
        <v>584.57325217274195</v>
      </c>
      <c r="E77" s="300">
        <f t="shared" si="19"/>
        <v>303.0427739263493</v>
      </c>
      <c r="F77" s="300">
        <f t="shared" si="19"/>
        <v>381.64683170650528</v>
      </c>
      <c r="G77" s="300">
        <f t="shared" si="19"/>
        <v>69.176060369113486</v>
      </c>
      <c r="H77" s="300">
        <f t="shared" si="19"/>
        <v>69.176060369113486</v>
      </c>
      <c r="I77" s="300">
        <f t="shared" si="19"/>
        <v>153.24237061757105</v>
      </c>
      <c r="J77" s="300">
        <f t="shared" si="19"/>
        <v>75.760693481587438</v>
      </c>
      <c r="K77" s="300">
        <f t="shared" si="19"/>
        <v>143.81437320652915</v>
      </c>
      <c r="L77" s="300">
        <f t="shared" si="19"/>
        <v>56.904698659503381</v>
      </c>
    </row>
    <row r="78" spans="2:12">
      <c r="B78" s="1">
        <v>1982</v>
      </c>
      <c r="C78" s="300">
        <f t="shared" ref="C78:L93" si="20">C50^2</f>
        <v>104.87734068805362</v>
      </c>
      <c r="D78" s="300">
        <f t="shared" si="20"/>
        <v>427.7753584619602</v>
      </c>
      <c r="E78" s="300">
        <f t="shared" si="20"/>
        <v>258.06035386526025</v>
      </c>
      <c r="F78" s="300">
        <f t="shared" si="20"/>
        <v>363.90542088030861</v>
      </c>
      <c r="G78" s="300">
        <f t="shared" si="20"/>
        <v>43.910582087385698</v>
      </c>
      <c r="H78" s="300">
        <f t="shared" si="20"/>
        <v>29.394687182464875</v>
      </c>
      <c r="I78" s="300">
        <f t="shared" si="20"/>
        <v>109.0304995080725</v>
      </c>
      <c r="J78" s="300">
        <f t="shared" si="20"/>
        <v>55.20072256899077</v>
      </c>
      <c r="K78" s="300">
        <f t="shared" si="20"/>
        <v>214.87556652312063</v>
      </c>
      <c r="L78" s="300">
        <f t="shared" si="20"/>
        <v>27.257624877018124</v>
      </c>
    </row>
    <row r="79" spans="2:12">
      <c r="B79" s="1">
        <v>1983</v>
      </c>
      <c r="C79" s="300">
        <f t="shared" si="20"/>
        <v>313.5850694444448</v>
      </c>
      <c r="D79" s="300">
        <f t="shared" si="20"/>
        <v>166.84027777777791</v>
      </c>
      <c r="E79" s="300">
        <f t="shared" si="20"/>
        <v>391.71006944444406</v>
      </c>
      <c r="F79" s="300">
        <f t="shared" si="20"/>
        <v>416.840277777778</v>
      </c>
      <c r="G79" s="300">
        <f t="shared" si="20"/>
        <v>27.12673611111121</v>
      </c>
      <c r="H79" s="300">
        <f t="shared" si="20"/>
        <v>39.0625</v>
      </c>
      <c r="I79" s="300">
        <f t="shared" si="20"/>
        <v>29.340277777777828</v>
      </c>
      <c r="J79" s="300">
        <f t="shared" si="20"/>
        <v>117.36111111111101</v>
      </c>
      <c r="K79" s="300">
        <f t="shared" si="20"/>
        <v>95.8767361111112</v>
      </c>
      <c r="L79" s="300">
        <f t="shared" si="20"/>
        <v>19.140625</v>
      </c>
    </row>
    <row r="80" spans="2:12">
      <c r="B80" s="1">
        <v>1984</v>
      </c>
      <c r="C80" s="300">
        <f t="shared" si="20"/>
        <v>241.11724084718955</v>
      </c>
      <c r="D80" s="300">
        <f t="shared" si="20"/>
        <v>281.23914972416168</v>
      </c>
      <c r="E80" s="300">
        <f t="shared" si="20"/>
        <v>144.19882634843472</v>
      </c>
      <c r="F80" s="300">
        <f t="shared" si="20"/>
        <v>159.50173390086997</v>
      </c>
      <c r="G80" s="300">
        <f t="shared" si="20"/>
        <v>28.976934188924407</v>
      </c>
      <c r="H80" s="300">
        <f t="shared" si="20"/>
        <v>94.689419561144973</v>
      </c>
      <c r="I80" s="300">
        <f t="shared" si="20"/>
        <v>24.690405462752125</v>
      </c>
      <c r="J80" s="300">
        <f t="shared" si="20"/>
        <v>102.91955471539605</v>
      </c>
      <c r="K80" s="300">
        <f t="shared" si="20"/>
        <v>10.973513539000944</v>
      </c>
      <c r="L80" s="300">
        <f t="shared" si="20"/>
        <v>13.888353072798097</v>
      </c>
    </row>
    <row r="81" spans="2:12">
      <c r="B81" s="1">
        <v>1985</v>
      </c>
      <c r="C81" s="300">
        <f t="shared" si="20"/>
        <v>322.53227821740973</v>
      </c>
      <c r="D81" s="300">
        <f t="shared" si="20"/>
        <v>383.84006663890074</v>
      </c>
      <c r="E81" s="300">
        <f t="shared" si="20"/>
        <v>186.96376509787598</v>
      </c>
      <c r="F81" s="300">
        <f t="shared" si="20"/>
        <v>198.29237817575998</v>
      </c>
      <c r="G81" s="300">
        <f t="shared" si="20"/>
        <v>37.48438150770513</v>
      </c>
      <c r="H81" s="300">
        <f t="shared" si="20"/>
        <v>112.61974177426049</v>
      </c>
      <c r="I81" s="300">
        <f t="shared" si="20"/>
        <v>70.012494793835927</v>
      </c>
      <c r="J81" s="300">
        <f t="shared" si="20"/>
        <v>95.960016659724914</v>
      </c>
      <c r="K81" s="300">
        <f t="shared" si="20"/>
        <v>30.362349021241123</v>
      </c>
      <c r="L81" s="300">
        <f t="shared" si="20"/>
        <v>35.027072053311173</v>
      </c>
    </row>
    <row r="82" spans="2:12">
      <c r="B82" s="1">
        <v>1986</v>
      </c>
      <c r="C82" s="300">
        <f t="shared" si="20"/>
        <v>414.64782778355868</v>
      </c>
      <c r="D82" s="300">
        <f t="shared" si="20"/>
        <v>266.68997138397498</v>
      </c>
      <c r="E82" s="300">
        <f t="shared" si="20"/>
        <v>193.52399843912619</v>
      </c>
      <c r="F82" s="300">
        <f t="shared" si="20"/>
        <v>114.17956555671179</v>
      </c>
      <c r="G82" s="300">
        <f t="shared" si="20"/>
        <v>75.157713319458935</v>
      </c>
      <c r="H82" s="300">
        <f t="shared" si="20"/>
        <v>171.73679760665985</v>
      </c>
      <c r="I82" s="300">
        <f t="shared" si="20"/>
        <v>61.825247138397451</v>
      </c>
      <c r="J82" s="300">
        <f t="shared" si="20"/>
        <v>293.68008584807501</v>
      </c>
      <c r="K82" s="300">
        <f t="shared" si="20"/>
        <v>9.1457466181061786</v>
      </c>
      <c r="L82" s="300">
        <f t="shared" si="20"/>
        <v>0.36582986472425055</v>
      </c>
    </row>
    <row r="83" spans="2:12">
      <c r="B83" s="1">
        <v>1987</v>
      </c>
      <c r="C83" s="300">
        <f t="shared" si="20"/>
        <v>182.46780697190445</v>
      </c>
      <c r="D83" s="300">
        <f t="shared" si="20"/>
        <v>193.52399843912619</v>
      </c>
      <c r="E83" s="300">
        <f t="shared" si="20"/>
        <v>65.036420395421402</v>
      </c>
      <c r="F83" s="300">
        <f t="shared" si="20"/>
        <v>273.31555671175857</v>
      </c>
      <c r="G83" s="300">
        <f t="shared" si="20"/>
        <v>75.157713319458935</v>
      </c>
      <c r="H83" s="300">
        <f t="shared" si="20"/>
        <v>234.78147762747153</v>
      </c>
      <c r="I83" s="300">
        <f t="shared" si="20"/>
        <v>109.91155046826223</v>
      </c>
      <c r="J83" s="300">
        <f t="shared" si="20"/>
        <v>166.49323621227896</v>
      </c>
      <c r="K83" s="300">
        <f t="shared" si="20"/>
        <v>1.0161940686784452</v>
      </c>
      <c r="L83" s="300">
        <f t="shared" si="20"/>
        <v>27.477887617065484</v>
      </c>
    </row>
    <row r="84" spans="2:12">
      <c r="B84" s="1">
        <v>1988</v>
      </c>
      <c r="C84" s="300">
        <f t="shared" si="20"/>
        <v>131.90863640819535</v>
      </c>
      <c r="D84" s="300">
        <f t="shared" si="20"/>
        <v>384.31526320948899</v>
      </c>
      <c r="E84" s="300">
        <f t="shared" si="20"/>
        <v>101.99000098029602</v>
      </c>
      <c r="F84" s="300">
        <f t="shared" si="20"/>
        <v>208.95990589157913</v>
      </c>
      <c r="G84" s="300">
        <f t="shared" si="20"/>
        <v>101.99000098029602</v>
      </c>
      <c r="H84" s="300">
        <f t="shared" si="20"/>
        <v>244.72110577394338</v>
      </c>
      <c r="I84" s="300">
        <f t="shared" si="20"/>
        <v>118.61582197823741</v>
      </c>
      <c r="J84" s="300">
        <f t="shared" si="20"/>
        <v>296.79443191843956</v>
      </c>
      <c r="K84" s="300">
        <f t="shared" si="20"/>
        <v>6.6268012939907788</v>
      </c>
      <c r="L84" s="300">
        <f t="shared" si="20"/>
        <v>3.9211841976275495E-2</v>
      </c>
    </row>
    <row r="85" spans="2:12">
      <c r="B85" s="1">
        <v>1989</v>
      </c>
      <c r="C85" s="300">
        <f t="shared" si="20"/>
        <v>127.75062021990263</v>
      </c>
      <c r="D85" s="300">
        <f t="shared" si="20"/>
        <v>493.8271604938268</v>
      </c>
      <c r="E85" s="300">
        <f t="shared" si="20"/>
        <v>206.43413925221307</v>
      </c>
      <c r="F85" s="300">
        <f t="shared" si="20"/>
        <v>200.96592827468771</v>
      </c>
      <c r="G85" s="300">
        <f t="shared" si="20"/>
        <v>77.655935761365825</v>
      </c>
      <c r="H85" s="300">
        <f t="shared" si="20"/>
        <v>200.96592827468811</v>
      </c>
      <c r="I85" s="300">
        <f t="shared" si="20"/>
        <v>145.6599286563615</v>
      </c>
      <c r="J85" s="300">
        <f t="shared" si="20"/>
        <v>290.69596746964942</v>
      </c>
      <c r="K85" s="300">
        <f t="shared" si="20"/>
        <v>0.9174850633431928</v>
      </c>
      <c r="L85" s="300">
        <f t="shared" si="20"/>
        <v>0</v>
      </c>
    </row>
    <row r="86" spans="2:12">
      <c r="B86" s="1">
        <v>1990</v>
      </c>
      <c r="C86" s="300">
        <f t="shared" si="20"/>
        <v>175.64232834954279</v>
      </c>
      <c r="D86" s="300">
        <f t="shared" si="20"/>
        <v>245.31862389316265</v>
      </c>
      <c r="E86" s="300">
        <f t="shared" si="20"/>
        <v>131.0059515169111</v>
      </c>
      <c r="F86" s="300">
        <f t="shared" si="20"/>
        <v>145.15894904920907</v>
      </c>
      <c r="G86" s="300">
        <f t="shared" si="20"/>
        <v>170.36015548136308</v>
      </c>
      <c r="H86" s="300">
        <f t="shared" si="20"/>
        <v>220.80289027596351</v>
      </c>
      <c r="I86" s="300">
        <f t="shared" si="20"/>
        <v>74.555249108885164</v>
      </c>
      <c r="J86" s="300">
        <f t="shared" si="20"/>
        <v>251.64916694892003</v>
      </c>
      <c r="K86" s="300">
        <f t="shared" si="20"/>
        <v>10.322414154610392</v>
      </c>
      <c r="L86" s="300">
        <f t="shared" si="20"/>
        <v>1.0080482572861764</v>
      </c>
    </row>
    <row r="87" spans="2:12">
      <c r="B87" s="1">
        <v>1991</v>
      </c>
      <c r="C87" s="300">
        <f t="shared" si="20"/>
        <v>113.17338162064293</v>
      </c>
      <c r="D87" s="300">
        <f t="shared" si="20"/>
        <v>174.01539157990032</v>
      </c>
      <c r="E87" s="300">
        <f t="shared" si="20"/>
        <v>91.67043911272053</v>
      </c>
      <c r="F87" s="300">
        <f t="shared" si="20"/>
        <v>168.44726120416479</v>
      </c>
      <c r="G87" s="300">
        <f t="shared" si="20"/>
        <v>95.789950203712152</v>
      </c>
      <c r="H87" s="300">
        <f t="shared" si="20"/>
        <v>132.00543232231794</v>
      </c>
      <c r="I87" s="300">
        <f t="shared" si="20"/>
        <v>100</v>
      </c>
      <c r="J87" s="300">
        <f t="shared" si="20"/>
        <v>185.42326844726097</v>
      </c>
      <c r="K87" s="300">
        <f t="shared" si="20"/>
        <v>14.66727025803522</v>
      </c>
      <c r="L87" s="300">
        <f t="shared" si="20"/>
        <v>4.5269352648261887E-2</v>
      </c>
    </row>
    <row r="88" spans="2:12">
      <c r="B88" s="1">
        <v>1992</v>
      </c>
      <c r="C88" s="300">
        <f t="shared" si="20"/>
        <v>153.59047410329475</v>
      </c>
      <c r="D88" s="300">
        <f t="shared" si="20"/>
        <v>114.1427423478705</v>
      </c>
      <c r="E88" s="300">
        <f t="shared" si="20"/>
        <v>118.75410913872453</v>
      </c>
      <c r="F88" s="300">
        <f t="shared" si="20"/>
        <v>148.33990795529263</v>
      </c>
      <c r="G88" s="300">
        <f t="shared" si="20"/>
        <v>123.45679012345686</v>
      </c>
      <c r="H88" s="300">
        <f t="shared" si="20"/>
        <v>181.21301775147904</v>
      </c>
      <c r="I88" s="300">
        <f t="shared" si="20"/>
        <v>138.1127182409233</v>
      </c>
      <c r="J88" s="300">
        <f t="shared" si="20"/>
        <v>198.88231426692965</v>
      </c>
      <c r="K88" s="300">
        <f t="shared" si="20"/>
        <v>2.922054204105514</v>
      </c>
      <c r="L88" s="300">
        <f t="shared" si="20"/>
        <v>4.5657096939148198</v>
      </c>
    </row>
    <row r="89" spans="2:12">
      <c r="B89" s="1">
        <v>1993</v>
      </c>
      <c r="C89" s="300">
        <f t="shared" si="20"/>
        <v>101.31721961800147</v>
      </c>
      <c r="D89" s="300">
        <f t="shared" si="20"/>
        <v>119.70370937854618</v>
      </c>
      <c r="E89" s="300">
        <f t="shared" si="20"/>
        <v>84.46293733750214</v>
      </c>
      <c r="F89" s="300">
        <f t="shared" si="20"/>
        <v>96.960004596622383</v>
      </c>
      <c r="G89" s="300">
        <f t="shared" si="20"/>
        <v>139.62240661913629</v>
      </c>
      <c r="H89" s="300">
        <f t="shared" si="20"/>
        <v>155.56694070835832</v>
      </c>
      <c r="I89" s="300">
        <f t="shared" si="20"/>
        <v>96.960004596622383</v>
      </c>
      <c r="J89" s="300">
        <f t="shared" si="20"/>
        <v>208.57174322117899</v>
      </c>
      <c r="K89" s="300">
        <f t="shared" si="20"/>
        <v>37.539083261112005</v>
      </c>
      <c r="L89" s="300">
        <f t="shared" si="20"/>
        <v>10.773333844069091</v>
      </c>
    </row>
    <row r="90" spans="2:12">
      <c r="B90" s="1">
        <v>1994</v>
      </c>
      <c r="C90" s="300">
        <f t="shared" si="20"/>
        <v>157.60574202132634</v>
      </c>
      <c r="D90" s="300">
        <f t="shared" si="20"/>
        <v>131.60360562957968</v>
      </c>
      <c r="E90" s="300">
        <f t="shared" si="20"/>
        <v>163.08727347688364</v>
      </c>
      <c r="F90" s="300">
        <f t="shared" si="20"/>
        <v>94.87265980772483</v>
      </c>
      <c r="G90" s="300">
        <f t="shared" si="20"/>
        <v>107.94400404790029</v>
      </c>
      <c r="H90" s="300">
        <f t="shared" si="20"/>
        <v>126.68428252843817</v>
      </c>
      <c r="I90" s="300">
        <f t="shared" si="20"/>
        <v>64.138603099641969</v>
      </c>
      <c r="J90" s="300">
        <f t="shared" si="20"/>
        <v>152.2179119581717</v>
      </c>
      <c r="K90" s="300">
        <f t="shared" si="20"/>
        <v>47.975112910178041</v>
      </c>
      <c r="L90" s="300">
        <f t="shared" si="20"/>
        <v>2.2956841138659332</v>
      </c>
    </row>
    <row r="91" spans="2:12">
      <c r="B91" s="1">
        <v>1995</v>
      </c>
      <c r="C91" s="300">
        <f t="shared" si="20"/>
        <v>163.7955778487773</v>
      </c>
      <c r="D91" s="300">
        <f t="shared" si="20"/>
        <v>57.641362500646892</v>
      </c>
      <c r="E91" s="300">
        <f t="shared" si="20"/>
        <v>186.75801450209624</v>
      </c>
      <c r="F91" s="300">
        <f t="shared" si="20"/>
        <v>132.17517327699369</v>
      </c>
      <c r="G91" s="300">
        <f t="shared" si="20"/>
        <v>117.63543367478961</v>
      </c>
      <c r="H91" s="300">
        <f t="shared" si="20"/>
        <v>132.17517327699369</v>
      </c>
      <c r="I91" s="300">
        <f t="shared" si="20"/>
        <v>45.21906070458931</v>
      </c>
      <c r="J91" s="300">
        <f t="shared" si="20"/>
        <v>117.63543367478961</v>
      </c>
      <c r="K91" s="300">
        <f t="shared" si="20"/>
        <v>22.774219959439307</v>
      </c>
      <c r="L91" s="300">
        <f t="shared" si="20"/>
        <v>6.7758009796678724</v>
      </c>
    </row>
    <row r="92" spans="2:12">
      <c r="B92" s="1">
        <v>1996</v>
      </c>
      <c r="C92" s="300">
        <f t="shared" si="20"/>
        <v>192.56147024005875</v>
      </c>
      <c r="D92" s="300">
        <f t="shared" si="20"/>
        <v>38.036833627666063</v>
      </c>
      <c r="E92" s="300">
        <f t="shared" si="20"/>
        <v>186.49692406217858</v>
      </c>
      <c r="F92" s="300">
        <f t="shared" si="20"/>
        <v>146.76201750470631</v>
      </c>
      <c r="G92" s="300">
        <f t="shared" si="20"/>
        <v>116.48780298472693</v>
      </c>
      <c r="H92" s="300">
        <f t="shared" si="20"/>
        <v>136.28248170932838</v>
      </c>
      <c r="I92" s="300">
        <f t="shared" si="20"/>
        <v>35.368433309398618</v>
      </c>
      <c r="J92" s="300">
        <f t="shared" si="20"/>
        <v>107.1726600555027</v>
      </c>
      <c r="K92" s="300">
        <f t="shared" si="20"/>
        <v>38.036833627666063</v>
      </c>
      <c r="L92" s="300">
        <f t="shared" si="20"/>
        <v>0</v>
      </c>
    </row>
    <row r="93" spans="2:12">
      <c r="B93" s="1">
        <v>1997</v>
      </c>
      <c r="C93" s="300">
        <f t="shared" si="20"/>
        <v>253.73952541310982</v>
      </c>
      <c r="D93" s="300">
        <f t="shared" si="20"/>
        <v>108.1231889732948</v>
      </c>
      <c r="E93" s="300">
        <f t="shared" si="20"/>
        <v>219.72159135406025</v>
      </c>
      <c r="F93" s="300">
        <f t="shared" si="20"/>
        <v>122.36666927715561</v>
      </c>
      <c r="G93" s="300">
        <f t="shared" si="20"/>
        <v>153.49674994126408</v>
      </c>
      <c r="H93" s="300">
        <f t="shared" si="20"/>
        <v>148.06366982535818</v>
      </c>
      <c r="I93" s="300">
        <f t="shared" si="20"/>
        <v>19.578667084344872</v>
      </c>
      <c r="J93" s="300">
        <f t="shared" si="20"/>
        <v>86.341921841961181</v>
      </c>
      <c r="K93" s="300">
        <f t="shared" si="20"/>
        <v>142.72848304487437</v>
      </c>
      <c r="L93" s="300">
        <f t="shared" si="20"/>
        <v>4.8946667710865636E-2</v>
      </c>
    </row>
    <row r="94" spans="2:12">
      <c r="B94" s="1">
        <v>1998</v>
      </c>
      <c r="C94" s="300">
        <f t="shared" ref="C94:L103" si="21">C66^2</f>
        <v>302.13302879036263</v>
      </c>
      <c r="D94" s="300">
        <f t="shared" si="21"/>
        <v>232.13726537604313</v>
      </c>
      <c r="E94" s="300">
        <f t="shared" si="21"/>
        <v>238.72239311831135</v>
      </c>
      <c r="F94" s="300">
        <f t="shared" si="21"/>
        <v>177.01560168726652</v>
      </c>
      <c r="G94" s="300">
        <f t="shared" si="21"/>
        <v>139.30077916336671</v>
      </c>
      <c r="H94" s="300">
        <f t="shared" si="21"/>
        <v>165.77943966549381</v>
      </c>
      <c r="I94" s="300">
        <f t="shared" si="21"/>
        <v>44.253900421816539</v>
      </c>
      <c r="J94" s="300">
        <f t="shared" si="21"/>
        <v>129.35401278343679</v>
      </c>
      <c r="K94" s="300">
        <f t="shared" si="21"/>
        <v>53.233620070364097</v>
      </c>
      <c r="L94" s="300">
        <f t="shared" si="21"/>
        <v>0.41444859916373272</v>
      </c>
    </row>
    <row r="95" spans="2:12">
      <c r="B95" s="1">
        <v>1999</v>
      </c>
      <c r="C95" s="300">
        <f t="shared" si="21"/>
        <v>284.765625</v>
      </c>
      <c r="D95" s="300">
        <f t="shared" si="21"/>
        <v>416.840277777778</v>
      </c>
      <c r="E95" s="300">
        <f t="shared" si="21"/>
        <v>141.015625</v>
      </c>
      <c r="F95" s="300">
        <f t="shared" si="21"/>
        <v>131.293402777778</v>
      </c>
      <c r="G95" s="300">
        <f t="shared" si="21"/>
        <v>121.91840277777789</v>
      </c>
      <c r="H95" s="300">
        <f t="shared" si="21"/>
        <v>218.79340277777791</v>
      </c>
      <c r="I95" s="300">
        <f t="shared" si="21"/>
        <v>27.12673611111121</v>
      </c>
      <c r="J95" s="300">
        <f t="shared" si="21"/>
        <v>126.5625</v>
      </c>
      <c r="K95" s="300">
        <f t="shared" si="21"/>
        <v>69.444444444444372</v>
      </c>
      <c r="L95" s="300">
        <f t="shared" si="21"/>
        <v>9.765625</v>
      </c>
    </row>
    <row r="96" spans="2:12">
      <c r="B96" s="1">
        <v>2000</v>
      </c>
      <c r="C96" s="300">
        <f t="shared" si="21"/>
        <v>333.98125387382009</v>
      </c>
      <c r="D96" s="300">
        <f t="shared" si="21"/>
        <v>319.13951654727248</v>
      </c>
      <c r="E96" s="300">
        <f t="shared" si="21"/>
        <v>212.54885756570226</v>
      </c>
      <c r="F96" s="300">
        <f t="shared" si="21"/>
        <v>162.0785178501406</v>
      </c>
      <c r="G96" s="300">
        <f t="shared" si="21"/>
        <v>141.83978513212111</v>
      </c>
      <c r="H96" s="300">
        <f t="shared" si="21"/>
        <v>249.99051309403876</v>
      </c>
      <c r="I96" s="300">
        <f t="shared" si="21"/>
        <v>60.884854260042566</v>
      </c>
      <c r="J96" s="300">
        <f t="shared" si="21"/>
        <v>141.83978513212111</v>
      </c>
      <c r="K96" s="300">
        <f t="shared" si="21"/>
        <v>97.145917046494134</v>
      </c>
      <c r="L96" s="300">
        <f t="shared" si="21"/>
        <v>33.056596772765381</v>
      </c>
    </row>
    <row r="97" spans="2:12">
      <c r="B97" s="1">
        <v>2001</v>
      </c>
      <c r="C97" s="300">
        <f t="shared" si="21"/>
        <v>427.7753584619602</v>
      </c>
      <c r="D97" s="300">
        <f t="shared" si="21"/>
        <v>453.05720875469757</v>
      </c>
      <c r="E97" s="300">
        <f t="shared" si="21"/>
        <v>175.64232834954279</v>
      </c>
      <c r="F97" s="300">
        <f t="shared" si="21"/>
        <v>160.03774132675272</v>
      </c>
      <c r="G97" s="300">
        <f t="shared" si="21"/>
        <v>145.15894904920907</v>
      </c>
      <c r="H97" s="300">
        <f t="shared" si="21"/>
        <v>186.4486056676501</v>
      </c>
      <c r="I97" s="300">
        <f t="shared" si="21"/>
        <v>58.224867340849165</v>
      </c>
      <c r="J97" s="300">
        <f t="shared" si="21"/>
        <v>100.80482572861736</v>
      </c>
      <c r="K97" s="300">
        <f t="shared" si="21"/>
        <v>154.99750004032208</v>
      </c>
      <c r="L97" s="300">
        <f t="shared" si="21"/>
        <v>46.612151416912525</v>
      </c>
    </row>
    <row r="98" spans="2:12">
      <c r="B98" s="1">
        <v>2002</v>
      </c>
      <c r="C98" s="300">
        <f t="shared" si="21"/>
        <v>329.24687825182087</v>
      </c>
      <c r="D98" s="300">
        <f t="shared" si="21"/>
        <v>266.68997138397498</v>
      </c>
      <c r="E98" s="300">
        <f t="shared" si="21"/>
        <v>210.71800208116545</v>
      </c>
      <c r="F98" s="300">
        <f t="shared" si="21"/>
        <v>204.9053720083246</v>
      </c>
      <c r="G98" s="300">
        <f t="shared" si="21"/>
        <v>122.95948231009343</v>
      </c>
      <c r="H98" s="300">
        <f t="shared" si="21"/>
        <v>182.46780697190408</v>
      </c>
      <c r="I98" s="300">
        <f t="shared" si="21"/>
        <v>89.790907908428593</v>
      </c>
      <c r="J98" s="300">
        <f t="shared" si="21"/>
        <v>105.72483090530696</v>
      </c>
      <c r="K98" s="300">
        <f t="shared" si="21"/>
        <v>156.25</v>
      </c>
      <c r="L98" s="300">
        <f t="shared" si="21"/>
        <v>27.477887617065484</v>
      </c>
    </row>
    <row r="99" spans="2:12">
      <c r="B99" s="1">
        <v>2003</v>
      </c>
      <c r="C99" s="300">
        <f t="shared" si="21"/>
        <v>323.27313539434749</v>
      </c>
      <c r="D99" s="300">
        <f t="shared" si="21"/>
        <v>177.77777777777766</v>
      </c>
      <c r="E99" s="300">
        <f t="shared" si="21"/>
        <v>223.48739924497497</v>
      </c>
      <c r="F99" s="300">
        <f t="shared" si="21"/>
        <v>194.30670339761244</v>
      </c>
      <c r="G99" s="300">
        <f t="shared" si="21"/>
        <v>114.64136312621174</v>
      </c>
      <c r="H99" s="300">
        <f t="shared" si="21"/>
        <v>229.56841138659334</v>
      </c>
      <c r="I99" s="300">
        <f t="shared" si="21"/>
        <v>39.220487705336105</v>
      </c>
      <c r="J99" s="300">
        <f t="shared" si="21"/>
        <v>97.990001020303993</v>
      </c>
      <c r="K99" s="300">
        <f t="shared" si="21"/>
        <v>97.990001020303993</v>
      </c>
      <c r="L99" s="300">
        <f t="shared" si="21"/>
        <v>47.178859300071373</v>
      </c>
    </row>
    <row r="100" spans="2:12">
      <c r="B100" s="1">
        <v>2004</v>
      </c>
      <c r="C100" s="300">
        <f t="shared" si="21"/>
        <v>367.16985191294037</v>
      </c>
      <c r="D100" s="300">
        <f t="shared" si="21"/>
        <v>116.17483595682883</v>
      </c>
      <c r="E100" s="300">
        <f t="shared" si="21"/>
        <v>163.1866008501961</v>
      </c>
      <c r="F100" s="300">
        <f t="shared" si="21"/>
        <v>189.68051920111859</v>
      </c>
      <c r="G100" s="300">
        <f t="shared" si="21"/>
        <v>143.42572340349241</v>
      </c>
      <c r="H100" s="300">
        <f t="shared" si="21"/>
        <v>168.32602260548796</v>
      </c>
      <c r="I100" s="300">
        <f t="shared" si="21"/>
        <v>38.286700052987783</v>
      </c>
      <c r="J100" s="300">
        <f t="shared" si="21"/>
        <v>80.676969414464551</v>
      </c>
      <c r="K100" s="300">
        <f t="shared" si="21"/>
        <v>173.5451253182255</v>
      </c>
      <c r="L100" s="300">
        <f t="shared" si="21"/>
        <v>11.513898351002597</v>
      </c>
    </row>
    <row r="101" spans="2:12">
      <c r="B101" s="1">
        <v>2005</v>
      </c>
      <c r="C101" s="300">
        <f t="shared" si="21"/>
        <v>372.15574431148883</v>
      </c>
      <c r="D101" s="300">
        <f t="shared" si="21"/>
        <v>153.79905759811504</v>
      </c>
      <c r="E101" s="300">
        <f t="shared" si="21"/>
        <v>121.52024304048628</v>
      </c>
      <c r="F101" s="300">
        <f t="shared" si="21"/>
        <v>195.3391406782811</v>
      </c>
      <c r="G101" s="300">
        <f t="shared" si="21"/>
        <v>158.72031744063503</v>
      </c>
      <c r="H101" s="300">
        <f t="shared" si="21"/>
        <v>189.87537975075932</v>
      </c>
      <c r="I101" s="300">
        <f t="shared" si="21"/>
        <v>47.46884493768983</v>
      </c>
      <c r="J101" s="300">
        <f t="shared" si="21"/>
        <v>139.50027900055801</v>
      </c>
      <c r="K101" s="300">
        <f t="shared" si="21"/>
        <v>223.82044764089511</v>
      </c>
      <c r="L101" s="300">
        <f t="shared" si="21"/>
        <v>9.9200198400397337</v>
      </c>
    </row>
    <row r="102" spans="2:12">
      <c r="B102" s="1">
        <v>2006</v>
      </c>
      <c r="C102" s="300">
        <f t="shared" si="21"/>
        <v>219.2677514792899</v>
      </c>
      <c r="D102" s="300">
        <f t="shared" si="21"/>
        <v>92.455621301775111</v>
      </c>
      <c r="E102" s="300">
        <f t="shared" si="21"/>
        <v>142.1597633136094</v>
      </c>
      <c r="F102" s="300">
        <f t="shared" si="21"/>
        <v>242.6405325443788</v>
      </c>
      <c r="G102" s="300">
        <f t="shared" si="21"/>
        <v>171.00591715976341</v>
      </c>
      <c r="H102" s="300">
        <f t="shared" si="21"/>
        <v>137.61094674556202</v>
      </c>
      <c r="I102" s="300">
        <f t="shared" si="21"/>
        <v>88.79437869822479</v>
      </c>
      <c r="J102" s="300">
        <f t="shared" si="21"/>
        <v>74.889053254437982</v>
      </c>
      <c r="K102" s="300">
        <f t="shared" si="21"/>
        <v>439.38609467455586</v>
      </c>
      <c r="L102" s="300">
        <f t="shared" si="21"/>
        <v>5.3254437869822437</v>
      </c>
    </row>
    <row r="103" spans="2:12">
      <c r="C103" s="300">
        <f t="shared" si="21"/>
        <v>149.28062637797493</v>
      </c>
      <c r="D103" s="300">
        <f t="shared" si="21"/>
        <v>71.548702583526563</v>
      </c>
      <c r="E103" s="300">
        <f t="shared" si="21"/>
        <v>198.74639606535132</v>
      </c>
      <c r="F103" s="300">
        <f t="shared" si="21"/>
        <v>209.48753462603875</v>
      </c>
      <c r="G103" s="300">
        <f t="shared" si="21"/>
        <v>226.12923285657732</v>
      </c>
      <c r="H103" s="300">
        <f t="shared" si="21"/>
        <v>106.88139521736659</v>
      </c>
      <c r="I103" s="300">
        <f t="shared" si="21"/>
        <v>29.714794505059647</v>
      </c>
      <c r="J103" s="300">
        <f t="shared" si="21"/>
        <v>31.799423370456147</v>
      </c>
      <c r="K103" s="300">
        <f t="shared" si="21"/>
        <v>508.7907739272996</v>
      </c>
      <c r="L103" s="300">
        <f t="shared" si="21"/>
        <v>2.8619481033410437</v>
      </c>
    </row>
  </sheetData>
  <mergeCells count="13">
    <mergeCell ref="G3:G4"/>
    <mergeCell ref="H3:H4"/>
    <mergeCell ref="I3:I4"/>
    <mergeCell ref="A42:L42"/>
    <mergeCell ref="A41:L41"/>
    <mergeCell ref="B3:B4"/>
    <mergeCell ref="C3:C4"/>
    <mergeCell ref="D3:D4"/>
    <mergeCell ref="E3:E4"/>
    <mergeCell ref="J3:J4"/>
    <mergeCell ref="K3:K4"/>
    <mergeCell ref="L3:L4"/>
    <mergeCell ref="F3:F4"/>
  </mergeCells>
  <phoneticPr fontId="35" type="noConversion"/>
  <pageMargins left="0.75" right="0.75" top="1" bottom="1" header="0.5" footer="0.5"/>
  <pageSetup scale="76" orientation="landscape" horizontalDpi="300" verticalDpi="300" r:id="rId1"/>
  <headerFooter alignWithMargins="0"/>
</worksheet>
</file>

<file path=xl/worksheets/sheet51.xml><?xml version="1.0" encoding="utf-8"?>
<worksheet xmlns="http://schemas.openxmlformats.org/spreadsheetml/2006/main" xmlns:r="http://schemas.openxmlformats.org/officeDocument/2006/relationships">
  <sheetPr codeName="Sheet39">
    <pageSetUpPr fitToPage="1"/>
  </sheetPr>
  <dimension ref="A1:Q103"/>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bestFit="1" customWidth="1"/>
    <col min="3" max="6" width="9.28515625" style="1" bestFit="1" customWidth="1"/>
    <col min="7" max="8" width="9.7109375" style="1" bestFit="1" customWidth="1"/>
    <col min="9" max="12" width="9.28515625" style="1" bestFit="1" customWidth="1"/>
    <col min="13" max="15" width="8.85546875" style="1" customWidth="1"/>
    <col min="16" max="17" width="9.42578125" style="1" hidden="1" customWidth="1"/>
    <col min="18" max="16384" width="8.85546875" style="1"/>
  </cols>
  <sheetData>
    <row r="1" spans="1:17" ht="18.75">
      <c r="A1" s="4"/>
      <c r="B1" s="3" t="s">
        <v>2135</v>
      </c>
    </row>
    <row r="2" spans="1:17">
      <c r="A2" s="4"/>
      <c r="B2" s="4"/>
    </row>
    <row r="3" spans="1:17" ht="25.5">
      <c r="A3" s="2"/>
      <c r="B3" s="1164" t="s">
        <v>375</v>
      </c>
      <c r="C3" s="1164" t="s">
        <v>377</v>
      </c>
      <c r="D3" s="1164" t="s">
        <v>386</v>
      </c>
      <c r="E3" s="1164" t="s">
        <v>378</v>
      </c>
      <c r="F3" s="1164" t="s">
        <v>379</v>
      </c>
      <c r="G3" s="1164" t="s">
        <v>380</v>
      </c>
      <c r="H3" s="1164" t="s">
        <v>381</v>
      </c>
      <c r="I3" s="1164" t="s">
        <v>382</v>
      </c>
      <c r="J3" s="1164" t="s">
        <v>383</v>
      </c>
      <c r="K3" s="1164" t="s">
        <v>384</v>
      </c>
      <c r="L3" s="1164" t="s">
        <v>385</v>
      </c>
      <c r="N3" s="645" t="s">
        <v>79</v>
      </c>
      <c r="O3" s="124" t="s">
        <v>84</v>
      </c>
      <c r="P3" s="124" t="s">
        <v>79</v>
      </c>
      <c r="Q3" s="124" t="s">
        <v>84</v>
      </c>
    </row>
    <row r="4" spans="1:17" s="4" customFormat="1" ht="25.5">
      <c r="A4" s="7"/>
      <c r="B4" s="1165"/>
      <c r="C4" s="1165"/>
      <c r="D4" s="1165"/>
      <c r="E4" s="1165"/>
      <c r="F4" s="1165"/>
      <c r="G4" s="1165"/>
      <c r="H4" s="1165"/>
      <c r="I4" s="1165"/>
      <c r="J4" s="1165"/>
      <c r="K4" s="1165"/>
      <c r="L4" s="1165"/>
      <c r="M4" s="1054"/>
      <c r="N4" s="1048" t="s">
        <v>282</v>
      </c>
      <c r="O4" s="1048" t="s">
        <v>282</v>
      </c>
      <c r="P4" s="645" t="s">
        <v>281</v>
      </c>
      <c r="Q4" s="645" t="s">
        <v>281</v>
      </c>
    </row>
    <row r="5" spans="1:17">
      <c r="A5" s="2">
        <v>1981</v>
      </c>
      <c r="B5" s="135">
        <f>'12c'!B5/'12c'!$B5*100</f>
        <v>100</v>
      </c>
      <c r="C5" s="10">
        <f>'12c'!C5/'12c'!$B5*100</f>
        <v>94.419642857142861</v>
      </c>
      <c r="D5" s="10">
        <f>'12c'!D5/'12c'!$B5*100</f>
        <v>80.357142857142861</v>
      </c>
      <c r="E5" s="10">
        <f>'12c'!E5/'12c'!$B5*100</f>
        <v>85.267857142857139</v>
      </c>
      <c r="F5" s="10">
        <f>'12c'!F5/'12c'!$B5*100</f>
        <v>83.705357142857139</v>
      </c>
      <c r="G5" s="10">
        <f>'12c'!G5/'12c'!$B5*100</f>
        <v>91.741071428571431</v>
      </c>
      <c r="H5" s="10">
        <f>'12c'!H5/'12c'!$B5*100</f>
        <v>107.8125</v>
      </c>
      <c r="I5" s="10">
        <f>'12c'!I5/'12c'!$B5*100</f>
        <v>88.839285714285708</v>
      </c>
      <c r="J5" s="10">
        <f>'12c'!J5/'12c'!$B5*100</f>
        <v>92.410714285714292</v>
      </c>
      <c r="K5" s="10">
        <f>'12c'!K5/'12c'!$B5*100</f>
        <v>110.49107142857142</v>
      </c>
      <c r="L5" s="10">
        <f>'12c'!L5/'12c'!$B5*100</f>
        <v>106.69642857142858</v>
      </c>
      <c r="N5" s="19">
        <f>SUM(C77:L77)/10</f>
        <v>136.58422353316325</v>
      </c>
      <c r="O5" s="19">
        <f>SQRT(N5)</f>
        <v>11.686925324188705</v>
      </c>
      <c r="P5" s="19">
        <f>Q5^2</f>
        <v>102.64319595025502</v>
      </c>
      <c r="Q5" s="19">
        <f>STDEVP(C5:L5)</f>
        <v>10.13129784135552</v>
      </c>
    </row>
    <row r="6" spans="1:17">
      <c r="A6" s="2">
        <v>1982</v>
      </c>
      <c r="B6" s="135">
        <f>'12c'!B6/'12c'!$B6*100</f>
        <v>100</v>
      </c>
      <c r="C6" s="10">
        <f>'12c'!C6/'12c'!$B6*100</f>
        <v>93.087557603686633</v>
      </c>
      <c r="D6" s="10">
        <f>'12c'!D6/'12c'!$B6*100</f>
        <v>83.870967741935488</v>
      </c>
      <c r="E6" s="10">
        <f>'12c'!E6/'12c'!$B6*100</f>
        <v>85.944700460829495</v>
      </c>
      <c r="F6" s="10">
        <f>'12c'!F6/'12c'!$B6*100</f>
        <v>84.562211981566819</v>
      </c>
      <c r="G6" s="10">
        <f>'12c'!G6/'12c'!$B6*100</f>
        <v>93.31797235023042</v>
      </c>
      <c r="H6" s="10">
        <f>'12c'!H6/'12c'!$B6*100</f>
        <v>105.52995391705069</v>
      </c>
      <c r="I6" s="10">
        <f>'12c'!I6/'12c'!$B6*100</f>
        <v>91.705069124423972</v>
      </c>
      <c r="J6" s="10">
        <f>'12c'!J6/'12c'!$B6*100</f>
        <v>93.778801843317979</v>
      </c>
      <c r="K6" s="10">
        <f>'12c'!K6/'12c'!$B6*100</f>
        <v>113.36405529953917</v>
      </c>
      <c r="L6" s="10">
        <f>'12c'!L6/'12c'!$B6*100</f>
        <v>104.3778801843318</v>
      </c>
      <c r="N6" s="19">
        <f t="shared" ref="N6:N28" si="0">SUM(C78:L78)/10</f>
        <v>112.43071630317056</v>
      </c>
      <c r="O6" s="19">
        <f t="shared" ref="O6:O29" si="1">SQRT(N6)</f>
        <v>10.603335149997408</v>
      </c>
      <c r="P6" s="19">
        <f t="shared" ref="P6:P28" si="2">Q6^2</f>
        <v>86.967763171866522</v>
      </c>
      <c r="Q6" s="19">
        <f t="shared" ref="Q6:Q28" si="3">STDEVP(C6:L6)</f>
        <v>9.3256508176033766</v>
      </c>
    </row>
    <row r="7" spans="1:17">
      <c r="A7" s="2">
        <v>1983</v>
      </c>
      <c r="B7" s="135">
        <f>'12c'!B7/'12c'!$B7*100</f>
        <v>100</v>
      </c>
      <c r="C7" s="10">
        <f>'12c'!C7/'12c'!$B7*100</f>
        <v>85.645933014354071</v>
      </c>
      <c r="D7" s="10">
        <f>'12c'!D7/'12c'!$B7*100</f>
        <v>87.559808612440193</v>
      </c>
      <c r="E7" s="10">
        <f>'12c'!E7/'12c'!$B7*100</f>
        <v>84.688995215310996</v>
      </c>
      <c r="F7" s="10">
        <f>'12c'!F7/'12c'!$B7*100</f>
        <v>81.100478468899524</v>
      </c>
      <c r="G7" s="10">
        <f>'12c'!G7/'12c'!$B7*100</f>
        <v>94.976076555023923</v>
      </c>
      <c r="H7" s="10">
        <f>'12c'!H7/'12c'!$B7*100</f>
        <v>105.26315789473684</v>
      </c>
      <c r="I7" s="10">
        <f>'12c'!I7/'12c'!$B7*100</f>
        <v>97.129186602870803</v>
      </c>
      <c r="J7" s="10">
        <f>'12c'!J7/'12c'!$B7*100</f>
        <v>91.626794258373195</v>
      </c>
      <c r="K7" s="10">
        <f>'12c'!K7/'12c'!$B7*100</f>
        <v>109.09090909090908</v>
      </c>
      <c r="L7" s="10">
        <f>'12c'!L7/'12c'!$B7*100</f>
        <v>102.87081339712918</v>
      </c>
      <c r="N7" s="19">
        <f t="shared" si="0"/>
        <v>117.45953618277967</v>
      </c>
      <c r="O7" s="19">
        <f t="shared" si="1"/>
        <v>10.837875076913356</v>
      </c>
      <c r="P7" s="19">
        <f t="shared" si="2"/>
        <v>81.402097021586954</v>
      </c>
      <c r="Q7" s="19">
        <f t="shared" si="3"/>
        <v>9.0223110687665251</v>
      </c>
    </row>
    <row r="8" spans="1:17">
      <c r="A8" s="2">
        <v>1984</v>
      </c>
      <c r="B8" s="135">
        <f>'12c'!B8/'12c'!$B8*100</f>
        <v>100</v>
      </c>
      <c r="C8" s="10">
        <f>'12c'!C8/'12c'!$B8*100</f>
        <v>87.2340425531915</v>
      </c>
      <c r="D8" s="10">
        <f>'12c'!D8/'12c'!$B8*100</f>
        <v>86.288416075650119</v>
      </c>
      <c r="E8" s="10">
        <f>'12c'!E8/'12c'!$B8*100</f>
        <v>89.598108747044918</v>
      </c>
      <c r="F8" s="10">
        <f>'12c'!F8/'12c'!$B8*100</f>
        <v>88.888888888888886</v>
      </c>
      <c r="G8" s="10">
        <f>'12c'!G8/'12c'!$B8*100</f>
        <v>93.61702127659575</v>
      </c>
      <c r="H8" s="10">
        <f>'12c'!H8/'12c'!$B8*100</f>
        <v>107.80141843971631</v>
      </c>
      <c r="I8" s="10">
        <f>'12c'!I8/'12c'!$B8*100</f>
        <v>95.744680851063833</v>
      </c>
      <c r="J8" s="10">
        <f>'12c'!J8/'12c'!$B8*100</f>
        <v>91.489361702127653</v>
      </c>
      <c r="K8" s="10">
        <f>'12c'!K8/'12c'!$B8*100</f>
        <v>103.7825059101655</v>
      </c>
      <c r="L8" s="10">
        <f>'12c'!L8/'12c'!$B8*100</f>
        <v>96.926713947990535</v>
      </c>
      <c r="N8" s="19">
        <f t="shared" si="0"/>
        <v>79.852902547937987</v>
      </c>
      <c r="O8" s="19">
        <f t="shared" si="1"/>
        <v>8.9360451290231282</v>
      </c>
      <c r="P8" s="19">
        <f t="shared" si="2"/>
        <v>45.479491865491717</v>
      </c>
      <c r="Q8" s="19">
        <f t="shared" si="3"/>
        <v>6.7438484462131649</v>
      </c>
    </row>
    <row r="9" spans="1:17">
      <c r="A9" s="2">
        <v>1985</v>
      </c>
      <c r="B9" s="135">
        <f>'12c'!B9/'12c'!$B9*100</f>
        <v>100</v>
      </c>
      <c r="C9" s="10">
        <f>'12c'!C9/'12c'!$B9*100</f>
        <v>86.084905660377359</v>
      </c>
      <c r="D9" s="10">
        <f>'12c'!D9/'12c'!$B9*100</f>
        <v>85.84905660377359</v>
      </c>
      <c r="E9" s="10">
        <f>'12c'!E9/'12c'!$B9*100</f>
        <v>88.679245283018872</v>
      </c>
      <c r="F9" s="10">
        <f>'12c'!F9/'12c'!$B9*100</f>
        <v>88.915094339622641</v>
      </c>
      <c r="G9" s="10">
        <f>'12c'!G9/'12c'!$B9*100</f>
        <v>93.867924528301884</v>
      </c>
      <c r="H9" s="10">
        <f>'12c'!H9/'12c'!$B9*100</f>
        <v>109.90566037735849</v>
      </c>
      <c r="I9" s="10">
        <f>'12c'!I9/'12c'!$B9*100</f>
        <v>94.103773584905653</v>
      </c>
      <c r="J9" s="10">
        <f>'12c'!J9/'12c'!$B9*100</f>
        <v>92.688679245283026</v>
      </c>
      <c r="K9" s="10">
        <f>'12c'!K9/'12c'!$B9*100</f>
        <v>105.66037735849056</v>
      </c>
      <c r="L9" s="10">
        <f>'12c'!L9/'12c'!$B9*100</f>
        <v>95.283018867924525</v>
      </c>
      <c r="N9" s="19">
        <f t="shared" si="0"/>
        <v>92.314880740477037</v>
      </c>
      <c r="O9" s="19">
        <f t="shared" si="1"/>
        <v>9.6080633189252573</v>
      </c>
      <c r="P9" s="19">
        <f t="shared" si="2"/>
        <v>57.549394802418547</v>
      </c>
      <c r="Q9" s="19">
        <f t="shared" si="3"/>
        <v>7.5861317416993588</v>
      </c>
    </row>
    <row r="10" spans="1:17">
      <c r="A10" s="2">
        <v>1986</v>
      </c>
      <c r="B10" s="135">
        <f>'12c'!B10/'12c'!$B10*100</f>
        <v>100</v>
      </c>
      <c r="C10" s="10">
        <f>'12c'!C10/'12c'!$B10*100</f>
        <v>83.649289099526072</v>
      </c>
      <c r="D10" s="10">
        <f>'12c'!D10/'12c'!$B10*100</f>
        <v>86.966824644549774</v>
      </c>
      <c r="E10" s="10">
        <f>'12c'!E10/'12c'!$B10*100</f>
        <v>87.914691943127963</v>
      </c>
      <c r="F10" s="10">
        <f>'12c'!F10/'12c'!$B10*100</f>
        <v>91.943127962085299</v>
      </c>
      <c r="G10" s="10">
        <f>'12c'!G10/'12c'!$B10*100</f>
        <v>91.706161137440759</v>
      </c>
      <c r="H10" s="10">
        <f>'12c'!H10/'12c'!$B10*100</f>
        <v>111.13744075829383</v>
      </c>
      <c r="I10" s="10">
        <f>'12c'!I10/'12c'!$B10*100</f>
        <v>95.260663507109001</v>
      </c>
      <c r="J10" s="10">
        <f>'12c'!J10/'12c'!$B10*100</f>
        <v>86.966824644549774</v>
      </c>
      <c r="K10" s="10">
        <f>'12c'!K10/'12c'!$B10*100</f>
        <v>104.739336492891</v>
      </c>
      <c r="L10" s="10">
        <f>'12c'!L10/'12c'!$B10*100</f>
        <v>100.71090047393365</v>
      </c>
      <c r="N10" s="19">
        <f t="shared" si="0"/>
        <v>105.62992744996737</v>
      </c>
      <c r="O10" s="19">
        <f t="shared" si="1"/>
        <v>10.277642115289254</v>
      </c>
      <c r="P10" s="19">
        <f t="shared" si="2"/>
        <v>70.81433480829233</v>
      </c>
      <c r="Q10" s="19">
        <f t="shared" si="3"/>
        <v>8.415125359036093</v>
      </c>
    </row>
    <row r="11" spans="1:17">
      <c r="A11" s="2">
        <v>1987</v>
      </c>
      <c r="B11" s="135">
        <f>'12c'!B11/'12c'!$B11*100</f>
        <v>100</v>
      </c>
      <c r="C11" s="10">
        <f>'12c'!C11/'12c'!$B11*100</f>
        <v>90.476190476190482</v>
      </c>
      <c r="D11" s="10">
        <f>'12c'!D11/'12c'!$B11*100</f>
        <v>90</v>
      </c>
      <c r="E11" s="10">
        <f>'12c'!E11/'12c'!$B11*100</f>
        <v>93.571428571428569</v>
      </c>
      <c r="F11" s="10">
        <f>'12c'!F11/'12c'!$B11*100</f>
        <v>86.428571428571431</v>
      </c>
      <c r="G11" s="10">
        <f>'12c'!G11/'12c'!$B11*100</f>
        <v>91.19047619047619</v>
      </c>
      <c r="H11" s="10">
        <f>'12c'!H11/'12c'!$B11*100</f>
        <v>113.80952380952381</v>
      </c>
      <c r="I11" s="10">
        <f>'12c'!I11/'12c'!$B11*100</f>
        <v>91.19047619047619</v>
      </c>
      <c r="J11" s="10">
        <f>'12c'!J11/'12c'!$B11*100</f>
        <v>89.523809523809533</v>
      </c>
      <c r="K11" s="10">
        <f>'12c'!K11/'12c'!$B11*100</f>
        <v>100.95238095238095</v>
      </c>
      <c r="L11" s="10">
        <f>'12c'!L11/'12c'!$B11*100</f>
        <v>94.523809523809518</v>
      </c>
      <c r="N11" s="19">
        <f t="shared" si="0"/>
        <v>90.277777777777757</v>
      </c>
      <c r="O11" s="19">
        <f t="shared" si="1"/>
        <v>9.5014618758261484</v>
      </c>
      <c r="P11" s="19">
        <f t="shared" si="2"/>
        <v>56.250000000001158</v>
      </c>
      <c r="Q11" s="19">
        <f t="shared" si="3"/>
        <v>7.5000000000000773</v>
      </c>
    </row>
    <row r="12" spans="1:17">
      <c r="A12" s="2">
        <v>1988</v>
      </c>
      <c r="B12" s="135">
        <f>'12c'!B12/'12c'!$B12*100</f>
        <v>100</v>
      </c>
      <c r="C12" s="10">
        <f>'12c'!C12/'12c'!$B12*100</f>
        <v>91.647331786542921</v>
      </c>
      <c r="D12" s="10">
        <f>'12c'!D12/'12c'!$B12*100</f>
        <v>84.686774941995353</v>
      </c>
      <c r="E12" s="10">
        <f>'12c'!E12/'12c'!$B12*100</f>
        <v>91.183294663573093</v>
      </c>
      <c r="F12" s="10">
        <f>'12c'!F12/'12c'!$B12*100</f>
        <v>87.935034802784216</v>
      </c>
      <c r="G12" s="10">
        <f>'12c'!G12/'12c'!$B12*100</f>
        <v>89.559164733178648</v>
      </c>
      <c r="H12" s="10">
        <f>'12c'!H12/'12c'!$B12*100</f>
        <v>112.99303944315547</v>
      </c>
      <c r="I12" s="10">
        <f>'12c'!I12/'12c'!$B12*100</f>
        <v>90.951276102088158</v>
      </c>
      <c r="J12" s="10">
        <f>'12c'!J12/'12c'!$B12*100</f>
        <v>84.918793503480288</v>
      </c>
      <c r="K12" s="10">
        <f>'12c'!K12/'12c'!$B12*100</f>
        <v>103.24825986078888</v>
      </c>
      <c r="L12" s="10">
        <f>'12c'!L12/'12c'!$B12*100</f>
        <v>99.535962877030158</v>
      </c>
      <c r="N12" s="19">
        <f t="shared" si="0"/>
        <v>112.54784373469143</v>
      </c>
      <c r="O12" s="19">
        <f t="shared" si="1"/>
        <v>10.608856853341525</v>
      </c>
      <c r="P12" s="19">
        <f t="shared" si="2"/>
        <v>72.426935686179206</v>
      </c>
      <c r="Q12" s="19">
        <f t="shared" si="3"/>
        <v>8.5104016172081565</v>
      </c>
    </row>
    <row r="13" spans="1:17">
      <c r="A13" s="2">
        <v>1989</v>
      </c>
      <c r="B13" s="135">
        <f>'12c'!B13/'12c'!$B13*100</f>
        <v>100</v>
      </c>
      <c r="C13" s="10">
        <f>'12c'!C13/'12c'!$B13*100</f>
        <v>93.363844393592672</v>
      </c>
      <c r="D13" s="10">
        <f>'12c'!D13/'12c'!$B13*100</f>
        <v>82.608695652173907</v>
      </c>
      <c r="E13" s="10">
        <f>'12c'!E13/'12c'!$B13*100</f>
        <v>89.244851258581235</v>
      </c>
      <c r="F13" s="10">
        <f>'12c'!F13/'12c'!$B13*100</f>
        <v>88.329519450800916</v>
      </c>
      <c r="G13" s="10">
        <f>'12c'!G13/'12c'!$B13*100</f>
        <v>91.533180778032047</v>
      </c>
      <c r="H13" s="10">
        <f>'12c'!H13/'12c'!$B13*100</f>
        <v>112.5858123569794</v>
      </c>
      <c r="I13" s="10">
        <f>'12c'!I13/'12c'!$B13*100</f>
        <v>90.846681922196794</v>
      </c>
      <c r="J13" s="10">
        <f>'12c'!J13/'12c'!$B13*100</f>
        <v>86.727688787185357</v>
      </c>
      <c r="K13" s="10">
        <f>'12c'!K13/'12c'!$B13*100</f>
        <v>101.60183066361557</v>
      </c>
      <c r="L13" s="10">
        <f>'12c'!L13/'12c'!$B13*100</f>
        <v>99.77116704805492</v>
      </c>
      <c r="N13" s="19">
        <f t="shared" si="0"/>
        <v>109.10147720310628</v>
      </c>
      <c r="O13" s="19">
        <f t="shared" si="1"/>
        <v>10.44516525494481</v>
      </c>
      <c r="P13" s="19">
        <f t="shared" si="2"/>
        <v>68.922704732182893</v>
      </c>
      <c r="Q13" s="19">
        <f t="shared" si="3"/>
        <v>8.3019699308165951</v>
      </c>
    </row>
    <row r="14" spans="1:17">
      <c r="A14" s="2">
        <v>1990</v>
      </c>
      <c r="B14" s="135">
        <f>'12c'!B14/'12c'!$B14*100</f>
        <v>100</v>
      </c>
      <c r="C14" s="10">
        <f>'12c'!C14/'12c'!$B14*100</f>
        <v>91.169451073985684</v>
      </c>
      <c r="D14" s="10">
        <f>'12c'!D14/'12c'!$B14*100</f>
        <v>88.305489260143204</v>
      </c>
      <c r="E14" s="10">
        <f>'12c'!E14/'12c'!$B14*100</f>
        <v>90.930787589498806</v>
      </c>
      <c r="F14" s="10">
        <f>'12c'!F14/'12c'!$B14*100</f>
        <v>89.498806682577566</v>
      </c>
      <c r="G14" s="10">
        <f>'12c'!G14/'12c'!$B14*100</f>
        <v>89.021479713603824</v>
      </c>
      <c r="H14" s="10">
        <f>'12c'!H14/'12c'!$B14*100</f>
        <v>112.41050119331742</v>
      </c>
      <c r="I14" s="10">
        <f>'12c'!I14/'12c'!$B14*100</f>
        <v>94.033412887828163</v>
      </c>
      <c r="J14" s="10">
        <f>'12c'!J14/'12c'!$B14*100</f>
        <v>86.634844868735087</v>
      </c>
      <c r="K14" s="10">
        <f>'12c'!K14/'12c'!$B14*100</f>
        <v>102.86396181384248</v>
      </c>
      <c r="L14" s="10">
        <f>'12c'!L14/'12c'!$B14*100</f>
        <v>99.522673031026258</v>
      </c>
      <c r="N14" s="19">
        <f t="shared" si="0"/>
        <v>90.447194992053966</v>
      </c>
      <c r="O14" s="19">
        <f t="shared" si="1"/>
        <v>9.5103730206577062</v>
      </c>
      <c r="P14" s="19">
        <f t="shared" si="2"/>
        <v>59.524040077237871</v>
      </c>
      <c r="Q14" s="19">
        <f t="shared" si="3"/>
        <v>7.7151824396599897</v>
      </c>
    </row>
    <row r="15" spans="1:17">
      <c r="A15" s="2">
        <v>1991</v>
      </c>
      <c r="B15" s="135">
        <f>'12c'!B15/'12c'!$B15*100</f>
        <v>100</v>
      </c>
      <c r="C15" s="10">
        <f>'12c'!C15/'12c'!$B15*100</f>
        <v>93.19899244332494</v>
      </c>
      <c r="D15" s="10">
        <f>'12c'!D15/'12c'!$B15*100</f>
        <v>90.428211586901767</v>
      </c>
      <c r="E15" s="10">
        <f>'12c'!E15/'12c'!$B15*100</f>
        <v>92.947103274559197</v>
      </c>
      <c r="F15" s="10">
        <f>'12c'!F15/'12c'!$B15*100</f>
        <v>89.672544080604538</v>
      </c>
      <c r="G15" s="10">
        <f>'12c'!G15/'12c'!$B15*100</f>
        <v>90.931989924433253</v>
      </c>
      <c r="H15" s="10">
        <f>'12c'!H15/'12c'!$B15*100</f>
        <v>111.08312342569269</v>
      </c>
      <c r="I15" s="10">
        <f>'12c'!I15/'12c'!$B15*100</f>
        <v>91.687657430730468</v>
      </c>
      <c r="J15" s="10">
        <f>'12c'!J15/'12c'!$B15*100</f>
        <v>88.664987405541567</v>
      </c>
      <c r="K15" s="10">
        <f>'12c'!K15/'12c'!$B15*100</f>
        <v>104.03022670025189</v>
      </c>
      <c r="L15" s="10">
        <f>'12c'!L15/'12c'!$B15*100</f>
        <v>101.00755667506299</v>
      </c>
      <c r="N15" s="19">
        <f t="shared" si="0"/>
        <v>71.417241401188988</v>
      </c>
      <c r="O15" s="19">
        <f t="shared" si="1"/>
        <v>8.4508722272431136</v>
      </c>
      <c r="P15" s="19">
        <f t="shared" si="2"/>
        <v>49.936234605889766</v>
      </c>
      <c r="Q15" s="19">
        <f t="shared" si="3"/>
        <v>7.0665574791329453</v>
      </c>
    </row>
    <row r="16" spans="1:17">
      <c r="A16" s="2">
        <v>1992</v>
      </c>
      <c r="B16" s="135">
        <f>'12c'!B16/'12c'!$B16*100</f>
        <v>100</v>
      </c>
      <c r="C16" s="10">
        <f>'12c'!C16/'12c'!$B16*100</f>
        <v>91.770573566084792</v>
      </c>
      <c r="D16" s="10">
        <f>'12c'!D16/'12c'!$B16*100</f>
        <v>92.768079800498754</v>
      </c>
      <c r="E16" s="10">
        <f>'12c'!E16/'12c'!$B16*100</f>
        <v>91.770573566084792</v>
      </c>
      <c r="F16" s="10">
        <f>'12c'!F16/'12c'!$B16*100</f>
        <v>90.024937655860356</v>
      </c>
      <c r="G16" s="10">
        <f>'12c'!G16/'12c'!$B16*100</f>
        <v>90.274314214463828</v>
      </c>
      <c r="H16" s="10">
        <f>'12c'!H16/'12c'!$B16*100</f>
        <v>111.72069825436408</v>
      </c>
      <c r="I16" s="10">
        <f>'12c'!I16/'12c'!$B16*100</f>
        <v>90.523690773067329</v>
      </c>
      <c r="J16" s="10">
        <f>'12c'!J16/'12c'!$B16*100</f>
        <v>89.775561097256855</v>
      </c>
      <c r="K16" s="10">
        <f>'12c'!K16/'12c'!$B16*100</f>
        <v>98.254364089775564</v>
      </c>
      <c r="L16" s="10">
        <f>'12c'!L16/'12c'!$B16*100</f>
        <v>100.99750623441398</v>
      </c>
      <c r="N16" s="19">
        <f t="shared" si="0"/>
        <v>71.75950398318416</v>
      </c>
      <c r="O16" s="19">
        <f t="shared" si="1"/>
        <v>8.4710981568616095</v>
      </c>
      <c r="P16" s="19">
        <f t="shared" si="2"/>
        <v>44.594871922440369</v>
      </c>
      <c r="Q16" s="19">
        <f t="shared" si="3"/>
        <v>6.677939197270395</v>
      </c>
    </row>
    <row r="17" spans="1:17">
      <c r="A17" s="2">
        <v>1993</v>
      </c>
      <c r="B17" s="135">
        <f>'12c'!B17/'12c'!$B17*100</f>
        <v>100</v>
      </c>
      <c r="C17" s="10">
        <f>'12c'!C17/'12c'!$B17*100</f>
        <v>92.071611253196934</v>
      </c>
      <c r="D17" s="10">
        <f>'12c'!D17/'12c'!$B17*100</f>
        <v>92.838874680306901</v>
      </c>
      <c r="E17" s="10">
        <f>'12c'!E17/'12c'!$B17*100</f>
        <v>93.094629156010228</v>
      </c>
      <c r="F17" s="10">
        <f>'12c'!F17/'12c'!$B17*100</f>
        <v>92.327365728900261</v>
      </c>
      <c r="G17" s="10">
        <f>'12c'!G17/'12c'!$B17*100</f>
        <v>88.746803069053698</v>
      </c>
      <c r="H17" s="10">
        <f>'12c'!H17/'12c'!$B17*100</f>
        <v>110.99744245524296</v>
      </c>
      <c r="I17" s="10">
        <f>'12c'!I17/'12c'!$B17*100</f>
        <v>93.350383631713555</v>
      </c>
      <c r="J17" s="10">
        <f>'12c'!J17/'12c'!$B17*100</f>
        <v>87.723785166240404</v>
      </c>
      <c r="K17" s="10">
        <f>'12c'!K17/'12c'!$B17*100</f>
        <v>106.13810741687979</v>
      </c>
      <c r="L17" s="10">
        <f>'12c'!L17/'12c'!$B17*100</f>
        <v>103.06905370843991</v>
      </c>
      <c r="N17" s="19">
        <f t="shared" si="0"/>
        <v>71.029101065534661</v>
      </c>
      <c r="O17" s="19">
        <f t="shared" si="1"/>
        <v>8.4278764268073285</v>
      </c>
      <c r="P17" s="19">
        <f t="shared" si="2"/>
        <v>55.314264035425147</v>
      </c>
      <c r="Q17" s="19">
        <f t="shared" si="3"/>
        <v>7.4373559841804768</v>
      </c>
    </row>
    <row r="18" spans="1:17">
      <c r="A18" s="2">
        <v>1994</v>
      </c>
      <c r="B18" s="135">
        <f>'12c'!B18/'12c'!$B18*100</f>
        <v>100</v>
      </c>
      <c r="C18" s="10">
        <f>'12c'!C18/'12c'!$B18*100</f>
        <v>91.348600508905847</v>
      </c>
      <c r="D18" s="10">
        <f>'12c'!D18/'12c'!$B18*100</f>
        <v>92.111959287531803</v>
      </c>
      <c r="E18" s="10">
        <f>'12c'!E18/'12c'!$B18*100</f>
        <v>90.330788804071247</v>
      </c>
      <c r="F18" s="10">
        <f>'12c'!F18/'12c'!$B18*100</f>
        <v>92.36641221374046</v>
      </c>
      <c r="G18" s="10">
        <f>'12c'!G18/'12c'!$B18*100</f>
        <v>90.07633587786259</v>
      </c>
      <c r="H18" s="10">
        <f>'12c'!H18/'12c'!$B18*100</f>
        <v>110.43256997455471</v>
      </c>
      <c r="I18" s="10">
        <f>'12c'!I18/'12c'!$B18*100</f>
        <v>94.402035623409674</v>
      </c>
      <c r="J18" s="10">
        <f>'12c'!J18/'12c'!$B18*100</f>
        <v>89.56743002544529</v>
      </c>
      <c r="K18" s="10">
        <f>'12c'!K18/'12c'!$B18*100</f>
        <v>106.61577608142494</v>
      </c>
      <c r="L18" s="10">
        <f>'12c'!L18/'12c'!$B18*100</f>
        <v>101.78117048346056</v>
      </c>
      <c r="N18" s="19">
        <f t="shared" si="0"/>
        <v>68.326761584730249</v>
      </c>
      <c r="O18" s="19">
        <f t="shared" si="1"/>
        <v>8.26600033781334</v>
      </c>
      <c r="P18" s="19">
        <f t="shared" si="2"/>
        <v>51.54387532453984</v>
      </c>
      <c r="Q18" s="19">
        <f t="shared" si="3"/>
        <v>7.1794063351045843</v>
      </c>
    </row>
    <row r="19" spans="1:17">
      <c r="A19" s="2">
        <v>1995</v>
      </c>
      <c r="B19" s="135">
        <f>'12c'!B19/'12c'!$B19*100</f>
        <v>100</v>
      </c>
      <c r="C19" s="10">
        <f>'12c'!C19/'12c'!$B19*100</f>
        <v>90.585241730279904</v>
      </c>
      <c r="D19" s="10">
        <f>'12c'!D19/'12c'!$B19*100</f>
        <v>95.165394402035616</v>
      </c>
      <c r="E19" s="10">
        <f>'12c'!E19/'12c'!$B19*100</f>
        <v>89.05852417302799</v>
      </c>
      <c r="F19" s="10">
        <f>'12c'!F19/'12c'!$B19*100</f>
        <v>90.330788804071247</v>
      </c>
      <c r="G19" s="10">
        <f>'12c'!G19/'12c'!$B19*100</f>
        <v>89.312977099236647</v>
      </c>
      <c r="H19" s="10">
        <f>'12c'!H19/'12c'!$B19*100</f>
        <v>110.68702290076335</v>
      </c>
      <c r="I19" s="10">
        <f>'12c'!I19/'12c'!$B19*100</f>
        <v>94.402035623409674</v>
      </c>
      <c r="J19" s="10">
        <f>'12c'!J19/'12c'!$B19*100</f>
        <v>89.312977099236647</v>
      </c>
      <c r="K19" s="10">
        <f>'12c'!K19/'12c'!$B19*100</f>
        <v>104.32569974554708</v>
      </c>
      <c r="L19" s="10">
        <f>'12c'!L19/'12c'!$B19*100</f>
        <v>101.27226463104326</v>
      </c>
      <c r="N19" s="19">
        <f t="shared" si="0"/>
        <v>71.952553917474319</v>
      </c>
      <c r="O19" s="19">
        <f t="shared" si="1"/>
        <v>8.4824851262748648</v>
      </c>
      <c r="P19" s="19">
        <f t="shared" si="2"/>
        <v>51.207194607924905</v>
      </c>
      <c r="Q19" s="19">
        <f t="shared" si="3"/>
        <v>7.1559202488516389</v>
      </c>
    </row>
    <row r="20" spans="1:17">
      <c r="A20" s="2">
        <v>1996</v>
      </c>
      <c r="B20" s="135">
        <f>'12c'!B20/'12c'!$B20*100</f>
        <v>100</v>
      </c>
      <c r="C20" s="10">
        <f>'12c'!C20/'12c'!$B20*100</f>
        <v>89.147286821705436</v>
      </c>
      <c r="D20" s="10">
        <f>'12c'!D20/'12c'!$B20*100</f>
        <v>94.315245478036175</v>
      </c>
      <c r="E20" s="10">
        <f>'12c'!E20/'12c'!$B20*100</f>
        <v>88.888888888888886</v>
      </c>
      <c r="F20" s="10">
        <f>'12c'!F20/'12c'!$B20*100</f>
        <v>89.922480620155042</v>
      </c>
      <c r="G20" s="10">
        <f>'12c'!G20/'12c'!$B20*100</f>
        <v>88.63049095607235</v>
      </c>
      <c r="H20" s="10">
        <f>'12c'!H20/'12c'!$B20*100</f>
        <v>110.85271317829456</v>
      </c>
      <c r="I20" s="10">
        <f>'12c'!I20/'12c'!$B20*100</f>
        <v>95.607235142118867</v>
      </c>
      <c r="J20" s="10">
        <f>'12c'!J20/'12c'!$B20*100</f>
        <v>90.697674418604649</v>
      </c>
      <c r="K20" s="10">
        <f>'12c'!K20/'12c'!$B20*100</f>
        <v>104.65116279069768</v>
      </c>
      <c r="L20" s="10">
        <f>'12c'!L20/'12c'!$B20*100</f>
        <v>100.51679586563307</v>
      </c>
      <c r="N20" s="19">
        <f t="shared" si="0"/>
        <v>74.988816110142935</v>
      </c>
      <c r="O20" s="19">
        <f t="shared" si="1"/>
        <v>8.6596083115890945</v>
      </c>
      <c r="P20" s="19">
        <f t="shared" si="2"/>
        <v>53.114462939593949</v>
      </c>
      <c r="Q20" s="19">
        <f t="shared" si="3"/>
        <v>7.2879669963299056</v>
      </c>
    </row>
    <row r="21" spans="1:17">
      <c r="A21" s="2">
        <v>1997</v>
      </c>
      <c r="B21" s="135">
        <f>'12c'!B21/'12c'!$B21*100</f>
        <v>100</v>
      </c>
      <c r="C21" s="10">
        <f>'12c'!C21/'12c'!$B21*100</f>
        <v>87.272727272727266</v>
      </c>
      <c r="D21" s="10">
        <f>'12c'!D21/'12c'!$B21*100</f>
        <v>91.688311688311686</v>
      </c>
      <c r="E21" s="10">
        <f>'12c'!E21/'12c'!$B21*100</f>
        <v>89.090909090909093</v>
      </c>
      <c r="F21" s="10">
        <f>'12c'!F21/'12c'!$B21*100</f>
        <v>90.389610389610382</v>
      </c>
      <c r="G21" s="10">
        <f>'12c'!G21/'12c'!$B21*100</f>
        <v>87.532467532467535</v>
      </c>
      <c r="H21" s="10">
        <f>'12c'!H21/'12c'!$B21*100</f>
        <v>112.46753246753246</v>
      </c>
      <c r="I21" s="10">
        <f>'12c'!I21/'12c'!$B21*100</f>
        <v>95.584415584415581</v>
      </c>
      <c r="J21" s="10">
        <f>'12c'!J21/'12c'!$B21*100</f>
        <v>91.688311688311686</v>
      </c>
      <c r="K21" s="10">
        <f>'12c'!K21/'12c'!$B21*100</f>
        <v>110.64935064935064</v>
      </c>
      <c r="L21" s="10">
        <f>'12c'!L21/'12c'!$B21*100</f>
        <v>100.51948051948052</v>
      </c>
      <c r="N21" s="19">
        <f t="shared" si="0"/>
        <v>95.557429583403618</v>
      </c>
      <c r="O21" s="19">
        <f t="shared" si="1"/>
        <v>9.775348054335641</v>
      </c>
      <c r="P21" s="19">
        <f t="shared" si="2"/>
        <v>76.966773486254965</v>
      </c>
      <c r="Q21" s="19">
        <f t="shared" si="3"/>
        <v>8.7730709267767217</v>
      </c>
    </row>
    <row r="22" spans="1:17">
      <c r="A22" s="2">
        <v>1998</v>
      </c>
      <c r="B22" s="135">
        <f>'12c'!B22/'12c'!$B22*100</f>
        <v>100</v>
      </c>
      <c r="C22" s="10">
        <f>'12c'!C22/'12c'!$B22*100</f>
        <v>85.822784810126578</v>
      </c>
      <c r="D22" s="10">
        <f>'12c'!D22/'12c'!$B22*100</f>
        <v>88.101265822784811</v>
      </c>
      <c r="E22" s="10">
        <f>'12c'!E22/'12c'!$B22*100</f>
        <v>88.354430379746844</v>
      </c>
      <c r="F22" s="10">
        <f>'12c'!F22/'12c'!$B22*100</f>
        <v>89.620253164556956</v>
      </c>
      <c r="G22" s="10">
        <f>'12c'!G22/'12c'!$B22*100</f>
        <v>86.835443037974684</v>
      </c>
      <c r="H22" s="10">
        <f>'12c'!H22/'12c'!$B22*100</f>
        <v>113.9240506329114</v>
      </c>
      <c r="I22" s="10">
        <f>'12c'!I22/'12c'!$B22*100</f>
        <v>95.949367088607602</v>
      </c>
      <c r="J22" s="10">
        <f>'12c'!J22/'12c'!$B22*100</f>
        <v>89.367088607594937</v>
      </c>
      <c r="K22" s="10">
        <f>'12c'!K22/'12c'!$B22*100</f>
        <v>108.10126582278481</v>
      </c>
      <c r="L22" s="10">
        <f>'12c'!L22/'12c'!$B22*100</f>
        <v>100.50632911392405</v>
      </c>
      <c r="N22" s="19">
        <f t="shared" si="0"/>
        <v>114.84697965069704</v>
      </c>
      <c r="O22" s="19">
        <f t="shared" si="1"/>
        <v>10.716668309259974</v>
      </c>
      <c r="P22" s="19">
        <f t="shared" si="2"/>
        <v>86.312449927895813</v>
      </c>
      <c r="Q22" s="19">
        <f t="shared" si="3"/>
        <v>9.2904493932153684</v>
      </c>
    </row>
    <row r="23" spans="1:17">
      <c r="A23" s="2">
        <v>1999</v>
      </c>
      <c r="B23" s="135">
        <f>'12c'!B23/'12c'!$B23*100</f>
        <v>100</v>
      </c>
      <c r="C23" s="10">
        <f>'12c'!C23/'12c'!$B23*100</f>
        <v>85.714285714285708</v>
      </c>
      <c r="D23" s="10">
        <f>'12c'!D23/'12c'!$B23*100</f>
        <v>83.292978208232455</v>
      </c>
      <c r="E23" s="10">
        <f>'12c'!E23/'12c'!$B23*100</f>
        <v>89.58837772397095</v>
      </c>
      <c r="F23" s="10">
        <f>'12c'!F23/'12c'!$B23*100</f>
        <v>89.346246973365623</v>
      </c>
      <c r="G23" s="10">
        <f>'12c'!G23/'12c'!$B23*100</f>
        <v>88.135593220338976</v>
      </c>
      <c r="H23" s="10">
        <f>'12c'!H23/'12c'!$B23*100</f>
        <v>114.5278450363196</v>
      </c>
      <c r="I23" s="10">
        <f>'12c'!I23/'12c'!$B23*100</f>
        <v>94.430992736077485</v>
      </c>
      <c r="J23" s="10">
        <f>'12c'!J23/'12c'!$B23*100</f>
        <v>89.346246973365623</v>
      </c>
      <c r="K23" s="10">
        <f>'12c'!K23/'12c'!$B23*100</f>
        <v>107.02179176755449</v>
      </c>
      <c r="L23" s="10">
        <f>'12c'!L23/'12c'!$B23*100</f>
        <v>97.820823244552059</v>
      </c>
      <c r="N23" s="19">
        <f t="shared" si="0"/>
        <v>125.55036378239886</v>
      </c>
      <c r="O23" s="19">
        <f t="shared" si="1"/>
        <v>11.204925871347783</v>
      </c>
      <c r="P23" s="19">
        <f t="shared" si="2"/>
        <v>88.614578264511636</v>
      </c>
      <c r="Q23" s="19">
        <f t="shared" si="3"/>
        <v>9.4135316573808598</v>
      </c>
    </row>
    <row r="24" spans="1:17">
      <c r="A24" s="2">
        <v>2000</v>
      </c>
      <c r="B24" s="135">
        <f>'12c'!B24/'12c'!$B24*100</f>
        <v>100</v>
      </c>
      <c r="C24" s="10">
        <f>'12c'!C24/'12c'!$B24*100</f>
        <v>85.336538461538453</v>
      </c>
      <c r="D24" s="10">
        <f>'12c'!D24/'12c'!$B24*100</f>
        <v>85.576923076923066</v>
      </c>
      <c r="E24" s="10">
        <f>'12c'!E24/'12c'!$B24*100</f>
        <v>88.461538461538453</v>
      </c>
      <c r="F24" s="10">
        <f>'12c'!F24/'12c'!$B24*100</f>
        <v>90.144230769230774</v>
      </c>
      <c r="G24" s="10">
        <f>'12c'!G24/'12c'!$B24*100</f>
        <v>87.5</v>
      </c>
      <c r="H24" s="10">
        <f>'12c'!H24/'12c'!$B24*100</f>
        <v>114.90384615384615</v>
      </c>
      <c r="I24" s="10">
        <f>'12c'!I24/'12c'!$B24*100</f>
        <v>93.02884615384616</v>
      </c>
      <c r="J24" s="10">
        <f>'12c'!J24/'12c'!$B24*100</f>
        <v>89.182692307692307</v>
      </c>
      <c r="K24" s="10">
        <f>'12c'!K24/'12c'!$B24*100</f>
        <v>109.13461538461537</v>
      </c>
      <c r="L24" s="10">
        <f>'12c'!L24/'12c'!$B24*100</f>
        <v>95.192307692307693</v>
      </c>
      <c r="N24" s="19">
        <f t="shared" si="0"/>
        <v>130.38553994082841</v>
      </c>
      <c r="O24" s="19">
        <f t="shared" si="1"/>
        <v>11.418648779116923</v>
      </c>
      <c r="P24" s="19">
        <f t="shared" si="2"/>
        <v>92.515717455620191</v>
      </c>
      <c r="Q24" s="19">
        <f t="shared" si="3"/>
        <v>9.6185091077370295</v>
      </c>
    </row>
    <row r="25" spans="1:17">
      <c r="A25" s="2">
        <v>2001</v>
      </c>
      <c r="B25" s="135">
        <f>'12c'!B25/'12c'!$B25*100</f>
        <v>100</v>
      </c>
      <c r="C25" s="10">
        <f>'12c'!C25/'12c'!$B25*100</f>
        <v>83.140877598152429</v>
      </c>
      <c r="D25" s="10">
        <f>'12c'!D25/'12c'!$B25*100</f>
        <v>81.524249422632806</v>
      </c>
      <c r="E25" s="10">
        <f>'12c'!E25/'12c'!$B25*100</f>
        <v>87.52886836027713</v>
      </c>
      <c r="F25" s="10">
        <f>'12c'!F25/'12c'!$B25*100</f>
        <v>88.683602771362587</v>
      </c>
      <c r="G25" s="10">
        <f>'12c'!G25/'12c'!$B25*100</f>
        <v>87.297921478060047</v>
      </c>
      <c r="H25" s="10">
        <f>'12c'!H25/'12c'!$B25*100</f>
        <v>112.70207852193997</v>
      </c>
      <c r="I25" s="10">
        <f>'12c'!I25/'12c'!$B25*100</f>
        <v>91.916859122401846</v>
      </c>
      <c r="J25" s="10">
        <f>'12c'!J25/'12c'!$B25*100</f>
        <v>90.993071593533486</v>
      </c>
      <c r="K25" s="10">
        <f>'12c'!K25/'12c'!$B25*100</f>
        <v>113.39491916859123</v>
      </c>
      <c r="L25" s="10">
        <f>'12c'!L25/'12c'!$B25*100</f>
        <v>95.842956120092381</v>
      </c>
      <c r="N25" s="19">
        <f t="shared" si="0"/>
        <v>157.50257348431109</v>
      </c>
      <c r="O25" s="19">
        <f t="shared" si="1"/>
        <v>12.550002927661454</v>
      </c>
      <c r="P25" s="19">
        <f t="shared" si="2"/>
        <v>112.6466086010367</v>
      </c>
      <c r="Q25" s="19">
        <f t="shared" si="3"/>
        <v>10.613510663349649</v>
      </c>
    </row>
    <row r="26" spans="1:17">
      <c r="A26" s="2">
        <v>2002</v>
      </c>
      <c r="B26" s="135">
        <f>'12c'!B26/'12c'!$B26*100</f>
        <v>100</v>
      </c>
      <c r="C26" s="10">
        <f>'12c'!C26/'12c'!$B26*100</f>
        <v>84.027777777777786</v>
      </c>
      <c r="D26" s="10">
        <f>'12c'!D26/'12c'!$B26*100</f>
        <v>84.490740740740748</v>
      </c>
      <c r="E26" s="10">
        <f>'12c'!E26/'12c'!$B26*100</f>
        <v>86.111111111111114</v>
      </c>
      <c r="F26" s="10">
        <f>'12c'!F26/'12c'!$B26*100</f>
        <v>86.574074074074076</v>
      </c>
      <c r="G26" s="10">
        <f>'12c'!G26/'12c'!$B26*100</f>
        <v>87.962962962962962</v>
      </c>
      <c r="H26" s="10">
        <f>'12c'!H26/'12c'!$B26*100</f>
        <v>112.7314814814815</v>
      </c>
      <c r="I26" s="10">
        <f>'12c'!I26/'12c'!$B26*100</f>
        <v>91.666666666666657</v>
      </c>
      <c r="J26" s="10">
        <f>'12c'!J26/'12c'!$B26*100</f>
        <v>89.583333333333343</v>
      </c>
      <c r="K26" s="10">
        <f>'12c'!K26/'12c'!$B26*100</f>
        <v>111.80555555555556</v>
      </c>
      <c r="L26" s="10">
        <f>'12c'!L26/'12c'!$B26*100</f>
        <v>95.833333333333343</v>
      </c>
      <c r="N26" s="19">
        <f t="shared" si="0"/>
        <v>151.04702503429354</v>
      </c>
      <c r="O26" s="19">
        <f t="shared" si="1"/>
        <v>12.290119000005392</v>
      </c>
      <c r="P26" s="19">
        <f t="shared" si="2"/>
        <v>103.14268261316815</v>
      </c>
      <c r="Q26" s="19">
        <f t="shared" si="3"/>
        <v>10.155918600164544</v>
      </c>
    </row>
    <row r="27" spans="1:17">
      <c r="A27" s="2">
        <v>2003</v>
      </c>
      <c r="B27" s="135">
        <f>'12c'!B27/'12c'!$B27*100</f>
        <v>100</v>
      </c>
      <c r="C27" s="10">
        <f>'12c'!C27/'12c'!$B27*100</f>
        <v>85.416666666666657</v>
      </c>
      <c r="D27" s="10">
        <f>'12c'!D27/'12c'!$B27*100</f>
        <v>88.194444444444443</v>
      </c>
      <c r="E27" s="10">
        <f>'12c'!E27/'12c'!$B27*100</f>
        <v>84.722222222222214</v>
      </c>
      <c r="F27" s="10">
        <f>'12c'!F27/'12c'!$B27*100</f>
        <v>87.5</v>
      </c>
      <c r="G27" s="10">
        <f>'12c'!G27/'12c'!$B27*100</f>
        <v>88.657407407407405</v>
      </c>
      <c r="H27" s="10">
        <f>'12c'!H27/'12c'!$B27*100</f>
        <v>113.65740740740742</v>
      </c>
      <c r="I27" s="10">
        <f>'12c'!I27/'12c'!$B27*100</f>
        <v>92.361111111111114</v>
      </c>
      <c r="J27" s="10">
        <f>'12c'!J27/'12c'!$B27*100</f>
        <v>89.81481481481481</v>
      </c>
      <c r="K27" s="10">
        <f>'12c'!K27/'12c'!$B27*100</f>
        <v>109.72222222222223</v>
      </c>
      <c r="L27" s="10">
        <f>'12c'!L27/'12c'!$B27*100</f>
        <v>94.444444444444443</v>
      </c>
      <c r="N27" s="19">
        <f t="shared" si="0"/>
        <v>134.43608539094663</v>
      </c>
      <c r="O27" s="19">
        <f t="shared" si="1"/>
        <v>11.594657622842799</v>
      </c>
      <c r="P27" s="19">
        <f t="shared" si="2"/>
        <v>91.521454903976988</v>
      </c>
      <c r="Q27" s="19">
        <f t="shared" si="3"/>
        <v>9.5666846349180439</v>
      </c>
    </row>
    <row r="28" spans="1:17">
      <c r="A28" s="120">
        <v>2004</v>
      </c>
      <c r="B28" s="135">
        <f>'12c'!B28/'12c'!$B28*100</f>
        <v>100</v>
      </c>
      <c r="C28" s="10">
        <f>'12c'!C28/'12c'!$B28*100</f>
        <v>84.367816091954012</v>
      </c>
      <c r="D28" s="10">
        <f>'12c'!D28/'12c'!$B28*100</f>
        <v>90.574712643678154</v>
      </c>
      <c r="E28" s="10">
        <f>'12c'!E28/'12c'!$B28*100</f>
        <v>88.045977011494244</v>
      </c>
      <c r="F28" s="10">
        <f>'12c'!F28/'12c'!$B28*100</f>
        <v>87.1264367816092</v>
      </c>
      <c r="G28" s="10">
        <f>'12c'!G28/'12c'!$B28*100</f>
        <v>89.195402298850581</v>
      </c>
      <c r="H28" s="10">
        <f>'12c'!H28/'12c'!$B28*100</f>
        <v>113.10344827586208</v>
      </c>
      <c r="I28" s="10">
        <f>'12c'!I28/'12c'!$B28*100</f>
        <v>94.022988505747122</v>
      </c>
      <c r="J28" s="10">
        <f>'12c'!J28/'12c'!$B28*100</f>
        <v>91.494252873563227</v>
      </c>
      <c r="K28" s="10">
        <f>'12c'!K28/'12c'!$B28*100</f>
        <v>113.33333333333333</v>
      </c>
      <c r="L28" s="10">
        <f>'12c'!L28/'12c'!$B28*100</f>
        <v>98.160919540229884</v>
      </c>
      <c r="N28" s="19">
        <f t="shared" si="0"/>
        <v>121.95005945303214</v>
      </c>
      <c r="O28" s="19">
        <f t="shared" si="1"/>
        <v>11.043100083447227</v>
      </c>
      <c r="P28" s="19">
        <f t="shared" si="2"/>
        <v>96.372043863125143</v>
      </c>
      <c r="Q28" s="19">
        <f t="shared" si="3"/>
        <v>9.8169263959309152</v>
      </c>
    </row>
    <row r="29" spans="1:17">
      <c r="A29" s="120">
        <v>2005</v>
      </c>
      <c r="B29" s="135">
        <f>'12c'!B29/'12c'!$B29*100</f>
        <v>100</v>
      </c>
      <c r="C29" s="10">
        <f>'12c'!C29/'12c'!$B29*100</f>
        <v>83.82022471910112</v>
      </c>
      <c r="D29" s="10">
        <f>'12c'!D29/'12c'!$B29*100</f>
        <v>89.887640449438194</v>
      </c>
      <c r="E29" s="10">
        <f>'12c'!E29/'12c'!$B29*100</f>
        <v>87.86516853932585</v>
      </c>
      <c r="F29" s="10">
        <f>'12c'!F29/'12c'!$B29*100</f>
        <v>86.966292134831463</v>
      </c>
      <c r="G29" s="10">
        <f>'12c'!G29/'12c'!$B29*100</f>
        <v>86.966292134831463</v>
      </c>
      <c r="H29" s="10">
        <f>'12c'!H29/'12c'!$B29*100</f>
        <v>112.58426966292134</v>
      </c>
      <c r="I29" s="10">
        <f>'12c'!I29/'12c'!$B29*100</f>
        <v>93.707865168539328</v>
      </c>
      <c r="J29" s="10">
        <f>'12c'!J29/'12c'!$B29*100</f>
        <v>88.988764044943821</v>
      </c>
      <c r="K29" s="10">
        <f>'12c'!K29/'12c'!$B29*100</f>
        <v>115.73033707865167</v>
      </c>
      <c r="L29" s="10">
        <f>'12c'!L29/'12c'!$B29*100</f>
        <v>98.876404494382015</v>
      </c>
      <c r="N29" s="19">
        <f>SUM(C101:L101)/10</f>
        <v>141.8962252240878</v>
      </c>
      <c r="O29" s="19">
        <f t="shared" si="1"/>
        <v>11.91202019911349</v>
      </c>
      <c r="P29" s="19"/>
      <c r="Q29" s="19"/>
    </row>
    <row r="30" spans="1:17">
      <c r="A30" s="2">
        <v>2006</v>
      </c>
      <c r="B30" s="135">
        <f>'12c'!B30/'12c'!$B30*100</f>
        <v>100</v>
      </c>
      <c r="C30" s="10">
        <f>'12c'!C30/'12c'!$B30*100</f>
        <v>87.224669603524234</v>
      </c>
      <c r="D30" s="10">
        <f>'12c'!D30/'12c'!$B30*100</f>
        <v>91.629955947136565</v>
      </c>
      <c r="E30" s="10">
        <f>'12c'!E30/'12c'!$B30*100</f>
        <v>88.325991189427313</v>
      </c>
      <c r="F30" s="10">
        <f>'12c'!F30/'12c'!$B30*100</f>
        <v>84.581497797356832</v>
      </c>
      <c r="G30" s="10">
        <f>'12c'!G30/'12c'!$B30*100</f>
        <v>86.563876651982369</v>
      </c>
      <c r="H30" s="10">
        <f>'12c'!H30/'12c'!$B30*100</f>
        <v>111.67400881057267</v>
      </c>
      <c r="I30" s="10">
        <f>'12c'!I30/'12c'!$B30*100</f>
        <v>91.409691629955944</v>
      </c>
      <c r="J30" s="10">
        <f>'12c'!J30/'12c'!$B30*100</f>
        <v>92.290748898678416</v>
      </c>
      <c r="K30" s="10">
        <f>'12c'!K30/'12c'!$B30*100</f>
        <v>120.92511013215858</v>
      </c>
      <c r="L30" s="10">
        <f>'12c'!L30/'12c'!$B30*100</f>
        <v>98.898678414096921</v>
      </c>
      <c r="N30" s="19">
        <f>SUM(C102:L102)/10</f>
        <v>149.63903821149248</v>
      </c>
      <c r="O30" s="19">
        <f>SQRT(N30)</f>
        <v>12.232703634581052</v>
      </c>
      <c r="P30" s="19"/>
      <c r="Q30" s="19"/>
    </row>
    <row r="31" spans="1:17" s="961" customFormat="1">
      <c r="A31" s="2">
        <v>2007</v>
      </c>
      <c r="B31" s="135">
        <f>'12c'!B31/'12c'!$B31*100</f>
        <v>100</v>
      </c>
      <c r="C31" s="10">
        <f>'12c'!C31/'12c'!$B31*100</f>
        <v>89.079229122055665</v>
      </c>
      <c r="D31" s="10">
        <f>'12c'!D31/'12c'!$B31*100</f>
        <v>92.505353319057818</v>
      </c>
      <c r="E31" s="10">
        <f>'12c'!E31/'12c'!$B31*100</f>
        <v>87.15203426124198</v>
      </c>
      <c r="F31" s="10">
        <f>'12c'!F31/'12c'!$B31*100</f>
        <v>87.580299785867226</v>
      </c>
      <c r="G31" s="10">
        <f>'12c'!G31/'12c'!$B31*100</f>
        <v>85.65310492505354</v>
      </c>
      <c r="H31" s="10">
        <f>'12c'!H31/'12c'!$B31*100</f>
        <v>111.3490364025696</v>
      </c>
      <c r="I31" s="10">
        <f>'12c'!I31/'12c'!$B31*100</f>
        <v>94.432548179871517</v>
      </c>
      <c r="J31" s="10">
        <f>'12c'!J31/'12c'!$B31*100</f>
        <v>94.218415417558887</v>
      </c>
      <c r="K31" s="10">
        <f>'12c'!K31/'12c'!$B31*100</f>
        <v>120.34261241970022</v>
      </c>
      <c r="L31" s="10">
        <f>'12c'!L31/'12c'!$B31*100</f>
        <v>100.6423982869379</v>
      </c>
      <c r="N31" s="19">
        <f>SUM(C103:L103)/10</f>
        <v>130.80439637028923</v>
      </c>
      <c r="O31" s="19">
        <f>SQRT(N31)</f>
        <v>11.436974965885394</v>
      </c>
      <c r="P31" s="19"/>
      <c r="Q31" s="19"/>
    </row>
    <row r="32" spans="1:17" s="114" customFormat="1">
      <c r="A32" s="738"/>
      <c r="B32" s="959"/>
      <c r="C32" s="959"/>
      <c r="D32" s="959" t="s">
        <v>802</v>
      </c>
      <c r="E32" s="959"/>
      <c r="F32" s="959"/>
      <c r="H32" s="959"/>
      <c r="I32" s="959"/>
      <c r="J32" s="959"/>
      <c r="K32" s="959"/>
      <c r="L32" s="959"/>
      <c r="N32" s="19"/>
      <c r="O32" s="19"/>
      <c r="P32" s="19"/>
      <c r="Q32" s="19"/>
    </row>
    <row r="33" spans="1:17" s="114" customFormat="1">
      <c r="A33" s="431" t="s">
        <v>603</v>
      </c>
      <c r="B33" s="959">
        <f t="shared" ref="B33:L33" si="4">((((B13/B5))^(1/8))-1)*100</f>
        <v>0</v>
      </c>
      <c r="C33" s="959">
        <f t="shared" si="4"/>
        <v>-0.14046334929627147</v>
      </c>
      <c r="D33" s="959">
        <f t="shared" si="4"/>
        <v>0.3460218306510221</v>
      </c>
      <c r="E33" s="959">
        <f t="shared" si="4"/>
        <v>0.57145370070430523</v>
      </c>
      <c r="F33" s="959">
        <f t="shared" si="4"/>
        <v>0.67440620573149257</v>
      </c>
      <c r="G33" s="959">
        <f t="shared" si="4"/>
        <v>-2.8353855395146788E-2</v>
      </c>
      <c r="H33" s="959">
        <f t="shared" si="4"/>
        <v>0.54299515569984358</v>
      </c>
      <c r="I33" s="959">
        <f t="shared" si="4"/>
        <v>0.27969432579331155</v>
      </c>
      <c r="J33" s="959">
        <f t="shared" si="4"/>
        <v>-0.79023275647229774</v>
      </c>
      <c r="K33" s="959">
        <f t="shared" si="4"/>
        <v>-1.0429378262727829</v>
      </c>
      <c r="L33" s="959">
        <f t="shared" si="4"/>
        <v>-0.83534707128367636</v>
      </c>
      <c r="M33" s="959"/>
      <c r="N33" s="959">
        <f>((((N13/N5))^(1/8))-1)*100</f>
        <v>-2.7692218237070909</v>
      </c>
      <c r="O33" s="959">
        <f>((((O13/O5))^(1/8))-1)*100</f>
        <v>-1.3943317165321822</v>
      </c>
      <c r="P33" s="644">
        <f>((((P13/P5))^(1/8))-1)*100</f>
        <v>-4.8565230691499757</v>
      </c>
      <c r="Q33" s="644">
        <f>((((Q13/Q5))^(1/8))-1)*100</f>
        <v>-2.4584822084205871</v>
      </c>
    </row>
    <row r="34" spans="1:17" s="114" customFormat="1">
      <c r="A34" s="431" t="s">
        <v>604</v>
      </c>
      <c r="B34" s="959">
        <f t="shared" ref="B34:L34" si="5">((((B24/B13))^(1/11))-1)*100</f>
        <v>0</v>
      </c>
      <c r="C34" s="959">
        <f t="shared" si="5"/>
        <v>-0.81395520861701209</v>
      </c>
      <c r="D34" s="959">
        <f t="shared" si="5"/>
        <v>0.32143100653103662</v>
      </c>
      <c r="E34" s="959">
        <f t="shared" si="5"/>
        <v>-8.0112130542364657E-2</v>
      </c>
      <c r="F34" s="959">
        <f t="shared" si="5"/>
        <v>0.18504910802239483</v>
      </c>
      <c r="G34" s="959">
        <f t="shared" si="5"/>
        <v>-0.40882334758297612</v>
      </c>
      <c r="H34" s="959">
        <f t="shared" si="5"/>
        <v>0.18544401543638678</v>
      </c>
      <c r="I34" s="959">
        <f t="shared" si="5"/>
        <v>0.21601795766224008</v>
      </c>
      <c r="J34" s="959">
        <f t="shared" si="5"/>
        <v>0.25408399636956958</v>
      </c>
      <c r="K34" s="959">
        <f t="shared" si="5"/>
        <v>0.65230530822335542</v>
      </c>
      <c r="L34" s="959">
        <f t="shared" si="5"/>
        <v>-0.42618105330193279</v>
      </c>
      <c r="M34" s="959"/>
      <c r="N34" s="959">
        <f>((((N24/N13))^(1/11))-1)*100</f>
        <v>1.633353179127317</v>
      </c>
      <c r="O34" s="959">
        <f>((((O24/O13))^(1/11))-1)*100</f>
        <v>0.81336874597897069</v>
      </c>
      <c r="P34" s="644">
        <f>((((P24/P13))^(1/11))-1)*100</f>
        <v>2.7124335464713489</v>
      </c>
      <c r="Q34" s="644">
        <f>((((Q24/Q13))^(1/11))-1)*100</f>
        <v>1.3471428045563449</v>
      </c>
    </row>
    <row r="35" spans="1:17" s="114" customFormat="1">
      <c r="A35" s="431" t="s">
        <v>447</v>
      </c>
      <c r="B35" s="23">
        <f>((((B31/B5))^(1/26))-1)*100</f>
        <v>0</v>
      </c>
      <c r="C35" s="23">
        <f t="shared" ref="C35:L35" si="6">((((C31/C5))^(1/26))-1)*100</f>
        <v>-0.22368385412634417</v>
      </c>
      <c r="D35" s="23">
        <f t="shared" si="6"/>
        <v>0.54295148146750183</v>
      </c>
      <c r="E35" s="23">
        <f t="shared" si="6"/>
        <v>8.4099003328752531E-2</v>
      </c>
      <c r="F35" s="23">
        <f t="shared" si="6"/>
        <v>0.17420195877715372</v>
      </c>
      <c r="G35" s="23">
        <f t="shared" si="6"/>
        <v>-0.26374654772114425</v>
      </c>
      <c r="H35" s="23">
        <f t="shared" si="6"/>
        <v>0.12421605611931952</v>
      </c>
      <c r="I35" s="23">
        <f t="shared" si="6"/>
        <v>0.23510996992763822</v>
      </c>
      <c r="J35" s="23">
        <f t="shared" si="6"/>
        <v>7.4538257628287141E-2</v>
      </c>
      <c r="K35" s="23">
        <f t="shared" si="6"/>
        <v>0.32903267445738571</v>
      </c>
      <c r="L35" s="23">
        <f t="shared" si="6"/>
        <v>-0.22441728027683405</v>
      </c>
      <c r="M35" s="23"/>
      <c r="N35" s="23">
        <f>((((N31/N5))^(1/26))-1)*100</f>
        <v>-0.16616332145880097</v>
      </c>
      <c r="O35" s="23">
        <f>((((O31/O5))^(1/26))-1)*100</f>
        <v>-8.3116202244781778E-2</v>
      </c>
      <c r="P35" s="23">
        <f>((((P28/P5))^(1/23))-1)*100</f>
        <v>-0.27372338450821765</v>
      </c>
      <c r="Q35" s="23">
        <f>((((Q28/Q5))^(1/23))-1)*100</f>
        <v>-0.13695547626650928</v>
      </c>
    </row>
    <row r="36" spans="1:17" s="114" customFormat="1">
      <c r="A36" s="431" t="s">
        <v>449</v>
      </c>
      <c r="B36" s="959">
        <f>((((B31/B24))^(1/7))-1)*100</f>
        <v>0</v>
      </c>
      <c r="C36" s="959">
        <f t="shared" ref="C36:L36" si="7">((((C31/C24))^(1/7))-1)*100</f>
        <v>0.6150763505219814</v>
      </c>
      <c r="D36" s="959">
        <f t="shared" si="7"/>
        <v>1.1183625787045459</v>
      </c>
      <c r="E36" s="959">
        <f t="shared" si="7"/>
        <v>-0.21282677531254679</v>
      </c>
      <c r="F36" s="959">
        <f t="shared" si="7"/>
        <v>-0.41136396140601938</v>
      </c>
      <c r="G36" s="959">
        <f t="shared" si="7"/>
        <v>-0.30429775779323709</v>
      </c>
      <c r="H36" s="959">
        <f t="shared" si="7"/>
        <v>-0.44793545349950392</v>
      </c>
      <c r="I36" s="959">
        <f t="shared" si="7"/>
        <v>0.21417452682148674</v>
      </c>
      <c r="J36" s="959">
        <f t="shared" si="7"/>
        <v>0.7877820432116156</v>
      </c>
      <c r="K36" s="959">
        <f t="shared" si="7"/>
        <v>1.4063785251456018</v>
      </c>
      <c r="L36" s="959">
        <f t="shared" si="7"/>
        <v>0.7985211092165212</v>
      </c>
      <c r="M36" s="959"/>
      <c r="N36" s="959">
        <f>((((N31/N24))^(1/7))-1)*100</f>
        <v>4.5829020179777302E-2</v>
      </c>
      <c r="O36" s="959">
        <f>((((O31/O24))^(1/7))-1)*100</f>
        <v>2.2911885317444813E-2</v>
      </c>
      <c r="P36" s="644">
        <f>((((P28/P24))^(1/4))-1)*100</f>
        <v>1.0261696163659462</v>
      </c>
      <c r="Q36" s="644">
        <f>((((Q28/Q24))^(1/4))-1)*100</f>
        <v>0.51177523870820085</v>
      </c>
    </row>
    <row r="37" spans="1:17" s="114" customFormat="1">
      <c r="A37" s="431"/>
      <c r="D37" s="959" t="s">
        <v>276</v>
      </c>
    </row>
    <row r="38" spans="1:17" s="114" customFormat="1">
      <c r="A38" s="431" t="s">
        <v>447</v>
      </c>
      <c r="B38" s="10">
        <f>(B31/B5-1)*100</f>
        <v>0</v>
      </c>
      <c r="C38" s="10">
        <f t="shared" ref="C38:L38" si="8">(C31/C5-1)*100</f>
        <v>-5.6560410243949537</v>
      </c>
      <c r="D38" s="10">
        <f t="shared" si="8"/>
        <v>15.117773019271951</v>
      </c>
      <c r="E38" s="10">
        <f t="shared" si="8"/>
        <v>2.2097155733937335</v>
      </c>
      <c r="F38" s="10">
        <f t="shared" si="8"/>
        <v>4.6292648108493761</v>
      </c>
      <c r="G38" s="10">
        <f t="shared" si="8"/>
        <v>-6.6360316145401832</v>
      </c>
      <c r="H38" s="10">
        <f t="shared" si="8"/>
        <v>3.2802656487602055</v>
      </c>
      <c r="I38" s="10">
        <f t="shared" si="8"/>
        <v>6.2959336296041224</v>
      </c>
      <c r="J38" s="10">
        <f t="shared" si="8"/>
        <v>1.9561596789043012</v>
      </c>
      <c r="K38" s="10">
        <f t="shared" si="8"/>
        <v>8.9161421495468787</v>
      </c>
      <c r="L38" s="10">
        <f t="shared" si="8"/>
        <v>-5.6740702247946135</v>
      </c>
      <c r="M38" s="10"/>
      <c r="N38" s="10">
        <f>(N31/N5-1)*100</f>
        <v>-4.2316945642486008</v>
      </c>
      <c r="O38" s="10">
        <f>(O31/O5-1)*100</f>
        <v>-2.1387178523848527</v>
      </c>
      <c r="P38" s="10">
        <f>(P28/P5-1)*100</f>
        <v>-6.109661755046214</v>
      </c>
      <c r="Q38" s="10">
        <f>(Q28/Q5-1)*100</f>
        <v>-3.1029730874296724</v>
      </c>
    </row>
    <row r="39" spans="1:17">
      <c r="A39" s="4"/>
      <c r="N39" s="644"/>
      <c r="O39" s="644"/>
      <c r="P39" s="644"/>
      <c r="Q39" s="644"/>
    </row>
    <row r="40" spans="1:17">
      <c r="A40" s="9" t="s">
        <v>217</v>
      </c>
      <c r="N40" s="10"/>
      <c r="O40" s="10"/>
      <c r="P40" s="10"/>
      <c r="Q40" s="10"/>
    </row>
    <row r="41" spans="1:17" ht="25.5" customHeight="1">
      <c r="A41" s="1168" t="s">
        <v>1161</v>
      </c>
      <c r="B41" s="1169"/>
      <c r="C41" s="1169"/>
      <c r="D41" s="1169"/>
      <c r="E41" s="1169"/>
      <c r="F41" s="1169"/>
      <c r="G41" s="1169"/>
      <c r="H41" s="1169"/>
      <c r="I41" s="1169"/>
      <c r="J41" s="1169"/>
      <c r="K41" s="1169"/>
      <c r="L41" s="1169"/>
      <c r="N41" s="10"/>
      <c r="O41" s="10"/>
      <c r="P41" s="10"/>
      <c r="Q41" s="10"/>
    </row>
    <row r="42" spans="1:17" ht="37.5" customHeight="1">
      <c r="A42" s="1168" t="s">
        <v>978</v>
      </c>
      <c r="B42" s="1169"/>
      <c r="C42" s="1169"/>
      <c r="D42" s="1169"/>
      <c r="E42" s="1169"/>
      <c r="F42" s="1169"/>
      <c r="G42" s="1169"/>
      <c r="H42" s="1169"/>
      <c r="I42" s="1169"/>
      <c r="J42" s="1169"/>
      <c r="K42" s="1169"/>
      <c r="L42" s="1169"/>
      <c r="N42" s="10"/>
      <c r="O42" s="10"/>
      <c r="P42" s="10"/>
      <c r="Q42" s="10"/>
    </row>
    <row r="47" spans="1:17">
      <c r="B47" s="1" t="s">
        <v>278</v>
      </c>
    </row>
    <row r="48" spans="1:17">
      <c r="B48" s="1" t="s">
        <v>279</v>
      </c>
    </row>
    <row r="49" spans="2:12">
      <c r="B49" s="1">
        <v>1981</v>
      </c>
      <c r="C49" s="300">
        <f>C5-$B5</f>
        <v>-5.5803571428571388</v>
      </c>
      <c r="D49" s="300">
        <f t="shared" ref="D49:L49" si="9">D5-$B5</f>
        <v>-19.642857142857139</v>
      </c>
      <c r="E49" s="300">
        <f t="shared" si="9"/>
        <v>-14.732142857142861</v>
      </c>
      <c r="F49" s="300">
        <f t="shared" si="9"/>
        <v>-16.294642857142861</v>
      </c>
      <c r="G49" s="300">
        <f t="shared" si="9"/>
        <v>-8.2589285714285694</v>
      </c>
      <c r="H49" s="300">
        <f t="shared" si="9"/>
        <v>7.8125</v>
      </c>
      <c r="I49" s="300">
        <f t="shared" si="9"/>
        <v>-11.160714285714292</v>
      </c>
      <c r="J49" s="300">
        <f t="shared" si="9"/>
        <v>-7.5892857142857082</v>
      </c>
      <c r="K49" s="300">
        <f t="shared" si="9"/>
        <v>10.491071428571416</v>
      </c>
      <c r="L49" s="300">
        <f t="shared" si="9"/>
        <v>6.6964285714285836</v>
      </c>
    </row>
    <row r="50" spans="2:12">
      <c r="B50" s="1">
        <v>1982</v>
      </c>
      <c r="C50" s="300">
        <f t="shared" ref="C50:L65" si="10">C6-$B6</f>
        <v>-6.9124423963133665</v>
      </c>
      <c r="D50" s="300">
        <f t="shared" si="10"/>
        <v>-16.129032258064512</v>
      </c>
      <c r="E50" s="300">
        <f t="shared" si="10"/>
        <v>-14.055299539170505</v>
      </c>
      <c r="F50" s="300">
        <f t="shared" si="10"/>
        <v>-15.437788018433181</v>
      </c>
      <c r="G50" s="300">
        <f t="shared" si="10"/>
        <v>-6.6820276497695801</v>
      </c>
      <c r="H50" s="300">
        <f t="shared" si="10"/>
        <v>5.5299539170506904</v>
      </c>
      <c r="I50" s="300">
        <f t="shared" si="10"/>
        <v>-8.2949308755760285</v>
      </c>
      <c r="J50" s="300">
        <f t="shared" si="10"/>
        <v>-6.2211981566820214</v>
      </c>
      <c r="K50" s="300">
        <f t="shared" si="10"/>
        <v>13.364055299539174</v>
      </c>
      <c r="L50" s="300">
        <f t="shared" si="10"/>
        <v>4.3778801843318007</v>
      </c>
    </row>
    <row r="51" spans="2:12">
      <c r="B51" s="1">
        <v>1983</v>
      </c>
      <c r="C51" s="300">
        <f t="shared" si="10"/>
        <v>-14.354066985645929</v>
      </c>
      <c r="D51" s="300">
        <f t="shared" si="10"/>
        <v>-12.440191387559807</v>
      </c>
      <c r="E51" s="300">
        <f t="shared" si="10"/>
        <v>-15.311004784689004</v>
      </c>
      <c r="F51" s="300">
        <f t="shared" si="10"/>
        <v>-18.899521531100476</v>
      </c>
      <c r="G51" s="300">
        <f t="shared" si="10"/>
        <v>-5.0239234449760772</v>
      </c>
      <c r="H51" s="300">
        <f t="shared" si="10"/>
        <v>5.2631578947368354</v>
      </c>
      <c r="I51" s="300">
        <f t="shared" si="10"/>
        <v>-2.8708133971291971</v>
      </c>
      <c r="J51" s="300">
        <f t="shared" si="10"/>
        <v>-8.3732057416268049</v>
      </c>
      <c r="K51" s="300">
        <f t="shared" si="10"/>
        <v>9.0909090909090793</v>
      </c>
      <c r="L51" s="300">
        <f t="shared" si="10"/>
        <v>2.8708133971291829</v>
      </c>
    </row>
    <row r="52" spans="2:12">
      <c r="B52" s="1">
        <v>1984</v>
      </c>
      <c r="C52" s="300">
        <f t="shared" si="10"/>
        <v>-12.7659574468085</v>
      </c>
      <c r="D52" s="300">
        <f t="shared" si="10"/>
        <v>-13.711583924349881</v>
      </c>
      <c r="E52" s="300">
        <f t="shared" si="10"/>
        <v>-10.401891252955082</v>
      </c>
      <c r="F52" s="300">
        <f t="shared" si="10"/>
        <v>-11.111111111111114</v>
      </c>
      <c r="G52" s="300">
        <f t="shared" si="10"/>
        <v>-6.3829787234042499</v>
      </c>
      <c r="H52" s="300">
        <f t="shared" si="10"/>
        <v>7.8014184397163149</v>
      </c>
      <c r="I52" s="300">
        <f t="shared" si="10"/>
        <v>-4.2553191489361666</v>
      </c>
      <c r="J52" s="300">
        <f t="shared" si="10"/>
        <v>-8.5106382978723474</v>
      </c>
      <c r="K52" s="300">
        <f t="shared" si="10"/>
        <v>3.7825059101654972</v>
      </c>
      <c r="L52" s="300">
        <f t="shared" si="10"/>
        <v>-3.0732860520094647</v>
      </c>
    </row>
    <row r="53" spans="2:12">
      <c r="B53" s="1">
        <v>1985</v>
      </c>
      <c r="C53" s="300">
        <f t="shared" si="10"/>
        <v>-13.915094339622641</v>
      </c>
      <c r="D53" s="300">
        <f t="shared" si="10"/>
        <v>-14.15094339622641</v>
      </c>
      <c r="E53" s="300">
        <f t="shared" si="10"/>
        <v>-11.320754716981128</v>
      </c>
      <c r="F53" s="300">
        <f t="shared" si="10"/>
        <v>-11.084905660377359</v>
      </c>
      <c r="G53" s="300">
        <f t="shared" si="10"/>
        <v>-6.1320754716981156</v>
      </c>
      <c r="H53" s="300">
        <f t="shared" si="10"/>
        <v>9.9056603773584868</v>
      </c>
      <c r="I53" s="300">
        <f t="shared" si="10"/>
        <v>-5.8962264150943469</v>
      </c>
      <c r="J53" s="300">
        <f t="shared" si="10"/>
        <v>-7.3113207547169736</v>
      </c>
      <c r="K53" s="300">
        <f t="shared" si="10"/>
        <v>5.6603773584905639</v>
      </c>
      <c r="L53" s="300">
        <f t="shared" si="10"/>
        <v>-4.7169811320754746</v>
      </c>
    </row>
    <row r="54" spans="2:12">
      <c r="B54" s="1">
        <v>1986</v>
      </c>
      <c r="C54" s="300">
        <f t="shared" si="10"/>
        <v>-16.350710900473928</v>
      </c>
      <c r="D54" s="300">
        <f t="shared" si="10"/>
        <v>-13.033175355450226</v>
      </c>
      <c r="E54" s="300">
        <f t="shared" si="10"/>
        <v>-12.085308056872037</v>
      </c>
      <c r="F54" s="300">
        <f t="shared" si="10"/>
        <v>-8.056872037914701</v>
      </c>
      <c r="G54" s="300">
        <f t="shared" si="10"/>
        <v>-8.293838862559241</v>
      </c>
      <c r="H54" s="300">
        <f t="shared" si="10"/>
        <v>11.137440758293835</v>
      </c>
      <c r="I54" s="300">
        <f t="shared" si="10"/>
        <v>-4.7393364928909989</v>
      </c>
      <c r="J54" s="300">
        <f t="shared" si="10"/>
        <v>-13.033175355450226</v>
      </c>
      <c r="K54" s="300">
        <f t="shared" si="10"/>
        <v>4.7393364928909989</v>
      </c>
      <c r="L54" s="300">
        <f t="shared" si="10"/>
        <v>0.71090047393364841</v>
      </c>
    </row>
    <row r="55" spans="2:12">
      <c r="B55" s="1">
        <v>1987</v>
      </c>
      <c r="C55" s="300">
        <f t="shared" si="10"/>
        <v>-9.5238095238095184</v>
      </c>
      <c r="D55" s="300">
        <f t="shared" si="10"/>
        <v>-10</v>
      </c>
      <c r="E55" s="300">
        <f t="shared" si="10"/>
        <v>-6.4285714285714306</v>
      </c>
      <c r="F55" s="300">
        <f t="shared" si="10"/>
        <v>-13.571428571428569</v>
      </c>
      <c r="G55" s="300">
        <f t="shared" si="10"/>
        <v>-8.8095238095238102</v>
      </c>
      <c r="H55" s="300">
        <f t="shared" si="10"/>
        <v>13.80952380952381</v>
      </c>
      <c r="I55" s="300">
        <f t="shared" si="10"/>
        <v>-8.8095238095238102</v>
      </c>
      <c r="J55" s="300">
        <f t="shared" si="10"/>
        <v>-10.476190476190467</v>
      </c>
      <c r="K55" s="300">
        <f t="shared" si="10"/>
        <v>0.952380952380949</v>
      </c>
      <c r="L55" s="300">
        <f t="shared" si="10"/>
        <v>-5.4761904761904816</v>
      </c>
    </row>
    <row r="56" spans="2:12">
      <c r="B56" s="1">
        <v>1988</v>
      </c>
      <c r="C56" s="300">
        <f t="shared" si="10"/>
        <v>-8.3526682134570791</v>
      </c>
      <c r="D56" s="300">
        <f t="shared" si="10"/>
        <v>-15.313225058004647</v>
      </c>
      <c r="E56" s="300">
        <f t="shared" si="10"/>
        <v>-8.8167053364269066</v>
      </c>
      <c r="F56" s="300">
        <f t="shared" si="10"/>
        <v>-12.064965197215784</v>
      </c>
      <c r="G56" s="300">
        <f t="shared" si="10"/>
        <v>-10.440835266821352</v>
      </c>
      <c r="H56" s="300">
        <f t="shared" si="10"/>
        <v>12.993039443155467</v>
      </c>
      <c r="I56" s="300">
        <f t="shared" si="10"/>
        <v>-9.0487238979118416</v>
      </c>
      <c r="J56" s="300">
        <f t="shared" si="10"/>
        <v>-15.081206496519712</v>
      </c>
      <c r="K56" s="300">
        <f t="shared" si="10"/>
        <v>3.2482598607888775</v>
      </c>
      <c r="L56" s="300">
        <f t="shared" si="10"/>
        <v>-0.46403712296984168</v>
      </c>
    </row>
    <row r="57" spans="2:12">
      <c r="B57" s="1">
        <v>1989</v>
      </c>
      <c r="C57" s="300">
        <f t="shared" si="10"/>
        <v>-6.6361556064073284</v>
      </c>
      <c r="D57" s="300">
        <f t="shared" si="10"/>
        <v>-17.391304347826093</v>
      </c>
      <c r="E57" s="300">
        <f t="shared" si="10"/>
        <v>-10.755148741418765</v>
      </c>
      <c r="F57" s="300">
        <f t="shared" si="10"/>
        <v>-11.670480549199084</v>
      </c>
      <c r="G57" s="300">
        <f t="shared" si="10"/>
        <v>-8.4668192219679526</v>
      </c>
      <c r="H57" s="300">
        <f t="shared" si="10"/>
        <v>12.585812356979403</v>
      </c>
      <c r="I57" s="300">
        <f t="shared" si="10"/>
        <v>-9.1533180778032062</v>
      </c>
      <c r="J57" s="300">
        <f t="shared" si="10"/>
        <v>-13.272311212814643</v>
      </c>
      <c r="K57" s="300">
        <f t="shared" si="10"/>
        <v>1.6018306636155728</v>
      </c>
      <c r="L57" s="300">
        <f t="shared" si="10"/>
        <v>-0.2288329519450798</v>
      </c>
    </row>
    <row r="58" spans="2:12">
      <c r="B58" s="1">
        <v>1990</v>
      </c>
      <c r="C58" s="300">
        <f t="shared" si="10"/>
        <v>-8.8305489260143162</v>
      </c>
      <c r="D58" s="300">
        <f t="shared" si="10"/>
        <v>-11.694510739856796</v>
      </c>
      <c r="E58" s="300">
        <f t="shared" si="10"/>
        <v>-9.0692124105011942</v>
      </c>
      <c r="F58" s="300">
        <f t="shared" si="10"/>
        <v>-10.501193317422434</v>
      </c>
      <c r="G58" s="300">
        <f t="shared" si="10"/>
        <v>-10.978520286396176</v>
      </c>
      <c r="H58" s="300">
        <f t="shared" si="10"/>
        <v>12.410501193317415</v>
      </c>
      <c r="I58" s="300">
        <f t="shared" si="10"/>
        <v>-5.9665871121718368</v>
      </c>
      <c r="J58" s="300">
        <f t="shared" si="10"/>
        <v>-13.365155131264913</v>
      </c>
      <c r="K58" s="300">
        <f t="shared" si="10"/>
        <v>2.8639618138424794</v>
      </c>
      <c r="L58" s="300">
        <f t="shared" si="10"/>
        <v>-0.47732696897374183</v>
      </c>
    </row>
    <row r="59" spans="2:12">
      <c r="B59" s="1">
        <v>1991</v>
      </c>
      <c r="C59" s="300">
        <f t="shared" si="10"/>
        <v>-6.8010075566750601</v>
      </c>
      <c r="D59" s="300">
        <f t="shared" si="10"/>
        <v>-9.5717884130982327</v>
      </c>
      <c r="E59" s="300">
        <f t="shared" si="10"/>
        <v>-7.052896725440803</v>
      </c>
      <c r="F59" s="300">
        <f t="shared" si="10"/>
        <v>-10.327455919395462</v>
      </c>
      <c r="G59" s="300">
        <f t="shared" si="10"/>
        <v>-9.0680100755667468</v>
      </c>
      <c r="H59" s="300">
        <f t="shared" si="10"/>
        <v>11.08312342569269</v>
      </c>
      <c r="I59" s="300">
        <f t="shared" si="10"/>
        <v>-8.3123425692695321</v>
      </c>
      <c r="J59" s="300">
        <f t="shared" si="10"/>
        <v>-11.335012594458433</v>
      </c>
      <c r="K59" s="300">
        <f t="shared" si="10"/>
        <v>4.0302267002518875</v>
      </c>
      <c r="L59" s="300">
        <f t="shared" si="10"/>
        <v>1.0075566750629861</v>
      </c>
    </row>
    <row r="60" spans="2:12">
      <c r="B60" s="1">
        <v>1992</v>
      </c>
      <c r="C60" s="300">
        <f t="shared" si="10"/>
        <v>-8.2294264339152079</v>
      </c>
      <c r="D60" s="300">
        <f t="shared" si="10"/>
        <v>-7.2319201995012463</v>
      </c>
      <c r="E60" s="300">
        <f t="shared" si="10"/>
        <v>-8.2294264339152079</v>
      </c>
      <c r="F60" s="300">
        <f t="shared" si="10"/>
        <v>-9.9750623441396442</v>
      </c>
      <c r="G60" s="300">
        <f t="shared" si="10"/>
        <v>-9.7256857855361716</v>
      </c>
      <c r="H60" s="300">
        <f t="shared" si="10"/>
        <v>11.720698254364081</v>
      </c>
      <c r="I60" s="300">
        <f t="shared" si="10"/>
        <v>-9.4763092269326705</v>
      </c>
      <c r="J60" s="300">
        <f t="shared" si="10"/>
        <v>-10.224438902743145</v>
      </c>
      <c r="K60" s="300">
        <f t="shared" si="10"/>
        <v>-1.7456359102244363</v>
      </c>
      <c r="L60" s="300">
        <f t="shared" si="10"/>
        <v>0.99750623441397579</v>
      </c>
    </row>
    <row r="61" spans="2:12">
      <c r="B61" s="1">
        <v>1993</v>
      </c>
      <c r="C61" s="300">
        <f t="shared" si="10"/>
        <v>-7.9283887468030656</v>
      </c>
      <c r="D61" s="300">
        <f t="shared" si="10"/>
        <v>-7.1611253196930988</v>
      </c>
      <c r="E61" s="300">
        <f t="shared" si="10"/>
        <v>-6.9053708439897719</v>
      </c>
      <c r="F61" s="300">
        <f t="shared" si="10"/>
        <v>-7.6726342710997386</v>
      </c>
      <c r="G61" s="300">
        <f t="shared" si="10"/>
        <v>-11.253196930946302</v>
      </c>
      <c r="H61" s="300">
        <f t="shared" si="10"/>
        <v>10.997442455242961</v>
      </c>
      <c r="I61" s="300">
        <f t="shared" si="10"/>
        <v>-6.6496163682864449</v>
      </c>
      <c r="J61" s="300">
        <f t="shared" si="10"/>
        <v>-12.276214833759596</v>
      </c>
      <c r="K61" s="300">
        <f t="shared" si="10"/>
        <v>6.1381074168797909</v>
      </c>
      <c r="L61" s="300">
        <f t="shared" si="10"/>
        <v>3.0690537084399097</v>
      </c>
    </row>
    <row r="62" spans="2:12">
      <c r="B62" s="1">
        <v>1994</v>
      </c>
      <c r="C62" s="300">
        <f t="shared" si="10"/>
        <v>-8.6513994910941534</v>
      </c>
      <c r="D62" s="300">
        <f t="shared" si="10"/>
        <v>-7.8880407124681966</v>
      </c>
      <c r="E62" s="300">
        <f t="shared" si="10"/>
        <v>-9.669211195928753</v>
      </c>
      <c r="F62" s="300">
        <f t="shared" si="10"/>
        <v>-7.6335877862595396</v>
      </c>
      <c r="G62" s="300">
        <f t="shared" si="10"/>
        <v>-9.92366412213741</v>
      </c>
      <c r="H62" s="300">
        <f t="shared" si="10"/>
        <v>10.43256997455471</v>
      </c>
      <c r="I62" s="300">
        <f t="shared" si="10"/>
        <v>-5.5979643765903262</v>
      </c>
      <c r="J62" s="300">
        <f t="shared" si="10"/>
        <v>-10.43256997455471</v>
      </c>
      <c r="K62" s="300">
        <f t="shared" si="10"/>
        <v>6.61577608142494</v>
      </c>
      <c r="L62" s="300">
        <f t="shared" si="10"/>
        <v>1.7811704834605564</v>
      </c>
    </row>
    <row r="63" spans="2:12">
      <c r="B63" s="1">
        <v>1995</v>
      </c>
      <c r="C63" s="300">
        <f t="shared" si="10"/>
        <v>-9.414758269720096</v>
      </c>
      <c r="D63" s="300">
        <f t="shared" si="10"/>
        <v>-4.8346055979643836</v>
      </c>
      <c r="E63" s="300">
        <f t="shared" si="10"/>
        <v>-10.94147582697201</v>
      </c>
      <c r="F63" s="300">
        <f t="shared" si="10"/>
        <v>-9.669211195928753</v>
      </c>
      <c r="G63" s="300">
        <f t="shared" si="10"/>
        <v>-10.687022900763353</v>
      </c>
      <c r="H63" s="300">
        <f t="shared" si="10"/>
        <v>10.687022900763353</v>
      </c>
      <c r="I63" s="300">
        <f t="shared" si="10"/>
        <v>-5.5979643765903262</v>
      </c>
      <c r="J63" s="300">
        <f t="shared" si="10"/>
        <v>-10.687022900763353</v>
      </c>
      <c r="K63" s="300">
        <f t="shared" si="10"/>
        <v>4.3256997455470838</v>
      </c>
      <c r="L63" s="300">
        <f t="shared" si="10"/>
        <v>1.2722646310432566</v>
      </c>
    </row>
    <row r="64" spans="2:12">
      <c r="B64" s="1">
        <v>1996</v>
      </c>
      <c r="C64" s="300">
        <f t="shared" si="10"/>
        <v>-10.852713178294564</v>
      </c>
      <c r="D64" s="300">
        <f t="shared" si="10"/>
        <v>-5.6847545219638249</v>
      </c>
      <c r="E64" s="300">
        <f t="shared" si="10"/>
        <v>-11.111111111111114</v>
      </c>
      <c r="F64" s="300">
        <f t="shared" si="10"/>
        <v>-10.077519379844958</v>
      </c>
      <c r="G64" s="300">
        <f t="shared" si="10"/>
        <v>-11.36950904392765</v>
      </c>
      <c r="H64" s="300">
        <f t="shared" si="10"/>
        <v>10.852713178294564</v>
      </c>
      <c r="I64" s="300">
        <f t="shared" si="10"/>
        <v>-4.3927648578811329</v>
      </c>
      <c r="J64" s="300">
        <f t="shared" si="10"/>
        <v>-9.3023255813953512</v>
      </c>
      <c r="K64" s="300">
        <f t="shared" si="10"/>
        <v>4.6511627906976827</v>
      </c>
      <c r="L64" s="300">
        <f t="shared" si="10"/>
        <v>0.51679586563307112</v>
      </c>
    </row>
    <row r="65" spans="2:12">
      <c r="B65" s="1">
        <v>1997</v>
      </c>
      <c r="C65" s="300">
        <f t="shared" si="10"/>
        <v>-12.727272727272734</v>
      </c>
      <c r="D65" s="300">
        <f t="shared" si="10"/>
        <v>-8.3116883116883145</v>
      </c>
      <c r="E65" s="300">
        <f t="shared" si="10"/>
        <v>-10.909090909090907</v>
      </c>
      <c r="F65" s="300">
        <f t="shared" si="10"/>
        <v>-9.6103896103896176</v>
      </c>
      <c r="G65" s="300">
        <f t="shared" si="10"/>
        <v>-12.467532467532465</v>
      </c>
      <c r="H65" s="300">
        <f t="shared" si="10"/>
        <v>12.467532467532465</v>
      </c>
      <c r="I65" s="300">
        <f t="shared" si="10"/>
        <v>-4.4155844155844193</v>
      </c>
      <c r="J65" s="300">
        <f t="shared" si="10"/>
        <v>-8.3116883116883145</v>
      </c>
      <c r="K65" s="300">
        <f t="shared" si="10"/>
        <v>10.649350649350637</v>
      </c>
      <c r="L65" s="300">
        <f t="shared" si="10"/>
        <v>0.51948051948052409</v>
      </c>
    </row>
    <row r="66" spans="2:12">
      <c r="B66" s="1">
        <v>1998</v>
      </c>
      <c r="C66" s="300">
        <f t="shared" ref="C66:L66" si="11">C22-$B22</f>
        <v>-14.177215189873422</v>
      </c>
      <c r="D66" s="300">
        <f t="shared" si="11"/>
        <v>-11.898734177215189</v>
      </c>
      <c r="E66" s="300">
        <f t="shared" si="11"/>
        <v>-11.645569620253156</v>
      </c>
      <c r="F66" s="300">
        <f t="shared" si="11"/>
        <v>-10.379746835443044</v>
      </c>
      <c r="G66" s="300">
        <f t="shared" si="11"/>
        <v>-13.164556962025316</v>
      </c>
      <c r="H66" s="300">
        <f t="shared" si="11"/>
        <v>13.924050632911403</v>
      </c>
      <c r="I66" s="300">
        <f t="shared" si="11"/>
        <v>-4.0506329113923982</v>
      </c>
      <c r="J66" s="300">
        <f t="shared" si="11"/>
        <v>-10.632911392405063</v>
      </c>
      <c r="K66" s="300">
        <f t="shared" si="11"/>
        <v>8.1012658227848107</v>
      </c>
      <c r="L66" s="300">
        <f t="shared" si="11"/>
        <v>0.50632911392405333</v>
      </c>
    </row>
    <row r="67" spans="2:12">
      <c r="B67" s="1">
        <v>1999</v>
      </c>
      <c r="C67" s="300">
        <f t="shared" ref="C67:L67" si="12">C23-$B23</f>
        <v>-14.285714285714292</v>
      </c>
      <c r="D67" s="300">
        <f t="shared" si="12"/>
        <v>-16.707021791767545</v>
      </c>
      <c r="E67" s="300">
        <f t="shared" si="12"/>
        <v>-10.41162227602905</v>
      </c>
      <c r="F67" s="300">
        <f t="shared" si="12"/>
        <v>-10.653753026634377</v>
      </c>
      <c r="G67" s="300">
        <f t="shared" si="12"/>
        <v>-11.864406779661024</v>
      </c>
      <c r="H67" s="300">
        <f t="shared" si="12"/>
        <v>14.527845036319604</v>
      </c>
      <c r="I67" s="300">
        <f t="shared" si="12"/>
        <v>-5.569007263922515</v>
      </c>
      <c r="J67" s="300">
        <f t="shared" si="12"/>
        <v>-10.653753026634377</v>
      </c>
      <c r="K67" s="300">
        <f t="shared" si="12"/>
        <v>7.0217917675544896</v>
      </c>
      <c r="L67" s="300">
        <f t="shared" si="12"/>
        <v>-2.1791767554479406</v>
      </c>
    </row>
    <row r="68" spans="2:12">
      <c r="B68" s="1">
        <v>2000</v>
      </c>
      <c r="C68" s="300">
        <f t="shared" ref="C68:L68" si="13">C24-$B24</f>
        <v>-14.663461538461547</v>
      </c>
      <c r="D68" s="300">
        <f t="shared" si="13"/>
        <v>-14.423076923076934</v>
      </c>
      <c r="E68" s="300">
        <f t="shared" si="13"/>
        <v>-11.538461538461547</v>
      </c>
      <c r="F68" s="300">
        <f t="shared" si="13"/>
        <v>-9.8557692307692264</v>
      </c>
      <c r="G68" s="300">
        <f t="shared" si="13"/>
        <v>-12.5</v>
      </c>
      <c r="H68" s="300">
        <f t="shared" si="13"/>
        <v>14.903846153846146</v>
      </c>
      <c r="I68" s="300">
        <f t="shared" si="13"/>
        <v>-6.9711538461538396</v>
      </c>
      <c r="J68" s="300">
        <f t="shared" si="13"/>
        <v>-10.817307692307693</v>
      </c>
      <c r="K68" s="300">
        <f t="shared" si="13"/>
        <v>9.1346153846153726</v>
      </c>
      <c r="L68" s="300">
        <f t="shared" si="13"/>
        <v>-4.8076923076923066</v>
      </c>
    </row>
    <row r="69" spans="2:12">
      <c r="B69" s="1">
        <v>2001</v>
      </c>
      <c r="C69" s="300">
        <f t="shared" ref="C69:L69" si="14">C25-$B25</f>
        <v>-16.859122401847571</v>
      </c>
      <c r="D69" s="300">
        <f t="shared" si="14"/>
        <v>-18.475750577367194</v>
      </c>
      <c r="E69" s="300">
        <f t="shared" si="14"/>
        <v>-12.47113163972287</v>
      </c>
      <c r="F69" s="300">
        <f t="shared" si="14"/>
        <v>-11.316397228637413</v>
      </c>
      <c r="G69" s="300">
        <f t="shared" si="14"/>
        <v>-12.702078521939953</v>
      </c>
      <c r="H69" s="300">
        <f t="shared" si="14"/>
        <v>12.702078521939967</v>
      </c>
      <c r="I69" s="300">
        <f t="shared" si="14"/>
        <v>-8.0831408775981544</v>
      </c>
      <c r="J69" s="300">
        <f t="shared" si="14"/>
        <v>-9.006928406466514</v>
      </c>
      <c r="K69" s="300">
        <f t="shared" si="14"/>
        <v>13.39491916859123</v>
      </c>
      <c r="L69" s="300">
        <f t="shared" si="14"/>
        <v>-4.1570438799076186</v>
      </c>
    </row>
    <row r="70" spans="2:12">
      <c r="B70" s="1">
        <v>2002</v>
      </c>
      <c r="C70" s="300">
        <f t="shared" ref="C70:L70" si="15">C26-$B26</f>
        <v>-15.972222222222214</v>
      </c>
      <c r="D70" s="300">
        <f t="shared" si="15"/>
        <v>-15.509259259259252</v>
      </c>
      <c r="E70" s="300">
        <f t="shared" si="15"/>
        <v>-13.888888888888886</v>
      </c>
      <c r="F70" s="300">
        <f t="shared" si="15"/>
        <v>-13.425925925925924</v>
      </c>
      <c r="G70" s="300">
        <f t="shared" si="15"/>
        <v>-12.037037037037038</v>
      </c>
      <c r="H70" s="300">
        <f t="shared" si="15"/>
        <v>12.731481481481495</v>
      </c>
      <c r="I70" s="300">
        <f t="shared" si="15"/>
        <v>-8.3333333333333428</v>
      </c>
      <c r="J70" s="300">
        <f t="shared" si="15"/>
        <v>-10.416666666666657</v>
      </c>
      <c r="K70" s="300">
        <f t="shared" si="15"/>
        <v>11.805555555555557</v>
      </c>
      <c r="L70" s="300">
        <f t="shared" si="15"/>
        <v>-4.1666666666666572</v>
      </c>
    </row>
    <row r="71" spans="2:12">
      <c r="B71" s="1">
        <v>2003</v>
      </c>
      <c r="C71" s="300">
        <f t="shared" ref="C71:L71" si="16">C27-$B27</f>
        <v>-14.583333333333343</v>
      </c>
      <c r="D71" s="300">
        <f t="shared" si="16"/>
        <v>-11.805555555555557</v>
      </c>
      <c r="E71" s="300">
        <f t="shared" si="16"/>
        <v>-15.277777777777786</v>
      </c>
      <c r="F71" s="300">
        <f t="shared" si="16"/>
        <v>-12.5</v>
      </c>
      <c r="G71" s="300">
        <f t="shared" si="16"/>
        <v>-11.342592592592595</v>
      </c>
      <c r="H71" s="300">
        <f t="shared" si="16"/>
        <v>13.657407407407419</v>
      </c>
      <c r="I71" s="300">
        <f t="shared" si="16"/>
        <v>-7.6388888888888857</v>
      </c>
      <c r="J71" s="300">
        <f t="shared" si="16"/>
        <v>-10.18518518518519</v>
      </c>
      <c r="K71" s="300">
        <f t="shared" si="16"/>
        <v>9.7222222222222285</v>
      </c>
      <c r="L71" s="300">
        <f t="shared" si="16"/>
        <v>-5.5555555555555571</v>
      </c>
    </row>
    <row r="72" spans="2:12">
      <c r="B72" s="1">
        <v>2004</v>
      </c>
      <c r="C72" s="300">
        <f t="shared" ref="C72:L72" si="17">C28-$B28</f>
        <v>-15.632183908045988</v>
      </c>
      <c r="D72" s="300">
        <f t="shared" si="17"/>
        <v>-9.4252873563218458</v>
      </c>
      <c r="E72" s="300">
        <f t="shared" si="17"/>
        <v>-11.954022988505756</v>
      </c>
      <c r="F72" s="300">
        <f t="shared" si="17"/>
        <v>-12.8735632183908</v>
      </c>
      <c r="G72" s="300">
        <f t="shared" si="17"/>
        <v>-10.804597701149419</v>
      </c>
      <c r="H72" s="300">
        <f t="shared" si="17"/>
        <v>13.103448275862078</v>
      </c>
      <c r="I72" s="300">
        <f t="shared" si="17"/>
        <v>-5.9770114942528778</v>
      </c>
      <c r="J72" s="300">
        <f t="shared" si="17"/>
        <v>-8.5057471264367734</v>
      </c>
      <c r="K72" s="300">
        <f t="shared" si="17"/>
        <v>13.333333333333329</v>
      </c>
      <c r="L72" s="300">
        <f t="shared" si="17"/>
        <v>-1.8390804597701162</v>
      </c>
    </row>
    <row r="73" spans="2:12">
      <c r="B73" s="1">
        <v>2005</v>
      </c>
      <c r="C73" s="300">
        <f t="shared" ref="C73:L75" si="18">C29-$B29</f>
        <v>-16.17977528089888</v>
      </c>
      <c r="D73" s="300">
        <f t="shared" si="18"/>
        <v>-10.112359550561806</v>
      </c>
      <c r="E73" s="300">
        <f t="shared" si="18"/>
        <v>-12.13483146067415</v>
      </c>
      <c r="F73" s="300">
        <f t="shared" si="18"/>
        <v>-13.033707865168537</v>
      </c>
      <c r="G73" s="300">
        <f t="shared" si="18"/>
        <v>-13.033707865168537</v>
      </c>
      <c r="H73" s="300">
        <f t="shared" si="18"/>
        <v>12.584269662921344</v>
      </c>
      <c r="I73" s="300">
        <f t="shared" si="18"/>
        <v>-6.2921348314606718</v>
      </c>
      <c r="J73" s="300">
        <f t="shared" si="18"/>
        <v>-11.011235955056179</v>
      </c>
      <c r="K73" s="300">
        <f t="shared" si="18"/>
        <v>15.730337078651672</v>
      </c>
      <c r="L73" s="300">
        <f t="shared" si="18"/>
        <v>-1.1235955056179847</v>
      </c>
    </row>
    <row r="74" spans="2:12">
      <c r="B74" s="1">
        <v>2006</v>
      </c>
      <c r="C74" s="300">
        <f t="shared" si="18"/>
        <v>-12.775330396475766</v>
      </c>
      <c r="D74" s="300">
        <f t="shared" si="18"/>
        <v>-8.3700440528634346</v>
      </c>
      <c r="E74" s="300">
        <f t="shared" si="18"/>
        <v>-11.674008810572687</v>
      </c>
      <c r="F74" s="300">
        <f t="shared" si="18"/>
        <v>-15.418502202643168</v>
      </c>
      <c r="G74" s="300">
        <f t="shared" si="18"/>
        <v>-13.436123348017631</v>
      </c>
      <c r="H74" s="300">
        <f t="shared" si="18"/>
        <v>11.674008810572673</v>
      </c>
      <c r="I74" s="300">
        <f t="shared" si="18"/>
        <v>-8.5903083700440561</v>
      </c>
      <c r="J74" s="300">
        <f t="shared" si="18"/>
        <v>-7.7092511013215841</v>
      </c>
      <c r="K74" s="300">
        <f t="shared" si="18"/>
        <v>20.925110132158579</v>
      </c>
      <c r="L74" s="300">
        <f t="shared" si="18"/>
        <v>-1.1013215859030794</v>
      </c>
    </row>
    <row r="75" spans="2:12">
      <c r="C75" s="300">
        <f t="shared" si="18"/>
        <v>-10.920770877944335</v>
      </c>
      <c r="D75" s="300">
        <f t="shared" si="18"/>
        <v>-7.4946466809421821</v>
      </c>
      <c r="E75" s="300">
        <f t="shared" si="18"/>
        <v>-12.84796573875802</v>
      </c>
      <c r="F75" s="300">
        <f t="shared" si="18"/>
        <v>-12.419700214132774</v>
      </c>
      <c r="G75" s="300">
        <f t="shared" si="18"/>
        <v>-14.34689507494646</v>
      </c>
      <c r="H75" s="300">
        <f t="shared" si="18"/>
        <v>11.349036402569595</v>
      </c>
      <c r="I75" s="300">
        <f t="shared" si="18"/>
        <v>-5.5674518201284826</v>
      </c>
      <c r="J75" s="300">
        <f t="shared" si="18"/>
        <v>-5.7815845824411127</v>
      </c>
      <c r="K75" s="300">
        <f t="shared" si="18"/>
        <v>20.342612419700217</v>
      </c>
      <c r="L75" s="300">
        <f t="shared" si="18"/>
        <v>0.64239828693790457</v>
      </c>
    </row>
    <row r="76" spans="2:12">
      <c r="B76" s="1" t="s">
        <v>280</v>
      </c>
    </row>
    <row r="77" spans="2:12">
      <c r="B77" s="1">
        <v>1981</v>
      </c>
      <c r="C77" s="300">
        <f>C49^2</f>
        <v>31.140385841836689</v>
      </c>
      <c r="D77" s="300">
        <f t="shared" ref="D77:L77" si="19">D49^2</f>
        <v>385.84183673469374</v>
      </c>
      <c r="E77" s="300">
        <f t="shared" si="19"/>
        <v>217.03603316326542</v>
      </c>
      <c r="F77" s="300">
        <f t="shared" si="19"/>
        <v>265.51538584183686</v>
      </c>
      <c r="G77" s="300">
        <f t="shared" si="19"/>
        <v>68.209901147959144</v>
      </c>
      <c r="H77" s="300">
        <f t="shared" si="19"/>
        <v>61.03515625</v>
      </c>
      <c r="I77" s="300">
        <f t="shared" si="19"/>
        <v>124.56154336734707</v>
      </c>
      <c r="J77" s="300">
        <f t="shared" si="19"/>
        <v>57.597257653061135</v>
      </c>
      <c r="K77" s="300">
        <f t="shared" si="19"/>
        <v>110.0625797193875</v>
      </c>
      <c r="L77" s="300">
        <f t="shared" si="19"/>
        <v>44.842155612245058</v>
      </c>
    </row>
    <row r="78" spans="2:12">
      <c r="B78" s="1">
        <v>1982</v>
      </c>
      <c r="C78" s="300">
        <f t="shared" ref="C78:L93" si="20">C50^2</f>
        <v>47.781859882350474</v>
      </c>
      <c r="D78" s="300">
        <f t="shared" si="20"/>
        <v>260.14568158168561</v>
      </c>
      <c r="E78" s="300">
        <f t="shared" si="20"/>
        <v>197.55144513580663</v>
      </c>
      <c r="F78" s="300">
        <f t="shared" si="20"/>
        <v>238.32529890207908</v>
      </c>
      <c r="G78" s="300">
        <f t="shared" si="20"/>
        <v>44.649493512285176</v>
      </c>
      <c r="H78" s="300">
        <f t="shared" si="20"/>
        <v>30.580390324704275</v>
      </c>
      <c r="I78" s="300">
        <f t="shared" si="20"/>
        <v>68.805878230584497</v>
      </c>
      <c r="J78" s="300">
        <f t="shared" si="20"/>
        <v>38.703306504703782</v>
      </c>
      <c r="K78" s="300">
        <f t="shared" si="20"/>
        <v>178.5979740491411</v>
      </c>
      <c r="L78" s="300">
        <f t="shared" si="20"/>
        <v>19.165834908365042</v>
      </c>
    </row>
    <row r="79" spans="2:12">
      <c r="B79" s="1">
        <v>1983</v>
      </c>
      <c r="C79" s="300">
        <f t="shared" si="20"/>
        <v>206.03923902841041</v>
      </c>
      <c r="D79" s="300">
        <f t="shared" si="20"/>
        <v>154.75836175911721</v>
      </c>
      <c r="E79" s="300">
        <f t="shared" si="20"/>
        <v>234.42686751676956</v>
      </c>
      <c r="F79" s="300">
        <f t="shared" si="20"/>
        <v>357.19191410453044</v>
      </c>
      <c r="G79" s="300">
        <f t="shared" si="20"/>
        <v>25.239806780980295</v>
      </c>
      <c r="H79" s="300">
        <f t="shared" si="20"/>
        <v>27.700831024930679</v>
      </c>
      <c r="I79" s="300">
        <f t="shared" si="20"/>
        <v>8.2415695611364814</v>
      </c>
      <c r="J79" s="300">
        <f t="shared" si="20"/>
        <v>70.11057439161209</v>
      </c>
      <c r="K79" s="300">
        <f t="shared" si="20"/>
        <v>82.644628099173346</v>
      </c>
      <c r="L79" s="300">
        <f t="shared" si="20"/>
        <v>8.2415695611363997</v>
      </c>
    </row>
    <row r="80" spans="2:12">
      <c r="B80" s="1">
        <v>1984</v>
      </c>
      <c r="C80" s="300">
        <f t="shared" si="20"/>
        <v>162.96966953372538</v>
      </c>
      <c r="D80" s="300">
        <f t="shared" si="20"/>
        <v>188.00753371449008</v>
      </c>
      <c r="E80" s="300">
        <f t="shared" si="20"/>
        <v>108.19934163830344</v>
      </c>
      <c r="F80" s="300">
        <f t="shared" si="20"/>
        <v>123.45679012345686</v>
      </c>
      <c r="G80" s="300">
        <f t="shared" si="20"/>
        <v>40.742417383431345</v>
      </c>
      <c r="H80" s="300">
        <f t="shared" si="20"/>
        <v>60.862129671545738</v>
      </c>
      <c r="I80" s="300">
        <f t="shared" si="20"/>
        <v>18.107741059302821</v>
      </c>
      <c r="J80" s="300">
        <f t="shared" si="20"/>
        <v>72.430964237211526</v>
      </c>
      <c r="K80" s="300">
        <f t="shared" si="20"/>
        <v>14.307350960436917</v>
      </c>
      <c r="L80" s="300">
        <f t="shared" si="20"/>
        <v>9.445087157475923</v>
      </c>
    </row>
    <row r="81" spans="2:12">
      <c r="B81" s="1">
        <v>1985</v>
      </c>
      <c r="C81" s="300">
        <f t="shared" si="20"/>
        <v>193.62985048059807</v>
      </c>
      <c r="D81" s="300">
        <f t="shared" si="20"/>
        <v>200.24919900320384</v>
      </c>
      <c r="E81" s="300">
        <f t="shared" si="20"/>
        <v>128.15948736205044</v>
      </c>
      <c r="F81" s="300">
        <f t="shared" si="20"/>
        <v>122.87513349946602</v>
      </c>
      <c r="G81" s="300">
        <f t="shared" si="20"/>
        <v>37.602349590601669</v>
      </c>
      <c r="H81" s="300">
        <f t="shared" si="20"/>
        <v>98.12210751156988</v>
      </c>
      <c r="I81" s="300">
        <f t="shared" si="20"/>
        <v>34.765485938056337</v>
      </c>
      <c r="J81" s="300">
        <f t="shared" si="20"/>
        <v>53.455411178355178</v>
      </c>
      <c r="K81" s="300">
        <f t="shared" si="20"/>
        <v>32.03987184051261</v>
      </c>
      <c r="L81" s="300">
        <f t="shared" si="20"/>
        <v>22.249911000356025</v>
      </c>
    </row>
    <row r="82" spans="2:12">
      <c r="B82" s="1">
        <v>1986</v>
      </c>
      <c r="C82" s="300">
        <f t="shared" si="20"/>
        <v>267.3457469508769</v>
      </c>
      <c r="D82" s="300">
        <f t="shared" si="20"/>
        <v>169.86365984591512</v>
      </c>
      <c r="E82" s="300">
        <f t="shared" si="20"/>
        <v>146.05467082949619</v>
      </c>
      <c r="F82" s="300">
        <f t="shared" si="20"/>
        <v>64.913187035331788</v>
      </c>
      <c r="G82" s="300">
        <f t="shared" si="20"/>
        <v>68.787763078097967</v>
      </c>
      <c r="H82" s="300">
        <f t="shared" si="20"/>
        <v>124.04258664450475</v>
      </c>
      <c r="I82" s="300">
        <f t="shared" si="20"/>
        <v>22.461310392848354</v>
      </c>
      <c r="J82" s="300">
        <f t="shared" si="20"/>
        <v>169.86365984591512</v>
      </c>
      <c r="K82" s="300">
        <f t="shared" si="20"/>
        <v>22.461310392848354</v>
      </c>
      <c r="L82" s="300">
        <f t="shared" si="20"/>
        <v>0.50537948383908593</v>
      </c>
    </row>
    <row r="83" spans="2:12">
      <c r="B83" s="1">
        <v>1987</v>
      </c>
      <c r="C83" s="300">
        <f t="shared" si="20"/>
        <v>90.702947845804886</v>
      </c>
      <c r="D83" s="300">
        <f t="shared" si="20"/>
        <v>100</v>
      </c>
      <c r="E83" s="300">
        <f t="shared" si="20"/>
        <v>41.326530612244923</v>
      </c>
      <c r="F83" s="300">
        <f t="shared" si="20"/>
        <v>184.18367346938771</v>
      </c>
      <c r="G83" s="300">
        <f t="shared" si="20"/>
        <v>77.607709750566912</v>
      </c>
      <c r="H83" s="300">
        <f t="shared" si="20"/>
        <v>190.702947845805</v>
      </c>
      <c r="I83" s="300">
        <f t="shared" si="20"/>
        <v>77.607709750566912</v>
      </c>
      <c r="J83" s="300">
        <f t="shared" si="20"/>
        <v>109.75056689342385</v>
      </c>
      <c r="K83" s="300">
        <f t="shared" si="20"/>
        <v>0.90702947845804349</v>
      </c>
      <c r="L83" s="300">
        <f t="shared" si="20"/>
        <v>29.988662131519334</v>
      </c>
    </row>
    <row r="84" spans="2:12">
      <c r="B84" s="1">
        <v>1988</v>
      </c>
      <c r="C84" s="300">
        <f t="shared" si="20"/>
        <v>69.767066284096273</v>
      </c>
      <c r="D84" s="300">
        <f t="shared" si="20"/>
        <v>234.49486167710143</v>
      </c>
      <c r="E84" s="300">
        <f t="shared" si="20"/>
        <v>77.734292989378687</v>
      </c>
      <c r="F84" s="300">
        <f t="shared" si="20"/>
        <v>145.56338521002812</v>
      </c>
      <c r="G84" s="300">
        <f t="shared" si="20"/>
        <v>109.0110410689005</v>
      </c>
      <c r="H84" s="300">
        <f t="shared" si="20"/>
        <v>168.81907397139375</v>
      </c>
      <c r="I84" s="300">
        <f t="shared" si="20"/>
        <v>81.879404180640876</v>
      </c>
      <c r="J84" s="300">
        <f t="shared" si="20"/>
        <v>227.44278939066837</v>
      </c>
      <c r="K84" s="300">
        <f t="shared" si="20"/>
        <v>10.551192123212179</v>
      </c>
      <c r="L84" s="300">
        <f t="shared" si="20"/>
        <v>0.21533045149412797</v>
      </c>
    </row>
    <row r="85" spans="2:12">
      <c r="B85" s="1">
        <v>1989</v>
      </c>
      <c r="C85" s="300">
        <f t="shared" si="20"/>
        <v>44.038561232451414</v>
      </c>
      <c r="D85" s="300">
        <f t="shared" si="20"/>
        <v>302.45746691871477</v>
      </c>
      <c r="E85" s="300">
        <f t="shared" si="20"/>
        <v>115.67322445004164</v>
      </c>
      <c r="F85" s="300">
        <f t="shared" si="20"/>
        <v>136.20011624923416</v>
      </c>
      <c r="G85" s="300">
        <f t="shared" si="20"/>
        <v>71.687027737486005</v>
      </c>
      <c r="H85" s="300">
        <f t="shared" si="20"/>
        <v>158.40267268509544</v>
      </c>
      <c r="I85" s="300">
        <f t="shared" si="20"/>
        <v>83.783231833438975</v>
      </c>
      <c r="J85" s="300">
        <f t="shared" si="20"/>
        <v>176.15424492980529</v>
      </c>
      <c r="K85" s="300">
        <f t="shared" si="20"/>
        <v>2.5658614748991062</v>
      </c>
      <c r="L85" s="300">
        <f t="shared" si="20"/>
        <v>5.23645198958992E-2</v>
      </c>
    </row>
    <row r="86" spans="2:12">
      <c r="B86" s="1">
        <v>1990</v>
      </c>
      <c r="C86" s="300">
        <f t="shared" si="20"/>
        <v>77.978594334732591</v>
      </c>
      <c r="D86" s="300">
        <f t="shared" si="20"/>
        <v>136.76158144462593</v>
      </c>
      <c r="E86" s="300">
        <f t="shared" si="20"/>
        <v>82.250613746788886</v>
      </c>
      <c r="F86" s="300">
        <f t="shared" si="20"/>
        <v>110.27506108987758</v>
      </c>
      <c r="G86" s="300">
        <f t="shared" si="20"/>
        <v>120.52790767881237</v>
      </c>
      <c r="H86" s="300">
        <f t="shared" si="20"/>
        <v>154.02053986933299</v>
      </c>
      <c r="I86" s="300">
        <f t="shared" si="20"/>
        <v>35.600161767135056</v>
      </c>
      <c r="J86" s="300">
        <f t="shared" si="20"/>
        <v>178.62737168277684</v>
      </c>
      <c r="K86" s="300">
        <f t="shared" si="20"/>
        <v>8.2022772711479046</v>
      </c>
      <c r="L86" s="300">
        <f t="shared" si="20"/>
        <v>0.22784103530965949</v>
      </c>
    </row>
    <row r="87" spans="2:12">
      <c r="B87" s="1">
        <v>1991</v>
      </c>
      <c r="C87" s="300">
        <f t="shared" si="20"/>
        <v>46.253703785951274</v>
      </c>
      <c r="D87" s="300">
        <f t="shared" si="20"/>
        <v>91.619133425121589</v>
      </c>
      <c r="E87" s="300">
        <f t="shared" si="20"/>
        <v>49.743352219733602</v>
      </c>
      <c r="F87" s="300">
        <f t="shared" si="20"/>
        <v>106.65634576705637</v>
      </c>
      <c r="G87" s="300">
        <f t="shared" si="20"/>
        <v>82.228806730580033</v>
      </c>
      <c r="H87" s="300">
        <f t="shared" si="20"/>
        <v>122.83562486913807</v>
      </c>
      <c r="I87" s="300">
        <f t="shared" si="20"/>
        <v>69.095038988890408</v>
      </c>
      <c r="J87" s="300">
        <f t="shared" si="20"/>
        <v>128.48251051653131</v>
      </c>
      <c r="K87" s="300">
        <f t="shared" si="20"/>
        <v>16.242727255423215</v>
      </c>
      <c r="L87" s="300">
        <f t="shared" si="20"/>
        <v>1.0151704534639796</v>
      </c>
    </row>
    <row r="88" spans="2:12">
      <c r="B88" s="1">
        <v>1992</v>
      </c>
      <c r="C88" s="300">
        <f t="shared" si="20"/>
        <v>67.723459431222381</v>
      </c>
      <c r="D88" s="300">
        <f t="shared" si="20"/>
        <v>52.300669771954148</v>
      </c>
      <c r="E88" s="300">
        <f t="shared" si="20"/>
        <v>67.723459431222381</v>
      </c>
      <c r="F88" s="300">
        <f t="shared" si="20"/>
        <v>99.501868769472694</v>
      </c>
      <c r="G88" s="300">
        <f t="shared" si="20"/>
        <v>94.588963998980333</v>
      </c>
      <c r="H88" s="300">
        <f t="shared" si="20"/>
        <v>137.37476756985319</v>
      </c>
      <c r="I88" s="300">
        <f t="shared" si="20"/>
        <v>89.800436564449271</v>
      </c>
      <c r="J88" s="300">
        <f t="shared" si="20"/>
        <v>104.53915087592745</v>
      </c>
      <c r="K88" s="300">
        <f t="shared" si="20"/>
        <v>3.0472447310650961</v>
      </c>
      <c r="L88" s="300">
        <f t="shared" si="20"/>
        <v>0.99501868769474966</v>
      </c>
    </row>
    <row r="89" spans="2:12">
      <c r="B89" s="1">
        <v>1993</v>
      </c>
      <c r="C89" s="300">
        <f t="shared" si="20"/>
        <v>62.859348120433488</v>
      </c>
      <c r="D89" s="300">
        <f t="shared" si="20"/>
        <v>51.281715844349584</v>
      </c>
      <c r="E89" s="300">
        <f t="shared" si="20"/>
        <v>47.684146493024016</v>
      </c>
      <c r="F89" s="300">
        <f t="shared" si="20"/>
        <v>58.869316658054217</v>
      </c>
      <c r="G89" s="300">
        <f t="shared" si="20"/>
        <v>126.63444116665927</v>
      </c>
      <c r="H89" s="300">
        <f t="shared" si="20"/>
        <v>120.94374055638033</v>
      </c>
      <c r="I89" s="300">
        <f t="shared" si="20"/>
        <v>44.217397845383012</v>
      </c>
      <c r="J89" s="300">
        <f t="shared" si="20"/>
        <v>150.70545064461913</v>
      </c>
      <c r="K89" s="300">
        <f t="shared" si="20"/>
        <v>37.676362661154698</v>
      </c>
      <c r="L89" s="300">
        <f t="shared" si="20"/>
        <v>9.4190906652887616</v>
      </c>
    </row>
    <row r="90" spans="2:12">
      <c r="B90" s="1">
        <v>1994</v>
      </c>
      <c r="C90" s="300">
        <f t="shared" si="20"/>
        <v>74.846713154504172</v>
      </c>
      <c r="D90" s="300">
        <f t="shared" si="20"/>
        <v>62.221186281555774</v>
      </c>
      <c r="E90" s="300">
        <f t="shared" si="20"/>
        <v>93.493645151473942</v>
      </c>
      <c r="F90" s="300">
        <f t="shared" si="20"/>
        <v>58.271662490530815</v>
      </c>
      <c r="G90" s="300">
        <f t="shared" si="20"/>
        <v>98.479109608997248</v>
      </c>
      <c r="H90" s="300">
        <f t="shared" si="20"/>
        <v>108.83851627398046</v>
      </c>
      <c r="I90" s="300">
        <f t="shared" si="20"/>
        <v>31.337205161574321</v>
      </c>
      <c r="J90" s="300">
        <f t="shared" si="20"/>
        <v>108.83851627398046</v>
      </c>
      <c r="K90" s="300">
        <f t="shared" si="20"/>
        <v>43.768493159554332</v>
      </c>
      <c r="L90" s="300">
        <f t="shared" si="20"/>
        <v>3.1725682911511122</v>
      </c>
    </row>
    <row r="91" spans="2:12">
      <c r="B91" s="1">
        <v>1995</v>
      </c>
      <c r="C91" s="300">
        <f t="shared" si="20"/>
        <v>88.637673277262934</v>
      </c>
      <c r="D91" s="300">
        <f t="shared" si="20"/>
        <v>23.373411287868556</v>
      </c>
      <c r="E91" s="300">
        <f t="shared" si="20"/>
        <v>119.71589327221282</v>
      </c>
      <c r="F91" s="300">
        <f t="shared" si="20"/>
        <v>93.493645151473942</v>
      </c>
      <c r="G91" s="300">
        <f t="shared" si="20"/>
        <v>114.21245848144034</v>
      </c>
      <c r="H91" s="300">
        <f t="shared" si="20"/>
        <v>114.21245848144034</v>
      </c>
      <c r="I91" s="300">
        <f t="shared" si="20"/>
        <v>31.337205161574321</v>
      </c>
      <c r="J91" s="300">
        <f t="shared" si="20"/>
        <v>114.21245848144034</v>
      </c>
      <c r="K91" s="300">
        <f t="shared" si="20"/>
        <v>18.711678288626107</v>
      </c>
      <c r="L91" s="300">
        <f t="shared" si="20"/>
        <v>1.6186572914036339</v>
      </c>
    </row>
    <row r="92" spans="2:12">
      <c r="B92" s="1">
        <v>1996</v>
      </c>
      <c r="C92" s="300">
        <f t="shared" si="20"/>
        <v>117.78138333032851</v>
      </c>
      <c r="D92" s="300">
        <f t="shared" si="20"/>
        <v>32.316433974988158</v>
      </c>
      <c r="E92" s="300">
        <f t="shared" si="20"/>
        <v>123.45679012345686</v>
      </c>
      <c r="F92" s="300">
        <f t="shared" si="20"/>
        <v>101.55639685115071</v>
      </c>
      <c r="G92" s="300">
        <f t="shared" si="20"/>
        <v>129.26573589995263</v>
      </c>
      <c r="H92" s="300">
        <f t="shared" si="20"/>
        <v>117.78138333032851</v>
      </c>
      <c r="I92" s="300">
        <f t="shared" si="20"/>
        <v>19.296383096635449</v>
      </c>
      <c r="J92" s="300">
        <f t="shared" si="20"/>
        <v>86.533261222282363</v>
      </c>
      <c r="K92" s="300">
        <f t="shared" si="20"/>
        <v>21.633315305570655</v>
      </c>
      <c r="L92" s="300">
        <f t="shared" si="20"/>
        <v>0.26707796673543527</v>
      </c>
    </row>
    <row r="93" spans="2:12">
      <c r="B93" s="1">
        <v>1997</v>
      </c>
      <c r="C93" s="300">
        <f t="shared" si="20"/>
        <v>161.98347107438033</v>
      </c>
      <c r="D93" s="300">
        <f t="shared" si="20"/>
        <v>69.084162590656149</v>
      </c>
      <c r="E93" s="300">
        <f t="shared" si="20"/>
        <v>119.00826446280986</v>
      </c>
      <c r="F93" s="300">
        <f t="shared" si="20"/>
        <v>92.359588463484712</v>
      </c>
      <c r="G93" s="300">
        <f t="shared" si="20"/>
        <v>155.43936582897615</v>
      </c>
      <c r="H93" s="300">
        <f t="shared" si="20"/>
        <v>155.43936582897615</v>
      </c>
      <c r="I93" s="300">
        <f t="shared" si="20"/>
        <v>19.497385731151997</v>
      </c>
      <c r="J93" s="300">
        <f t="shared" si="20"/>
        <v>69.084162590656149</v>
      </c>
      <c r="K93" s="300">
        <f t="shared" si="20"/>
        <v>113.40866925282484</v>
      </c>
      <c r="L93" s="300">
        <f t="shared" si="20"/>
        <v>0.26986001011975519</v>
      </c>
    </row>
    <row r="94" spans="2:12">
      <c r="B94" s="1">
        <v>1998</v>
      </c>
      <c r="C94" s="300">
        <f t="shared" ref="C94:L103" si="21">C66^2</f>
        <v>200.99343053997771</v>
      </c>
      <c r="D94" s="300">
        <f t="shared" si="21"/>
        <v>141.57987502002882</v>
      </c>
      <c r="E94" s="300">
        <f t="shared" si="21"/>
        <v>135.61929178016322</v>
      </c>
      <c r="F94" s="300">
        <f t="shared" si="21"/>
        <v>107.73914436788988</v>
      </c>
      <c r="G94" s="300">
        <f t="shared" si="21"/>
        <v>173.30556000640919</v>
      </c>
      <c r="H94" s="300">
        <f t="shared" si="21"/>
        <v>193.87918602788042</v>
      </c>
      <c r="I94" s="300">
        <f t="shared" si="21"/>
        <v>16.407626982855255</v>
      </c>
      <c r="J94" s="300">
        <f t="shared" si="21"/>
        <v>113.05880467873737</v>
      </c>
      <c r="K94" s="300">
        <f t="shared" si="21"/>
        <v>65.630507931421249</v>
      </c>
      <c r="L94" s="300">
        <f t="shared" si="21"/>
        <v>0.25636917160711697</v>
      </c>
    </row>
    <row r="95" spans="2:12">
      <c r="B95" s="1">
        <v>1999</v>
      </c>
      <c r="C95" s="300">
        <f t="shared" si="21"/>
        <v>204.0816326530614</v>
      </c>
      <c r="D95" s="300">
        <f t="shared" si="21"/>
        <v>279.12457715059566</v>
      </c>
      <c r="E95" s="300">
        <f t="shared" si="21"/>
        <v>108.40187841870433</v>
      </c>
      <c r="F95" s="300">
        <f t="shared" si="21"/>
        <v>113.50245355252113</v>
      </c>
      <c r="G95" s="300">
        <f t="shared" si="21"/>
        <v>140.76414823326647</v>
      </c>
      <c r="H95" s="300">
        <f t="shared" si="21"/>
        <v>211.05828139931617</v>
      </c>
      <c r="I95" s="300">
        <f t="shared" si="21"/>
        <v>31.013841905621735</v>
      </c>
      <c r="J95" s="300">
        <f t="shared" si="21"/>
        <v>113.50245355252113</v>
      </c>
      <c r="K95" s="300">
        <f t="shared" si="21"/>
        <v>49.305559626896006</v>
      </c>
      <c r="L95" s="300">
        <f t="shared" si="21"/>
        <v>4.7488113314846139</v>
      </c>
    </row>
    <row r="96" spans="2:12">
      <c r="B96" s="1">
        <v>2000</v>
      </c>
      <c r="C96" s="300">
        <f t="shared" si="21"/>
        <v>215.01710428994107</v>
      </c>
      <c r="D96" s="300">
        <f t="shared" si="21"/>
        <v>208.02514792899439</v>
      </c>
      <c r="E96" s="300">
        <f t="shared" si="21"/>
        <v>133.1360946745564</v>
      </c>
      <c r="F96" s="300">
        <f t="shared" si="21"/>
        <v>97.136187130177433</v>
      </c>
      <c r="G96" s="300">
        <f t="shared" si="21"/>
        <v>156.25</v>
      </c>
      <c r="H96" s="300">
        <f t="shared" si="21"/>
        <v>222.12463017751458</v>
      </c>
      <c r="I96" s="300">
        <f t="shared" si="21"/>
        <v>48.59698594674547</v>
      </c>
      <c r="J96" s="300">
        <f t="shared" si="21"/>
        <v>117.0141457100592</v>
      </c>
      <c r="K96" s="300">
        <f t="shared" si="21"/>
        <v>83.441198224851846</v>
      </c>
      <c r="L96" s="300">
        <f t="shared" si="21"/>
        <v>23.113905325443778</v>
      </c>
    </row>
    <row r="97" spans="2:12">
      <c r="B97" s="1">
        <v>2001</v>
      </c>
      <c r="C97" s="300">
        <f t="shared" si="21"/>
        <v>284.23000816047863</v>
      </c>
      <c r="D97" s="300">
        <f t="shared" si="21"/>
        <v>341.3533593970842</v>
      </c>
      <c r="E97" s="300">
        <f t="shared" si="21"/>
        <v>155.52912437529685</v>
      </c>
      <c r="F97" s="300">
        <f t="shared" si="21"/>
        <v>128.06084623631253</v>
      </c>
      <c r="G97" s="300">
        <f t="shared" si="21"/>
        <v>161.34279877752826</v>
      </c>
      <c r="H97" s="300">
        <f t="shared" si="21"/>
        <v>161.34279877752863</v>
      </c>
      <c r="I97" s="300">
        <f t="shared" si="21"/>
        <v>65.337166447098255</v>
      </c>
      <c r="J97" s="300">
        <f t="shared" si="21"/>
        <v>81.124759319213425</v>
      </c>
      <c r="K97" s="300">
        <f t="shared" si="21"/>
        <v>179.42385953309275</v>
      </c>
      <c r="L97" s="300">
        <f t="shared" si="21"/>
        <v>17.281013819477387</v>
      </c>
    </row>
    <row r="98" spans="2:12">
      <c r="B98" s="1">
        <v>2002</v>
      </c>
      <c r="C98" s="300">
        <f t="shared" si="21"/>
        <v>255.11188271604914</v>
      </c>
      <c r="D98" s="300">
        <f t="shared" si="21"/>
        <v>240.53712277091884</v>
      </c>
      <c r="E98" s="300">
        <f t="shared" si="21"/>
        <v>192.90123456790116</v>
      </c>
      <c r="F98" s="300">
        <f t="shared" si="21"/>
        <v>180.25548696844987</v>
      </c>
      <c r="G98" s="300">
        <f t="shared" si="21"/>
        <v>144.89026063100141</v>
      </c>
      <c r="H98" s="300">
        <f t="shared" si="21"/>
        <v>162.09062071330624</v>
      </c>
      <c r="I98" s="300">
        <f t="shared" si="21"/>
        <v>69.444444444444599</v>
      </c>
      <c r="J98" s="300">
        <f t="shared" si="21"/>
        <v>108.50694444444424</v>
      </c>
      <c r="K98" s="300">
        <f t="shared" si="21"/>
        <v>139.37114197530869</v>
      </c>
      <c r="L98" s="300">
        <f t="shared" si="21"/>
        <v>17.361111111111033</v>
      </c>
    </row>
    <row r="99" spans="2:12">
      <c r="B99" s="1">
        <v>2003</v>
      </c>
      <c r="C99" s="300">
        <f t="shared" si="21"/>
        <v>212.6736111111114</v>
      </c>
      <c r="D99" s="300">
        <f t="shared" si="21"/>
        <v>139.37114197530869</v>
      </c>
      <c r="E99" s="300">
        <f t="shared" si="21"/>
        <v>233.41049382716074</v>
      </c>
      <c r="F99" s="300">
        <f t="shared" si="21"/>
        <v>156.25</v>
      </c>
      <c r="G99" s="300">
        <f t="shared" si="21"/>
        <v>128.65440672153642</v>
      </c>
      <c r="H99" s="300">
        <f t="shared" si="21"/>
        <v>186.52477709190703</v>
      </c>
      <c r="I99" s="300">
        <f t="shared" si="21"/>
        <v>58.352623456790077</v>
      </c>
      <c r="J99" s="300">
        <f t="shared" si="21"/>
        <v>103.73799725651588</v>
      </c>
      <c r="K99" s="300">
        <f t="shared" si="21"/>
        <v>94.521604938271722</v>
      </c>
      <c r="L99" s="300">
        <f t="shared" si="21"/>
        <v>30.864197530864214</v>
      </c>
    </row>
    <row r="100" spans="2:12">
      <c r="B100" s="1">
        <v>2004</v>
      </c>
      <c r="C100" s="300">
        <f t="shared" si="21"/>
        <v>244.36517373497193</v>
      </c>
      <c r="D100" s="300">
        <f t="shared" si="21"/>
        <v>88.836041749240451</v>
      </c>
      <c r="E100" s="300">
        <f t="shared" si="21"/>
        <v>142.89866560972408</v>
      </c>
      <c r="F100" s="300">
        <f t="shared" si="21"/>
        <v>165.72862993790449</v>
      </c>
      <c r="G100" s="300">
        <f t="shared" si="21"/>
        <v>116.7393314836833</v>
      </c>
      <c r="H100" s="300">
        <f t="shared" si="21"/>
        <v>171.70035671819286</v>
      </c>
      <c r="I100" s="300">
        <f t="shared" si="21"/>
        <v>35.724666402431019</v>
      </c>
      <c r="J100" s="300">
        <f t="shared" si="21"/>
        <v>72.347734178887436</v>
      </c>
      <c r="K100" s="300">
        <f t="shared" si="21"/>
        <v>177.77777777777766</v>
      </c>
      <c r="L100" s="300">
        <f t="shared" si="21"/>
        <v>3.3822169375082622</v>
      </c>
    </row>
    <row r="101" spans="2:12">
      <c r="B101" s="1">
        <v>2005</v>
      </c>
      <c r="C101" s="300">
        <f t="shared" si="21"/>
        <v>261.78512814038646</v>
      </c>
      <c r="D101" s="300">
        <f t="shared" si="21"/>
        <v>102.25981567983857</v>
      </c>
      <c r="E101" s="300">
        <f t="shared" si="21"/>
        <v>147.25413457896713</v>
      </c>
      <c r="F101" s="300">
        <f t="shared" si="21"/>
        <v>169.8775407145562</v>
      </c>
      <c r="G101" s="300">
        <f t="shared" si="21"/>
        <v>169.8775407145562</v>
      </c>
      <c r="H101" s="300">
        <f t="shared" si="21"/>
        <v>158.36384294912247</v>
      </c>
      <c r="I101" s="300">
        <f t="shared" si="21"/>
        <v>39.590960737280618</v>
      </c>
      <c r="J101" s="300">
        <f t="shared" si="21"/>
        <v>121.24731725792196</v>
      </c>
      <c r="K101" s="300">
        <f t="shared" si="21"/>
        <v>247.44350460800362</v>
      </c>
      <c r="L101" s="300">
        <f t="shared" si="21"/>
        <v>1.2624668602449347</v>
      </c>
    </row>
    <row r="102" spans="2:12">
      <c r="B102" s="1">
        <v>2006</v>
      </c>
      <c r="C102" s="300">
        <f t="shared" si="21"/>
        <v>163.20906673911767</v>
      </c>
      <c r="D102" s="300">
        <f t="shared" si="21"/>
        <v>70.057637446874551</v>
      </c>
      <c r="E102" s="300">
        <f t="shared" si="21"/>
        <v>136.28248170932872</v>
      </c>
      <c r="F102" s="300">
        <f t="shared" si="21"/>
        <v>237.73021017291222</v>
      </c>
      <c r="G102" s="300">
        <f t="shared" si="21"/>
        <v>180.52941062314451</v>
      </c>
      <c r="H102" s="300">
        <f t="shared" si="21"/>
        <v>136.28248170932838</v>
      </c>
      <c r="I102" s="300">
        <f t="shared" si="21"/>
        <v>73.793397892448965</v>
      </c>
      <c r="J102" s="300">
        <f t="shared" si="21"/>
        <v>59.432552543228056</v>
      </c>
      <c r="K102" s="300">
        <f t="shared" si="21"/>
        <v>437.86023404296566</v>
      </c>
      <c r="L102" s="300">
        <f t="shared" si="21"/>
        <v>1.2129092355760738</v>
      </c>
    </row>
    <row r="103" spans="2:12">
      <c r="C103" s="300">
        <f t="shared" si="21"/>
        <v>119.26323656855709</v>
      </c>
      <c r="D103" s="300">
        <f t="shared" si="21"/>
        <v>56.16972887215767</v>
      </c>
      <c r="E103" s="300">
        <f t="shared" si="21"/>
        <v>165.07022362429993</v>
      </c>
      <c r="F103" s="300">
        <f t="shared" si="21"/>
        <v>154.24895340892968</v>
      </c>
      <c r="G103" s="300">
        <f t="shared" si="21"/>
        <v>205.83339829152297</v>
      </c>
      <c r="H103" s="300">
        <f t="shared" si="21"/>
        <v>128.80062726684983</v>
      </c>
      <c r="I103" s="300">
        <f t="shared" si="21"/>
        <v>30.996519769451954</v>
      </c>
      <c r="J103" s="300">
        <f t="shared" si="21"/>
        <v>33.426720283920773</v>
      </c>
      <c r="K103" s="300">
        <f t="shared" si="21"/>
        <v>413.82188005814152</v>
      </c>
      <c r="L103" s="300">
        <f t="shared" si="21"/>
        <v>0.41267555906075437</v>
      </c>
    </row>
  </sheetData>
  <mergeCells count="13">
    <mergeCell ref="A42:L42"/>
    <mergeCell ref="A41:L41"/>
    <mergeCell ref="B3:B4"/>
    <mergeCell ref="C3:C4"/>
    <mergeCell ref="D3:D4"/>
    <mergeCell ref="E3:E4"/>
    <mergeCell ref="J3:J4"/>
    <mergeCell ref="K3:K4"/>
    <mergeCell ref="L3:L4"/>
    <mergeCell ref="F3:F4"/>
    <mergeCell ref="G3:G4"/>
    <mergeCell ref="H3:H4"/>
    <mergeCell ref="I3:I4"/>
  </mergeCells>
  <phoneticPr fontId="35" type="noConversion"/>
  <pageMargins left="0.75" right="0.75" top="1" bottom="1" header="0.5" footer="0.5"/>
  <pageSetup scale="79"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sheetPr codeName="Sheet100"/>
  <dimension ref="A1:BG98"/>
  <sheetViews>
    <sheetView view="pageBreakPreview" zoomScale="55" zoomScaleNormal="118" zoomScaleSheetLayoutView="55"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42578125" style="1" customWidth="1"/>
    <col min="9" max="9" width="7.140625" style="652" customWidth="1"/>
    <col min="10" max="16" width="7.140625" style="960" hidden="1" customWidth="1"/>
    <col min="17" max="34" width="7.140625" style="652" customWidth="1"/>
    <col min="35" max="36" width="7.140625" style="960" customWidth="1"/>
    <col min="37" max="40" width="7.140625" style="1" customWidth="1"/>
    <col min="41" max="41" width="7.140625" style="4" customWidth="1"/>
    <col min="42" max="42" width="7.140625" style="1" customWidth="1"/>
    <col min="43" max="43" width="5.28515625" style="1" customWidth="1"/>
    <col min="44" max="16384" width="9.140625" style="1"/>
  </cols>
  <sheetData>
    <row r="1" spans="1:59" ht="15.75">
      <c r="A1" s="3" t="s">
        <v>2136</v>
      </c>
    </row>
    <row r="2" spans="1:59">
      <c r="A2" s="4"/>
      <c r="B2" s="4"/>
    </row>
    <row r="3" spans="1:59" s="9" customFormat="1">
      <c r="H3" s="235"/>
      <c r="I3" s="665"/>
      <c r="J3" s="962"/>
      <c r="K3" s="962"/>
      <c r="L3" s="962"/>
      <c r="M3" s="962"/>
      <c r="N3" s="962"/>
      <c r="O3" s="962"/>
      <c r="P3" s="962"/>
      <c r="Q3" s="238"/>
      <c r="R3" s="666"/>
      <c r="S3" s="666"/>
      <c r="T3" s="666"/>
      <c r="U3" s="666"/>
      <c r="V3" s="666"/>
      <c r="W3" s="666"/>
      <c r="X3" s="666"/>
      <c r="Y3" s="666"/>
      <c r="Z3" s="666"/>
      <c r="AA3" s="666"/>
      <c r="AB3" s="666"/>
      <c r="AC3" s="666"/>
      <c r="AD3" s="666"/>
      <c r="AE3" s="666"/>
      <c r="AF3" s="666"/>
      <c r="AG3" s="666"/>
      <c r="AH3" s="666"/>
      <c r="AI3" s="962"/>
      <c r="AJ3" s="962"/>
      <c r="AK3" s="1171" t="s">
        <v>802</v>
      </c>
      <c r="AL3" s="1171"/>
      <c r="AM3" s="1171"/>
      <c r="AN3" s="1171"/>
      <c r="AP3" s="644" t="s">
        <v>276</v>
      </c>
    </row>
    <row r="4" spans="1:59" s="235" customFormat="1">
      <c r="A4" s="973"/>
      <c r="B4" s="973"/>
      <c r="C4" s="973"/>
      <c r="D4" s="973"/>
      <c r="E4" s="973"/>
      <c r="F4" s="973"/>
      <c r="G4" s="973"/>
      <c r="H4" s="7"/>
      <c r="I4" s="237">
        <v>1981</v>
      </c>
      <c r="J4" s="132"/>
      <c r="K4" s="132"/>
      <c r="L4" s="132"/>
      <c r="M4" s="132"/>
      <c r="N4" s="132"/>
      <c r="O4" s="132"/>
      <c r="P4" s="132"/>
      <c r="Q4" s="239">
        <v>1989</v>
      </c>
      <c r="R4" s="132">
        <v>1990</v>
      </c>
      <c r="S4" s="132">
        <v>1991</v>
      </c>
      <c r="T4" s="132">
        <v>1992</v>
      </c>
      <c r="U4" s="132">
        <v>1993</v>
      </c>
      <c r="V4" s="132">
        <v>1994</v>
      </c>
      <c r="W4" s="132">
        <v>1995</v>
      </c>
      <c r="X4" s="132">
        <v>1996</v>
      </c>
      <c r="Y4" s="132">
        <v>1997</v>
      </c>
      <c r="Z4" s="132">
        <v>1998</v>
      </c>
      <c r="AA4" s="132">
        <v>1999</v>
      </c>
      <c r="AB4" s="132">
        <v>2000</v>
      </c>
      <c r="AC4" s="132">
        <v>2001</v>
      </c>
      <c r="AD4" s="132">
        <v>2002</v>
      </c>
      <c r="AE4" s="132">
        <v>2003</v>
      </c>
      <c r="AF4" s="132">
        <v>2004</v>
      </c>
      <c r="AG4" s="132">
        <v>2005</v>
      </c>
      <c r="AH4" s="132">
        <v>2006</v>
      </c>
      <c r="AI4" s="132">
        <v>2007</v>
      </c>
      <c r="AJ4" s="132"/>
      <c r="AK4" s="241" t="s">
        <v>603</v>
      </c>
      <c r="AL4" s="241" t="s">
        <v>604</v>
      </c>
      <c r="AM4" s="241" t="s">
        <v>447</v>
      </c>
      <c r="AN4" s="241" t="s">
        <v>449</v>
      </c>
      <c r="AO4" s="241"/>
      <c r="AP4" s="241" t="s">
        <v>447</v>
      </c>
      <c r="AQ4" s="9"/>
      <c r="AR4" s="9"/>
      <c r="AS4" s="9"/>
      <c r="AT4" s="9"/>
      <c r="AU4" s="9"/>
      <c r="AV4" s="9"/>
      <c r="AW4" s="9"/>
      <c r="AX4" s="9"/>
      <c r="AY4" s="9"/>
      <c r="AZ4" s="9"/>
      <c r="BA4" s="9"/>
      <c r="BB4" s="9"/>
      <c r="BC4" s="9"/>
      <c r="BD4" s="9"/>
      <c r="BE4" s="9"/>
      <c r="BF4" s="9"/>
      <c r="BG4" s="9"/>
    </row>
    <row r="5" spans="1:59" ht="15">
      <c r="A5" s="128" t="s">
        <v>964</v>
      </c>
      <c r="H5" s="2"/>
      <c r="I5" s="20">
        <v>47500</v>
      </c>
      <c r="J5" s="19">
        <v>44400</v>
      </c>
      <c r="K5" s="19">
        <v>42400</v>
      </c>
      <c r="L5" s="19">
        <v>42800</v>
      </c>
      <c r="M5" s="19">
        <v>43500</v>
      </c>
      <c r="N5" s="19">
        <v>44100</v>
      </c>
      <c r="O5" s="19">
        <v>44100</v>
      </c>
      <c r="P5" s="39">
        <v>45400</v>
      </c>
      <c r="Q5" s="240">
        <v>46300</v>
      </c>
      <c r="R5" s="19">
        <v>42700</v>
      </c>
      <c r="S5" s="19">
        <v>39700</v>
      </c>
      <c r="T5" s="19">
        <v>38600</v>
      </c>
      <c r="U5" s="19">
        <v>37500</v>
      </c>
      <c r="V5" s="19">
        <v>38100</v>
      </c>
      <c r="W5" s="19">
        <v>38200</v>
      </c>
      <c r="X5" s="19">
        <v>37500</v>
      </c>
      <c r="Y5" s="19">
        <v>37600</v>
      </c>
      <c r="Z5" s="19">
        <v>38500</v>
      </c>
      <c r="AA5" s="19">
        <v>40900</v>
      </c>
      <c r="AB5" s="19">
        <v>41800</v>
      </c>
      <c r="AC5" s="19">
        <v>42200</v>
      </c>
      <c r="AD5" s="19">
        <v>42200</v>
      </c>
      <c r="AE5" s="19">
        <v>42200</v>
      </c>
      <c r="AF5" s="19">
        <v>42400</v>
      </c>
      <c r="AG5" s="19">
        <v>42900</v>
      </c>
      <c r="AH5" s="19">
        <v>44100</v>
      </c>
      <c r="AI5" s="19">
        <v>45200</v>
      </c>
      <c r="AJ5" s="19"/>
      <c r="AK5" s="644">
        <f>((((Q5/I5))^(1/8))-1)*100</f>
        <v>-0.31933590915382837</v>
      </c>
      <c r="AL5" s="644">
        <f>((((AB5/Q5))^(1/11))-1)*100</f>
        <v>-0.92519910032512476</v>
      </c>
      <c r="AM5" s="644">
        <f>((((AI5/I5))^(1/26))-1)*100</f>
        <v>-0.19071262040611936</v>
      </c>
      <c r="AN5" s="644">
        <f>((((AI5/AB5))^(1/7))-1)*100</f>
        <v>1.1234169954791984</v>
      </c>
      <c r="AO5" s="23"/>
      <c r="AP5" s="644">
        <f>((AI5/I5)-1)*100</f>
        <v>-4.842105263157892</v>
      </c>
      <c r="AR5" s="804"/>
      <c r="AS5" s="804"/>
      <c r="AT5" s="804"/>
      <c r="AU5" s="804"/>
      <c r="AV5" s="804"/>
      <c r="AW5" s="804"/>
    </row>
    <row r="6" spans="1:59" ht="15">
      <c r="H6" s="2"/>
      <c r="I6" s="20"/>
      <c r="J6" s="39"/>
      <c r="K6" s="39"/>
      <c r="L6" s="39"/>
      <c r="M6" s="39"/>
      <c r="N6" s="39"/>
      <c r="O6" s="39"/>
      <c r="P6" s="39"/>
      <c r="Q6" s="240"/>
      <c r="R6" s="19"/>
      <c r="S6" s="19"/>
      <c r="T6" s="19"/>
      <c r="U6" s="19"/>
      <c r="V6" s="19"/>
      <c r="W6" s="19"/>
      <c r="X6" s="19"/>
      <c r="Y6" s="19"/>
      <c r="Z6" s="19"/>
      <c r="AA6" s="19"/>
      <c r="AB6" s="19"/>
      <c r="AC6" s="19"/>
      <c r="AD6" s="19"/>
      <c r="AE6" s="19"/>
      <c r="AF6" s="19"/>
      <c r="AG6" s="19"/>
      <c r="AH6" s="19"/>
      <c r="AI6" s="19"/>
      <c r="AJ6" s="19"/>
      <c r="AK6" s="652"/>
      <c r="AL6" s="652"/>
      <c r="AM6" s="652"/>
      <c r="AN6" s="652"/>
      <c r="AO6" s="666"/>
      <c r="AP6" s="652"/>
      <c r="AR6" s="804"/>
      <c r="AS6" s="804"/>
      <c r="AT6" s="804"/>
      <c r="AU6" s="804"/>
      <c r="AV6" s="804"/>
      <c r="AW6" s="804"/>
    </row>
    <row r="7" spans="1:59" ht="15">
      <c r="B7" s="128" t="s">
        <v>610</v>
      </c>
      <c r="H7" s="2"/>
      <c r="I7" s="20">
        <v>59300</v>
      </c>
      <c r="J7" s="19">
        <v>55500</v>
      </c>
      <c r="K7" s="19">
        <v>53900</v>
      </c>
      <c r="L7" s="19">
        <v>54600</v>
      </c>
      <c r="M7" s="19">
        <v>56000</v>
      </c>
      <c r="N7" s="19">
        <v>57100</v>
      </c>
      <c r="O7" s="19">
        <v>57500</v>
      </c>
      <c r="P7" s="39">
        <v>59500</v>
      </c>
      <c r="Q7" s="240">
        <v>60500</v>
      </c>
      <c r="R7" s="19">
        <v>57600</v>
      </c>
      <c r="S7" s="19">
        <v>53900</v>
      </c>
      <c r="T7" s="19">
        <v>53100</v>
      </c>
      <c r="U7" s="19">
        <v>51700</v>
      </c>
      <c r="V7" s="19">
        <v>52600</v>
      </c>
      <c r="W7" s="19">
        <v>52600</v>
      </c>
      <c r="X7" s="19">
        <v>52300</v>
      </c>
      <c r="Y7" s="19">
        <v>53000</v>
      </c>
      <c r="Z7" s="19">
        <v>54900</v>
      </c>
      <c r="AA7" s="19">
        <v>57300</v>
      </c>
      <c r="AB7" s="19">
        <v>58800</v>
      </c>
      <c r="AC7" s="19">
        <v>58700</v>
      </c>
      <c r="AD7" s="19">
        <v>58000</v>
      </c>
      <c r="AE7" s="19">
        <v>58000</v>
      </c>
      <c r="AF7" s="19">
        <v>59200</v>
      </c>
      <c r="AG7" s="19">
        <v>60100</v>
      </c>
      <c r="AH7" s="19">
        <v>60900</v>
      </c>
      <c r="AI7" s="19">
        <v>62700</v>
      </c>
      <c r="AJ7" s="19"/>
      <c r="AK7" s="644">
        <f>((((Q7/I7))^(1/8))-1)*100</f>
        <v>0.2507395650783284</v>
      </c>
      <c r="AL7" s="644">
        <f>((((AB7/Q7))^(1/11))-1)*100</f>
        <v>-0.25876925122926275</v>
      </c>
      <c r="AM7" s="959">
        <f>((((AI7/I7))^(1/26))-1)*100</f>
        <v>0.21466138234040866</v>
      </c>
      <c r="AN7" s="959">
        <f>((((AI7/AB7))^(1/7))-1)*100</f>
        <v>0.92164397482923377</v>
      </c>
      <c r="AO7" s="23"/>
      <c r="AP7" s="959">
        <f>((AI7/I7)-1)*100</f>
        <v>5.7335581787521184</v>
      </c>
      <c r="AR7" s="804"/>
      <c r="AS7" s="804"/>
      <c r="AT7" s="804"/>
      <c r="AU7" s="804"/>
      <c r="AV7" s="804"/>
      <c r="AW7" s="804"/>
    </row>
    <row r="8" spans="1:59" ht="15">
      <c r="B8" s="128"/>
      <c r="H8" s="2"/>
      <c r="I8" s="20"/>
      <c r="J8" s="39"/>
      <c r="K8" s="39"/>
      <c r="L8" s="39"/>
      <c r="M8" s="39"/>
      <c r="N8" s="39"/>
      <c r="O8" s="39"/>
      <c r="P8" s="39"/>
      <c r="Q8" s="240"/>
      <c r="R8" s="19"/>
      <c r="S8" s="19"/>
      <c r="T8" s="19"/>
      <c r="U8" s="19"/>
      <c r="V8" s="19"/>
      <c r="W8" s="19"/>
      <c r="X8" s="19"/>
      <c r="Y8" s="19"/>
      <c r="Z8" s="19"/>
      <c r="AA8" s="19"/>
      <c r="AB8" s="19"/>
      <c r="AC8" s="19"/>
      <c r="AD8" s="19"/>
      <c r="AE8" s="19"/>
      <c r="AF8" s="19"/>
      <c r="AG8" s="19"/>
      <c r="AH8" s="19"/>
      <c r="AI8" s="19"/>
      <c r="AJ8" s="19"/>
      <c r="AK8" s="652"/>
      <c r="AL8" s="652"/>
      <c r="AM8" s="652"/>
      <c r="AN8" s="652"/>
      <c r="AO8" s="666"/>
      <c r="AP8" s="652"/>
      <c r="AR8" s="804"/>
      <c r="AS8" s="804"/>
      <c r="AT8" s="804"/>
      <c r="AU8" s="804"/>
      <c r="AV8" s="804"/>
      <c r="AW8" s="804"/>
    </row>
    <row r="9" spans="1:59" ht="15">
      <c r="C9" s="128" t="s">
        <v>921</v>
      </c>
      <c r="H9" s="2"/>
      <c r="I9" s="20">
        <v>17900</v>
      </c>
      <c r="J9" s="19">
        <v>18800</v>
      </c>
      <c r="K9" s="19">
        <v>15400</v>
      </c>
      <c r="L9" s="19">
        <v>15600</v>
      </c>
      <c r="M9" s="19">
        <v>16800</v>
      </c>
      <c r="N9" s="19">
        <v>16900</v>
      </c>
      <c r="O9" s="19">
        <v>16500</v>
      </c>
      <c r="P9" s="39">
        <v>17000</v>
      </c>
      <c r="Q9" s="240">
        <v>21400</v>
      </c>
      <c r="R9" s="19">
        <v>21700</v>
      </c>
      <c r="S9" s="19">
        <v>18800</v>
      </c>
      <c r="T9" s="19">
        <v>18200</v>
      </c>
      <c r="U9" s="19">
        <v>17400</v>
      </c>
      <c r="V9" s="19">
        <v>17100</v>
      </c>
      <c r="W9" s="19">
        <v>18700</v>
      </c>
      <c r="X9" s="19">
        <v>18300</v>
      </c>
      <c r="Y9" s="19">
        <v>17700</v>
      </c>
      <c r="Z9" s="19">
        <v>16500</v>
      </c>
      <c r="AA9" s="19">
        <v>18900</v>
      </c>
      <c r="AB9" s="19">
        <v>19700</v>
      </c>
      <c r="AC9" s="19">
        <v>20600</v>
      </c>
      <c r="AD9" s="19">
        <v>21500</v>
      </c>
      <c r="AE9" s="19">
        <v>20800</v>
      </c>
      <c r="AF9" s="19">
        <v>21800</v>
      </c>
      <c r="AG9" s="19">
        <v>23100</v>
      </c>
      <c r="AH9" s="19">
        <v>23800</v>
      </c>
      <c r="AI9" s="19">
        <v>25300</v>
      </c>
      <c r="AJ9" s="19"/>
      <c r="AK9" s="644">
        <f>((((Q9/I9))^(1/8))-1)*100</f>
        <v>2.2574816212119098</v>
      </c>
      <c r="AL9" s="644">
        <f>((((AB9/Q9))^(1/11))-1)*100</f>
        <v>-0.74965132200336404</v>
      </c>
      <c r="AM9" s="959">
        <f>((((AI9/I9))^(1/26))-1)*100</f>
        <v>1.3396777289261808</v>
      </c>
      <c r="AN9" s="959">
        <f>((((AI9/AB9))^(1/7))-1)*100</f>
        <v>3.6387203803479817</v>
      </c>
      <c r="AO9" s="23"/>
      <c r="AP9" s="959">
        <f>((AI9/I9)-1)*100</f>
        <v>41.340782122905019</v>
      </c>
      <c r="AR9" s="804"/>
      <c r="AS9" s="804"/>
      <c r="AT9" s="804"/>
      <c r="AU9" s="804"/>
      <c r="AV9" s="804"/>
      <c r="AW9" s="804"/>
    </row>
    <row r="10" spans="1:59" ht="15">
      <c r="C10" s="1" t="s">
        <v>611</v>
      </c>
      <c r="H10" s="2"/>
      <c r="I10" s="20">
        <v>13000</v>
      </c>
      <c r="J10" s="19">
        <v>15500</v>
      </c>
      <c r="K10" s="19">
        <v>12800</v>
      </c>
      <c r="L10" s="19">
        <v>12500</v>
      </c>
      <c r="M10" s="19">
        <v>12400</v>
      </c>
      <c r="N10" s="19">
        <v>12400</v>
      </c>
      <c r="O10" s="19">
        <v>12400</v>
      </c>
      <c r="P10" s="39">
        <v>12500</v>
      </c>
      <c r="Q10" s="240">
        <v>16500</v>
      </c>
      <c r="R10" s="19">
        <v>17000</v>
      </c>
      <c r="S10" s="19">
        <v>14800</v>
      </c>
      <c r="T10" s="19">
        <v>13900</v>
      </c>
      <c r="U10" s="19">
        <v>15500</v>
      </c>
      <c r="V10" s="19">
        <v>15000</v>
      </c>
      <c r="W10" s="19">
        <v>16500</v>
      </c>
      <c r="X10" s="19">
        <v>16700</v>
      </c>
      <c r="Y10" s="19">
        <v>16000</v>
      </c>
      <c r="Z10" s="19">
        <v>16600</v>
      </c>
      <c r="AA10" s="19">
        <v>18600</v>
      </c>
      <c r="AB10" s="19">
        <v>19400</v>
      </c>
      <c r="AC10" s="19">
        <v>20500</v>
      </c>
      <c r="AD10" s="19">
        <v>21400</v>
      </c>
      <c r="AE10" s="19">
        <v>20700</v>
      </c>
      <c r="AF10" s="19">
        <v>21800</v>
      </c>
      <c r="AG10" s="19">
        <v>22400</v>
      </c>
      <c r="AH10" s="19">
        <v>22900</v>
      </c>
      <c r="AI10" s="19">
        <v>24100</v>
      </c>
      <c r="AJ10" s="19"/>
      <c r="AK10" s="644">
        <f>((((Q10/I10))^(1/8))-1)*100</f>
        <v>3.0249883266330269</v>
      </c>
      <c r="AL10" s="644">
        <f>((((AB10/Q10))^(1/11))-1)*100</f>
        <v>1.4828197900383699</v>
      </c>
      <c r="AM10" s="959">
        <f>((((AI10/I10))^(1/26))-1)*100</f>
        <v>2.4024922532839943</v>
      </c>
      <c r="AN10" s="959">
        <f>((((AI10/AB10))^(1/7))-1)*100</f>
        <v>3.1476482027309238</v>
      </c>
      <c r="AO10" s="23"/>
      <c r="AP10" s="959">
        <f>((AI10/I10)-1)*100</f>
        <v>85.384615384615387</v>
      </c>
      <c r="AR10" s="804"/>
      <c r="AS10" s="804"/>
      <c r="AT10" s="804"/>
      <c r="AU10" s="804"/>
      <c r="AV10" s="804"/>
      <c r="AW10" s="804"/>
    </row>
    <row r="11" spans="1:59" ht="15">
      <c r="C11" s="1" t="s">
        <v>612</v>
      </c>
      <c r="H11" s="2"/>
      <c r="I11" s="20">
        <v>31200</v>
      </c>
      <c r="J11" s="19">
        <v>30900</v>
      </c>
      <c r="K11" s="19">
        <v>25700</v>
      </c>
      <c r="L11" s="19">
        <v>23100</v>
      </c>
      <c r="M11" s="19">
        <v>30400</v>
      </c>
      <c r="N11" s="19">
        <v>30600</v>
      </c>
      <c r="O11" s="19">
        <v>30800</v>
      </c>
      <c r="P11" s="39">
        <v>31000</v>
      </c>
      <c r="Q11" s="240">
        <v>36400</v>
      </c>
      <c r="R11" s="19">
        <v>35300</v>
      </c>
      <c r="S11" s="19">
        <v>34000</v>
      </c>
      <c r="T11" s="19">
        <v>29800</v>
      </c>
      <c r="U11" s="19">
        <v>26100</v>
      </c>
      <c r="V11" s="19">
        <v>26300</v>
      </c>
      <c r="W11" s="19">
        <v>26900</v>
      </c>
      <c r="X11" s="19">
        <v>25600</v>
      </c>
      <c r="Y11" s="19">
        <v>24500</v>
      </c>
      <c r="Z11" s="19">
        <v>16400</v>
      </c>
      <c r="AA11" s="19">
        <v>19700</v>
      </c>
      <c r="AB11" s="19">
        <v>21600</v>
      </c>
      <c r="AC11" s="19">
        <v>21700</v>
      </c>
      <c r="AD11" s="19">
        <v>21800</v>
      </c>
      <c r="AE11" s="19">
        <v>21500</v>
      </c>
      <c r="AF11" s="19">
        <v>22800</v>
      </c>
      <c r="AG11" s="19">
        <v>27500</v>
      </c>
      <c r="AH11" s="19">
        <v>27000</v>
      </c>
      <c r="AI11" s="19">
        <v>28300</v>
      </c>
      <c r="AJ11" s="19"/>
      <c r="AK11" s="644">
        <f>((((Q11/I11))^(1/8))-1)*100</f>
        <v>1.9455677126480886</v>
      </c>
      <c r="AL11" s="644">
        <f>((((AB11/Q11))^(1/11))-1)*100</f>
        <v>-4.6335382791234947</v>
      </c>
      <c r="AM11" s="959">
        <f>((((AI11/I11))^(1/26))-1)*100</f>
        <v>-0.37451344313178536</v>
      </c>
      <c r="AN11" s="959">
        <f>((((AI11/AB11))^(1/7))-1)*100</f>
        <v>3.9349980050943811</v>
      </c>
      <c r="AO11" s="23"/>
      <c r="AP11" s="959">
        <f>((AI11/I11)-1)*100</f>
        <v>-9.2948717948717956</v>
      </c>
      <c r="AR11" s="804"/>
      <c r="AS11" s="804"/>
      <c r="AT11" s="804"/>
      <c r="AU11" s="804"/>
      <c r="AV11" s="804"/>
      <c r="AW11" s="804"/>
    </row>
    <row r="12" spans="1:59" ht="15">
      <c r="H12" s="2"/>
      <c r="I12" s="20"/>
      <c r="J12" s="39"/>
      <c r="K12" s="39"/>
      <c r="L12" s="39"/>
      <c r="M12" s="39"/>
      <c r="N12" s="39"/>
      <c r="O12" s="39"/>
      <c r="P12" s="39"/>
      <c r="Q12" s="240"/>
      <c r="R12" s="19"/>
      <c r="S12" s="19"/>
      <c r="T12" s="19"/>
      <c r="U12" s="19"/>
      <c r="V12" s="19"/>
      <c r="W12" s="19"/>
      <c r="X12" s="19"/>
      <c r="Y12" s="19"/>
      <c r="Z12" s="19"/>
      <c r="AA12" s="19"/>
      <c r="AB12" s="19"/>
      <c r="AC12" s="19"/>
      <c r="AD12" s="19"/>
      <c r="AE12" s="19"/>
      <c r="AF12" s="19"/>
      <c r="AG12" s="19"/>
      <c r="AH12" s="19"/>
      <c r="AI12" s="19"/>
      <c r="AJ12" s="19"/>
      <c r="AK12" s="652"/>
      <c r="AL12" s="652"/>
      <c r="AM12" s="652"/>
      <c r="AN12" s="652"/>
      <c r="AO12" s="666"/>
      <c r="AP12" s="652"/>
      <c r="AR12" s="804"/>
      <c r="AS12" s="804"/>
      <c r="AT12" s="804"/>
      <c r="AU12" s="804"/>
      <c r="AV12" s="804"/>
      <c r="AW12" s="804"/>
    </row>
    <row r="13" spans="1:59" ht="15">
      <c r="C13" s="128" t="s">
        <v>922</v>
      </c>
      <c r="H13" s="2"/>
      <c r="I13" s="20">
        <v>63500</v>
      </c>
      <c r="J13" s="19">
        <v>59800</v>
      </c>
      <c r="K13" s="19">
        <v>58200</v>
      </c>
      <c r="L13" s="19">
        <v>58900</v>
      </c>
      <c r="M13" s="19">
        <v>60700</v>
      </c>
      <c r="N13" s="19">
        <v>62600</v>
      </c>
      <c r="O13" s="19">
        <v>63400</v>
      </c>
      <c r="P13" s="39">
        <v>65300</v>
      </c>
      <c r="Q13" s="240">
        <v>65600</v>
      </c>
      <c r="R13" s="19">
        <v>63300</v>
      </c>
      <c r="S13" s="19">
        <v>59800</v>
      </c>
      <c r="T13" s="19">
        <v>59400</v>
      </c>
      <c r="U13" s="19">
        <v>57300</v>
      </c>
      <c r="V13" s="19">
        <v>58800</v>
      </c>
      <c r="W13" s="19">
        <v>58600</v>
      </c>
      <c r="X13" s="19">
        <v>58900</v>
      </c>
      <c r="Y13" s="19">
        <v>59500</v>
      </c>
      <c r="Z13" s="19">
        <v>61500</v>
      </c>
      <c r="AA13" s="19">
        <v>63200</v>
      </c>
      <c r="AB13" s="19">
        <v>65100</v>
      </c>
      <c r="AC13" s="19">
        <v>65800</v>
      </c>
      <c r="AD13" s="19">
        <v>64800</v>
      </c>
      <c r="AE13" s="19">
        <v>65100</v>
      </c>
      <c r="AF13" s="19">
        <v>66600</v>
      </c>
      <c r="AG13" s="19">
        <v>67000</v>
      </c>
      <c r="AH13" s="19">
        <v>68200</v>
      </c>
      <c r="AI13" s="19">
        <v>69800</v>
      </c>
      <c r="AJ13" s="19"/>
      <c r="AK13" s="644">
        <f>((((Q13/I13))^(1/8))-1)*100</f>
        <v>0.40752551170786244</v>
      </c>
      <c r="AL13" s="644">
        <f>((((AB13/Q13))^(1/11))-1)*100</f>
        <v>-6.9531694919577891E-2</v>
      </c>
      <c r="AM13" s="959">
        <f>((((AI13/I13))^(1/26))-1)*100</f>
        <v>0.36448611740260706</v>
      </c>
      <c r="AN13" s="959">
        <f>((((AI13/AB13))^(1/7))-1)*100</f>
        <v>1.0008245180432418</v>
      </c>
      <c r="AO13" s="23"/>
      <c r="AP13" s="959">
        <f>((AI13/I13)-1)*100</f>
        <v>9.9212598425196816</v>
      </c>
      <c r="AR13" s="804"/>
      <c r="AS13" s="804"/>
      <c r="AT13" s="804"/>
      <c r="AU13" s="804"/>
      <c r="AV13" s="804"/>
      <c r="AW13" s="804"/>
    </row>
    <row r="14" spans="1:59" ht="15">
      <c r="C14" s="128"/>
      <c r="H14" s="2"/>
      <c r="I14" s="20"/>
      <c r="J14" s="39"/>
      <c r="K14" s="39"/>
      <c r="L14" s="39"/>
      <c r="M14" s="39"/>
      <c r="N14" s="39"/>
      <c r="O14" s="39"/>
      <c r="P14" s="39"/>
      <c r="Q14" s="240"/>
      <c r="R14" s="19"/>
      <c r="S14" s="19"/>
      <c r="T14" s="19"/>
      <c r="U14" s="19"/>
      <c r="V14" s="19"/>
      <c r="W14" s="19"/>
      <c r="X14" s="19"/>
      <c r="Y14" s="19"/>
      <c r="Z14" s="19"/>
      <c r="AA14" s="19"/>
      <c r="AB14" s="19"/>
      <c r="AC14" s="19"/>
      <c r="AD14" s="19"/>
      <c r="AE14" s="19"/>
      <c r="AF14" s="19"/>
      <c r="AG14" s="19"/>
      <c r="AH14" s="19"/>
      <c r="AI14" s="19"/>
      <c r="AJ14" s="19"/>
      <c r="AK14" s="652"/>
      <c r="AL14" s="652"/>
      <c r="AM14" s="652"/>
      <c r="AN14" s="652"/>
      <c r="AO14" s="666"/>
      <c r="AP14" s="652"/>
      <c r="AR14" s="804"/>
      <c r="AS14" s="804"/>
      <c r="AT14" s="804"/>
      <c r="AU14" s="804"/>
      <c r="AV14" s="804"/>
      <c r="AW14" s="804"/>
    </row>
    <row r="15" spans="1:59" ht="15">
      <c r="D15" s="128" t="s">
        <v>923</v>
      </c>
      <c r="H15" s="2"/>
      <c r="I15" s="20">
        <v>63600</v>
      </c>
      <c r="J15" s="19">
        <v>59200</v>
      </c>
      <c r="K15" s="19">
        <v>57900</v>
      </c>
      <c r="L15" s="19">
        <v>57000</v>
      </c>
      <c r="M15" s="19">
        <v>58800</v>
      </c>
      <c r="N15" s="19">
        <v>58400</v>
      </c>
      <c r="O15" s="19">
        <v>59800</v>
      </c>
      <c r="P15" s="39">
        <v>61900</v>
      </c>
      <c r="Q15" s="240">
        <v>61700</v>
      </c>
      <c r="R15" s="19">
        <v>59100</v>
      </c>
      <c r="S15" s="19">
        <v>56600</v>
      </c>
      <c r="T15" s="19">
        <v>57700</v>
      </c>
      <c r="U15" s="19">
        <v>55500</v>
      </c>
      <c r="V15" s="19">
        <v>56700</v>
      </c>
      <c r="W15" s="19">
        <v>55800</v>
      </c>
      <c r="X15" s="19">
        <v>56400</v>
      </c>
      <c r="Y15" s="19">
        <v>56600</v>
      </c>
      <c r="Z15" s="19">
        <v>58400</v>
      </c>
      <c r="AA15" s="19">
        <v>60800</v>
      </c>
      <c r="AB15" s="19">
        <v>61600</v>
      </c>
      <c r="AC15" s="19">
        <v>62700</v>
      </c>
      <c r="AD15" s="19">
        <v>60900</v>
      </c>
      <c r="AE15" s="19">
        <v>62000</v>
      </c>
      <c r="AF15" s="19">
        <v>63000</v>
      </c>
      <c r="AG15" s="19">
        <v>66400</v>
      </c>
      <c r="AH15" s="19">
        <v>66900</v>
      </c>
      <c r="AI15" s="19">
        <v>67900</v>
      </c>
      <c r="AJ15" s="19"/>
      <c r="AK15" s="644">
        <f>((((Q15/I15))^(1/8))-1)*100</f>
        <v>-0.37840149326122674</v>
      </c>
      <c r="AL15" s="644">
        <f>((((AB15/Q15))^(1/11))-1)*100</f>
        <v>-1.4744916210973624E-2</v>
      </c>
      <c r="AM15" s="959">
        <f>((((AI15/I15))^(1/26))-1)*100</f>
        <v>0.25194208901491155</v>
      </c>
      <c r="AN15" s="959">
        <f>((((AI15/AB15))^(1/7))-1)*100</f>
        <v>1.4007797377412201</v>
      </c>
      <c r="AO15" s="23"/>
      <c r="AP15" s="959">
        <f>((AI15/I15)-1)*100</f>
        <v>6.7610062893081802</v>
      </c>
      <c r="AR15" s="804"/>
      <c r="AS15" s="804"/>
      <c r="AT15" s="804"/>
      <c r="AU15" s="804"/>
      <c r="AV15" s="804"/>
      <c r="AW15" s="804"/>
    </row>
    <row r="16" spans="1:59" ht="15">
      <c r="D16" s="1" t="s">
        <v>613</v>
      </c>
      <c r="H16" s="2"/>
      <c r="I16" s="20">
        <v>13300</v>
      </c>
      <c r="J16" s="19">
        <v>10200</v>
      </c>
      <c r="K16" s="19">
        <v>17500</v>
      </c>
      <c r="L16" s="19">
        <v>10100</v>
      </c>
      <c r="M16" s="19">
        <v>14600</v>
      </c>
      <c r="N16" s="19">
        <v>12300</v>
      </c>
      <c r="O16" s="19">
        <v>16500</v>
      </c>
      <c r="P16" s="39">
        <v>12600</v>
      </c>
      <c r="Q16" s="240">
        <v>16000</v>
      </c>
      <c r="R16" s="19">
        <v>18100</v>
      </c>
      <c r="S16" s="19">
        <v>12900</v>
      </c>
      <c r="T16" s="19">
        <v>9400</v>
      </c>
      <c r="U16" s="19">
        <v>10900</v>
      </c>
      <c r="V16" s="19">
        <v>11000</v>
      </c>
      <c r="W16" s="19">
        <v>8600</v>
      </c>
      <c r="X16" s="19">
        <v>13900</v>
      </c>
      <c r="Y16" s="19">
        <v>11200</v>
      </c>
      <c r="Z16" s="19">
        <v>12200</v>
      </c>
      <c r="AA16" s="19">
        <v>15300</v>
      </c>
      <c r="AB16" s="19">
        <v>18800</v>
      </c>
      <c r="AC16" s="19">
        <v>18800</v>
      </c>
      <c r="AD16" s="19">
        <v>16300</v>
      </c>
      <c r="AE16" s="19">
        <v>14900</v>
      </c>
      <c r="AF16" s="19">
        <v>10300</v>
      </c>
      <c r="AG16" s="19">
        <v>12100</v>
      </c>
      <c r="AH16" s="19">
        <v>17900</v>
      </c>
      <c r="AI16" s="19">
        <v>25700</v>
      </c>
      <c r="AJ16" s="19"/>
      <c r="AK16" s="644">
        <f>((((Q16/I16))^(1/8))-1)*100</f>
        <v>2.3372029312508147</v>
      </c>
      <c r="AL16" s="644">
        <f>((((AB16/Q16))^(1/11))-1)*100</f>
        <v>1.4768736469977561</v>
      </c>
      <c r="AM16" s="959">
        <f>((((AI16/I16))^(1/26))-1)*100</f>
        <v>2.5659327543248622</v>
      </c>
      <c r="AN16" s="959">
        <f>((((AI16/AB16))^(1/7))-1)*100</f>
        <v>4.5674380470900555</v>
      </c>
      <c r="AO16" s="23"/>
      <c r="AP16" s="959">
        <f>((AI16/I16)-1)*100</f>
        <v>93.233082706766908</v>
      </c>
      <c r="AR16" s="804"/>
      <c r="AS16" s="804"/>
      <c r="AT16" s="804"/>
      <c r="AU16" s="804"/>
      <c r="AV16" s="804"/>
      <c r="AW16" s="804"/>
    </row>
    <row r="17" spans="1:49" ht="15">
      <c r="D17" s="1" t="s">
        <v>614</v>
      </c>
      <c r="H17" s="2"/>
      <c r="I17" s="20">
        <v>46000</v>
      </c>
      <c r="J17" s="19">
        <v>45000</v>
      </c>
      <c r="K17" s="19">
        <v>46100</v>
      </c>
      <c r="L17" s="19">
        <v>44800</v>
      </c>
      <c r="M17" s="19">
        <v>48100</v>
      </c>
      <c r="N17" s="19">
        <v>47700</v>
      </c>
      <c r="O17" s="19">
        <v>45400</v>
      </c>
      <c r="P17" s="39">
        <v>45400</v>
      </c>
      <c r="Q17" s="240">
        <v>47700</v>
      </c>
      <c r="R17" s="19">
        <v>44100</v>
      </c>
      <c r="S17" s="19">
        <v>42400</v>
      </c>
      <c r="T17" s="19">
        <v>42500</v>
      </c>
      <c r="U17" s="19">
        <v>40900</v>
      </c>
      <c r="V17" s="19">
        <v>42600</v>
      </c>
      <c r="W17" s="19">
        <v>42600</v>
      </c>
      <c r="X17" s="19">
        <v>43000</v>
      </c>
      <c r="Y17" s="19">
        <v>41200</v>
      </c>
      <c r="Z17" s="19">
        <v>42500</v>
      </c>
      <c r="AA17" s="19">
        <v>45700</v>
      </c>
      <c r="AB17" s="19">
        <v>44900</v>
      </c>
      <c r="AC17" s="19">
        <v>47100</v>
      </c>
      <c r="AD17" s="19">
        <v>45200</v>
      </c>
      <c r="AE17" s="19">
        <v>45200</v>
      </c>
      <c r="AF17" s="19">
        <v>47300</v>
      </c>
      <c r="AG17" s="19">
        <v>51000</v>
      </c>
      <c r="AH17" s="19">
        <v>50000</v>
      </c>
      <c r="AI17" s="19">
        <v>49200</v>
      </c>
      <c r="AJ17" s="19"/>
      <c r="AK17" s="644">
        <f>((((Q17/I17))^(1/8))-1)*100</f>
        <v>0.454655453363495</v>
      </c>
      <c r="AL17" s="644">
        <f>((((AB17/Q17))^(1/11))-1)*100</f>
        <v>-0.54843243483863047</v>
      </c>
      <c r="AM17" s="959">
        <f>((((AI17/I17))^(1/26))-1)*100</f>
        <v>0.25899723141165065</v>
      </c>
      <c r="AN17" s="959">
        <f>((((AI17/AB17))^(1/7))-1)*100</f>
        <v>1.3150839966199035</v>
      </c>
      <c r="AO17" s="23"/>
      <c r="AP17" s="959">
        <f>((AI17/I17)-1)*100</f>
        <v>6.956521739130439</v>
      </c>
      <c r="AR17" s="804"/>
      <c r="AS17" s="804"/>
      <c r="AT17" s="804"/>
      <c r="AU17" s="804"/>
      <c r="AV17" s="804"/>
      <c r="AW17" s="804"/>
    </row>
    <row r="18" spans="1:49" ht="15">
      <c r="D18" s="1" t="s">
        <v>615</v>
      </c>
      <c r="H18" s="2"/>
      <c r="I18" s="20">
        <v>72200</v>
      </c>
      <c r="J18" s="19">
        <v>68600</v>
      </c>
      <c r="K18" s="19">
        <v>67100</v>
      </c>
      <c r="L18" s="19">
        <v>67300</v>
      </c>
      <c r="M18" s="19">
        <v>66600</v>
      </c>
      <c r="N18" s="19">
        <v>68000</v>
      </c>
      <c r="O18" s="19">
        <v>70000</v>
      </c>
      <c r="P18" s="39">
        <v>70900</v>
      </c>
      <c r="Q18" s="240">
        <v>70300</v>
      </c>
      <c r="R18" s="19">
        <v>69300</v>
      </c>
      <c r="S18" s="19">
        <v>68800</v>
      </c>
      <c r="T18" s="19">
        <v>69400</v>
      </c>
      <c r="U18" s="19">
        <v>68000</v>
      </c>
      <c r="V18" s="19">
        <v>69000</v>
      </c>
      <c r="W18" s="19">
        <v>67600</v>
      </c>
      <c r="X18" s="19">
        <v>69900</v>
      </c>
      <c r="Y18" s="19">
        <v>69400</v>
      </c>
      <c r="Z18" s="19">
        <v>71900</v>
      </c>
      <c r="AA18" s="19">
        <v>71300</v>
      </c>
      <c r="AB18" s="19">
        <v>72000</v>
      </c>
      <c r="AC18" s="19">
        <v>73500</v>
      </c>
      <c r="AD18" s="19">
        <v>72900</v>
      </c>
      <c r="AE18" s="19">
        <v>73600</v>
      </c>
      <c r="AF18" s="19">
        <v>72800</v>
      </c>
      <c r="AG18" s="19">
        <v>75700</v>
      </c>
      <c r="AH18" s="19">
        <v>76900</v>
      </c>
      <c r="AI18" s="19">
        <v>78100</v>
      </c>
      <c r="AJ18" s="19"/>
      <c r="AK18" s="644">
        <f>((((Q18/I18))^(1/8))-1)*100</f>
        <v>-0.33279808399838684</v>
      </c>
      <c r="AL18" s="644">
        <f>((((AB18/Q18))^(1/11))-1)*100</f>
        <v>0.21745718865686658</v>
      </c>
      <c r="AM18" s="959">
        <f>((((AI18/I18))^(1/26))-1)*100</f>
        <v>0.30257225530803122</v>
      </c>
      <c r="AN18" s="959">
        <f>((((AI18/AB18))^(1/7))-1)*100</f>
        <v>1.1685453046844874</v>
      </c>
      <c r="AO18" s="23"/>
      <c r="AP18" s="959">
        <f>((AI18/I18)-1)*100</f>
        <v>8.1717451523545712</v>
      </c>
      <c r="AR18" s="804"/>
      <c r="AS18" s="804"/>
      <c r="AT18" s="804"/>
      <c r="AU18" s="804"/>
      <c r="AV18" s="804"/>
      <c r="AW18" s="804"/>
    </row>
    <row r="19" spans="1:49" ht="15">
      <c r="H19" s="2"/>
      <c r="I19" s="20"/>
      <c r="J19" s="39"/>
      <c r="K19" s="39"/>
      <c r="L19" s="39"/>
      <c r="M19" s="39"/>
      <c r="N19" s="39"/>
      <c r="O19" s="39"/>
      <c r="P19" s="39"/>
      <c r="Q19" s="240"/>
      <c r="R19" s="19"/>
      <c r="S19" s="19"/>
      <c r="T19" s="19"/>
      <c r="U19" s="19"/>
      <c r="V19" s="19"/>
      <c r="W19" s="19"/>
      <c r="X19" s="19"/>
      <c r="Y19" s="19"/>
      <c r="Z19" s="19"/>
      <c r="AA19" s="19"/>
      <c r="AB19" s="19"/>
      <c r="AC19" s="19"/>
      <c r="AD19" s="19"/>
      <c r="AE19" s="19"/>
      <c r="AF19" s="19"/>
      <c r="AG19" s="19"/>
      <c r="AH19" s="19"/>
      <c r="AI19" s="19"/>
      <c r="AJ19" s="19"/>
      <c r="AK19" s="652"/>
      <c r="AL19" s="652"/>
      <c r="AM19" s="652"/>
      <c r="AN19" s="652"/>
      <c r="AO19" s="666"/>
      <c r="AP19" s="652"/>
      <c r="AR19" s="804"/>
      <c r="AS19" s="804"/>
      <c r="AT19" s="804"/>
      <c r="AU19" s="804"/>
      <c r="AV19" s="804"/>
      <c r="AW19" s="804"/>
    </row>
    <row r="20" spans="1:49" ht="15">
      <c r="D20" s="128" t="s">
        <v>619</v>
      </c>
      <c r="H20" s="2"/>
      <c r="I20" s="20">
        <v>65600</v>
      </c>
      <c r="J20" s="19">
        <v>62400</v>
      </c>
      <c r="K20" s="19">
        <v>61400</v>
      </c>
      <c r="L20" s="19">
        <v>62600</v>
      </c>
      <c r="M20" s="19">
        <v>64700</v>
      </c>
      <c r="N20" s="19">
        <v>66200</v>
      </c>
      <c r="O20" s="19">
        <v>67400</v>
      </c>
      <c r="P20" s="39">
        <v>69900</v>
      </c>
      <c r="Q20" s="240">
        <v>69600</v>
      </c>
      <c r="R20" s="19">
        <v>69100</v>
      </c>
      <c r="S20" s="19">
        <v>65000</v>
      </c>
      <c r="T20" s="19">
        <v>66400</v>
      </c>
      <c r="U20" s="19">
        <v>63300</v>
      </c>
      <c r="V20" s="19">
        <v>65200</v>
      </c>
      <c r="W20" s="19">
        <v>65300</v>
      </c>
      <c r="X20" s="19">
        <v>65600</v>
      </c>
      <c r="Y20" s="19">
        <v>67500</v>
      </c>
      <c r="Z20" s="19">
        <v>70800</v>
      </c>
      <c r="AA20" s="19">
        <v>72000</v>
      </c>
      <c r="AB20" s="19">
        <v>73900</v>
      </c>
      <c r="AC20" s="19">
        <v>74300</v>
      </c>
      <c r="AD20" s="19">
        <v>73700</v>
      </c>
      <c r="AE20" s="19">
        <v>74900</v>
      </c>
      <c r="AF20" s="19">
        <v>76000</v>
      </c>
      <c r="AG20" s="19">
        <v>75800</v>
      </c>
      <c r="AH20" s="19">
        <v>76500</v>
      </c>
      <c r="AI20" s="19">
        <v>78900</v>
      </c>
      <c r="AJ20" s="19"/>
      <c r="AK20" s="644">
        <f>((((Q20/I20))^(1/8))-1)*100</f>
        <v>0.74260462550828077</v>
      </c>
      <c r="AL20" s="644">
        <f>((((AB20/Q20))^(1/11))-1)*100</f>
        <v>0.54647192764241126</v>
      </c>
      <c r="AM20" s="959">
        <f>((((AI20/I20))^(1/26))-1)*100</f>
        <v>0.71254790393522338</v>
      </c>
      <c r="AN20" s="959">
        <f>((((AI20/AB20))^(1/7))-1)*100</f>
        <v>0.93965010549978967</v>
      </c>
      <c r="AO20" s="23"/>
      <c r="AP20" s="959">
        <f>((AI20/I20)-1)*100</f>
        <v>20.274390243902431</v>
      </c>
      <c r="AR20" s="804"/>
      <c r="AS20" s="804"/>
      <c r="AT20" s="804"/>
      <c r="AU20" s="804"/>
      <c r="AV20" s="804"/>
      <c r="AW20" s="804"/>
    </row>
    <row r="21" spans="1:49" ht="15">
      <c r="D21" s="1" t="s">
        <v>613</v>
      </c>
      <c r="H21" s="2"/>
      <c r="I21" s="20">
        <v>0</v>
      </c>
      <c r="J21" s="19">
        <v>0</v>
      </c>
      <c r="K21" s="19">
        <v>0</v>
      </c>
      <c r="L21" s="19">
        <v>0</v>
      </c>
      <c r="M21" s="19">
        <v>0</v>
      </c>
      <c r="N21" s="19">
        <v>0</v>
      </c>
      <c r="O21" s="19">
        <v>0</v>
      </c>
      <c r="P21" s="39">
        <v>0</v>
      </c>
      <c r="Q21" s="240">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100</v>
      </c>
      <c r="AH21" s="19">
        <v>0</v>
      </c>
      <c r="AI21" s="19">
        <v>0</v>
      </c>
      <c r="AJ21" s="19"/>
      <c r="AK21" s="644" t="s">
        <v>1309</v>
      </c>
      <c r="AL21" s="644" t="s">
        <v>1309</v>
      </c>
      <c r="AM21" s="644" t="s">
        <v>1309</v>
      </c>
      <c r="AN21" s="644" t="s">
        <v>1309</v>
      </c>
      <c r="AO21" s="23"/>
      <c r="AP21" s="644" t="s">
        <v>1309</v>
      </c>
      <c r="AR21" s="804"/>
      <c r="AS21" s="804"/>
      <c r="AT21" s="804"/>
      <c r="AU21" s="804"/>
      <c r="AV21" s="804"/>
      <c r="AW21" s="804"/>
    </row>
    <row r="22" spans="1:49" ht="15">
      <c r="D22" s="1" t="s">
        <v>620</v>
      </c>
      <c r="H22" s="2"/>
      <c r="I22" s="20">
        <v>51200</v>
      </c>
      <c r="J22" s="19">
        <v>48700</v>
      </c>
      <c r="K22" s="19">
        <v>47900</v>
      </c>
      <c r="L22" s="19">
        <v>48500</v>
      </c>
      <c r="M22" s="19">
        <v>49500</v>
      </c>
      <c r="N22" s="19">
        <v>50300</v>
      </c>
      <c r="O22" s="19">
        <v>49600</v>
      </c>
      <c r="P22" s="39">
        <v>49400</v>
      </c>
      <c r="Q22" s="240">
        <v>50700</v>
      </c>
      <c r="R22" s="19">
        <v>46600</v>
      </c>
      <c r="S22" s="19">
        <v>45100</v>
      </c>
      <c r="T22" s="19">
        <v>46000</v>
      </c>
      <c r="U22" s="19">
        <v>43000</v>
      </c>
      <c r="V22" s="19">
        <v>44300</v>
      </c>
      <c r="W22" s="19">
        <v>43300</v>
      </c>
      <c r="X22" s="19">
        <v>43200</v>
      </c>
      <c r="Y22" s="19">
        <v>42000</v>
      </c>
      <c r="Z22" s="19">
        <v>44000</v>
      </c>
      <c r="AA22" s="19">
        <v>46200</v>
      </c>
      <c r="AB22" s="19">
        <v>44400</v>
      </c>
      <c r="AC22" s="19">
        <v>44700</v>
      </c>
      <c r="AD22" s="19">
        <v>46800</v>
      </c>
      <c r="AE22" s="19">
        <v>45800</v>
      </c>
      <c r="AF22" s="19">
        <v>43800</v>
      </c>
      <c r="AG22" s="19">
        <v>43900</v>
      </c>
      <c r="AH22" s="19">
        <v>43400</v>
      </c>
      <c r="AI22" s="19">
        <v>45200</v>
      </c>
      <c r="AJ22" s="19"/>
      <c r="AK22" s="644">
        <f>((((Q22/I22))^(1/8))-1)*100</f>
        <v>-0.12259505888693178</v>
      </c>
      <c r="AL22" s="644">
        <f>((((AB22/Q22))^(1/11))-1)*100</f>
        <v>-1.19899445861954</v>
      </c>
      <c r="AM22" s="959">
        <f>((((AI22/I22))^(1/26))-1)*100</f>
        <v>-0.4782467609251273</v>
      </c>
      <c r="AN22" s="959">
        <f>((((AI22/AB22))^(1/7))-1)*100</f>
        <v>0.25543449943707941</v>
      </c>
      <c r="AO22" s="23"/>
      <c r="AP22" s="959">
        <f>((AI22/I22)-1)*100</f>
        <v>-11.71875</v>
      </c>
      <c r="AR22" s="804"/>
      <c r="AS22" s="804"/>
      <c r="AT22" s="804"/>
      <c r="AU22" s="804"/>
      <c r="AV22" s="804"/>
      <c r="AW22" s="804"/>
    </row>
    <row r="23" spans="1:49" ht="15">
      <c r="D23" s="1" t="s">
        <v>615</v>
      </c>
      <c r="H23" s="2"/>
      <c r="I23" s="20">
        <v>67700</v>
      </c>
      <c r="J23" s="19">
        <v>65100</v>
      </c>
      <c r="K23" s="19">
        <v>64900</v>
      </c>
      <c r="L23" s="19">
        <v>66400</v>
      </c>
      <c r="M23" s="19">
        <v>67300</v>
      </c>
      <c r="N23" s="19">
        <v>68300</v>
      </c>
      <c r="O23" s="19">
        <v>68800</v>
      </c>
      <c r="P23" s="39">
        <v>71500</v>
      </c>
      <c r="Q23" s="240">
        <v>70400</v>
      </c>
      <c r="R23" s="19">
        <v>69700</v>
      </c>
      <c r="S23" s="19">
        <v>67600</v>
      </c>
      <c r="T23" s="19">
        <v>69100</v>
      </c>
      <c r="U23" s="19">
        <v>67700</v>
      </c>
      <c r="V23" s="19">
        <v>70000</v>
      </c>
      <c r="W23" s="19">
        <v>69600</v>
      </c>
      <c r="X23" s="19">
        <v>69900</v>
      </c>
      <c r="Y23" s="19">
        <v>70900</v>
      </c>
      <c r="Z23" s="19">
        <v>73800</v>
      </c>
      <c r="AA23" s="19">
        <v>73600</v>
      </c>
      <c r="AB23" s="19">
        <v>76200</v>
      </c>
      <c r="AC23" s="19">
        <v>76200</v>
      </c>
      <c r="AD23" s="19">
        <v>76100</v>
      </c>
      <c r="AE23" s="19">
        <v>76700</v>
      </c>
      <c r="AF23" s="19">
        <v>78700</v>
      </c>
      <c r="AG23" s="19">
        <v>77800</v>
      </c>
      <c r="AH23" s="19">
        <v>77300</v>
      </c>
      <c r="AI23" s="19">
        <v>78600</v>
      </c>
      <c r="AJ23" s="19"/>
      <c r="AK23" s="644">
        <f>((((Q23/I23))^(1/8))-1)*100</f>
        <v>0.49003530545383978</v>
      </c>
      <c r="AL23" s="644">
        <f>((((AB23/Q23))^(1/11))-1)*100</f>
        <v>0.72230704824320924</v>
      </c>
      <c r="AM23" s="959">
        <f>((((AI23/I23))^(1/26))-1)*100</f>
        <v>0.57582661955517533</v>
      </c>
      <c r="AN23" s="959">
        <f>((((AI23/AB23))^(1/7))-1)*100</f>
        <v>0.44398609263023303</v>
      </c>
      <c r="AO23" s="23"/>
      <c r="AP23" s="959">
        <f>((AI23/I23)-1)*100</f>
        <v>16.100443131462328</v>
      </c>
      <c r="AR23" s="804"/>
      <c r="AS23" s="804"/>
      <c r="AT23" s="804"/>
      <c r="AU23" s="804"/>
      <c r="AV23" s="804"/>
      <c r="AW23" s="804"/>
    </row>
    <row r="24" spans="1:49" ht="15">
      <c r="D24" s="1" t="s">
        <v>621</v>
      </c>
      <c r="H24" s="2"/>
      <c r="I24" s="20">
        <v>88400</v>
      </c>
      <c r="J24" s="19">
        <v>83600</v>
      </c>
      <c r="K24" s="19">
        <v>79900</v>
      </c>
      <c r="L24" s="19">
        <v>82900</v>
      </c>
      <c r="M24" s="19">
        <v>85200</v>
      </c>
      <c r="N24" s="19">
        <v>87000</v>
      </c>
      <c r="O24" s="19">
        <v>88700</v>
      </c>
      <c r="P24" s="39">
        <v>90300</v>
      </c>
      <c r="Q24" s="240">
        <v>92800</v>
      </c>
      <c r="R24" s="19">
        <v>91100</v>
      </c>
      <c r="S24" s="19">
        <v>84800</v>
      </c>
      <c r="T24" s="19">
        <v>85300</v>
      </c>
      <c r="U24" s="19">
        <v>84300</v>
      </c>
      <c r="V24" s="19">
        <v>86100</v>
      </c>
      <c r="W24" s="19">
        <v>85500</v>
      </c>
      <c r="X24" s="19">
        <v>87300</v>
      </c>
      <c r="Y24" s="19">
        <v>90300</v>
      </c>
      <c r="Z24" s="19">
        <v>88900</v>
      </c>
      <c r="AA24" s="19">
        <v>95600</v>
      </c>
      <c r="AB24" s="19">
        <v>97200</v>
      </c>
      <c r="AC24" s="19">
        <v>96300</v>
      </c>
      <c r="AD24" s="19">
        <v>97000</v>
      </c>
      <c r="AE24" s="19">
        <v>95900</v>
      </c>
      <c r="AF24" s="19">
        <v>98400</v>
      </c>
      <c r="AG24" s="19">
        <v>98600</v>
      </c>
      <c r="AH24" s="19">
        <v>101200</v>
      </c>
      <c r="AI24" s="19">
        <v>104100</v>
      </c>
      <c r="AJ24" s="19"/>
      <c r="AK24" s="644">
        <f>((((Q24/I24))^(1/8))-1)*100</f>
        <v>0.60903047164777568</v>
      </c>
      <c r="AL24" s="644">
        <f>((((AB24/Q24))^(1/11))-1)*100</f>
        <v>0.42201591404109617</v>
      </c>
      <c r="AM24" s="959">
        <f>((((AI24/I24))^(1/26))-1)*100</f>
        <v>0.63075015722562355</v>
      </c>
      <c r="AN24" s="959">
        <f>((((AI24/AB24))^(1/7))-1)*100</f>
        <v>0.98454743455398397</v>
      </c>
      <c r="AO24" s="23"/>
      <c r="AP24" s="959">
        <f>((AI24/I24)-1)*100</f>
        <v>17.760180995475118</v>
      </c>
      <c r="AR24" s="805"/>
    </row>
    <row r="25" spans="1:49" ht="15">
      <c r="H25" s="2"/>
      <c r="I25" s="20"/>
      <c r="J25" s="39"/>
      <c r="K25" s="39"/>
      <c r="L25" s="39"/>
      <c r="M25" s="39"/>
      <c r="N25" s="39"/>
      <c r="O25" s="39"/>
      <c r="P25" s="39"/>
      <c r="Q25" s="240"/>
      <c r="R25" s="19"/>
      <c r="S25" s="19"/>
      <c r="T25" s="19"/>
      <c r="U25" s="19"/>
      <c r="V25" s="19"/>
      <c r="W25" s="19"/>
      <c r="X25" s="19"/>
      <c r="Y25" s="19"/>
      <c r="Z25" s="19"/>
      <c r="AA25" s="19"/>
      <c r="AB25" s="19"/>
      <c r="AC25" s="19"/>
      <c r="AD25" s="19"/>
      <c r="AE25" s="19"/>
      <c r="AF25" s="19"/>
      <c r="AG25" s="19"/>
      <c r="AH25" s="19"/>
      <c r="AI25" s="19"/>
      <c r="AJ25" s="19"/>
      <c r="AK25" s="652"/>
      <c r="AL25" s="652"/>
      <c r="AM25" s="652"/>
      <c r="AN25" s="652"/>
      <c r="AO25" s="666"/>
      <c r="AP25" s="652"/>
      <c r="AR25" s="805"/>
    </row>
    <row r="26" spans="1:49" ht="15">
      <c r="D26" s="128" t="s">
        <v>622</v>
      </c>
      <c r="H26" s="2"/>
      <c r="I26" s="20">
        <v>87400</v>
      </c>
      <c r="J26" s="19">
        <v>83500</v>
      </c>
      <c r="K26" s="19">
        <v>79700</v>
      </c>
      <c r="L26" s="19">
        <v>79200</v>
      </c>
      <c r="M26" s="19">
        <v>80400</v>
      </c>
      <c r="N26" s="19">
        <v>84400</v>
      </c>
      <c r="O26" s="19">
        <v>84900</v>
      </c>
      <c r="P26" s="39">
        <v>88300</v>
      </c>
      <c r="Q26" s="240">
        <v>91200</v>
      </c>
      <c r="R26" s="19">
        <v>89000</v>
      </c>
      <c r="S26" s="19">
        <v>80900</v>
      </c>
      <c r="T26" s="19">
        <v>80900</v>
      </c>
      <c r="U26" s="19">
        <v>80800</v>
      </c>
      <c r="V26" s="19">
        <v>82300</v>
      </c>
      <c r="W26" s="19">
        <v>80400</v>
      </c>
      <c r="X26" s="19">
        <v>83100</v>
      </c>
      <c r="Y26" s="19">
        <v>82700</v>
      </c>
      <c r="Z26" s="19">
        <v>86100</v>
      </c>
      <c r="AA26" s="19">
        <v>92300</v>
      </c>
      <c r="AB26" s="19">
        <v>93800</v>
      </c>
      <c r="AC26" s="19">
        <v>93900</v>
      </c>
      <c r="AD26" s="19">
        <v>92600</v>
      </c>
      <c r="AE26" s="19">
        <v>92500</v>
      </c>
      <c r="AF26" s="19">
        <v>95600</v>
      </c>
      <c r="AG26" s="19">
        <v>100500</v>
      </c>
      <c r="AH26" s="19">
        <v>101300</v>
      </c>
      <c r="AI26" s="19">
        <v>106000</v>
      </c>
      <c r="AJ26" s="19"/>
      <c r="AK26" s="644">
        <f>((((Q26/I26))^(1/8))-1)*100</f>
        <v>0.53341278734622133</v>
      </c>
      <c r="AL26" s="644">
        <f>((((AB26/Q26))^(1/11))-1)*100</f>
        <v>0.25587187595166316</v>
      </c>
      <c r="AM26" s="959">
        <f>((((AI26/I26))^(1/26))-1)*100</f>
        <v>0.74485190590425354</v>
      </c>
      <c r="AN26" s="959">
        <f>((((AI26/AB26))^(1/7))-1)*100</f>
        <v>1.7621201607781467</v>
      </c>
      <c r="AO26" s="23"/>
      <c r="AP26" s="959">
        <f>((AI26/I26)-1)*100</f>
        <v>21.281464530892457</v>
      </c>
      <c r="AR26" s="805"/>
    </row>
    <row r="27" spans="1:49" s="114" customFormat="1" ht="15">
      <c r="A27" s="1"/>
      <c r="B27" s="1"/>
      <c r="C27" s="1"/>
      <c r="D27" s="1"/>
      <c r="E27" s="1"/>
      <c r="F27" s="1"/>
      <c r="G27" s="1"/>
      <c r="H27" s="2"/>
      <c r="I27" s="20"/>
      <c r="J27" s="39"/>
      <c r="K27" s="39"/>
      <c r="L27" s="39"/>
      <c r="M27" s="39"/>
      <c r="N27" s="39"/>
      <c r="O27" s="39"/>
      <c r="P27" s="39"/>
      <c r="Q27" s="240"/>
      <c r="R27" s="19"/>
      <c r="S27" s="19"/>
      <c r="T27" s="19"/>
      <c r="U27" s="19"/>
      <c r="V27" s="19"/>
      <c r="W27" s="19"/>
      <c r="X27" s="19"/>
      <c r="Y27" s="19"/>
      <c r="Z27" s="19"/>
      <c r="AA27" s="19"/>
      <c r="AB27" s="19"/>
      <c r="AC27" s="19"/>
      <c r="AD27" s="19"/>
      <c r="AE27" s="19"/>
      <c r="AF27" s="19"/>
      <c r="AG27" s="19"/>
      <c r="AH27" s="19"/>
      <c r="AI27" s="19"/>
      <c r="AJ27" s="19"/>
      <c r="AK27" s="644"/>
      <c r="AL27" s="644"/>
      <c r="AM27" s="644"/>
      <c r="AN27" s="644"/>
      <c r="AO27" s="23"/>
      <c r="AP27" s="644"/>
      <c r="AR27" s="805"/>
    </row>
    <row r="28" spans="1:49" s="114" customFormat="1" ht="15">
      <c r="A28" s="1"/>
      <c r="B28" s="1"/>
      <c r="C28" s="1"/>
      <c r="D28" s="128" t="s">
        <v>623</v>
      </c>
      <c r="E28" s="1"/>
      <c r="F28" s="1"/>
      <c r="G28" s="1"/>
      <c r="H28" s="2"/>
      <c r="I28" s="20">
        <v>25600</v>
      </c>
      <c r="J28" s="19">
        <v>20300</v>
      </c>
      <c r="K28" s="19">
        <v>15600</v>
      </c>
      <c r="L28" s="19">
        <v>17500</v>
      </c>
      <c r="M28" s="19">
        <v>17300</v>
      </c>
      <c r="N28" s="19">
        <v>19900</v>
      </c>
      <c r="O28" s="19">
        <v>20300</v>
      </c>
      <c r="P28" s="39">
        <v>21000</v>
      </c>
      <c r="Q28" s="240">
        <v>22900</v>
      </c>
      <c r="R28" s="19">
        <v>15600</v>
      </c>
      <c r="S28" s="19">
        <v>13500</v>
      </c>
      <c r="T28" s="19">
        <v>14300</v>
      </c>
      <c r="U28" s="19">
        <v>12100</v>
      </c>
      <c r="V28" s="19">
        <v>13300</v>
      </c>
      <c r="W28" s="19">
        <v>14400</v>
      </c>
      <c r="X28" s="19">
        <v>12600</v>
      </c>
      <c r="Y28" s="19">
        <v>15400</v>
      </c>
      <c r="Z28" s="19">
        <v>17000</v>
      </c>
      <c r="AA28" s="19">
        <v>19900</v>
      </c>
      <c r="AB28" s="19">
        <v>24200</v>
      </c>
      <c r="AC28" s="19">
        <v>23800</v>
      </c>
      <c r="AD28" s="19">
        <v>21500</v>
      </c>
      <c r="AE28" s="19">
        <v>22400</v>
      </c>
      <c r="AF28" s="19">
        <v>23000</v>
      </c>
      <c r="AG28" s="19">
        <v>26400</v>
      </c>
      <c r="AH28" s="19">
        <v>28500</v>
      </c>
      <c r="AI28" s="19">
        <v>28000</v>
      </c>
      <c r="AJ28" s="19"/>
      <c r="AK28" s="644">
        <f t="shared" ref="AK28:AK33" si="0">((((Q28/I28))^(1/8))-1)*100</f>
        <v>-1.3835329906759619</v>
      </c>
      <c r="AL28" s="644">
        <f t="shared" ref="AL28:AL33" si="1">((((AB28/Q28))^(1/11))-1)*100</f>
        <v>0.50322304996184286</v>
      </c>
      <c r="AM28" s="959">
        <f>((((AI28/I28))^(1/26))-1)*100</f>
        <v>0.34525679176404811</v>
      </c>
      <c r="AN28" s="959">
        <f>((((AI28/AB28))^(1/7))-1)*100</f>
        <v>2.1054567014148429</v>
      </c>
      <c r="AO28" s="23"/>
      <c r="AP28" s="959">
        <f>((AI28/I28)-1)*100</f>
        <v>9.375</v>
      </c>
      <c r="AR28" s="805"/>
    </row>
    <row r="29" spans="1:49" s="114" customFormat="1" ht="15">
      <c r="A29" s="1"/>
      <c r="B29" s="1"/>
      <c r="C29" s="1"/>
      <c r="D29" s="1" t="s">
        <v>624</v>
      </c>
      <c r="E29" s="1"/>
      <c r="F29" s="1"/>
      <c r="G29" s="1"/>
      <c r="H29" s="2"/>
      <c r="I29" s="20">
        <v>50900</v>
      </c>
      <c r="J29" s="19">
        <v>45600</v>
      </c>
      <c r="K29" s="19">
        <v>37600</v>
      </c>
      <c r="L29" s="19">
        <v>46300</v>
      </c>
      <c r="M29" s="19">
        <v>42600</v>
      </c>
      <c r="N29" s="19">
        <v>46900</v>
      </c>
      <c r="O29" s="19">
        <v>52100</v>
      </c>
      <c r="P29" s="39">
        <v>42300</v>
      </c>
      <c r="Q29" s="240">
        <v>53800</v>
      </c>
      <c r="R29" s="19">
        <v>44600</v>
      </c>
      <c r="S29" s="19">
        <v>39900</v>
      </c>
      <c r="T29" s="19">
        <v>40800</v>
      </c>
      <c r="U29" s="19">
        <v>28500</v>
      </c>
      <c r="V29" s="19">
        <v>33000</v>
      </c>
      <c r="W29" s="19">
        <v>33100</v>
      </c>
      <c r="X29" s="19">
        <v>35700</v>
      </c>
      <c r="Y29" s="19">
        <v>39300</v>
      </c>
      <c r="Z29" s="19">
        <v>38400</v>
      </c>
      <c r="AA29" s="19">
        <v>40900</v>
      </c>
      <c r="AB29" s="19">
        <v>46200</v>
      </c>
      <c r="AC29" s="19">
        <v>40700</v>
      </c>
      <c r="AD29" s="19">
        <v>41700</v>
      </c>
      <c r="AE29" s="19">
        <v>41400</v>
      </c>
      <c r="AF29" s="19">
        <v>43700</v>
      </c>
      <c r="AG29" s="19">
        <v>48400</v>
      </c>
      <c r="AH29" s="19">
        <v>49600</v>
      </c>
      <c r="AI29" s="19">
        <v>48500</v>
      </c>
      <c r="AJ29" s="19"/>
      <c r="AK29" s="644">
        <f t="shared" si="0"/>
        <v>0.69503603680096671</v>
      </c>
      <c r="AL29" s="644">
        <f t="shared" si="1"/>
        <v>-1.3749479442539569</v>
      </c>
      <c r="AM29" s="959">
        <f>((((AI29/I29))^(1/26))-1)*100</f>
        <v>-0.18559342974787674</v>
      </c>
      <c r="AN29" s="959">
        <f>((((AI29/AB29))^(1/7))-1)*100</f>
        <v>0.69647129935119789</v>
      </c>
      <c r="AO29" s="23"/>
      <c r="AP29" s="959">
        <f>((AI29/I29)-1)*100</f>
        <v>-4.7151277013752431</v>
      </c>
      <c r="AR29" s="805"/>
    </row>
    <row r="30" spans="1:49" s="114" customFormat="1" ht="15">
      <c r="A30" s="1"/>
      <c r="B30" s="1"/>
      <c r="C30" s="1"/>
      <c r="D30" s="1" t="s">
        <v>625</v>
      </c>
      <c r="E30" s="1"/>
      <c r="F30" s="1"/>
      <c r="G30" s="1"/>
      <c r="H30" s="2"/>
      <c r="I30" s="20">
        <v>19600</v>
      </c>
      <c r="J30" s="19">
        <v>15700</v>
      </c>
      <c r="K30" s="19">
        <v>13300</v>
      </c>
      <c r="L30" s="19">
        <v>14400</v>
      </c>
      <c r="M30" s="19">
        <v>14800</v>
      </c>
      <c r="N30" s="19">
        <v>16000</v>
      </c>
      <c r="O30" s="19">
        <v>17400</v>
      </c>
      <c r="P30" s="39">
        <v>16900</v>
      </c>
      <c r="Q30" s="240">
        <v>19400</v>
      </c>
      <c r="R30" s="19">
        <v>12700</v>
      </c>
      <c r="S30" s="19">
        <v>10800</v>
      </c>
      <c r="T30" s="19">
        <v>11300</v>
      </c>
      <c r="U30" s="19">
        <v>9800</v>
      </c>
      <c r="V30" s="19">
        <v>10800</v>
      </c>
      <c r="W30" s="19">
        <v>12100</v>
      </c>
      <c r="X30" s="19">
        <v>9700</v>
      </c>
      <c r="Y30" s="19">
        <v>12700</v>
      </c>
      <c r="Z30" s="19">
        <v>13800</v>
      </c>
      <c r="AA30" s="19">
        <v>16600</v>
      </c>
      <c r="AB30" s="19">
        <v>19400</v>
      </c>
      <c r="AC30" s="19">
        <v>20700</v>
      </c>
      <c r="AD30" s="19">
        <v>17300</v>
      </c>
      <c r="AE30" s="19">
        <v>18400</v>
      </c>
      <c r="AF30" s="19">
        <v>19900</v>
      </c>
      <c r="AG30" s="19">
        <v>23100</v>
      </c>
      <c r="AH30" s="19">
        <v>23600</v>
      </c>
      <c r="AI30" s="19">
        <v>24400</v>
      </c>
      <c r="AJ30" s="19"/>
      <c r="AK30" s="644">
        <f t="shared" si="0"/>
        <v>-0.12812410298500554</v>
      </c>
      <c r="AL30" s="644">
        <f t="shared" si="1"/>
        <v>0</v>
      </c>
      <c r="AM30" s="959">
        <f>((((AI30/I30))^(1/26))-1)*100</f>
        <v>0.84607285080984251</v>
      </c>
      <c r="AN30" s="959">
        <f>((((AI30/AB30))^(1/7))-1)*100</f>
        <v>3.330105050684895</v>
      </c>
      <c r="AO30" s="23"/>
      <c r="AP30" s="959">
        <f>((AI30/I30)-1)*100</f>
        <v>24.489795918367353</v>
      </c>
      <c r="AR30" s="805"/>
    </row>
    <row r="31" spans="1:49" s="114" customFormat="1">
      <c r="A31" s="1"/>
      <c r="B31" s="1"/>
      <c r="C31" s="1"/>
      <c r="D31" s="1"/>
      <c r="E31" s="1" t="s">
        <v>613</v>
      </c>
      <c r="F31" s="1"/>
      <c r="G31" s="1"/>
      <c r="H31" s="2"/>
      <c r="I31" s="20">
        <v>0</v>
      </c>
      <c r="J31" s="19">
        <v>0</v>
      </c>
      <c r="K31" s="19">
        <v>0</v>
      </c>
      <c r="L31" s="19">
        <v>0</v>
      </c>
      <c r="M31" s="19">
        <v>0</v>
      </c>
      <c r="N31" s="19">
        <v>0</v>
      </c>
      <c r="O31" s="19">
        <v>0</v>
      </c>
      <c r="P31" s="39">
        <v>0</v>
      </c>
      <c r="Q31" s="240">
        <v>0</v>
      </c>
      <c r="R31" s="19">
        <v>0</v>
      </c>
      <c r="S31" s="19">
        <v>0</v>
      </c>
      <c r="T31" s="19">
        <v>0</v>
      </c>
      <c r="U31" s="19">
        <v>0</v>
      </c>
      <c r="V31" s="19">
        <v>0</v>
      </c>
      <c r="W31" s="19">
        <v>0</v>
      </c>
      <c r="X31" s="19">
        <v>0</v>
      </c>
      <c r="Y31" s="19">
        <v>0</v>
      </c>
      <c r="Z31" s="19">
        <v>0</v>
      </c>
      <c r="AA31" s="19">
        <v>0</v>
      </c>
      <c r="AB31" s="19">
        <v>0</v>
      </c>
      <c r="AC31" s="19">
        <v>0</v>
      </c>
      <c r="AD31" s="19">
        <v>0</v>
      </c>
      <c r="AE31" s="19">
        <v>0</v>
      </c>
      <c r="AF31" s="19">
        <v>1000</v>
      </c>
      <c r="AG31" s="19">
        <v>0</v>
      </c>
      <c r="AH31" s="19">
        <v>0</v>
      </c>
      <c r="AI31" s="19">
        <v>0</v>
      </c>
      <c r="AJ31" s="19"/>
      <c r="AK31" s="644" t="s">
        <v>1309</v>
      </c>
      <c r="AL31" s="644" t="s">
        <v>1309</v>
      </c>
      <c r="AM31" s="644" t="s">
        <v>1309</v>
      </c>
      <c r="AN31" s="644" t="s">
        <v>1309</v>
      </c>
      <c r="AO31" s="23"/>
      <c r="AP31" s="644" t="s">
        <v>1309</v>
      </c>
    </row>
    <row r="32" spans="1:49" s="114" customFormat="1">
      <c r="A32" s="1"/>
      <c r="B32" s="1"/>
      <c r="C32" s="1"/>
      <c r="D32" s="1"/>
      <c r="E32" s="1" t="s">
        <v>620</v>
      </c>
      <c r="F32" s="1"/>
      <c r="G32" s="1"/>
      <c r="H32" s="2"/>
      <c r="I32" s="20">
        <v>26200</v>
      </c>
      <c r="J32" s="19">
        <v>25200</v>
      </c>
      <c r="K32" s="19">
        <v>22100</v>
      </c>
      <c r="L32" s="19">
        <v>22900</v>
      </c>
      <c r="M32" s="19">
        <v>21500</v>
      </c>
      <c r="N32" s="19">
        <v>25000</v>
      </c>
      <c r="O32" s="19">
        <v>22800</v>
      </c>
      <c r="P32" s="39">
        <v>23800</v>
      </c>
      <c r="Q32" s="240">
        <v>23900</v>
      </c>
      <c r="R32" s="19">
        <v>18300</v>
      </c>
      <c r="S32" s="19">
        <v>20200</v>
      </c>
      <c r="T32" s="19">
        <v>24500</v>
      </c>
      <c r="U32" s="19">
        <v>22300</v>
      </c>
      <c r="V32" s="19">
        <v>23100</v>
      </c>
      <c r="W32" s="19">
        <v>22800</v>
      </c>
      <c r="X32" s="19">
        <v>22800</v>
      </c>
      <c r="Y32" s="19">
        <v>22200</v>
      </c>
      <c r="Z32" s="19">
        <v>20100</v>
      </c>
      <c r="AA32" s="19">
        <v>23000</v>
      </c>
      <c r="AB32" s="19">
        <v>23800</v>
      </c>
      <c r="AC32" s="19">
        <v>23800</v>
      </c>
      <c r="AD32" s="19">
        <v>20700</v>
      </c>
      <c r="AE32" s="19">
        <v>21100</v>
      </c>
      <c r="AF32" s="19">
        <v>22800</v>
      </c>
      <c r="AG32" s="19">
        <v>24300</v>
      </c>
      <c r="AH32" s="19">
        <v>24000</v>
      </c>
      <c r="AI32" s="19">
        <v>24500</v>
      </c>
      <c r="AJ32" s="19"/>
      <c r="AK32" s="644">
        <f t="shared" si="0"/>
        <v>-1.1419416772826985</v>
      </c>
      <c r="AL32" s="644">
        <f t="shared" si="1"/>
        <v>-3.8109811457087694E-2</v>
      </c>
      <c r="AM32" s="959">
        <f>((((AI32/I32))^(1/26))-1)*100</f>
        <v>-0.25769160834852034</v>
      </c>
      <c r="AN32" s="959">
        <f>((((AI32/AB32))^(1/7))-1)*100</f>
        <v>0.41496628020973869</v>
      </c>
      <c r="AO32" s="23"/>
      <c r="AP32" s="959">
        <f>((AI32/I32)-1)*100</f>
        <v>-6.4885496183206159</v>
      </c>
    </row>
    <row r="33" spans="1:42" s="114" customFormat="1">
      <c r="A33" s="1"/>
      <c r="B33" s="1"/>
      <c r="C33" s="1"/>
      <c r="D33" s="1"/>
      <c r="E33" s="1" t="s">
        <v>626</v>
      </c>
      <c r="F33" s="1"/>
      <c r="G33" s="1"/>
      <c r="H33" s="2"/>
      <c r="I33" s="20">
        <v>42100</v>
      </c>
      <c r="J33" s="19">
        <v>37200</v>
      </c>
      <c r="K33" s="19">
        <v>33200</v>
      </c>
      <c r="L33" s="19">
        <v>39400</v>
      </c>
      <c r="M33" s="19">
        <v>37600</v>
      </c>
      <c r="N33" s="19">
        <v>34500</v>
      </c>
      <c r="O33" s="19">
        <v>41300</v>
      </c>
      <c r="P33" s="39">
        <v>40900</v>
      </c>
      <c r="Q33" s="240">
        <v>42500</v>
      </c>
      <c r="R33" s="19">
        <v>34600</v>
      </c>
      <c r="S33" s="19">
        <v>34900</v>
      </c>
      <c r="T33" s="19">
        <v>37600</v>
      </c>
      <c r="U33" s="19">
        <v>36200</v>
      </c>
      <c r="V33" s="19">
        <v>41600</v>
      </c>
      <c r="W33" s="19">
        <v>40600</v>
      </c>
      <c r="X33" s="19">
        <v>37100</v>
      </c>
      <c r="Y33" s="19">
        <v>41600</v>
      </c>
      <c r="Z33" s="19">
        <v>43400</v>
      </c>
      <c r="AA33" s="19">
        <v>42200</v>
      </c>
      <c r="AB33" s="19">
        <v>45000</v>
      </c>
      <c r="AC33" s="19">
        <v>44500</v>
      </c>
      <c r="AD33" s="19">
        <v>36800</v>
      </c>
      <c r="AE33" s="19">
        <v>40700</v>
      </c>
      <c r="AF33" s="19">
        <v>36800</v>
      </c>
      <c r="AG33" s="19">
        <v>39900</v>
      </c>
      <c r="AH33" s="19">
        <v>41400</v>
      </c>
      <c r="AI33" s="19">
        <v>43200</v>
      </c>
      <c r="AJ33" s="19"/>
      <c r="AK33" s="644">
        <f t="shared" si="0"/>
        <v>0.11827407921314315</v>
      </c>
      <c r="AL33" s="644">
        <f t="shared" si="1"/>
        <v>0.52097432022284451</v>
      </c>
      <c r="AM33" s="959">
        <f>((((AI33/I33))^(1/26))-1)*100</f>
        <v>9.9252124514803697E-2</v>
      </c>
      <c r="AN33" s="959">
        <f>((((AI33/AB33))^(1/7))-1)*100</f>
        <v>-0.5814742068577794</v>
      </c>
      <c r="AO33" s="23"/>
      <c r="AP33" s="959">
        <f>((AI33/I33)-1)*100</f>
        <v>2.6128266033254244</v>
      </c>
    </row>
    <row r="34" spans="1:42" s="114" customFormat="1">
      <c r="A34" s="1"/>
      <c r="B34" s="1"/>
      <c r="C34" s="1"/>
      <c r="D34" s="1"/>
      <c r="E34" s="1"/>
      <c r="F34" s="1"/>
      <c r="G34" s="1"/>
      <c r="H34" s="2"/>
      <c r="I34" s="20"/>
      <c r="J34" s="39"/>
      <c r="K34" s="39"/>
      <c r="L34" s="39"/>
      <c r="M34" s="39"/>
      <c r="N34" s="39"/>
      <c r="O34" s="39"/>
      <c r="P34" s="39"/>
      <c r="Q34" s="240"/>
      <c r="R34" s="19"/>
      <c r="S34" s="19"/>
      <c r="T34" s="19"/>
      <c r="U34" s="19"/>
      <c r="V34" s="19"/>
      <c r="W34" s="19"/>
      <c r="X34" s="19"/>
      <c r="Y34" s="19"/>
      <c r="Z34" s="19"/>
      <c r="AA34" s="19"/>
      <c r="AB34" s="19"/>
      <c r="AC34" s="19"/>
      <c r="AD34" s="19"/>
      <c r="AE34" s="19"/>
      <c r="AF34" s="19"/>
      <c r="AG34" s="19"/>
      <c r="AH34" s="19"/>
      <c r="AI34" s="19"/>
      <c r="AJ34" s="19"/>
      <c r="AK34" s="644"/>
      <c r="AL34" s="644"/>
      <c r="AM34" s="644"/>
      <c r="AN34" s="644"/>
      <c r="AO34" s="23"/>
      <c r="AP34" s="644"/>
    </row>
    <row r="35" spans="1:42" s="114" customFormat="1">
      <c r="A35" s="1"/>
      <c r="B35" s="1"/>
      <c r="C35" s="1"/>
      <c r="D35" s="128" t="s">
        <v>2</v>
      </c>
      <c r="E35" s="1"/>
      <c r="F35" s="1"/>
      <c r="G35" s="1"/>
      <c r="H35" s="2"/>
      <c r="I35" s="20">
        <v>47600</v>
      </c>
      <c r="J35" s="19">
        <v>44300</v>
      </c>
      <c r="K35" s="19">
        <v>43700</v>
      </c>
      <c r="L35" s="19">
        <v>43500</v>
      </c>
      <c r="M35" s="19">
        <v>42200</v>
      </c>
      <c r="N35" s="19">
        <v>45600</v>
      </c>
      <c r="O35" s="19">
        <v>44900</v>
      </c>
      <c r="P35" s="39">
        <v>47400</v>
      </c>
      <c r="Q35" s="240">
        <v>50800</v>
      </c>
      <c r="R35" s="19">
        <v>45400</v>
      </c>
      <c r="S35" s="19">
        <v>42100</v>
      </c>
      <c r="T35" s="19">
        <v>38000</v>
      </c>
      <c r="U35" s="19">
        <v>38300</v>
      </c>
      <c r="V35" s="19">
        <v>40400</v>
      </c>
      <c r="W35" s="19">
        <v>43100</v>
      </c>
      <c r="X35" s="19">
        <v>42800</v>
      </c>
      <c r="Y35" s="19">
        <v>44500</v>
      </c>
      <c r="Z35" s="19">
        <v>43500</v>
      </c>
      <c r="AA35" s="19">
        <v>47800</v>
      </c>
      <c r="AB35" s="19">
        <v>48900</v>
      </c>
      <c r="AC35" s="19">
        <v>51300</v>
      </c>
      <c r="AD35" s="19">
        <v>50500</v>
      </c>
      <c r="AE35" s="19">
        <v>48100</v>
      </c>
      <c r="AF35" s="19">
        <v>50200</v>
      </c>
      <c r="AG35" s="19">
        <v>50700</v>
      </c>
      <c r="AH35" s="19">
        <v>52800</v>
      </c>
      <c r="AI35" s="19">
        <v>54300</v>
      </c>
      <c r="AJ35" s="19"/>
      <c r="AK35" s="644">
        <f>((((Q35/I35))^(1/8))-1)*100</f>
        <v>0.81661114408653201</v>
      </c>
      <c r="AL35" s="644">
        <f>((((AB35/Q35))^(1/11))-1)*100</f>
        <v>-0.3459362397984167</v>
      </c>
      <c r="AM35" s="959">
        <f>((((AI35/I35))^(1/26))-1)*100</f>
        <v>0.50779054558216519</v>
      </c>
      <c r="AN35" s="959">
        <f>((((AI35/AB35))^(1/7))-1)*100</f>
        <v>1.5076351606971627</v>
      </c>
      <c r="AO35" s="23"/>
      <c r="AP35" s="959">
        <f>((AI35/I35)-1)*100</f>
        <v>14.075630252100835</v>
      </c>
    </row>
    <row r="36" spans="1:42" s="114" customFormat="1">
      <c r="A36" s="1"/>
      <c r="B36" s="1"/>
      <c r="C36" s="1"/>
      <c r="D36" s="1"/>
      <c r="E36" s="1"/>
      <c r="F36" s="1"/>
      <c r="G36" s="1"/>
      <c r="H36" s="2"/>
      <c r="I36" s="20"/>
      <c r="J36" s="39"/>
      <c r="K36" s="39"/>
      <c r="L36" s="39"/>
      <c r="M36" s="39"/>
      <c r="N36" s="39"/>
      <c r="O36" s="39"/>
      <c r="P36" s="39"/>
      <c r="Q36" s="240"/>
      <c r="R36" s="19"/>
      <c r="S36" s="19"/>
      <c r="T36" s="19"/>
      <c r="U36" s="19"/>
      <c r="V36" s="19"/>
      <c r="W36" s="19"/>
      <c r="X36" s="19"/>
      <c r="Y36" s="19"/>
      <c r="Z36" s="19"/>
      <c r="AA36" s="19"/>
      <c r="AB36" s="19"/>
      <c r="AC36" s="19"/>
      <c r="AD36" s="19"/>
      <c r="AE36" s="19"/>
      <c r="AF36" s="19"/>
      <c r="AG36" s="19"/>
      <c r="AH36" s="19"/>
      <c r="AI36" s="19"/>
      <c r="AJ36" s="19"/>
      <c r="AK36" s="644"/>
      <c r="AL36" s="644"/>
      <c r="AM36" s="644"/>
      <c r="AN36" s="644"/>
      <c r="AO36" s="23"/>
      <c r="AP36" s="644"/>
    </row>
    <row r="37" spans="1:42" s="114" customFormat="1">
      <c r="A37" s="1"/>
      <c r="B37" s="128" t="s">
        <v>3</v>
      </c>
      <c r="C37" s="1"/>
      <c r="D37" s="1"/>
      <c r="E37" s="1"/>
      <c r="F37" s="1"/>
      <c r="G37" s="1"/>
      <c r="H37" s="2"/>
      <c r="I37" s="20">
        <v>20300</v>
      </c>
      <c r="J37" s="19">
        <v>19000</v>
      </c>
      <c r="K37" s="19">
        <v>15400</v>
      </c>
      <c r="L37" s="19">
        <v>16600</v>
      </c>
      <c r="M37" s="19">
        <v>17700</v>
      </c>
      <c r="N37" s="19">
        <v>17400</v>
      </c>
      <c r="O37" s="19">
        <v>18100</v>
      </c>
      <c r="P37" s="39">
        <v>17800</v>
      </c>
      <c r="Q37" s="240">
        <v>20200</v>
      </c>
      <c r="R37" s="19">
        <v>17100</v>
      </c>
      <c r="S37" s="19">
        <v>14100</v>
      </c>
      <c r="T37" s="19">
        <v>13800</v>
      </c>
      <c r="U37" s="19">
        <v>13000</v>
      </c>
      <c r="V37" s="19">
        <v>12800</v>
      </c>
      <c r="W37" s="19">
        <v>14700</v>
      </c>
      <c r="X37" s="19">
        <v>13200</v>
      </c>
      <c r="Y37" s="19">
        <v>13200</v>
      </c>
      <c r="Z37" s="19">
        <v>14300</v>
      </c>
      <c r="AA37" s="19">
        <v>15400</v>
      </c>
      <c r="AB37" s="19">
        <v>16300</v>
      </c>
      <c r="AC37" s="19">
        <v>17400</v>
      </c>
      <c r="AD37" s="19">
        <v>18200</v>
      </c>
      <c r="AE37" s="19">
        <v>18200</v>
      </c>
      <c r="AF37" s="19">
        <v>18200</v>
      </c>
      <c r="AG37" s="19">
        <v>18800</v>
      </c>
      <c r="AH37" s="19">
        <v>19300</v>
      </c>
      <c r="AI37" s="19">
        <v>20600</v>
      </c>
      <c r="AJ37" s="19"/>
      <c r="AK37" s="644">
        <f>((((Q37/I37))^(1/8))-1)*100</f>
        <v>-6.1709472375637286E-2</v>
      </c>
      <c r="AL37" s="644">
        <f>((((AB37/Q37))^(1/11))-1)*100</f>
        <v>-1.9312664693354464</v>
      </c>
      <c r="AM37" s="959">
        <f>((((AI37/I37))^(1/26))-1)*100</f>
        <v>5.643972794642238E-2</v>
      </c>
      <c r="AN37" s="959">
        <f>((((AI37/AB37))^(1/7))-1)*100</f>
        <v>3.4012191726453089</v>
      </c>
      <c r="AO37" s="23"/>
      <c r="AP37" s="959">
        <f>((AI37/I37)-1)*100</f>
        <v>1.4778325123152802</v>
      </c>
    </row>
    <row r="38" spans="1:42" s="114" customFormat="1">
      <c r="A38" s="1"/>
      <c r="B38" s="128"/>
      <c r="C38" s="1"/>
      <c r="D38" s="1"/>
      <c r="E38" s="1"/>
      <c r="F38" s="1"/>
      <c r="G38" s="1"/>
      <c r="H38" s="2"/>
      <c r="I38" s="20"/>
      <c r="J38" s="39"/>
      <c r="K38" s="39"/>
      <c r="L38" s="39"/>
      <c r="M38" s="39"/>
      <c r="N38" s="39"/>
      <c r="O38" s="39"/>
      <c r="P38" s="39"/>
      <c r="Q38" s="240"/>
      <c r="R38" s="19"/>
      <c r="S38" s="19"/>
      <c r="T38" s="19"/>
      <c r="U38" s="19"/>
      <c r="V38" s="19"/>
      <c r="W38" s="19"/>
      <c r="X38" s="19"/>
      <c r="Y38" s="19"/>
      <c r="Z38" s="19"/>
      <c r="AA38" s="19"/>
      <c r="AB38" s="19"/>
      <c r="AC38" s="19"/>
      <c r="AD38" s="19"/>
      <c r="AE38" s="19"/>
      <c r="AF38" s="19"/>
      <c r="AG38" s="19"/>
      <c r="AH38" s="19"/>
      <c r="AI38" s="19"/>
      <c r="AJ38" s="19"/>
      <c r="AK38" s="644"/>
      <c r="AL38" s="644"/>
      <c r="AM38" s="644"/>
      <c r="AN38" s="644"/>
      <c r="AO38" s="23"/>
      <c r="AP38" s="644"/>
    </row>
    <row r="39" spans="1:42" s="114" customFormat="1">
      <c r="A39" s="1"/>
      <c r="B39" s="1"/>
      <c r="C39" s="128" t="s">
        <v>4</v>
      </c>
      <c r="D39" s="1"/>
      <c r="E39" s="1"/>
      <c r="F39" s="1"/>
      <c r="G39" s="1"/>
      <c r="H39" s="2"/>
      <c r="I39" s="20">
        <v>4800</v>
      </c>
      <c r="J39" s="19">
        <v>5500</v>
      </c>
      <c r="K39" s="19">
        <v>5100</v>
      </c>
      <c r="L39" s="19">
        <v>4600</v>
      </c>
      <c r="M39" s="19">
        <v>4200</v>
      </c>
      <c r="N39" s="19">
        <v>4800</v>
      </c>
      <c r="O39" s="19">
        <v>5600</v>
      </c>
      <c r="P39" s="39">
        <v>5700</v>
      </c>
      <c r="Q39" s="240">
        <v>7500</v>
      </c>
      <c r="R39" s="19">
        <v>6200</v>
      </c>
      <c r="S39" s="19">
        <v>4400</v>
      </c>
      <c r="T39" s="19">
        <v>6000</v>
      </c>
      <c r="U39" s="19">
        <v>5200</v>
      </c>
      <c r="V39" s="19">
        <v>5700</v>
      </c>
      <c r="W39" s="19">
        <v>7300</v>
      </c>
      <c r="X39" s="19">
        <v>6700</v>
      </c>
      <c r="Y39" s="19">
        <v>5900</v>
      </c>
      <c r="Z39" s="19">
        <v>5900</v>
      </c>
      <c r="AA39" s="19">
        <v>6000</v>
      </c>
      <c r="AB39" s="19">
        <v>5900</v>
      </c>
      <c r="AC39" s="19">
        <v>7300</v>
      </c>
      <c r="AD39" s="19">
        <v>8200</v>
      </c>
      <c r="AE39" s="19">
        <v>8500</v>
      </c>
      <c r="AF39" s="19">
        <v>8600</v>
      </c>
      <c r="AG39" s="19">
        <v>8200</v>
      </c>
      <c r="AH39" s="19">
        <v>8500</v>
      </c>
      <c r="AI39" s="19">
        <v>10000</v>
      </c>
      <c r="AJ39" s="19"/>
      <c r="AK39" s="644">
        <f t="shared" ref="AK39:AK44" si="2">((((Q39/I39))^(1/8))-1)*100</f>
        <v>5.7371263440564091</v>
      </c>
      <c r="AL39" s="644">
        <f t="shared" ref="AL39:AL44" si="3">((((AB39/Q39))^(1/11))-1)*100</f>
        <v>-2.1577499114433185</v>
      </c>
      <c r="AM39" s="959">
        <f t="shared" ref="AM39:AM44" si="4">((((AI39/I39))^(1/26))-1)*100</f>
        <v>2.8631814368177633</v>
      </c>
      <c r="AN39" s="959">
        <f t="shared" ref="AN39:AN44" si="5">((((AI39/AB39))^(1/7))-1)*100</f>
        <v>7.8289625839772503</v>
      </c>
      <c r="AO39" s="23"/>
      <c r="AP39" s="959">
        <f t="shared" ref="AP39:AP44" si="6">((AI39/I39)-1)*100</f>
        <v>108.33333333333334</v>
      </c>
    </row>
    <row r="40" spans="1:42" s="114" customFormat="1">
      <c r="A40" s="1"/>
      <c r="B40" s="1"/>
      <c r="C40" s="1" t="s">
        <v>5</v>
      </c>
      <c r="D40" s="1"/>
      <c r="E40" s="1"/>
      <c r="F40" s="1"/>
      <c r="G40" s="1"/>
      <c r="H40" s="2"/>
      <c r="I40" s="20">
        <v>3400</v>
      </c>
      <c r="J40" s="19">
        <v>1900</v>
      </c>
      <c r="K40" s="19">
        <v>3800</v>
      </c>
      <c r="L40" s="19">
        <v>3200</v>
      </c>
      <c r="M40" s="19">
        <v>3300</v>
      </c>
      <c r="N40" s="19">
        <v>3400</v>
      </c>
      <c r="O40" s="19">
        <v>4400</v>
      </c>
      <c r="P40" s="39">
        <v>4700</v>
      </c>
      <c r="Q40" s="240">
        <v>6300</v>
      </c>
      <c r="R40" s="19">
        <v>4800</v>
      </c>
      <c r="S40" s="19">
        <v>3100</v>
      </c>
      <c r="T40" s="19">
        <v>5600</v>
      </c>
      <c r="U40" s="19">
        <v>3500</v>
      </c>
      <c r="V40" s="19">
        <v>5000</v>
      </c>
      <c r="W40" s="19">
        <v>6400</v>
      </c>
      <c r="X40" s="19">
        <v>5300</v>
      </c>
      <c r="Y40" s="19">
        <v>3700</v>
      </c>
      <c r="Z40" s="19">
        <v>4300</v>
      </c>
      <c r="AA40" s="19">
        <v>5100</v>
      </c>
      <c r="AB40" s="19">
        <v>4300</v>
      </c>
      <c r="AC40" s="19">
        <v>4900</v>
      </c>
      <c r="AD40" s="19">
        <v>6700</v>
      </c>
      <c r="AE40" s="19">
        <v>5700</v>
      </c>
      <c r="AF40" s="19">
        <v>7300</v>
      </c>
      <c r="AG40" s="19">
        <v>5700</v>
      </c>
      <c r="AH40" s="19">
        <v>6300</v>
      </c>
      <c r="AI40" s="19">
        <v>6600</v>
      </c>
      <c r="AJ40" s="19"/>
      <c r="AK40" s="644">
        <f t="shared" si="2"/>
        <v>8.0146602761927319</v>
      </c>
      <c r="AL40" s="644">
        <f t="shared" si="3"/>
        <v>-3.4125459289758187</v>
      </c>
      <c r="AM40" s="959">
        <f t="shared" si="4"/>
        <v>2.5839514660354279</v>
      </c>
      <c r="AN40" s="959">
        <f t="shared" si="5"/>
        <v>6.3119811530871095</v>
      </c>
      <c r="AO40" s="23"/>
      <c r="AP40" s="959">
        <f t="shared" si="6"/>
        <v>94.117647058823522</v>
      </c>
    </row>
    <row r="41" spans="1:42" s="114" customFormat="1">
      <c r="A41" s="1"/>
      <c r="B41" s="1"/>
      <c r="C41" s="1" t="s">
        <v>6</v>
      </c>
      <c r="D41" s="1"/>
      <c r="E41" s="1"/>
      <c r="F41" s="1"/>
      <c r="G41" s="1"/>
      <c r="H41" s="2"/>
      <c r="I41" s="20">
        <v>22700</v>
      </c>
      <c r="J41" s="19">
        <v>25100</v>
      </c>
      <c r="K41" s="19">
        <v>11900</v>
      </c>
      <c r="L41" s="19">
        <v>23000</v>
      </c>
      <c r="M41" s="19">
        <v>27800</v>
      </c>
      <c r="N41" s="19">
        <v>22600</v>
      </c>
      <c r="O41" s="19">
        <v>19300</v>
      </c>
      <c r="P41" s="39">
        <v>20400</v>
      </c>
      <c r="Q41" s="240">
        <v>23900</v>
      </c>
      <c r="R41" s="19">
        <v>21100</v>
      </c>
      <c r="S41" s="19">
        <v>18500</v>
      </c>
      <c r="T41" s="19">
        <v>14300</v>
      </c>
      <c r="U41" s="19">
        <v>17200</v>
      </c>
      <c r="V41" s="19">
        <v>23400</v>
      </c>
      <c r="W41" s="19">
        <v>20700</v>
      </c>
      <c r="X41" s="19">
        <v>23600</v>
      </c>
      <c r="Y41" s="19">
        <v>19700</v>
      </c>
      <c r="Z41" s="19">
        <v>27300</v>
      </c>
      <c r="AA41" s="19">
        <v>13400</v>
      </c>
      <c r="AB41" s="19">
        <v>14300</v>
      </c>
      <c r="AC41" s="19">
        <v>16700</v>
      </c>
      <c r="AD41" s="19">
        <v>19500</v>
      </c>
      <c r="AE41" s="19">
        <v>17400</v>
      </c>
      <c r="AF41" s="19">
        <v>17000</v>
      </c>
      <c r="AG41" s="19">
        <v>23100</v>
      </c>
      <c r="AH41" s="19">
        <v>22900</v>
      </c>
      <c r="AI41" s="19">
        <v>23100</v>
      </c>
      <c r="AJ41" s="19"/>
      <c r="AK41" s="644">
        <f t="shared" si="2"/>
        <v>0.64599679717880498</v>
      </c>
      <c r="AL41" s="644">
        <f t="shared" si="3"/>
        <v>-4.561929876969451</v>
      </c>
      <c r="AM41" s="959">
        <f t="shared" si="4"/>
        <v>6.7206007895115327E-2</v>
      </c>
      <c r="AN41" s="959">
        <f t="shared" si="5"/>
        <v>7.0911805251929971</v>
      </c>
      <c r="AO41" s="23"/>
      <c r="AP41" s="959">
        <f t="shared" si="6"/>
        <v>1.7621145374449254</v>
      </c>
    </row>
    <row r="42" spans="1:42" s="114" customFormat="1">
      <c r="A42" s="1"/>
      <c r="B42" s="1"/>
      <c r="C42" s="128" t="s">
        <v>7</v>
      </c>
      <c r="D42" s="1"/>
      <c r="E42" s="1"/>
      <c r="F42" s="1"/>
      <c r="G42" s="1"/>
      <c r="H42" s="2"/>
      <c r="I42" s="20">
        <v>2900</v>
      </c>
      <c r="J42" s="19">
        <v>2900</v>
      </c>
      <c r="K42" s="19">
        <v>1900</v>
      </c>
      <c r="L42" s="19">
        <v>2800</v>
      </c>
      <c r="M42" s="19">
        <v>3200</v>
      </c>
      <c r="N42" s="19">
        <v>3100</v>
      </c>
      <c r="O42" s="19">
        <v>2900</v>
      </c>
      <c r="P42" s="39">
        <v>2400</v>
      </c>
      <c r="Q42" s="240">
        <v>3600</v>
      </c>
      <c r="R42" s="19">
        <v>3500</v>
      </c>
      <c r="S42" s="19">
        <v>3200</v>
      </c>
      <c r="T42" s="19">
        <v>3200</v>
      </c>
      <c r="U42" s="19">
        <v>3300</v>
      </c>
      <c r="V42" s="19">
        <v>2600</v>
      </c>
      <c r="W42" s="19">
        <v>3900</v>
      </c>
      <c r="X42" s="19">
        <v>3700</v>
      </c>
      <c r="Y42" s="19">
        <v>2900</v>
      </c>
      <c r="Z42" s="19">
        <v>4500</v>
      </c>
      <c r="AA42" s="19">
        <v>4200</v>
      </c>
      <c r="AB42" s="19">
        <v>4900</v>
      </c>
      <c r="AC42" s="19">
        <v>5800</v>
      </c>
      <c r="AD42" s="19">
        <v>5400</v>
      </c>
      <c r="AE42" s="19">
        <v>5800</v>
      </c>
      <c r="AF42" s="19">
        <v>6400</v>
      </c>
      <c r="AG42" s="19">
        <v>5400</v>
      </c>
      <c r="AH42" s="19">
        <v>6400</v>
      </c>
      <c r="AI42" s="19">
        <v>7400</v>
      </c>
      <c r="AJ42" s="19"/>
      <c r="AK42" s="644">
        <f t="shared" si="2"/>
        <v>2.7396454970300299</v>
      </c>
      <c r="AL42" s="644">
        <f t="shared" si="3"/>
        <v>2.8423859077197466</v>
      </c>
      <c r="AM42" s="959">
        <f t="shared" si="4"/>
        <v>3.6686518529750245</v>
      </c>
      <c r="AN42" s="959">
        <f t="shared" si="5"/>
        <v>6.0660803675307351</v>
      </c>
      <c r="AO42" s="23"/>
      <c r="AP42" s="959">
        <f t="shared" si="6"/>
        <v>155.17241379310346</v>
      </c>
    </row>
    <row r="43" spans="1:42" s="114" customFormat="1">
      <c r="A43" s="1"/>
      <c r="B43" s="1"/>
      <c r="C43" s="1" t="s">
        <v>5</v>
      </c>
      <c r="D43" s="1"/>
      <c r="E43" s="1"/>
      <c r="F43" s="1"/>
      <c r="G43" s="1"/>
      <c r="H43" s="2"/>
      <c r="I43" s="20">
        <v>2200</v>
      </c>
      <c r="J43" s="19">
        <v>2100</v>
      </c>
      <c r="K43" s="19">
        <v>1300</v>
      </c>
      <c r="L43" s="19">
        <v>2000</v>
      </c>
      <c r="M43" s="19">
        <v>2700</v>
      </c>
      <c r="N43" s="19">
        <v>2500</v>
      </c>
      <c r="O43" s="19">
        <v>2400</v>
      </c>
      <c r="P43" s="39">
        <v>1900</v>
      </c>
      <c r="Q43" s="240">
        <v>3100</v>
      </c>
      <c r="R43" s="19">
        <v>3200</v>
      </c>
      <c r="S43" s="19">
        <v>3000</v>
      </c>
      <c r="T43" s="19">
        <v>2700</v>
      </c>
      <c r="U43" s="19">
        <v>3000</v>
      </c>
      <c r="V43" s="19">
        <v>2500</v>
      </c>
      <c r="W43" s="19">
        <v>3300</v>
      </c>
      <c r="X43" s="19">
        <v>3300</v>
      </c>
      <c r="Y43" s="19">
        <v>2500</v>
      </c>
      <c r="Z43" s="19">
        <v>3900</v>
      </c>
      <c r="AA43" s="19">
        <v>3500</v>
      </c>
      <c r="AB43" s="19">
        <v>4100</v>
      </c>
      <c r="AC43" s="19">
        <v>5000</v>
      </c>
      <c r="AD43" s="19">
        <v>4600</v>
      </c>
      <c r="AE43" s="19">
        <v>4800</v>
      </c>
      <c r="AF43" s="19">
        <v>5100</v>
      </c>
      <c r="AG43" s="19">
        <v>4200</v>
      </c>
      <c r="AH43" s="19">
        <v>5200</v>
      </c>
      <c r="AI43" s="19">
        <v>5900</v>
      </c>
      <c r="AJ43" s="19"/>
      <c r="AK43" s="644">
        <f t="shared" si="2"/>
        <v>4.3800202146166756</v>
      </c>
      <c r="AL43" s="644">
        <f t="shared" si="3"/>
        <v>2.5742566740952544</v>
      </c>
      <c r="AM43" s="959">
        <f t="shared" si="4"/>
        <v>3.8671107683141637</v>
      </c>
      <c r="AN43" s="959">
        <f t="shared" si="5"/>
        <v>5.3370532409653837</v>
      </c>
      <c r="AO43" s="23"/>
      <c r="AP43" s="959">
        <f t="shared" si="6"/>
        <v>168.18181818181816</v>
      </c>
    </row>
    <row r="44" spans="1:42" s="114" customFormat="1">
      <c r="A44" s="1"/>
      <c r="B44" s="1"/>
      <c r="C44" s="1" t="s">
        <v>6</v>
      </c>
      <c r="D44" s="1"/>
      <c r="E44" s="1"/>
      <c r="F44" s="1"/>
      <c r="G44" s="1"/>
      <c r="H44" s="2"/>
      <c r="I44" s="20">
        <v>16700</v>
      </c>
      <c r="J44" s="19">
        <v>15200</v>
      </c>
      <c r="K44" s="19">
        <v>11000</v>
      </c>
      <c r="L44" s="19">
        <v>18400</v>
      </c>
      <c r="M44" s="19">
        <v>18900</v>
      </c>
      <c r="N44" s="19">
        <v>16900</v>
      </c>
      <c r="O44" s="19">
        <v>18600</v>
      </c>
      <c r="P44" s="39">
        <v>19600</v>
      </c>
      <c r="Q44" s="240">
        <v>18300</v>
      </c>
      <c r="R44" s="19">
        <v>18500</v>
      </c>
      <c r="S44" s="19">
        <v>15100</v>
      </c>
      <c r="T44" s="19">
        <v>12700</v>
      </c>
      <c r="U44" s="19">
        <v>17700</v>
      </c>
      <c r="V44" s="19">
        <v>15000</v>
      </c>
      <c r="W44" s="19">
        <v>20700</v>
      </c>
      <c r="X44" s="19">
        <v>15200</v>
      </c>
      <c r="Y44" s="19">
        <v>14000</v>
      </c>
      <c r="Z44" s="19">
        <v>13200</v>
      </c>
      <c r="AA44" s="19">
        <v>18500</v>
      </c>
      <c r="AB44" s="19">
        <v>18600</v>
      </c>
      <c r="AC44" s="19">
        <v>16800</v>
      </c>
      <c r="AD44" s="19">
        <v>14900</v>
      </c>
      <c r="AE44" s="19">
        <v>16600</v>
      </c>
      <c r="AF44" s="19">
        <v>19600</v>
      </c>
      <c r="AG44" s="19">
        <v>19500</v>
      </c>
      <c r="AH44" s="19">
        <v>15700</v>
      </c>
      <c r="AI44" s="19">
        <v>21300</v>
      </c>
      <c r="AJ44" s="19"/>
      <c r="AK44" s="644">
        <f t="shared" si="2"/>
        <v>1.1502189826455789</v>
      </c>
      <c r="AL44" s="644">
        <f t="shared" si="3"/>
        <v>0.14793222894622371</v>
      </c>
      <c r="AM44" s="959">
        <f t="shared" si="4"/>
        <v>0.94015484700162855</v>
      </c>
      <c r="AN44" s="959">
        <f t="shared" si="5"/>
        <v>1.9552332972792241</v>
      </c>
      <c r="AO44" s="23"/>
      <c r="AP44" s="959">
        <f t="shared" si="6"/>
        <v>27.544910179640713</v>
      </c>
    </row>
    <row r="45" spans="1:42" s="114" customFormat="1">
      <c r="A45" s="1"/>
      <c r="B45" s="1"/>
      <c r="C45" s="1"/>
      <c r="D45" s="1"/>
      <c r="E45" s="1"/>
      <c r="F45" s="1"/>
      <c r="G45" s="1"/>
      <c r="H45" s="2"/>
      <c r="I45" s="20"/>
      <c r="J45" s="39"/>
      <c r="K45" s="39"/>
      <c r="L45" s="39"/>
      <c r="M45" s="39"/>
      <c r="N45" s="39"/>
      <c r="O45" s="39"/>
      <c r="P45" s="39"/>
      <c r="Q45" s="240"/>
      <c r="R45" s="19"/>
      <c r="S45" s="19"/>
      <c r="T45" s="19"/>
      <c r="U45" s="19"/>
      <c r="V45" s="19"/>
      <c r="W45" s="19"/>
      <c r="X45" s="19"/>
      <c r="Y45" s="19"/>
      <c r="Z45" s="19"/>
      <c r="AA45" s="19"/>
      <c r="AB45" s="19"/>
      <c r="AC45" s="19"/>
      <c r="AD45" s="19"/>
      <c r="AE45" s="19"/>
      <c r="AF45" s="19"/>
      <c r="AG45" s="19"/>
      <c r="AH45" s="19"/>
      <c r="AI45" s="19"/>
      <c r="AJ45" s="19"/>
      <c r="AK45" s="644"/>
      <c r="AL45" s="644"/>
      <c r="AM45" s="644"/>
      <c r="AN45" s="644"/>
      <c r="AO45" s="23"/>
      <c r="AP45" s="644"/>
    </row>
    <row r="46" spans="1:42" s="114" customFormat="1">
      <c r="A46" s="1"/>
      <c r="B46" s="1"/>
      <c r="C46" s="128" t="s">
        <v>8</v>
      </c>
      <c r="D46" s="1"/>
      <c r="E46" s="1"/>
      <c r="F46" s="1"/>
      <c r="G46" s="1"/>
      <c r="H46" s="2"/>
      <c r="I46" s="20">
        <v>34400</v>
      </c>
      <c r="J46" s="19">
        <v>30500</v>
      </c>
      <c r="K46" s="19">
        <v>25700</v>
      </c>
      <c r="L46" s="19">
        <v>27600</v>
      </c>
      <c r="M46" s="19">
        <v>26700</v>
      </c>
      <c r="N46" s="19">
        <v>27200</v>
      </c>
      <c r="O46" s="19">
        <v>28600</v>
      </c>
      <c r="P46" s="39">
        <v>31100</v>
      </c>
      <c r="Q46" s="240">
        <v>31300</v>
      </c>
      <c r="R46" s="19">
        <v>27800</v>
      </c>
      <c r="S46" s="19">
        <v>22900</v>
      </c>
      <c r="T46" s="19">
        <v>21400</v>
      </c>
      <c r="U46" s="19">
        <v>21700</v>
      </c>
      <c r="V46" s="19">
        <v>21500</v>
      </c>
      <c r="W46" s="19">
        <v>22900</v>
      </c>
      <c r="X46" s="19">
        <v>22300</v>
      </c>
      <c r="Y46" s="19">
        <v>21700</v>
      </c>
      <c r="Z46" s="19">
        <v>23100</v>
      </c>
      <c r="AA46" s="19">
        <v>25200</v>
      </c>
      <c r="AB46" s="19">
        <v>27300</v>
      </c>
      <c r="AC46" s="19">
        <v>27600</v>
      </c>
      <c r="AD46" s="19">
        <v>27900</v>
      </c>
      <c r="AE46" s="19">
        <v>27400</v>
      </c>
      <c r="AF46" s="19">
        <v>26900</v>
      </c>
      <c r="AG46" s="19">
        <v>27800</v>
      </c>
      <c r="AH46" s="19">
        <v>28600</v>
      </c>
      <c r="AI46" s="19">
        <v>29700</v>
      </c>
      <c r="AJ46" s="19"/>
      <c r="AK46" s="644">
        <f t="shared" ref="AK46:AK51" si="7">((((Q46/I46))^(1/8))-1)*100</f>
        <v>-1.17354049703422</v>
      </c>
      <c r="AL46" s="644">
        <f t="shared" ref="AL46:AL51" si="8">((((AB46/Q46))^(1/11))-1)*100</f>
        <v>-1.2353191923933804</v>
      </c>
      <c r="AM46" s="959">
        <f>((((AI46/I46))^(1/26))-1)*100</f>
        <v>-0.56344328041220137</v>
      </c>
      <c r="AN46" s="959">
        <f>((((AI46/AB46))^(1/7))-1)*100</f>
        <v>1.2109930503355848</v>
      </c>
      <c r="AO46" s="23"/>
      <c r="AP46" s="959">
        <f>((AI46/I46)-1)*100</f>
        <v>-13.662790697674421</v>
      </c>
    </row>
    <row r="47" spans="1:42" s="114" customFormat="1">
      <c r="A47" s="1"/>
      <c r="B47" s="1"/>
      <c r="C47" s="1" t="s">
        <v>5</v>
      </c>
      <c r="D47" s="1"/>
      <c r="E47" s="1"/>
      <c r="F47" s="1"/>
      <c r="G47" s="1"/>
      <c r="H47" s="2"/>
      <c r="I47" s="20">
        <v>0</v>
      </c>
      <c r="J47" s="19">
        <v>0</v>
      </c>
      <c r="K47" s="19">
        <v>0</v>
      </c>
      <c r="L47" s="19">
        <v>0</v>
      </c>
      <c r="M47" s="19">
        <v>0</v>
      </c>
      <c r="N47" s="19">
        <v>0</v>
      </c>
      <c r="O47" s="19">
        <v>0</v>
      </c>
      <c r="P47" s="39">
        <v>0</v>
      </c>
      <c r="Q47" s="240">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19">
        <v>0</v>
      </c>
      <c r="AI47" s="19">
        <v>0</v>
      </c>
      <c r="AJ47" s="19"/>
      <c r="AK47" s="644" t="s">
        <v>1309</v>
      </c>
      <c r="AL47" s="644" t="s">
        <v>1309</v>
      </c>
      <c r="AM47" s="644" t="s">
        <v>1309</v>
      </c>
      <c r="AN47" s="644" t="s">
        <v>1309</v>
      </c>
      <c r="AO47" s="23"/>
      <c r="AP47" s="644" t="s">
        <v>1309</v>
      </c>
    </row>
    <row r="48" spans="1:42" s="114" customFormat="1">
      <c r="A48" s="1"/>
      <c r="B48" s="1"/>
      <c r="C48" s="1" t="s">
        <v>6</v>
      </c>
      <c r="D48" s="1"/>
      <c r="E48" s="1"/>
      <c r="F48" s="1"/>
      <c r="G48" s="1"/>
      <c r="H48" s="2"/>
      <c r="I48" s="20">
        <v>37800</v>
      </c>
      <c r="J48" s="19">
        <v>34500</v>
      </c>
      <c r="K48" s="19">
        <v>32200</v>
      </c>
      <c r="L48" s="19">
        <v>33200</v>
      </c>
      <c r="M48" s="19">
        <v>31900</v>
      </c>
      <c r="N48" s="19">
        <v>32300</v>
      </c>
      <c r="O48" s="19">
        <v>32600</v>
      </c>
      <c r="P48" s="39">
        <v>35400</v>
      </c>
      <c r="Q48" s="240">
        <v>35400</v>
      </c>
      <c r="R48" s="19">
        <v>32500</v>
      </c>
      <c r="S48" s="19">
        <v>31000</v>
      </c>
      <c r="T48" s="19">
        <v>27600</v>
      </c>
      <c r="U48" s="19">
        <v>29200</v>
      </c>
      <c r="V48" s="19">
        <v>29100</v>
      </c>
      <c r="W48" s="19">
        <v>29900</v>
      </c>
      <c r="X48" s="19">
        <v>30000</v>
      </c>
      <c r="Y48" s="19">
        <v>29000</v>
      </c>
      <c r="Z48" s="19">
        <v>30500</v>
      </c>
      <c r="AA48" s="19">
        <v>31800</v>
      </c>
      <c r="AB48" s="19">
        <v>32600</v>
      </c>
      <c r="AC48" s="19">
        <v>32500</v>
      </c>
      <c r="AD48" s="19">
        <v>33500</v>
      </c>
      <c r="AE48" s="19">
        <v>33900</v>
      </c>
      <c r="AF48" s="19">
        <v>32700</v>
      </c>
      <c r="AG48" s="19">
        <v>33000</v>
      </c>
      <c r="AH48" s="19">
        <v>33700</v>
      </c>
      <c r="AI48" s="19">
        <v>34900</v>
      </c>
      <c r="AJ48" s="19"/>
      <c r="AK48" s="644">
        <f t="shared" si="7"/>
        <v>-0.81661347913234428</v>
      </c>
      <c r="AL48" s="644">
        <f t="shared" si="8"/>
        <v>-0.74628799085716402</v>
      </c>
      <c r="AM48" s="959">
        <f>((((AI48/I48))^(1/26))-1)*100</f>
        <v>-0.30653795397994621</v>
      </c>
      <c r="AN48" s="959">
        <f>((((AI48/AB48))^(1/7))-1)*100</f>
        <v>0.97868006640084992</v>
      </c>
      <c r="AO48" s="23"/>
      <c r="AP48" s="959">
        <f>((AI48/I48)-1)*100</f>
        <v>-7.6719576719576743</v>
      </c>
    </row>
    <row r="49" spans="1:44" s="114" customFormat="1">
      <c r="A49" s="1"/>
      <c r="B49" s="1"/>
      <c r="C49" s="128" t="s">
        <v>9</v>
      </c>
      <c r="D49" s="1"/>
      <c r="E49" s="1"/>
      <c r="F49" s="1"/>
      <c r="G49" s="1"/>
      <c r="H49" s="2"/>
      <c r="I49" s="20">
        <v>24800</v>
      </c>
      <c r="J49" s="19">
        <v>25500</v>
      </c>
      <c r="K49" s="19">
        <v>22700</v>
      </c>
      <c r="L49" s="19">
        <v>22100</v>
      </c>
      <c r="M49" s="19">
        <v>22100</v>
      </c>
      <c r="N49" s="19">
        <v>23300</v>
      </c>
      <c r="O49" s="19">
        <v>24400</v>
      </c>
      <c r="P49" s="39">
        <v>22600</v>
      </c>
      <c r="Q49" s="240">
        <v>25000</v>
      </c>
      <c r="R49" s="19">
        <v>21800</v>
      </c>
      <c r="S49" s="19">
        <v>19000</v>
      </c>
      <c r="T49" s="19">
        <v>17400</v>
      </c>
      <c r="U49" s="19">
        <v>18200</v>
      </c>
      <c r="V49" s="19">
        <v>16300</v>
      </c>
      <c r="W49" s="19">
        <v>19100</v>
      </c>
      <c r="X49" s="19">
        <v>16900</v>
      </c>
      <c r="Y49" s="19">
        <v>16800</v>
      </c>
      <c r="Z49" s="19">
        <v>15900</v>
      </c>
      <c r="AA49" s="19">
        <v>18000</v>
      </c>
      <c r="AB49" s="19">
        <v>17800</v>
      </c>
      <c r="AC49" s="19">
        <v>18700</v>
      </c>
      <c r="AD49" s="19">
        <v>20700</v>
      </c>
      <c r="AE49" s="19">
        <v>21100</v>
      </c>
      <c r="AF49" s="19">
        <v>20700</v>
      </c>
      <c r="AG49" s="19">
        <v>21500</v>
      </c>
      <c r="AH49" s="19">
        <v>22000</v>
      </c>
      <c r="AI49" s="19">
        <v>23100</v>
      </c>
      <c r="AJ49" s="19"/>
      <c r="AK49" s="644">
        <f t="shared" si="7"/>
        <v>0.10045256604340747</v>
      </c>
      <c r="AL49" s="644">
        <f t="shared" si="8"/>
        <v>-3.040785083988351</v>
      </c>
      <c r="AM49" s="959">
        <f>((((AI49/I49))^(1/26))-1)*100</f>
        <v>-0.27274673623316481</v>
      </c>
      <c r="AN49" s="959">
        <f>((((AI49/AB49))^(1/7))-1)*100</f>
        <v>3.7935300069462663</v>
      </c>
      <c r="AO49" s="23"/>
      <c r="AP49" s="959">
        <f>((AI49/I49)-1)*100</f>
        <v>-6.8548387096774244</v>
      </c>
    </row>
    <row r="50" spans="1:44" s="114" customFormat="1">
      <c r="A50" s="1"/>
      <c r="B50" s="1"/>
      <c r="C50" s="1" t="s">
        <v>5</v>
      </c>
      <c r="D50" s="1"/>
      <c r="E50" s="1"/>
      <c r="F50" s="1"/>
      <c r="G50" s="1"/>
      <c r="H50" s="2"/>
      <c r="I50" s="20">
        <v>0</v>
      </c>
      <c r="J50" s="19">
        <v>0</v>
      </c>
      <c r="K50" s="19">
        <v>0</v>
      </c>
      <c r="L50" s="19">
        <v>0</v>
      </c>
      <c r="M50" s="19">
        <v>0</v>
      </c>
      <c r="N50" s="19">
        <v>0</v>
      </c>
      <c r="O50" s="19">
        <v>0</v>
      </c>
      <c r="P50" s="39">
        <v>0</v>
      </c>
      <c r="Q50" s="240">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19">
        <v>0</v>
      </c>
      <c r="AI50" s="19">
        <v>0</v>
      </c>
      <c r="AJ50" s="19"/>
      <c r="AK50" s="644" t="s">
        <v>1309</v>
      </c>
      <c r="AL50" s="644" t="s">
        <v>1309</v>
      </c>
      <c r="AM50" s="644" t="s">
        <v>1309</v>
      </c>
      <c r="AN50" s="644" t="s">
        <v>1309</v>
      </c>
      <c r="AO50" s="23"/>
      <c r="AP50" s="644" t="s">
        <v>1309</v>
      </c>
    </row>
    <row r="51" spans="1:44">
      <c r="C51" s="1" t="s">
        <v>10</v>
      </c>
      <c r="H51" s="2"/>
      <c r="I51" s="20">
        <v>29500</v>
      </c>
      <c r="J51" s="19">
        <v>30500</v>
      </c>
      <c r="K51" s="19">
        <v>27300</v>
      </c>
      <c r="L51" s="19">
        <v>27200</v>
      </c>
      <c r="M51" s="19">
        <v>27900</v>
      </c>
      <c r="N51" s="19">
        <v>28900</v>
      </c>
      <c r="O51" s="19">
        <v>29100</v>
      </c>
      <c r="P51" s="39">
        <v>28300</v>
      </c>
      <c r="Q51" s="240">
        <v>29800</v>
      </c>
      <c r="R51" s="19">
        <v>27000</v>
      </c>
      <c r="S51" s="19">
        <v>26500</v>
      </c>
      <c r="T51" s="19">
        <v>26500</v>
      </c>
      <c r="U51" s="19">
        <v>28700</v>
      </c>
      <c r="V51" s="19">
        <v>25500</v>
      </c>
      <c r="W51" s="19">
        <v>27000</v>
      </c>
      <c r="X51" s="19">
        <v>25600</v>
      </c>
      <c r="Y51" s="19">
        <v>25900</v>
      </c>
      <c r="Z51" s="19">
        <v>25800</v>
      </c>
      <c r="AA51" s="19">
        <v>26700</v>
      </c>
      <c r="AB51" s="19">
        <v>26200</v>
      </c>
      <c r="AC51" s="19">
        <v>27400</v>
      </c>
      <c r="AD51" s="19">
        <v>28700</v>
      </c>
      <c r="AE51" s="19">
        <v>28000</v>
      </c>
      <c r="AF51" s="19">
        <v>27600</v>
      </c>
      <c r="AG51" s="19">
        <v>27100</v>
      </c>
      <c r="AH51" s="19">
        <v>29000</v>
      </c>
      <c r="AI51" s="19">
        <v>28600</v>
      </c>
      <c r="AJ51" s="19"/>
      <c r="AK51" s="644">
        <f t="shared" si="7"/>
        <v>0.12655664248581999</v>
      </c>
      <c r="AL51" s="644">
        <f t="shared" si="8"/>
        <v>-1.1636222327264023</v>
      </c>
      <c r="AM51" s="959">
        <f>((((AI51/I51))^(1/26))-1)*100</f>
        <v>-0.11909650652068837</v>
      </c>
      <c r="AN51" s="959">
        <f>((((AI51/AB51))^(1/7))-1)*100</f>
        <v>1.2599760329622622</v>
      </c>
      <c r="AO51" s="23"/>
      <c r="AP51" s="959">
        <f>((AI51/I51)-1)*100</f>
        <v>-3.050847457627115</v>
      </c>
    </row>
    <row r="53" spans="1:44" ht="48.75" customHeight="1">
      <c r="A53" s="1170" t="s">
        <v>697</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J53" s="1170"/>
      <c r="AK53" s="1170"/>
      <c r="AL53" s="1170"/>
      <c r="AM53" s="1170"/>
      <c r="AN53" s="1170"/>
      <c r="AO53" s="1170"/>
      <c r="AP53" s="1170"/>
      <c r="AQ53" s="1176"/>
    </row>
    <row r="54" spans="1:44">
      <c r="A54" s="4" t="s">
        <v>1868</v>
      </c>
    </row>
    <row r="55" spans="1:44">
      <c r="A55" s="4" t="s">
        <v>388</v>
      </c>
    </row>
    <row r="56" spans="1:44" ht="41.25" customHeight="1">
      <c r="A56" s="1170" t="s">
        <v>330</v>
      </c>
      <c r="B56" s="1170"/>
      <c r="C56" s="1170"/>
      <c r="D56" s="1170"/>
      <c r="E56" s="1170"/>
      <c r="F56" s="1170"/>
      <c r="G56" s="1170"/>
      <c r="H56" s="1170"/>
      <c r="I56" s="1170"/>
      <c r="J56" s="1170"/>
      <c r="K56" s="1170"/>
      <c r="L56" s="1170"/>
      <c r="M56" s="1170"/>
      <c r="N56" s="1170"/>
      <c r="O56" s="1170"/>
      <c r="P56" s="1170"/>
      <c r="Q56" s="1170"/>
      <c r="R56" s="1170"/>
      <c r="S56" s="1170"/>
      <c r="T56" s="1170"/>
      <c r="U56" s="1170"/>
      <c r="V56" s="1170"/>
      <c r="W56" s="1170"/>
      <c r="X56" s="1170"/>
      <c r="Y56" s="1170"/>
      <c r="Z56" s="1170"/>
      <c r="AA56" s="1170"/>
      <c r="AB56" s="1170"/>
      <c r="AC56" s="1170"/>
      <c r="AD56" s="1170"/>
      <c r="AE56" s="1170"/>
      <c r="AF56" s="1170"/>
      <c r="AG56" s="1170"/>
      <c r="AH56" s="1170"/>
      <c r="AI56" s="1170"/>
      <c r="AJ56" s="1170"/>
      <c r="AK56" s="1170"/>
      <c r="AL56" s="1170"/>
      <c r="AM56" s="1170"/>
      <c r="AN56" s="1170"/>
      <c r="AO56" s="1170"/>
      <c r="AP56" s="1170"/>
      <c r="AQ56" s="1176"/>
    </row>
    <row r="57" spans="1:44" ht="48.75" customHeight="1">
      <c r="A57" s="1170" t="s">
        <v>978</v>
      </c>
      <c r="B57" s="1170"/>
      <c r="C57" s="1170"/>
      <c r="D57" s="1170"/>
      <c r="E57" s="1170"/>
      <c r="F57" s="1170"/>
      <c r="G57" s="1170"/>
      <c r="H57" s="1170"/>
      <c r="I57" s="1170"/>
      <c r="J57" s="1170"/>
      <c r="K57" s="1170"/>
      <c r="L57" s="1170"/>
      <c r="M57" s="1170"/>
      <c r="N57" s="1170"/>
      <c r="O57" s="1170"/>
      <c r="P57" s="1170"/>
      <c r="Q57" s="1170"/>
      <c r="R57" s="1170"/>
      <c r="S57" s="1170"/>
      <c r="T57" s="1170"/>
      <c r="U57" s="1170"/>
      <c r="V57" s="1170"/>
      <c r="W57" s="1170"/>
      <c r="X57" s="1170"/>
      <c r="Y57" s="1170"/>
      <c r="Z57" s="1170"/>
      <c r="AA57" s="1170"/>
      <c r="AB57" s="1170"/>
      <c r="AC57" s="1170"/>
      <c r="AD57" s="1170"/>
      <c r="AE57" s="1170"/>
      <c r="AF57" s="1170"/>
      <c r="AG57" s="1170"/>
      <c r="AH57" s="1170"/>
      <c r="AI57" s="1170"/>
      <c r="AJ57" s="1170"/>
      <c r="AK57" s="1170"/>
      <c r="AL57" s="1170"/>
      <c r="AM57" s="1170"/>
      <c r="AN57" s="1170"/>
      <c r="AO57" s="1170"/>
      <c r="AP57" s="1170"/>
      <c r="AQ57" s="1176"/>
    </row>
    <row r="58" spans="1:44" ht="27" customHeight="1">
      <c r="A58" s="1170" t="s">
        <v>369</v>
      </c>
      <c r="B58" s="1170"/>
      <c r="C58" s="1170"/>
      <c r="D58" s="1170"/>
      <c r="E58" s="1170"/>
      <c r="F58" s="1170"/>
      <c r="G58" s="1170"/>
      <c r="H58" s="1170"/>
      <c r="I58" s="1170"/>
      <c r="J58" s="1170"/>
      <c r="K58" s="1170"/>
      <c r="L58" s="1170"/>
      <c r="M58" s="1170"/>
      <c r="N58" s="1170"/>
      <c r="O58" s="1170"/>
      <c r="P58" s="1170"/>
      <c r="Q58" s="1170"/>
      <c r="R58" s="1170"/>
      <c r="S58" s="1170"/>
      <c r="T58" s="1170"/>
      <c r="U58" s="1170"/>
      <c r="V58" s="1170"/>
      <c r="W58" s="1170"/>
      <c r="X58" s="1170"/>
      <c r="Y58" s="1170"/>
      <c r="Z58" s="1170"/>
      <c r="AA58" s="1170"/>
      <c r="AB58" s="1170"/>
      <c r="AC58" s="1170"/>
      <c r="AD58" s="1170"/>
      <c r="AE58" s="1170"/>
      <c r="AF58" s="1170"/>
      <c r="AG58" s="1170"/>
      <c r="AH58" s="1170"/>
      <c r="AI58" s="1170"/>
      <c r="AJ58" s="1170"/>
      <c r="AK58" s="1170"/>
      <c r="AL58" s="1170"/>
      <c r="AM58" s="1170"/>
      <c r="AN58" s="1170"/>
      <c r="AO58" s="1170"/>
      <c r="AP58" s="1170"/>
      <c r="AQ58" s="1176"/>
    </row>
    <row r="61" spans="1:44">
      <c r="H61" s="961" t="s">
        <v>1850</v>
      </c>
      <c r="I61" s="960"/>
      <c r="Q61" s="960"/>
      <c r="R61" s="960"/>
      <c r="S61" s="960"/>
      <c r="T61" s="960"/>
      <c r="U61" s="960"/>
      <c r="V61" s="960"/>
      <c r="W61" s="960"/>
      <c r="X61" s="960"/>
      <c r="Y61" s="960"/>
      <c r="Z61" s="960"/>
      <c r="AA61" s="960"/>
      <c r="AB61" s="960"/>
      <c r="AC61" s="960"/>
      <c r="AD61" s="960"/>
      <c r="AE61" s="960"/>
      <c r="AF61" s="960"/>
      <c r="AG61" s="960"/>
      <c r="AH61" s="960"/>
      <c r="AK61" s="961"/>
      <c r="AL61" s="961"/>
      <c r="AM61" s="961"/>
      <c r="AN61" s="961"/>
      <c r="AP61" s="961"/>
      <c r="AQ61" s="961"/>
      <c r="AR61" s="961"/>
    </row>
    <row r="62" spans="1:44">
      <c r="H62" s="961"/>
      <c r="I62" s="960">
        <v>1981</v>
      </c>
      <c r="J62" s="960">
        <v>1982</v>
      </c>
      <c r="K62" s="960">
        <v>1983</v>
      </c>
      <c r="L62" s="960">
        <v>1984</v>
      </c>
      <c r="M62" s="960">
        <v>1985</v>
      </c>
      <c r="N62" s="960">
        <v>1986</v>
      </c>
      <c r="O62" s="960">
        <v>1987</v>
      </c>
      <c r="P62" s="960">
        <v>1988</v>
      </c>
      <c r="Q62" s="960">
        <v>1989</v>
      </c>
      <c r="R62" s="960">
        <v>1990</v>
      </c>
      <c r="S62" s="960">
        <v>1991</v>
      </c>
      <c r="T62" s="960">
        <v>1992</v>
      </c>
      <c r="U62" s="960">
        <v>1993</v>
      </c>
      <c r="V62" s="960">
        <v>1994</v>
      </c>
      <c r="W62" s="960">
        <v>1995</v>
      </c>
      <c r="X62" s="960">
        <v>1996</v>
      </c>
      <c r="Y62" s="960">
        <v>1997</v>
      </c>
      <c r="Z62" s="960">
        <v>1998</v>
      </c>
      <c r="AA62" s="960">
        <v>1999</v>
      </c>
      <c r="AB62" s="961">
        <v>2000</v>
      </c>
      <c r="AC62" s="961">
        <v>2001</v>
      </c>
      <c r="AD62" s="961">
        <v>2002</v>
      </c>
      <c r="AE62" s="961">
        <v>2003</v>
      </c>
      <c r="AF62" s="4">
        <v>2004</v>
      </c>
      <c r="AG62" s="961">
        <v>2005</v>
      </c>
      <c r="AH62" s="961">
        <v>2006</v>
      </c>
      <c r="AI62" s="961">
        <v>2007</v>
      </c>
      <c r="AJ62" s="961"/>
      <c r="AK62" s="961"/>
      <c r="AL62" s="961"/>
      <c r="AM62" s="961"/>
      <c r="AN62" s="961"/>
      <c r="AP62" s="961"/>
      <c r="AQ62" s="961"/>
      <c r="AR62" s="961"/>
    </row>
    <row r="63" spans="1:44">
      <c r="H63" s="961" t="s">
        <v>964</v>
      </c>
      <c r="I63" s="960"/>
      <c r="Q63" s="960"/>
      <c r="R63" s="960"/>
      <c r="S63" s="960"/>
      <c r="T63" s="960"/>
      <c r="U63" s="960"/>
      <c r="V63" s="960"/>
      <c r="W63" s="960"/>
      <c r="X63" s="960"/>
      <c r="Y63" s="960"/>
      <c r="Z63" s="960"/>
      <c r="AA63" s="960"/>
      <c r="AB63" s="961"/>
      <c r="AC63" s="961"/>
      <c r="AD63" s="961"/>
      <c r="AE63" s="961"/>
      <c r="AF63" s="4"/>
      <c r="AG63" s="961"/>
      <c r="AH63" s="961"/>
      <c r="AI63" s="961"/>
      <c r="AJ63" s="961"/>
      <c r="AK63" s="961"/>
      <c r="AL63" s="961"/>
      <c r="AM63" s="961"/>
      <c r="AN63" s="961"/>
      <c r="AP63" s="961"/>
      <c r="AQ63" s="961"/>
      <c r="AR63" s="961"/>
    </row>
    <row r="64" spans="1:44">
      <c r="H64" s="961" t="s">
        <v>1878</v>
      </c>
      <c r="I64" s="960"/>
      <c r="Q64" s="960"/>
      <c r="R64" s="960"/>
      <c r="S64" s="960"/>
      <c r="T64" s="960"/>
      <c r="U64" s="960"/>
      <c r="V64" s="960"/>
      <c r="W64" s="960"/>
      <c r="X64" s="960"/>
      <c r="Y64" s="960"/>
      <c r="Z64" s="960"/>
      <c r="AA64" s="960"/>
      <c r="AB64" s="961"/>
      <c r="AC64" s="961"/>
      <c r="AD64" s="961"/>
      <c r="AE64" s="961"/>
      <c r="AF64" s="4"/>
      <c r="AG64" s="961"/>
      <c r="AH64" s="961"/>
      <c r="AI64" s="961"/>
      <c r="AJ64" s="961"/>
      <c r="AK64" s="961"/>
      <c r="AL64" s="961"/>
      <c r="AM64" s="961"/>
      <c r="AN64" s="961"/>
      <c r="AP64" s="961"/>
      <c r="AQ64" s="961"/>
      <c r="AR64" s="961"/>
    </row>
    <row r="65" spans="8:44">
      <c r="H65" s="961" t="s">
        <v>1879</v>
      </c>
      <c r="I65" s="960"/>
      <c r="Q65" s="960"/>
      <c r="R65" s="960"/>
      <c r="S65" s="960"/>
      <c r="T65" s="960"/>
      <c r="U65" s="960"/>
      <c r="V65" s="960"/>
      <c r="W65" s="960"/>
      <c r="X65" s="960"/>
      <c r="Y65" s="960"/>
      <c r="Z65" s="960"/>
      <c r="AA65" s="960"/>
      <c r="AB65" s="961"/>
      <c r="AC65" s="961"/>
      <c r="AD65" s="961"/>
      <c r="AE65" s="961"/>
      <c r="AF65" s="4"/>
      <c r="AG65" s="961"/>
      <c r="AH65" s="961"/>
      <c r="AI65" s="961"/>
      <c r="AJ65" s="961"/>
      <c r="AK65" s="961"/>
      <c r="AL65" s="961"/>
      <c r="AM65" s="961"/>
      <c r="AN65" s="961"/>
      <c r="AP65" s="961"/>
      <c r="AQ65" s="961"/>
      <c r="AR65" s="961"/>
    </row>
    <row r="66" spans="8:44">
      <c r="H66" s="961" t="s">
        <v>1880</v>
      </c>
      <c r="I66" s="960"/>
      <c r="Q66" s="960"/>
      <c r="R66" s="960"/>
      <c r="S66" s="960"/>
      <c r="T66" s="960"/>
      <c r="U66" s="960"/>
      <c r="V66" s="960"/>
      <c r="W66" s="960"/>
      <c r="X66" s="960"/>
      <c r="Y66" s="960"/>
      <c r="Z66" s="960"/>
      <c r="AA66" s="960"/>
      <c r="AB66" s="961"/>
      <c r="AC66" s="961"/>
      <c r="AD66" s="961"/>
      <c r="AE66" s="961"/>
      <c r="AF66" s="4"/>
      <c r="AG66" s="961"/>
      <c r="AH66" s="961"/>
      <c r="AI66" s="961"/>
      <c r="AJ66" s="961"/>
      <c r="AK66" s="961"/>
      <c r="AL66" s="961"/>
      <c r="AM66" s="961"/>
      <c r="AN66" s="961"/>
      <c r="AP66" s="961"/>
      <c r="AQ66" s="961"/>
      <c r="AR66" s="961"/>
    </row>
    <row r="67" spans="8:44">
      <c r="H67" s="961" t="s">
        <v>1881</v>
      </c>
      <c r="I67" s="960"/>
      <c r="Q67" s="960"/>
      <c r="R67" s="960"/>
      <c r="S67" s="960"/>
      <c r="T67" s="960"/>
      <c r="U67" s="960"/>
      <c r="V67" s="960"/>
      <c r="W67" s="960"/>
      <c r="X67" s="960"/>
      <c r="Y67" s="960"/>
      <c r="Z67" s="960"/>
      <c r="AA67" s="960"/>
      <c r="AB67" s="961"/>
      <c r="AC67" s="961"/>
      <c r="AD67" s="961"/>
      <c r="AE67" s="961"/>
      <c r="AF67" s="4"/>
      <c r="AG67" s="961"/>
      <c r="AH67" s="961"/>
      <c r="AI67" s="961"/>
      <c r="AJ67" s="961"/>
      <c r="AK67" s="961"/>
      <c r="AL67" s="961"/>
      <c r="AM67" s="961"/>
      <c r="AN67" s="961"/>
      <c r="AP67" s="961"/>
      <c r="AQ67" s="961"/>
      <c r="AR67" s="961"/>
    </row>
    <row r="68" spans="8:44">
      <c r="H68" s="961" t="s">
        <v>1882</v>
      </c>
      <c r="I68" s="960"/>
      <c r="Q68" s="960"/>
      <c r="R68" s="960"/>
      <c r="S68" s="960"/>
      <c r="T68" s="960"/>
      <c r="U68" s="960"/>
      <c r="V68" s="960"/>
      <c r="W68" s="960"/>
      <c r="X68" s="960"/>
      <c r="Y68" s="960"/>
      <c r="Z68" s="960"/>
      <c r="AA68" s="960"/>
      <c r="AB68" s="961"/>
      <c r="AC68" s="961"/>
      <c r="AD68" s="961"/>
      <c r="AE68" s="961"/>
      <c r="AF68" s="4"/>
      <c r="AG68" s="961"/>
      <c r="AH68" s="961"/>
      <c r="AI68" s="961"/>
      <c r="AJ68" s="961"/>
      <c r="AK68" s="961"/>
      <c r="AL68" s="961"/>
      <c r="AM68" s="961"/>
      <c r="AN68" s="961"/>
      <c r="AP68" s="961"/>
      <c r="AQ68" s="961"/>
      <c r="AR68" s="961"/>
    </row>
    <row r="69" spans="8:44">
      <c r="H69" s="961" t="s">
        <v>1883</v>
      </c>
      <c r="I69" s="960"/>
      <c r="Q69" s="960"/>
      <c r="R69" s="960"/>
      <c r="S69" s="960"/>
      <c r="T69" s="960"/>
      <c r="U69" s="960"/>
      <c r="V69" s="960"/>
      <c r="W69" s="960"/>
      <c r="X69" s="960"/>
      <c r="Y69" s="960"/>
      <c r="Z69" s="960"/>
      <c r="AA69" s="960"/>
      <c r="AB69" s="961"/>
      <c r="AC69" s="961"/>
      <c r="AD69" s="961"/>
      <c r="AE69" s="961"/>
      <c r="AF69" s="4"/>
      <c r="AG69" s="961"/>
      <c r="AH69" s="961"/>
      <c r="AI69" s="961"/>
      <c r="AJ69" s="961"/>
      <c r="AK69" s="961"/>
      <c r="AL69" s="961"/>
      <c r="AM69" s="961"/>
      <c r="AN69" s="961"/>
      <c r="AP69" s="961"/>
      <c r="AQ69" s="961"/>
      <c r="AR69" s="961"/>
    </row>
    <row r="70" spans="8:44">
      <c r="H70" s="961" t="s">
        <v>1884</v>
      </c>
      <c r="I70" s="960"/>
      <c r="Q70" s="960"/>
      <c r="R70" s="960"/>
      <c r="S70" s="960"/>
      <c r="T70" s="960"/>
      <c r="U70" s="960"/>
      <c r="V70" s="960"/>
      <c r="W70" s="960"/>
      <c r="X70" s="960"/>
      <c r="Y70" s="960"/>
      <c r="Z70" s="960"/>
      <c r="AA70" s="960"/>
      <c r="AB70" s="961"/>
      <c r="AC70" s="961"/>
      <c r="AD70" s="961"/>
      <c r="AE70" s="961"/>
      <c r="AF70" s="4"/>
      <c r="AG70" s="961"/>
      <c r="AH70" s="961"/>
      <c r="AI70" s="961"/>
      <c r="AJ70" s="961"/>
      <c r="AK70" s="961"/>
      <c r="AL70" s="961"/>
      <c r="AM70" s="961"/>
      <c r="AN70" s="961"/>
      <c r="AP70" s="961"/>
      <c r="AQ70" s="961"/>
      <c r="AR70" s="961"/>
    </row>
    <row r="71" spans="8:44">
      <c r="H71" s="961" t="s">
        <v>1885</v>
      </c>
      <c r="I71" s="960"/>
      <c r="Q71" s="960"/>
      <c r="R71" s="960"/>
      <c r="S71" s="960"/>
      <c r="T71" s="960"/>
      <c r="U71" s="960"/>
      <c r="V71" s="960"/>
      <c r="W71" s="960"/>
      <c r="X71" s="960"/>
      <c r="Y71" s="960"/>
      <c r="Z71" s="960"/>
      <c r="AA71" s="960"/>
      <c r="AB71" s="961"/>
      <c r="AC71" s="961"/>
      <c r="AD71" s="961"/>
      <c r="AE71" s="961"/>
      <c r="AF71" s="4"/>
      <c r="AG71" s="961"/>
      <c r="AH71" s="961"/>
      <c r="AI71" s="961"/>
      <c r="AJ71" s="961"/>
      <c r="AK71" s="961"/>
      <c r="AL71" s="961"/>
      <c r="AM71" s="961"/>
      <c r="AN71" s="961"/>
      <c r="AP71" s="961"/>
      <c r="AQ71" s="961"/>
      <c r="AR71" s="961"/>
    </row>
    <row r="72" spans="8:44">
      <c r="H72" s="961" t="s">
        <v>1886</v>
      </c>
      <c r="I72" s="960"/>
      <c r="Q72" s="960"/>
      <c r="R72" s="960"/>
      <c r="S72" s="960"/>
      <c r="T72" s="960"/>
      <c r="U72" s="960"/>
      <c r="V72" s="960"/>
      <c r="W72" s="960"/>
      <c r="X72" s="960"/>
      <c r="Y72" s="960"/>
      <c r="Z72" s="960"/>
      <c r="AA72" s="960"/>
      <c r="AB72" s="961"/>
      <c r="AC72" s="961"/>
      <c r="AD72" s="961"/>
      <c r="AE72" s="961"/>
      <c r="AF72" s="4"/>
      <c r="AG72" s="961"/>
      <c r="AH72" s="961"/>
      <c r="AI72" s="961"/>
      <c r="AJ72" s="961"/>
      <c r="AK72" s="961"/>
      <c r="AL72" s="961"/>
      <c r="AM72" s="961"/>
      <c r="AN72" s="961"/>
      <c r="AP72" s="961"/>
      <c r="AQ72" s="961"/>
      <c r="AR72" s="961"/>
    </row>
    <row r="73" spans="8:44">
      <c r="H73" s="961" t="s">
        <v>1887</v>
      </c>
      <c r="I73" s="960"/>
      <c r="Q73" s="960"/>
      <c r="R73" s="960"/>
      <c r="S73" s="960"/>
      <c r="T73" s="960"/>
      <c r="U73" s="960"/>
      <c r="V73" s="960"/>
      <c r="W73" s="960"/>
      <c r="X73" s="960"/>
      <c r="Y73" s="960"/>
      <c r="Z73" s="960"/>
      <c r="AA73" s="960"/>
      <c r="AB73" s="961"/>
      <c r="AC73" s="961"/>
      <c r="AD73" s="961"/>
      <c r="AE73" s="961"/>
      <c r="AF73" s="4"/>
      <c r="AG73" s="961"/>
      <c r="AH73" s="961"/>
      <c r="AI73" s="961"/>
      <c r="AJ73" s="961"/>
      <c r="AK73" s="961"/>
      <c r="AL73" s="961"/>
      <c r="AM73" s="961"/>
      <c r="AN73" s="961"/>
      <c r="AP73" s="961"/>
      <c r="AQ73" s="961"/>
      <c r="AR73" s="961"/>
    </row>
    <row r="74" spans="8:44">
      <c r="H74" s="961" t="s">
        <v>1888</v>
      </c>
      <c r="I74" s="960"/>
      <c r="Q74" s="960"/>
      <c r="R74" s="960"/>
      <c r="S74" s="960"/>
      <c r="T74" s="960"/>
      <c r="U74" s="960"/>
      <c r="V74" s="960"/>
      <c r="W74" s="960"/>
      <c r="X74" s="960"/>
      <c r="Y74" s="960"/>
      <c r="Z74" s="960"/>
      <c r="AA74" s="960"/>
      <c r="AB74" s="961"/>
      <c r="AC74" s="961"/>
      <c r="AD74" s="961"/>
      <c r="AE74" s="961"/>
      <c r="AF74" s="4"/>
      <c r="AG74" s="961"/>
      <c r="AH74" s="961"/>
      <c r="AI74" s="961"/>
      <c r="AJ74" s="961"/>
      <c r="AK74" s="961"/>
      <c r="AL74" s="961"/>
      <c r="AM74" s="961"/>
      <c r="AN74" s="961"/>
      <c r="AP74" s="961"/>
      <c r="AQ74" s="961"/>
      <c r="AR74" s="961"/>
    </row>
    <row r="75" spans="8:44">
      <c r="H75" s="961" t="s">
        <v>1889</v>
      </c>
      <c r="I75" s="960"/>
      <c r="Q75" s="960"/>
      <c r="R75" s="960"/>
      <c r="S75" s="960"/>
      <c r="T75" s="960"/>
      <c r="U75" s="960"/>
      <c r="V75" s="960"/>
      <c r="W75" s="960"/>
      <c r="X75" s="960"/>
      <c r="Y75" s="960"/>
      <c r="Z75" s="960"/>
      <c r="AA75" s="960"/>
      <c r="AB75" s="961"/>
      <c r="AC75" s="961"/>
      <c r="AD75" s="961"/>
      <c r="AE75" s="961"/>
      <c r="AF75" s="4"/>
      <c r="AG75" s="961"/>
      <c r="AH75" s="961"/>
      <c r="AI75" s="961"/>
      <c r="AJ75" s="961"/>
      <c r="AK75" s="961"/>
      <c r="AL75" s="961"/>
      <c r="AM75" s="961"/>
      <c r="AN75" s="961"/>
      <c r="AP75" s="961"/>
      <c r="AQ75" s="961"/>
      <c r="AR75" s="961"/>
    </row>
    <row r="76" spans="8:44">
      <c r="H76" s="961" t="s">
        <v>1890</v>
      </c>
      <c r="I76" s="960"/>
      <c r="Q76" s="960"/>
      <c r="R76" s="960"/>
      <c r="S76" s="960"/>
      <c r="T76" s="960"/>
      <c r="U76" s="960"/>
      <c r="V76" s="960"/>
      <c r="W76" s="960"/>
      <c r="X76" s="960"/>
      <c r="Y76" s="960"/>
      <c r="Z76" s="960"/>
      <c r="AA76" s="960"/>
      <c r="AB76" s="961"/>
      <c r="AC76" s="961"/>
      <c r="AD76" s="961"/>
      <c r="AE76" s="961"/>
      <c r="AF76" s="4"/>
      <c r="AG76" s="961"/>
      <c r="AH76" s="961"/>
      <c r="AI76" s="961"/>
      <c r="AJ76" s="961"/>
      <c r="AK76" s="961"/>
      <c r="AL76" s="961"/>
      <c r="AM76" s="961"/>
      <c r="AN76" s="961"/>
      <c r="AP76" s="961"/>
      <c r="AQ76" s="961"/>
      <c r="AR76" s="961"/>
    </row>
    <row r="77" spans="8:44">
      <c r="H77" s="961" t="s">
        <v>1891</v>
      </c>
      <c r="I77" s="960"/>
      <c r="Q77" s="960"/>
      <c r="R77" s="960"/>
      <c r="S77" s="960"/>
      <c r="T77" s="960"/>
      <c r="U77" s="960"/>
      <c r="V77" s="960"/>
      <c r="W77" s="960"/>
      <c r="X77" s="960"/>
      <c r="Y77" s="960"/>
      <c r="Z77" s="960"/>
      <c r="AA77" s="960"/>
      <c r="AB77" s="961"/>
      <c r="AC77" s="961"/>
      <c r="AD77" s="961"/>
      <c r="AE77" s="961"/>
      <c r="AF77" s="4"/>
      <c r="AG77" s="961"/>
      <c r="AH77" s="961"/>
      <c r="AI77" s="961"/>
      <c r="AJ77" s="961"/>
      <c r="AK77" s="961"/>
      <c r="AL77" s="961"/>
      <c r="AM77" s="961"/>
      <c r="AN77" s="961"/>
      <c r="AP77" s="961"/>
      <c r="AQ77" s="961"/>
      <c r="AR77" s="961"/>
    </row>
    <row r="78" spans="8:44">
      <c r="H78" s="961" t="s">
        <v>1892</v>
      </c>
      <c r="I78" s="960"/>
      <c r="Q78" s="960"/>
      <c r="R78" s="960"/>
      <c r="S78" s="960"/>
      <c r="T78" s="960"/>
      <c r="U78" s="960"/>
      <c r="V78" s="960"/>
      <c r="W78" s="960"/>
      <c r="X78" s="960"/>
      <c r="Y78" s="960"/>
      <c r="Z78" s="960"/>
      <c r="AA78" s="960"/>
      <c r="AB78" s="961"/>
      <c r="AC78" s="961"/>
      <c r="AD78" s="961"/>
      <c r="AE78" s="961"/>
      <c r="AF78" s="4"/>
      <c r="AG78" s="961"/>
      <c r="AH78" s="961"/>
      <c r="AI78" s="961"/>
      <c r="AJ78" s="961"/>
      <c r="AK78" s="961"/>
      <c r="AL78" s="961"/>
      <c r="AM78" s="961"/>
      <c r="AN78" s="961"/>
      <c r="AP78" s="961"/>
      <c r="AQ78" s="961"/>
      <c r="AR78" s="961"/>
    </row>
    <row r="79" spans="8:44">
      <c r="H79" s="961" t="s">
        <v>1893</v>
      </c>
      <c r="I79" s="960"/>
      <c r="Q79" s="960"/>
      <c r="R79" s="960"/>
      <c r="S79" s="960"/>
      <c r="T79" s="960"/>
      <c r="U79" s="960"/>
      <c r="V79" s="960"/>
      <c r="W79" s="960"/>
      <c r="X79" s="960"/>
      <c r="Y79" s="960"/>
      <c r="Z79" s="960"/>
      <c r="AA79" s="960"/>
      <c r="AB79" s="961"/>
      <c r="AC79" s="961"/>
      <c r="AD79" s="961"/>
      <c r="AE79" s="961"/>
      <c r="AF79" s="4"/>
      <c r="AG79" s="961"/>
      <c r="AH79" s="961"/>
      <c r="AI79" s="961"/>
      <c r="AJ79" s="961"/>
      <c r="AK79" s="961"/>
      <c r="AL79" s="961"/>
      <c r="AM79" s="961"/>
      <c r="AN79" s="961"/>
      <c r="AP79" s="961"/>
      <c r="AQ79" s="961"/>
      <c r="AR79" s="961"/>
    </row>
    <row r="80" spans="8:44">
      <c r="H80" s="961" t="s">
        <v>1894</v>
      </c>
      <c r="I80" s="960"/>
      <c r="Q80" s="960"/>
      <c r="R80" s="960"/>
      <c r="S80" s="960"/>
      <c r="T80" s="960"/>
      <c r="U80" s="960"/>
      <c r="V80" s="960"/>
      <c r="W80" s="960"/>
      <c r="X80" s="960"/>
      <c r="Y80" s="960"/>
      <c r="Z80" s="960"/>
      <c r="AA80" s="960"/>
      <c r="AB80" s="961"/>
      <c r="AC80" s="961"/>
      <c r="AD80" s="961"/>
      <c r="AE80" s="961"/>
      <c r="AF80" s="4"/>
      <c r="AG80" s="961"/>
      <c r="AH80" s="961"/>
      <c r="AI80" s="961"/>
      <c r="AJ80" s="961"/>
      <c r="AK80" s="961"/>
      <c r="AL80" s="961"/>
      <c r="AM80" s="961"/>
      <c r="AN80" s="961"/>
      <c r="AP80" s="961"/>
      <c r="AQ80" s="961"/>
      <c r="AR80" s="961"/>
    </row>
    <row r="81" spans="8:44">
      <c r="H81" s="961" t="s">
        <v>1895</v>
      </c>
      <c r="I81" s="960"/>
      <c r="Q81" s="960"/>
      <c r="R81" s="960"/>
      <c r="S81" s="960"/>
      <c r="T81" s="960"/>
      <c r="U81" s="960"/>
      <c r="V81" s="960"/>
      <c r="W81" s="960"/>
      <c r="X81" s="960"/>
      <c r="Y81" s="960"/>
      <c r="Z81" s="960"/>
      <c r="AA81" s="960"/>
      <c r="AB81" s="961"/>
      <c r="AC81" s="961"/>
      <c r="AD81" s="961"/>
      <c r="AE81" s="961"/>
      <c r="AF81" s="4"/>
      <c r="AG81" s="961"/>
      <c r="AH81" s="961"/>
      <c r="AI81" s="961"/>
      <c r="AJ81" s="961"/>
      <c r="AK81" s="961"/>
      <c r="AL81" s="961"/>
      <c r="AM81" s="961"/>
      <c r="AN81" s="961"/>
      <c r="AP81" s="961"/>
      <c r="AQ81" s="961"/>
      <c r="AR81" s="961"/>
    </row>
    <row r="82" spans="8:44">
      <c r="H82" s="961" t="s">
        <v>1896</v>
      </c>
      <c r="I82" s="960"/>
      <c r="Q82" s="960"/>
      <c r="R82" s="960"/>
      <c r="S82" s="960"/>
      <c r="T82" s="960"/>
      <c r="U82" s="960"/>
      <c r="V82" s="960"/>
      <c r="W82" s="960"/>
      <c r="X82" s="960"/>
      <c r="Y82" s="960"/>
      <c r="Z82" s="960"/>
      <c r="AA82" s="960"/>
      <c r="AB82" s="961"/>
      <c r="AC82" s="961"/>
      <c r="AD82" s="961"/>
      <c r="AE82" s="961"/>
      <c r="AF82" s="4"/>
      <c r="AG82" s="961"/>
      <c r="AH82" s="961"/>
      <c r="AI82" s="961"/>
      <c r="AJ82" s="961"/>
      <c r="AK82" s="961"/>
      <c r="AL82" s="961"/>
      <c r="AM82" s="961"/>
      <c r="AN82" s="961"/>
      <c r="AP82" s="961"/>
      <c r="AQ82" s="961"/>
      <c r="AR82" s="961"/>
    </row>
    <row r="83" spans="8:44">
      <c r="H83" s="961" t="s">
        <v>1897</v>
      </c>
      <c r="I83" s="960"/>
      <c r="Q83" s="960"/>
      <c r="R83" s="960"/>
      <c r="S83" s="960"/>
      <c r="T83" s="960"/>
      <c r="U83" s="960"/>
      <c r="V83" s="960"/>
      <c r="W83" s="960"/>
      <c r="X83" s="960"/>
      <c r="Y83" s="960"/>
      <c r="Z83" s="960"/>
      <c r="AA83" s="960"/>
      <c r="AB83" s="961"/>
      <c r="AC83" s="961"/>
      <c r="AD83" s="961"/>
      <c r="AE83" s="961"/>
      <c r="AF83" s="4"/>
      <c r="AG83" s="961"/>
      <c r="AH83" s="961"/>
      <c r="AI83" s="961"/>
      <c r="AJ83" s="961"/>
      <c r="AK83" s="961"/>
      <c r="AL83" s="961"/>
      <c r="AM83" s="961"/>
      <c r="AN83" s="961"/>
      <c r="AP83" s="961"/>
      <c r="AQ83" s="961"/>
      <c r="AR83" s="961"/>
    </row>
    <row r="84" spans="8:44">
      <c r="H84" s="961" t="s">
        <v>1898</v>
      </c>
      <c r="I84" s="960"/>
      <c r="Q84" s="960"/>
      <c r="R84" s="960"/>
      <c r="S84" s="960"/>
      <c r="T84" s="960"/>
      <c r="U84" s="960"/>
      <c r="V84" s="960"/>
      <c r="W84" s="960"/>
      <c r="X84" s="960"/>
      <c r="Y84" s="960"/>
      <c r="Z84" s="960"/>
      <c r="AA84" s="960"/>
      <c r="AB84" s="961"/>
      <c r="AC84" s="961"/>
      <c r="AD84" s="961"/>
      <c r="AE84" s="961"/>
      <c r="AF84" s="4"/>
      <c r="AG84" s="961"/>
      <c r="AH84" s="961"/>
      <c r="AI84" s="961"/>
      <c r="AJ84" s="961"/>
      <c r="AK84" s="961"/>
      <c r="AL84" s="961"/>
      <c r="AM84" s="961"/>
      <c r="AN84" s="961"/>
      <c r="AP84" s="961"/>
      <c r="AQ84" s="961"/>
      <c r="AR84" s="961"/>
    </row>
    <row r="85" spans="8:44">
      <c r="H85" s="961" t="s">
        <v>1899</v>
      </c>
      <c r="I85" s="960"/>
      <c r="Q85" s="960"/>
      <c r="R85" s="960"/>
      <c r="S85" s="960"/>
      <c r="T85" s="960"/>
      <c r="U85" s="960"/>
      <c r="V85" s="960"/>
      <c r="W85" s="960"/>
      <c r="X85" s="960"/>
      <c r="Y85" s="960"/>
      <c r="Z85" s="960"/>
      <c r="AA85" s="960"/>
      <c r="AB85" s="961"/>
      <c r="AC85" s="961"/>
      <c r="AD85" s="961"/>
      <c r="AE85" s="961"/>
      <c r="AF85" s="4"/>
      <c r="AG85" s="961"/>
      <c r="AH85" s="961"/>
      <c r="AI85" s="961"/>
      <c r="AJ85" s="961"/>
      <c r="AK85" s="961"/>
      <c r="AL85" s="961"/>
      <c r="AM85" s="961"/>
      <c r="AN85" s="961"/>
      <c r="AP85" s="961"/>
      <c r="AQ85" s="961"/>
      <c r="AR85" s="961"/>
    </row>
    <row r="86" spans="8:44">
      <c r="H86" s="961" t="s">
        <v>1900</v>
      </c>
      <c r="I86" s="960"/>
      <c r="Q86" s="960"/>
      <c r="R86" s="960"/>
      <c r="S86" s="960"/>
      <c r="T86" s="960"/>
      <c r="U86" s="960"/>
      <c r="V86" s="960"/>
      <c r="W86" s="960"/>
      <c r="X86" s="960"/>
      <c r="Y86" s="960"/>
      <c r="Z86" s="960"/>
      <c r="AA86" s="960"/>
      <c r="AB86" s="961"/>
      <c r="AC86" s="961"/>
      <c r="AD86" s="961"/>
      <c r="AE86" s="961"/>
      <c r="AF86" s="4"/>
      <c r="AG86" s="961"/>
      <c r="AH86" s="961"/>
      <c r="AI86" s="961"/>
      <c r="AJ86" s="961"/>
      <c r="AK86" s="961"/>
      <c r="AL86" s="961"/>
      <c r="AM86" s="961"/>
      <c r="AN86" s="961"/>
      <c r="AP86" s="961"/>
      <c r="AQ86" s="961"/>
      <c r="AR86" s="961"/>
    </row>
    <row r="87" spans="8:44">
      <c r="H87" s="961" t="s">
        <v>1901</v>
      </c>
      <c r="I87" s="960"/>
      <c r="Q87" s="960"/>
      <c r="R87" s="960"/>
      <c r="S87" s="960"/>
      <c r="T87" s="960"/>
      <c r="U87" s="960"/>
      <c r="V87" s="960"/>
      <c r="W87" s="960"/>
      <c r="X87" s="960"/>
      <c r="Y87" s="960"/>
      <c r="Z87" s="960"/>
      <c r="AA87" s="960"/>
      <c r="AB87" s="961"/>
      <c r="AC87" s="961"/>
      <c r="AD87" s="961"/>
      <c r="AE87" s="961"/>
      <c r="AF87" s="4"/>
      <c r="AG87" s="961"/>
      <c r="AH87" s="961"/>
      <c r="AI87" s="961"/>
      <c r="AJ87" s="961"/>
      <c r="AK87" s="961"/>
      <c r="AL87" s="961"/>
      <c r="AM87" s="961"/>
      <c r="AN87" s="961"/>
      <c r="AP87" s="961"/>
      <c r="AQ87" s="961"/>
      <c r="AR87" s="961"/>
    </row>
    <row r="88" spans="8:44">
      <c r="H88" s="961" t="s">
        <v>1902</v>
      </c>
      <c r="I88" s="960"/>
      <c r="Q88" s="960"/>
      <c r="R88" s="960"/>
      <c r="S88" s="960"/>
      <c r="T88" s="960"/>
      <c r="U88" s="960"/>
      <c r="V88" s="960"/>
      <c r="W88" s="960"/>
      <c r="X88" s="960"/>
      <c r="Y88" s="960"/>
      <c r="Z88" s="960"/>
      <c r="AA88" s="960"/>
      <c r="AB88" s="961"/>
      <c r="AC88" s="961"/>
      <c r="AD88" s="961"/>
      <c r="AE88" s="961"/>
      <c r="AF88" s="4"/>
      <c r="AG88" s="961"/>
      <c r="AH88" s="961"/>
      <c r="AI88" s="961"/>
      <c r="AJ88" s="961"/>
      <c r="AK88" s="961"/>
      <c r="AL88" s="961"/>
      <c r="AM88" s="961"/>
      <c r="AN88" s="961"/>
      <c r="AP88" s="961"/>
      <c r="AQ88" s="961"/>
      <c r="AR88" s="961"/>
    </row>
    <row r="89" spans="8:44">
      <c r="H89" s="961" t="s">
        <v>1903</v>
      </c>
      <c r="I89" s="960"/>
      <c r="Q89" s="960"/>
      <c r="R89" s="960"/>
      <c r="S89" s="960"/>
      <c r="T89" s="960"/>
      <c r="U89" s="960"/>
      <c r="V89" s="960"/>
      <c r="W89" s="960"/>
      <c r="X89" s="960"/>
      <c r="Y89" s="960"/>
      <c r="Z89" s="960"/>
      <c r="AA89" s="960"/>
      <c r="AB89" s="961"/>
      <c r="AC89" s="961"/>
      <c r="AD89" s="961"/>
      <c r="AE89" s="961"/>
      <c r="AF89" s="4"/>
      <c r="AG89" s="961"/>
      <c r="AH89" s="961"/>
      <c r="AI89" s="961"/>
      <c r="AJ89" s="961"/>
      <c r="AK89" s="961"/>
      <c r="AL89" s="961"/>
      <c r="AM89" s="961"/>
      <c r="AN89" s="961"/>
      <c r="AP89" s="961"/>
      <c r="AQ89" s="961"/>
      <c r="AR89" s="961"/>
    </row>
    <row r="90" spans="8:44">
      <c r="H90" s="961" t="s">
        <v>1904</v>
      </c>
      <c r="I90" s="960"/>
      <c r="Q90" s="960"/>
      <c r="R90" s="960"/>
      <c r="S90" s="960"/>
      <c r="T90" s="960"/>
      <c r="U90" s="960"/>
      <c r="V90" s="960"/>
      <c r="W90" s="960"/>
      <c r="X90" s="960"/>
      <c r="Y90" s="960"/>
      <c r="Z90" s="960"/>
      <c r="AA90" s="960"/>
      <c r="AB90" s="961"/>
      <c r="AC90" s="961"/>
      <c r="AD90" s="961"/>
      <c r="AE90" s="961"/>
      <c r="AF90" s="4"/>
      <c r="AG90" s="961"/>
      <c r="AH90" s="961"/>
      <c r="AI90" s="961"/>
      <c r="AJ90" s="961"/>
      <c r="AK90" s="961"/>
      <c r="AL90" s="961"/>
      <c r="AM90" s="961"/>
      <c r="AN90" s="961"/>
      <c r="AP90" s="961"/>
      <c r="AQ90" s="961"/>
      <c r="AR90" s="961"/>
    </row>
    <row r="91" spans="8:44">
      <c r="H91" s="961" t="s">
        <v>1905</v>
      </c>
      <c r="I91" s="960"/>
      <c r="Q91" s="960"/>
      <c r="R91" s="960"/>
      <c r="S91" s="960"/>
      <c r="T91" s="960"/>
      <c r="U91" s="960"/>
      <c r="V91" s="960"/>
      <c r="W91" s="960"/>
      <c r="X91" s="960"/>
      <c r="Y91" s="960"/>
      <c r="Z91" s="960"/>
      <c r="AA91" s="960"/>
      <c r="AB91" s="961"/>
      <c r="AC91" s="961"/>
      <c r="AD91" s="961"/>
      <c r="AE91" s="961"/>
      <c r="AF91" s="4"/>
      <c r="AG91" s="961"/>
      <c r="AH91" s="961"/>
      <c r="AI91" s="961"/>
      <c r="AJ91" s="961"/>
      <c r="AK91" s="961"/>
      <c r="AL91" s="961"/>
      <c r="AM91" s="961"/>
      <c r="AN91" s="961"/>
      <c r="AP91" s="961"/>
      <c r="AQ91" s="961"/>
      <c r="AR91" s="961"/>
    </row>
    <row r="92" spans="8:44">
      <c r="H92" s="961" t="s">
        <v>1906</v>
      </c>
      <c r="I92" s="960"/>
      <c r="Q92" s="960"/>
      <c r="R92" s="960"/>
      <c r="S92" s="960"/>
      <c r="T92" s="960"/>
      <c r="U92" s="960"/>
      <c r="V92" s="960"/>
      <c r="W92" s="960"/>
      <c r="X92" s="960"/>
      <c r="Y92" s="960"/>
      <c r="Z92" s="960"/>
      <c r="AA92" s="960"/>
      <c r="AB92" s="961"/>
      <c r="AC92" s="961"/>
      <c r="AD92" s="961"/>
      <c r="AE92" s="961"/>
      <c r="AF92" s="4"/>
      <c r="AG92" s="961"/>
      <c r="AH92" s="961"/>
      <c r="AI92" s="961"/>
      <c r="AJ92" s="961"/>
      <c r="AK92" s="961"/>
      <c r="AL92" s="961"/>
      <c r="AM92" s="961"/>
      <c r="AN92" s="961"/>
      <c r="AP92" s="961"/>
      <c r="AQ92" s="961"/>
      <c r="AR92" s="961"/>
    </row>
    <row r="93" spans="8:44">
      <c r="H93" s="961" t="s">
        <v>1907</v>
      </c>
      <c r="I93" s="960">
        <v>34400</v>
      </c>
      <c r="J93" s="960">
        <v>30500</v>
      </c>
      <c r="K93" s="960">
        <v>25700</v>
      </c>
      <c r="L93" s="960">
        <v>27600</v>
      </c>
      <c r="M93" s="960">
        <v>26700</v>
      </c>
      <c r="N93" s="960">
        <v>27200</v>
      </c>
      <c r="O93" s="960">
        <v>28600</v>
      </c>
      <c r="P93" s="960">
        <v>31100</v>
      </c>
      <c r="Q93" s="960">
        <v>31300</v>
      </c>
      <c r="R93" s="960">
        <v>27800</v>
      </c>
      <c r="S93" s="960">
        <v>22900</v>
      </c>
      <c r="T93" s="960">
        <v>21400</v>
      </c>
      <c r="U93" s="960">
        <v>21700</v>
      </c>
      <c r="V93" s="960">
        <v>21500</v>
      </c>
      <c r="W93" s="960">
        <v>22900</v>
      </c>
      <c r="X93" s="960">
        <v>22300</v>
      </c>
      <c r="Y93" s="960">
        <v>21700</v>
      </c>
      <c r="Z93" s="960">
        <v>23100</v>
      </c>
      <c r="AA93" s="960">
        <v>25200</v>
      </c>
      <c r="AB93" s="961">
        <v>27300</v>
      </c>
      <c r="AC93" s="961">
        <v>27600</v>
      </c>
      <c r="AD93" s="961">
        <v>27900</v>
      </c>
      <c r="AE93" s="961">
        <v>27400</v>
      </c>
      <c r="AF93" s="4">
        <v>26900</v>
      </c>
      <c r="AG93" s="961">
        <v>27800</v>
      </c>
      <c r="AH93" s="961">
        <v>28600</v>
      </c>
      <c r="AI93" s="961">
        <v>29700</v>
      </c>
      <c r="AJ93" s="961"/>
      <c r="AK93" s="961"/>
      <c r="AL93" s="961"/>
      <c r="AM93" s="961"/>
      <c r="AN93" s="961"/>
      <c r="AP93" s="961"/>
      <c r="AQ93" s="961"/>
      <c r="AR93" s="961"/>
    </row>
    <row r="94" spans="8:44">
      <c r="H94" s="961" t="s">
        <v>1908</v>
      </c>
      <c r="I94" s="960">
        <v>0</v>
      </c>
      <c r="J94" s="960">
        <v>0</v>
      </c>
      <c r="K94" s="960">
        <v>0</v>
      </c>
      <c r="L94" s="960">
        <v>0</v>
      </c>
      <c r="M94" s="960">
        <v>0</v>
      </c>
      <c r="N94" s="960">
        <v>0</v>
      </c>
      <c r="O94" s="960">
        <v>0</v>
      </c>
      <c r="P94" s="960">
        <v>0</v>
      </c>
      <c r="Q94" s="960">
        <v>0</v>
      </c>
      <c r="R94" s="960">
        <v>0</v>
      </c>
      <c r="S94" s="960">
        <v>0</v>
      </c>
      <c r="T94" s="960">
        <v>0</v>
      </c>
      <c r="U94" s="960">
        <v>0</v>
      </c>
      <c r="V94" s="960">
        <v>0</v>
      </c>
      <c r="W94" s="960">
        <v>0</v>
      </c>
      <c r="X94" s="960">
        <v>0</v>
      </c>
      <c r="Y94" s="960">
        <v>0</v>
      </c>
      <c r="Z94" s="960">
        <v>0</v>
      </c>
      <c r="AA94" s="960">
        <v>0</v>
      </c>
      <c r="AB94" s="961">
        <v>0</v>
      </c>
      <c r="AC94" s="961">
        <v>0</v>
      </c>
      <c r="AD94" s="961">
        <v>0</v>
      </c>
      <c r="AE94" s="961">
        <v>0</v>
      </c>
      <c r="AF94" s="4">
        <v>0</v>
      </c>
      <c r="AG94" s="961">
        <v>0</v>
      </c>
      <c r="AH94" s="961">
        <v>0</v>
      </c>
      <c r="AI94" s="961">
        <v>0</v>
      </c>
      <c r="AJ94" s="961"/>
      <c r="AK94" s="961"/>
      <c r="AL94" s="961"/>
      <c r="AM94" s="961"/>
      <c r="AN94" s="961"/>
      <c r="AP94" s="961"/>
      <c r="AQ94" s="961"/>
      <c r="AR94" s="961"/>
    </row>
    <row r="95" spans="8:44">
      <c r="H95" s="961" t="s">
        <v>1909</v>
      </c>
      <c r="I95" s="960">
        <v>37800</v>
      </c>
      <c r="J95" s="960">
        <v>34500</v>
      </c>
      <c r="K95" s="960">
        <v>32200</v>
      </c>
      <c r="L95" s="960">
        <v>33200</v>
      </c>
      <c r="M95" s="960">
        <v>31900</v>
      </c>
      <c r="N95" s="960">
        <v>32300</v>
      </c>
      <c r="O95" s="960">
        <v>32600</v>
      </c>
      <c r="P95" s="960">
        <v>35400</v>
      </c>
      <c r="Q95" s="960">
        <v>35400</v>
      </c>
      <c r="R95" s="960">
        <v>32500</v>
      </c>
      <c r="S95" s="960">
        <v>31000</v>
      </c>
      <c r="T95" s="960">
        <v>27600</v>
      </c>
      <c r="U95" s="960">
        <v>29200</v>
      </c>
      <c r="V95" s="960">
        <v>29100</v>
      </c>
      <c r="W95" s="960">
        <v>29900</v>
      </c>
      <c r="X95" s="960">
        <v>30000</v>
      </c>
      <c r="Y95" s="960">
        <v>29000</v>
      </c>
      <c r="Z95" s="960">
        <v>30500</v>
      </c>
      <c r="AA95" s="960">
        <v>31800</v>
      </c>
      <c r="AB95" s="961">
        <v>32600</v>
      </c>
      <c r="AC95" s="961">
        <v>32500</v>
      </c>
      <c r="AD95" s="961">
        <v>33500</v>
      </c>
      <c r="AE95" s="961">
        <v>33900</v>
      </c>
      <c r="AF95" s="4">
        <v>32700</v>
      </c>
      <c r="AG95" s="961">
        <v>33000</v>
      </c>
      <c r="AH95" s="961">
        <v>33700</v>
      </c>
      <c r="AI95" s="961">
        <v>34900</v>
      </c>
      <c r="AJ95" s="961"/>
      <c r="AK95" s="961"/>
      <c r="AL95" s="961"/>
      <c r="AM95" s="961"/>
      <c r="AN95" s="961"/>
      <c r="AP95" s="961"/>
      <c r="AQ95" s="961"/>
      <c r="AR95" s="961"/>
    </row>
    <row r="96" spans="8:44">
      <c r="H96" s="961" t="s">
        <v>1910</v>
      </c>
      <c r="I96" s="960">
        <v>24800</v>
      </c>
      <c r="J96" s="960">
        <v>25500</v>
      </c>
      <c r="K96" s="960">
        <v>22700</v>
      </c>
      <c r="L96" s="960">
        <v>22100</v>
      </c>
      <c r="M96" s="960">
        <v>22100</v>
      </c>
      <c r="N96" s="960">
        <v>23300</v>
      </c>
      <c r="O96" s="960">
        <v>24400</v>
      </c>
      <c r="P96" s="960">
        <v>22600</v>
      </c>
      <c r="Q96" s="960">
        <v>25000</v>
      </c>
      <c r="R96" s="960">
        <v>21800</v>
      </c>
      <c r="S96" s="960">
        <v>19000</v>
      </c>
      <c r="T96" s="960">
        <v>17400</v>
      </c>
      <c r="U96" s="960">
        <v>18200</v>
      </c>
      <c r="V96" s="960">
        <v>16300</v>
      </c>
      <c r="W96" s="960">
        <v>19100</v>
      </c>
      <c r="X96" s="960">
        <v>16900</v>
      </c>
      <c r="Y96" s="960">
        <v>16800</v>
      </c>
      <c r="Z96" s="960">
        <v>15900</v>
      </c>
      <c r="AA96" s="960">
        <v>18000</v>
      </c>
      <c r="AB96" s="961">
        <v>17800</v>
      </c>
      <c r="AC96" s="961">
        <v>18700</v>
      </c>
      <c r="AD96" s="961">
        <v>20700</v>
      </c>
      <c r="AE96" s="961">
        <v>21100</v>
      </c>
      <c r="AF96" s="4">
        <v>20700</v>
      </c>
      <c r="AG96" s="961">
        <v>21500</v>
      </c>
      <c r="AH96" s="961">
        <v>22000</v>
      </c>
      <c r="AI96" s="961">
        <v>23100</v>
      </c>
      <c r="AJ96" s="961"/>
      <c r="AK96" s="961"/>
      <c r="AL96" s="961"/>
      <c r="AM96" s="961"/>
      <c r="AN96" s="961"/>
      <c r="AP96" s="961"/>
      <c r="AQ96" s="961"/>
      <c r="AR96" s="961"/>
    </row>
    <row r="97" spans="8:44">
      <c r="H97" s="961" t="s">
        <v>1911</v>
      </c>
      <c r="I97" s="960">
        <v>0</v>
      </c>
      <c r="J97" s="960">
        <v>0</v>
      </c>
      <c r="K97" s="960">
        <v>0</v>
      </c>
      <c r="L97" s="960">
        <v>0</v>
      </c>
      <c r="M97" s="960">
        <v>0</v>
      </c>
      <c r="N97" s="960">
        <v>0</v>
      </c>
      <c r="O97" s="960">
        <v>0</v>
      </c>
      <c r="P97" s="960">
        <v>0</v>
      </c>
      <c r="Q97" s="960">
        <v>0</v>
      </c>
      <c r="R97" s="960">
        <v>0</v>
      </c>
      <c r="S97" s="960">
        <v>0</v>
      </c>
      <c r="T97" s="960">
        <v>0</v>
      </c>
      <c r="U97" s="960">
        <v>0</v>
      </c>
      <c r="V97" s="960">
        <v>0</v>
      </c>
      <c r="W97" s="960">
        <v>0</v>
      </c>
      <c r="X97" s="960">
        <v>0</v>
      </c>
      <c r="Y97" s="960">
        <v>0</v>
      </c>
      <c r="Z97" s="960">
        <v>0</v>
      </c>
      <c r="AA97" s="960">
        <v>0</v>
      </c>
      <c r="AB97" s="961">
        <v>0</v>
      </c>
      <c r="AC97" s="961">
        <v>0</v>
      </c>
      <c r="AD97" s="961">
        <v>0</v>
      </c>
      <c r="AE97" s="961">
        <v>0</v>
      </c>
      <c r="AF97" s="4">
        <v>0</v>
      </c>
      <c r="AG97" s="961">
        <v>0</v>
      </c>
      <c r="AH97" s="961">
        <v>0</v>
      </c>
      <c r="AI97" s="961">
        <v>0</v>
      </c>
      <c r="AJ97" s="961"/>
      <c r="AK97" s="961"/>
      <c r="AL97" s="961"/>
      <c r="AM97" s="961"/>
      <c r="AN97" s="961"/>
      <c r="AP97" s="961"/>
      <c r="AQ97" s="961"/>
      <c r="AR97" s="961"/>
    </row>
    <row r="98" spans="8:44">
      <c r="H98" s="961" t="s">
        <v>1912</v>
      </c>
      <c r="I98" s="960">
        <v>29500</v>
      </c>
      <c r="J98" s="960">
        <v>30500</v>
      </c>
      <c r="K98" s="960">
        <v>27300</v>
      </c>
      <c r="L98" s="960">
        <v>27200</v>
      </c>
      <c r="M98" s="960">
        <v>27900</v>
      </c>
      <c r="N98" s="960">
        <v>28900</v>
      </c>
      <c r="O98" s="960">
        <v>29100</v>
      </c>
      <c r="P98" s="960">
        <v>28300</v>
      </c>
      <c r="Q98" s="960">
        <v>29800</v>
      </c>
      <c r="R98" s="960">
        <v>27000</v>
      </c>
      <c r="S98" s="960">
        <v>26500</v>
      </c>
      <c r="T98" s="960">
        <v>26500</v>
      </c>
      <c r="U98" s="960">
        <v>28700</v>
      </c>
      <c r="V98" s="960">
        <v>25500</v>
      </c>
      <c r="W98" s="960">
        <v>27000</v>
      </c>
      <c r="X98" s="960">
        <v>25600</v>
      </c>
      <c r="Y98" s="960">
        <v>25900</v>
      </c>
      <c r="Z98" s="960">
        <v>25800</v>
      </c>
      <c r="AA98" s="960">
        <v>26700</v>
      </c>
      <c r="AB98" s="961">
        <v>26200</v>
      </c>
      <c r="AC98" s="961">
        <v>27400</v>
      </c>
      <c r="AD98" s="961">
        <v>28700</v>
      </c>
      <c r="AE98" s="961">
        <v>28000</v>
      </c>
      <c r="AF98" s="4">
        <v>27600</v>
      </c>
      <c r="AG98" s="961">
        <v>27100</v>
      </c>
      <c r="AH98" s="961">
        <v>29000</v>
      </c>
      <c r="AI98" s="961">
        <v>28600</v>
      </c>
      <c r="AJ98" s="961"/>
      <c r="AK98" s="961"/>
      <c r="AL98" s="961"/>
      <c r="AM98" s="961"/>
      <c r="AN98" s="961"/>
      <c r="AP98" s="961"/>
      <c r="AQ98" s="961"/>
      <c r="AR98" s="961"/>
    </row>
  </sheetData>
  <mergeCells count="5">
    <mergeCell ref="A58:AQ58"/>
    <mergeCell ref="AK3:AN3"/>
    <mergeCell ref="A53:AQ53"/>
    <mergeCell ref="A56:AQ56"/>
    <mergeCell ref="A57:AQ57"/>
  </mergeCells>
  <phoneticPr fontId="35" type="noConversion"/>
  <pageMargins left="0.75" right="0.75" top="1" bottom="1" header="0.5" footer="0.5"/>
  <pageSetup scale="52"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sheetPr codeName="Sheet101">
    <pageSetUpPr fitToPage="1"/>
  </sheetPr>
  <dimension ref="A1:AW98"/>
  <sheetViews>
    <sheetView view="pageBreakPreview" zoomScale="55" zoomScaleNormal="80" zoomScaleSheetLayoutView="55"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140625" style="1" customWidth="1"/>
    <col min="9" max="9" width="7.140625" style="1" customWidth="1"/>
    <col min="10" max="16" width="7.140625" style="961" hidden="1" customWidth="1"/>
    <col min="17" max="34" width="7.140625" style="1" customWidth="1"/>
    <col min="35" max="35" width="7.140625" style="961" customWidth="1"/>
    <col min="36" max="42" width="7.140625" style="1" customWidth="1"/>
    <col min="43" max="43" width="5.5703125" style="1" customWidth="1"/>
    <col min="44" max="16384" width="9.140625" style="1"/>
  </cols>
  <sheetData>
    <row r="1" spans="1:49" ht="15.75">
      <c r="A1" s="3" t="s">
        <v>2137</v>
      </c>
    </row>
    <row r="2" spans="1:49">
      <c r="A2" s="4"/>
      <c r="B2" s="4"/>
      <c r="I2" s="652"/>
      <c r="J2" s="960"/>
      <c r="K2" s="960"/>
      <c r="L2" s="960"/>
      <c r="M2" s="960"/>
      <c r="N2" s="960"/>
      <c r="O2" s="960"/>
      <c r="P2" s="960"/>
      <c r="Q2" s="652"/>
      <c r="R2" s="652"/>
      <c r="S2" s="652"/>
      <c r="T2" s="652"/>
      <c r="U2" s="652"/>
      <c r="V2" s="652"/>
      <c r="W2" s="652"/>
      <c r="X2" s="652"/>
      <c r="Y2" s="652"/>
      <c r="Z2" s="652"/>
      <c r="AA2" s="652"/>
      <c r="AB2" s="652"/>
      <c r="AC2" s="652"/>
      <c r="AD2" s="652"/>
      <c r="AE2" s="652"/>
      <c r="AF2" s="652"/>
      <c r="AG2" s="652"/>
    </row>
    <row r="3" spans="1:49">
      <c r="A3" s="9"/>
      <c r="B3" s="9"/>
      <c r="C3" s="9"/>
      <c r="D3" s="9"/>
      <c r="E3" s="9"/>
      <c r="F3" s="9"/>
      <c r="G3" s="9"/>
      <c r="H3" s="235"/>
      <c r="I3" s="665"/>
      <c r="J3" s="962"/>
      <c r="K3" s="962"/>
      <c r="L3" s="962"/>
      <c r="M3" s="962"/>
      <c r="N3" s="962"/>
      <c r="O3" s="962"/>
      <c r="P3" s="962"/>
      <c r="Q3" s="238"/>
      <c r="R3" s="666"/>
      <c r="S3" s="666"/>
      <c r="T3" s="666"/>
      <c r="U3" s="666"/>
      <c r="V3" s="666"/>
      <c r="W3" s="666"/>
      <c r="X3" s="666"/>
      <c r="Y3" s="666"/>
      <c r="Z3" s="666"/>
      <c r="AA3" s="666"/>
      <c r="AB3" s="666"/>
      <c r="AC3" s="666"/>
      <c r="AD3" s="666"/>
      <c r="AE3" s="666"/>
      <c r="AF3" s="666"/>
      <c r="AG3" s="666"/>
      <c r="AK3" s="1171" t="s">
        <v>802</v>
      </c>
      <c r="AL3" s="1171"/>
      <c r="AM3" s="1171"/>
      <c r="AN3" s="1171"/>
      <c r="AO3" s="9"/>
      <c r="AP3" s="644" t="s">
        <v>276</v>
      </c>
      <c r="AQ3" s="9"/>
    </row>
    <row r="4" spans="1:49" s="4" customFormat="1">
      <c r="A4" s="973"/>
      <c r="B4" s="973"/>
      <c r="C4" s="973"/>
      <c r="D4" s="973"/>
      <c r="E4" s="973"/>
      <c r="F4" s="973"/>
      <c r="G4" s="973"/>
      <c r="H4" s="7"/>
      <c r="I4" s="237">
        <v>1981</v>
      </c>
      <c r="J4" s="132"/>
      <c r="K4" s="132"/>
      <c r="L4" s="132"/>
      <c r="M4" s="132"/>
      <c r="N4" s="132"/>
      <c r="O4" s="132"/>
      <c r="P4" s="132"/>
      <c r="Q4" s="239">
        <v>1989</v>
      </c>
      <c r="R4" s="132">
        <v>1990</v>
      </c>
      <c r="S4" s="132">
        <v>1991</v>
      </c>
      <c r="T4" s="132">
        <v>1992</v>
      </c>
      <c r="U4" s="132">
        <v>1993</v>
      </c>
      <c r="V4" s="132">
        <v>1994</v>
      </c>
      <c r="W4" s="132">
        <v>1995</v>
      </c>
      <c r="X4" s="132">
        <v>1996</v>
      </c>
      <c r="Y4" s="132">
        <v>1997</v>
      </c>
      <c r="Z4" s="132">
        <v>1998</v>
      </c>
      <c r="AA4" s="132">
        <v>1999</v>
      </c>
      <c r="AB4" s="132">
        <v>2000</v>
      </c>
      <c r="AC4" s="132">
        <v>2001</v>
      </c>
      <c r="AD4" s="132">
        <v>2002</v>
      </c>
      <c r="AE4" s="132">
        <v>2003</v>
      </c>
      <c r="AF4" s="132">
        <v>2004</v>
      </c>
      <c r="AG4" s="132">
        <v>2005</v>
      </c>
      <c r="AH4" s="132">
        <v>2006</v>
      </c>
      <c r="AI4" s="132">
        <v>2007</v>
      </c>
      <c r="AJ4" s="132"/>
      <c r="AK4" s="241" t="s">
        <v>603</v>
      </c>
      <c r="AL4" s="241" t="s">
        <v>604</v>
      </c>
      <c r="AM4" s="241" t="s">
        <v>447</v>
      </c>
      <c r="AN4" s="241" t="s">
        <v>449</v>
      </c>
      <c r="AO4" s="1007"/>
      <c r="AP4" s="241" t="s">
        <v>447</v>
      </c>
      <c r="AQ4" s="9"/>
    </row>
    <row r="5" spans="1:49" ht="15">
      <c r="A5" s="128" t="s">
        <v>964</v>
      </c>
      <c r="H5" s="2"/>
      <c r="I5" s="20">
        <v>51700</v>
      </c>
      <c r="J5" s="19">
        <v>49800</v>
      </c>
      <c r="K5" s="19">
        <v>48000</v>
      </c>
      <c r="L5" s="19">
        <v>48300</v>
      </c>
      <c r="M5" s="19">
        <v>49000</v>
      </c>
      <c r="N5" s="19">
        <v>49600</v>
      </c>
      <c r="O5" s="19">
        <v>49600</v>
      </c>
      <c r="P5" s="39">
        <v>50500</v>
      </c>
      <c r="Q5" s="240">
        <v>52200</v>
      </c>
      <c r="R5" s="19">
        <v>49800</v>
      </c>
      <c r="S5" s="19">
        <v>47000</v>
      </c>
      <c r="T5" s="19">
        <v>46800</v>
      </c>
      <c r="U5" s="19">
        <v>45700</v>
      </c>
      <c r="V5" s="19">
        <v>46200</v>
      </c>
      <c r="W5" s="19">
        <v>46100</v>
      </c>
      <c r="X5" s="19">
        <v>45400</v>
      </c>
      <c r="Y5" s="19">
        <v>45200</v>
      </c>
      <c r="Z5" s="19">
        <v>46600</v>
      </c>
      <c r="AA5" s="19">
        <v>48000</v>
      </c>
      <c r="AB5" s="19">
        <v>48700</v>
      </c>
      <c r="AC5" s="19">
        <v>49800</v>
      </c>
      <c r="AD5" s="19">
        <v>49600</v>
      </c>
      <c r="AE5" s="19">
        <v>49500</v>
      </c>
      <c r="AF5" s="19">
        <v>50100</v>
      </c>
      <c r="AG5" s="19">
        <v>50800</v>
      </c>
      <c r="AH5" s="19">
        <v>52000</v>
      </c>
      <c r="AI5" s="19">
        <v>53200</v>
      </c>
      <c r="AJ5" s="19"/>
      <c r="AK5" s="644">
        <f>((((Q5/I5))^(1/8))-1)*100</f>
        <v>0.12038131738711932</v>
      </c>
      <c r="AL5" s="644">
        <f>((((AB5/Q5))^(1/11))-1)*100</f>
        <v>-0.62895433850571614</v>
      </c>
      <c r="AM5" s="644">
        <f>((((AI5/I5))^(1/26))-1)*100</f>
        <v>0.11006288953525623</v>
      </c>
      <c r="AN5" s="644">
        <f>((((AI5/AB5))^(1/7))-1)*100</f>
        <v>1.2705663434446235</v>
      </c>
      <c r="AO5" s="23"/>
      <c r="AP5" s="644">
        <f>((AI5/I5)-1)*100</f>
        <v>2.9013539651837617</v>
      </c>
      <c r="AR5" s="801"/>
      <c r="AS5" s="801"/>
      <c r="AT5" s="801"/>
      <c r="AU5" s="801"/>
      <c r="AV5" s="801"/>
      <c r="AW5" s="801"/>
    </row>
    <row r="6" spans="1:49" ht="15">
      <c r="H6" s="2"/>
      <c r="I6" s="20"/>
      <c r="J6" s="39"/>
      <c r="K6" s="39"/>
      <c r="L6" s="39"/>
      <c r="M6" s="39"/>
      <c r="N6" s="39"/>
      <c r="O6" s="39"/>
      <c r="P6" s="39"/>
      <c r="Q6" s="240"/>
      <c r="R6" s="19"/>
      <c r="S6" s="19"/>
      <c r="T6" s="19"/>
      <c r="U6" s="19"/>
      <c r="V6" s="19"/>
      <c r="W6" s="19"/>
      <c r="X6" s="19"/>
      <c r="Y6" s="19"/>
      <c r="Z6" s="19"/>
      <c r="AA6" s="19"/>
      <c r="AB6" s="19"/>
      <c r="AC6" s="19"/>
      <c r="AD6" s="19"/>
      <c r="AE6" s="19"/>
      <c r="AF6" s="19"/>
      <c r="AG6" s="19"/>
      <c r="AH6" s="19"/>
      <c r="AI6" s="19"/>
      <c r="AJ6" s="19"/>
      <c r="AK6" s="652"/>
      <c r="AL6" s="652"/>
      <c r="AM6" s="652"/>
      <c r="AN6" s="652"/>
      <c r="AO6" s="4"/>
      <c r="AP6" s="652"/>
      <c r="AR6" s="801"/>
      <c r="AS6" s="801"/>
      <c r="AT6" s="801"/>
      <c r="AU6" s="801"/>
      <c r="AV6" s="801"/>
      <c r="AW6" s="801"/>
    </row>
    <row r="7" spans="1:49" ht="15">
      <c r="B7" s="128" t="s">
        <v>610</v>
      </c>
      <c r="H7" s="2"/>
      <c r="I7" s="20">
        <v>63500</v>
      </c>
      <c r="J7" s="19">
        <v>61000</v>
      </c>
      <c r="K7" s="19">
        <v>59200</v>
      </c>
      <c r="L7" s="19">
        <v>60400</v>
      </c>
      <c r="M7" s="19">
        <v>61400</v>
      </c>
      <c r="N7" s="19">
        <v>62600</v>
      </c>
      <c r="O7" s="19">
        <v>63200</v>
      </c>
      <c r="P7" s="39">
        <v>64700</v>
      </c>
      <c r="Q7" s="240">
        <v>66200</v>
      </c>
      <c r="R7" s="19">
        <v>64100</v>
      </c>
      <c r="S7" s="19">
        <v>61100</v>
      </c>
      <c r="T7" s="19">
        <v>61200</v>
      </c>
      <c r="U7" s="19">
        <v>59700</v>
      </c>
      <c r="V7" s="19">
        <v>60500</v>
      </c>
      <c r="W7" s="19">
        <v>60000</v>
      </c>
      <c r="X7" s="19">
        <v>60200</v>
      </c>
      <c r="Y7" s="19">
        <v>60600</v>
      </c>
      <c r="Z7" s="19">
        <v>62300</v>
      </c>
      <c r="AA7" s="19">
        <v>63900</v>
      </c>
      <c r="AB7" s="19">
        <v>65200</v>
      </c>
      <c r="AC7" s="19">
        <v>66400</v>
      </c>
      <c r="AD7" s="19">
        <v>65900</v>
      </c>
      <c r="AE7" s="19">
        <v>66200</v>
      </c>
      <c r="AF7" s="19">
        <v>67000</v>
      </c>
      <c r="AG7" s="19">
        <v>67600</v>
      </c>
      <c r="AH7" s="19">
        <v>69000</v>
      </c>
      <c r="AI7" s="19">
        <v>70800</v>
      </c>
      <c r="AJ7" s="652"/>
      <c r="AK7" s="644">
        <f>((((Q7/I7))^(1/8))-1)*100</f>
        <v>0.52186395393598595</v>
      </c>
      <c r="AL7" s="644">
        <f>((((AB7/Q7))^(1/11))-1)*100</f>
        <v>-0.1382769819802343</v>
      </c>
      <c r="AM7" s="959">
        <f>((((AI7/I7))^(1/26))-1)*100</f>
        <v>0.41941206085454041</v>
      </c>
      <c r="AN7" s="959">
        <f>((((AI7/AB7))^(1/7))-1)*100</f>
        <v>1.1840916810521351</v>
      </c>
      <c r="AO7" s="23"/>
      <c r="AP7" s="959">
        <f>((AI7/I7)-1)*100</f>
        <v>11.496062992125978</v>
      </c>
      <c r="AR7" s="801"/>
      <c r="AS7" s="801"/>
      <c r="AT7" s="801"/>
      <c r="AU7" s="801"/>
      <c r="AV7" s="801"/>
      <c r="AW7" s="801"/>
    </row>
    <row r="8" spans="1:49" ht="15">
      <c r="B8" s="128"/>
      <c r="H8" s="2"/>
      <c r="I8" s="20"/>
      <c r="J8" s="39"/>
      <c r="K8" s="39"/>
      <c r="L8" s="39"/>
      <c r="M8" s="39"/>
      <c r="N8" s="39"/>
      <c r="O8" s="39"/>
      <c r="P8" s="39"/>
      <c r="Q8" s="240"/>
      <c r="R8" s="19"/>
      <c r="S8" s="19"/>
      <c r="T8" s="19"/>
      <c r="U8" s="19"/>
      <c r="V8" s="19"/>
      <c r="W8" s="19"/>
      <c r="X8" s="19"/>
      <c r="Y8" s="19"/>
      <c r="Z8" s="19"/>
      <c r="AA8" s="19"/>
      <c r="AB8" s="19"/>
      <c r="AC8" s="19"/>
      <c r="AD8" s="19"/>
      <c r="AE8" s="19"/>
      <c r="AF8" s="19"/>
      <c r="AG8" s="19"/>
      <c r="AH8" s="19"/>
      <c r="AI8" s="19"/>
      <c r="AJ8" s="19"/>
      <c r="AK8" s="652"/>
      <c r="AL8" s="652"/>
      <c r="AM8" s="652"/>
      <c r="AN8" s="652"/>
      <c r="AO8" s="4"/>
      <c r="AP8" s="652"/>
      <c r="AR8" s="801"/>
      <c r="AS8" s="801"/>
      <c r="AT8" s="801"/>
      <c r="AU8" s="801"/>
      <c r="AV8" s="801"/>
      <c r="AW8" s="801"/>
    </row>
    <row r="9" spans="1:49" ht="15">
      <c r="C9" s="128" t="s">
        <v>921</v>
      </c>
      <c r="H9" s="2"/>
      <c r="I9" s="20">
        <v>33800</v>
      </c>
      <c r="J9" s="19">
        <v>35700</v>
      </c>
      <c r="K9" s="19">
        <v>34200</v>
      </c>
      <c r="L9" s="19">
        <v>34400</v>
      </c>
      <c r="M9" s="19">
        <v>36400</v>
      </c>
      <c r="N9" s="19">
        <v>37500</v>
      </c>
      <c r="O9" s="19">
        <v>37400</v>
      </c>
      <c r="P9" s="39">
        <v>37900</v>
      </c>
      <c r="Q9" s="240">
        <v>41600</v>
      </c>
      <c r="R9" s="19">
        <v>43200</v>
      </c>
      <c r="S9" s="19">
        <v>40100</v>
      </c>
      <c r="T9" s="19">
        <v>40100</v>
      </c>
      <c r="U9" s="19">
        <v>39800</v>
      </c>
      <c r="V9" s="19">
        <v>40200</v>
      </c>
      <c r="W9" s="19">
        <v>41700</v>
      </c>
      <c r="X9" s="19">
        <v>40300</v>
      </c>
      <c r="Y9" s="19">
        <v>40200</v>
      </c>
      <c r="Z9" s="19">
        <v>39600</v>
      </c>
      <c r="AA9" s="19">
        <v>41700</v>
      </c>
      <c r="AB9" s="19">
        <v>42100</v>
      </c>
      <c r="AC9" s="19">
        <v>43100</v>
      </c>
      <c r="AD9" s="19">
        <v>43600</v>
      </c>
      <c r="AE9" s="19">
        <v>43500</v>
      </c>
      <c r="AF9" s="19">
        <v>44500</v>
      </c>
      <c r="AG9" s="19">
        <v>45600</v>
      </c>
      <c r="AH9" s="19">
        <v>47100</v>
      </c>
      <c r="AI9" s="19">
        <v>47900</v>
      </c>
      <c r="AJ9" s="652"/>
      <c r="AK9" s="644">
        <f>((((Q9/I9))^(1/8))-1)*100</f>
        <v>2.6294682679323556</v>
      </c>
      <c r="AL9" s="644">
        <f>((((AB9/Q9))^(1/11))-1)*100</f>
        <v>0.1086733105246207</v>
      </c>
      <c r="AM9" s="959">
        <f>((((AI9/I9))^(1/26))-1)*100</f>
        <v>1.3500110793878362</v>
      </c>
      <c r="AN9" s="959">
        <f>((((AI9/AB9))^(1/7))-1)*100</f>
        <v>1.8609286101947342</v>
      </c>
      <c r="AO9" s="23"/>
      <c r="AP9" s="959">
        <f>((AI9/I9)-1)*100</f>
        <v>41.715976331360949</v>
      </c>
      <c r="AR9" s="801"/>
      <c r="AS9" s="801"/>
      <c r="AT9" s="801"/>
      <c r="AU9" s="801"/>
      <c r="AV9" s="801"/>
      <c r="AW9" s="801"/>
    </row>
    <row r="10" spans="1:49" ht="15">
      <c r="C10" s="1" t="s">
        <v>611</v>
      </c>
      <c r="H10" s="2"/>
      <c r="I10" s="20">
        <v>29700</v>
      </c>
      <c r="J10" s="19">
        <v>32000</v>
      </c>
      <c r="K10" s="19">
        <v>30500</v>
      </c>
      <c r="L10" s="19">
        <v>31100</v>
      </c>
      <c r="M10" s="19">
        <v>31200</v>
      </c>
      <c r="N10" s="19">
        <v>32000</v>
      </c>
      <c r="O10" s="19">
        <v>32000</v>
      </c>
      <c r="P10" s="39">
        <v>32700</v>
      </c>
      <c r="Q10" s="240">
        <v>36000</v>
      </c>
      <c r="R10" s="19">
        <v>37700</v>
      </c>
      <c r="S10" s="19">
        <v>35400</v>
      </c>
      <c r="T10" s="19">
        <v>36000</v>
      </c>
      <c r="U10" s="19">
        <v>36800</v>
      </c>
      <c r="V10" s="19">
        <v>37200</v>
      </c>
      <c r="W10" s="19">
        <v>38900</v>
      </c>
      <c r="X10" s="19">
        <v>37700</v>
      </c>
      <c r="Y10" s="19">
        <v>38200</v>
      </c>
      <c r="Z10" s="19">
        <v>39200</v>
      </c>
      <c r="AA10" s="19">
        <v>41100</v>
      </c>
      <c r="AB10" s="19">
        <v>41700</v>
      </c>
      <c r="AC10" s="19">
        <v>42800</v>
      </c>
      <c r="AD10" s="19">
        <v>43300</v>
      </c>
      <c r="AE10" s="19">
        <v>43100</v>
      </c>
      <c r="AF10" s="19">
        <v>44100</v>
      </c>
      <c r="AG10" s="19">
        <v>44000</v>
      </c>
      <c r="AH10" s="19">
        <v>45500</v>
      </c>
      <c r="AI10" s="19">
        <v>46900</v>
      </c>
      <c r="AJ10" s="652"/>
      <c r="AK10" s="644">
        <f>((((Q10/I10))^(1/8))-1)*100</f>
        <v>2.4337934752145962</v>
      </c>
      <c r="AL10" s="644">
        <f>((((AB10/Q10))^(1/11))-1)*100</f>
        <v>1.3451688006346441</v>
      </c>
      <c r="AM10" s="959">
        <f>((((AI10/I10))^(1/26))-1)*100</f>
        <v>1.7727242237829399</v>
      </c>
      <c r="AN10" s="959">
        <f>((((AI10/AB10))^(1/7))-1)*100</f>
        <v>1.6929789787165639</v>
      </c>
      <c r="AO10" s="23"/>
      <c r="AP10" s="959">
        <f>((AI10/I10)-1)*100</f>
        <v>57.912457912457917</v>
      </c>
      <c r="AR10" s="801"/>
      <c r="AS10" s="801"/>
      <c r="AT10" s="801"/>
      <c r="AU10" s="801"/>
      <c r="AV10" s="801"/>
      <c r="AW10" s="801"/>
    </row>
    <row r="11" spans="1:49" ht="15">
      <c r="C11" s="1" t="s">
        <v>612</v>
      </c>
      <c r="H11" s="2"/>
      <c r="I11" s="20">
        <v>47800</v>
      </c>
      <c r="J11" s="19">
        <v>47800</v>
      </c>
      <c r="K11" s="19">
        <v>44400</v>
      </c>
      <c r="L11" s="19">
        <v>44700</v>
      </c>
      <c r="M11" s="19">
        <v>50100</v>
      </c>
      <c r="N11" s="19">
        <v>51200</v>
      </c>
      <c r="O11" s="19">
        <v>49600</v>
      </c>
      <c r="P11" s="39">
        <v>51900</v>
      </c>
      <c r="Q11" s="240">
        <v>56500</v>
      </c>
      <c r="R11" s="19">
        <v>57400</v>
      </c>
      <c r="S11" s="19">
        <v>57200</v>
      </c>
      <c r="T11" s="19">
        <v>53600</v>
      </c>
      <c r="U11" s="19">
        <v>49400</v>
      </c>
      <c r="V11" s="19">
        <v>51500</v>
      </c>
      <c r="W11" s="19">
        <v>51000</v>
      </c>
      <c r="X11" s="19">
        <v>49400</v>
      </c>
      <c r="Y11" s="19">
        <v>47900</v>
      </c>
      <c r="Z11" s="19">
        <v>41900</v>
      </c>
      <c r="AA11" s="19">
        <v>42900</v>
      </c>
      <c r="AB11" s="19">
        <v>46400</v>
      </c>
      <c r="AC11" s="19">
        <v>45700</v>
      </c>
      <c r="AD11" s="19">
        <v>45000</v>
      </c>
      <c r="AE11" s="19">
        <v>44500</v>
      </c>
      <c r="AF11" s="19">
        <v>44900</v>
      </c>
      <c r="AG11" s="19">
        <v>52400</v>
      </c>
      <c r="AH11" s="19">
        <v>51700</v>
      </c>
      <c r="AI11" s="19">
        <v>52900</v>
      </c>
      <c r="AJ11" s="652"/>
      <c r="AK11" s="644">
        <f>((((Q11/I11))^(1/8))-1)*100</f>
        <v>2.1121848968299162</v>
      </c>
      <c r="AL11" s="644">
        <f>((((AB11/Q11))^(1/11))-1)*100</f>
        <v>-1.7744423745647886</v>
      </c>
      <c r="AM11" s="959">
        <f>((((AI11/I11))^(1/26))-1)*100</f>
        <v>0.39067538282298031</v>
      </c>
      <c r="AN11" s="959">
        <f>((((AI11/AB11))^(1/7))-1)*100</f>
        <v>1.890561584953665</v>
      </c>
      <c r="AO11" s="23"/>
      <c r="AP11" s="959">
        <f>((AI11/I11)-1)*100</f>
        <v>10.669456066945603</v>
      </c>
      <c r="AR11" s="801"/>
      <c r="AS11" s="801"/>
      <c r="AT11" s="801"/>
      <c r="AU11" s="801"/>
      <c r="AV11" s="801"/>
      <c r="AW11" s="801"/>
    </row>
    <row r="12" spans="1:49" ht="15">
      <c r="H12" s="2"/>
      <c r="I12" s="20"/>
      <c r="J12" s="39"/>
      <c r="K12" s="39"/>
      <c r="L12" s="39"/>
      <c r="M12" s="39"/>
      <c r="N12" s="39"/>
      <c r="O12" s="39"/>
      <c r="P12" s="39"/>
      <c r="Q12" s="240"/>
      <c r="R12" s="19"/>
      <c r="S12" s="19"/>
      <c r="T12" s="19"/>
      <c r="U12" s="19"/>
      <c r="V12" s="19"/>
      <c r="W12" s="19"/>
      <c r="X12" s="19"/>
      <c r="Y12" s="19"/>
      <c r="Z12" s="19"/>
      <c r="AA12" s="19"/>
      <c r="AB12" s="19"/>
      <c r="AC12" s="19"/>
      <c r="AD12" s="19"/>
      <c r="AE12" s="19"/>
      <c r="AF12" s="19"/>
      <c r="AG12" s="19"/>
      <c r="AH12" s="19"/>
      <c r="AI12" s="19"/>
      <c r="AJ12" s="19"/>
      <c r="AK12" s="652"/>
      <c r="AL12" s="652"/>
      <c r="AM12" s="652"/>
      <c r="AN12" s="652"/>
      <c r="AO12" s="4"/>
      <c r="AP12" s="652"/>
      <c r="AR12" s="801"/>
      <c r="AS12" s="801"/>
      <c r="AT12" s="801"/>
      <c r="AU12" s="801"/>
      <c r="AV12" s="801"/>
      <c r="AW12" s="801"/>
    </row>
    <row r="13" spans="1:49" ht="15">
      <c r="C13" s="128" t="s">
        <v>922</v>
      </c>
      <c r="H13" s="2"/>
      <c r="I13" s="20">
        <v>66700</v>
      </c>
      <c r="J13" s="19">
        <v>64300</v>
      </c>
      <c r="K13" s="19">
        <v>63000</v>
      </c>
      <c r="L13" s="19">
        <v>63600</v>
      </c>
      <c r="M13" s="19">
        <v>64900</v>
      </c>
      <c r="N13" s="19">
        <v>66500</v>
      </c>
      <c r="O13" s="19">
        <v>67100</v>
      </c>
      <c r="P13" s="39">
        <v>68800</v>
      </c>
      <c r="Q13" s="240">
        <v>69700</v>
      </c>
      <c r="R13" s="19">
        <v>67900</v>
      </c>
      <c r="S13" s="19">
        <v>65100</v>
      </c>
      <c r="T13" s="19">
        <v>65300</v>
      </c>
      <c r="U13" s="19">
        <v>63100</v>
      </c>
      <c r="V13" s="19">
        <v>64600</v>
      </c>
      <c r="W13" s="19">
        <v>63700</v>
      </c>
      <c r="X13" s="19">
        <v>64200</v>
      </c>
      <c r="Y13" s="19">
        <v>64600</v>
      </c>
      <c r="Z13" s="19">
        <v>66900</v>
      </c>
      <c r="AA13" s="19">
        <v>68200</v>
      </c>
      <c r="AB13" s="19">
        <v>69800</v>
      </c>
      <c r="AC13" s="19">
        <v>71200</v>
      </c>
      <c r="AD13" s="19">
        <v>70300</v>
      </c>
      <c r="AE13" s="19">
        <v>70800</v>
      </c>
      <c r="AF13" s="19">
        <v>71500</v>
      </c>
      <c r="AG13" s="19">
        <v>72600</v>
      </c>
      <c r="AH13" s="19">
        <v>73800</v>
      </c>
      <c r="AI13" s="19">
        <v>76200</v>
      </c>
      <c r="AJ13" s="652"/>
      <c r="AK13" s="644">
        <f>((((Q13/I13))^(1/8))-1)*100</f>
        <v>0.5514570177668876</v>
      </c>
      <c r="AL13" s="644">
        <f>((((AB13/Q13))^(1/11))-1)*100</f>
        <v>1.3034413058976568E-2</v>
      </c>
      <c r="AM13" s="959">
        <f>((((AI13/I13))^(1/26))-1)*100</f>
        <v>0.51345410292904514</v>
      </c>
      <c r="AN13" s="959">
        <f>((((AI13/AB13))^(1/7))-1)*100</f>
        <v>1.2611354065166891</v>
      </c>
      <c r="AO13" s="23"/>
      <c r="AP13" s="959">
        <f>((AI13/I13)-1)*100</f>
        <v>14.242878560719641</v>
      </c>
      <c r="AR13" s="801"/>
      <c r="AS13" s="801"/>
      <c r="AT13" s="801"/>
      <c r="AU13" s="801"/>
      <c r="AV13" s="801"/>
      <c r="AW13" s="801"/>
    </row>
    <row r="14" spans="1:49" ht="15">
      <c r="C14" s="128"/>
      <c r="H14" s="2"/>
      <c r="I14" s="20"/>
      <c r="J14" s="39"/>
      <c r="K14" s="39"/>
      <c r="L14" s="39"/>
      <c r="M14" s="39"/>
      <c r="N14" s="39"/>
      <c r="O14" s="39"/>
      <c r="P14" s="39"/>
      <c r="Q14" s="240"/>
      <c r="R14" s="19"/>
      <c r="S14" s="19"/>
      <c r="T14" s="19"/>
      <c r="U14" s="19"/>
      <c r="V14" s="19"/>
      <c r="W14" s="19"/>
      <c r="X14" s="19"/>
      <c r="Y14" s="19"/>
      <c r="Z14" s="19"/>
      <c r="AA14" s="19"/>
      <c r="AB14" s="19"/>
      <c r="AC14" s="19"/>
      <c r="AD14" s="19"/>
      <c r="AE14" s="19"/>
      <c r="AF14" s="19"/>
      <c r="AG14" s="19"/>
      <c r="AH14" s="19"/>
      <c r="AI14" s="19"/>
      <c r="AJ14" s="19"/>
      <c r="AK14" s="652"/>
      <c r="AL14" s="652"/>
      <c r="AM14" s="652"/>
      <c r="AN14" s="652"/>
      <c r="AO14" s="4"/>
      <c r="AP14" s="652"/>
      <c r="AR14" s="801"/>
      <c r="AS14" s="801"/>
      <c r="AT14" s="801"/>
      <c r="AU14" s="801"/>
      <c r="AV14" s="801"/>
      <c r="AW14" s="801"/>
    </row>
    <row r="15" spans="1:49" ht="15">
      <c r="D15" s="128" t="s">
        <v>923</v>
      </c>
      <c r="H15" s="2"/>
      <c r="I15" s="20">
        <v>65000</v>
      </c>
      <c r="J15" s="19">
        <v>61500</v>
      </c>
      <c r="K15" s="19">
        <v>61200</v>
      </c>
      <c r="L15" s="19">
        <v>61000</v>
      </c>
      <c r="M15" s="19">
        <v>61400</v>
      </c>
      <c r="N15" s="19">
        <v>61200</v>
      </c>
      <c r="O15" s="19">
        <v>62700</v>
      </c>
      <c r="P15" s="39">
        <v>64100</v>
      </c>
      <c r="Q15" s="240">
        <v>64700</v>
      </c>
      <c r="R15" s="19">
        <v>62300</v>
      </c>
      <c r="S15" s="19">
        <v>60600</v>
      </c>
      <c r="T15" s="19">
        <v>61900</v>
      </c>
      <c r="U15" s="19">
        <v>60500</v>
      </c>
      <c r="V15" s="19">
        <v>60500</v>
      </c>
      <c r="W15" s="19">
        <v>59500</v>
      </c>
      <c r="X15" s="19">
        <v>60600</v>
      </c>
      <c r="Y15" s="19">
        <v>60700</v>
      </c>
      <c r="Z15" s="19">
        <v>62100</v>
      </c>
      <c r="AA15" s="19">
        <v>63700</v>
      </c>
      <c r="AB15" s="19">
        <v>65300</v>
      </c>
      <c r="AC15" s="19">
        <v>66600</v>
      </c>
      <c r="AD15" s="19">
        <v>65500</v>
      </c>
      <c r="AE15" s="19">
        <v>66100</v>
      </c>
      <c r="AF15" s="19">
        <v>67400</v>
      </c>
      <c r="AG15" s="19">
        <v>69200</v>
      </c>
      <c r="AH15" s="19">
        <v>70200</v>
      </c>
      <c r="AI15" s="19">
        <v>71700</v>
      </c>
      <c r="AJ15" s="652"/>
      <c r="AK15" s="644">
        <f>((((Q15/I15))^(1/8))-1)*100</f>
        <v>-5.7809138934528104E-2</v>
      </c>
      <c r="AL15" s="644">
        <f>((((AB15/Q15))^(1/11))-1)*100</f>
        <v>8.3951899674383768E-2</v>
      </c>
      <c r="AM15" s="959">
        <f>((((AI15/I15))^(1/26))-1)*100</f>
        <v>0.37803382023005039</v>
      </c>
      <c r="AN15" s="959">
        <f>((((AI15/AB15))^(1/7))-1)*100</f>
        <v>1.3446561429391046</v>
      </c>
      <c r="AO15" s="23"/>
      <c r="AP15" s="959">
        <f>((AI15/I15)-1)*100</f>
        <v>10.307692307692307</v>
      </c>
      <c r="AR15" s="801"/>
      <c r="AS15" s="801"/>
      <c r="AT15" s="801"/>
      <c r="AU15" s="801"/>
      <c r="AV15" s="801"/>
      <c r="AW15" s="801"/>
    </row>
    <row r="16" spans="1:49" ht="15">
      <c r="D16" s="1" t="s">
        <v>613</v>
      </c>
      <c r="H16" s="2"/>
      <c r="I16" s="20">
        <v>21800</v>
      </c>
      <c r="J16" s="19">
        <v>22200</v>
      </c>
      <c r="K16" s="19">
        <v>25500</v>
      </c>
      <c r="L16" s="19">
        <v>22500</v>
      </c>
      <c r="M16" s="19">
        <v>27300</v>
      </c>
      <c r="N16" s="19">
        <v>24900</v>
      </c>
      <c r="O16" s="19">
        <v>26200</v>
      </c>
      <c r="P16" s="39">
        <v>25500</v>
      </c>
      <c r="Q16" s="240">
        <v>28300</v>
      </c>
      <c r="R16" s="19">
        <v>30100</v>
      </c>
      <c r="S16" s="19">
        <v>27200</v>
      </c>
      <c r="T16" s="19">
        <v>26200</v>
      </c>
      <c r="U16" s="19">
        <v>26700</v>
      </c>
      <c r="V16" s="19">
        <v>27100</v>
      </c>
      <c r="W16" s="19">
        <v>27100</v>
      </c>
      <c r="X16" s="19">
        <v>27500</v>
      </c>
      <c r="Y16" s="19">
        <v>26400</v>
      </c>
      <c r="Z16" s="19">
        <v>30000</v>
      </c>
      <c r="AA16" s="19">
        <v>30800</v>
      </c>
      <c r="AB16" s="19">
        <v>32200</v>
      </c>
      <c r="AC16" s="19">
        <v>33800</v>
      </c>
      <c r="AD16" s="19">
        <v>32400</v>
      </c>
      <c r="AE16" s="19">
        <v>33300</v>
      </c>
      <c r="AF16" s="19">
        <v>30300</v>
      </c>
      <c r="AG16" s="19">
        <v>29900</v>
      </c>
      <c r="AH16" s="19">
        <v>33000</v>
      </c>
      <c r="AI16" s="19">
        <v>38200</v>
      </c>
      <c r="AJ16" s="652"/>
      <c r="AK16" s="644">
        <f>((((Q16/I16))^(1/8))-1)*100</f>
        <v>3.3156810164248096</v>
      </c>
      <c r="AL16" s="644">
        <f>((((AB16/Q16))^(1/11))-1)*100</f>
        <v>1.1805932501433247</v>
      </c>
      <c r="AM16" s="959">
        <f>((((AI16/I16))^(1/26))-1)*100</f>
        <v>2.1808462112568927</v>
      </c>
      <c r="AN16" s="959">
        <f>((((AI16/AB16))^(1/7))-1)*100</f>
        <v>2.471022586863314</v>
      </c>
      <c r="AO16" s="23"/>
      <c r="AP16" s="959">
        <f>((AI16/I16)-1)*100</f>
        <v>75.229357798165125</v>
      </c>
      <c r="AR16" s="801"/>
      <c r="AS16" s="801"/>
      <c r="AT16" s="801"/>
      <c r="AU16" s="801"/>
      <c r="AV16" s="801"/>
      <c r="AW16" s="801"/>
    </row>
    <row r="17" spans="1:49" ht="15">
      <c r="D17" s="1" t="s">
        <v>614</v>
      </c>
      <c r="H17" s="2"/>
      <c r="I17" s="20">
        <v>48800</v>
      </c>
      <c r="J17" s="19">
        <v>48100</v>
      </c>
      <c r="K17" s="19">
        <v>50100</v>
      </c>
      <c r="L17" s="19">
        <v>48000</v>
      </c>
      <c r="M17" s="19">
        <v>52600</v>
      </c>
      <c r="N17" s="19">
        <v>51000</v>
      </c>
      <c r="O17" s="19">
        <v>48500</v>
      </c>
      <c r="P17" s="39">
        <v>49200</v>
      </c>
      <c r="Q17" s="240">
        <v>53100</v>
      </c>
      <c r="R17" s="19">
        <v>50500</v>
      </c>
      <c r="S17" s="19">
        <v>47100</v>
      </c>
      <c r="T17" s="19">
        <v>50000</v>
      </c>
      <c r="U17" s="19">
        <v>47800</v>
      </c>
      <c r="V17" s="19">
        <v>48200</v>
      </c>
      <c r="W17" s="19">
        <v>48800</v>
      </c>
      <c r="X17" s="19">
        <v>50200</v>
      </c>
      <c r="Y17" s="19">
        <v>47600</v>
      </c>
      <c r="Z17" s="19">
        <v>49000</v>
      </c>
      <c r="AA17" s="19">
        <v>52600</v>
      </c>
      <c r="AB17" s="19">
        <v>50700</v>
      </c>
      <c r="AC17" s="19">
        <v>53900</v>
      </c>
      <c r="AD17" s="19">
        <v>51600</v>
      </c>
      <c r="AE17" s="19">
        <v>52100</v>
      </c>
      <c r="AF17" s="19">
        <v>55700</v>
      </c>
      <c r="AG17" s="19">
        <v>58000</v>
      </c>
      <c r="AH17" s="19">
        <v>57000</v>
      </c>
      <c r="AI17" s="19">
        <v>56500</v>
      </c>
      <c r="AJ17" s="652"/>
      <c r="AK17" s="644">
        <f>((((Q17/I17))^(1/8))-1)*100</f>
        <v>1.0611736214382272</v>
      </c>
      <c r="AL17" s="644">
        <f>((((AB17/Q17))^(1/11))-1)*100</f>
        <v>-0.41958108539686956</v>
      </c>
      <c r="AM17" s="959">
        <f>((((AI17/I17))^(1/26))-1)*100</f>
        <v>0.56509190581097712</v>
      </c>
      <c r="AN17" s="959">
        <f>((((AI17/AB17))^(1/7))-1)*100</f>
        <v>1.5593867479911205</v>
      </c>
      <c r="AO17" s="23"/>
      <c r="AP17" s="959">
        <f>((AI17/I17)-1)*100</f>
        <v>15.778688524590168</v>
      </c>
      <c r="AR17" s="801"/>
      <c r="AS17" s="801"/>
      <c r="AT17" s="801"/>
      <c r="AU17" s="801"/>
      <c r="AV17" s="801"/>
      <c r="AW17" s="801"/>
    </row>
    <row r="18" spans="1:49" ht="15">
      <c r="D18" s="1" t="s">
        <v>615</v>
      </c>
      <c r="H18" s="2"/>
      <c r="I18" s="20">
        <v>73500</v>
      </c>
      <c r="J18" s="19">
        <v>70200</v>
      </c>
      <c r="K18" s="19">
        <v>69100</v>
      </c>
      <c r="L18" s="19">
        <v>70000</v>
      </c>
      <c r="M18" s="19">
        <v>69000</v>
      </c>
      <c r="N18" s="19">
        <v>70000</v>
      </c>
      <c r="O18" s="19">
        <v>71600</v>
      </c>
      <c r="P18" s="39">
        <v>72600</v>
      </c>
      <c r="Q18" s="240">
        <v>72100</v>
      </c>
      <c r="R18" s="19">
        <v>71600</v>
      </c>
      <c r="S18" s="19">
        <v>72100</v>
      </c>
      <c r="T18" s="19">
        <v>72800</v>
      </c>
      <c r="U18" s="19">
        <v>71300</v>
      </c>
      <c r="V18" s="19">
        <v>71600</v>
      </c>
      <c r="W18" s="19">
        <v>70000</v>
      </c>
      <c r="X18" s="19">
        <v>72100</v>
      </c>
      <c r="Y18" s="19">
        <v>71500</v>
      </c>
      <c r="Z18" s="19">
        <v>73300</v>
      </c>
      <c r="AA18" s="19">
        <v>73000</v>
      </c>
      <c r="AB18" s="19">
        <v>73900</v>
      </c>
      <c r="AC18" s="19">
        <v>75600</v>
      </c>
      <c r="AD18" s="19">
        <v>75300</v>
      </c>
      <c r="AE18" s="19">
        <v>75500</v>
      </c>
      <c r="AF18" s="19">
        <v>75900</v>
      </c>
      <c r="AG18" s="19">
        <v>77900</v>
      </c>
      <c r="AH18" s="19">
        <v>79300</v>
      </c>
      <c r="AI18" s="19">
        <v>80800</v>
      </c>
      <c r="AJ18" s="652"/>
      <c r="AK18" s="644">
        <f>((((Q18/I18))^(1/8))-1)*100</f>
        <v>-0.2401033138641373</v>
      </c>
      <c r="AL18" s="644">
        <f>((((AB18/Q18))^(1/11))-1)*100</f>
        <v>0.22442221108223137</v>
      </c>
      <c r="AM18" s="959">
        <f>((((AI18/I18))^(1/26))-1)*100</f>
        <v>0.36486231291581461</v>
      </c>
      <c r="AN18" s="959">
        <f>((((AI18/AB18))^(1/7))-1)*100</f>
        <v>1.2833673370008514</v>
      </c>
      <c r="AO18" s="23"/>
      <c r="AP18" s="959">
        <f>((AI18/I18)-1)*100</f>
        <v>9.9319727891156404</v>
      </c>
      <c r="AR18" s="801"/>
      <c r="AS18" s="801"/>
      <c r="AT18" s="801"/>
      <c r="AU18" s="801"/>
      <c r="AV18" s="801"/>
      <c r="AW18" s="801"/>
    </row>
    <row r="19" spans="1:49" ht="15">
      <c r="H19" s="2"/>
      <c r="I19" s="20"/>
      <c r="J19" s="39"/>
      <c r="K19" s="39"/>
      <c r="L19" s="39"/>
      <c r="M19" s="39"/>
      <c r="N19" s="39"/>
      <c r="O19" s="39"/>
      <c r="P19" s="39"/>
      <c r="Q19" s="240"/>
      <c r="R19" s="19"/>
      <c r="S19" s="19"/>
      <c r="T19" s="19"/>
      <c r="U19" s="19"/>
      <c r="V19" s="19"/>
      <c r="W19" s="19"/>
      <c r="X19" s="19"/>
      <c r="Y19" s="19"/>
      <c r="Z19" s="19"/>
      <c r="AA19" s="19"/>
      <c r="AB19" s="19"/>
      <c r="AC19" s="19"/>
      <c r="AD19" s="19"/>
      <c r="AE19" s="19"/>
      <c r="AF19" s="19"/>
      <c r="AG19" s="19"/>
      <c r="AH19" s="19"/>
      <c r="AI19" s="19"/>
      <c r="AJ19" s="19"/>
      <c r="AK19" s="652"/>
      <c r="AL19" s="652"/>
      <c r="AM19" s="652"/>
      <c r="AN19" s="652"/>
      <c r="AO19" s="4"/>
      <c r="AP19" s="652"/>
      <c r="AR19" s="801"/>
      <c r="AS19" s="801"/>
      <c r="AT19" s="801"/>
      <c r="AU19" s="801"/>
      <c r="AV19" s="801"/>
      <c r="AW19" s="801"/>
    </row>
    <row r="20" spans="1:49" ht="15">
      <c r="D20" s="128" t="s">
        <v>619</v>
      </c>
      <c r="H20" s="2"/>
      <c r="I20" s="20">
        <v>69200</v>
      </c>
      <c r="J20" s="19">
        <v>67100</v>
      </c>
      <c r="K20" s="19">
        <v>66300</v>
      </c>
      <c r="L20" s="19">
        <v>67200</v>
      </c>
      <c r="M20" s="19">
        <v>69300</v>
      </c>
      <c r="N20" s="19">
        <v>70100</v>
      </c>
      <c r="O20" s="19">
        <v>71500</v>
      </c>
      <c r="P20" s="39">
        <v>73400</v>
      </c>
      <c r="Q20" s="240">
        <v>73700</v>
      </c>
      <c r="R20" s="19">
        <v>73600</v>
      </c>
      <c r="S20" s="19">
        <v>70100</v>
      </c>
      <c r="T20" s="19">
        <v>71600</v>
      </c>
      <c r="U20" s="19">
        <v>69000</v>
      </c>
      <c r="V20" s="19">
        <v>70400</v>
      </c>
      <c r="W20" s="19">
        <v>70400</v>
      </c>
      <c r="X20" s="19">
        <v>70800</v>
      </c>
      <c r="Y20" s="19">
        <v>71600</v>
      </c>
      <c r="Z20" s="19">
        <v>74900</v>
      </c>
      <c r="AA20" s="19">
        <v>75400</v>
      </c>
      <c r="AB20" s="19">
        <v>77500</v>
      </c>
      <c r="AC20" s="19">
        <v>78400</v>
      </c>
      <c r="AD20" s="19">
        <v>78400</v>
      </c>
      <c r="AE20" s="19">
        <v>79200</v>
      </c>
      <c r="AF20" s="19">
        <v>80700</v>
      </c>
      <c r="AG20" s="19">
        <v>80900</v>
      </c>
      <c r="AH20" s="19">
        <v>82400</v>
      </c>
      <c r="AI20" s="19">
        <v>85400</v>
      </c>
      <c r="AJ20" s="652"/>
      <c r="AK20" s="644">
        <f>((((Q20/I20))^(1/8))-1)*100</f>
        <v>0.79063333538345049</v>
      </c>
      <c r="AL20" s="644">
        <f>((((AB20/Q20))^(1/11))-1)*100</f>
        <v>0.45809275296848639</v>
      </c>
      <c r="AM20" s="959">
        <f>((((AI20/I20))^(1/26))-1)*100</f>
        <v>0.81230155792408887</v>
      </c>
      <c r="AN20" s="959">
        <f>((((AI20/AB20))^(1/7))-1)*100</f>
        <v>1.396347177907642</v>
      </c>
      <c r="AO20" s="23"/>
      <c r="AP20" s="959">
        <f>((AI20/I20)-1)*100</f>
        <v>23.410404624277458</v>
      </c>
      <c r="AR20" s="801"/>
      <c r="AS20" s="801"/>
      <c r="AT20" s="801"/>
      <c r="AU20" s="801"/>
      <c r="AV20" s="801"/>
      <c r="AW20" s="801"/>
    </row>
    <row r="21" spans="1:49" ht="15">
      <c r="D21" s="1" t="s">
        <v>613</v>
      </c>
      <c r="H21" s="2"/>
      <c r="I21" s="20">
        <v>18500</v>
      </c>
      <c r="J21" s="19">
        <v>18600</v>
      </c>
      <c r="K21" s="19">
        <v>18400</v>
      </c>
      <c r="L21" s="19">
        <v>18700</v>
      </c>
      <c r="M21" s="19">
        <v>19600</v>
      </c>
      <c r="N21" s="19">
        <v>20400</v>
      </c>
      <c r="O21" s="19">
        <v>20100</v>
      </c>
      <c r="P21" s="39">
        <v>20100</v>
      </c>
      <c r="Q21" s="240">
        <v>19900</v>
      </c>
      <c r="R21" s="19">
        <v>18900</v>
      </c>
      <c r="S21" s="19">
        <v>20600</v>
      </c>
      <c r="T21" s="19">
        <v>21300</v>
      </c>
      <c r="U21" s="19">
        <v>22200</v>
      </c>
      <c r="V21" s="19">
        <v>21700</v>
      </c>
      <c r="W21" s="19">
        <v>20400</v>
      </c>
      <c r="X21" s="19">
        <v>21100</v>
      </c>
      <c r="Y21" s="19">
        <v>21400</v>
      </c>
      <c r="Z21" s="19">
        <v>22400</v>
      </c>
      <c r="AA21" s="19">
        <v>21100</v>
      </c>
      <c r="AB21" s="19">
        <v>21600</v>
      </c>
      <c r="AC21" s="19">
        <v>23300</v>
      </c>
      <c r="AD21" s="19">
        <v>23700</v>
      </c>
      <c r="AE21" s="19">
        <v>22000</v>
      </c>
      <c r="AF21" s="19">
        <v>22300</v>
      </c>
      <c r="AG21" s="19">
        <v>18800</v>
      </c>
      <c r="AH21" s="19">
        <v>25900</v>
      </c>
      <c r="AI21" s="19">
        <v>25200</v>
      </c>
      <c r="AJ21" s="652"/>
      <c r="AK21" s="644">
        <f>((((Q21/I21))^(1/8))-1)*100</f>
        <v>0.91603262728268131</v>
      </c>
      <c r="AL21" s="644">
        <f>((((AB21/Q21))^(1/11))-1)*100</f>
        <v>0.7479980233630501</v>
      </c>
      <c r="AM21" s="959">
        <f>((((AI21/I21))^(1/26))-1)*100</f>
        <v>1.1958369509189826</v>
      </c>
      <c r="AN21" s="959">
        <f>((((AI21/AB21))^(1/7))-1)*100</f>
        <v>2.2265789209679587</v>
      </c>
      <c r="AO21" s="23"/>
      <c r="AP21" s="959">
        <f>((AI21/I21)-1)*100</f>
        <v>36.216216216216225</v>
      </c>
      <c r="AR21" s="801"/>
      <c r="AS21" s="801"/>
      <c r="AT21" s="801"/>
      <c r="AU21" s="801"/>
      <c r="AV21" s="801"/>
      <c r="AW21" s="801"/>
    </row>
    <row r="22" spans="1:49" ht="15">
      <c r="D22" s="1" t="s">
        <v>620</v>
      </c>
      <c r="H22" s="2"/>
      <c r="I22" s="20">
        <v>54900</v>
      </c>
      <c r="J22" s="19">
        <v>53500</v>
      </c>
      <c r="K22" s="19">
        <v>52900</v>
      </c>
      <c r="L22" s="19">
        <v>52600</v>
      </c>
      <c r="M22" s="19">
        <v>54400</v>
      </c>
      <c r="N22" s="19">
        <v>54200</v>
      </c>
      <c r="O22" s="19">
        <v>53300</v>
      </c>
      <c r="P22" s="39">
        <v>54700</v>
      </c>
      <c r="Q22" s="240">
        <v>55500</v>
      </c>
      <c r="R22" s="19">
        <v>51800</v>
      </c>
      <c r="S22" s="19">
        <v>52300</v>
      </c>
      <c r="T22" s="19">
        <v>52700</v>
      </c>
      <c r="U22" s="19">
        <v>50300</v>
      </c>
      <c r="V22" s="19">
        <v>51800</v>
      </c>
      <c r="W22" s="19">
        <v>50200</v>
      </c>
      <c r="X22" s="19">
        <v>50400</v>
      </c>
      <c r="Y22" s="19">
        <v>48900</v>
      </c>
      <c r="Z22" s="19">
        <v>51800</v>
      </c>
      <c r="AA22" s="19">
        <v>52700</v>
      </c>
      <c r="AB22" s="19">
        <v>51100</v>
      </c>
      <c r="AC22" s="19">
        <v>50400</v>
      </c>
      <c r="AD22" s="19">
        <v>52300</v>
      </c>
      <c r="AE22" s="19">
        <v>53300</v>
      </c>
      <c r="AF22" s="19">
        <v>51500</v>
      </c>
      <c r="AG22" s="19">
        <v>53500</v>
      </c>
      <c r="AH22" s="19">
        <v>51000</v>
      </c>
      <c r="AI22" s="19">
        <v>54100</v>
      </c>
      <c r="AJ22" s="652"/>
      <c r="AK22" s="644">
        <f>((((Q22/I22))^(1/8))-1)*100</f>
        <v>0.13596324929185943</v>
      </c>
      <c r="AL22" s="644">
        <f>((((AB22/Q22))^(1/11))-1)*100</f>
        <v>-0.74808349028884225</v>
      </c>
      <c r="AM22" s="959">
        <f>((((AI22/I22))^(1/26))-1)*100</f>
        <v>-5.6442383225452364E-2</v>
      </c>
      <c r="AN22" s="959">
        <f>((((AI22/AB22))^(1/7))-1)*100</f>
        <v>0.81832568144348805</v>
      </c>
      <c r="AO22" s="23"/>
      <c r="AP22" s="959">
        <f>((AI22/I22)-1)*100</f>
        <v>-1.4571948998178486</v>
      </c>
      <c r="AR22" s="801"/>
      <c r="AS22" s="801"/>
      <c r="AT22" s="801"/>
      <c r="AU22" s="801"/>
      <c r="AV22" s="801"/>
      <c r="AW22" s="801"/>
    </row>
    <row r="23" spans="1:49" ht="15">
      <c r="D23" s="1" t="s">
        <v>615</v>
      </c>
      <c r="H23" s="2"/>
      <c r="I23" s="20">
        <v>70700</v>
      </c>
      <c r="J23" s="19">
        <v>70100</v>
      </c>
      <c r="K23" s="19">
        <v>69300</v>
      </c>
      <c r="L23" s="19">
        <v>70800</v>
      </c>
      <c r="M23" s="19">
        <v>71900</v>
      </c>
      <c r="N23" s="19">
        <v>72400</v>
      </c>
      <c r="O23" s="19">
        <v>72100</v>
      </c>
      <c r="P23" s="39">
        <v>75100</v>
      </c>
      <c r="Q23" s="240">
        <v>74400</v>
      </c>
      <c r="R23" s="19">
        <v>74000</v>
      </c>
      <c r="S23" s="19">
        <v>72100</v>
      </c>
      <c r="T23" s="19">
        <v>73900</v>
      </c>
      <c r="U23" s="19">
        <v>73200</v>
      </c>
      <c r="V23" s="19">
        <v>74600</v>
      </c>
      <c r="W23" s="19">
        <v>74300</v>
      </c>
      <c r="X23" s="19">
        <v>74400</v>
      </c>
      <c r="Y23" s="19">
        <v>74900</v>
      </c>
      <c r="Z23" s="19">
        <v>77900</v>
      </c>
      <c r="AA23" s="19">
        <v>77300</v>
      </c>
      <c r="AB23" s="19">
        <v>80100</v>
      </c>
      <c r="AC23" s="19">
        <v>79900</v>
      </c>
      <c r="AD23" s="19">
        <v>80600</v>
      </c>
      <c r="AE23" s="19">
        <v>80600</v>
      </c>
      <c r="AF23" s="19">
        <v>82500</v>
      </c>
      <c r="AG23" s="19">
        <v>82400</v>
      </c>
      <c r="AH23" s="19">
        <v>83000</v>
      </c>
      <c r="AI23" s="19">
        <v>85600</v>
      </c>
      <c r="AJ23" s="652"/>
      <c r="AK23" s="644">
        <f>((((Q23/I23))^(1/8))-1)*100</f>
        <v>0.63966679691211947</v>
      </c>
      <c r="AL23" s="644">
        <f>((((AB23/Q23))^(1/11))-1)*100</f>
        <v>0.67334696660312776</v>
      </c>
      <c r="AM23" s="959">
        <f>((((AI23/I23))^(1/26))-1)*100</f>
        <v>0.73824906753665598</v>
      </c>
      <c r="AN23" s="959">
        <f>((((AI23/AB23))^(1/7))-1)*100</f>
        <v>0.95322061131595248</v>
      </c>
      <c r="AO23" s="23"/>
      <c r="AP23" s="959">
        <f>((AI23/I23)-1)*100</f>
        <v>21.074964639321081</v>
      </c>
      <c r="AR23" s="801"/>
      <c r="AS23" s="801"/>
      <c r="AT23" s="801"/>
      <c r="AU23" s="801"/>
      <c r="AV23" s="801"/>
      <c r="AW23" s="801"/>
    </row>
    <row r="24" spans="1:49" ht="15">
      <c r="D24" s="1" t="s">
        <v>621</v>
      </c>
      <c r="H24" s="2"/>
      <c r="I24" s="20">
        <v>91500</v>
      </c>
      <c r="J24" s="19">
        <v>89200</v>
      </c>
      <c r="K24" s="19">
        <v>84600</v>
      </c>
      <c r="L24" s="19">
        <v>87100</v>
      </c>
      <c r="M24" s="19">
        <v>89600</v>
      </c>
      <c r="N24" s="19">
        <v>91100</v>
      </c>
      <c r="O24" s="19">
        <v>92800</v>
      </c>
      <c r="P24" s="39">
        <v>93700</v>
      </c>
      <c r="Q24" s="240">
        <v>96300</v>
      </c>
      <c r="R24" s="19">
        <v>95300</v>
      </c>
      <c r="S24" s="19">
        <v>88800</v>
      </c>
      <c r="T24" s="19">
        <v>90400</v>
      </c>
      <c r="U24" s="19">
        <v>89200</v>
      </c>
      <c r="V24" s="19">
        <v>90600</v>
      </c>
      <c r="W24" s="19">
        <v>89800</v>
      </c>
      <c r="X24" s="19">
        <v>91500</v>
      </c>
      <c r="Y24" s="19">
        <v>93400</v>
      </c>
      <c r="Z24" s="19">
        <v>92100</v>
      </c>
      <c r="AA24" s="19">
        <v>98400</v>
      </c>
      <c r="AB24" s="19">
        <v>99100</v>
      </c>
      <c r="AC24" s="19">
        <v>101700</v>
      </c>
      <c r="AD24" s="19">
        <v>100200</v>
      </c>
      <c r="AE24" s="19">
        <v>100300</v>
      </c>
      <c r="AF24" s="19">
        <v>103200</v>
      </c>
      <c r="AG24" s="19">
        <v>102700</v>
      </c>
      <c r="AH24" s="19">
        <v>106400</v>
      </c>
      <c r="AI24" s="19">
        <v>109500</v>
      </c>
      <c r="AJ24" s="652"/>
      <c r="AK24" s="644">
        <f>((((Q24/I24))^(1/8))-1)*100</f>
        <v>0.64116354111951601</v>
      </c>
      <c r="AL24" s="644">
        <f>((((AB24/Q24))^(1/11))-1)*100</f>
        <v>0.26089540064635486</v>
      </c>
      <c r="AM24" s="959">
        <f>((((AI24/I24))^(1/26))-1)*100</f>
        <v>0.69310468672660885</v>
      </c>
      <c r="AN24" s="959">
        <f>((((AI24/AB24))^(1/7))-1)*100</f>
        <v>1.4358551740387915</v>
      </c>
      <c r="AO24" s="23"/>
      <c r="AP24" s="959">
        <f>((AI24/I24)-1)*100</f>
        <v>19.672131147540984</v>
      </c>
      <c r="AR24" s="802"/>
    </row>
    <row r="25" spans="1:49" ht="15">
      <c r="H25" s="2"/>
      <c r="I25" s="20"/>
      <c r="J25" s="39"/>
      <c r="K25" s="39"/>
      <c r="L25" s="39"/>
      <c r="M25" s="39"/>
      <c r="N25" s="39"/>
      <c r="O25" s="39"/>
      <c r="P25" s="39"/>
      <c r="Q25" s="240"/>
      <c r="R25" s="19"/>
      <c r="S25" s="19"/>
      <c r="T25" s="19"/>
      <c r="U25" s="19"/>
      <c r="V25" s="19"/>
      <c r="W25" s="19"/>
      <c r="X25" s="19"/>
      <c r="Y25" s="19"/>
      <c r="Z25" s="19"/>
      <c r="AA25" s="19"/>
      <c r="AB25" s="19"/>
      <c r="AC25" s="19"/>
      <c r="AD25" s="19"/>
      <c r="AE25" s="19"/>
      <c r="AF25" s="19"/>
      <c r="AG25" s="19"/>
      <c r="AH25" s="19"/>
      <c r="AI25" s="19"/>
      <c r="AJ25" s="19"/>
      <c r="AK25" s="652"/>
      <c r="AL25" s="652"/>
      <c r="AM25" s="652"/>
      <c r="AN25" s="652"/>
      <c r="AO25" s="4"/>
      <c r="AP25" s="652"/>
      <c r="AR25" s="803"/>
      <c r="AS25" s="803"/>
      <c r="AT25" s="803"/>
      <c r="AU25" s="803"/>
      <c r="AV25" s="803"/>
      <c r="AW25" s="803"/>
    </row>
    <row r="26" spans="1:49" ht="15">
      <c r="D26" s="128" t="s">
        <v>622</v>
      </c>
      <c r="H26" s="2"/>
      <c r="I26" s="20">
        <v>90300</v>
      </c>
      <c r="J26" s="19">
        <v>87700</v>
      </c>
      <c r="K26" s="19">
        <v>84600</v>
      </c>
      <c r="L26" s="19">
        <v>84500</v>
      </c>
      <c r="M26" s="19">
        <v>85300</v>
      </c>
      <c r="N26" s="19">
        <v>89100</v>
      </c>
      <c r="O26" s="19">
        <v>89700</v>
      </c>
      <c r="P26" s="39">
        <v>93600</v>
      </c>
      <c r="Q26" s="240">
        <v>95900</v>
      </c>
      <c r="R26" s="19">
        <v>94200</v>
      </c>
      <c r="S26" s="19">
        <v>88200</v>
      </c>
      <c r="T26" s="19">
        <v>86100</v>
      </c>
      <c r="U26" s="19">
        <v>88600</v>
      </c>
      <c r="V26" s="19">
        <v>88000</v>
      </c>
      <c r="W26" s="19">
        <v>86400</v>
      </c>
      <c r="X26" s="19">
        <v>88900</v>
      </c>
      <c r="Y26" s="19">
        <v>88700</v>
      </c>
      <c r="Z26" s="19">
        <v>93500</v>
      </c>
      <c r="AA26" s="19">
        <v>98900</v>
      </c>
      <c r="AB26" s="19">
        <v>99600</v>
      </c>
      <c r="AC26" s="19">
        <v>99200</v>
      </c>
      <c r="AD26" s="19">
        <v>97200</v>
      </c>
      <c r="AE26" s="19">
        <v>98400</v>
      </c>
      <c r="AF26" s="19">
        <v>100700</v>
      </c>
      <c r="AG26" s="19">
        <v>105200</v>
      </c>
      <c r="AH26" s="19">
        <v>106500</v>
      </c>
      <c r="AI26" s="19">
        <v>110500</v>
      </c>
      <c r="AJ26" s="652"/>
      <c r="AK26" s="644">
        <f>((((Q26/I26))^(1/8))-1)*100</f>
        <v>0.75494194342002885</v>
      </c>
      <c r="AL26" s="644">
        <f>((((AB26/Q26))^(1/11))-1)*100</f>
        <v>0.34473998156594465</v>
      </c>
      <c r="AM26" s="959">
        <f>((((AI26/I26))^(1/26))-1)*100</f>
        <v>0.77947630065473561</v>
      </c>
      <c r="AN26" s="959">
        <f>((((AI26/AB26))^(1/7))-1)*100</f>
        <v>1.4946796386540173</v>
      </c>
      <c r="AO26" s="23"/>
      <c r="AP26" s="959">
        <f>((AI26/I26)-1)*100</f>
        <v>22.36987818383167</v>
      </c>
      <c r="AR26" s="803"/>
      <c r="AS26" s="803"/>
      <c r="AT26" s="803"/>
      <c r="AU26" s="803"/>
      <c r="AV26" s="803"/>
      <c r="AW26" s="803"/>
    </row>
    <row r="27" spans="1:49" ht="15">
      <c r="H27" s="2"/>
      <c r="I27" s="20"/>
      <c r="J27" s="39"/>
      <c r="K27" s="39"/>
      <c r="L27" s="39"/>
      <c r="M27" s="39"/>
      <c r="N27" s="39"/>
      <c r="O27" s="39"/>
      <c r="P27" s="39"/>
      <c r="Q27" s="240"/>
      <c r="R27" s="19"/>
      <c r="S27" s="19"/>
      <c r="T27" s="19"/>
      <c r="U27" s="19"/>
      <c r="V27" s="19"/>
      <c r="W27" s="19"/>
      <c r="X27" s="19"/>
      <c r="Y27" s="19"/>
      <c r="Z27" s="19"/>
      <c r="AA27" s="19"/>
      <c r="AB27" s="19"/>
      <c r="AC27" s="19"/>
      <c r="AD27" s="19"/>
      <c r="AE27" s="19"/>
      <c r="AF27" s="19"/>
      <c r="AG27" s="19"/>
      <c r="AH27" s="19"/>
      <c r="AI27" s="19"/>
      <c r="AJ27" s="19"/>
      <c r="AK27" s="644"/>
      <c r="AL27" s="644"/>
      <c r="AM27" s="644"/>
      <c r="AN27" s="644"/>
      <c r="AO27" s="116"/>
      <c r="AP27" s="644"/>
      <c r="AQ27" s="114"/>
      <c r="AR27" s="803"/>
      <c r="AS27" s="803"/>
      <c r="AT27" s="803"/>
      <c r="AU27" s="803"/>
      <c r="AV27" s="803"/>
      <c r="AW27" s="803"/>
    </row>
    <row r="28" spans="1:49" s="114" customFormat="1" ht="15">
      <c r="A28" s="1"/>
      <c r="B28" s="1"/>
      <c r="C28" s="1"/>
      <c r="D28" s="128" t="s">
        <v>623</v>
      </c>
      <c r="E28" s="1"/>
      <c r="F28" s="1"/>
      <c r="G28" s="1"/>
      <c r="H28" s="2"/>
      <c r="I28" s="20">
        <v>30600</v>
      </c>
      <c r="J28" s="19">
        <v>27100</v>
      </c>
      <c r="K28" s="19">
        <v>24600</v>
      </c>
      <c r="L28" s="19">
        <v>25200</v>
      </c>
      <c r="M28" s="19">
        <v>25200</v>
      </c>
      <c r="N28" s="19">
        <v>27700</v>
      </c>
      <c r="O28" s="19">
        <v>27400</v>
      </c>
      <c r="P28" s="39">
        <v>28400</v>
      </c>
      <c r="Q28" s="240">
        <v>30000</v>
      </c>
      <c r="R28" s="19">
        <v>25900</v>
      </c>
      <c r="S28" s="19">
        <v>25100</v>
      </c>
      <c r="T28" s="19">
        <v>27300</v>
      </c>
      <c r="U28" s="19">
        <v>26300</v>
      </c>
      <c r="V28" s="19">
        <v>27300</v>
      </c>
      <c r="W28" s="19">
        <v>27200</v>
      </c>
      <c r="X28" s="19">
        <v>24700</v>
      </c>
      <c r="Y28" s="19">
        <v>26500</v>
      </c>
      <c r="Z28" s="19">
        <v>27800</v>
      </c>
      <c r="AA28" s="19">
        <v>30400</v>
      </c>
      <c r="AB28" s="19">
        <v>33900</v>
      </c>
      <c r="AC28" s="19">
        <v>33500</v>
      </c>
      <c r="AD28" s="19">
        <v>31500</v>
      </c>
      <c r="AE28" s="19">
        <v>32000</v>
      </c>
      <c r="AF28" s="19">
        <v>32700</v>
      </c>
      <c r="AG28" s="19">
        <v>36400</v>
      </c>
      <c r="AH28" s="19">
        <v>38000</v>
      </c>
      <c r="AI28" s="19">
        <v>37300</v>
      </c>
      <c r="AJ28" s="652"/>
      <c r="AK28" s="644">
        <f t="shared" ref="AK28:AK33" si="0">((((Q28/I28))^(1/8))-1)*100</f>
        <v>-0.24722673129116135</v>
      </c>
      <c r="AL28" s="644">
        <f t="shared" ref="AL28:AL33" si="1">((((AB28/Q28))^(1/11))-1)*100</f>
        <v>1.1172646877630532</v>
      </c>
      <c r="AM28" s="959">
        <f t="shared" ref="AM28:AM33" si="2">((((AI28/I28))^(1/26))-1)*100</f>
        <v>0.76441964284805763</v>
      </c>
      <c r="AN28" s="959">
        <f t="shared" ref="AN28:AN33" si="3">((((AI28/AB28))^(1/7))-1)*100</f>
        <v>1.3747686788927238</v>
      </c>
      <c r="AO28" s="23"/>
      <c r="AP28" s="959">
        <f t="shared" ref="AP28:AP33" si="4">((AI28/I28)-1)*100</f>
        <v>21.895424836601318</v>
      </c>
      <c r="AR28" s="803"/>
      <c r="AS28" s="803"/>
      <c r="AT28" s="803"/>
      <c r="AU28" s="803"/>
      <c r="AV28" s="803"/>
      <c r="AW28" s="803"/>
    </row>
    <row r="29" spans="1:49" s="114" customFormat="1" ht="15">
      <c r="A29" s="1"/>
      <c r="B29" s="1"/>
      <c r="C29" s="1"/>
      <c r="D29" s="1" t="s">
        <v>624</v>
      </c>
      <c r="E29" s="1"/>
      <c r="F29" s="1"/>
      <c r="G29" s="1"/>
      <c r="H29" s="2"/>
      <c r="I29" s="20">
        <v>53700</v>
      </c>
      <c r="J29" s="19">
        <v>50600</v>
      </c>
      <c r="K29" s="19">
        <v>41600</v>
      </c>
      <c r="L29" s="19">
        <v>49300</v>
      </c>
      <c r="M29" s="19">
        <v>46300</v>
      </c>
      <c r="N29" s="19">
        <v>49800</v>
      </c>
      <c r="O29" s="19">
        <v>53600</v>
      </c>
      <c r="P29" s="39">
        <v>45700</v>
      </c>
      <c r="Q29" s="240">
        <v>56100</v>
      </c>
      <c r="R29" s="19">
        <v>47800</v>
      </c>
      <c r="S29" s="19">
        <v>43400</v>
      </c>
      <c r="T29" s="19">
        <v>47900</v>
      </c>
      <c r="U29" s="19">
        <v>40800</v>
      </c>
      <c r="V29" s="19">
        <v>39100</v>
      </c>
      <c r="W29" s="19">
        <v>39600</v>
      </c>
      <c r="X29" s="19">
        <v>41600</v>
      </c>
      <c r="Y29" s="19">
        <v>44300</v>
      </c>
      <c r="Z29" s="19">
        <v>44500</v>
      </c>
      <c r="AA29" s="19">
        <v>47500</v>
      </c>
      <c r="AB29" s="19">
        <v>49300</v>
      </c>
      <c r="AC29" s="19">
        <v>47200</v>
      </c>
      <c r="AD29" s="19">
        <v>48500</v>
      </c>
      <c r="AE29" s="19">
        <v>46800</v>
      </c>
      <c r="AF29" s="19">
        <v>47700</v>
      </c>
      <c r="AG29" s="19">
        <v>51700</v>
      </c>
      <c r="AH29" s="19">
        <v>55700</v>
      </c>
      <c r="AI29" s="19">
        <v>54800</v>
      </c>
      <c r="AJ29" s="652"/>
      <c r="AK29" s="644">
        <f t="shared" si="0"/>
        <v>0.54803136551817566</v>
      </c>
      <c r="AL29" s="644">
        <f t="shared" si="1"/>
        <v>-1.1677800006214101</v>
      </c>
      <c r="AM29" s="959">
        <f t="shared" si="2"/>
        <v>7.8019621174396647E-2</v>
      </c>
      <c r="AN29" s="959">
        <f t="shared" si="3"/>
        <v>1.5224169441120594</v>
      </c>
      <c r="AO29" s="23"/>
      <c r="AP29" s="959">
        <f t="shared" si="4"/>
        <v>2.0484171322160183</v>
      </c>
      <c r="AR29" s="803"/>
      <c r="AS29" s="803"/>
      <c r="AT29" s="803"/>
      <c r="AU29" s="803"/>
      <c r="AV29" s="803"/>
      <c r="AW29" s="803"/>
    </row>
    <row r="30" spans="1:49" s="114" customFormat="1" ht="15">
      <c r="A30" s="1"/>
      <c r="B30" s="1"/>
      <c r="C30" s="1"/>
      <c r="D30" s="1" t="s">
        <v>625</v>
      </c>
      <c r="E30" s="1"/>
      <c r="F30" s="1"/>
      <c r="G30" s="1"/>
      <c r="H30" s="2"/>
      <c r="I30" s="20">
        <v>27100</v>
      </c>
      <c r="J30" s="19">
        <v>24400</v>
      </c>
      <c r="K30" s="19">
        <v>23100</v>
      </c>
      <c r="L30" s="19">
        <v>22700</v>
      </c>
      <c r="M30" s="19">
        <v>23400</v>
      </c>
      <c r="N30" s="19">
        <v>25100</v>
      </c>
      <c r="O30" s="19">
        <v>24800</v>
      </c>
      <c r="P30" s="39">
        <v>26300</v>
      </c>
      <c r="Q30" s="240">
        <v>27500</v>
      </c>
      <c r="R30" s="19">
        <v>23300</v>
      </c>
      <c r="S30" s="19">
        <v>23600</v>
      </c>
      <c r="T30" s="19">
        <v>25400</v>
      </c>
      <c r="U30" s="19">
        <v>25200</v>
      </c>
      <c r="V30" s="19">
        <v>25700</v>
      </c>
      <c r="W30" s="19">
        <v>25700</v>
      </c>
      <c r="X30" s="19">
        <v>23300</v>
      </c>
      <c r="Y30" s="19">
        <v>24300</v>
      </c>
      <c r="Z30" s="19">
        <v>25600</v>
      </c>
      <c r="AA30" s="19">
        <v>28100</v>
      </c>
      <c r="AB30" s="19">
        <v>30100</v>
      </c>
      <c r="AC30" s="19">
        <v>30700</v>
      </c>
      <c r="AD30" s="19">
        <v>28800</v>
      </c>
      <c r="AE30" s="19">
        <v>29100</v>
      </c>
      <c r="AF30" s="19">
        <v>30100</v>
      </c>
      <c r="AG30" s="19">
        <v>33100</v>
      </c>
      <c r="AH30" s="19">
        <v>33400</v>
      </c>
      <c r="AI30" s="19">
        <v>35000</v>
      </c>
      <c r="AJ30" s="652"/>
      <c r="AK30" s="644">
        <f t="shared" si="0"/>
        <v>0.18332128823066451</v>
      </c>
      <c r="AL30" s="644">
        <f t="shared" si="1"/>
        <v>0.82464678862312901</v>
      </c>
      <c r="AM30" s="959">
        <f t="shared" si="2"/>
        <v>0.9887575055100406</v>
      </c>
      <c r="AN30" s="959">
        <f t="shared" si="3"/>
        <v>2.1779921000015134</v>
      </c>
      <c r="AO30" s="23"/>
      <c r="AP30" s="959">
        <f t="shared" si="4"/>
        <v>29.151291512915133</v>
      </c>
      <c r="AR30" s="803"/>
      <c r="AS30" s="803"/>
      <c r="AT30" s="803"/>
      <c r="AU30" s="803"/>
      <c r="AV30" s="803"/>
      <c r="AW30" s="803"/>
    </row>
    <row r="31" spans="1:49" s="114" customFormat="1" ht="15">
      <c r="A31" s="1"/>
      <c r="B31" s="1"/>
      <c r="C31" s="1"/>
      <c r="D31" s="1"/>
      <c r="E31" s="1" t="s">
        <v>613</v>
      </c>
      <c r="F31" s="1"/>
      <c r="G31" s="1"/>
      <c r="H31" s="2"/>
      <c r="I31" s="20">
        <v>14600</v>
      </c>
      <c r="J31" s="19">
        <v>15600</v>
      </c>
      <c r="K31" s="19">
        <v>15400</v>
      </c>
      <c r="L31" s="19">
        <v>15000</v>
      </c>
      <c r="M31" s="19">
        <v>15300</v>
      </c>
      <c r="N31" s="19">
        <v>15800</v>
      </c>
      <c r="O31" s="19">
        <v>15600</v>
      </c>
      <c r="P31" s="39">
        <v>16100</v>
      </c>
      <c r="Q31" s="240">
        <v>16800</v>
      </c>
      <c r="R31" s="19">
        <v>16900</v>
      </c>
      <c r="S31" s="19">
        <v>17200</v>
      </c>
      <c r="T31" s="19">
        <v>18300</v>
      </c>
      <c r="U31" s="19">
        <v>19200</v>
      </c>
      <c r="V31" s="19">
        <v>18800</v>
      </c>
      <c r="W31" s="19">
        <v>18400</v>
      </c>
      <c r="X31" s="19">
        <v>17200</v>
      </c>
      <c r="Y31" s="19">
        <v>16400</v>
      </c>
      <c r="Z31" s="19">
        <v>16300</v>
      </c>
      <c r="AA31" s="19">
        <v>16500</v>
      </c>
      <c r="AB31" s="19">
        <v>15900</v>
      </c>
      <c r="AC31" s="19">
        <v>16400</v>
      </c>
      <c r="AD31" s="19">
        <v>17000</v>
      </c>
      <c r="AE31" s="19">
        <v>16200</v>
      </c>
      <c r="AF31" s="19">
        <v>17000</v>
      </c>
      <c r="AG31" s="19">
        <v>17700</v>
      </c>
      <c r="AH31" s="19">
        <v>18700</v>
      </c>
      <c r="AI31" s="19">
        <v>17000</v>
      </c>
      <c r="AJ31" s="652"/>
      <c r="AK31" s="644">
        <f>((((Q31/I31))^(1/8))-1)*100</f>
        <v>1.7699481478029799</v>
      </c>
      <c r="AL31" s="644">
        <f>((((AB31/Q31))^(1/11))-1)*100</f>
        <v>-0.49929279783604841</v>
      </c>
      <c r="AM31" s="959">
        <f>((((AI31/I31))^(1/26))-1)*100</f>
        <v>0.58706967503663332</v>
      </c>
      <c r="AN31" s="959">
        <f t="shared" si="3"/>
        <v>0.96021266808445915</v>
      </c>
      <c r="AO31" s="23"/>
      <c r="AP31" s="959">
        <f t="shared" si="4"/>
        <v>16.43835616438356</v>
      </c>
      <c r="AR31" s="803"/>
      <c r="AS31" s="803"/>
      <c r="AT31" s="803"/>
      <c r="AU31" s="803"/>
      <c r="AV31" s="803"/>
      <c r="AW31" s="803"/>
    </row>
    <row r="32" spans="1:49" s="114" customFormat="1" ht="15">
      <c r="A32" s="1"/>
      <c r="B32" s="1"/>
      <c r="C32" s="1"/>
      <c r="D32" s="1"/>
      <c r="E32" s="1" t="s">
        <v>620</v>
      </c>
      <c r="F32" s="1"/>
      <c r="G32" s="1"/>
      <c r="H32" s="2"/>
      <c r="I32" s="20">
        <v>30600</v>
      </c>
      <c r="J32" s="19">
        <v>29100</v>
      </c>
      <c r="K32" s="19">
        <v>28100</v>
      </c>
      <c r="L32" s="19">
        <v>28100</v>
      </c>
      <c r="M32" s="19">
        <v>26600</v>
      </c>
      <c r="N32" s="19">
        <v>29800</v>
      </c>
      <c r="O32" s="19">
        <v>28200</v>
      </c>
      <c r="P32" s="39">
        <v>29200</v>
      </c>
      <c r="Q32" s="240">
        <v>30200</v>
      </c>
      <c r="R32" s="19">
        <v>27200</v>
      </c>
      <c r="S32" s="19">
        <v>28300</v>
      </c>
      <c r="T32" s="19">
        <v>31300</v>
      </c>
      <c r="U32" s="19">
        <v>30400</v>
      </c>
      <c r="V32" s="19">
        <v>31600</v>
      </c>
      <c r="W32" s="19">
        <v>30700</v>
      </c>
      <c r="X32" s="19">
        <v>30300</v>
      </c>
      <c r="Y32" s="19">
        <v>30300</v>
      </c>
      <c r="Z32" s="19">
        <v>29400</v>
      </c>
      <c r="AA32" s="19">
        <v>31200</v>
      </c>
      <c r="AB32" s="19">
        <v>32700</v>
      </c>
      <c r="AC32" s="19">
        <v>33100</v>
      </c>
      <c r="AD32" s="19">
        <v>29900</v>
      </c>
      <c r="AE32" s="19">
        <v>30600</v>
      </c>
      <c r="AF32" s="19">
        <v>31700</v>
      </c>
      <c r="AG32" s="19">
        <v>33400</v>
      </c>
      <c r="AH32" s="19">
        <v>33200</v>
      </c>
      <c r="AI32" s="19">
        <v>35500</v>
      </c>
      <c r="AJ32" s="652"/>
      <c r="AK32" s="644">
        <f t="shared" si="0"/>
        <v>-0.16434086947920701</v>
      </c>
      <c r="AL32" s="644">
        <f t="shared" si="1"/>
        <v>0.72564883169914385</v>
      </c>
      <c r="AM32" s="959">
        <f t="shared" si="2"/>
        <v>0.57291448094320963</v>
      </c>
      <c r="AN32" s="959">
        <f t="shared" si="3"/>
        <v>1.1805949177198682</v>
      </c>
      <c r="AO32" s="23"/>
      <c r="AP32" s="959">
        <f t="shared" si="4"/>
        <v>16.013071895424847</v>
      </c>
      <c r="AR32" s="803"/>
      <c r="AS32" s="803"/>
      <c r="AT32" s="803"/>
      <c r="AU32" s="803"/>
      <c r="AV32" s="803"/>
      <c r="AW32" s="803"/>
    </row>
    <row r="33" spans="1:49" s="114" customFormat="1" ht="15">
      <c r="A33" s="1"/>
      <c r="B33" s="1"/>
      <c r="C33" s="1"/>
      <c r="D33" s="1"/>
      <c r="E33" s="1" t="s">
        <v>626</v>
      </c>
      <c r="F33" s="1"/>
      <c r="G33" s="1"/>
      <c r="H33" s="2"/>
      <c r="I33" s="20">
        <v>48300</v>
      </c>
      <c r="J33" s="19">
        <v>43600</v>
      </c>
      <c r="K33" s="19">
        <v>37800</v>
      </c>
      <c r="L33" s="19">
        <v>46700</v>
      </c>
      <c r="M33" s="19">
        <v>45900</v>
      </c>
      <c r="N33" s="19">
        <v>39500</v>
      </c>
      <c r="O33" s="19">
        <v>45600</v>
      </c>
      <c r="P33" s="39">
        <v>46300</v>
      </c>
      <c r="Q33" s="240">
        <v>46900</v>
      </c>
      <c r="R33" s="19">
        <v>40000</v>
      </c>
      <c r="S33" s="19">
        <v>43300</v>
      </c>
      <c r="T33" s="19">
        <v>44900</v>
      </c>
      <c r="U33" s="19">
        <v>45200</v>
      </c>
      <c r="V33" s="19">
        <v>50000</v>
      </c>
      <c r="W33" s="19">
        <v>48700</v>
      </c>
      <c r="X33" s="19">
        <v>44200</v>
      </c>
      <c r="Y33" s="19">
        <v>46100</v>
      </c>
      <c r="Z33" s="19">
        <v>48500</v>
      </c>
      <c r="AA33" s="19">
        <v>47400</v>
      </c>
      <c r="AB33" s="19">
        <v>52500</v>
      </c>
      <c r="AC33" s="19">
        <v>50400</v>
      </c>
      <c r="AD33" s="19">
        <v>44500</v>
      </c>
      <c r="AE33" s="19">
        <v>49000</v>
      </c>
      <c r="AF33" s="19">
        <v>47200</v>
      </c>
      <c r="AG33" s="19">
        <v>49100</v>
      </c>
      <c r="AH33" s="19">
        <v>51400</v>
      </c>
      <c r="AI33" s="19">
        <v>51600</v>
      </c>
      <c r="AJ33" s="652"/>
      <c r="AK33" s="644">
        <f t="shared" si="0"/>
        <v>-0.36699847345763592</v>
      </c>
      <c r="AL33" s="644">
        <f t="shared" si="1"/>
        <v>1.0306889642949235</v>
      </c>
      <c r="AM33" s="959">
        <f t="shared" si="2"/>
        <v>0.25451608145754534</v>
      </c>
      <c r="AN33" s="959">
        <f t="shared" si="3"/>
        <v>-0.24671654052159653</v>
      </c>
      <c r="AO33" s="23"/>
      <c r="AP33" s="959">
        <f t="shared" si="4"/>
        <v>6.8322981366459645</v>
      </c>
      <c r="AR33" s="803"/>
      <c r="AS33" s="803"/>
      <c r="AT33" s="803"/>
      <c r="AU33" s="803"/>
      <c r="AV33" s="803"/>
      <c r="AW33" s="803"/>
    </row>
    <row r="34" spans="1:49" s="114" customFormat="1" ht="15">
      <c r="A34" s="1"/>
      <c r="B34" s="1"/>
      <c r="C34" s="1"/>
      <c r="D34" s="1"/>
      <c r="E34" s="1"/>
      <c r="F34" s="1"/>
      <c r="G34" s="1"/>
      <c r="H34" s="2"/>
      <c r="I34" s="20"/>
      <c r="J34" s="39"/>
      <c r="K34" s="39"/>
      <c r="L34" s="39"/>
      <c r="M34" s="39"/>
      <c r="N34" s="39"/>
      <c r="O34" s="39"/>
      <c r="P34" s="39"/>
      <c r="Q34" s="240"/>
      <c r="R34" s="19"/>
      <c r="S34" s="19"/>
      <c r="T34" s="19"/>
      <c r="U34" s="19"/>
      <c r="V34" s="19"/>
      <c r="W34" s="19"/>
      <c r="X34" s="19"/>
      <c r="Y34" s="19"/>
      <c r="Z34" s="19"/>
      <c r="AA34" s="19"/>
      <c r="AB34" s="19"/>
      <c r="AC34" s="19"/>
      <c r="AD34" s="19"/>
      <c r="AE34" s="19"/>
      <c r="AF34" s="19"/>
      <c r="AG34" s="19"/>
      <c r="AH34" s="19"/>
      <c r="AI34" s="19"/>
      <c r="AJ34" s="19"/>
      <c r="AK34" s="644"/>
      <c r="AL34" s="644"/>
      <c r="AM34" s="644"/>
      <c r="AN34" s="644"/>
      <c r="AO34" s="116"/>
      <c r="AP34" s="644"/>
      <c r="AR34" s="803"/>
      <c r="AS34" s="803"/>
      <c r="AT34" s="803"/>
      <c r="AU34" s="803"/>
      <c r="AV34" s="803"/>
      <c r="AW34" s="803"/>
    </row>
    <row r="35" spans="1:49" ht="15">
      <c r="D35" s="128" t="s">
        <v>2</v>
      </c>
      <c r="H35" s="2"/>
      <c r="I35" s="20">
        <v>51800</v>
      </c>
      <c r="J35" s="19">
        <v>50500</v>
      </c>
      <c r="K35" s="19">
        <v>49400</v>
      </c>
      <c r="L35" s="19">
        <v>49500</v>
      </c>
      <c r="M35" s="19">
        <v>47600</v>
      </c>
      <c r="N35" s="19">
        <v>51600</v>
      </c>
      <c r="O35" s="19">
        <v>51300</v>
      </c>
      <c r="P35" s="39">
        <v>52500</v>
      </c>
      <c r="Q35" s="240">
        <v>55700</v>
      </c>
      <c r="R35" s="19">
        <v>52600</v>
      </c>
      <c r="S35" s="19">
        <v>51300</v>
      </c>
      <c r="T35" s="19">
        <v>44600</v>
      </c>
      <c r="U35" s="19">
        <v>47800</v>
      </c>
      <c r="V35" s="19">
        <v>49800</v>
      </c>
      <c r="W35" s="19">
        <v>51600</v>
      </c>
      <c r="X35" s="19">
        <v>52900</v>
      </c>
      <c r="Y35" s="19">
        <v>53500</v>
      </c>
      <c r="Z35" s="19">
        <v>55800</v>
      </c>
      <c r="AA35" s="19">
        <v>57300</v>
      </c>
      <c r="AB35" s="19">
        <v>58600</v>
      </c>
      <c r="AC35" s="19">
        <v>61100</v>
      </c>
      <c r="AD35" s="19">
        <v>61000</v>
      </c>
      <c r="AE35" s="19">
        <v>57700</v>
      </c>
      <c r="AF35" s="19">
        <v>61100</v>
      </c>
      <c r="AG35" s="19">
        <v>61800</v>
      </c>
      <c r="AH35" s="19">
        <v>63500</v>
      </c>
      <c r="AI35" s="19">
        <v>65000</v>
      </c>
      <c r="AJ35" s="652"/>
      <c r="AK35" s="644">
        <f>((((Q35/I35))^(1/8))-1)*100</f>
        <v>0.91150409697264845</v>
      </c>
      <c r="AL35" s="644">
        <f>((((AB35/Q35))^(1/11))-1)*100</f>
        <v>0.4624711087383826</v>
      </c>
      <c r="AM35" s="959">
        <f>((((AI35/I35))^(1/26))-1)*100</f>
        <v>0.87688818419517922</v>
      </c>
      <c r="AN35" s="959">
        <f>((((AI35/AB35))^(1/7))-1)*100</f>
        <v>1.4917684787190355</v>
      </c>
      <c r="AO35" s="23"/>
      <c r="AP35" s="959">
        <f>((AI35/I35)-1)*100</f>
        <v>25.482625482625476</v>
      </c>
      <c r="AQ35" s="114"/>
      <c r="AR35" s="803"/>
      <c r="AS35" s="803"/>
      <c r="AT35" s="803"/>
      <c r="AU35" s="803"/>
      <c r="AV35" s="803"/>
      <c r="AW35" s="803"/>
    </row>
    <row r="36" spans="1:49" ht="12.75" customHeight="1">
      <c r="H36" s="2"/>
      <c r="I36" s="20"/>
      <c r="J36" s="39"/>
      <c r="K36" s="39"/>
      <c r="L36" s="39"/>
      <c r="M36" s="39"/>
      <c r="N36" s="39"/>
      <c r="O36" s="39"/>
      <c r="P36" s="39"/>
      <c r="Q36" s="240"/>
      <c r="R36" s="19"/>
      <c r="S36" s="19"/>
      <c r="T36" s="19"/>
      <c r="U36" s="19"/>
      <c r="V36" s="19"/>
      <c r="W36" s="19"/>
      <c r="X36" s="19"/>
      <c r="Y36" s="19"/>
      <c r="Z36" s="19"/>
      <c r="AA36" s="19"/>
      <c r="AB36" s="19"/>
      <c r="AC36" s="19"/>
      <c r="AD36" s="19"/>
      <c r="AE36" s="19"/>
      <c r="AF36" s="19"/>
      <c r="AG36" s="19"/>
      <c r="AH36" s="19"/>
      <c r="AI36" s="19"/>
      <c r="AJ36" s="19"/>
      <c r="AK36" s="644"/>
      <c r="AL36" s="644"/>
      <c r="AM36" s="644"/>
      <c r="AN36" s="644"/>
      <c r="AO36" s="116"/>
      <c r="AP36" s="644"/>
      <c r="AQ36" s="114"/>
      <c r="AR36" s="803"/>
      <c r="AS36" s="803"/>
      <c r="AT36" s="803"/>
      <c r="AU36" s="803"/>
      <c r="AV36" s="803"/>
      <c r="AW36" s="803"/>
    </row>
    <row r="37" spans="1:49" ht="15.75" customHeight="1">
      <c r="B37" s="128" t="s">
        <v>3</v>
      </c>
      <c r="H37" s="2"/>
      <c r="I37" s="20">
        <v>23900</v>
      </c>
      <c r="J37" s="19">
        <v>23300</v>
      </c>
      <c r="K37" s="19">
        <v>20900</v>
      </c>
      <c r="L37" s="19">
        <v>22100</v>
      </c>
      <c r="M37" s="19">
        <v>21900</v>
      </c>
      <c r="N37" s="19">
        <v>22500</v>
      </c>
      <c r="O37" s="19">
        <v>23100</v>
      </c>
      <c r="P37" s="39">
        <v>23500</v>
      </c>
      <c r="Q37" s="240">
        <v>25100</v>
      </c>
      <c r="R37" s="19">
        <v>23100</v>
      </c>
      <c r="S37" s="19">
        <v>21400</v>
      </c>
      <c r="T37" s="19">
        <v>21000</v>
      </c>
      <c r="U37" s="19">
        <v>21100</v>
      </c>
      <c r="V37" s="19">
        <v>20500</v>
      </c>
      <c r="W37" s="19">
        <v>21500</v>
      </c>
      <c r="X37" s="19">
        <v>20700</v>
      </c>
      <c r="Y37" s="19">
        <v>20700</v>
      </c>
      <c r="Z37" s="19">
        <v>21400</v>
      </c>
      <c r="AA37" s="19">
        <v>22100</v>
      </c>
      <c r="AB37" s="19">
        <v>23000</v>
      </c>
      <c r="AC37" s="19">
        <v>24100</v>
      </c>
      <c r="AD37" s="19">
        <v>25300</v>
      </c>
      <c r="AE37" s="19">
        <v>24600</v>
      </c>
      <c r="AF37" s="19">
        <v>25000</v>
      </c>
      <c r="AG37" s="19">
        <v>24300</v>
      </c>
      <c r="AH37" s="19">
        <v>25600</v>
      </c>
      <c r="AI37" s="19">
        <v>26600</v>
      </c>
      <c r="AJ37" s="652"/>
      <c r="AK37" s="644">
        <f>((((Q37/I37))^(1/8))-1)*100</f>
        <v>0.61424614189746762</v>
      </c>
      <c r="AL37" s="644">
        <f>((((AB37/Q37))^(1/11))-1)*100</f>
        <v>-0.7911594570630065</v>
      </c>
      <c r="AM37" s="959">
        <f>((((AI37/I37))^(1/26))-1)*100</f>
        <v>0.41251295144593136</v>
      </c>
      <c r="AN37" s="959">
        <f>((((AI37/AB37))^(1/7))-1)*100</f>
        <v>2.0991135655337834</v>
      </c>
      <c r="AO37" s="23"/>
      <c r="AP37" s="959">
        <f>((AI37/I37)-1)*100</f>
        <v>11.297071129707103</v>
      </c>
      <c r="AQ37" s="114"/>
      <c r="AR37" s="803"/>
      <c r="AS37" s="803"/>
      <c r="AT37" s="803"/>
      <c r="AU37" s="803"/>
      <c r="AV37" s="803"/>
      <c r="AW37" s="803"/>
    </row>
    <row r="38" spans="1:49" ht="15">
      <c r="B38" s="128"/>
      <c r="H38" s="2"/>
      <c r="I38" s="20"/>
      <c r="J38" s="39"/>
      <c r="K38" s="39"/>
      <c r="L38" s="39"/>
      <c r="M38" s="39"/>
      <c r="N38" s="39"/>
      <c r="O38" s="39"/>
      <c r="P38" s="39"/>
      <c r="Q38" s="240"/>
      <c r="R38" s="19"/>
      <c r="S38" s="19"/>
      <c r="T38" s="19"/>
      <c r="U38" s="19"/>
      <c r="V38" s="19"/>
      <c r="W38" s="19"/>
      <c r="X38" s="19"/>
      <c r="Y38" s="19"/>
      <c r="Z38" s="19"/>
      <c r="AA38" s="19"/>
      <c r="AB38" s="19"/>
      <c r="AC38" s="19"/>
      <c r="AD38" s="19"/>
      <c r="AE38" s="19"/>
      <c r="AF38" s="19"/>
      <c r="AG38" s="19"/>
      <c r="AH38" s="19"/>
      <c r="AI38" s="19"/>
      <c r="AJ38" s="19"/>
      <c r="AK38" s="644"/>
      <c r="AL38" s="644"/>
      <c r="AM38" s="644"/>
      <c r="AN38" s="644"/>
      <c r="AO38" s="116"/>
      <c r="AP38" s="644"/>
      <c r="AQ38" s="114"/>
      <c r="AR38" s="803"/>
      <c r="AS38" s="803"/>
      <c r="AT38" s="803"/>
      <c r="AU38" s="803"/>
      <c r="AV38" s="803"/>
      <c r="AW38" s="803"/>
    </row>
    <row r="39" spans="1:49" ht="15">
      <c r="C39" s="128" t="s">
        <v>4</v>
      </c>
      <c r="H39" s="2"/>
      <c r="I39" s="20">
        <v>16500</v>
      </c>
      <c r="J39" s="19">
        <v>16800</v>
      </c>
      <c r="K39" s="19">
        <v>16100</v>
      </c>
      <c r="L39" s="19">
        <v>17200</v>
      </c>
      <c r="M39" s="19">
        <v>18200</v>
      </c>
      <c r="N39" s="19">
        <v>18600</v>
      </c>
      <c r="O39" s="19">
        <v>19500</v>
      </c>
      <c r="P39" s="39">
        <v>19800</v>
      </c>
      <c r="Q39" s="240">
        <v>20900</v>
      </c>
      <c r="R39" s="19">
        <v>19800</v>
      </c>
      <c r="S39" s="19">
        <v>19700</v>
      </c>
      <c r="T39" s="19">
        <v>20700</v>
      </c>
      <c r="U39" s="19">
        <v>20000</v>
      </c>
      <c r="V39" s="19">
        <v>21300</v>
      </c>
      <c r="W39" s="19">
        <v>21700</v>
      </c>
      <c r="X39" s="19">
        <v>20600</v>
      </c>
      <c r="Y39" s="19">
        <v>21200</v>
      </c>
      <c r="Z39" s="19">
        <v>21100</v>
      </c>
      <c r="AA39" s="19">
        <v>21800</v>
      </c>
      <c r="AB39" s="19">
        <v>21700</v>
      </c>
      <c r="AC39" s="19">
        <v>22600</v>
      </c>
      <c r="AD39" s="19">
        <v>23800</v>
      </c>
      <c r="AE39" s="19">
        <v>23700</v>
      </c>
      <c r="AF39" s="19">
        <v>24400</v>
      </c>
      <c r="AG39" s="19">
        <v>23400</v>
      </c>
      <c r="AH39" s="19">
        <v>23800</v>
      </c>
      <c r="AI39" s="19">
        <v>25100</v>
      </c>
      <c r="AJ39" s="652"/>
      <c r="AK39" s="644">
        <f t="shared" ref="AK39:AK44" si="5">((((Q39/I39))^(1/8))-1)*100</f>
        <v>2.9989488920611818</v>
      </c>
      <c r="AL39" s="644">
        <f t="shared" ref="AL39:AL44" si="6">((((AB39/Q39))^(1/11))-1)*100</f>
        <v>0.34206645815215708</v>
      </c>
      <c r="AM39" s="959">
        <f t="shared" ref="AM39:AM44" si="7">((((AI39/I39))^(1/26))-1)*100</f>
        <v>1.626577296163334</v>
      </c>
      <c r="AN39" s="959">
        <f t="shared" ref="AN39:AN44" si="8">((((AI39/AB39))^(1/7))-1)*100</f>
        <v>2.1011349398966539</v>
      </c>
      <c r="AO39" s="23"/>
      <c r="AP39" s="959">
        <f t="shared" ref="AP39:AP44" si="9">((AI39/I39)-1)*100</f>
        <v>52.121212121212125</v>
      </c>
      <c r="AQ39" s="114"/>
      <c r="AR39" s="803"/>
      <c r="AS39" s="803"/>
      <c r="AT39" s="803"/>
      <c r="AU39" s="803"/>
      <c r="AV39" s="803"/>
      <c r="AW39" s="803"/>
    </row>
    <row r="40" spans="1:49" ht="15">
      <c r="C40" s="1" t="s">
        <v>5</v>
      </c>
      <c r="H40" s="2"/>
      <c r="I40" s="20">
        <v>15400</v>
      </c>
      <c r="J40" s="19">
        <v>15500</v>
      </c>
      <c r="K40" s="19">
        <v>15600</v>
      </c>
      <c r="L40" s="19">
        <v>16700</v>
      </c>
      <c r="M40" s="19">
        <v>17600</v>
      </c>
      <c r="N40" s="19">
        <v>18000</v>
      </c>
      <c r="O40" s="19">
        <v>18800</v>
      </c>
      <c r="P40" s="39">
        <v>19300</v>
      </c>
      <c r="Q40" s="240">
        <v>20000</v>
      </c>
      <c r="R40" s="19">
        <v>19500</v>
      </c>
      <c r="S40" s="19">
        <v>19000</v>
      </c>
      <c r="T40" s="19">
        <v>20400</v>
      </c>
      <c r="U40" s="19">
        <v>19700</v>
      </c>
      <c r="V40" s="19">
        <v>20600</v>
      </c>
      <c r="W40" s="19">
        <v>20900</v>
      </c>
      <c r="X40" s="19">
        <v>19800</v>
      </c>
      <c r="Y40" s="19">
        <v>20100</v>
      </c>
      <c r="Z40" s="19">
        <v>20000</v>
      </c>
      <c r="AA40" s="19">
        <v>20500</v>
      </c>
      <c r="AB40" s="19">
        <v>20300</v>
      </c>
      <c r="AC40" s="19">
        <v>21100</v>
      </c>
      <c r="AD40" s="19">
        <v>21800</v>
      </c>
      <c r="AE40" s="19">
        <v>21300</v>
      </c>
      <c r="AF40" s="19">
        <v>22300</v>
      </c>
      <c r="AG40" s="19">
        <v>21400</v>
      </c>
      <c r="AH40" s="19">
        <v>21500</v>
      </c>
      <c r="AI40" s="19">
        <v>21400</v>
      </c>
      <c r="AJ40" s="652"/>
      <c r="AK40" s="644">
        <f t="shared" si="5"/>
        <v>3.3210139127806348</v>
      </c>
      <c r="AL40" s="644">
        <f t="shared" si="6"/>
        <v>0.13544266350808964</v>
      </c>
      <c r="AM40" s="959">
        <f t="shared" si="7"/>
        <v>1.2735156777000656</v>
      </c>
      <c r="AN40" s="959">
        <f t="shared" si="8"/>
        <v>0.75670631747493111</v>
      </c>
      <c r="AO40" s="23"/>
      <c r="AP40" s="959">
        <f t="shared" si="9"/>
        <v>38.961038961038952</v>
      </c>
      <c r="AQ40" s="114"/>
      <c r="AR40" s="803"/>
      <c r="AS40" s="803"/>
      <c r="AT40" s="803"/>
      <c r="AU40" s="803"/>
      <c r="AV40" s="803"/>
      <c r="AW40" s="803"/>
    </row>
    <row r="41" spans="1:49" ht="15">
      <c r="C41" s="1" t="s">
        <v>6</v>
      </c>
      <c r="H41" s="2"/>
      <c r="I41" s="20">
        <v>34000</v>
      </c>
      <c r="J41" s="19">
        <v>36700</v>
      </c>
      <c r="K41" s="19">
        <v>22400</v>
      </c>
      <c r="L41" s="19">
        <v>35400</v>
      </c>
      <c r="M41" s="19">
        <v>40100</v>
      </c>
      <c r="N41" s="19">
        <v>35200</v>
      </c>
      <c r="O41" s="19">
        <v>30700</v>
      </c>
      <c r="P41" s="39">
        <v>29900</v>
      </c>
      <c r="Q41" s="240">
        <v>35200</v>
      </c>
      <c r="R41" s="19">
        <v>31600</v>
      </c>
      <c r="S41" s="19">
        <v>29900</v>
      </c>
      <c r="T41" s="19">
        <v>24700</v>
      </c>
      <c r="U41" s="19">
        <v>28500</v>
      </c>
      <c r="V41" s="19">
        <v>37500</v>
      </c>
      <c r="W41" s="19">
        <v>33600</v>
      </c>
      <c r="X41" s="19">
        <v>34700</v>
      </c>
      <c r="Y41" s="19">
        <v>32000</v>
      </c>
      <c r="Z41" s="19">
        <v>39600</v>
      </c>
      <c r="AA41" s="19">
        <v>27700</v>
      </c>
      <c r="AB41" s="19">
        <v>29800</v>
      </c>
      <c r="AC41" s="19">
        <v>31000</v>
      </c>
      <c r="AD41" s="19">
        <v>33100</v>
      </c>
      <c r="AE41" s="19">
        <v>30800</v>
      </c>
      <c r="AF41" s="19">
        <v>31400</v>
      </c>
      <c r="AG41" s="19">
        <v>37600</v>
      </c>
      <c r="AH41" s="19">
        <v>39800</v>
      </c>
      <c r="AI41" s="19">
        <v>37700</v>
      </c>
      <c r="AJ41" s="652"/>
      <c r="AK41" s="644">
        <f t="shared" si="5"/>
        <v>0.43451074716105431</v>
      </c>
      <c r="AL41" s="644">
        <f t="shared" si="6"/>
        <v>-1.5025759489023405</v>
      </c>
      <c r="AM41" s="959">
        <f t="shared" si="7"/>
        <v>0.39809634457506071</v>
      </c>
      <c r="AN41" s="959">
        <f t="shared" si="8"/>
        <v>3.4163720026133548</v>
      </c>
      <c r="AO41" s="23"/>
      <c r="AP41" s="959">
        <f t="shared" si="9"/>
        <v>10.882352941176476</v>
      </c>
      <c r="AQ41" s="114"/>
      <c r="AR41" s="803"/>
      <c r="AS41" s="803"/>
      <c r="AT41" s="803"/>
      <c r="AU41" s="803"/>
      <c r="AV41" s="803"/>
      <c r="AW41" s="803"/>
    </row>
    <row r="42" spans="1:49" ht="15">
      <c r="C42" s="128" t="s">
        <v>7</v>
      </c>
      <c r="H42" s="2"/>
      <c r="I42" s="20">
        <v>14600</v>
      </c>
      <c r="J42" s="19">
        <v>15000</v>
      </c>
      <c r="K42" s="19">
        <v>14700</v>
      </c>
      <c r="L42" s="19">
        <v>15700</v>
      </c>
      <c r="M42" s="19">
        <v>16400</v>
      </c>
      <c r="N42" s="19">
        <v>16700</v>
      </c>
      <c r="O42" s="19">
        <v>17000</v>
      </c>
      <c r="P42" s="39">
        <v>17000</v>
      </c>
      <c r="Q42" s="240">
        <v>17500</v>
      </c>
      <c r="R42" s="19">
        <v>17800</v>
      </c>
      <c r="S42" s="19">
        <v>17900</v>
      </c>
      <c r="T42" s="19">
        <v>18400</v>
      </c>
      <c r="U42" s="19">
        <v>18000</v>
      </c>
      <c r="V42" s="19">
        <v>18600</v>
      </c>
      <c r="W42" s="19">
        <v>18600</v>
      </c>
      <c r="X42" s="19">
        <v>18500</v>
      </c>
      <c r="Y42" s="19">
        <v>18700</v>
      </c>
      <c r="Z42" s="19">
        <v>19000</v>
      </c>
      <c r="AA42" s="19">
        <v>19400</v>
      </c>
      <c r="AB42" s="19">
        <v>19500</v>
      </c>
      <c r="AC42" s="19">
        <v>20300</v>
      </c>
      <c r="AD42" s="19">
        <v>20000</v>
      </c>
      <c r="AE42" s="19">
        <v>20300</v>
      </c>
      <c r="AF42" s="19">
        <v>20900</v>
      </c>
      <c r="AG42" s="19">
        <v>20200</v>
      </c>
      <c r="AH42" s="19">
        <v>21400</v>
      </c>
      <c r="AI42" s="19">
        <v>21800</v>
      </c>
      <c r="AJ42" s="652"/>
      <c r="AK42" s="644">
        <f t="shared" si="5"/>
        <v>2.290581883032794</v>
      </c>
      <c r="AL42" s="644">
        <f t="shared" si="6"/>
        <v>0.98861468455759827</v>
      </c>
      <c r="AM42" s="959">
        <f t="shared" si="7"/>
        <v>1.5538268982609127</v>
      </c>
      <c r="AN42" s="959">
        <f t="shared" si="8"/>
        <v>1.6055454812407444</v>
      </c>
      <c r="AO42" s="23"/>
      <c r="AP42" s="959">
        <f t="shared" si="9"/>
        <v>49.315068493150683</v>
      </c>
      <c r="AQ42" s="114"/>
      <c r="AR42" s="803"/>
      <c r="AS42" s="803"/>
      <c r="AT42" s="803"/>
      <c r="AU42" s="803"/>
      <c r="AV42" s="803"/>
      <c r="AW42" s="803"/>
    </row>
    <row r="43" spans="1:49" ht="15">
      <c r="C43" s="1" t="s">
        <v>5</v>
      </c>
      <c r="H43" s="2"/>
      <c r="I43" s="20">
        <v>14200</v>
      </c>
      <c r="J43" s="19">
        <v>14700</v>
      </c>
      <c r="K43" s="19">
        <v>14500</v>
      </c>
      <c r="L43" s="19">
        <v>15300</v>
      </c>
      <c r="M43" s="19">
        <v>16100</v>
      </c>
      <c r="N43" s="19">
        <v>16600</v>
      </c>
      <c r="O43" s="19">
        <v>16900</v>
      </c>
      <c r="P43" s="39">
        <v>16800</v>
      </c>
      <c r="Q43" s="240">
        <v>17200</v>
      </c>
      <c r="R43" s="19">
        <v>17500</v>
      </c>
      <c r="S43" s="19">
        <v>17700</v>
      </c>
      <c r="T43" s="19">
        <v>18100</v>
      </c>
      <c r="U43" s="19">
        <v>17800</v>
      </c>
      <c r="V43" s="19">
        <v>18400</v>
      </c>
      <c r="W43" s="19">
        <v>18400</v>
      </c>
      <c r="X43" s="19">
        <v>18300</v>
      </c>
      <c r="Y43" s="19">
        <v>18500</v>
      </c>
      <c r="Z43" s="19">
        <v>18600</v>
      </c>
      <c r="AA43" s="19">
        <v>19000</v>
      </c>
      <c r="AB43" s="19">
        <v>19300</v>
      </c>
      <c r="AC43" s="19">
        <v>20000</v>
      </c>
      <c r="AD43" s="19">
        <v>19800</v>
      </c>
      <c r="AE43" s="19">
        <v>19700</v>
      </c>
      <c r="AF43" s="19">
        <v>20100</v>
      </c>
      <c r="AG43" s="19">
        <v>19700</v>
      </c>
      <c r="AH43" s="19">
        <v>20800</v>
      </c>
      <c r="AI43" s="19">
        <v>21000</v>
      </c>
      <c r="AJ43" s="652"/>
      <c r="AK43" s="644">
        <f t="shared" si="5"/>
        <v>2.4247736365631489</v>
      </c>
      <c r="AL43" s="644">
        <f t="shared" si="6"/>
        <v>1.0527364307638232</v>
      </c>
      <c r="AM43" s="959">
        <f t="shared" si="7"/>
        <v>1.5163059115611111</v>
      </c>
      <c r="AN43" s="959">
        <f t="shared" si="8"/>
        <v>1.2132630676785716</v>
      </c>
      <c r="AO43" s="23"/>
      <c r="AP43" s="959">
        <f t="shared" si="9"/>
        <v>47.887323943661976</v>
      </c>
      <c r="AQ43" s="114"/>
      <c r="AR43" s="803"/>
      <c r="AS43" s="803"/>
      <c r="AT43" s="803"/>
      <c r="AU43" s="803"/>
      <c r="AV43" s="803"/>
      <c r="AW43" s="803"/>
    </row>
    <row r="44" spans="1:49">
      <c r="C44" s="1" t="s">
        <v>6</v>
      </c>
      <c r="H44" s="2"/>
      <c r="I44" s="20">
        <v>27200</v>
      </c>
      <c r="J44" s="19">
        <v>25100</v>
      </c>
      <c r="K44" s="19">
        <v>20800</v>
      </c>
      <c r="L44" s="19">
        <v>26500</v>
      </c>
      <c r="M44" s="19">
        <v>27100</v>
      </c>
      <c r="N44" s="19">
        <v>29500</v>
      </c>
      <c r="O44" s="19">
        <v>27900</v>
      </c>
      <c r="P44" s="39">
        <v>31300</v>
      </c>
      <c r="Q44" s="240">
        <v>29600</v>
      </c>
      <c r="R44" s="19">
        <v>29600</v>
      </c>
      <c r="S44" s="19">
        <v>29800</v>
      </c>
      <c r="T44" s="19">
        <v>26100</v>
      </c>
      <c r="U44" s="19">
        <v>28700</v>
      </c>
      <c r="V44" s="19">
        <v>29300</v>
      </c>
      <c r="W44" s="19">
        <v>35800</v>
      </c>
      <c r="X44" s="19">
        <v>27200</v>
      </c>
      <c r="Y44" s="19">
        <v>29100</v>
      </c>
      <c r="Z44" s="19">
        <v>29700</v>
      </c>
      <c r="AA44" s="19">
        <v>29700</v>
      </c>
      <c r="AB44" s="19">
        <v>29900</v>
      </c>
      <c r="AC44" s="19">
        <v>30900</v>
      </c>
      <c r="AD44" s="19">
        <v>29100</v>
      </c>
      <c r="AE44" s="19">
        <v>29900</v>
      </c>
      <c r="AF44" s="19">
        <v>34400</v>
      </c>
      <c r="AG44" s="19">
        <v>33600</v>
      </c>
      <c r="AH44" s="19">
        <v>30800</v>
      </c>
      <c r="AI44" s="19">
        <v>35100</v>
      </c>
      <c r="AJ44" s="652"/>
      <c r="AK44" s="644">
        <f t="shared" si="5"/>
        <v>1.0625729827426378</v>
      </c>
      <c r="AL44" s="644">
        <f t="shared" si="6"/>
        <v>9.1715842977047046E-2</v>
      </c>
      <c r="AM44" s="959">
        <f t="shared" si="7"/>
        <v>0.98553299981360976</v>
      </c>
      <c r="AN44" s="959">
        <f t="shared" si="8"/>
        <v>2.3170452032819089</v>
      </c>
      <c r="AO44" s="23"/>
      <c r="AP44" s="959">
        <f t="shared" si="9"/>
        <v>29.044117647058833</v>
      </c>
      <c r="AQ44" s="114"/>
    </row>
    <row r="45" spans="1:49">
      <c r="H45" s="2"/>
      <c r="I45" s="20"/>
      <c r="J45" s="39"/>
      <c r="K45" s="39"/>
      <c r="L45" s="39"/>
      <c r="M45" s="39"/>
      <c r="N45" s="39"/>
      <c r="O45" s="39"/>
      <c r="P45" s="39"/>
      <c r="Q45" s="240"/>
      <c r="R45" s="19"/>
      <c r="S45" s="19"/>
      <c r="T45" s="19"/>
      <c r="U45" s="19"/>
      <c r="V45" s="19"/>
      <c r="W45" s="19"/>
      <c r="X45" s="19"/>
      <c r="Y45" s="19"/>
      <c r="Z45" s="19"/>
      <c r="AA45" s="19"/>
      <c r="AB45" s="19"/>
      <c r="AC45" s="19"/>
      <c r="AD45" s="19"/>
      <c r="AE45" s="19"/>
      <c r="AF45" s="19"/>
      <c r="AG45" s="19"/>
      <c r="AH45" s="19"/>
      <c r="AI45" s="19"/>
      <c r="AJ45" s="19"/>
      <c r="AK45" s="644"/>
      <c r="AL45" s="644"/>
      <c r="AM45" s="644"/>
      <c r="AN45" s="644"/>
      <c r="AO45" s="116"/>
      <c r="AP45" s="644"/>
      <c r="AQ45" s="114"/>
    </row>
    <row r="46" spans="1:49">
      <c r="C46" s="128" t="s">
        <v>8</v>
      </c>
      <c r="H46" s="2"/>
      <c r="I46" s="20">
        <v>35300</v>
      </c>
      <c r="J46" s="19">
        <v>31700</v>
      </c>
      <c r="K46" s="19">
        <v>28800</v>
      </c>
      <c r="L46" s="19">
        <v>30000</v>
      </c>
      <c r="M46" s="19">
        <v>29900</v>
      </c>
      <c r="N46" s="19">
        <v>29700</v>
      </c>
      <c r="O46" s="19">
        <v>30400</v>
      </c>
      <c r="P46" s="39">
        <v>32900</v>
      </c>
      <c r="Q46" s="240">
        <v>33100</v>
      </c>
      <c r="R46" s="19">
        <v>30500</v>
      </c>
      <c r="S46" s="19">
        <v>28300</v>
      </c>
      <c r="T46" s="19">
        <v>25900</v>
      </c>
      <c r="U46" s="19">
        <v>26300</v>
      </c>
      <c r="V46" s="19">
        <v>25700</v>
      </c>
      <c r="W46" s="19">
        <v>25800</v>
      </c>
      <c r="X46" s="19">
        <v>25300</v>
      </c>
      <c r="Y46" s="19">
        <v>24900</v>
      </c>
      <c r="Z46" s="19">
        <v>26100</v>
      </c>
      <c r="AA46" s="19">
        <v>27700</v>
      </c>
      <c r="AB46" s="19">
        <v>29700</v>
      </c>
      <c r="AC46" s="19">
        <v>29700</v>
      </c>
      <c r="AD46" s="19">
        <v>30600</v>
      </c>
      <c r="AE46" s="19">
        <v>30200</v>
      </c>
      <c r="AF46" s="19">
        <v>29400</v>
      </c>
      <c r="AG46" s="19">
        <v>29700</v>
      </c>
      <c r="AH46" s="19">
        <v>31000</v>
      </c>
      <c r="AI46" s="19">
        <v>31600</v>
      </c>
      <c r="AJ46" s="652"/>
      <c r="AK46" s="644">
        <f t="shared" ref="AK46:AK51" si="10">((((Q46/I46))^(1/8))-1)*100</f>
        <v>-0.80114461232512202</v>
      </c>
      <c r="AL46" s="644">
        <f t="shared" ref="AL46:AL51" si="11">((((AB46/Q46))^(1/11))-1)*100</f>
        <v>-0.98049095768910632</v>
      </c>
      <c r="AM46" s="959">
        <f t="shared" ref="AM46:AM51" si="12">((((AI46/I46))^(1/26))-1)*100</f>
        <v>-0.42496309373122321</v>
      </c>
      <c r="AN46" s="959">
        <f t="shared" ref="AN46:AN51" si="13">((((AI46/AB46))^(1/7))-1)*100</f>
        <v>0.88979354696967494</v>
      </c>
      <c r="AO46" s="23"/>
      <c r="AP46" s="959">
        <f t="shared" ref="AP46:AP51" si="14">((AI46/I46)-1)*100</f>
        <v>-10.481586402266284</v>
      </c>
      <c r="AQ46" s="114"/>
    </row>
    <row r="47" spans="1:49">
      <c r="C47" s="1" t="s">
        <v>5</v>
      </c>
      <c r="H47" s="2"/>
      <c r="I47" s="20">
        <v>9000</v>
      </c>
      <c r="J47" s="19">
        <v>9400</v>
      </c>
      <c r="K47" s="19">
        <v>9600</v>
      </c>
      <c r="L47" s="19">
        <v>9500</v>
      </c>
      <c r="M47" s="19">
        <v>9600</v>
      </c>
      <c r="N47" s="19">
        <v>9300</v>
      </c>
      <c r="O47" s="19">
        <v>9800</v>
      </c>
      <c r="P47" s="39">
        <v>9600</v>
      </c>
      <c r="Q47" s="240">
        <v>9500</v>
      </c>
      <c r="R47" s="19">
        <v>10900</v>
      </c>
      <c r="S47" s="19">
        <v>10200</v>
      </c>
      <c r="T47" s="19">
        <v>10800</v>
      </c>
      <c r="U47" s="19">
        <v>10700</v>
      </c>
      <c r="V47" s="19">
        <v>10500</v>
      </c>
      <c r="W47" s="19">
        <v>10200</v>
      </c>
      <c r="X47" s="19">
        <v>9900</v>
      </c>
      <c r="Y47" s="19">
        <v>9800</v>
      </c>
      <c r="Z47" s="19">
        <v>10300</v>
      </c>
      <c r="AA47" s="19">
        <v>10000</v>
      </c>
      <c r="AB47" s="19">
        <v>10400</v>
      </c>
      <c r="AC47" s="19">
        <v>10700</v>
      </c>
      <c r="AD47" s="19">
        <v>9900</v>
      </c>
      <c r="AE47" s="19">
        <v>10400</v>
      </c>
      <c r="AF47" s="19">
        <v>10300</v>
      </c>
      <c r="AG47" s="19">
        <v>10400</v>
      </c>
      <c r="AH47" s="19">
        <v>10400</v>
      </c>
      <c r="AI47" s="19">
        <v>10500</v>
      </c>
      <c r="AJ47" s="652"/>
      <c r="AK47" s="644">
        <f>((((Q47/I47))^(1/8))-1)*100</f>
        <v>0.67812921985541674</v>
      </c>
      <c r="AL47" s="644">
        <f>((((AB47/Q47))^(1/11))-1)*100</f>
        <v>0.8262493674934035</v>
      </c>
      <c r="AM47" s="959">
        <f t="shared" si="12"/>
        <v>0.59464828507940215</v>
      </c>
      <c r="AN47" s="959">
        <f t="shared" si="13"/>
        <v>0.13679992894131132</v>
      </c>
      <c r="AO47" s="23"/>
      <c r="AP47" s="959">
        <f t="shared" si="14"/>
        <v>16.666666666666675</v>
      </c>
      <c r="AQ47" s="114"/>
    </row>
    <row r="48" spans="1:49">
      <c r="C48" s="1" t="s">
        <v>6</v>
      </c>
      <c r="H48" s="2"/>
      <c r="I48" s="20">
        <v>38600</v>
      </c>
      <c r="J48" s="19">
        <v>35900</v>
      </c>
      <c r="K48" s="19">
        <v>33800</v>
      </c>
      <c r="L48" s="19">
        <v>35200</v>
      </c>
      <c r="M48" s="19">
        <v>34000</v>
      </c>
      <c r="N48" s="19">
        <v>34000</v>
      </c>
      <c r="O48" s="19">
        <v>34100</v>
      </c>
      <c r="P48" s="39">
        <v>36500</v>
      </c>
      <c r="Q48" s="240">
        <v>36900</v>
      </c>
      <c r="R48" s="19">
        <v>34700</v>
      </c>
      <c r="S48" s="19">
        <v>32900</v>
      </c>
      <c r="T48" s="19">
        <v>30900</v>
      </c>
      <c r="U48" s="19">
        <v>32100</v>
      </c>
      <c r="V48" s="19">
        <v>32000</v>
      </c>
      <c r="W48" s="19">
        <v>32200</v>
      </c>
      <c r="X48" s="19">
        <v>31700</v>
      </c>
      <c r="Y48" s="19">
        <v>31200</v>
      </c>
      <c r="Z48" s="19">
        <v>32900</v>
      </c>
      <c r="AA48" s="19">
        <v>33400</v>
      </c>
      <c r="AB48" s="19">
        <v>34300</v>
      </c>
      <c r="AC48" s="19">
        <v>34300</v>
      </c>
      <c r="AD48" s="19">
        <v>34900</v>
      </c>
      <c r="AE48" s="19">
        <v>35100</v>
      </c>
      <c r="AF48" s="19">
        <v>34600</v>
      </c>
      <c r="AG48" s="19">
        <v>34600</v>
      </c>
      <c r="AH48" s="19">
        <v>35300</v>
      </c>
      <c r="AI48" s="19">
        <v>35900</v>
      </c>
      <c r="AJ48" s="652"/>
      <c r="AK48" s="644">
        <f t="shared" si="10"/>
        <v>-0.56142714193936349</v>
      </c>
      <c r="AL48" s="644">
        <f t="shared" si="11"/>
        <v>-0.66203696818372126</v>
      </c>
      <c r="AM48" s="959">
        <f t="shared" si="12"/>
        <v>-0.27851519774808597</v>
      </c>
      <c r="AN48" s="959">
        <f t="shared" si="13"/>
        <v>0.65343910589006349</v>
      </c>
      <c r="AO48" s="23"/>
      <c r="AP48" s="959">
        <f t="shared" si="14"/>
        <v>-6.9948186528497436</v>
      </c>
      <c r="AQ48" s="114"/>
    </row>
    <row r="49" spans="1:43">
      <c r="C49" s="128" t="s">
        <v>9</v>
      </c>
      <c r="H49" s="2"/>
      <c r="I49" s="20">
        <v>26100</v>
      </c>
      <c r="J49" s="19">
        <v>26800</v>
      </c>
      <c r="K49" s="19">
        <v>24200</v>
      </c>
      <c r="L49" s="19">
        <v>23900</v>
      </c>
      <c r="M49" s="19">
        <v>24300</v>
      </c>
      <c r="N49" s="19">
        <v>25400</v>
      </c>
      <c r="O49" s="19">
        <v>26100</v>
      </c>
      <c r="P49" s="39">
        <v>25200</v>
      </c>
      <c r="Q49" s="240">
        <v>26600</v>
      </c>
      <c r="R49" s="19">
        <v>25200</v>
      </c>
      <c r="S49" s="19">
        <v>22100</v>
      </c>
      <c r="T49" s="19">
        <v>21600</v>
      </c>
      <c r="U49" s="19">
        <v>22800</v>
      </c>
      <c r="V49" s="19">
        <v>20100</v>
      </c>
      <c r="W49" s="19">
        <v>22800</v>
      </c>
      <c r="X49" s="19">
        <v>20400</v>
      </c>
      <c r="Y49" s="19">
        <v>20300</v>
      </c>
      <c r="Z49" s="19">
        <v>19300</v>
      </c>
      <c r="AA49" s="19">
        <v>20700</v>
      </c>
      <c r="AB49" s="19">
        <v>20800</v>
      </c>
      <c r="AC49" s="19">
        <v>21900</v>
      </c>
      <c r="AD49" s="19">
        <v>23700</v>
      </c>
      <c r="AE49" s="19">
        <v>23900</v>
      </c>
      <c r="AF49" s="19">
        <v>23600</v>
      </c>
      <c r="AG49" s="19">
        <v>24100</v>
      </c>
      <c r="AH49" s="19">
        <v>24300</v>
      </c>
      <c r="AI49" s="19">
        <v>25100</v>
      </c>
      <c r="AJ49" s="652"/>
      <c r="AK49" s="644">
        <f t="shared" si="10"/>
        <v>0.23748030707404499</v>
      </c>
      <c r="AL49" s="644">
        <f t="shared" si="11"/>
        <v>-2.2111710618191172</v>
      </c>
      <c r="AM49" s="959">
        <f t="shared" si="12"/>
        <v>-0.15014665998691612</v>
      </c>
      <c r="AN49" s="959">
        <f t="shared" si="13"/>
        <v>2.7208552466932101</v>
      </c>
      <c r="AO49" s="23"/>
      <c r="AP49" s="959">
        <f t="shared" si="14"/>
        <v>-3.8314176245210718</v>
      </c>
      <c r="AQ49" s="114"/>
    </row>
    <row r="50" spans="1:43">
      <c r="C50" s="1" t="s">
        <v>5</v>
      </c>
      <c r="H50" s="2"/>
      <c r="I50" s="20">
        <v>9300</v>
      </c>
      <c r="J50" s="19">
        <v>9700</v>
      </c>
      <c r="K50" s="19">
        <v>9600</v>
      </c>
      <c r="L50" s="19">
        <v>9600</v>
      </c>
      <c r="M50" s="19">
        <v>10200</v>
      </c>
      <c r="N50" s="19">
        <v>10600</v>
      </c>
      <c r="O50" s="19">
        <v>11300</v>
      </c>
      <c r="P50" s="39">
        <v>11000</v>
      </c>
      <c r="Q50" s="240">
        <v>10600</v>
      </c>
      <c r="R50" s="19">
        <v>11200</v>
      </c>
      <c r="S50" s="19">
        <v>10700</v>
      </c>
      <c r="T50" s="19">
        <v>11100</v>
      </c>
      <c r="U50" s="19">
        <v>11000</v>
      </c>
      <c r="V50" s="19">
        <v>11600</v>
      </c>
      <c r="W50" s="19">
        <v>11100</v>
      </c>
      <c r="X50" s="19">
        <v>10800</v>
      </c>
      <c r="Y50" s="19">
        <v>10600</v>
      </c>
      <c r="Z50" s="19">
        <v>10400</v>
      </c>
      <c r="AA50" s="19">
        <v>10000</v>
      </c>
      <c r="AB50" s="19">
        <v>9900</v>
      </c>
      <c r="AC50" s="19">
        <v>10700</v>
      </c>
      <c r="AD50" s="19">
        <v>10600</v>
      </c>
      <c r="AE50" s="19">
        <v>10400</v>
      </c>
      <c r="AF50" s="19">
        <v>10500</v>
      </c>
      <c r="AG50" s="19">
        <v>11100</v>
      </c>
      <c r="AH50" s="19">
        <v>10800</v>
      </c>
      <c r="AI50" s="19">
        <v>10900</v>
      </c>
      <c r="AJ50" s="652"/>
      <c r="AK50" s="644">
        <f>((((Q50/I50))^(1/8))-1)*100</f>
        <v>1.6489424423155485</v>
      </c>
      <c r="AL50" s="644">
        <f>((((AB50/Q50))^(1/11))-1)*100</f>
        <v>-0.61915929607170295</v>
      </c>
      <c r="AM50" s="959">
        <f t="shared" si="12"/>
        <v>0.61243850972239056</v>
      </c>
      <c r="AN50" s="959">
        <f t="shared" si="13"/>
        <v>1.384178429520766</v>
      </c>
      <c r="AO50" s="23"/>
      <c r="AP50" s="959">
        <f t="shared" si="14"/>
        <v>17.204301075268823</v>
      </c>
      <c r="AQ50" s="114"/>
    </row>
    <row r="51" spans="1:43">
      <c r="C51" s="1" t="s">
        <v>10</v>
      </c>
      <c r="H51" s="2"/>
      <c r="I51" s="20">
        <v>30200</v>
      </c>
      <c r="J51" s="19">
        <v>30800</v>
      </c>
      <c r="K51" s="19">
        <v>28600</v>
      </c>
      <c r="L51" s="19">
        <v>28200</v>
      </c>
      <c r="M51" s="19">
        <v>28800</v>
      </c>
      <c r="N51" s="19">
        <v>30300</v>
      </c>
      <c r="O51" s="19">
        <v>29700</v>
      </c>
      <c r="P51" s="39">
        <v>29600</v>
      </c>
      <c r="Q51" s="240">
        <v>30800</v>
      </c>
      <c r="R51" s="19">
        <v>28700</v>
      </c>
      <c r="S51" s="19">
        <v>27700</v>
      </c>
      <c r="T51" s="19">
        <v>28400</v>
      </c>
      <c r="U51" s="19">
        <v>30100</v>
      </c>
      <c r="V51" s="19">
        <v>27200</v>
      </c>
      <c r="W51" s="19">
        <v>28600</v>
      </c>
      <c r="X51" s="19">
        <v>27500</v>
      </c>
      <c r="Y51" s="19">
        <v>28000</v>
      </c>
      <c r="Z51" s="19">
        <v>27900</v>
      </c>
      <c r="AA51" s="19">
        <v>28100</v>
      </c>
      <c r="AB51" s="19">
        <v>27400</v>
      </c>
      <c r="AC51" s="19">
        <v>29200</v>
      </c>
      <c r="AD51" s="19">
        <v>30200</v>
      </c>
      <c r="AE51" s="19">
        <v>29700</v>
      </c>
      <c r="AF51" s="19">
        <v>29400</v>
      </c>
      <c r="AG51" s="19">
        <v>29000</v>
      </c>
      <c r="AH51" s="19">
        <v>30100</v>
      </c>
      <c r="AI51" s="19">
        <v>30500</v>
      </c>
      <c r="AJ51" s="652"/>
      <c r="AK51" s="644">
        <f t="shared" si="10"/>
        <v>0.24621217556137776</v>
      </c>
      <c r="AL51" s="644">
        <f t="shared" si="11"/>
        <v>-1.0577449923923621</v>
      </c>
      <c r="AM51" s="959">
        <f t="shared" si="12"/>
        <v>3.8025532613961133E-2</v>
      </c>
      <c r="AN51" s="959">
        <f t="shared" si="13"/>
        <v>1.5429781466156589</v>
      </c>
      <c r="AO51" s="23"/>
      <c r="AP51" s="959">
        <f t="shared" si="14"/>
        <v>0.99337748344370258</v>
      </c>
    </row>
    <row r="52" spans="1:43">
      <c r="I52" s="652"/>
      <c r="J52" s="960"/>
      <c r="K52" s="960"/>
      <c r="L52" s="960"/>
      <c r="M52" s="960"/>
      <c r="N52" s="960"/>
      <c r="O52" s="960"/>
      <c r="P52" s="960"/>
      <c r="Q52" s="652"/>
      <c r="R52" s="652"/>
      <c r="S52" s="652"/>
      <c r="T52" s="652"/>
      <c r="U52" s="652"/>
      <c r="V52" s="652"/>
      <c r="W52" s="652"/>
      <c r="X52" s="652"/>
      <c r="Y52" s="652"/>
      <c r="Z52" s="652"/>
      <c r="AA52" s="652"/>
      <c r="AB52" s="652"/>
      <c r="AC52" s="652"/>
      <c r="AD52" s="652"/>
      <c r="AE52" s="652"/>
      <c r="AF52" s="652"/>
      <c r="AG52" s="652"/>
    </row>
    <row r="53" spans="1:43" ht="26.25" customHeight="1">
      <c r="A53" s="1170" t="s">
        <v>1</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J53" s="1170"/>
      <c r="AK53" s="1170"/>
      <c r="AL53" s="1170"/>
      <c r="AM53" s="1170"/>
      <c r="AN53" s="1170"/>
      <c r="AO53" s="1170"/>
      <c r="AP53" s="1170"/>
    </row>
    <row r="54" spans="1:43">
      <c r="A54" s="4" t="s">
        <v>1868</v>
      </c>
      <c r="B54" s="16"/>
      <c r="C54" s="16"/>
      <c r="D54" s="16"/>
      <c r="E54" s="16"/>
      <c r="F54" s="16"/>
      <c r="G54" s="16"/>
      <c r="H54" s="16"/>
      <c r="I54" s="16"/>
      <c r="J54" s="964"/>
      <c r="K54" s="964"/>
      <c r="L54" s="964"/>
      <c r="M54" s="964"/>
      <c r="N54" s="964"/>
      <c r="O54" s="964"/>
      <c r="P54" s="964"/>
      <c r="Q54" s="16"/>
      <c r="R54" s="16"/>
      <c r="S54" s="16"/>
      <c r="T54" s="16"/>
      <c r="U54" s="16"/>
      <c r="V54" s="16"/>
      <c r="W54" s="16"/>
      <c r="X54" s="16"/>
      <c r="Y54" s="16"/>
      <c r="Z54" s="16"/>
      <c r="AA54" s="16"/>
      <c r="AB54" s="16"/>
      <c r="AC54" s="16"/>
      <c r="AD54" s="16"/>
      <c r="AE54" s="16"/>
      <c r="AF54" s="16"/>
      <c r="AG54" s="16"/>
      <c r="AH54" s="16"/>
      <c r="AI54" s="964"/>
      <c r="AJ54" s="16"/>
      <c r="AK54" s="16"/>
      <c r="AL54" s="16"/>
      <c r="AM54" s="16"/>
      <c r="AN54" s="16"/>
      <c r="AO54" s="16"/>
      <c r="AP54" s="16"/>
    </row>
    <row r="55" spans="1:43">
      <c r="A55" s="4" t="s">
        <v>388</v>
      </c>
      <c r="B55" s="16"/>
      <c r="C55" s="16"/>
      <c r="D55" s="16"/>
      <c r="E55" s="16"/>
      <c r="F55" s="16"/>
      <c r="G55" s="16"/>
      <c r="H55" s="16"/>
      <c r="I55" s="16"/>
      <c r="J55" s="964"/>
      <c r="K55" s="964"/>
      <c r="L55" s="964"/>
      <c r="M55" s="964"/>
      <c r="N55" s="964"/>
      <c r="O55" s="964"/>
      <c r="P55" s="964"/>
      <c r="Q55" s="16"/>
      <c r="R55" s="16"/>
      <c r="S55" s="16"/>
      <c r="T55" s="16"/>
      <c r="U55" s="16"/>
      <c r="V55" s="16"/>
      <c r="W55" s="16"/>
      <c r="X55" s="16"/>
      <c r="Y55" s="16"/>
      <c r="Z55" s="16"/>
      <c r="AA55" s="16"/>
      <c r="AB55" s="16"/>
      <c r="AC55" s="16"/>
      <c r="AD55" s="16"/>
      <c r="AE55" s="16"/>
      <c r="AF55" s="16"/>
      <c r="AG55" s="16"/>
      <c r="AH55" s="16"/>
      <c r="AI55" s="964"/>
      <c r="AJ55" s="16"/>
      <c r="AK55" s="16"/>
      <c r="AL55" s="16"/>
      <c r="AM55" s="16"/>
      <c r="AN55" s="16"/>
      <c r="AO55" s="16"/>
      <c r="AP55" s="16"/>
    </row>
    <row r="56" spans="1:43" ht="29.25" customHeight="1">
      <c r="A56" s="1168" t="s">
        <v>233</v>
      </c>
      <c r="B56" s="1169"/>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P56" s="1169"/>
    </row>
    <row r="57" spans="1:43" ht="30" customHeight="1">
      <c r="A57" s="1168" t="s">
        <v>149</v>
      </c>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c r="AI57" s="1169"/>
      <c r="AJ57" s="1169"/>
      <c r="AK57" s="1169"/>
      <c r="AL57" s="1169"/>
      <c r="AM57" s="1169"/>
      <c r="AN57" s="1169"/>
      <c r="AO57" s="1169"/>
      <c r="AP57" s="1169"/>
    </row>
    <row r="58" spans="1:43">
      <c r="A58" s="1" t="s">
        <v>821</v>
      </c>
    </row>
    <row r="61" spans="1:43">
      <c r="H61" s="961"/>
      <c r="I61" s="961"/>
      <c r="Q61" s="961"/>
      <c r="R61" s="961"/>
      <c r="S61" s="961"/>
      <c r="T61" s="961"/>
      <c r="U61" s="961"/>
      <c r="V61" s="961"/>
      <c r="W61" s="961"/>
      <c r="X61" s="961"/>
      <c r="Y61" s="961"/>
      <c r="Z61" s="961"/>
      <c r="AA61" s="961"/>
      <c r="AB61" s="961"/>
      <c r="AC61" s="961"/>
      <c r="AD61" s="961"/>
      <c r="AE61" s="961"/>
      <c r="AF61" s="961"/>
      <c r="AG61" s="961"/>
      <c r="AH61" s="961"/>
    </row>
    <row r="62" spans="1:43">
      <c r="H62" s="961"/>
      <c r="I62" s="961"/>
      <c r="Q62" s="961"/>
      <c r="R62" s="961"/>
      <c r="S62" s="961"/>
      <c r="T62" s="961"/>
      <c r="U62" s="961"/>
      <c r="V62" s="961"/>
      <c r="W62" s="961"/>
      <c r="X62" s="961"/>
      <c r="Y62" s="961"/>
      <c r="Z62" s="961"/>
      <c r="AA62" s="961"/>
      <c r="AB62" s="961"/>
      <c r="AC62" s="961"/>
      <c r="AD62" s="961"/>
      <c r="AE62" s="961"/>
      <c r="AF62" s="961"/>
      <c r="AG62" s="961"/>
      <c r="AH62" s="961"/>
    </row>
    <row r="63" spans="1:43">
      <c r="H63" s="961"/>
      <c r="I63" s="961"/>
      <c r="Q63" s="961"/>
      <c r="R63" s="961"/>
      <c r="S63" s="961"/>
      <c r="T63" s="961"/>
      <c r="U63" s="961"/>
      <c r="V63" s="961"/>
      <c r="W63" s="961"/>
      <c r="X63" s="961"/>
      <c r="Y63" s="961"/>
      <c r="Z63" s="961"/>
      <c r="AA63" s="961"/>
      <c r="AB63" s="961"/>
      <c r="AC63" s="961"/>
      <c r="AD63" s="961"/>
      <c r="AE63" s="961"/>
      <c r="AF63" s="961"/>
      <c r="AG63" s="961"/>
      <c r="AH63" s="961"/>
    </row>
    <row r="64" spans="1:43">
      <c r="H64" s="961"/>
      <c r="I64" s="961"/>
      <c r="Q64" s="961"/>
      <c r="R64" s="961"/>
      <c r="S64" s="961"/>
      <c r="T64" s="961"/>
      <c r="U64" s="961"/>
      <c r="V64" s="961"/>
      <c r="W64" s="961"/>
      <c r="X64" s="961"/>
      <c r="Y64" s="961"/>
      <c r="Z64" s="961"/>
      <c r="AA64" s="961"/>
      <c r="AB64" s="961"/>
      <c r="AC64" s="961"/>
      <c r="AD64" s="961"/>
      <c r="AE64" s="961"/>
      <c r="AF64" s="961"/>
      <c r="AG64" s="961"/>
      <c r="AH64" s="961"/>
    </row>
    <row r="65" spans="8:34">
      <c r="H65" s="961"/>
      <c r="I65" s="961"/>
      <c r="Q65" s="961"/>
      <c r="R65" s="961"/>
      <c r="S65" s="961"/>
      <c r="T65" s="961"/>
      <c r="U65" s="961"/>
      <c r="V65" s="961"/>
      <c r="W65" s="961"/>
      <c r="X65" s="961"/>
      <c r="Y65" s="961"/>
      <c r="Z65" s="961"/>
      <c r="AA65" s="961"/>
      <c r="AB65" s="961"/>
      <c r="AC65" s="961"/>
      <c r="AD65" s="961"/>
      <c r="AE65" s="961"/>
      <c r="AF65" s="961"/>
      <c r="AG65" s="961"/>
      <c r="AH65" s="961"/>
    </row>
    <row r="66" spans="8:34">
      <c r="H66" s="961"/>
      <c r="I66" s="961"/>
      <c r="Q66" s="961"/>
      <c r="R66" s="961"/>
      <c r="S66" s="961"/>
      <c r="T66" s="961"/>
      <c r="U66" s="961"/>
      <c r="V66" s="961"/>
      <c r="W66" s="961"/>
      <c r="X66" s="961"/>
      <c r="Y66" s="961"/>
      <c r="Z66" s="961"/>
      <c r="AA66" s="961"/>
      <c r="AB66" s="961"/>
      <c r="AC66" s="961"/>
      <c r="AD66" s="961"/>
      <c r="AE66" s="961"/>
      <c r="AF66" s="961"/>
      <c r="AG66" s="961"/>
      <c r="AH66" s="961"/>
    </row>
    <row r="67" spans="8:34">
      <c r="H67" s="961"/>
      <c r="I67" s="961"/>
      <c r="Q67" s="961"/>
      <c r="R67" s="961"/>
      <c r="S67" s="961"/>
      <c r="T67" s="961"/>
      <c r="U67" s="961"/>
      <c r="V67" s="961"/>
      <c r="W67" s="961"/>
      <c r="X67" s="961"/>
      <c r="Y67" s="961"/>
      <c r="Z67" s="961"/>
      <c r="AA67" s="961"/>
      <c r="AB67" s="961"/>
      <c r="AC67" s="961"/>
      <c r="AD67" s="961"/>
      <c r="AE67" s="961"/>
      <c r="AF67" s="961"/>
      <c r="AG67" s="961"/>
      <c r="AH67" s="961"/>
    </row>
    <row r="68" spans="8:34">
      <c r="H68" s="961"/>
      <c r="I68" s="961"/>
      <c r="Q68" s="961"/>
      <c r="R68" s="961"/>
      <c r="S68" s="961"/>
      <c r="T68" s="961"/>
      <c r="U68" s="961"/>
      <c r="V68" s="961"/>
      <c r="W68" s="961"/>
      <c r="X68" s="961"/>
      <c r="Y68" s="961"/>
      <c r="Z68" s="961"/>
      <c r="AA68" s="961"/>
      <c r="AB68" s="961"/>
      <c r="AC68" s="961"/>
      <c r="AD68" s="961"/>
      <c r="AE68" s="961"/>
      <c r="AF68" s="961"/>
      <c r="AG68" s="961"/>
      <c r="AH68" s="961"/>
    </row>
    <row r="69" spans="8:34">
      <c r="H69" s="961"/>
      <c r="I69" s="961"/>
      <c r="Q69" s="961"/>
      <c r="R69" s="961"/>
      <c r="S69" s="961"/>
      <c r="T69" s="961"/>
      <c r="U69" s="961"/>
      <c r="V69" s="961"/>
      <c r="W69" s="961"/>
      <c r="X69" s="961"/>
      <c r="Y69" s="961"/>
      <c r="Z69" s="961"/>
      <c r="AA69" s="961"/>
      <c r="AB69" s="961"/>
      <c r="AC69" s="961"/>
      <c r="AD69" s="961"/>
      <c r="AE69" s="961"/>
      <c r="AF69" s="961"/>
      <c r="AG69" s="961"/>
      <c r="AH69" s="961"/>
    </row>
    <row r="70" spans="8:34">
      <c r="H70" s="961"/>
      <c r="I70" s="961"/>
      <c r="Q70" s="961"/>
      <c r="R70" s="961"/>
      <c r="S70" s="961"/>
      <c r="T70" s="961"/>
      <c r="U70" s="961"/>
      <c r="V70" s="961"/>
      <c r="W70" s="961"/>
      <c r="X70" s="961"/>
      <c r="Y70" s="961"/>
      <c r="Z70" s="961"/>
      <c r="AA70" s="961"/>
      <c r="AB70" s="961"/>
      <c r="AC70" s="961"/>
      <c r="AD70" s="961"/>
      <c r="AE70" s="961"/>
      <c r="AF70" s="961"/>
      <c r="AG70" s="961"/>
      <c r="AH70" s="961"/>
    </row>
    <row r="71" spans="8:34">
      <c r="H71" s="961"/>
      <c r="I71" s="961"/>
      <c r="Q71" s="961"/>
      <c r="R71" s="961"/>
      <c r="S71" s="961"/>
      <c r="T71" s="961"/>
      <c r="U71" s="961"/>
      <c r="V71" s="961"/>
      <c r="W71" s="961"/>
      <c r="X71" s="961"/>
      <c r="Y71" s="961"/>
      <c r="Z71" s="961"/>
      <c r="AA71" s="961"/>
      <c r="AB71" s="961"/>
      <c r="AC71" s="961"/>
      <c r="AD71" s="961"/>
      <c r="AE71" s="961"/>
      <c r="AF71" s="961"/>
      <c r="AG71" s="961"/>
      <c r="AH71" s="961"/>
    </row>
    <row r="72" spans="8:34">
      <c r="H72" s="961"/>
      <c r="I72" s="961"/>
      <c r="Q72" s="961"/>
      <c r="R72" s="961"/>
      <c r="S72" s="961"/>
      <c r="T72" s="961"/>
      <c r="U72" s="961"/>
      <c r="V72" s="961"/>
      <c r="W72" s="961"/>
      <c r="X72" s="961"/>
      <c r="Y72" s="961"/>
      <c r="Z72" s="961"/>
      <c r="AA72" s="961"/>
      <c r="AB72" s="961"/>
      <c r="AC72" s="961"/>
      <c r="AD72" s="961"/>
      <c r="AE72" s="961"/>
      <c r="AF72" s="961"/>
      <c r="AG72" s="961"/>
      <c r="AH72" s="961"/>
    </row>
    <row r="73" spans="8:34">
      <c r="H73" s="961"/>
      <c r="I73" s="961"/>
      <c r="Q73" s="961"/>
      <c r="R73" s="961"/>
      <c r="S73" s="961"/>
      <c r="T73" s="961"/>
      <c r="U73" s="961"/>
      <c r="V73" s="961"/>
      <c r="W73" s="961"/>
      <c r="X73" s="961"/>
      <c r="Y73" s="961"/>
      <c r="Z73" s="961"/>
      <c r="AA73" s="961"/>
      <c r="AB73" s="961"/>
      <c r="AC73" s="961"/>
      <c r="AD73" s="961"/>
      <c r="AE73" s="961"/>
      <c r="AF73" s="961"/>
      <c r="AG73" s="961"/>
      <c r="AH73" s="961"/>
    </row>
    <row r="74" spans="8:34">
      <c r="H74" s="961"/>
      <c r="I74" s="961"/>
      <c r="Q74" s="961"/>
      <c r="R74" s="961"/>
      <c r="S74" s="961"/>
      <c r="T74" s="961"/>
      <c r="U74" s="961"/>
      <c r="V74" s="961"/>
      <c r="W74" s="961"/>
      <c r="X74" s="961"/>
      <c r="Y74" s="961"/>
      <c r="Z74" s="961"/>
      <c r="AA74" s="961"/>
      <c r="AB74" s="961"/>
      <c r="AC74" s="961"/>
      <c r="AD74" s="961"/>
      <c r="AE74" s="961"/>
      <c r="AF74" s="961"/>
      <c r="AG74" s="961"/>
      <c r="AH74" s="961"/>
    </row>
    <row r="75" spans="8:34">
      <c r="H75" s="961"/>
      <c r="I75" s="961"/>
      <c r="Q75" s="961"/>
      <c r="R75" s="961"/>
      <c r="S75" s="961"/>
      <c r="T75" s="961"/>
      <c r="U75" s="961"/>
      <c r="V75" s="961"/>
      <c r="W75" s="961"/>
      <c r="X75" s="961"/>
      <c r="Y75" s="961"/>
      <c r="Z75" s="961"/>
      <c r="AA75" s="961"/>
      <c r="AB75" s="961"/>
      <c r="AC75" s="961"/>
      <c r="AD75" s="961"/>
      <c r="AE75" s="961"/>
      <c r="AF75" s="961"/>
      <c r="AG75" s="961"/>
      <c r="AH75" s="961"/>
    </row>
    <row r="76" spans="8:34">
      <c r="H76" s="961"/>
      <c r="I76" s="961"/>
      <c r="Q76" s="961"/>
      <c r="R76" s="961"/>
      <c r="S76" s="961"/>
      <c r="T76" s="961"/>
      <c r="U76" s="961"/>
      <c r="V76" s="961"/>
      <c r="W76" s="961"/>
      <c r="X76" s="961"/>
      <c r="Y76" s="961"/>
      <c r="Z76" s="961"/>
      <c r="AA76" s="961"/>
      <c r="AB76" s="961"/>
      <c r="AC76" s="961"/>
      <c r="AD76" s="961"/>
      <c r="AE76" s="961"/>
      <c r="AF76" s="961"/>
      <c r="AG76" s="961"/>
      <c r="AH76" s="961"/>
    </row>
    <row r="77" spans="8:34">
      <c r="H77" s="961"/>
      <c r="I77" s="961"/>
      <c r="Q77" s="961"/>
      <c r="R77" s="961"/>
      <c r="S77" s="961"/>
      <c r="T77" s="961"/>
      <c r="U77" s="961"/>
      <c r="V77" s="961"/>
      <c r="W77" s="961"/>
      <c r="X77" s="961"/>
      <c r="Y77" s="961"/>
      <c r="Z77" s="961"/>
      <c r="AA77" s="961"/>
      <c r="AB77" s="961"/>
      <c r="AC77" s="961"/>
      <c r="AD77" s="961"/>
      <c r="AE77" s="961"/>
      <c r="AF77" s="961"/>
      <c r="AG77" s="961"/>
      <c r="AH77" s="961"/>
    </row>
    <row r="78" spans="8:34">
      <c r="H78" s="961"/>
      <c r="I78" s="961"/>
      <c r="Q78" s="961"/>
      <c r="R78" s="961"/>
      <c r="S78" s="961"/>
      <c r="T78" s="961"/>
      <c r="U78" s="961"/>
      <c r="V78" s="961"/>
      <c r="W78" s="961"/>
      <c r="X78" s="961"/>
      <c r="Y78" s="961"/>
      <c r="Z78" s="961"/>
      <c r="AA78" s="961"/>
      <c r="AB78" s="961"/>
      <c r="AC78" s="961"/>
      <c r="AD78" s="961"/>
      <c r="AE78" s="961"/>
      <c r="AF78" s="961"/>
      <c r="AG78" s="961"/>
      <c r="AH78" s="961"/>
    </row>
    <row r="79" spans="8:34">
      <c r="H79" s="961"/>
      <c r="I79" s="961"/>
      <c r="Q79" s="961"/>
      <c r="R79" s="961"/>
      <c r="S79" s="961"/>
      <c r="T79" s="961"/>
      <c r="U79" s="961"/>
      <c r="V79" s="961"/>
      <c r="W79" s="961"/>
      <c r="X79" s="961"/>
      <c r="Y79" s="961"/>
      <c r="Z79" s="961"/>
      <c r="AA79" s="961"/>
      <c r="AB79" s="961"/>
      <c r="AC79" s="961"/>
      <c r="AD79" s="961"/>
      <c r="AE79" s="961"/>
      <c r="AF79" s="961"/>
      <c r="AG79" s="961"/>
      <c r="AH79" s="961"/>
    </row>
    <row r="80" spans="8:34">
      <c r="H80" s="961"/>
      <c r="I80" s="961"/>
      <c r="Q80" s="961"/>
      <c r="R80" s="961"/>
      <c r="S80" s="961"/>
      <c r="T80" s="961"/>
      <c r="U80" s="961"/>
      <c r="V80" s="961"/>
      <c r="W80" s="961"/>
      <c r="X80" s="961"/>
      <c r="Y80" s="961"/>
      <c r="Z80" s="961"/>
      <c r="AA80" s="961"/>
      <c r="AB80" s="961"/>
      <c r="AC80" s="961"/>
      <c r="AD80" s="961"/>
      <c r="AE80" s="961"/>
      <c r="AF80" s="961"/>
      <c r="AG80" s="961"/>
      <c r="AH80" s="961"/>
    </row>
    <row r="81" spans="8:34">
      <c r="H81" s="961"/>
      <c r="I81" s="961"/>
      <c r="Q81" s="961"/>
      <c r="R81" s="961"/>
      <c r="S81" s="961"/>
      <c r="T81" s="961"/>
      <c r="U81" s="961"/>
      <c r="V81" s="961"/>
      <c r="W81" s="961"/>
      <c r="X81" s="961"/>
      <c r="Y81" s="961"/>
      <c r="Z81" s="961"/>
      <c r="AA81" s="961"/>
      <c r="AB81" s="961"/>
      <c r="AC81" s="961"/>
      <c r="AD81" s="961"/>
      <c r="AE81" s="961"/>
      <c r="AF81" s="961"/>
      <c r="AG81" s="961"/>
      <c r="AH81" s="961"/>
    </row>
    <row r="82" spans="8:34">
      <c r="H82" s="961"/>
      <c r="I82" s="961"/>
      <c r="Q82" s="961"/>
      <c r="R82" s="961"/>
      <c r="S82" s="961"/>
      <c r="T82" s="961"/>
      <c r="U82" s="961"/>
      <c r="V82" s="961"/>
      <c r="W82" s="961"/>
      <c r="X82" s="961"/>
      <c r="Y82" s="961"/>
      <c r="Z82" s="961"/>
      <c r="AA82" s="961"/>
      <c r="AB82" s="961"/>
      <c r="AC82" s="961"/>
      <c r="AD82" s="961"/>
      <c r="AE82" s="961"/>
      <c r="AF82" s="961"/>
      <c r="AG82" s="961"/>
      <c r="AH82" s="961"/>
    </row>
    <row r="83" spans="8:34">
      <c r="H83" s="961"/>
      <c r="I83" s="961"/>
      <c r="Q83" s="961"/>
      <c r="R83" s="961"/>
      <c r="S83" s="961"/>
      <c r="T83" s="961"/>
      <c r="U83" s="961"/>
      <c r="V83" s="961"/>
      <c r="W83" s="961"/>
      <c r="X83" s="961"/>
      <c r="Y83" s="961"/>
      <c r="Z83" s="961"/>
      <c r="AA83" s="961"/>
      <c r="AB83" s="961"/>
      <c r="AC83" s="961"/>
      <c r="AD83" s="961"/>
      <c r="AE83" s="961"/>
      <c r="AF83" s="961"/>
      <c r="AG83" s="961"/>
      <c r="AH83" s="961"/>
    </row>
    <row r="84" spans="8:34">
      <c r="H84" s="961"/>
      <c r="I84" s="961"/>
      <c r="Q84" s="961"/>
      <c r="R84" s="961"/>
      <c r="S84" s="961"/>
      <c r="T84" s="961"/>
      <c r="U84" s="961"/>
      <c r="V84" s="961"/>
      <c r="W84" s="961"/>
      <c r="X84" s="961"/>
      <c r="Y84" s="961"/>
      <c r="Z84" s="961"/>
      <c r="AA84" s="961"/>
      <c r="AB84" s="961"/>
      <c r="AC84" s="961"/>
      <c r="AD84" s="961"/>
      <c r="AE84" s="961"/>
      <c r="AF84" s="961"/>
      <c r="AG84" s="961"/>
      <c r="AH84" s="961"/>
    </row>
    <row r="85" spans="8:34">
      <c r="H85" s="961"/>
      <c r="I85" s="961"/>
      <c r="Q85" s="961"/>
      <c r="R85" s="961"/>
      <c r="S85" s="961"/>
      <c r="T85" s="961"/>
      <c r="U85" s="961"/>
      <c r="V85" s="961"/>
      <c r="W85" s="961"/>
      <c r="X85" s="961"/>
      <c r="Y85" s="961"/>
      <c r="Z85" s="961"/>
      <c r="AA85" s="961"/>
      <c r="AB85" s="961"/>
      <c r="AC85" s="961"/>
      <c r="AD85" s="961"/>
      <c r="AE85" s="961"/>
      <c r="AF85" s="961"/>
      <c r="AG85" s="961"/>
      <c r="AH85" s="961"/>
    </row>
    <row r="86" spans="8:34">
      <c r="H86" s="961"/>
      <c r="I86" s="961"/>
      <c r="Q86" s="961"/>
      <c r="R86" s="961"/>
      <c r="S86" s="961"/>
      <c r="T86" s="961"/>
      <c r="U86" s="961"/>
      <c r="V86" s="961"/>
      <c r="W86" s="961"/>
      <c r="X86" s="961"/>
      <c r="Y86" s="961"/>
      <c r="Z86" s="961"/>
      <c r="AA86" s="961"/>
      <c r="AB86" s="961"/>
      <c r="AC86" s="961"/>
      <c r="AD86" s="961"/>
      <c r="AE86" s="961"/>
      <c r="AF86" s="961"/>
      <c r="AG86" s="961"/>
      <c r="AH86" s="961"/>
    </row>
    <row r="87" spans="8:34">
      <c r="H87" s="961"/>
      <c r="I87" s="961"/>
      <c r="Q87" s="961"/>
      <c r="R87" s="961"/>
      <c r="S87" s="961"/>
      <c r="T87" s="961"/>
      <c r="U87" s="961"/>
      <c r="V87" s="961"/>
      <c r="W87" s="961"/>
      <c r="X87" s="961"/>
      <c r="Y87" s="961"/>
      <c r="Z87" s="961"/>
      <c r="AA87" s="961"/>
      <c r="AB87" s="961"/>
      <c r="AC87" s="961"/>
      <c r="AD87" s="961"/>
      <c r="AE87" s="961"/>
      <c r="AF87" s="961"/>
      <c r="AG87" s="961"/>
      <c r="AH87" s="961"/>
    </row>
    <row r="88" spans="8:34">
      <c r="H88" s="961"/>
      <c r="I88" s="961"/>
      <c r="Q88" s="961"/>
      <c r="R88" s="961"/>
      <c r="S88" s="961"/>
      <c r="T88" s="961"/>
      <c r="U88" s="961"/>
      <c r="V88" s="961"/>
      <c r="W88" s="961"/>
      <c r="X88" s="961"/>
      <c r="Y88" s="961"/>
      <c r="Z88" s="961"/>
      <c r="AA88" s="961"/>
      <c r="AB88" s="961"/>
      <c r="AC88" s="961"/>
      <c r="AD88" s="961"/>
      <c r="AE88" s="961"/>
      <c r="AF88" s="961"/>
      <c r="AG88" s="961"/>
      <c r="AH88" s="961"/>
    </row>
    <row r="89" spans="8:34">
      <c r="H89" s="961"/>
      <c r="I89" s="961"/>
      <c r="Q89" s="961"/>
      <c r="R89" s="961"/>
      <c r="S89" s="961"/>
      <c r="T89" s="961"/>
      <c r="U89" s="961"/>
      <c r="V89" s="961"/>
      <c r="W89" s="961"/>
      <c r="X89" s="961"/>
      <c r="Y89" s="961"/>
      <c r="Z89" s="961"/>
      <c r="AA89" s="961"/>
      <c r="AB89" s="961"/>
      <c r="AC89" s="961"/>
      <c r="AD89" s="961"/>
      <c r="AE89" s="961"/>
      <c r="AF89" s="961"/>
      <c r="AG89" s="961"/>
      <c r="AH89" s="961"/>
    </row>
    <row r="90" spans="8:34">
      <c r="H90" s="961"/>
      <c r="I90" s="961"/>
      <c r="Q90" s="961"/>
      <c r="R90" s="961"/>
      <c r="S90" s="961"/>
      <c r="T90" s="961"/>
      <c r="U90" s="961"/>
      <c r="V90" s="961"/>
      <c r="W90" s="961"/>
      <c r="X90" s="961"/>
      <c r="Y90" s="961"/>
      <c r="Z90" s="961"/>
      <c r="AA90" s="961"/>
      <c r="AB90" s="961"/>
      <c r="AC90" s="961"/>
      <c r="AD90" s="961"/>
      <c r="AE90" s="961"/>
      <c r="AF90" s="961"/>
      <c r="AG90" s="961"/>
      <c r="AH90" s="961"/>
    </row>
    <row r="91" spans="8:34">
      <c r="H91" s="961"/>
      <c r="I91" s="961"/>
      <c r="Q91" s="961"/>
      <c r="R91" s="961"/>
      <c r="S91" s="961"/>
      <c r="T91" s="961"/>
      <c r="U91" s="961"/>
      <c r="V91" s="961"/>
      <c r="W91" s="961"/>
      <c r="X91" s="961"/>
      <c r="Y91" s="961"/>
      <c r="Z91" s="961"/>
      <c r="AA91" s="961"/>
      <c r="AB91" s="961"/>
      <c r="AC91" s="961"/>
      <c r="AD91" s="961"/>
      <c r="AE91" s="961"/>
      <c r="AF91" s="961"/>
      <c r="AG91" s="961"/>
      <c r="AH91" s="961"/>
    </row>
    <row r="92" spans="8:34">
      <c r="H92" s="961"/>
      <c r="I92" s="961"/>
      <c r="Q92" s="961"/>
      <c r="R92" s="961"/>
      <c r="S92" s="961"/>
      <c r="T92" s="961"/>
      <c r="U92" s="961"/>
      <c r="V92" s="961"/>
      <c r="W92" s="961"/>
      <c r="X92" s="961"/>
      <c r="Y92" s="961"/>
      <c r="Z92" s="961"/>
      <c r="AA92" s="961"/>
      <c r="AB92" s="961"/>
      <c r="AC92" s="961"/>
      <c r="AD92" s="961"/>
      <c r="AE92" s="961"/>
      <c r="AF92" s="961"/>
      <c r="AG92" s="961"/>
      <c r="AH92" s="961"/>
    </row>
    <row r="93" spans="8:34">
      <c r="H93" s="961"/>
      <c r="I93" s="961"/>
      <c r="Q93" s="961"/>
      <c r="R93" s="961"/>
      <c r="S93" s="961"/>
      <c r="T93" s="961"/>
      <c r="U93" s="961"/>
      <c r="V93" s="961"/>
      <c r="W93" s="961"/>
      <c r="X93" s="961"/>
      <c r="Y93" s="961"/>
      <c r="Z93" s="961"/>
      <c r="AA93" s="961"/>
      <c r="AB93" s="961"/>
      <c r="AC93" s="961"/>
      <c r="AD93" s="961"/>
      <c r="AE93" s="961"/>
      <c r="AF93" s="961"/>
      <c r="AG93" s="961"/>
      <c r="AH93" s="961"/>
    </row>
    <row r="94" spans="8:34">
      <c r="H94" s="961"/>
      <c r="I94" s="961"/>
      <c r="Q94" s="961"/>
      <c r="R94" s="961"/>
      <c r="S94" s="961"/>
      <c r="T94" s="961"/>
      <c r="U94" s="961"/>
      <c r="V94" s="961"/>
      <c r="W94" s="961"/>
      <c r="X94" s="961"/>
      <c r="Y94" s="961"/>
      <c r="Z94" s="961"/>
      <c r="AA94" s="961"/>
      <c r="AB94" s="961"/>
      <c r="AC94" s="961"/>
      <c r="AD94" s="961"/>
      <c r="AE94" s="961"/>
      <c r="AF94" s="961"/>
      <c r="AG94" s="961"/>
      <c r="AH94" s="961"/>
    </row>
    <row r="95" spans="8:34">
      <c r="H95" s="961"/>
      <c r="I95" s="961"/>
      <c r="Q95" s="961"/>
      <c r="R95" s="961"/>
      <c r="S95" s="961"/>
      <c r="T95" s="961"/>
      <c r="U95" s="961"/>
      <c r="V95" s="961"/>
      <c r="W95" s="961"/>
      <c r="X95" s="961"/>
      <c r="Y95" s="961"/>
      <c r="Z95" s="961"/>
      <c r="AA95" s="961"/>
      <c r="AB95" s="961"/>
      <c r="AC95" s="961"/>
      <c r="AD95" s="961"/>
      <c r="AE95" s="961"/>
      <c r="AF95" s="961"/>
      <c r="AG95" s="961"/>
      <c r="AH95" s="961"/>
    </row>
    <row r="96" spans="8:34">
      <c r="H96" s="961"/>
      <c r="I96" s="961"/>
      <c r="Q96" s="961"/>
      <c r="R96" s="961"/>
      <c r="S96" s="961"/>
      <c r="T96" s="961"/>
      <c r="U96" s="961"/>
      <c r="V96" s="961"/>
      <c r="W96" s="961"/>
      <c r="X96" s="961"/>
      <c r="Y96" s="961"/>
      <c r="Z96" s="961"/>
      <c r="AA96" s="961"/>
      <c r="AB96" s="961"/>
      <c r="AC96" s="961"/>
      <c r="AD96" s="961"/>
      <c r="AE96" s="961"/>
      <c r="AF96" s="961"/>
      <c r="AG96" s="961"/>
      <c r="AH96" s="961"/>
    </row>
    <row r="97" spans="8:34">
      <c r="H97" s="961"/>
      <c r="I97" s="961"/>
      <c r="Q97" s="961"/>
      <c r="R97" s="961"/>
      <c r="S97" s="961"/>
      <c r="T97" s="961"/>
      <c r="U97" s="961"/>
      <c r="V97" s="961"/>
      <c r="W97" s="961"/>
      <c r="X97" s="961"/>
      <c r="Y97" s="961"/>
      <c r="Z97" s="961"/>
      <c r="AA97" s="961"/>
      <c r="AB97" s="961"/>
      <c r="AC97" s="961"/>
      <c r="AD97" s="961"/>
      <c r="AE97" s="961"/>
      <c r="AF97" s="961"/>
      <c r="AG97" s="961"/>
      <c r="AH97" s="961"/>
    </row>
    <row r="98" spans="8:34">
      <c r="H98" s="961"/>
      <c r="I98" s="961"/>
      <c r="Q98" s="961"/>
      <c r="R98" s="961"/>
      <c r="S98" s="961"/>
      <c r="T98" s="961"/>
      <c r="U98" s="961"/>
      <c r="V98" s="961"/>
      <c r="W98" s="961"/>
      <c r="X98" s="961"/>
      <c r="Y98" s="961"/>
      <c r="Z98" s="961"/>
      <c r="AA98" s="961"/>
      <c r="AB98" s="961"/>
      <c r="AC98" s="961"/>
      <c r="AD98" s="961"/>
      <c r="AE98" s="961"/>
      <c r="AF98" s="961"/>
      <c r="AG98" s="961"/>
      <c r="AH98" s="961"/>
    </row>
  </sheetData>
  <mergeCells count="4">
    <mergeCell ref="AK3:AN3"/>
    <mergeCell ref="A57:AP57"/>
    <mergeCell ref="A56:AP56"/>
    <mergeCell ref="A53:AP53"/>
  </mergeCells>
  <phoneticPr fontId="35" type="noConversion"/>
  <pageMargins left="0.75" right="0.75" top="1" bottom="1" header="0.5" footer="0.5"/>
  <pageSetup scale="5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sheetPr codeName="Sheet102">
    <pageSetUpPr fitToPage="1"/>
  </sheetPr>
  <dimension ref="A1:AW98"/>
  <sheetViews>
    <sheetView view="pageBreakPreview" zoomScale="55" zoomScaleNormal="80" zoomScaleSheetLayoutView="55"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140625" style="1" customWidth="1"/>
    <col min="9" max="9" width="7.140625" style="1" customWidth="1"/>
    <col min="10" max="16" width="7.140625" style="961" hidden="1" customWidth="1"/>
    <col min="17" max="34" width="7.140625" style="1" customWidth="1"/>
    <col min="35" max="35" width="7.140625" style="961" customWidth="1"/>
    <col min="36" max="42" width="7.140625" style="1" customWidth="1"/>
    <col min="43" max="43" width="6" style="1" customWidth="1"/>
    <col min="44" max="16384" width="9.140625" style="1"/>
  </cols>
  <sheetData>
    <row r="1" spans="1:49" ht="15.75">
      <c r="A1" s="3" t="s">
        <v>2138</v>
      </c>
    </row>
    <row r="2" spans="1:49">
      <c r="A2" s="4"/>
      <c r="B2" s="4"/>
      <c r="I2" s="652"/>
      <c r="J2" s="960"/>
      <c r="K2" s="960"/>
      <c r="L2" s="960"/>
      <c r="M2" s="960"/>
      <c r="N2" s="960"/>
      <c r="O2" s="960"/>
      <c r="P2" s="960"/>
      <c r="Q2" s="652"/>
      <c r="R2" s="652"/>
      <c r="S2" s="652"/>
      <c r="T2" s="652"/>
      <c r="U2" s="652"/>
      <c r="V2" s="652"/>
      <c r="W2" s="652"/>
      <c r="X2" s="652"/>
      <c r="Y2" s="652"/>
      <c r="Z2" s="652"/>
      <c r="AA2" s="652"/>
      <c r="AB2" s="652"/>
      <c r="AC2" s="652"/>
      <c r="AD2" s="652"/>
      <c r="AE2" s="652"/>
      <c r="AF2" s="652"/>
      <c r="AG2" s="652"/>
    </row>
    <row r="3" spans="1:49">
      <c r="A3" s="9"/>
      <c r="B3" s="9"/>
      <c r="C3" s="9"/>
      <c r="D3" s="9"/>
      <c r="E3" s="9"/>
      <c r="F3" s="9"/>
      <c r="G3" s="9"/>
      <c r="H3" s="235"/>
      <c r="I3" s="665"/>
      <c r="J3" s="962"/>
      <c r="K3" s="962"/>
      <c r="L3" s="962"/>
      <c r="M3" s="962"/>
      <c r="N3" s="962"/>
      <c r="O3" s="962"/>
      <c r="P3" s="962"/>
      <c r="Q3" s="238"/>
      <c r="R3" s="666"/>
      <c r="S3" s="666"/>
      <c r="T3" s="666"/>
      <c r="U3" s="666"/>
      <c r="V3" s="666"/>
      <c r="W3" s="666"/>
      <c r="X3" s="666"/>
      <c r="Y3" s="666"/>
      <c r="Z3" s="666"/>
      <c r="AA3" s="666"/>
      <c r="AB3" s="666"/>
      <c r="AC3" s="666"/>
      <c r="AD3" s="666"/>
      <c r="AE3" s="666"/>
      <c r="AF3" s="666"/>
      <c r="AG3" s="666"/>
      <c r="AK3" s="1171" t="s">
        <v>802</v>
      </c>
      <c r="AL3" s="1171"/>
      <c r="AM3" s="1171"/>
      <c r="AN3" s="1171"/>
      <c r="AO3" s="9"/>
      <c r="AP3" s="644" t="s">
        <v>276</v>
      </c>
      <c r="AQ3" s="9"/>
    </row>
    <row r="4" spans="1:49" s="4" customFormat="1">
      <c r="A4" s="973"/>
      <c r="B4" s="973"/>
      <c r="C4" s="973"/>
      <c r="D4" s="973"/>
      <c r="E4" s="973"/>
      <c r="F4" s="973"/>
      <c r="G4" s="973"/>
      <c r="H4" s="7"/>
      <c r="I4" s="237">
        <v>1981</v>
      </c>
      <c r="J4" s="132"/>
      <c r="K4" s="132"/>
      <c r="L4" s="132"/>
      <c r="M4" s="132"/>
      <c r="N4" s="132"/>
      <c r="O4" s="132"/>
      <c r="P4" s="132"/>
      <c r="Q4" s="239">
        <v>1989</v>
      </c>
      <c r="R4" s="132">
        <v>1990</v>
      </c>
      <c r="S4" s="132">
        <v>1991</v>
      </c>
      <c r="T4" s="132">
        <v>1992</v>
      </c>
      <c r="U4" s="132">
        <v>1993</v>
      </c>
      <c r="V4" s="132">
        <v>1994</v>
      </c>
      <c r="W4" s="132">
        <v>1995</v>
      </c>
      <c r="X4" s="132">
        <v>1996</v>
      </c>
      <c r="Y4" s="132">
        <v>1997</v>
      </c>
      <c r="Z4" s="132">
        <v>1998</v>
      </c>
      <c r="AA4" s="132">
        <v>1999</v>
      </c>
      <c r="AB4" s="132">
        <v>2000</v>
      </c>
      <c r="AC4" s="132">
        <v>2001</v>
      </c>
      <c r="AD4" s="132">
        <v>2002</v>
      </c>
      <c r="AE4" s="132">
        <v>2003</v>
      </c>
      <c r="AF4" s="132">
        <v>2004</v>
      </c>
      <c r="AG4" s="132">
        <v>2005</v>
      </c>
      <c r="AH4" s="132">
        <v>2006</v>
      </c>
      <c r="AI4" s="132">
        <v>2007</v>
      </c>
      <c r="AJ4" s="132"/>
      <c r="AK4" s="241" t="s">
        <v>603</v>
      </c>
      <c r="AL4" s="241" t="s">
        <v>604</v>
      </c>
      <c r="AM4" s="241" t="s">
        <v>447</v>
      </c>
      <c r="AN4" s="241" t="s">
        <v>449</v>
      </c>
      <c r="AO4" s="1007"/>
      <c r="AP4" s="241" t="s">
        <v>447</v>
      </c>
      <c r="AQ4" s="9"/>
    </row>
    <row r="5" spans="1:49" ht="15">
      <c r="A5" s="128" t="s">
        <v>964</v>
      </c>
      <c r="H5" s="2"/>
      <c r="I5" s="20">
        <v>44800</v>
      </c>
      <c r="J5" s="19">
        <v>43400</v>
      </c>
      <c r="K5" s="19">
        <v>41800</v>
      </c>
      <c r="L5" s="19">
        <v>42300</v>
      </c>
      <c r="M5" s="19">
        <v>42400</v>
      </c>
      <c r="N5" s="19">
        <v>42200</v>
      </c>
      <c r="O5" s="19">
        <v>42000</v>
      </c>
      <c r="P5" s="39">
        <v>43100</v>
      </c>
      <c r="Q5" s="240">
        <v>43700</v>
      </c>
      <c r="R5" s="19">
        <v>41900</v>
      </c>
      <c r="S5" s="19">
        <v>39700</v>
      </c>
      <c r="T5" s="19">
        <v>40100</v>
      </c>
      <c r="U5" s="19">
        <v>39100</v>
      </c>
      <c r="V5" s="19">
        <v>39300</v>
      </c>
      <c r="W5" s="19">
        <v>39300</v>
      </c>
      <c r="X5" s="19">
        <v>38700</v>
      </c>
      <c r="Y5" s="19">
        <v>38500</v>
      </c>
      <c r="Z5" s="19">
        <v>39500</v>
      </c>
      <c r="AA5" s="19">
        <v>41300</v>
      </c>
      <c r="AB5" s="19">
        <v>41600</v>
      </c>
      <c r="AC5" s="19">
        <v>43300</v>
      </c>
      <c r="AD5" s="19">
        <v>43200</v>
      </c>
      <c r="AE5" s="19">
        <v>43200</v>
      </c>
      <c r="AF5" s="19">
        <v>43500</v>
      </c>
      <c r="AG5" s="19">
        <v>44500</v>
      </c>
      <c r="AH5" s="19">
        <v>45400</v>
      </c>
      <c r="AI5" s="19">
        <v>46700</v>
      </c>
      <c r="AJ5" s="19"/>
      <c r="AK5" s="959">
        <f>((((Q5/I5))^(1/8))-1)*100</f>
        <v>-0.31026813697340172</v>
      </c>
      <c r="AL5" s="959">
        <f>((((AB5/Q5))^(1/11))-1)*100</f>
        <v>-0.44670777798969663</v>
      </c>
      <c r="AM5" s="959">
        <f>((((AI5/I5))^(1/26))-1)*100</f>
        <v>0.15988161787559019</v>
      </c>
      <c r="AN5" s="959">
        <f>((((AI5/AB5))^(1/7))-1)*100</f>
        <v>1.6657790297555986</v>
      </c>
      <c r="AO5" s="23"/>
      <c r="AP5" s="959">
        <f>((AI5/I5)-1)*100</f>
        <v>4.2410714285714191</v>
      </c>
      <c r="AR5" s="800"/>
      <c r="AS5" s="800"/>
      <c r="AT5" s="800"/>
      <c r="AU5" s="800"/>
      <c r="AV5" s="800"/>
      <c r="AW5" s="800"/>
    </row>
    <row r="6" spans="1:49" ht="15">
      <c r="H6" s="2"/>
      <c r="I6" s="20"/>
      <c r="J6" s="39"/>
      <c r="K6" s="39"/>
      <c r="L6" s="39"/>
      <c r="M6" s="39"/>
      <c r="N6" s="39"/>
      <c r="O6" s="39"/>
      <c r="P6" s="39"/>
      <c r="Q6" s="240"/>
      <c r="R6" s="19"/>
      <c r="S6" s="19"/>
      <c r="T6" s="19"/>
      <c r="U6" s="19"/>
      <c r="V6" s="19"/>
      <c r="W6" s="19"/>
      <c r="X6" s="19"/>
      <c r="Y6" s="19"/>
      <c r="Z6" s="19"/>
      <c r="AA6" s="19"/>
      <c r="AB6" s="19"/>
      <c r="AC6" s="19"/>
      <c r="AD6" s="19"/>
      <c r="AE6" s="19"/>
      <c r="AF6" s="19"/>
      <c r="AG6" s="19"/>
      <c r="AH6" s="19"/>
      <c r="AI6" s="19"/>
      <c r="AJ6" s="36"/>
      <c r="AK6" s="960"/>
      <c r="AL6" s="960"/>
      <c r="AM6" s="960"/>
      <c r="AN6" s="960"/>
      <c r="AO6" s="4"/>
      <c r="AP6" s="960"/>
      <c r="AR6" s="800"/>
      <c r="AS6" s="800"/>
      <c r="AT6" s="800"/>
      <c r="AU6" s="800"/>
      <c r="AV6" s="800"/>
      <c r="AW6" s="800"/>
    </row>
    <row r="7" spans="1:49" ht="15">
      <c r="B7" s="128" t="s">
        <v>610</v>
      </c>
      <c r="H7" s="2"/>
      <c r="I7" s="20">
        <v>54400</v>
      </c>
      <c r="J7" s="19">
        <v>52500</v>
      </c>
      <c r="K7" s="19">
        <v>51000</v>
      </c>
      <c r="L7" s="19">
        <v>51800</v>
      </c>
      <c r="M7" s="19">
        <v>52400</v>
      </c>
      <c r="N7" s="19">
        <v>52600</v>
      </c>
      <c r="O7" s="19">
        <v>52500</v>
      </c>
      <c r="P7" s="39">
        <v>54000</v>
      </c>
      <c r="Q7" s="240">
        <v>54800</v>
      </c>
      <c r="R7" s="19">
        <v>52700</v>
      </c>
      <c r="S7" s="19">
        <v>50700</v>
      </c>
      <c r="T7" s="19">
        <v>51100</v>
      </c>
      <c r="U7" s="19">
        <v>49500</v>
      </c>
      <c r="V7" s="19">
        <v>50400</v>
      </c>
      <c r="W7" s="19">
        <v>49900</v>
      </c>
      <c r="X7" s="19">
        <v>49800</v>
      </c>
      <c r="Y7" s="19">
        <v>50100</v>
      </c>
      <c r="Z7" s="19">
        <v>52000</v>
      </c>
      <c r="AA7" s="19">
        <v>53700</v>
      </c>
      <c r="AB7" s="19">
        <v>54600</v>
      </c>
      <c r="AC7" s="19">
        <v>56800</v>
      </c>
      <c r="AD7" s="19">
        <v>56700</v>
      </c>
      <c r="AE7" s="19">
        <v>56700</v>
      </c>
      <c r="AF7" s="19">
        <v>57400</v>
      </c>
      <c r="AG7" s="19">
        <v>58400</v>
      </c>
      <c r="AH7" s="19">
        <v>59600</v>
      </c>
      <c r="AI7" s="19">
        <v>61800</v>
      </c>
      <c r="AJ7" s="19"/>
      <c r="AK7" s="959">
        <f>((((Q7/I7))^(1/8))-1)*100</f>
        <v>9.1617444315206242E-2</v>
      </c>
      <c r="AL7" s="959">
        <f>((((AB7/Q7))^(1/11))-1)*100</f>
        <v>-3.3233669147891831E-2</v>
      </c>
      <c r="AM7" s="959">
        <f>((((AI7/I7))^(1/26))-1)*100</f>
        <v>0.49174052007552316</v>
      </c>
      <c r="AN7" s="959">
        <f>((((AI7/AB7))^(1/7))-1)*100</f>
        <v>1.7853135709336332</v>
      </c>
      <c r="AO7" s="23"/>
      <c r="AP7" s="959">
        <f>((AI7/I7)-1)*100</f>
        <v>13.602941176470583</v>
      </c>
      <c r="AR7" s="800"/>
      <c r="AS7" s="800"/>
      <c r="AT7" s="800"/>
      <c r="AU7" s="800"/>
      <c r="AV7" s="800"/>
      <c r="AW7" s="800"/>
    </row>
    <row r="8" spans="1:49" ht="15">
      <c r="B8" s="128"/>
      <c r="H8" s="2"/>
      <c r="I8" s="20"/>
      <c r="J8" s="39"/>
      <c r="K8" s="39"/>
      <c r="L8" s="39"/>
      <c r="M8" s="39"/>
      <c r="N8" s="39"/>
      <c r="O8" s="39"/>
      <c r="P8" s="39"/>
      <c r="Q8" s="240"/>
      <c r="R8" s="19"/>
      <c r="S8" s="19"/>
      <c r="T8" s="19"/>
      <c r="U8" s="19"/>
      <c r="V8" s="19"/>
      <c r="W8" s="19"/>
      <c r="X8" s="19"/>
      <c r="Y8" s="19"/>
      <c r="Z8" s="19"/>
      <c r="AA8" s="19"/>
      <c r="AB8" s="19"/>
      <c r="AC8" s="19"/>
      <c r="AD8" s="19"/>
      <c r="AE8" s="19"/>
      <c r="AF8" s="19"/>
      <c r="AG8" s="19"/>
      <c r="AH8" s="19"/>
      <c r="AI8" s="19"/>
      <c r="AJ8" s="19"/>
      <c r="AK8" s="960"/>
      <c r="AL8" s="960"/>
      <c r="AM8" s="960"/>
      <c r="AN8" s="960"/>
      <c r="AO8" s="4"/>
      <c r="AP8" s="960"/>
      <c r="AR8" s="800"/>
      <c r="AS8" s="800"/>
      <c r="AT8" s="800"/>
      <c r="AU8" s="800"/>
      <c r="AV8" s="800"/>
      <c r="AW8" s="800"/>
    </row>
    <row r="9" spans="1:49" ht="15">
      <c r="C9" s="128" t="s">
        <v>921</v>
      </c>
      <c r="H9" s="2"/>
      <c r="I9" s="20">
        <v>32900</v>
      </c>
      <c r="J9" s="19">
        <v>34900</v>
      </c>
      <c r="K9" s="19">
        <v>33100</v>
      </c>
      <c r="L9" s="19">
        <v>33500</v>
      </c>
      <c r="M9" s="19">
        <v>34900</v>
      </c>
      <c r="N9" s="19">
        <v>35300</v>
      </c>
      <c r="O9" s="19">
        <v>35300</v>
      </c>
      <c r="P9" s="39">
        <v>35800</v>
      </c>
      <c r="Q9" s="240">
        <v>38200</v>
      </c>
      <c r="R9" s="19">
        <v>39700</v>
      </c>
      <c r="S9" s="19">
        <v>37100</v>
      </c>
      <c r="T9" s="19">
        <v>37300</v>
      </c>
      <c r="U9" s="19">
        <v>36700</v>
      </c>
      <c r="V9" s="19">
        <v>37400</v>
      </c>
      <c r="W9" s="19">
        <v>38200</v>
      </c>
      <c r="X9" s="19">
        <v>37500</v>
      </c>
      <c r="Y9" s="19">
        <v>37000</v>
      </c>
      <c r="Z9" s="19">
        <v>36800</v>
      </c>
      <c r="AA9" s="19">
        <v>38300</v>
      </c>
      <c r="AB9" s="19">
        <v>38300</v>
      </c>
      <c r="AC9" s="19">
        <v>39800</v>
      </c>
      <c r="AD9" s="19">
        <v>40500</v>
      </c>
      <c r="AE9" s="19">
        <v>40100</v>
      </c>
      <c r="AF9" s="19">
        <v>40900</v>
      </c>
      <c r="AG9" s="19">
        <v>42100</v>
      </c>
      <c r="AH9" s="19">
        <v>43400</v>
      </c>
      <c r="AI9" s="19">
        <v>44900</v>
      </c>
      <c r="AJ9" s="19"/>
      <c r="AK9" s="959">
        <f>((((Q9/I9))^(1/8))-1)*100</f>
        <v>1.8845738124052325</v>
      </c>
      <c r="AL9" s="959">
        <f>((((AB9/Q9))^(1/11))-1)*100</f>
        <v>2.3769920725968952E-2</v>
      </c>
      <c r="AM9" s="959">
        <f>((((AI9/I9))^(1/26))-1)*100</f>
        <v>1.2032006737420442</v>
      </c>
      <c r="AN9" s="959">
        <f>((((AI9/AB9))^(1/7))-1)*100</f>
        <v>2.2972450948094636</v>
      </c>
      <c r="AO9" s="23"/>
      <c r="AP9" s="959">
        <f>((AI9/I9)-1)*100</f>
        <v>36.474164133738604</v>
      </c>
      <c r="AR9" s="800"/>
      <c r="AS9" s="800"/>
      <c r="AT9" s="800"/>
      <c r="AU9" s="800"/>
      <c r="AV9" s="800"/>
      <c r="AW9" s="800"/>
    </row>
    <row r="10" spans="1:49" ht="15">
      <c r="C10" s="1" t="s">
        <v>611</v>
      </c>
      <c r="H10" s="2"/>
      <c r="I10" s="20">
        <v>29400</v>
      </c>
      <c r="J10" s="19">
        <v>31700</v>
      </c>
      <c r="K10" s="19">
        <v>29800</v>
      </c>
      <c r="L10" s="19">
        <v>30700</v>
      </c>
      <c r="M10" s="19">
        <v>30600</v>
      </c>
      <c r="N10" s="19">
        <v>31200</v>
      </c>
      <c r="O10" s="19">
        <v>31000</v>
      </c>
      <c r="P10" s="39">
        <v>31900</v>
      </c>
      <c r="Q10" s="240">
        <v>34300</v>
      </c>
      <c r="R10" s="19">
        <v>35400</v>
      </c>
      <c r="S10" s="19">
        <v>33400</v>
      </c>
      <c r="T10" s="19">
        <v>34000</v>
      </c>
      <c r="U10" s="19">
        <v>34400</v>
      </c>
      <c r="V10" s="19">
        <v>34700</v>
      </c>
      <c r="W10" s="19">
        <v>35900</v>
      </c>
      <c r="X10" s="19">
        <v>35200</v>
      </c>
      <c r="Y10" s="19">
        <v>35400</v>
      </c>
      <c r="Z10" s="19">
        <v>35900</v>
      </c>
      <c r="AA10" s="19">
        <v>37700</v>
      </c>
      <c r="AB10" s="19">
        <v>37700</v>
      </c>
      <c r="AC10" s="19">
        <v>39000</v>
      </c>
      <c r="AD10" s="19">
        <v>39700</v>
      </c>
      <c r="AE10" s="19">
        <v>39600</v>
      </c>
      <c r="AF10" s="19">
        <v>40700</v>
      </c>
      <c r="AG10" s="19">
        <v>40600</v>
      </c>
      <c r="AH10" s="19">
        <v>42400</v>
      </c>
      <c r="AI10" s="19">
        <v>44100</v>
      </c>
      <c r="AJ10" s="19"/>
      <c r="AK10" s="959">
        <f>((((Q10/I10))^(1/8))-1)*100</f>
        <v>1.9455677126480886</v>
      </c>
      <c r="AL10" s="959">
        <f>((((AB10/Q10))^(1/11))-1)*100</f>
        <v>0.8629268439446669</v>
      </c>
      <c r="AM10" s="959">
        <f>((((AI10/I10))^(1/26))-1)*100</f>
        <v>1.5717045505649008</v>
      </c>
      <c r="AN10" s="959">
        <f>((((AI10/AB10))^(1/7))-1)*100</f>
        <v>2.2652718193370447</v>
      </c>
      <c r="AO10" s="23"/>
      <c r="AP10" s="959">
        <f>((AI10/I10)-1)*100</f>
        <v>50</v>
      </c>
      <c r="AR10" s="800"/>
      <c r="AS10" s="800"/>
      <c r="AT10" s="800"/>
      <c r="AU10" s="800"/>
      <c r="AV10" s="800"/>
      <c r="AW10" s="800"/>
    </row>
    <row r="11" spans="1:49" ht="15">
      <c r="C11" s="1" t="s">
        <v>612</v>
      </c>
      <c r="H11" s="2"/>
      <c r="I11" s="20">
        <v>44700</v>
      </c>
      <c r="J11" s="19">
        <v>45200</v>
      </c>
      <c r="K11" s="19">
        <v>42000</v>
      </c>
      <c r="L11" s="19">
        <v>42400</v>
      </c>
      <c r="M11" s="19">
        <v>46700</v>
      </c>
      <c r="N11" s="19">
        <v>46900</v>
      </c>
      <c r="O11" s="19">
        <v>45800</v>
      </c>
      <c r="P11" s="39">
        <v>48200</v>
      </c>
      <c r="Q11" s="240">
        <v>50900</v>
      </c>
      <c r="R11" s="19">
        <v>51400</v>
      </c>
      <c r="S11" s="19">
        <v>51200</v>
      </c>
      <c r="T11" s="19">
        <v>47700</v>
      </c>
      <c r="U11" s="19">
        <v>45500</v>
      </c>
      <c r="V11" s="19">
        <v>46400</v>
      </c>
      <c r="W11" s="19">
        <v>46400</v>
      </c>
      <c r="X11" s="19">
        <v>45200</v>
      </c>
      <c r="Y11" s="19">
        <v>43800</v>
      </c>
      <c r="Z11" s="19">
        <v>39500</v>
      </c>
      <c r="AA11" s="19">
        <v>40800</v>
      </c>
      <c r="AB11" s="19">
        <v>42000</v>
      </c>
      <c r="AC11" s="19">
        <v>42800</v>
      </c>
      <c r="AD11" s="19">
        <v>43200</v>
      </c>
      <c r="AE11" s="19">
        <v>42200</v>
      </c>
      <c r="AF11" s="19">
        <v>42700</v>
      </c>
      <c r="AG11" s="19">
        <v>47500</v>
      </c>
      <c r="AH11" s="19">
        <v>47800</v>
      </c>
      <c r="AI11" s="19">
        <v>49500</v>
      </c>
      <c r="AJ11" s="19"/>
      <c r="AK11" s="959">
        <f>((((Q11/I11))^(1/8))-1)*100</f>
        <v>1.6368700726739238</v>
      </c>
      <c r="AL11" s="959">
        <f>((((AB11/Q11))^(1/11))-1)*100</f>
        <v>-1.7320366293068212</v>
      </c>
      <c r="AM11" s="959">
        <f>((((AI11/I11))^(1/26))-1)*100</f>
        <v>0.39307501347494167</v>
      </c>
      <c r="AN11" s="959">
        <f>((((AI11/AB11))^(1/7))-1)*100</f>
        <v>2.3749496606933596</v>
      </c>
      <c r="AO11" s="23"/>
      <c r="AP11" s="959">
        <f>((AI11/I11)-1)*100</f>
        <v>10.738255033557053</v>
      </c>
      <c r="AR11" s="800"/>
      <c r="AS11" s="800"/>
      <c r="AT11" s="800"/>
      <c r="AU11" s="800"/>
      <c r="AV11" s="800"/>
      <c r="AW11" s="800"/>
    </row>
    <row r="12" spans="1:49" ht="15">
      <c r="H12" s="2"/>
      <c r="I12" s="20"/>
      <c r="J12" s="39"/>
      <c r="K12" s="39"/>
      <c r="L12" s="39"/>
      <c r="M12" s="39"/>
      <c r="N12" s="39"/>
      <c r="O12" s="39"/>
      <c r="P12" s="39"/>
      <c r="Q12" s="240"/>
      <c r="R12" s="19"/>
      <c r="S12" s="19"/>
      <c r="T12" s="19"/>
      <c r="U12" s="19"/>
      <c r="V12" s="19"/>
      <c r="W12" s="19"/>
      <c r="X12" s="19"/>
      <c r="Y12" s="19"/>
      <c r="Z12" s="19"/>
      <c r="AA12" s="19"/>
      <c r="AB12" s="19"/>
      <c r="AC12" s="19"/>
      <c r="AD12" s="19"/>
      <c r="AE12" s="19"/>
      <c r="AF12" s="19"/>
      <c r="AG12" s="19"/>
      <c r="AH12" s="19"/>
      <c r="AI12" s="19"/>
      <c r="AJ12" s="19"/>
      <c r="AK12" s="960"/>
      <c r="AL12" s="960"/>
      <c r="AM12" s="960"/>
      <c r="AN12" s="960"/>
      <c r="AO12" s="4"/>
      <c r="AP12" s="960"/>
      <c r="AR12" s="800"/>
      <c r="AS12" s="800"/>
      <c r="AT12" s="800"/>
      <c r="AU12" s="800"/>
      <c r="AV12" s="800"/>
      <c r="AW12" s="800"/>
    </row>
    <row r="13" spans="1:49" ht="15">
      <c r="C13" s="128" t="s">
        <v>922</v>
      </c>
      <c r="H13" s="2"/>
      <c r="I13" s="20">
        <v>56800</v>
      </c>
      <c r="J13" s="19">
        <v>54700</v>
      </c>
      <c r="K13" s="19">
        <v>53400</v>
      </c>
      <c r="L13" s="19">
        <v>54000</v>
      </c>
      <c r="M13" s="19">
        <v>54900</v>
      </c>
      <c r="N13" s="19">
        <v>55200</v>
      </c>
      <c r="O13" s="19">
        <v>55100</v>
      </c>
      <c r="P13" s="39">
        <v>56600</v>
      </c>
      <c r="Q13" s="240">
        <v>56900</v>
      </c>
      <c r="R13" s="19">
        <v>55100</v>
      </c>
      <c r="S13" s="19">
        <v>53000</v>
      </c>
      <c r="T13" s="19">
        <v>53700</v>
      </c>
      <c r="U13" s="19">
        <v>51900</v>
      </c>
      <c r="V13" s="19">
        <v>52800</v>
      </c>
      <c r="W13" s="19">
        <v>52400</v>
      </c>
      <c r="X13" s="19">
        <v>52600</v>
      </c>
      <c r="Y13" s="19">
        <v>52900</v>
      </c>
      <c r="Z13" s="19">
        <v>55200</v>
      </c>
      <c r="AA13" s="19">
        <v>56700</v>
      </c>
      <c r="AB13" s="19">
        <v>57800</v>
      </c>
      <c r="AC13" s="19">
        <v>60400</v>
      </c>
      <c r="AD13" s="19">
        <v>60000</v>
      </c>
      <c r="AE13" s="19">
        <v>60300</v>
      </c>
      <c r="AF13" s="19">
        <v>61200</v>
      </c>
      <c r="AG13" s="19">
        <v>62200</v>
      </c>
      <c r="AH13" s="19">
        <v>63300</v>
      </c>
      <c r="AI13" s="19">
        <v>65500</v>
      </c>
      <c r="AJ13" s="19"/>
      <c r="AK13" s="959">
        <f>((((Q13/I13))^(1/8))-1)*100</f>
        <v>2.1990110035052801E-2</v>
      </c>
      <c r="AL13" s="959">
        <f>((((AB13/Q13))^(1/11))-1)*100</f>
        <v>0.14276940539879046</v>
      </c>
      <c r="AM13" s="959">
        <f>((((AI13/I13))^(1/26))-1)*100</f>
        <v>0.54963504639056193</v>
      </c>
      <c r="AN13" s="959">
        <f>((((AI13/AB13))^(1/7))-1)*100</f>
        <v>1.8026459627534575</v>
      </c>
      <c r="AO13" s="23"/>
      <c r="AP13" s="959">
        <f>((AI13/I13)-1)*100</f>
        <v>15.3169014084507</v>
      </c>
      <c r="AR13" s="800"/>
      <c r="AS13" s="800"/>
      <c r="AT13" s="800"/>
      <c r="AU13" s="800"/>
      <c r="AV13" s="800"/>
      <c r="AW13" s="800"/>
    </row>
    <row r="14" spans="1:49" ht="15">
      <c r="C14" s="128"/>
      <c r="H14" s="2"/>
      <c r="I14" s="20"/>
      <c r="J14" s="39"/>
      <c r="K14" s="39"/>
      <c r="L14" s="39"/>
      <c r="M14" s="39"/>
      <c r="N14" s="39"/>
      <c r="O14" s="39"/>
      <c r="P14" s="39"/>
      <c r="Q14" s="240"/>
      <c r="R14" s="19"/>
      <c r="S14" s="19"/>
      <c r="T14" s="19"/>
      <c r="U14" s="19"/>
      <c r="V14" s="19"/>
      <c r="W14" s="19"/>
      <c r="X14" s="19"/>
      <c r="Y14" s="19"/>
      <c r="Z14" s="19"/>
      <c r="AA14" s="19"/>
      <c r="AB14" s="19"/>
      <c r="AC14" s="19"/>
      <c r="AD14" s="19"/>
      <c r="AE14" s="19"/>
      <c r="AF14" s="19"/>
      <c r="AG14" s="19"/>
      <c r="AH14" s="19"/>
      <c r="AI14" s="19"/>
      <c r="AJ14" s="19"/>
      <c r="AK14" s="960"/>
      <c r="AL14" s="960"/>
      <c r="AM14" s="960"/>
      <c r="AN14" s="960"/>
      <c r="AO14" s="4"/>
      <c r="AP14" s="960"/>
      <c r="AR14" s="800"/>
      <c r="AS14" s="800"/>
      <c r="AT14" s="800"/>
      <c r="AU14" s="800"/>
      <c r="AV14" s="800"/>
      <c r="AW14" s="800"/>
    </row>
    <row r="15" spans="1:49" ht="15">
      <c r="D15" s="128" t="s">
        <v>923</v>
      </c>
      <c r="H15" s="2"/>
      <c r="I15" s="20">
        <v>55100</v>
      </c>
      <c r="J15" s="19">
        <v>51700</v>
      </c>
      <c r="K15" s="19">
        <v>51200</v>
      </c>
      <c r="L15" s="19">
        <v>51500</v>
      </c>
      <c r="M15" s="19">
        <v>51600</v>
      </c>
      <c r="N15" s="19">
        <v>50800</v>
      </c>
      <c r="O15" s="19">
        <v>51200</v>
      </c>
      <c r="P15" s="39">
        <v>52700</v>
      </c>
      <c r="Q15" s="240">
        <v>52500</v>
      </c>
      <c r="R15" s="19">
        <v>50700</v>
      </c>
      <c r="S15" s="19">
        <v>49200</v>
      </c>
      <c r="T15" s="19">
        <v>50500</v>
      </c>
      <c r="U15" s="19">
        <v>48800</v>
      </c>
      <c r="V15" s="19">
        <v>49100</v>
      </c>
      <c r="W15" s="19">
        <v>48400</v>
      </c>
      <c r="X15" s="19">
        <v>48700</v>
      </c>
      <c r="Y15" s="19">
        <v>48800</v>
      </c>
      <c r="Z15" s="19">
        <v>50600</v>
      </c>
      <c r="AA15" s="19">
        <v>52500</v>
      </c>
      <c r="AB15" s="19">
        <v>53500</v>
      </c>
      <c r="AC15" s="19">
        <v>55500</v>
      </c>
      <c r="AD15" s="19">
        <v>55100</v>
      </c>
      <c r="AE15" s="19">
        <v>55100</v>
      </c>
      <c r="AF15" s="19">
        <v>56400</v>
      </c>
      <c r="AG15" s="19">
        <v>58100</v>
      </c>
      <c r="AH15" s="19">
        <v>59200</v>
      </c>
      <c r="AI15" s="19">
        <v>61000</v>
      </c>
      <c r="AJ15" s="19"/>
      <c r="AK15" s="959">
        <f>((((Q15/I15))^(1/8))-1)*100</f>
        <v>-0.60238517324565644</v>
      </c>
      <c r="AL15" s="959">
        <f>((((AB15/Q15))^(1/11))-1)*100</f>
        <v>0.17167887522557823</v>
      </c>
      <c r="AM15" s="959">
        <f>((((AI15/I15))^(1/26))-1)*100</f>
        <v>0.39201309226304382</v>
      </c>
      <c r="AN15" s="959">
        <f>((((AI15/AB15))^(1/7))-1)*100</f>
        <v>1.8918473157006233</v>
      </c>
      <c r="AO15" s="23"/>
      <c r="AP15" s="959">
        <f>((AI15/I15)-1)*100</f>
        <v>10.707803992740473</v>
      </c>
      <c r="AR15" s="800"/>
      <c r="AS15" s="800"/>
      <c r="AT15" s="800"/>
      <c r="AU15" s="800"/>
      <c r="AV15" s="800"/>
      <c r="AW15" s="800"/>
    </row>
    <row r="16" spans="1:49" ht="15">
      <c r="D16" s="1" t="s">
        <v>613</v>
      </c>
      <c r="H16" s="2"/>
      <c r="I16" s="20">
        <v>21600</v>
      </c>
      <c r="J16" s="19">
        <v>22200</v>
      </c>
      <c r="K16" s="19">
        <v>22900</v>
      </c>
      <c r="L16" s="19">
        <v>21700</v>
      </c>
      <c r="M16" s="19">
        <v>25700</v>
      </c>
      <c r="N16" s="19">
        <v>24300</v>
      </c>
      <c r="O16" s="19">
        <v>24700</v>
      </c>
      <c r="P16" s="39">
        <v>24700</v>
      </c>
      <c r="Q16" s="240">
        <v>26500</v>
      </c>
      <c r="R16" s="19">
        <v>28000</v>
      </c>
      <c r="S16" s="19">
        <v>24100</v>
      </c>
      <c r="T16" s="19">
        <v>25000</v>
      </c>
      <c r="U16" s="19">
        <v>24900</v>
      </c>
      <c r="V16" s="19">
        <v>25200</v>
      </c>
      <c r="W16" s="19">
        <v>26000</v>
      </c>
      <c r="X16" s="19">
        <v>25500</v>
      </c>
      <c r="Y16" s="19">
        <v>24800</v>
      </c>
      <c r="Z16" s="19">
        <v>27800</v>
      </c>
      <c r="AA16" s="19">
        <v>27600</v>
      </c>
      <c r="AB16" s="19">
        <v>29400</v>
      </c>
      <c r="AC16" s="19">
        <v>30300</v>
      </c>
      <c r="AD16" s="19">
        <v>28900</v>
      </c>
      <c r="AE16" s="19">
        <v>29100</v>
      </c>
      <c r="AF16" s="19">
        <v>28100</v>
      </c>
      <c r="AG16" s="19">
        <v>29000</v>
      </c>
      <c r="AH16" s="19">
        <v>31000</v>
      </c>
      <c r="AI16" s="19">
        <v>33300</v>
      </c>
      <c r="AJ16" s="19"/>
      <c r="AK16" s="959">
        <f>((((Q16/I16))^(1/8))-1)*100</f>
        <v>2.5885792590069512</v>
      </c>
      <c r="AL16" s="959">
        <f>((((AB16/Q16))^(1/11))-1)*100</f>
        <v>0.94856096685180802</v>
      </c>
      <c r="AM16" s="959">
        <f>((((AI16/I16))^(1/26))-1)*100</f>
        <v>1.6787979112440787</v>
      </c>
      <c r="AN16" s="959">
        <f>((((AI16/AB16))^(1/7))-1)*100</f>
        <v>1.7953943194296551</v>
      </c>
      <c r="AO16" s="23"/>
      <c r="AP16" s="959">
        <f>((AI16/I16)-1)*100</f>
        <v>54.166666666666671</v>
      </c>
      <c r="AR16" s="800"/>
      <c r="AS16" s="800"/>
      <c r="AT16" s="800"/>
      <c r="AU16" s="800"/>
      <c r="AV16" s="800"/>
      <c r="AW16" s="800"/>
    </row>
    <row r="17" spans="1:49" ht="15">
      <c r="D17" s="1" t="s">
        <v>614</v>
      </c>
      <c r="H17" s="2"/>
      <c r="I17" s="20">
        <v>42100</v>
      </c>
      <c r="J17" s="19">
        <v>41400</v>
      </c>
      <c r="K17" s="19">
        <v>42500</v>
      </c>
      <c r="L17" s="19">
        <v>40900</v>
      </c>
      <c r="M17" s="19">
        <v>44700</v>
      </c>
      <c r="N17" s="19">
        <v>42700</v>
      </c>
      <c r="O17" s="19">
        <v>41000</v>
      </c>
      <c r="P17" s="39">
        <v>41600</v>
      </c>
      <c r="Q17" s="240">
        <v>44000</v>
      </c>
      <c r="R17" s="19">
        <v>41900</v>
      </c>
      <c r="S17" s="19">
        <v>39500</v>
      </c>
      <c r="T17" s="19">
        <v>41900</v>
      </c>
      <c r="U17" s="19">
        <v>39600</v>
      </c>
      <c r="V17" s="19">
        <v>39700</v>
      </c>
      <c r="W17" s="19">
        <v>40300</v>
      </c>
      <c r="X17" s="19">
        <v>41400</v>
      </c>
      <c r="Y17" s="19">
        <v>39500</v>
      </c>
      <c r="Z17" s="19">
        <v>40300</v>
      </c>
      <c r="AA17" s="19">
        <v>44100</v>
      </c>
      <c r="AB17" s="19">
        <v>42200</v>
      </c>
      <c r="AC17" s="19">
        <v>44600</v>
      </c>
      <c r="AD17" s="19">
        <v>44400</v>
      </c>
      <c r="AE17" s="19">
        <v>44400</v>
      </c>
      <c r="AF17" s="19">
        <v>46600</v>
      </c>
      <c r="AG17" s="19">
        <v>49400</v>
      </c>
      <c r="AH17" s="19">
        <v>47900</v>
      </c>
      <c r="AI17" s="19">
        <v>48700</v>
      </c>
      <c r="AJ17" s="19"/>
      <c r="AK17" s="959">
        <f>((((Q17/I17))^(1/8))-1)*100</f>
        <v>0.55329873995948464</v>
      </c>
      <c r="AL17" s="959">
        <f>((((AB17/Q17))^(1/11))-1)*100</f>
        <v>-0.37900190316010329</v>
      </c>
      <c r="AM17" s="959">
        <f>((((AI17/I17))^(1/26))-1)*100</f>
        <v>0.56169195077147016</v>
      </c>
      <c r="AN17" s="959">
        <f>((((AI17/AB17))^(1/7))-1)*100</f>
        <v>2.0676399363896314</v>
      </c>
      <c r="AO17" s="23"/>
      <c r="AP17" s="959">
        <f>((AI17/I17)-1)*100</f>
        <v>15.676959619952502</v>
      </c>
      <c r="AR17" s="800"/>
      <c r="AS17" s="800"/>
      <c r="AT17" s="800"/>
      <c r="AU17" s="800"/>
      <c r="AV17" s="800"/>
      <c r="AW17" s="800"/>
    </row>
    <row r="18" spans="1:49" ht="15">
      <c r="D18" s="1" t="s">
        <v>615</v>
      </c>
      <c r="H18" s="2"/>
      <c r="I18" s="20">
        <v>61800</v>
      </c>
      <c r="J18" s="19">
        <v>58400</v>
      </c>
      <c r="K18" s="19">
        <v>57700</v>
      </c>
      <c r="L18" s="19">
        <v>58100</v>
      </c>
      <c r="M18" s="19">
        <v>57000</v>
      </c>
      <c r="N18" s="19">
        <v>57000</v>
      </c>
      <c r="O18" s="19">
        <v>57600</v>
      </c>
      <c r="P18" s="39">
        <v>58800</v>
      </c>
      <c r="Q18" s="240">
        <v>58200</v>
      </c>
      <c r="R18" s="19">
        <v>56900</v>
      </c>
      <c r="S18" s="19">
        <v>57400</v>
      </c>
      <c r="T18" s="19">
        <v>58400</v>
      </c>
      <c r="U18" s="19">
        <v>56900</v>
      </c>
      <c r="V18" s="19">
        <v>56900</v>
      </c>
      <c r="W18" s="19">
        <v>56000</v>
      </c>
      <c r="X18" s="19">
        <v>57400</v>
      </c>
      <c r="Y18" s="19">
        <v>57300</v>
      </c>
      <c r="Z18" s="19">
        <v>59900</v>
      </c>
      <c r="AA18" s="19">
        <v>60500</v>
      </c>
      <c r="AB18" s="19">
        <v>60200</v>
      </c>
      <c r="AC18" s="19">
        <v>63400</v>
      </c>
      <c r="AD18" s="19">
        <v>63100</v>
      </c>
      <c r="AE18" s="19">
        <v>62500</v>
      </c>
      <c r="AF18" s="19">
        <v>63100</v>
      </c>
      <c r="AG18" s="19">
        <v>65000</v>
      </c>
      <c r="AH18" s="19">
        <v>66600</v>
      </c>
      <c r="AI18" s="19">
        <v>67700</v>
      </c>
      <c r="AJ18" s="19"/>
      <c r="AK18" s="959">
        <f>((((Q18/I18))^(1/8))-1)*100</f>
        <v>-0.74741795731672056</v>
      </c>
      <c r="AL18" s="959">
        <f>((((AB18/Q18))^(1/11))-1)*100</f>
        <v>0.30762672627744347</v>
      </c>
      <c r="AM18" s="959">
        <f>((((AI18/I18))^(1/26))-1)*100</f>
        <v>0.35131881934251652</v>
      </c>
      <c r="AN18" s="959">
        <f>((((AI18/AB18))^(1/7))-1)*100</f>
        <v>1.6914867317246562</v>
      </c>
      <c r="AO18" s="23"/>
      <c r="AP18" s="959">
        <f>((AI18/I18)-1)*100</f>
        <v>9.5469255663430452</v>
      </c>
      <c r="AR18" s="800"/>
      <c r="AS18" s="800"/>
      <c r="AT18" s="800"/>
      <c r="AU18" s="800"/>
      <c r="AV18" s="800"/>
      <c r="AW18" s="800"/>
    </row>
    <row r="19" spans="1:49" ht="15">
      <c r="H19" s="2"/>
      <c r="I19" s="20"/>
      <c r="J19" s="39"/>
      <c r="K19" s="39"/>
      <c r="L19" s="39"/>
      <c r="M19" s="39"/>
      <c r="N19" s="39"/>
      <c r="O19" s="39"/>
      <c r="P19" s="39"/>
      <c r="Q19" s="240"/>
      <c r="R19" s="19"/>
      <c r="S19" s="19"/>
      <c r="T19" s="19"/>
      <c r="U19" s="19"/>
      <c r="V19" s="19"/>
      <c r="W19" s="19"/>
      <c r="X19" s="19"/>
      <c r="Y19" s="19"/>
      <c r="Z19" s="19"/>
      <c r="AA19" s="19"/>
      <c r="AB19" s="19"/>
      <c r="AC19" s="19"/>
      <c r="AD19" s="19"/>
      <c r="AE19" s="19"/>
      <c r="AF19" s="19"/>
      <c r="AG19" s="19"/>
      <c r="AH19" s="19"/>
      <c r="AI19" s="19"/>
      <c r="AJ19" s="19"/>
      <c r="AK19" s="960"/>
      <c r="AL19" s="960"/>
      <c r="AM19" s="960"/>
      <c r="AN19" s="960"/>
      <c r="AO19" s="4"/>
      <c r="AP19" s="960"/>
      <c r="AR19" s="800"/>
      <c r="AS19" s="800"/>
      <c r="AT19" s="800"/>
      <c r="AU19" s="800"/>
      <c r="AV19" s="800"/>
      <c r="AW19" s="800"/>
    </row>
    <row r="20" spans="1:49" ht="15">
      <c r="D20" s="128" t="s">
        <v>619</v>
      </c>
      <c r="H20" s="2"/>
      <c r="I20" s="20">
        <v>58400</v>
      </c>
      <c r="J20" s="19">
        <v>56800</v>
      </c>
      <c r="K20" s="19">
        <v>55700</v>
      </c>
      <c r="L20" s="19">
        <v>56400</v>
      </c>
      <c r="M20" s="19">
        <v>58000</v>
      </c>
      <c r="N20" s="19">
        <v>58000</v>
      </c>
      <c r="O20" s="19">
        <v>58000</v>
      </c>
      <c r="P20" s="39">
        <v>59400</v>
      </c>
      <c r="Q20" s="240">
        <v>59800</v>
      </c>
      <c r="R20" s="19">
        <v>58900</v>
      </c>
      <c r="S20" s="19">
        <v>56600</v>
      </c>
      <c r="T20" s="19">
        <v>58300</v>
      </c>
      <c r="U20" s="19">
        <v>56000</v>
      </c>
      <c r="V20" s="19">
        <v>56900</v>
      </c>
      <c r="W20" s="19">
        <v>56800</v>
      </c>
      <c r="X20" s="19">
        <v>57100</v>
      </c>
      <c r="Y20" s="19">
        <v>57700</v>
      </c>
      <c r="Z20" s="19">
        <v>61100</v>
      </c>
      <c r="AA20" s="19">
        <v>61900</v>
      </c>
      <c r="AB20" s="19">
        <v>63400</v>
      </c>
      <c r="AC20" s="19">
        <v>65900</v>
      </c>
      <c r="AD20" s="19">
        <v>66300</v>
      </c>
      <c r="AE20" s="19">
        <v>66500</v>
      </c>
      <c r="AF20" s="19">
        <v>68200</v>
      </c>
      <c r="AG20" s="19">
        <v>68500</v>
      </c>
      <c r="AH20" s="19">
        <v>69400</v>
      </c>
      <c r="AI20" s="19">
        <v>73000</v>
      </c>
      <c r="AJ20" s="19"/>
      <c r="AK20" s="959">
        <f>((((Q20/I20))^(1/8))-1)*100</f>
        <v>0.2965610137309671</v>
      </c>
      <c r="AL20" s="959">
        <f>((((AB20/Q20))^(1/11))-1)*100</f>
        <v>0.53285282383532806</v>
      </c>
      <c r="AM20" s="959">
        <f>((((AI20/I20))^(1/26))-1)*100</f>
        <v>0.8619379044137121</v>
      </c>
      <c r="AN20" s="959">
        <f>((((AI20/AB20))^(1/7))-1)*100</f>
        <v>2.0346449166970704</v>
      </c>
      <c r="AO20" s="23"/>
      <c r="AP20" s="959">
        <f>((AI20/I20)-1)*100</f>
        <v>25</v>
      </c>
      <c r="AR20" s="800"/>
      <c r="AS20" s="800"/>
      <c r="AT20" s="800"/>
      <c r="AU20" s="800"/>
      <c r="AV20" s="800"/>
      <c r="AW20" s="800"/>
    </row>
    <row r="21" spans="1:49" ht="15">
      <c r="D21" s="1" t="s">
        <v>613</v>
      </c>
      <c r="H21" s="2"/>
      <c r="I21" s="20">
        <v>18500</v>
      </c>
      <c r="J21" s="19">
        <v>18600</v>
      </c>
      <c r="K21" s="19">
        <v>18300</v>
      </c>
      <c r="L21" s="19">
        <v>18600</v>
      </c>
      <c r="M21" s="19">
        <v>19600</v>
      </c>
      <c r="N21" s="19">
        <v>20400</v>
      </c>
      <c r="O21" s="19">
        <v>20100</v>
      </c>
      <c r="P21" s="39">
        <v>20100</v>
      </c>
      <c r="Q21" s="240">
        <v>19900</v>
      </c>
      <c r="R21" s="19">
        <v>18900</v>
      </c>
      <c r="S21" s="19">
        <v>20600</v>
      </c>
      <c r="T21" s="19">
        <v>21300</v>
      </c>
      <c r="U21" s="19">
        <v>22200</v>
      </c>
      <c r="V21" s="19">
        <v>21700</v>
      </c>
      <c r="W21" s="19">
        <v>20400</v>
      </c>
      <c r="X21" s="19">
        <v>21100</v>
      </c>
      <c r="Y21" s="19">
        <v>21400</v>
      </c>
      <c r="Z21" s="19">
        <v>22400</v>
      </c>
      <c r="AA21" s="19">
        <v>21100</v>
      </c>
      <c r="AB21" s="19">
        <v>21600</v>
      </c>
      <c r="AC21" s="19">
        <v>23300</v>
      </c>
      <c r="AD21" s="19">
        <v>23700</v>
      </c>
      <c r="AE21" s="19">
        <v>22000</v>
      </c>
      <c r="AF21" s="19">
        <v>22300</v>
      </c>
      <c r="AG21" s="19">
        <v>18800</v>
      </c>
      <c r="AH21" s="19">
        <v>25900</v>
      </c>
      <c r="AI21" s="19">
        <v>24300</v>
      </c>
      <c r="AJ21" s="19"/>
      <c r="AK21" s="959">
        <f>((((Q21/I21))^(1/8))-1)*100</f>
        <v>0.91603262728268131</v>
      </c>
      <c r="AL21" s="959">
        <f>((((AB21/Q21))^(1/11))-1)*100</f>
        <v>0.7479980233630501</v>
      </c>
      <c r="AM21" s="959">
        <f>((((AI21/I21))^(1/26))-1)*100</f>
        <v>1.0543876624002246</v>
      </c>
      <c r="AN21" s="959">
        <f>((((AI21/AB21))^(1/7))-1)*100</f>
        <v>1.6968504897215686</v>
      </c>
      <c r="AO21" s="23"/>
      <c r="AP21" s="959">
        <f>((AI21/I21)-1)*100</f>
        <v>31.35135135135134</v>
      </c>
      <c r="AR21" s="800"/>
      <c r="AS21" s="800"/>
      <c r="AT21" s="800"/>
      <c r="AU21" s="800"/>
      <c r="AV21" s="800"/>
      <c r="AW21" s="800"/>
    </row>
    <row r="22" spans="1:49" ht="15">
      <c r="D22" s="1" t="s">
        <v>620</v>
      </c>
      <c r="H22" s="2"/>
      <c r="I22" s="20">
        <v>46800</v>
      </c>
      <c r="J22" s="19">
        <v>45900</v>
      </c>
      <c r="K22" s="19">
        <v>44800</v>
      </c>
      <c r="L22" s="19">
        <v>44900</v>
      </c>
      <c r="M22" s="19">
        <v>45600</v>
      </c>
      <c r="N22" s="19">
        <v>45600</v>
      </c>
      <c r="O22" s="19">
        <v>44600</v>
      </c>
      <c r="P22" s="39">
        <v>45600</v>
      </c>
      <c r="Q22" s="240">
        <v>46200</v>
      </c>
      <c r="R22" s="19">
        <v>43800</v>
      </c>
      <c r="S22" s="19">
        <v>43400</v>
      </c>
      <c r="T22" s="19">
        <v>44400</v>
      </c>
      <c r="U22" s="19">
        <v>42500</v>
      </c>
      <c r="V22" s="19">
        <v>43300</v>
      </c>
      <c r="W22" s="19">
        <v>42600</v>
      </c>
      <c r="X22" s="19">
        <v>42600</v>
      </c>
      <c r="Y22" s="19">
        <v>41500</v>
      </c>
      <c r="Z22" s="19">
        <v>43800</v>
      </c>
      <c r="AA22" s="19">
        <v>45000</v>
      </c>
      <c r="AB22" s="19">
        <v>43700</v>
      </c>
      <c r="AC22" s="19">
        <v>44600</v>
      </c>
      <c r="AD22" s="19">
        <v>46100</v>
      </c>
      <c r="AE22" s="19">
        <v>46600</v>
      </c>
      <c r="AF22" s="19">
        <v>45700</v>
      </c>
      <c r="AG22" s="19">
        <v>46900</v>
      </c>
      <c r="AH22" s="19">
        <v>44900</v>
      </c>
      <c r="AI22" s="19">
        <v>49300</v>
      </c>
      <c r="AJ22" s="19"/>
      <c r="AK22" s="959">
        <f>((((Q22/I22))^(1/8))-1)*100</f>
        <v>-0.16116255390492551</v>
      </c>
      <c r="AL22" s="959">
        <f>((((AB22/Q22))^(1/11))-1)*100</f>
        <v>-0.50446596565822954</v>
      </c>
      <c r="AM22" s="959">
        <f>((((AI22/I22))^(1/26))-1)*100</f>
        <v>0.20035767184349851</v>
      </c>
      <c r="AN22" s="959">
        <f>((((AI22/AB22))^(1/7))-1)*100</f>
        <v>1.7374348050557042</v>
      </c>
      <c r="AO22" s="23"/>
      <c r="AP22" s="959">
        <f>((AI22/I22)-1)*100</f>
        <v>5.3418803418803451</v>
      </c>
      <c r="AR22" s="800"/>
      <c r="AS22" s="800"/>
      <c r="AT22" s="800"/>
      <c r="AU22" s="800"/>
      <c r="AV22" s="800"/>
      <c r="AW22" s="800"/>
    </row>
    <row r="23" spans="1:49" ht="15">
      <c r="D23" s="1" t="s">
        <v>615</v>
      </c>
      <c r="H23" s="2"/>
      <c r="I23" s="20">
        <v>59800</v>
      </c>
      <c r="J23" s="19">
        <v>59000</v>
      </c>
      <c r="K23" s="19">
        <v>58000</v>
      </c>
      <c r="L23" s="19">
        <v>59100</v>
      </c>
      <c r="M23" s="19">
        <v>59800</v>
      </c>
      <c r="N23" s="19">
        <v>59500</v>
      </c>
      <c r="O23" s="19">
        <v>58700</v>
      </c>
      <c r="P23" s="39">
        <v>60500</v>
      </c>
      <c r="Q23" s="240">
        <v>60300</v>
      </c>
      <c r="R23" s="19">
        <v>59200</v>
      </c>
      <c r="S23" s="19">
        <v>58100</v>
      </c>
      <c r="T23" s="19">
        <v>60100</v>
      </c>
      <c r="U23" s="19">
        <v>58900</v>
      </c>
      <c r="V23" s="19">
        <v>59500</v>
      </c>
      <c r="W23" s="19">
        <v>59200</v>
      </c>
      <c r="X23" s="19">
        <v>59700</v>
      </c>
      <c r="Y23" s="19">
        <v>60200</v>
      </c>
      <c r="Z23" s="19">
        <v>63000</v>
      </c>
      <c r="AA23" s="19">
        <v>63100</v>
      </c>
      <c r="AB23" s="19">
        <v>64900</v>
      </c>
      <c r="AC23" s="19">
        <v>67000</v>
      </c>
      <c r="AD23" s="19">
        <v>67700</v>
      </c>
      <c r="AE23" s="19">
        <v>67300</v>
      </c>
      <c r="AF23" s="19">
        <v>69400</v>
      </c>
      <c r="AG23" s="19">
        <v>69500</v>
      </c>
      <c r="AH23" s="19">
        <v>69500</v>
      </c>
      <c r="AI23" s="19">
        <v>73000</v>
      </c>
      <c r="AJ23" s="19"/>
      <c r="AK23" s="959">
        <f>((((Q23/I23))^(1/8))-1)*100</f>
        <v>0.10413471729164847</v>
      </c>
      <c r="AL23" s="959">
        <f>((((AB23/Q23))^(1/11))-1)*100</f>
        <v>0.67056116992580961</v>
      </c>
      <c r="AM23" s="959">
        <f>((((AI23/I23))^(1/26))-1)*100</f>
        <v>0.77007990398347825</v>
      </c>
      <c r="AN23" s="959">
        <f>((((AI23/AB23))^(1/7))-1)*100</f>
        <v>1.6943630410684696</v>
      </c>
      <c r="AO23" s="23"/>
      <c r="AP23" s="959">
        <f>((AI23/I23)-1)*100</f>
        <v>22.073578595317734</v>
      </c>
      <c r="AR23" s="800"/>
      <c r="AS23" s="800"/>
      <c r="AT23" s="800"/>
      <c r="AU23" s="800"/>
      <c r="AV23" s="800"/>
      <c r="AW23" s="800"/>
    </row>
    <row r="24" spans="1:49">
      <c r="D24" s="1" t="s">
        <v>621</v>
      </c>
      <c r="H24" s="2"/>
      <c r="I24" s="20">
        <v>78500</v>
      </c>
      <c r="J24" s="19">
        <v>76800</v>
      </c>
      <c r="K24" s="19">
        <v>72900</v>
      </c>
      <c r="L24" s="19">
        <v>74200</v>
      </c>
      <c r="M24" s="19">
        <v>75600</v>
      </c>
      <c r="N24" s="19">
        <v>75400</v>
      </c>
      <c r="O24" s="19">
        <v>75800</v>
      </c>
      <c r="P24" s="39">
        <v>76800</v>
      </c>
      <c r="Q24" s="240">
        <v>77800</v>
      </c>
      <c r="R24" s="19">
        <v>77500</v>
      </c>
      <c r="S24" s="19">
        <v>72200</v>
      </c>
      <c r="T24" s="19">
        <v>74100</v>
      </c>
      <c r="U24" s="19">
        <v>72400</v>
      </c>
      <c r="V24" s="19">
        <v>73400</v>
      </c>
      <c r="W24" s="19">
        <v>72400</v>
      </c>
      <c r="X24" s="19">
        <v>74300</v>
      </c>
      <c r="Y24" s="19">
        <v>75200</v>
      </c>
      <c r="Z24" s="19">
        <v>76100</v>
      </c>
      <c r="AA24" s="19">
        <v>81200</v>
      </c>
      <c r="AB24" s="19">
        <v>82100</v>
      </c>
      <c r="AC24" s="19">
        <v>85400</v>
      </c>
      <c r="AD24" s="19">
        <v>84200</v>
      </c>
      <c r="AE24" s="19">
        <v>84100</v>
      </c>
      <c r="AF24" s="19">
        <v>87100</v>
      </c>
      <c r="AG24" s="19">
        <v>86900</v>
      </c>
      <c r="AH24" s="19">
        <v>88700</v>
      </c>
      <c r="AI24" s="19">
        <v>92100</v>
      </c>
      <c r="AJ24" s="19"/>
      <c r="AK24" s="959">
        <f>((((Q24/I24))^(1/8))-1)*100</f>
        <v>-0.11190226272053128</v>
      </c>
      <c r="AL24" s="959">
        <f>((((AB24/Q24))^(1/11))-1)*100</f>
        <v>0.4902577158288457</v>
      </c>
      <c r="AM24" s="959">
        <f>((((AI24/I24))^(1/26))-1)*100</f>
        <v>0.61641637617311229</v>
      </c>
      <c r="AN24" s="959">
        <f>((((AI24/AB24))^(1/7))-1)*100</f>
        <v>1.6555102792649379</v>
      </c>
      <c r="AO24" s="23"/>
      <c r="AP24" s="959">
        <f>((AI24/I24)-1)*100</f>
        <v>17.324840764331206</v>
      </c>
    </row>
    <row r="25" spans="1:49">
      <c r="H25" s="2"/>
      <c r="I25" s="20"/>
      <c r="J25" s="39"/>
      <c r="K25" s="39"/>
      <c r="L25" s="39"/>
      <c r="M25" s="39"/>
      <c r="N25" s="39"/>
      <c r="O25" s="39"/>
      <c r="P25" s="39"/>
      <c r="Q25" s="240"/>
      <c r="R25" s="19"/>
      <c r="S25" s="19"/>
      <c r="T25" s="19"/>
      <c r="U25" s="19"/>
      <c r="V25" s="19"/>
      <c r="W25" s="19"/>
      <c r="X25" s="19"/>
      <c r="Y25" s="19"/>
      <c r="Z25" s="19"/>
      <c r="AA25" s="19"/>
      <c r="AB25" s="19"/>
      <c r="AC25" s="19"/>
      <c r="AD25" s="19"/>
      <c r="AE25" s="19"/>
      <c r="AF25" s="19"/>
      <c r="AG25" s="19"/>
      <c r="AH25" s="19"/>
      <c r="AI25" s="19"/>
      <c r="AJ25" s="19"/>
      <c r="AK25" s="960"/>
      <c r="AL25" s="960"/>
      <c r="AM25" s="960"/>
      <c r="AN25" s="960"/>
      <c r="AO25" s="4"/>
      <c r="AP25" s="960"/>
    </row>
    <row r="26" spans="1:49">
      <c r="D26" s="128" t="s">
        <v>622</v>
      </c>
      <c r="H26" s="2"/>
      <c r="I26" s="20">
        <v>77400</v>
      </c>
      <c r="J26" s="19">
        <v>74500</v>
      </c>
      <c r="K26" s="19">
        <v>71500</v>
      </c>
      <c r="L26" s="19">
        <v>71500</v>
      </c>
      <c r="M26" s="19">
        <v>72400</v>
      </c>
      <c r="N26" s="19">
        <v>74500</v>
      </c>
      <c r="O26" s="19">
        <v>73600</v>
      </c>
      <c r="P26" s="39">
        <v>76600</v>
      </c>
      <c r="Q26" s="240">
        <v>78400</v>
      </c>
      <c r="R26" s="19">
        <v>76300</v>
      </c>
      <c r="S26" s="19">
        <v>71500</v>
      </c>
      <c r="T26" s="19">
        <v>71800</v>
      </c>
      <c r="U26" s="19">
        <v>72300</v>
      </c>
      <c r="V26" s="19">
        <v>72200</v>
      </c>
      <c r="W26" s="19">
        <v>70900</v>
      </c>
      <c r="X26" s="19">
        <v>71800</v>
      </c>
      <c r="Y26" s="19">
        <v>72000</v>
      </c>
      <c r="Z26" s="19">
        <v>76600</v>
      </c>
      <c r="AA26" s="19">
        <v>80700</v>
      </c>
      <c r="AB26" s="19">
        <v>83000</v>
      </c>
      <c r="AC26" s="19">
        <v>84900</v>
      </c>
      <c r="AD26" s="19">
        <v>83500</v>
      </c>
      <c r="AE26" s="19">
        <v>83100</v>
      </c>
      <c r="AF26" s="19">
        <v>85500</v>
      </c>
      <c r="AG26" s="19">
        <v>88700</v>
      </c>
      <c r="AH26" s="19">
        <v>90700</v>
      </c>
      <c r="AI26" s="19">
        <v>93800</v>
      </c>
      <c r="AJ26" s="19"/>
      <c r="AK26" s="959">
        <f>((((Q26/I26))^(1/8))-1)*100</f>
        <v>0.16059314741212471</v>
      </c>
      <c r="AL26" s="959">
        <f>((((AB26/Q26))^(1/11))-1)*100</f>
        <v>0.51967913043675651</v>
      </c>
      <c r="AM26" s="959">
        <f>((((AI26/I26))^(1/26))-1)*100</f>
        <v>0.74188487408251014</v>
      </c>
      <c r="AN26" s="959">
        <f>((((AI26/AB26))^(1/7))-1)*100</f>
        <v>1.7628471827183745</v>
      </c>
      <c r="AO26" s="23"/>
      <c r="AP26" s="959">
        <f>((AI26/I26)-1)*100</f>
        <v>21.188630490956072</v>
      </c>
    </row>
    <row r="27" spans="1:49">
      <c r="H27" s="2"/>
      <c r="I27" s="20"/>
      <c r="J27" s="39"/>
      <c r="K27" s="39"/>
      <c r="L27" s="39"/>
      <c r="M27" s="39"/>
      <c r="N27" s="39"/>
      <c r="O27" s="39"/>
      <c r="P27" s="39"/>
      <c r="Q27" s="240"/>
      <c r="R27" s="19"/>
      <c r="S27" s="19"/>
      <c r="T27" s="19"/>
      <c r="U27" s="19"/>
      <c r="V27" s="19"/>
      <c r="W27" s="19"/>
      <c r="X27" s="19"/>
      <c r="Y27" s="19"/>
      <c r="Z27" s="19"/>
      <c r="AA27" s="19"/>
      <c r="AB27" s="19"/>
      <c r="AC27" s="19"/>
      <c r="AD27" s="19"/>
      <c r="AE27" s="19"/>
      <c r="AF27" s="19"/>
      <c r="AG27" s="19"/>
      <c r="AH27" s="19"/>
      <c r="AI27" s="19"/>
      <c r="AJ27" s="19"/>
      <c r="AK27" s="959"/>
      <c r="AL27" s="959"/>
      <c r="AM27" s="959"/>
      <c r="AN27" s="959"/>
      <c r="AO27" s="116"/>
      <c r="AP27" s="959"/>
      <c r="AQ27" s="114"/>
    </row>
    <row r="28" spans="1:49" s="114" customFormat="1">
      <c r="A28" s="1"/>
      <c r="B28" s="1"/>
      <c r="C28" s="1"/>
      <c r="D28" s="128" t="s">
        <v>623</v>
      </c>
      <c r="E28" s="1"/>
      <c r="F28" s="1"/>
      <c r="G28" s="1"/>
      <c r="H28" s="2"/>
      <c r="I28" s="20">
        <v>28400</v>
      </c>
      <c r="J28" s="19">
        <v>26000</v>
      </c>
      <c r="K28" s="19">
        <v>23900</v>
      </c>
      <c r="L28" s="19">
        <v>24600</v>
      </c>
      <c r="M28" s="19">
        <v>24200</v>
      </c>
      <c r="N28" s="19">
        <v>25900</v>
      </c>
      <c r="O28" s="19">
        <v>25800</v>
      </c>
      <c r="P28" s="39">
        <v>26900</v>
      </c>
      <c r="Q28" s="240">
        <v>27800</v>
      </c>
      <c r="R28" s="19">
        <v>25100</v>
      </c>
      <c r="S28" s="19">
        <v>24500</v>
      </c>
      <c r="T28" s="19">
        <v>26100</v>
      </c>
      <c r="U28" s="19">
        <v>25400</v>
      </c>
      <c r="V28" s="19">
        <v>26300</v>
      </c>
      <c r="W28" s="19">
        <v>26200</v>
      </c>
      <c r="X28" s="19">
        <v>24300</v>
      </c>
      <c r="Y28" s="19">
        <v>25400</v>
      </c>
      <c r="Z28" s="19">
        <v>27000</v>
      </c>
      <c r="AA28" s="19">
        <v>29300</v>
      </c>
      <c r="AB28" s="19">
        <v>31200</v>
      </c>
      <c r="AC28" s="19">
        <v>32000</v>
      </c>
      <c r="AD28" s="19">
        <v>30500</v>
      </c>
      <c r="AE28" s="19">
        <v>30700</v>
      </c>
      <c r="AF28" s="19">
        <v>31700</v>
      </c>
      <c r="AG28" s="19">
        <v>34100</v>
      </c>
      <c r="AH28" s="19">
        <v>35700</v>
      </c>
      <c r="AI28" s="19">
        <v>36300</v>
      </c>
      <c r="AJ28" s="19"/>
      <c r="AK28" s="959">
        <f t="shared" ref="AK28:AK33" si="0">((((Q28/I28))^(1/8))-1)*100</f>
        <v>-0.26655815703441332</v>
      </c>
      <c r="AL28" s="959">
        <f t="shared" ref="AL28:AL33" si="1">((((AB28/Q28))^(1/11))-1)*100</f>
        <v>1.0544484809789978</v>
      </c>
      <c r="AM28" s="959">
        <f t="shared" ref="AM28:AM33" si="2">((((AI28/I28))^(1/26))-1)*100</f>
        <v>0.9484254565510275</v>
      </c>
      <c r="AN28" s="959">
        <f t="shared" ref="AN28:AN33" si="3">((((AI28/AB28))^(1/7))-1)*100</f>
        <v>2.1864112816495807</v>
      </c>
      <c r="AO28" s="23"/>
      <c r="AP28" s="959">
        <f t="shared" ref="AP28:AP33" si="4">((AI28/I28)-1)*100</f>
        <v>27.8169014084507</v>
      </c>
    </row>
    <row r="29" spans="1:49" s="114" customFormat="1">
      <c r="A29" s="1"/>
      <c r="B29" s="1"/>
      <c r="C29" s="1"/>
      <c r="D29" s="1" t="s">
        <v>624</v>
      </c>
      <c r="E29" s="1"/>
      <c r="F29" s="1"/>
      <c r="G29" s="1"/>
      <c r="H29" s="2"/>
      <c r="I29" s="20">
        <v>45400</v>
      </c>
      <c r="J29" s="19">
        <v>42500</v>
      </c>
      <c r="K29" s="19">
        <v>38500</v>
      </c>
      <c r="L29" s="19">
        <v>41300</v>
      </c>
      <c r="M29" s="19">
        <v>39800</v>
      </c>
      <c r="N29" s="19">
        <v>41700</v>
      </c>
      <c r="O29" s="19">
        <v>45800</v>
      </c>
      <c r="P29" s="39">
        <v>39400</v>
      </c>
      <c r="Q29" s="240">
        <v>46300</v>
      </c>
      <c r="R29" s="19">
        <v>38900</v>
      </c>
      <c r="S29" s="19">
        <v>37300</v>
      </c>
      <c r="T29" s="19">
        <v>39700</v>
      </c>
      <c r="U29" s="19">
        <v>35500</v>
      </c>
      <c r="V29" s="19">
        <v>34900</v>
      </c>
      <c r="W29" s="19">
        <v>35200</v>
      </c>
      <c r="X29" s="19">
        <v>35900</v>
      </c>
      <c r="Y29" s="19">
        <v>37200</v>
      </c>
      <c r="Z29" s="19">
        <v>37900</v>
      </c>
      <c r="AA29" s="19">
        <v>39300</v>
      </c>
      <c r="AB29" s="19">
        <v>40200</v>
      </c>
      <c r="AC29" s="19">
        <v>40900</v>
      </c>
      <c r="AD29" s="19">
        <v>41200</v>
      </c>
      <c r="AE29" s="19">
        <v>41700</v>
      </c>
      <c r="AF29" s="19">
        <v>42300</v>
      </c>
      <c r="AG29" s="19">
        <v>44300</v>
      </c>
      <c r="AH29" s="19">
        <v>47600</v>
      </c>
      <c r="AI29" s="19">
        <v>46700</v>
      </c>
      <c r="AJ29" s="19"/>
      <c r="AK29" s="959">
        <f t="shared" si="0"/>
        <v>0.24567448697381256</v>
      </c>
      <c r="AL29" s="959">
        <f t="shared" si="1"/>
        <v>-1.2761057003281562</v>
      </c>
      <c r="AM29" s="959">
        <f t="shared" si="2"/>
        <v>0.10864381940778323</v>
      </c>
      <c r="AN29" s="959">
        <f t="shared" si="3"/>
        <v>2.1641884838127901</v>
      </c>
      <c r="AO29" s="23"/>
      <c r="AP29" s="959">
        <f t="shared" si="4"/>
        <v>2.8634361233480066</v>
      </c>
    </row>
    <row r="30" spans="1:49" s="114" customFormat="1">
      <c r="A30" s="1"/>
      <c r="B30" s="1"/>
      <c r="C30" s="1"/>
      <c r="D30" s="1" t="s">
        <v>625</v>
      </c>
      <c r="E30" s="1"/>
      <c r="F30" s="1"/>
      <c r="G30" s="1"/>
      <c r="H30" s="2"/>
      <c r="I30" s="20">
        <v>25800</v>
      </c>
      <c r="J30" s="19">
        <v>23600</v>
      </c>
      <c r="K30" s="19">
        <v>22400</v>
      </c>
      <c r="L30" s="19">
        <v>22400</v>
      </c>
      <c r="M30" s="19">
        <v>22700</v>
      </c>
      <c r="N30" s="19">
        <v>24100</v>
      </c>
      <c r="O30" s="19">
        <v>24200</v>
      </c>
      <c r="P30" s="39">
        <v>25500</v>
      </c>
      <c r="Q30" s="240">
        <v>26400</v>
      </c>
      <c r="R30" s="19">
        <v>23000</v>
      </c>
      <c r="S30" s="19">
        <v>23200</v>
      </c>
      <c r="T30" s="19">
        <v>24600</v>
      </c>
      <c r="U30" s="19">
        <v>24500</v>
      </c>
      <c r="V30" s="19">
        <v>25100</v>
      </c>
      <c r="W30" s="19">
        <v>25100</v>
      </c>
      <c r="X30" s="19">
        <v>22900</v>
      </c>
      <c r="Y30" s="19">
        <v>23800</v>
      </c>
      <c r="Z30" s="19">
        <v>25300</v>
      </c>
      <c r="AA30" s="19">
        <v>27300</v>
      </c>
      <c r="AB30" s="19">
        <v>28900</v>
      </c>
      <c r="AC30" s="19">
        <v>29700</v>
      </c>
      <c r="AD30" s="19">
        <v>28200</v>
      </c>
      <c r="AE30" s="19">
        <v>28700</v>
      </c>
      <c r="AF30" s="19">
        <v>29300</v>
      </c>
      <c r="AG30" s="19">
        <v>31600</v>
      </c>
      <c r="AH30" s="19">
        <v>32400</v>
      </c>
      <c r="AI30" s="19">
        <v>34600</v>
      </c>
      <c r="AJ30" s="19"/>
      <c r="AK30" s="959">
        <f t="shared" si="0"/>
        <v>0.28778227826002922</v>
      </c>
      <c r="AL30" s="959">
        <f t="shared" si="1"/>
        <v>0.82591551790056617</v>
      </c>
      <c r="AM30" s="959">
        <f t="shared" si="2"/>
        <v>1.13516071801536</v>
      </c>
      <c r="AN30" s="959">
        <f t="shared" si="3"/>
        <v>2.6049521774746065</v>
      </c>
      <c r="AO30" s="23"/>
      <c r="AP30" s="959">
        <f t="shared" si="4"/>
        <v>34.108527131782942</v>
      </c>
    </row>
    <row r="31" spans="1:49" s="114" customFormat="1">
      <c r="A31" s="1"/>
      <c r="B31" s="1"/>
      <c r="C31" s="1"/>
      <c r="D31" s="1"/>
      <c r="E31" s="1" t="s">
        <v>613</v>
      </c>
      <c r="F31" s="1"/>
      <c r="G31" s="1"/>
      <c r="H31" s="2"/>
      <c r="I31" s="20">
        <v>14600</v>
      </c>
      <c r="J31" s="19">
        <v>15600</v>
      </c>
      <c r="K31" s="19">
        <v>15400</v>
      </c>
      <c r="L31" s="19">
        <v>15000</v>
      </c>
      <c r="M31" s="19">
        <v>15300</v>
      </c>
      <c r="N31" s="19">
        <v>15800</v>
      </c>
      <c r="O31" s="19">
        <v>15600</v>
      </c>
      <c r="P31" s="39">
        <v>16100</v>
      </c>
      <c r="Q31" s="240">
        <v>16800</v>
      </c>
      <c r="R31" s="19">
        <v>16900</v>
      </c>
      <c r="S31" s="19">
        <v>17200</v>
      </c>
      <c r="T31" s="19">
        <v>18300</v>
      </c>
      <c r="U31" s="19">
        <v>19000</v>
      </c>
      <c r="V31" s="19">
        <v>18800</v>
      </c>
      <c r="W31" s="19">
        <v>18400</v>
      </c>
      <c r="X31" s="19">
        <v>17200</v>
      </c>
      <c r="Y31" s="19">
        <v>16400</v>
      </c>
      <c r="Z31" s="19">
        <v>16300</v>
      </c>
      <c r="AA31" s="19">
        <v>16500</v>
      </c>
      <c r="AB31" s="19">
        <v>15900</v>
      </c>
      <c r="AC31" s="19">
        <v>16400</v>
      </c>
      <c r="AD31" s="19">
        <v>17000</v>
      </c>
      <c r="AE31" s="19">
        <v>16200</v>
      </c>
      <c r="AF31" s="19">
        <v>17000</v>
      </c>
      <c r="AG31" s="19">
        <v>17700</v>
      </c>
      <c r="AH31" s="19">
        <v>18700</v>
      </c>
      <c r="AI31" s="19">
        <v>16700</v>
      </c>
      <c r="AJ31" s="19"/>
      <c r="AK31" s="959">
        <f>((((Q31/I31))^(1/8))-1)*100</f>
        <v>1.7699481478029799</v>
      </c>
      <c r="AL31" s="959">
        <f>((((AB31/Q31))^(1/11))-1)*100</f>
        <v>-0.49929279783604841</v>
      </c>
      <c r="AM31" s="959">
        <f>((((AI31/I31))^(1/26))-1)*100</f>
        <v>0.51821190752763258</v>
      </c>
      <c r="AN31" s="959">
        <f t="shared" si="3"/>
        <v>0.7037448730574658</v>
      </c>
      <c r="AO31" s="23"/>
      <c r="AP31" s="959">
        <f t="shared" si="4"/>
        <v>14.383561643835607</v>
      </c>
    </row>
    <row r="32" spans="1:49" s="114" customFormat="1">
      <c r="A32" s="1"/>
      <c r="B32" s="1"/>
      <c r="C32" s="1"/>
      <c r="D32" s="1"/>
      <c r="E32" s="1" t="s">
        <v>620</v>
      </c>
      <c r="F32" s="1"/>
      <c r="G32" s="1"/>
      <c r="H32" s="2"/>
      <c r="I32" s="20">
        <v>28400</v>
      </c>
      <c r="J32" s="19">
        <v>26800</v>
      </c>
      <c r="K32" s="19">
        <v>26800</v>
      </c>
      <c r="L32" s="19">
        <v>26500</v>
      </c>
      <c r="M32" s="19">
        <v>25200</v>
      </c>
      <c r="N32" s="19">
        <v>26700</v>
      </c>
      <c r="O32" s="19">
        <v>26100</v>
      </c>
      <c r="P32" s="39">
        <v>27300</v>
      </c>
      <c r="Q32" s="240">
        <v>27900</v>
      </c>
      <c r="R32" s="19">
        <v>25800</v>
      </c>
      <c r="S32" s="19">
        <v>26900</v>
      </c>
      <c r="T32" s="19">
        <v>29500</v>
      </c>
      <c r="U32" s="19">
        <v>28500</v>
      </c>
      <c r="V32" s="19">
        <v>29500</v>
      </c>
      <c r="W32" s="19">
        <v>29100</v>
      </c>
      <c r="X32" s="19">
        <v>28400</v>
      </c>
      <c r="Y32" s="19">
        <v>28500</v>
      </c>
      <c r="Z32" s="19">
        <v>28500</v>
      </c>
      <c r="AA32" s="19">
        <v>29500</v>
      </c>
      <c r="AB32" s="19">
        <v>30700</v>
      </c>
      <c r="AC32" s="19">
        <v>31700</v>
      </c>
      <c r="AD32" s="19">
        <v>28800</v>
      </c>
      <c r="AE32" s="19">
        <v>30200</v>
      </c>
      <c r="AF32" s="19">
        <v>30200</v>
      </c>
      <c r="AG32" s="19">
        <v>31900</v>
      </c>
      <c r="AH32" s="19">
        <v>31700</v>
      </c>
      <c r="AI32" s="19">
        <v>34400</v>
      </c>
      <c r="AJ32" s="19"/>
      <c r="AK32" s="959">
        <f t="shared" si="0"/>
        <v>-0.22178439840511155</v>
      </c>
      <c r="AL32" s="959">
        <f t="shared" si="1"/>
        <v>0.87320828464947375</v>
      </c>
      <c r="AM32" s="959">
        <f t="shared" si="2"/>
        <v>0.73990626010762561</v>
      </c>
      <c r="AN32" s="959">
        <f t="shared" si="3"/>
        <v>1.6389124946856626</v>
      </c>
      <c r="AO32" s="23"/>
      <c r="AP32" s="959">
        <f t="shared" si="4"/>
        <v>21.126760563380277</v>
      </c>
    </row>
    <row r="33" spans="1:43" s="114" customFormat="1">
      <c r="A33" s="1"/>
      <c r="B33" s="1"/>
      <c r="C33" s="1"/>
      <c r="D33" s="1"/>
      <c r="E33" s="1" t="s">
        <v>626</v>
      </c>
      <c r="F33" s="1"/>
      <c r="G33" s="1"/>
      <c r="H33" s="2"/>
      <c r="I33" s="20">
        <v>45900</v>
      </c>
      <c r="J33" s="19">
        <v>39600</v>
      </c>
      <c r="K33" s="19">
        <v>35200</v>
      </c>
      <c r="L33" s="19">
        <v>41900</v>
      </c>
      <c r="M33" s="19">
        <v>41800</v>
      </c>
      <c r="N33" s="19">
        <v>36600</v>
      </c>
      <c r="O33" s="19">
        <v>41000</v>
      </c>
      <c r="P33" s="39">
        <v>41000</v>
      </c>
      <c r="Q33" s="240">
        <v>42900</v>
      </c>
      <c r="R33" s="19">
        <v>36400</v>
      </c>
      <c r="S33" s="19">
        <v>38100</v>
      </c>
      <c r="T33" s="19">
        <v>40400</v>
      </c>
      <c r="U33" s="19">
        <v>40400</v>
      </c>
      <c r="V33" s="19">
        <v>43900</v>
      </c>
      <c r="W33" s="19">
        <v>44300</v>
      </c>
      <c r="X33" s="19">
        <v>38900</v>
      </c>
      <c r="Y33" s="19">
        <v>40700</v>
      </c>
      <c r="Z33" s="19">
        <v>44000</v>
      </c>
      <c r="AA33" s="19">
        <v>43000</v>
      </c>
      <c r="AB33" s="19">
        <v>46900</v>
      </c>
      <c r="AC33" s="19">
        <v>47000</v>
      </c>
      <c r="AD33" s="19">
        <v>42100</v>
      </c>
      <c r="AE33" s="19">
        <v>44800</v>
      </c>
      <c r="AF33" s="19">
        <v>44100</v>
      </c>
      <c r="AG33" s="19">
        <v>46300</v>
      </c>
      <c r="AH33" s="19">
        <v>47500</v>
      </c>
      <c r="AI33" s="19">
        <v>48700</v>
      </c>
      <c r="AJ33" s="19"/>
      <c r="AK33" s="959">
        <f t="shared" si="0"/>
        <v>-0.8413567544052869</v>
      </c>
      <c r="AL33" s="959">
        <f t="shared" si="1"/>
        <v>0.81370957989572723</v>
      </c>
      <c r="AM33" s="959">
        <f t="shared" si="2"/>
        <v>0.22800535709806002</v>
      </c>
      <c r="AN33" s="959">
        <f t="shared" si="3"/>
        <v>0.53946927518560006</v>
      </c>
      <c r="AO33" s="23"/>
      <c r="AP33" s="959">
        <f t="shared" si="4"/>
        <v>6.1002178649237404</v>
      </c>
    </row>
    <row r="34" spans="1:43" s="114" customFormat="1">
      <c r="A34" s="1"/>
      <c r="B34" s="1"/>
      <c r="C34" s="1"/>
      <c r="D34" s="1"/>
      <c r="E34" s="1"/>
      <c r="F34" s="1"/>
      <c r="G34" s="1"/>
      <c r="H34" s="2"/>
      <c r="I34" s="20"/>
      <c r="J34" s="39"/>
      <c r="K34" s="39"/>
      <c r="L34" s="39"/>
      <c r="M34" s="39"/>
      <c r="N34" s="39"/>
      <c r="O34" s="39"/>
      <c r="P34" s="39"/>
      <c r="Q34" s="240"/>
      <c r="R34" s="19"/>
      <c r="S34" s="19"/>
      <c r="T34" s="19"/>
      <c r="U34" s="19"/>
      <c r="V34" s="19"/>
      <c r="W34" s="19"/>
      <c r="X34" s="19"/>
      <c r="Y34" s="19"/>
      <c r="Z34" s="19"/>
      <c r="AA34" s="19"/>
      <c r="AB34" s="19"/>
      <c r="AC34" s="19"/>
      <c r="AD34" s="19"/>
      <c r="AE34" s="19"/>
      <c r="AF34" s="19"/>
      <c r="AG34" s="19"/>
      <c r="AH34" s="19"/>
      <c r="AI34" s="19"/>
      <c r="AJ34" s="19"/>
      <c r="AK34" s="959"/>
      <c r="AL34" s="959"/>
      <c r="AM34" s="959"/>
      <c r="AN34" s="959"/>
      <c r="AO34" s="116"/>
      <c r="AP34" s="959"/>
    </row>
    <row r="35" spans="1:43">
      <c r="D35" s="128" t="s">
        <v>2</v>
      </c>
      <c r="H35" s="2"/>
      <c r="I35" s="20">
        <v>46400</v>
      </c>
      <c r="J35" s="19">
        <v>45300</v>
      </c>
      <c r="K35" s="19">
        <v>42800</v>
      </c>
      <c r="L35" s="19">
        <v>43700</v>
      </c>
      <c r="M35" s="19">
        <v>42500</v>
      </c>
      <c r="N35" s="19">
        <v>44300</v>
      </c>
      <c r="O35" s="19">
        <v>44200</v>
      </c>
      <c r="P35" s="39">
        <v>45500</v>
      </c>
      <c r="Q35" s="240">
        <v>47400</v>
      </c>
      <c r="R35" s="19">
        <v>44500</v>
      </c>
      <c r="S35" s="19">
        <v>43400</v>
      </c>
      <c r="T35" s="19">
        <v>38800</v>
      </c>
      <c r="U35" s="19">
        <v>41500</v>
      </c>
      <c r="V35" s="19">
        <v>42700</v>
      </c>
      <c r="W35" s="19">
        <v>44400</v>
      </c>
      <c r="X35" s="19">
        <v>45700</v>
      </c>
      <c r="Y35" s="19">
        <v>45700</v>
      </c>
      <c r="Z35" s="19">
        <v>48000</v>
      </c>
      <c r="AA35" s="19">
        <v>49800</v>
      </c>
      <c r="AB35" s="19">
        <v>50800</v>
      </c>
      <c r="AC35" s="19">
        <v>52700</v>
      </c>
      <c r="AD35" s="19">
        <v>52900</v>
      </c>
      <c r="AE35" s="19">
        <v>51100</v>
      </c>
      <c r="AF35" s="19">
        <v>53800</v>
      </c>
      <c r="AG35" s="19">
        <v>54100</v>
      </c>
      <c r="AH35" s="19">
        <v>56500</v>
      </c>
      <c r="AI35" s="19">
        <v>57900</v>
      </c>
      <c r="AJ35" s="19"/>
      <c r="AK35" s="959">
        <f>((((Q35/I35))^(1/8))-1)*100</f>
        <v>0.26689013766469927</v>
      </c>
      <c r="AL35" s="959">
        <f>((((AB35/Q35))^(1/11))-1)*100</f>
        <v>0.63175196849967197</v>
      </c>
      <c r="AM35" s="959">
        <f>((((AI35/I35))^(1/26))-1)*100</f>
        <v>0.85524389658924171</v>
      </c>
      <c r="AN35" s="959">
        <f>((((AI35/AB35))^(1/7))-1)*100</f>
        <v>1.886444566930856</v>
      </c>
      <c r="AO35" s="23"/>
      <c r="AP35" s="959">
        <f>((AI35/I35)-1)*100</f>
        <v>24.784482758620683</v>
      </c>
      <c r="AQ35" s="114"/>
    </row>
    <row r="36" spans="1:43" ht="12.75" customHeight="1">
      <c r="H36" s="2"/>
      <c r="I36" s="20"/>
      <c r="J36" s="39"/>
      <c r="K36" s="39"/>
      <c r="L36" s="39"/>
      <c r="M36" s="39"/>
      <c r="N36" s="39"/>
      <c r="O36" s="39"/>
      <c r="P36" s="39"/>
      <c r="Q36" s="240"/>
      <c r="R36" s="19"/>
      <c r="S36" s="19"/>
      <c r="T36" s="19"/>
      <c r="U36" s="19"/>
      <c r="V36" s="19"/>
      <c r="W36" s="19"/>
      <c r="X36" s="19"/>
      <c r="Y36" s="19"/>
      <c r="Z36" s="19"/>
      <c r="AA36" s="19"/>
      <c r="AB36" s="19"/>
      <c r="AC36" s="19"/>
      <c r="AD36" s="19"/>
      <c r="AE36" s="19"/>
      <c r="AF36" s="19"/>
      <c r="AG36" s="19"/>
      <c r="AH36" s="19"/>
      <c r="AI36" s="19"/>
      <c r="AJ36" s="19"/>
      <c r="AK36" s="959"/>
      <c r="AL36" s="959"/>
      <c r="AM36" s="959"/>
      <c r="AN36" s="959"/>
      <c r="AO36" s="116"/>
      <c r="AP36" s="959"/>
      <c r="AQ36" s="114"/>
    </row>
    <row r="37" spans="1:43" ht="13.5" customHeight="1">
      <c r="B37" s="128" t="s">
        <v>3</v>
      </c>
      <c r="H37" s="2"/>
      <c r="I37" s="20">
        <v>21700</v>
      </c>
      <c r="J37" s="19">
        <v>21100</v>
      </c>
      <c r="K37" s="19">
        <v>19000</v>
      </c>
      <c r="L37" s="19">
        <v>20300</v>
      </c>
      <c r="M37" s="19">
        <v>20000</v>
      </c>
      <c r="N37" s="19">
        <v>20400</v>
      </c>
      <c r="O37" s="19">
        <v>20600</v>
      </c>
      <c r="P37" s="39">
        <v>20800</v>
      </c>
      <c r="Q37" s="240">
        <v>21900</v>
      </c>
      <c r="R37" s="19">
        <v>20600</v>
      </c>
      <c r="S37" s="19">
        <v>19400</v>
      </c>
      <c r="T37" s="19">
        <v>19400</v>
      </c>
      <c r="U37" s="19">
        <v>19300</v>
      </c>
      <c r="V37" s="19">
        <v>19100</v>
      </c>
      <c r="W37" s="19">
        <v>19500</v>
      </c>
      <c r="X37" s="19">
        <v>19000</v>
      </c>
      <c r="Y37" s="19">
        <v>19000</v>
      </c>
      <c r="Z37" s="19">
        <v>19600</v>
      </c>
      <c r="AA37" s="19">
        <v>20100</v>
      </c>
      <c r="AB37" s="19">
        <v>20700</v>
      </c>
      <c r="AC37" s="19">
        <v>21700</v>
      </c>
      <c r="AD37" s="19">
        <v>22600</v>
      </c>
      <c r="AE37" s="19">
        <v>22200</v>
      </c>
      <c r="AF37" s="19">
        <v>22500</v>
      </c>
      <c r="AG37" s="19">
        <v>22300</v>
      </c>
      <c r="AH37" s="19">
        <v>23300</v>
      </c>
      <c r="AI37" s="19">
        <v>24200</v>
      </c>
      <c r="AJ37" s="19"/>
      <c r="AK37" s="959">
        <f>((((Q37/I37))^(1/8))-1)*100</f>
        <v>0.11474548576635435</v>
      </c>
      <c r="AL37" s="959">
        <f>((((AB37/Q37))^(1/11))-1)*100</f>
        <v>-0.51098940771904244</v>
      </c>
      <c r="AM37" s="959">
        <f>((((AI37/I37))^(1/26))-1)*100</f>
        <v>0.42026670249535325</v>
      </c>
      <c r="AN37" s="959">
        <f>((((AI37/AB37))^(1/7))-1)*100</f>
        <v>2.2567877314358942</v>
      </c>
      <c r="AO37" s="23"/>
      <c r="AP37" s="959">
        <f>((AI37/I37)-1)*100</f>
        <v>11.520737327188947</v>
      </c>
      <c r="AQ37" s="114"/>
    </row>
    <row r="38" spans="1:43" ht="13.5" customHeight="1">
      <c r="B38" s="128"/>
      <c r="H38" s="2"/>
      <c r="I38" s="20"/>
      <c r="J38" s="39"/>
      <c r="K38" s="39"/>
      <c r="L38" s="39"/>
      <c r="M38" s="39"/>
      <c r="N38" s="39"/>
      <c r="O38" s="39"/>
      <c r="P38" s="39"/>
      <c r="Q38" s="240"/>
      <c r="R38" s="19"/>
      <c r="S38" s="19"/>
      <c r="T38" s="19"/>
      <c r="U38" s="19"/>
      <c r="V38" s="19"/>
      <c r="W38" s="19"/>
      <c r="X38" s="19"/>
      <c r="Y38" s="19"/>
      <c r="Z38" s="19"/>
      <c r="AA38" s="19"/>
      <c r="AB38" s="19"/>
      <c r="AC38" s="19"/>
      <c r="AD38" s="19"/>
      <c r="AE38" s="19"/>
      <c r="AF38" s="19"/>
      <c r="AG38" s="19"/>
      <c r="AH38" s="19"/>
      <c r="AI38" s="19"/>
      <c r="AJ38" s="19"/>
      <c r="AK38" s="959"/>
      <c r="AL38" s="959"/>
      <c r="AM38" s="959"/>
      <c r="AN38" s="959"/>
      <c r="AO38" s="116"/>
      <c r="AP38" s="959"/>
      <c r="AQ38" s="114"/>
    </row>
    <row r="39" spans="1:43">
      <c r="C39" s="128" t="s">
        <v>4</v>
      </c>
      <c r="H39" s="2"/>
      <c r="I39" s="20">
        <v>16500</v>
      </c>
      <c r="J39" s="19">
        <v>16700</v>
      </c>
      <c r="K39" s="19">
        <v>16100</v>
      </c>
      <c r="L39" s="19">
        <v>17200</v>
      </c>
      <c r="M39" s="19">
        <v>17900</v>
      </c>
      <c r="N39" s="19">
        <v>18200</v>
      </c>
      <c r="O39" s="19">
        <v>19000</v>
      </c>
      <c r="P39" s="39">
        <v>19400</v>
      </c>
      <c r="Q39" s="240">
        <v>20400</v>
      </c>
      <c r="R39" s="19">
        <v>19500</v>
      </c>
      <c r="S39" s="19">
        <v>18900</v>
      </c>
      <c r="T39" s="19">
        <v>19900</v>
      </c>
      <c r="U39" s="19">
        <v>19300</v>
      </c>
      <c r="V39" s="19">
        <v>20300</v>
      </c>
      <c r="W39" s="19">
        <v>20300</v>
      </c>
      <c r="X39" s="19">
        <v>19700</v>
      </c>
      <c r="Y39" s="19">
        <v>20100</v>
      </c>
      <c r="Z39" s="19">
        <v>19900</v>
      </c>
      <c r="AA39" s="19">
        <v>20500</v>
      </c>
      <c r="AB39" s="19">
        <v>20500</v>
      </c>
      <c r="AC39" s="19">
        <v>21400</v>
      </c>
      <c r="AD39" s="19">
        <v>22300</v>
      </c>
      <c r="AE39" s="19">
        <v>21900</v>
      </c>
      <c r="AF39" s="19">
        <v>22800</v>
      </c>
      <c r="AG39" s="19">
        <v>21700</v>
      </c>
      <c r="AH39" s="19">
        <v>22600</v>
      </c>
      <c r="AI39" s="19">
        <v>23400</v>
      </c>
      <c r="AJ39" s="19"/>
      <c r="AK39" s="959">
        <f t="shared" ref="AK39:AK44" si="5">((((Q39/I39))^(1/8))-1)*100</f>
        <v>2.6876648324190011</v>
      </c>
      <c r="AL39" s="959">
        <f t="shared" ref="AL39:AL44" si="6">((((AB39/Q39))^(1/11))-1)*100</f>
        <v>4.4464294203350185E-2</v>
      </c>
      <c r="AM39" s="959">
        <f t="shared" ref="AM39:AM44" si="7">((((AI39/I39))^(1/26))-1)*100</f>
        <v>1.3528213963995395</v>
      </c>
      <c r="AN39" s="959">
        <f t="shared" ref="AN39:AN44" si="8">((((AI39/AB39))^(1/7))-1)*100</f>
        <v>1.9081356791776027</v>
      </c>
      <c r="AO39" s="23"/>
      <c r="AP39" s="959">
        <f t="shared" ref="AP39:AP44" si="9">((AI39/I39)-1)*100</f>
        <v>41.81818181818182</v>
      </c>
      <c r="AQ39" s="114"/>
    </row>
    <row r="40" spans="1:43">
      <c r="C40" s="1" t="s">
        <v>5</v>
      </c>
      <c r="H40" s="2"/>
      <c r="I40" s="20">
        <v>15200</v>
      </c>
      <c r="J40" s="19">
        <v>15400</v>
      </c>
      <c r="K40" s="19">
        <v>15500</v>
      </c>
      <c r="L40" s="19">
        <v>16600</v>
      </c>
      <c r="M40" s="19">
        <v>17400</v>
      </c>
      <c r="N40" s="19">
        <v>17800</v>
      </c>
      <c r="O40" s="19">
        <v>18400</v>
      </c>
      <c r="P40" s="39">
        <v>19000</v>
      </c>
      <c r="Q40" s="240">
        <v>19600</v>
      </c>
      <c r="R40" s="19">
        <v>18900</v>
      </c>
      <c r="S40" s="19">
        <v>18700</v>
      </c>
      <c r="T40" s="19">
        <v>19600</v>
      </c>
      <c r="U40" s="19">
        <v>18900</v>
      </c>
      <c r="V40" s="19">
        <v>20000</v>
      </c>
      <c r="W40" s="19">
        <v>20000</v>
      </c>
      <c r="X40" s="19">
        <v>19300</v>
      </c>
      <c r="Y40" s="19">
        <v>19300</v>
      </c>
      <c r="Z40" s="19">
        <v>19100</v>
      </c>
      <c r="AA40" s="19">
        <v>19700</v>
      </c>
      <c r="AB40" s="19">
        <v>19600</v>
      </c>
      <c r="AC40" s="19">
        <v>20200</v>
      </c>
      <c r="AD40" s="19">
        <v>21100</v>
      </c>
      <c r="AE40" s="19">
        <v>20300</v>
      </c>
      <c r="AF40" s="19">
        <v>21300</v>
      </c>
      <c r="AG40" s="19">
        <v>20800</v>
      </c>
      <c r="AH40" s="19">
        <v>21200</v>
      </c>
      <c r="AI40" s="19">
        <v>21000</v>
      </c>
      <c r="AJ40" s="19"/>
      <c r="AK40" s="959">
        <f t="shared" si="5"/>
        <v>3.2289620078127523</v>
      </c>
      <c r="AL40" s="959">
        <f t="shared" si="6"/>
        <v>0</v>
      </c>
      <c r="AM40" s="959">
        <f t="shared" si="7"/>
        <v>1.2509404218002951</v>
      </c>
      <c r="AN40" s="959">
        <f t="shared" si="8"/>
        <v>0.9904856063069678</v>
      </c>
      <c r="AO40" s="23"/>
      <c r="AP40" s="959">
        <f t="shared" si="9"/>
        <v>38.157894736842103</v>
      </c>
      <c r="AQ40" s="114"/>
    </row>
    <row r="41" spans="1:43">
      <c r="C41" s="1" t="s">
        <v>6</v>
      </c>
      <c r="H41" s="2"/>
      <c r="I41" s="20">
        <v>31500</v>
      </c>
      <c r="J41" s="19">
        <v>32800</v>
      </c>
      <c r="K41" s="19">
        <v>21900</v>
      </c>
      <c r="L41" s="19">
        <v>30500</v>
      </c>
      <c r="M41" s="19">
        <v>35100</v>
      </c>
      <c r="N41" s="19">
        <v>32300</v>
      </c>
      <c r="O41" s="19">
        <v>27200</v>
      </c>
      <c r="P41" s="39">
        <v>26600</v>
      </c>
      <c r="Q41" s="240">
        <v>30800</v>
      </c>
      <c r="R41" s="19">
        <v>28200</v>
      </c>
      <c r="S41" s="19">
        <v>24900</v>
      </c>
      <c r="T41" s="19">
        <v>22500</v>
      </c>
      <c r="U41" s="19">
        <v>25100</v>
      </c>
      <c r="V41" s="19">
        <v>31200</v>
      </c>
      <c r="W41" s="19">
        <v>27500</v>
      </c>
      <c r="X41" s="19">
        <v>29000</v>
      </c>
      <c r="Y41" s="19">
        <v>27600</v>
      </c>
      <c r="Z41" s="19">
        <v>32800</v>
      </c>
      <c r="AA41" s="19">
        <v>25000</v>
      </c>
      <c r="AB41" s="19">
        <v>26900</v>
      </c>
      <c r="AC41" s="19">
        <v>27500</v>
      </c>
      <c r="AD41" s="19">
        <v>28700</v>
      </c>
      <c r="AE41" s="19">
        <v>26700</v>
      </c>
      <c r="AF41" s="19">
        <v>26800</v>
      </c>
      <c r="AG41" s="19">
        <v>35800</v>
      </c>
      <c r="AH41" s="19">
        <v>34400</v>
      </c>
      <c r="AI41" s="19">
        <v>33300</v>
      </c>
      <c r="AJ41" s="19"/>
      <c r="AK41" s="959">
        <f t="shared" si="5"/>
        <v>-0.28051651323797167</v>
      </c>
      <c r="AL41" s="959">
        <f t="shared" si="6"/>
        <v>-1.2232602585811603</v>
      </c>
      <c r="AM41" s="959">
        <f t="shared" si="7"/>
        <v>0.21395876254330926</v>
      </c>
      <c r="AN41" s="959">
        <f t="shared" si="8"/>
        <v>3.0959743937936102</v>
      </c>
      <c r="AO41" s="23"/>
      <c r="AP41" s="959">
        <f t="shared" si="9"/>
        <v>5.7142857142857162</v>
      </c>
      <c r="AQ41" s="114"/>
    </row>
    <row r="42" spans="1:43">
      <c r="C42" s="128" t="s">
        <v>7</v>
      </c>
      <c r="H42" s="2"/>
      <c r="I42" s="20">
        <v>14500</v>
      </c>
      <c r="J42" s="19">
        <v>14900</v>
      </c>
      <c r="K42" s="19">
        <v>14700</v>
      </c>
      <c r="L42" s="19">
        <v>15600</v>
      </c>
      <c r="M42" s="19">
        <v>16300</v>
      </c>
      <c r="N42" s="19">
        <v>16600</v>
      </c>
      <c r="O42" s="19">
        <v>16900</v>
      </c>
      <c r="P42" s="39">
        <v>16800</v>
      </c>
      <c r="Q42" s="240">
        <v>17400</v>
      </c>
      <c r="R42" s="19">
        <v>17600</v>
      </c>
      <c r="S42" s="19">
        <v>17600</v>
      </c>
      <c r="T42" s="19">
        <v>18100</v>
      </c>
      <c r="U42" s="19">
        <v>17700</v>
      </c>
      <c r="V42" s="19">
        <v>18300</v>
      </c>
      <c r="W42" s="19">
        <v>18100</v>
      </c>
      <c r="X42" s="19">
        <v>18000</v>
      </c>
      <c r="Y42" s="19">
        <v>18200</v>
      </c>
      <c r="Z42" s="19">
        <v>18600</v>
      </c>
      <c r="AA42" s="19">
        <v>18900</v>
      </c>
      <c r="AB42" s="19">
        <v>19000</v>
      </c>
      <c r="AC42" s="19">
        <v>19700</v>
      </c>
      <c r="AD42" s="19">
        <v>19500</v>
      </c>
      <c r="AE42" s="19">
        <v>19700</v>
      </c>
      <c r="AF42" s="19">
        <v>20200</v>
      </c>
      <c r="AG42" s="19">
        <v>19900</v>
      </c>
      <c r="AH42" s="19">
        <v>20900</v>
      </c>
      <c r="AI42" s="19">
        <v>21300</v>
      </c>
      <c r="AJ42" s="19"/>
      <c r="AK42" s="959">
        <f t="shared" si="5"/>
        <v>2.3051875220462925</v>
      </c>
      <c r="AL42" s="959">
        <f t="shared" si="6"/>
        <v>0.80292238835706353</v>
      </c>
      <c r="AM42" s="959">
        <f t="shared" si="7"/>
        <v>1.4900632400013825</v>
      </c>
      <c r="AN42" s="959">
        <f t="shared" si="8"/>
        <v>1.6457978024570163</v>
      </c>
      <c r="AO42" s="23"/>
      <c r="AP42" s="959">
        <f t="shared" si="9"/>
        <v>46.896551724137936</v>
      </c>
      <c r="AQ42" s="114"/>
    </row>
    <row r="43" spans="1:43">
      <c r="C43" s="1" t="s">
        <v>5</v>
      </c>
      <c r="H43" s="2"/>
      <c r="I43" s="20">
        <v>14200</v>
      </c>
      <c r="J43" s="19">
        <v>14600</v>
      </c>
      <c r="K43" s="19">
        <v>14400</v>
      </c>
      <c r="L43" s="19">
        <v>15300</v>
      </c>
      <c r="M43" s="19">
        <v>16100</v>
      </c>
      <c r="N43" s="19">
        <v>16500</v>
      </c>
      <c r="O43" s="19">
        <v>16800</v>
      </c>
      <c r="P43" s="39">
        <v>16600</v>
      </c>
      <c r="Q43" s="240">
        <v>17100</v>
      </c>
      <c r="R43" s="19">
        <v>17400</v>
      </c>
      <c r="S43" s="19">
        <v>17600</v>
      </c>
      <c r="T43" s="19">
        <v>17800</v>
      </c>
      <c r="U43" s="19">
        <v>17500</v>
      </c>
      <c r="V43" s="19">
        <v>18200</v>
      </c>
      <c r="W43" s="19">
        <v>18000</v>
      </c>
      <c r="X43" s="19">
        <v>17900</v>
      </c>
      <c r="Y43" s="19">
        <v>18000</v>
      </c>
      <c r="Z43" s="19">
        <v>18300</v>
      </c>
      <c r="AA43" s="19">
        <v>18600</v>
      </c>
      <c r="AB43" s="19">
        <v>18800</v>
      </c>
      <c r="AC43" s="19">
        <v>19400</v>
      </c>
      <c r="AD43" s="19">
        <v>19200</v>
      </c>
      <c r="AE43" s="19">
        <v>19300</v>
      </c>
      <c r="AF43" s="19">
        <v>19800</v>
      </c>
      <c r="AG43" s="19">
        <v>19400</v>
      </c>
      <c r="AH43" s="19">
        <v>20500</v>
      </c>
      <c r="AI43" s="19">
        <v>20700</v>
      </c>
      <c r="AJ43" s="19"/>
      <c r="AK43" s="959">
        <f t="shared" si="5"/>
        <v>2.3501469996244806</v>
      </c>
      <c r="AL43" s="959">
        <f t="shared" si="6"/>
        <v>0.86534452101361126</v>
      </c>
      <c r="AM43" s="959">
        <f t="shared" si="7"/>
        <v>1.4601410129223336</v>
      </c>
      <c r="AN43" s="959">
        <f t="shared" si="8"/>
        <v>1.3848852005124979</v>
      </c>
      <c r="AO43" s="23"/>
      <c r="AP43" s="959">
        <f t="shared" si="9"/>
        <v>45.774647887323951</v>
      </c>
      <c r="AQ43" s="114"/>
    </row>
    <row r="44" spans="1:43">
      <c r="C44" s="1" t="s">
        <v>6</v>
      </c>
      <c r="H44" s="2"/>
      <c r="I44" s="20">
        <v>25300</v>
      </c>
      <c r="J44" s="19">
        <v>23900</v>
      </c>
      <c r="K44" s="19">
        <v>20500</v>
      </c>
      <c r="L44" s="19">
        <v>26300</v>
      </c>
      <c r="M44" s="19">
        <v>25700</v>
      </c>
      <c r="N44" s="19">
        <v>24700</v>
      </c>
      <c r="O44" s="19">
        <v>25200</v>
      </c>
      <c r="P44" s="39">
        <v>27300</v>
      </c>
      <c r="Q44" s="240">
        <v>26700</v>
      </c>
      <c r="R44" s="19">
        <v>25900</v>
      </c>
      <c r="S44" s="19">
        <v>26000</v>
      </c>
      <c r="T44" s="19">
        <v>22200</v>
      </c>
      <c r="U44" s="19">
        <v>24900</v>
      </c>
      <c r="V44" s="19">
        <v>24700</v>
      </c>
      <c r="W44" s="19">
        <v>29700</v>
      </c>
      <c r="X44" s="19">
        <v>24300</v>
      </c>
      <c r="Y44" s="19">
        <v>26000</v>
      </c>
      <c r="Z44" s="19">
        <v>26000</v>
      </c>
      <c r="AA44" s="19">
        <v>25900</v>
      </c>
      <c r="AB44" s="19">
        <v>26700</v>
      </c>
      <c r="AC44" s="19">
        <v>27700</v>
      </c>
      <c r="AD44" s="19">
        <v>25900</v>
      </c>
      <c r="AE44" s="19">
        <v>26500</v>
      </c>
      <c r="AF44" s="19">
        <v>30100</v>
      </c>
      <c r="AG44" s="19">
        <v>29000</v>
      </c>
      <c r="AH44" s="19">
        <v>27600</v>
      </c>
      <c r="AI44" s="19">
        <v>31200</v>
      </c>
      <c r="AJ44" s="19"/>
      <c r="AK44" s="959">
        <f t="shared" si="5"/>
        <v>0.67551097319844544</v>
      </c>
      <c r="AL44" s="959">
        <f t="shared" si="6"/>
        <v>0</v>
      </c>
      <c r="AM44" s="959">
        <f t="shared" si="7"/>
        <v>0.80946513093362871</v>
      </c>
      <c r="AN44" s="959">
        <f t="shared" si="8"/>
        <v>2.2500038981424719</v>
      </c>
      <c r="AO44" s="23"/>
      <c r="AP44" s="959">
        <f t="shared" si="9"/>
        <v>23.320158102766797</v>
      </c>
      <c r="AQ44" s="114"/>
    </row>
    <row r="45" spans="1:43">
      <c r="H45" s="2"/>
      <c r="I45" s="20"/>
      <c r="J45" s="39"/>
      <c r="K45" s="39"/>
      <c r="L45" s="39"/>
      <c r="M45" s="39"/>
      <c r="N45" s="39"/>
      <c r="O45" s="39"/>
      <c r="P45" s="39"/>
      <c r="Q45" s="240"/>
      <c r="R45" s="19"/>
      <c r="S45" s="19"/>
      <c r="T45" s="19"/>
      <c r="U45" s="19"/>
      <c r="V45" s="19"/>
      <c r="W45" s="19"/>
      <c r="X45" s="19"/>
      <c r="Y45" s="19"/>
      <c r="Z45" s="19"/>
      <c r="AA45" s="19"/>
      <c r="AB45" s="19"/>
      <c r="AC45" s="19"/>
      <c r="AD45" s="19"/>
      <c r="AE45" s="19"/>
      <c r="AF45" s="19"/>
      <c r="AG45" s="19"/>
      <c r="AH45" s="19"/>
      <c r="AI45" s="19"/>
      <c r="AJ45" s="19"/>
      <c r="AK45" s="959"/>
      <c r="AL45" s="959"/>
      <c r="AM45" s="959"/>
      <c r="AN45" s="959"/>
      <c r="AO45" s="116"/>
      <c r="AP45" s="959"/>
      <c r="AQ45" s="114"/>
    </row>
    <row r="46" spans="1:43">
      <c r="C46" s="128" t="s">
        <v>8</v>
      </c>
      <c r="H46" s="2"/>
      <c r="I46" s="20">
        <v>29700</v>
      </c>
      <c r="J46" s="19">
        <v>27000</v>
      </c>
      <c r="K46" s="19">
        <v>24500</v>
      </c>
      <c r="L46" s="19">
        <v>25900</v>
      </c>
      <c r="M46" s="19">
        <v>25100</v>
      </c>
      <c r="N46" s="19">
        <v>25000</v>
      </c>
      <c r="O46" s="19">
        <v>25100</v>
      </c>
      <c r="P46" s="39">
        <v>27300</v>
      </c>
      <c r="Q46" s="240">
        <v>27300</v>
      </c>
      <c r="R46" s="19">
        <v>25300</v>
      </c>
      <c r="S46" s="19">
        <v>23800</v>
      </c>
      <c r="T46" s="19">
        <v>21700</v>
      </c>
      <c r="U46" s="19">
        <v>22200</v>
      </c>
      <c r="V46" s="19">
        <v>21700</v>
      </c>
      <c r="W46" s="19">
        <v>22000</v>
      </c>
      <c r="X46" s="19">
        <v>21500</v>
      </c>
      <c r="Y46" s="19">
        <v>20800</v>
      </c>
      <c r="Z46" s="19">
        <v>22400</v>
      </c>
      <c r="AA46" s="19">
        <v>23900</v>
      </c>
      <c r="AB46" s="19">
        <v>25400</v>
      </c>
      <c r="AC46" s="19">
        <v>25600</v>
      </c>
      <c r="AD46" s="19">
        <v>26400</v>
      </c>
      <c r="AE46" s="19">
        <v>26100</v>
      </c>
      <c r="AF46" s="19">
        <v>25600</v>
      </c>
      <c r="AG46" s="19">
        <v>25900</v>
      </c>
      <c r="AH46" s="19">
        <v>26900</v>
      </c>
      <c r="AI46" s="19">
        <v>27600</v>
      </c>
      <c r="AJ46" s="19"/>
      <c r="AK46" s="959">
        <f t="shared" ref="AK46:AK51" si="10">((((Q46/I46))^(1/8))-1)*100</f>
        <v>-1.0477269947002599</v>
      </c>
      <c r="AL46" s="959">
        <f t="shared" ref="AL46:AL51" si="11">((((AB46/Q46))^(1/11))-1)*100</f>
        <v>-0.65365006344975107</v>
      </c>
      <c r="AM46" s="959">
        <f t="shared" ref="AM46:AM51" si="12">((((AI46/I46))^(1/26))-1)*100</f>
        <v>-0.28164598941403662</v>
      </c>
      <c r="AN46" s="959">
        <f t="shared" ref="AN46:AN51" si="13">((((AI46/AB46))^(1/7))-1)*100</f>
        <v>1.193734506439692</v>
      </c>
      <c r="AO46" s="23"/>
      <c r="AP46" s="959">
        <f t="shared" ref="AP46:AP51" si="14">((AI46/I46)-1)*100</f>
        <v>-7.0707070707070718</v>
      </c>
      <c r="AQ46" s="114"/>
    </row>
    <row r="47" spans="1:43">
      <c r="C47" s="1" t="s">
        <v>5</v>
      </c>
      <c r="H47" s="2"/>
      <c r="I47" s="20">
        <v>9000</v>
      </c>
      <c r="J47" s="19">
        <v>9400</v>
      </c>
      <c r="K47" s="19">
        <v>9600</v>
      </c>
      <c r="L47" s="19">
        <v>9500</v>
      </c>
      <c r="M47" s="19">
        <v>9600</v>
      </c>
      <c r="N47" s="19">
        <v>9300</v>
      </c>
      <c r="O47" s="19">
        <v>9800</v>
      </c>
      <c r="P47" s="39">
        <v>9600</v>
      </c>
      <c r="Q47" s="240">
        <v>9500</v>
      </c>
      <c r="R47" s="19">
        <v>10700</v>
      </c>
      <c r="S47" s="19">
        <v>10100</v>
      </c>
      <c r="T47" s="19">
        <v>10800</v>
      </c>
      <c r="U47" s="19">
        <v>10700</v>
      </c>
      <c r="V47" s="19">
        <v>10500</v>
      </c>
      <c r="W47" s="19">
        <v>10100</v>
      </c>
      <c r="X47" s="19">
        <v>9800</v>
      </c>
      <c r="Y47" s="19">
        <v>9800</v>
      </c>
      <c r="Z47" s="19">
        <v>10100</v>
      </c>
      <c r="AA47" s="19">
        <v>10000</v>
      </c>
      <c r="AB47" s="19">
        <v>10200</v>
      </c>
      <c r="AC47" s="19">
        <v>10700</v>
      </c>
      <c r="AD47" s="19">
        <v>9900</v>
      </c>
      <c r="AE47" s="19">
        <v>10400</v>
      </c>
      <c r="AF47" s="19">
        <v>10300</v>
      </c>
      <c r="AG47" s="19">
        <v>10400</v>
      </c>
      <c r="AH47" s="19">
        <v>10400</v>
      </c>
      <c r="AI47" s="19">
        <v>10500</v>
      </c>
      <c r="AJ47" s="19"/>
      <c r="AK47" s="959">
        <f>((((Q47/I47))^(1/8))-1)*100</f>
        <v>0.67812921985541674</v>
      </c>
      <c r="AL47" s="959">
        <f>((((AB47/Q47))^(1/11))-1)*100</f>
        <v>0.64841975807703456</v>
      </c>
      <c r="AM47" s="959">
        <f t="shared" si="12"/>
        <v>0.59464828507940215</v>
      </c>
      <c r="AN47" s="959">
        <f t="shared" si="13"/>
        <v>0.41496628020973869</v>
      </c>
      <c r="AO47" s="23"/>
      <c r="AP47" s="959">
        <f t="shared" si="14"/>
        <v>16.666666666666675</v>
      </c>
      <c r="AQ47" s="114"/>
    </row>
    <row r="48" spans="1:43">
      <c r="C48" s="1" t="s">
        <v>6</v>
      </c>
      <c r="H48" s="2"/>
      <c r="I48" s="20">
        <v>32200</v>
      </c>
      <c r="J48" s="19">
        <v>30200</v>
      </c>
      <c r="K48" s="19">
        <v>28500</v>
      </c>
      <c r="L48" s="19">
        <v>29400</v>
      </c>
      <c r="M48" s="19">
        <v>28300</v>
      </c>
      <c r="N48" s="19">
        <v>27500</v>
      </c>
      <c r="O48" s="19">
        <v>27700</v>
      </c>
      <c r="P48" s="39">
        <v>29700</v>
      </c>
      <c r="Q48" s="240">
        <v>30100</v>
      </c>
      <c r="R48" s="19">
        <v>28400</v>
      </c>
      <c r="S48" s="19">
        <v>27100</v>
      </c>
      <c r="T48" s="19">
        <v>25800</v>
      </c>
      <c r="U48" s="19">
        <v>26500</v>
      </c>
      <c r="V48" s="19">
        <v>26400</v>
      </c>
      <c r="W48" s="19">
        <v>26100</v>
      </c>
      <c r="X48" s="19">
        <v>26300</v>
      </c>
      <c r="Y48" s="19">
        <v>25800</v>
      </c>
      <c r="Z48" s="19">
        <v>27200</v>
      </c>
      <c r="AA48" s="19">
        <v>28000</v>
      </c>
      <c r="AB48" s="19">
        <v>28600</v>
      </c>
      <c r="AC48" s="19">
        <v>29200</v>
      </c>
      <c r="AD48" s="19">
        <v>29600</v>
      </c>
      <c r="AE48" s="19">
        <v>29800</v>
      </c>
      <c r="AF48" s="19">
        <v>29300</v>
      </c>
      <c r="AG48" s="19">
        <v>29800</v>
      </c>
      <c r="AH48" s="19">
        <v>30200</v>
      </c>
      <c r="AI48" s="19">
        <v>31000</v>
      </c>
      <c r="AJ48" s="19"/>
      <c r="AK48" s="959">
        <f t="shared" si="10"/>
        <v>-0.83947259415763087</v>
      </c>
      <c r="AL48" s="959">
        <f t="shared" si="11"/>
        <v>-0.46363509636754285</v>
      </c>
      <c r="AM48" s="959">
        <f t="shared" si="12"/>
        <v>-0.14596739483627719</v>
      </c>
      <c r="AN48" s="959">
        <f t="shared" si="13"/>
        <v>1.1578010361975588</v>
      </c>
      <c r="AO48" s="23"/>
      <c r="AP48" s="959">
        <f t="shared" si="14"/>
        <v>-3.7267080745341574</v>
      </c>
      <c r="AQ48" s="114"/>
    </row>
    <row r="49" spans="1:43">
      <c r="C49" s="128" t="s">
        <v>9</v>
      </c>
      <c r="H49" s="2"/>
      <c r="I49" s="20">
        <v>23000</v>
      </c>
      <c r="J49" s="19">
        <v>23600</v>
      </c>
      <c r="K49" s="19">
        <v>21300</v>
      </c>
      <c r="L49" s="19">
        <v>21500</v>
      </c>
      <c r="M49" s="19">
        <v>21400</v>
      </c>
      <c r="N49" s="19">
        <v>21800</v>
      </c>
      <c r="O49" s="19">
        <v>22100</v>
      </c>
      <c r="P49" s="39">
        <v>21300</v>
      </c>
      <c r="Q49" s="240">
        <v>22200</v>
      </c>
      <c r="R49" s="19">
        <v>21200</v>
      </c>
      <c r="S49" s="19">
        <v>19100</v>
      </c>
      <c r="T49" s="19">
        <v>19100</v>
      </c>
      <c r="U49" s="19">
        <v>20000</v>
      </c>
      <c r="V49" s="19">
        <v>18100</v>
      </c>
      <c r="W49" s="19">
        <v>19600</v>
      </c>
      <c r="X49" s="19">
        <v>18200</v>
      </c>
      <c r="Y49" s="19">
        <v>17800</v>
      </c>
      <c r="Z49" s="19">
        <v>17500</v>
      </c>
      <c r="AA49" s="19">
        <v>18700</v>
      </c>
      <c r="AB49" s="19">
        <v>18600</v>
      </c>
      <c r="AC49" s="19">
        <v>19700</v>
      </c>
      <c r="AD49" s="19">
        <v>21500</v>
      </c>
      <c r="AE49" s="19">
        <v>21300</v>
      </c>
      <c r="AF49" s="19">
        <v>21100</v>
      </c>
      <c r="AG49" s="19">
        <v>21500</v>
      </c>
      <c r="AH49" s="19">
        <v>21900</v>
      </c>
      <c r="AI49" s="19">
        <v>22700</v>
      </c>
      <c r="AJ49" s="19"/>
      <c r="AK49" s="959">
        <f t="shared" si="10"/>
        <v>-0.44154639300404419</v>
      </c>
      <c r="AL49" s="959">
        <f t="shared" si="11"/>
        <v>-1.5955943270066997</v>
      </c>
      <c r="AM49" s="959">
        <f t="shared" si="12"/>
        <v>-5.0484527048166861E-2</v>
      </c>
      <c r="AN49" s="959">
        <f t="shared" si="13"/>
        <v>2.8866407106099778</v>
      </c>
      <c r="AO49" s="23"/>
      <c r="AP49" s="959">
        <f t="shared" si="14"/>
        <v>-1.3043478260869601</v>
      </c>
      <c r="AQ49" s="114"/>
    </row>
    <row r="50" spans="1:43">
      <c r="C50" s="1" t="s">
        <v>5</v>
      </c>
      <c r="H50" s="2"/>
      <c r="I50" s="20">
        <v>9300</v>
      </c>
      <c r="J50" s="19">
        <v>9700</v>
      </c>
      <c r="K50" s="19">
        <v>9600</v>
      </c>
      <c r="L50" s="19">
        <v>9600</v>
      </c>
      <c r="M50" s="19">
        <v>10200</v>
      </c>
      <c r="N50" s="19">
        <v>10500</v>
      </c>
      <c r="O50" s="19">
        <v>11200</v>
      </c>
      <c r="P50" s="39">
        <v>10900</v>
      </c>
      <c r="Q50" s="240">
        <v>10400</v>
      </c>
      <c r="R50" s="19">
        <v>11200</v>
      </c>
      <c r="S50" s="19">
        <v>10600</v>
      </c>
      <c r="T50" s="19">
        <v>11100</v>
      </c>
      <c r="U50" s="19">
        <v>11000</v>
      </c>
      <c r="V50" s="19">
        <v>11500</v>
      </c>
      <c r="W50" s="19">
        <v>11000</v>
      </c>
      <c r="X50" s="19">
        <v>10800</v>
      </c>
      <c r="Y50" s="19">
        <v>10600</v>
      </c>
      <c r="Z50" s="19">
        <v>10300</v>
      </c>
      <c r="AA50" s="19">
        <v>9900</v>
      </c>
      <c r="AB50" s="19">
        <v>9800</v>
      </c>
      <c r="AC50" s="19">
        <v>10700</v>
      </c>
      <c r="AD50" s="19">
        <v>10600</v>
      </c>
      <c r="AE50" s="19">
        <v>10400</v>
      </c>
      <c r="AF50" s="19">
        <v>10400</v>
      </c>
      <c r="AG50" s="19">
        <v>11100</v>
      </c>
      <c r="AH50" s="19">
        <v>10700</v>
      </c>
      <c r="AI50" s="19">
        <v>10800</v>
      </c>
      <c r="AJ50" s="19"/>
      <c r="AK50" s="959">
        <f>((((Q50/I50))^(1/8))-1)*100</f>
        <v>1.4072017424965777</v>
      </c>
      <c r="AL50" s="959">
        <f>((((AB50/Q50))^(1/11))-1)*100</f>
        <v>-0.53875638737285181</v>
      </c>
      <c r="AM50" s="959">
        <f t="shared" si="12"/>
        <v>0.57677905568946919</v>
      </c>
      <c r="AN50" s="959">
        <f t="shared" si="13"/>
        <v>1.3977317402630307</v>
      </c>
      <c r="AO50" s="23"/>
      <c r="AP50" s="959">
        <f t="shared" si="14"/>
        <v>16.129032258064523</v>
      </c>
      <c r="AQ50" s="114"/>
    </row>
    <row r="51" spans="1:43">
      <c r="C51" s="1" t="s">
        <v>10</v>
      </c>
      <c r="H51" s="2"/>
      <c r="I51" s="20">
        <v>26200</v>
      </c>
      <c r="J51" s="19">
        <v>26600</v>
      </c>
      <c r="K51" s="19">
        <v>24600</v>
      </c>
      <c r="L51" s="19">
        <v>24600</v>
      </c>
      <c r="M51" s="19">
        <v>24400</v>
      </c>
      <c r="N51" s="19">
        <v>25500</v>
      </c>
      <c r="O51" s="19">
        <v>24800</v>
      </c>
      <c r="P51" s="39">
        <v>24400</v>
      </c>
      <c r="Q51" s="240">
        <v>25800</v>
      </c>
      <c r="R51" s="19">
        <v>24000</v>
      </c>
      <c r="S51" s="19">
        <v>23500</v>
      </c>
      <c r="T51" s="19">
        <v>24000</v>
      </c>
      <c r="U51" s="19">
        <v>25100</v>
      </c>
      <c r="V51" s="19">
        <v>23200</v>
      </c>
      <c r="W51" s="19">
        <v>24000</v>
      </c>
      <c r="X51" s="19">
        <v>23100</v>
      </c>
      <c r="Y51" s="19">
        <v>23300</v>
      </c>
      <c r="Z51" s="19">
        <v>23800</v>
      </c>
      <c r="AA51" s="19">
        <v>24300</v>
      </c>
      <c r="AB51" s="19">
        <v>23900</v>
      </c>
      <c r="AC51" s="19">
        <v>25400</v>
      </c>
      <c r="AD51" s="19">
        <v>26200</v>
      </c>
      <c r="AE51" s="19">
        <v>25800</v>
      </c>
      <c r="AF51" s="19">
        <v>25500</v>
      </c>
      <c r="AG51" s="19">
        <v>25500</v>
      </c>
      <c r="AH51" s="19">
        <v>26100</v>
      </c>
      <c r="AI51" s="19">
        <v>27100</v>
      </c>
      <c r="AJ51" s="19"/>
      <c r="AK51" s="959">
        <f t="shared" si="10"/>
        <v>-0.19212668543912015</v>
      </c>
      <c r="AL51" s="959">
        <f t="shared" si="11"/>
        <v>-0.69300604282584999</v>
      </c>
      <c r="AM51" s="959">
        <f t="shared" si="12"/>
        <v>0.12998562786645795</v>
      </c>
      <c r="AN51" s="959">
        <f t="shared" si="13"/>
        <v>1.8112835853908882</v>
      </c>
      <c r="AO51" s="23"/>
      <c r="AP51" s="959">
        <f t="shared" si="14"/>
        <v>3.4351145038167941</v>
      </c>
    </row>
    <row r="52" spans="1:43">
      <c r="I52" s="652"/>
      <c r="J52" s="960"/>
      <c r="K52" s="960"/>
      <c r="L52" s="960"/>
      <c r="M52" s="960"/>
      <c r="N52" s="960"/>
      <c r="O52" s="960"/>
      <c r="P52" s="960"/>
      <c r="Q52" s="652"/>
      <c r="R52" s="652"/>
      <c r="S52" s="652"/>
      <c r="T52" s="652"/>
      <c r="U52" s="652"/>
      <c r="V52" s="652"/>
      <c r="W52" s="652"/>
      <c r="X52" s="652"/>
      <c r="Y52" s="652"/>
      <c r="Z52" s="652"/>
      <c r="AA52" s="652"/>
      <c r="AB52" s="652"/>
      <c r="AC52" s="652"/>
      <c r="AD52" s="652"/>
      <c r="AE52" s="652"/>
      <c r="AF52" s="652"/>
      <c r="AG52" s="652"/>
      <c r="AH52" s="300">
        <f>MAX(AH5:AH51)</f>
        <v>90700</v>
      </c>
      <c r="AI52" s="300"/>
      <c r="AJ52" s="300"/>
    </row>
    <row r="53" spans="1:43" ht="24.75" customHeight="1">
      <c r="A53" s="1170" t="s">
        <v>368</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J53" s="1170"/>
      <c r="AK53" s="1170"/>
      <c r="AL53" s="1170"/>
      <c r="AM53" s="1170"/>
      <c r="AN53" s="1170"/>
      <c r="AO53" s="1170"/>
      <c r="AP53" s="1170"/>
    </row>
    <row r="54" spans="1:43">
      <c r="A54" s="4" t="s">
        <v>1868</v>
      </c>
      <c r="B54" s="16"/>
      <c r="C54" s="16"/>
      <c r="D54" s="16"/>
      <c r="E54" s="16"/>
      <c r="F54" s="16"/>
      <c r="G54" s="16"/>
      <c r="H54" s="16"/>
      <c r="I54" s="16"/>
      <c r="J54" s="964"/>
      <c r="K54" s="964"/>
      <c r="L54" s="964"/>
      <c r="M54" s="964"/>
      <c r="N54" s="964"/>
      <c r="O54" s="964"/>
      <c r="P54" s="964"/>
      <c r="Q54" s="16"/>
      <c r="R54" s="16"/>
      <c r="S54" s="16"/>
      <c r="T54" s="16"/>
      <c r="U54" s="16"/>
      <c r="V54" s="16"/>
      <c r="W54" s="16"/>
      <c r="X54" s="16"/>
      <c r="Y54" s="16"/>
      <c r="Z54" s="16"/>
      <c r="AA54" s="16"/>
      <c r="AB54" s="16"/>
      <c r="AC54" s="16"/>
      <c r="AD54" s="16"/>
      <c r="AE54" s="16"/>
      <c r="AF54" s="16"/>
      <c r="AG54" s="16"/>
      <c r="AH54" s="16"/>
      <c r="AI54" s="964"/>
      <c r="AJ54" s="16"/>
      <c r="AK54" s="16"/>
      <c r="AL54" s="16"/>
      <c r="AM54" s="16"/>
      <c r="AN54" s="16"/>
      <c r="AO54" s="16"/>
      <c r="AP54" s="16"/>
    </row>
    <row r="55" spans="1:43">
      <c r="A55" s="4" t="s">
        <v>388</v>
      </c>
      <c r="B55" s="16"/>
      <c r="C55" s="16"/>
      <c r="D55" s="16"/>
      <c r="E55" s="16"/>
      <c r="F55" s="16"/>
      <c r="G55" s="16"/>
      <c r="H55" s="16"/>
      <c r="I55" s="16"/>
      <c r="J55" s="964"/>
      <c r="K55" s="964"/>
      <c r="L55" s="964"/>
      <c r="M55" s="964"/>
      <c r="N55" s="964"/>
      <c r="O55" s="964"/>
      <c r="P55" s="964"/>
      <c r="Q55" s="16"/>
      <c r="R55" s="16"/>
      <c r="S55" s="16"/>
      <c r="T55" s="16"/>
      <c r="U55" s="16"/>
      <c r="V55" s="16"/>
      <c r="W55" s="16"/>
      <c r="X55" s="16"/>
      <c r="Y55" s="16"/>
      <c r="Z55" s="16"/>
      <c r="AA55" s="16"/>
      <c r="AB55" s="16"/>
      <c r="AC55" s="16"/>
      <c r="AD55" s="16"/>
      <c r="AE55" s="16"/>
      <c r="AF55" s="16"/>
      <c r="AG55" s="16"/>
      <c r="AH55" s="16"/>
      <c r="AI55" s="964"/>
      <c r="AJ55" s="16"/>
      <c r="AK55" s="16"/>
      <c r="AL55" s="16"/>
      <c r="AM55" s="16"/>
      <c r="AN55" s="16"/>
      <c r="AO55" s="16"/>
      <c r="AP55" s="16"/>
    </row>
    <row r="56" spans="1:43" ht="15.75" customHeight="1">
      <c r="A56" s="1168" t="s">
        <v>1161</v>
      </c>
      <c r="B56" s="1169"/>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169"/>
      <c r="AN56" s="1169"/>
      <c r="AO56" s="1169"/>
      <c r="AP56" s="1169"/>
    </row>
    <row r="57" spans="1:43" ht="28.5" customHeight="1">
      <c r="A57" s="1168" t="s">
        <v>150</v>
      </c>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c r="AI57" s="1169"/>
      <c r="AJ57" s="1169"/>
      <c r="AK57" s="1169"/>
      <c r="AL57" s="1169"/>
      <c r="AM57" s="1169"/>
      <c r="AN57" s="1169"/>
      <c r="AO57" s="1169"/>
      <c r="AP57" s="1169"/>
    </row>
    <row r="58" spans="1:43">
      <c r="A58" s="1" t="s">
        <v>820</v>
      </c>
    </row>
    <row r="59" spans="1:43">
      <c r="A59" s="1" t="s">
        <v>466</v>
      </c>
    </row>
    <row r="61" spans="1:43">
      <c r="H61" s="961"/>
      <c r="I61" s="961"/>
      <c r="Q61" s="961"/>
      <c r="R61" s="961"/>
      <c r="S61" s="961"/>
      <c r="T61" s="961"/>
      <c r="U61" s="961"/>
      <c r="V61" s="961"/>
      <c r="W61" s="961"/>
      <c r="X61" s="961"/>
      <c r="Y61" s="961"/>
      <c r="Z61" s="961"/>
      <c r="AA61" s="961"/>
      <c r="AB61" s="961"/>
      <c r="AC61" s="961"/>
      <c r="AD61" s="961"/>
      <c r="AE61" s="961"/>
      <c r="AF61" s="961"/>
      <c r="AG61" s="961"/>
      <c r="AH61" s="961"/>
    </row>
    <row r="62" spans="1:43">
      <c r="H62" s="961"/>
      <c r="I62" s="961"/>
      <c r="Q62" s="961"/>
      <c r="R62" s="961"/>
      <c r="S62" s="961"/>
      <c r="T62" s="961"/>
      <c r="U62" s="961"/>
      <c r="V62" s="961"/>
      <c r="W62" s="961"/>
      <c r="X62" s="961"/>
      <c r="Y62" s="961"/>
      <c r="Z62" s="961"/>
      <c r="AA62" s="961"/>
      <c r="AB62" s="961"/>
      <c r="AC62" s="961"/>
      <c r="AD62" s="961"/>
      <c r="AE62" s="961"/>
      <c r="AF62" s="961"/>
      <c r="AG62" s="961"/>
      <c r="AH62" s="961"/>
    </row>
    <row r="63" spans="1:43">
      <c r="H63" s="961"/>
      <c r="I63" s="961"/>
      <c r="Q63" s="961"/>
      <c r="R63" s="961"/>
      <c r="S63" s="961"/>
      <c r="T63" s="961"/>
      <c r="U63" s="961"/>
      <c r="V63" s="961"/>
      <c r="W63" s="961"/>
      <c r="X63" s="961"/>
      <c r="Y63" s="961"/>
      <c r="Z63" s="961"/>
      <c r="AA63" s="961"/>
      <c r="AB63" s="961"/>
      <c r="AC63" s="961"/>
      <c r="AD63" s="961"/>
      <c r="AE63" s="961"/>
      <c r="AF63" s="961"/>
      <c r="AG63" s="961"/>
      <c r="AH63" s="961"/>
    </row>
    <row r="64" spans="1:43">
      <c r="H64" s="961"/>
      <c r="I64" s="961"/>
      <c r="Q64" s="961"/>
      <c r="R64" s="961"/>
      <c r="S64" s="961"/>
      <c r="T64" s="961"/>
      <c r="U64" s="961"/>
      <c r="V64" s="961"/>
      <c r="W64" s="961"/>
      <c r="X64" s="961"/>
      <c r="Y64" s="961"/>
      <c r="Z64" s="961"/>
      <c r="AA64" s="961"/>
      <c r="AB64" s="961"/>
      <c r="AC64" s="961"/>
      <c r="AD64" s="961"/>
      <c r="AE64" s="961"/>
      <c r="AF64" s="961"/>
      <c r="AG64" s="961"/>
      <c r="AH64" s="961"/>
    </row>
    <row r="65" spans="8:34">
      <c r="H65" s="961"/>
      <c r="I65" s="961"/>
      <c r="Q65" s="961"/>
      <c r="R65" s="961"/>
      <c r="S65" s="961"/>
      <c r="T65" s="961"/>
      <c r="U65" s="961"/>
      <c r="V65" s="961"/>
      <c r="W65" s="961"/>
      <c r="X65" s="961"/>
      <c r="Y65" s="961"/>
      <c r="Z65" s="961"/>
      <c r="AA65" s="961"/>
      <c r="AB65" s="961"/>
      <c r="AC65" s="961"/>
      <c r="AD65" s="961"/>
      <c r="AE65" s="961"/>
      <c r="AF65" s="961"/>
      <c r="AG65" s="961"/>
      <c r="AH65" s="961"/>
    </row>
    <row r="66" spans="8:34">
      <c r="H66" s="961"/>
      <c r="I66" s="961"/>
      <c r="Q66" s="961"/>
      <c r="R66" s="961"/>
      <c r="S66" s="961"/>
      <c r="T66" s="961"/>
      <c r="U66" s="961"/>
      <c r="V66" s="961"/>
      <c r="W66" s="961"/>
      <c r="X66" s="961"/>
      <c r="Y66" s="961"/>
      <c r="Z66" s="961"/>
      <c r="AA66" s="961"/>
      <c r="AB66" s="961"/>
      <c r="AC66" s="961"/>
      <c r="AD66" s="961"/>
      <c r="AE66" s="961"/>
      <c r="AF66" s="961"/>
      <c r="AG66" s="961"/>
      <c r="AH66" s="961"/>
    </row>
    <row r="67" spans="8:34">
      <c r="H67" s="961"/>
      <c r="I67" s="961"/>
      <c r="Q67" s="961"/>
      <c r="R67" s="961"/>
      <c r="S67" s="961"/>
      <c r="T67" s="961"/>
      <c r="U67" s="961"/>
      <c r="V67" s="961"/>
      <c r="W67" s="961"/>
      <c r="X67" s="961"/>
      <c r="Y67" s="961"/>
      <c r="Z67" s="961"/>
      <c r="AA67" s="961"/>
      <c r="AB67" s="961"/>
      <c r="AC67" s="961"/>
      <c r="AD67" s="961"/>
      <c r="AE67" s="961"/>
      <c r="AF67" s="961"/>
      <c r="AG67" s="961"/>
      <c r="AH67" s="961"/>
    </row>
    <row r="68" spans="8:34">
      <c r="H68" s="961"/>
      <c r="I68" s="961"/>
      <c r="Q68" s="961"/>
      <c r="R68" s="961"/>
      <c r="S68" s="961"/>
      <c r="T68" s="961"/>
      <c r="U68" s="961"/>
      <c r="V68" s="961"/>
      <c r="W68" s="961"/>
      <c r="X68" s="961"/>
      <c r="Y68" s="961"/>
      <c r="Z68" s="961"/>
      <c r="AA68" s="961"/>
      <c r="AB68" s="961"/>
      <c r="AC68" s="961"/>
      <c r="AD68" s="961"/>
      <c r="AE68" s="961"/>
      <c r="AF68" s="961"/>
      <c r="AG68" s="961"/>
      <c r="AH68" s="961"/>
    </row>
    <row r="69" spans="8:34">
      <c r="H69" s="961"/>
      <c r="I69" s="961"/>
      <c r="Q69" s="961"/>
      <c r="R69" s="961"/>
      <c r="S69" s="961"/>
      <c r="T69" s="961"/>
      <c r="U69" s="961"/>
      <c r="V69" s="961"/>
      <c r="W69" s="961"/>
      <c r="X69" s="961"/>
      <c r="Y69" s="961"/>
      <c r="Z69" s="961"/>
      <c r="AA69" s="961"/>
      <c r="AB69" s="961"/>
      <c r="AC69" s="961"/>
      <c r="AD69" s="961"/>
      <c r="AE69" s="961"/>
      <c r="AF69" s="961"/>
      <c r="AG69" s="961"/>
      <c r="AH69" s="961"/>
    </row>
    <row r="70" spans="8:34">
      <c r="H70" s="961"/>
      <c r="I70" s="961"/>
      <c r="Q70" s="961"/>
      <c r="R70" s="961"/>
      <c r="S70" s="961"/>
      <c r="T70" s="961"/>
      <c r="U70" s="961"/>
      <c r="V70" s="961"/>
      <c r="W70" s="961"/>
      <c r="X70" s="961"/>
      <c r="Y70" s="961"/>
      <c r="Z70" s="961"/>
      <c r="AA70" s="961"/>
      <c r="AB70" s="961"/>
      <c r="AC70" s="961"/>
      <c r="AD70" s="961"/>
      <c r="AE70" s="961"/>
      <c r="AF70" s="961"/>
      <c r="AG70" s="961"/>
      <c r="AH70" s="961"/>
    </row>
    <row r="71" spans="8:34">
      <c r="H71" s="961"/>
      <c r="I71" s="961"/>
      <c r="Q71" s="961"/>
      <c r="R71" s="961"/>
      <c r="S71" s="961"/>
      <c r="T71" s="961"/>
      <c r="U71" s="961"/>
      <c r="V71" s="961"/>
      <c r="W71" s="961"/>
      <c r="X71" s="961"/>
      <c r="Y71" s="961"/>
      <c r="Z71" s="961"/>
      <c r="AA71" s="961"/>
      <c r="AB71" s="961"/>
      <c r="AC71" s="961"/>
      <c r="AD71" s="961"/>
      <c r="AE71" s="961"/>
      <c r="AF71" s="961"/>
      <c r="AG71" s="961"/>
      <c r="AH71" s="961"/>
    </row>
    <row r="72" spans="8:34">
      <c r="H72" s="961"/>
      <c r="I72" s="961"/>
      <c r="Q72" s="961"/>
      <c r="R72" s="961"/>
      <c r="S72" s="961"/>
      <c r="T72" s="961"/>
      <c r="U72" s="961"/>
      <c r="V72" s="961"/>
      <c r="W72" s="961"/>
      <c r="X72" s="961"/>
      <c r="Y72" s="961"/>
      <c r="Z72" s="961"/>
      <c r="AA72" s="961"/>
      <c r="AB72" s="961"/>
      <c r="AC72" s="961"/>
      <c r="AD72" s="961"/>
      <c r="AE72" s="961"/>
      <c r="AF72" s="961"/>
      <c r="AG72" s="961"/>
      <c r="AH72" s="961"/>
    </row>
    <row r="73" spans="8:34">
      <c r="H73" s="961"/>
      <c r="I73" s="961"/>
      <c r="Q73" s="961"/>
      <c r="R73" s="961"/>
      <c r="S73" s="961"/>
      <c r="T73" s="961"/>
      <c r="U73" s="961"/>
      <c r="V73" s="961"/>
      <c r="W73" s="961"/>
      <c r="X73" s="961"/>
      <c r="Y73" s="961"/>
      <c r="Z73" s="961"/>
      <c r="AA73" s="961"/>
      <c r="AB73" s="961"/>
      <c r="AC73" s="961"/>
      <c r="AD73" s="961"/>
      <c r="AE73" s="961"/>
      <c r="AF73" s="961"/>
      <c r="AG73" s="961"/>
      <c r="AH73" s="961"/>
    </row>
    <row r="74" spans="8:34">
      <c r="H74" s="961"/>
      <c r="I74" s="961"/>
      <c r="Q74" s="961"/>
      <c r="R74" s="961"/>
      <c r="S74" s="961"/>
      <c r="T74" s="961"/>
      <c r="U74" s="961"/>
      <c r="V74" s="961"/>
      <c r="W74" s="961"/>
      <c r="X74" s="961"/>
      <c r="Y74" s="961"/>
      <c r="Z74" s="961"/>
      <c r="AA74" s="961"/>
      <c r="AB74" s="961"/>
      <c r="AC74" s="961"/>
      <c r="AD74" s="961"/>
      <c r="AE74" s="961"/>
      <c r="AF74" s="961"/>
      <c r="AG74" s="961"/>
      <c r="AH74" s="961"/>
    </row>
    <row r="75" spans="8:34">
      <c r="H75" s="961"/>
      <c r="I75" s="961"/>
      <c r="Q75" s="961"/>
      <c r="R75" s="961"/>
      <c r="S75" s="961"/>
      <c r="T75" s="961"/>
      <c r="U75" s="961"/>
      <c r="V75" s="961"/>
      <c r="W75" s="961"/>
      <c r="X75" s="961"/>
      <c r="Y75" s="961"/>
      <c r="Z75" s="961"/>
      <c r="AA75" s="961"/>
      <c r="AB75" s="961"/>
      <c r="AC75" s="961"/>
      <c r="AD75" s="961"/>
      <c r="AE75" s="961"/>
      <c r="AF75" s="961"/>
      <c r="AG75" s="961"/>
      <c r="AH75" s="961"/>
    </row>
    <row r="76" spans="8:34">
      <c r="H76" s="961"/>
      <c r="I76" s="961"/>
      <c r="Q76" s="961"/>
      <c r="R76" s="961"/>
      <c r="S76" s="961"/>
      <c r="T76" s="961"/>
      <c r="U76" s="961"/>
      <c r="V76" s="961"/>
      <c r="W76" s="961"/>
      <c r="X76" s="961"/>
      <c r="Y76" s="961"/>
      <c r="Z76" s="961"/>
      <c r="AA76" s="961"/>
      <c r="AB76" s="961"/>
      <c r="AC76" s="961"/>
      <c r="AD76" s="961"/>
      <c r="AE76" s="961"/>
      <c r="AF76" s="961"/>
      <c r="AG76" s="961"/>
      <c r="AH76" s="961"/>
    </row>
    <row r="77" spans="8:34">
      <c r="H77" s="961"/>
      <c r="I77" s="961"/>
      <c r="Q77" s="961"/>
      <c r="R77" s="961"/>
      <c r="S77" s="961"/>
      <c r="T77" s="961"/>
      <c r="U77" s="961"/>
      <c r="V77" s="961"/>
      <c r="W77" s="961"/>
      <c r="X77" s="961"/>
      <c r="Y77" s="961"/>
      <c r="Z77" s="961"/>
      <c r="AA77" s="961"/>
      <c r="AB77" s="961"/>
      <c r="AC77" s="961"/>
      <c r="AD77" s="961"/>
      <c r="AE77" s="961"/>
      <c r="AF77" s="961"/>
      <c r="AG77" s="961"/>
      <c r="AH77" s="961"/>
    </row>
    <row r="78" spans="8:34">
      <c r="H78" s="961"/>
      <c r="I78" s="961"/>
      <c r="Q78" s="961"/>
      <c r="R78" s="961"/>
      <c r="S78" s="961"/>
      <c r="T78" s="961"/>
      <c r="U78" s="961"/>
      <c r="V78" s="961"/>
      <c r="W78" s="961"/>
      <c r="X78" s="961"/>
      <c r="Y78" s="961"/>
      <c r="Z78" s="961"/>
      <c r="AA78" s="961"/>
      <c r="AB78" s="961"/>
      <c r="AC78" s="961"/>
      <c r="AD78" s="961"/>
      <c r="AE78" s="961"/>
      <c r="AF78" s="961"/>
      <c r="AG78" s="961"/>
      <c r="AH78" s="961"/>
    </row>
    <row r="79" spans="8:34">
      <c r="H79" s="961"/>
      <c r="I79" s="961"/>
      <c r="Q79" s="961"/>
      <c r="R79" s="961"/>
      <c r="S79" s="961"/>
      <c r="T79" s="961"/>
      <c r="U79" s="961"/>
      <c r="V79" s="961"/>
      <c r="W79" s="961"/>
      <c r="X79" s="961"/>
      <c r="Y79" s="961"/>
      <c r="Z79" s="961"/>
      <c r="AA79" s="961"/>
      <c r="AB79" s="961"/>
      <c r="AC79" s="961"/>
      <c r="AD79" s="961"/>
      <c r="AE79" s="961"/>
      <c r="AF79" s="961"/>
      <c r="AG79" s="961"/>
      <c r="AH79" s="961"/>
    </row>
    <row r="80" spans="8:34">
      <c r="H80" s="961"/>
      <c r="I80" s="961"/>
      <c r="Q80" s="961"/>
      <c r="R80" s="961"/>
      <c r="S80" s="961"/>
      <c r="T80" s="961"/>
      <c r="U80" s="961"/>
      <c r="V80" s="961"/>
      <c r="W80" s="961"/>
      <c r="X80" s="961"/>
      <c r="Y80" s="961"/>
      <c r="Z80" s="961"/>
      <c r="AA80" s="961"/>
      <c r="AB80" s="961"/>
      <c r="AC80" s="961"/>
      <c r="AD80" s="961"/>
      <c r="AE80" s="961"/>
      <c r="AF80" s="961"/>
      <c r="AG80" s="961"/>
      <c r="AH80" s="961"/>
    </row>
    <row r="81" spans="8:34">
      <c r="H81" s="961"/>
      <c r="I81" s="961"/>
      <c r="Q81" s="961"/>
      <c r="R81" s="961"/>
      <c r="S81" s="961"/>
      <c r="T81" s="961"/>
      <c r="U81" s="961"/>
      <c r="V81" s="961"/>
      <c r="W81" s="961"/>
      <c r="X81" s="961"/>
      <c r="Y81" s="961"/>
      <c r="Z81" s="961"/>
      <c r="AA81" s="961"/>
      <c r="AB81" s="961"/>
      <c r="AC81" s="961"/>
      <c r="AD81" s="961"/>
      <c r="AE81" s="961"/>
      <c r="AF81" s="961"/>
      <c r="AG81" s="961"/>
      <c r="AH81" s="961"/>
    </row>
    <row r="82" spans="8:34">
      <c r="H82" s="961"/>
      <c r="I82" s="961"/>
      <c r="Q82" s="961"/>
      <c r="R82" s="961"/>
      <c r="S82" s="961"/>
      <c r="T82" s="961"/>
      <c r="U82" s="961"/>
      <c r="V82" s="961"/>
      <c r="W82" s="961"/>
      <c r="X82" s="961"/>
      <c r="Y82" s="961"/>
      <c r="Z82" s="961"/>
      <c r="AA82" s="961"/>
      <c r="AB82" s="961"/>
      <c r="AC82" s="961"/>
      <c r="AD82" s="961"/>
      <c r="AE82" s="961"/>
      <c r="AF82" s="961"/>
      <c r="AG82" s="961"/>
      <c r="AH82" s="961"/>
    </row>
    <row r="83" spans="8:34">
      <c r="H83" s="961"/>
      <c r="I83" s="961"/>
      <c r="Q83" s="961"/>
      <c r="R83" s="961"/>
      <c r="S83" s="961"/>
      <c r="T83" s="961"/>
      <c r="U83" s="961"/>
      <c r="V83" s="961"/>
      <c r="W83" s="961"/>
      <c r="X83" s="961"/>
      <c r="Y83" s="961"/>
      <c r="Z83" s="961"/>
      <c r="AA83" s="961"/>
      <c r="AB83" s="961"/>
      <c r="AC83" s="961"/>
      <c r="AD83" s="961"/>
      <c r="AE83" s="961"/>
      <c r="AF83" s="961"/>
      <c r="AG83" s="961"/>
      <c r="AH83" s="961"/>
    </row>
    <row r="84" spans="8:34">
      <c r="H84" s="961"/>
      <c r="I84" s="961"/>
      <c r="Q84" s="961"/>
      <c r="R84" s="961"/>
      <c r="S84" s="961"/>
      <c r="T84" s="961"/>
      <c r="U84" s="961"/>
      <c r="V84" s="961"/>
      <c r="W84" s="961"/>
      <c r="X84" s="961"/>
      <c r="Y84" s="961"/>
      <c r="Z84" s="961"/>
      <c r="AA84" s="961"/>
      <c r="AB84" s="961"/>
      <c r="AC84" s="961"/>
      <c r="AD84" s="961"/>
      <c r="AE84" s="961"/>
      <c r="AF84" s="961"/>
      <c r="AG84" s="961"/>
      <c r="AH84" s="961"/>
    </row>
    <row r="85" spans="8:34">
      <c r="H85" s="961"/>
      <c r="I85" s="961"/>
      <c r="Q85" s="961"/>
      <c r="R85" s="961"/>
      <c r="S85" s="961"/>
      <c r="T85" s="961"/>
      <c r="U85" s="961"/>
      <c r="V85" s="961"/>
      <c r="W85" s="961"/>
      <c r="X85" s="961"/>
      <c r="Y85" s="961"/>
      <c r="Z85" s="961"/>
      <c r="AA85" s="961"/>
      <c r="AB85" s="961"/>
      <c r="AC85" s="961"/>
      <c r="AD85" s="961"/>
      <c r="AE85" s="961"/>
      <c r="AF85" s="961"/>
      <c r="AG85" s="961"/>
      <c r="AH85" s="961"/>
    </row>
    <row r="86" spans="8:34">
      <c r="H86" s="961"/>
      <c r="I86" s="961"/>
      <c r="Q86" s="961"/>
      <c r="R86" s="961"/>
      <c r="S86" s="961"/>
      <c r="T86" s="961"/>
      <c r="U86" s="961"/>
      <c r="V86" s="961"/>
      <c r="W86" s="961"/>
      <c r="X86" s="961"/>
      <c r="Y86" s="961"/>
      <c r="Z86" s="961"/>
      <c r="AA86" s="961"/>
      <c r="AB86" s="961"/>
      <c r="AC86" s="961"/>
      <c r="AD86" s="961"/>
      <c r="AE86" s="961"/>
      <c r="AF86" s="961"/>
      <c r="AG86" s="961"/>
      <c r="AH86" s="961"/>
    </row>
    <row r="87" spans="8:34">
      <c r="H87" s="961"/>
      <c r="I87" s="961"/>
      <c r="Q87" s="961"/>
      <c r="R87" s="961"/>
      <c r="S87" s="961"/>
      <c r="T87" s="961"/>
      <c r="U87" s="961"/>
      <c r="V87" s="961"/>
      <c r="W87" s="961"/>
      <c r="X87" s="961"/>
      <c r="Y87" s="961"/>
      <c r="Z87" s="961"/>
      <c r="AA87" s="961"/>
      <c r="AB87" s="961"/>
      <c r="AC87" s="961"/>
      <c r="AD87" s="961"/>
      <c r="AE87" s="961"/>
      <c r="AF87" s="961"/>
      <c r="AG87" s="961"/>
      <c r="AH87" s="961"/>
    </row>
    <row r="88" spans="8:34">
      <c r="H88" s="961"/>
      <c r="I88" s="961"/>
      <c r="Q88" s="961"/>
      <c r="R88" s="961"/>
      <c r="S88" s="961"/>
      <c r="T88" s="961"/>
      <c r="U88" s="961"/>
      <c r="V88" s="961"/>
      <c r="W88" s="961"/>
      <c r="X88" s="961"/>
      <c r="Y88" s="961"/>
      <c r="Z88" s="961"/>
      <c r="AA88" s="961"/>
      <c r="AB88" s="961"/>
      <c r="AC88" s="961"/>
      <c r="AD88" s="961"/>
      <c r="AE88" s="961"/>
      <c r="AF88" s="961"/>
      <c r="AG88" s="961"/>
      <c r="AH88" s="961"/>
    </row>
    <row r="89" spans="8:34">
      <c r="H89" s="961"/>
      <c r="I89" s="961"/>
      <c r="Q89" s="961"/>
      <c r="R89" s="961"/>
      <c r="S89" s="961"/>
      <c r="T89" s="961"/>
      <c r="U89" s="961"/>
      <c r="V89" s="961"/>
      <c r="W89" s="961"/>
      <c r="X89" s="961"/>
      <c r="Y89" s="961"/>
      <c r="Z89" s="961"/>
      <c r="AA89" s="961"/>
      <c r="AB89" s="961"/>
      <c r="AC89" s="961"/>
      <c r="AD89" s="961"/>
      <c r="AE89" s="961"/>
      <c r="AF89" s="961"/>
      <c r="AG89" s="961"/>
      <c r="AH89" s="961"/>
    </row>
    <row r="90" spans="8:34">
      <c r="H90" s="961"/>
      <c r="I90" s="961"/>
      <c r="Q90" s="961"/>
      <c r="R90" s="961"/>
      <c r="S90" s="961"/>
      <c r="T90" s="961"/>
      <c r="U90" s="961"/>
      <c r="V90" s="961"/>
      <c r="W90" s="961"/>
      <c r="X90" s="961"/>
      <c r="Y90" s="961"/>
      <c r="Z90" s="961"/>
      <c r="AA90" s="961"/>
      <c r="AB90" s="961"/>
      <c r="AC90" s="961"/>
      <c r="AD90" s="961"/>
      <c r="AE90" s="961"/>
      <c r="AF90" s="961"/>
      <c r="AG90" s="961"/>
      <c r="AH90" s="961"/>
    </row>
    <row r="91" spans="8:34">
      <c r="H91" s="961"/>
      <c r="I91" s="961"/>
      <c r="Q91" s="961"/>
      <c r="R91" s="961"/>
      <c r="S91" s="961"/>
      <c r="T91" s="961"/>
      <c r="U91" s="961"/>
      <c r="V91" s="961"/>
      <c r="W91" s="961"/>
      <c r="X91" s="961"/>
      <c r="Y91" s="961"/>
      <c r="Z91" s="961"/>
      <c r="AA91" s="961"/>
      <c r="AB91" s="961"/>
      <c r="AC91" s="961"/>
      <c r="AD91" s="961"/>
      <c r="AE91" s="961"/>
      <c r="AF91" s="961"/>
      <c r="AG91" s="961"/>
      <c r="AH91" s="961"/>
    </row>
    <row r="92" spans="8:34">
      <c r="H92" s="961"/>
      <c r="I92" s="961"/>
      <c r="Q92" s="961"/>
      <c r="R92" s="961"/>
      <c r="S92" s="961"/>
      <c r="T92" s="961"/>
      <c r="U92" s="961"/>
      <c r="V92" s="961"/>
      <c r="W92" s="961"/>
      <c r="X92" s="961"/>
      <c r="Y92" s="961"/>
      <c r="Z92" s="961"/>
      <c r="AA92" s="961"/>
      <c r="AB92" s="961"/>
      <c r="AC92" s="961"/>
      <c r="AD92" s="961"/>
      <c r="AE92" s="961"/>
      <c r="AF92" s="961"/>
      <c r="AG92" s="961"/>
      <c r="AH92" s="961"/>
    </row>
    <row r="93" spans="8:34">
      <c r="H93" s="961"/>
      <c r="I93" s="961"/>
      <c r="Q93" s="961"/>
      <c r="R93" s="961"/>
      <c r="S93" s="961"/>
      <c r="T93" s="961"/>
      <c r="U93" s="961"/>
      <c r="V93" s="961"/>
      <c r="W93" s="961"/>
      <c r="X93" s="961"/>
      <c r="Y93" s="961"/>
      <c r="Z93" s="961"/>
      <c r="AA93" s="961"/>
      <c r="AB93" s="961"/>
      <c r="AC93" s="961"/>
      <c r="AD93" s="961"/>
      <c r="AE93" s="961"/>
      <c r="AF93" s="961"/>
      <c r="AG93" s="961"/>
      <c r="AH93" s="961"/>
    </row>
    <row r="94" spans="8:34">
      <c r="H94" s="961"/>
      <c r="I94" s="961"/>
      <c r="Q94" s="961"/>
      <c r="R94" s="961"/>
      <c r="S94" s="961"/>
      <c r="T94" s="961"/>
      <c r="U94" s="961"/>
      <c r="V94" s="961"/>
      <c r="W94" s="961"/>
      <c r="X94" s="961"/>
      <c r="Y94" s="961"/>
      <c r="Z94" s="961"/>
      <c r="AA94" s="961"/>
      <c r="AB94" s="961"/>
      <c r="AC94" s="961"/>
      <c r="AD94" s="961"/>
      <c r="AE94" s="961"/>
      <c r="AF94" s="961"/>
      <c r="AG94" s="961"/>
      <c r="AH94" s="961"/>
    </row>
    <row r="95" spans="8:34">
      <c r="H95" s="961"/>
      <c r="I95" s="961"/>
      <c r="Q95" s="961"/>
      <c r="R95" s="961"/>
      <c r="S95" s="961"/>
      <c r="T95" s="961"/>
      <c r="U95" s="961"/>
      <c r="V95" s="961"/>
      <c r="W95" s="961"/>
      <c r="X95" s="961"/>
      <c r="Y95" s="961"/>
      <c r="Z95" s="961"/>
      <c r="AA95" s="961"/>
      <c r="AB95" s="961"/>
      <c r="AC95" s="961"/>
      <c r="AD95" s="961"/>
      <c r="AE95" s="961"/>
      <c r="AF95" s="961"/>
      <c r="AG95" s="961"/>
      <c r="AH95" s="961"/>
    </row>
    <row r="96" spans="8:34">
      <c r="H96" s="961"/>
      <c r="I96" s="961"/>
      <c r="Q96" s="961"/>
      <c r="R96" s="961"/>
      <c r="S96" s="961"/>
      <c r="T96" s="961"/>
      <c r="U96" s="961"/>
      <c r="V96" s="961"/>
      <c r="W96" s="961"/>
      <c r="X96" s="961"/>
      <c r="Y96" s="961"/>
      <c r="Z96" s="961"/>
      <c r="AA96" s="961"/>
      <c r="AB96" s="961"/>
      <c r="AC96" s="961"/>
      <c r="AD96" s="961"/>
      <c r="AE96" s="961"/>
      <c r="AF96" s="961"/>
      <c r="AG96" s="961"/>
      <c r="AH96" s="961"/>
    </row>
    <row r="97" spans="8:34">
      <c r="H97" s="961"/>
      <c r="I97" s="961"/>
      <c r="Q97" s="961"/>
      <c r="R97" s="961"/>
      <c r="S97" s="961"/>
      <c r="T97" s="961"/>
      <c r="U97" s="961"/>
      <c r="V97" s="961"/>
      <c r="W97" s="961"/>
      <c r="X97" s="961"/>
      <c r="Y97" s="961"/>
      <c r="Z97" s="961"/>
      <c r="AA97" s="961"/>
      <c r="AB97" s="961"/>
      <c r="AC97" s="961"/>
      <c r="AD97" s="961"/>
      <c r="AE97" s="961"/>
      <c r="AF97" s="961"/>
      <c r="AG97" s="961"/>
      <c r="AH97" s="961"/>
    </row>
    <row r="98" spans="8:34">
      <c r="H98" s="961"/>
      <c r="I98" s="961"/>
      <c r="Q98" s="961"/>
      <c r="R98" s="961"/>
      <c r="S98" s="961"/>
      <c r="T98" s="961"/>
      <c r="U98" s="961"/>
      <c r="V98" s="961"/>
      <c r="W98" s="961"/>
      <c r="X98" s="961"/>
      <c r="Y98" s="961"/>
      <c r="Z98" s="961"/>
      <c r="AA98" s="961"/>
      <c r="AB98" s="961"/>
      <c r="AC98" s="961"/>
      <c r="AD98" s="961"/>
      <c r="AE98" s="961"/>
      <c r="AF98" s="961"/>
      <c r="AG98" s="961"/>
      <c r="AH98" s="961"/>
    </row>
  </sheetData>
  <mergeCells count="4">
    <mergeCell ref="AK3:AN3"/>
    <mergeCell ref="A53:AP53"/>
    <mergeCell ref="A56:AP56"/>
    <mergeCell ref="A57:AP57"/>
  </mergeCells>
  <phoneticPr fontId="35" type="noConversion"/>
  <pageMargins left="0.75" right="0.75" top="1" bottom="1" header="0.5" footer="0.5"/>
  <pageSetup scale="53" orientation="landscape" horizontalDpi="300" verticalDpi="300" r:id="rId1"/>
  <headerFooter alignWithMargins="0"/>
</worksheet>
</file>

<file path=xl/worksheets/sheet55.xml><?xml version="1.0" encoding="utf-8"?>
<worksheet xmlns="http://schemas.openxmlformats.org/spreadsheetml/2006/main" xmlns:r="http://schemas.openxmlformats.org/officeDocument/2006/relationships">
  <sheetPr codeName="Sheet22"/>
  <dimension ref="A1:X76"/>
  <sheetViews>
    <sheetView view="pageBreakPreview" zoomScale="98" zoomScaleSheetLayoutView="98" workbookViewId="0">
      <pane xSplit="1" ySplit="5" topLeftCell="B39"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7" width="14.7109375" style="1" customWidth="1"/>
    <col min="8" max="10" width="9.28515625" style="1" bestFit="1" customWidth="1"/>
    <col min="11" max="12" width="9.85546875" style="1" bestFit="1" customWidth="1"/>
    <col min="13" max="13" width="9.28515625" style="1" bestFit="1" customWidth="1"/>
    <col min="14" max="14" width="9.42578125" style="1" bestFit="1" customWidth="1"/>
    <col min="15" max="15" width="9.28515625" style="1" bestFit="1" customWidth="1"/>
    <col min="16" max="16" width="9.85546875" style="1" bestFit="1" customWidth="1"/>
    <col min="17" max="16384" width="9.140625" style="1"/>
  </cols>
  <sheetData>
    <row r="1" spans="1:24" ht="15.75">
      <c r="A1" s="4"/>
      <c r="B1" s="3" t="s">
        <v>2139</v>
      </c>
      <c r="C1" s="4"/>
      <c r="D1" s="4"/>
      <c r="E1" s="4"/>
      <c r="F1" s="4"/>
      <c r="G1" s="4"/>
    </row>
    <row r="2" spans="1:24">
      <c r="A2" s="4"/>
      <c r="B2" s="25"/>
      <c r="C2" s="25"/>
      <c r="D2" s="25"/>
      <c r="E2" s="25"/>
      <c r="F2" s="25"/>
      <c r="G2" s="25"/>
    </row>
    <row r="3" spans="1:24" ht="15">
      <c r="A3" s="4"/>
      <c r="B3" s="1177"/>
      <c r="C3" s="1177"/>
      <c r="D3" s="1177"/>
      <c r="E3" s="1177"/>
      <c r="F3" s="1177"/>
      <c r="G3" s="1177"/>
      <c r="H3" s="4"/>
    </row>
    <row r="4" spans="1:24" ht="12.75" customHeight="1">
      <c r="A4" s="2"/>
      <c r="B4" s="1172" t="s">
        <v>151</v>
      </c>
      <c r="C4" s="1172" t="s">
        <v>376</v>
      </c>
      <c r="D4" s="1172" t="s">
        <v>1007</v>
      </c>
      <c r="E4" s="1172" t="s">
        <v>1008</v>
      </c>
      <c r="F4" s="1172" t="s">
        <v>1009</v>
      </c>
      <c r="G4" s="1172" t="s">
        <v>152</v>
      </c>
      <c r="H4" s="1164"/>
      <c r="I4" s="1164"/>
      <c r="J4" s="4"/>
      <c r="K4" s="4"/>
    </row>
    <row r="5" spans="1:24" s="4" customFormat="1" ht="64.5" customHeight="1">
      <c r="A5" s="7"/>
      <c r="B5" s="1173"/>
      <c r="C5" s="1173"/>
      <c r="D5" s="1173"/>
      <c r="E5" s="1173"/>
      <c r="F5" s="1173"/>
      <c r="G5" s="1173"/>
      <c r="H5" s="1164"/>
      <c r="I5" s="1164"/>
    </row>
    <row r="6" spans="1:24" ht="15">
      <c r="A6" s="120">
        <v>1961</v>
      </c>
      <c r="B6" s="25">
        <f>K6/1000</f>
        <v>132.79400000000001</v>
      </c>
      <c r="C6" s="25">
        <f>L6/1000</f>
        <v>110.315</v>
      </c>
      <c r="D6" s="25">
        <f t="shared" ref="D6:D49" si="0">M6/1000</f>
        <v>13.023</v>
      </c>
      <c r="E6" s="25">
        <f>N6/1000</f>
        <v>9.4559999999999995</v>
      </c>
      <c r="F6" s="25">
        <f>O6/1000</f>
        <v>17.006</v>
      </c>
      <c r="G6" s="25">
        <f t="shared" ref="G6:G49" si="1">P6/1000</f>
        <v>149.80000000000001</v>
      </c>
      <c r="H6" s="644"/>
      <c r="I6" s="23"/>
      <c r="J6" s="1">
        <v>1961</v>
      </c>
      <c r="K6" s="793">
        <f t="shared" ref="K6:P6" si="2">S6/1000000</f>
        <v>132794</v>
      </c>
      <c r="L6" s="793">
        <f t="shared" si="2"/>
        <v>110315</v>
      </c>
      <c r="M6" s="793">
        <f t="shared" si="2"/>
        <v>13023</v>
      </c>
      <c r="N6" s="793">
        <f t="shared" si="2"/>
        <v>9456</v>
      </c>
      <c r="O6" s="793">
        <f t="shared" si="2"/>
        <v>17006</v>
      </c>
      <c r="P6" s="793">
        <f t="shared" si="2"/>
        <v>149800</v>
      </c>
      <c r="Q6" s="1">
        <v>149800</v>
      </c>
      <c r="S6" s="794">
        <v>132794000000</v>
      </c>
      <c r="T6" s="795">
        <v>110315000000</v>
      </c>
      <c r="U6" s="796">
        <v>13023000000</v>
      </c>
      <c r="V6" s="797">
        <v>9456000000</v>
      </c>
      <c r="W6" s="798">
        <v>17006000000</v>
      </c>
      <c r="X6" s="799">
        <v>149800000000</v>
      </c>
    </row>
    <row r="7" spans="1:24" ht="15">
      <c r="A7" s="120">
        <v>1962</v>
      </c>
      <c r="B7" s="25">
        <f t="shared" ref="B7:B49" si="3">K7/1000</f>
        <v>139.86600000000001</v>
      </c>
      <c r="C7" s="25">
        <f t="shared" ref="C7:C48" si="4">L7/1000</f>
        <v>116.23699999999999</v>
      </c>
      <c r="D7" s="25">
        <f t="shared" si="0"/>
        <v>13.554</v>
      </c>
      <c r="E7" s="25">
        <f t="shared" ref="E7:E49" si="5">N7/1000</f>
        <v>10.074999999999999</v>
      </c>
      <c r="F7" s="25">
        <f t="shared" ref="F7:F49" si="6">O7/1000</f>
        <v>18.170000000000002</v>
      </c>
      <c r="G7" s="25">
        <f t="shared" si="1"/>
        <v>158.036</v>
      </c>
      <c r="H7" s="644"/>
      <c r="I7" s="23"/>
      <c r="J7" s="1">
        <v>1962</v>
      </c>
      <c r="K7" s="793">
        <f t="shared" ref="K7:K53" si="7">S7/1000000</f>
        <v>139866</v>
      </c>
      <c r="L7" s="793">
        <f t="shared" ref="L7:L53" si="8">T7/1000000</f>
        <v>116237</v>
      </c>
      <c r="M7" s="793">
        <f t="shared" ref="M7:M53" si="9">U7/1000000</f>
        <v>13554</v>
      </c>
      <c r="N7" s="793">
        <f t="shared" ref="N7:N53" si="10">V7/1000000</f>
        <v>10075</v>
      </c>
      <c r="O7" s="793">
        <f t="shared" ref="O7:O53" si="11">W7/1000000</f>
        <v>18170</v>
      </c>
      <c r="P7" s="793">
        <f t="shared" ref="P7:P53" si="12">X7/1000000</f>
        <v>158036</v>
      </c>
      <c r="Q7" s="1">
        <v>158036</v>
      </c>
      <c r="S7" s="794">
        <v>139866000000</v>
      </c>
      <c r="T7" s="795">
        <v>116237000000</v>
      </c>
      <c r="U7" s="796">
        <v>13554000000</v>
      </c>
      <c r="V7" s="797">
        <v>10075000000</v>
      </c>
      <c r="W7" s="798">
        <v>18170000000</v>
      </c>
      <c r="X7" s="799">
        <v>158036000000</v>
      </c>
    </row>
    <row r="8" spans="1:24" ht="15">
      <c r="A8" s="120">
        <v>1963</v>
      </c>
      <c r="B8" s="25">
        <f t="shared" si="3"/>
        <v>147.654</v>
      </c>
      <c r="C8" s="25">
        <f t="shared" si="4"/>
        <v>123.80500000000001</v>
      </c>
      <c r="D8" s="25">
        <f t="shared" si="0"/>
        <v>13.119</v>
      </c>
      <c r="E8" s="25">
        <f t="shared" si="5"/>
        <v>10.73</v>
      </c>
      <c r="F8" s="25">
        <f t="shared" si="6"/>
        <v>21.38</v>
      </c>
      <c r="G8" s="25">
        <f t="shared" si="1"/>
        <v>169.03399999999999</v>
      </c>
      <c r="H8" s="644"/>
      <c r="I8" s="23"/>
      <c r="J8" s="1">
        <v>1963</v>
      </c>
      <c r="K8" s="793">
        <f t="shared" si="7"/>
        <v>147654</v>
      </c>
      <c r="L8" s="793">
        <f t="shared" si="8"/>
        <v>123805</v>
      </c>
      <c r="M8" s="793">
        <f t="shared" si="9"/>
        <v>13119</v>
      </c>
      <c r="N8" s="793">
        <f t="shared" si="10"/>
        <v>10730</v>
      </c>
      <c r="O8" s="793">
        <f t="shared" si="11"/>
        <v>21380</v>
      </c>
      <c r="P8" s="793">
        <f t="shared" si="12"/>
        <v>169034</v>
      </c>
      <c r="Q8" s="1">
        <v>169034</v>
      </c>
      <c r="S8" s="794">
        <v>147654000000</v>
      </c>
      <c r="T8" s="795">
        <v>123805000000</v>
      </c>
      <c r="U8" s="796">
        <v>13119000000</v>
      </c>
      <c r="V8" s="797">
        <v>10730000000</v>
      </c>
      <c r="W8" s="798">
        <v>21380000000</v>
      </c>
      <c r="X8" s="799">
        <v>169034000000</v>
      </c>
    </row>
    <row r="9" spans="1:24" ht="15">
      <c r="A9" s="120">
        <v>1964</v>
      </c>
      <c r="B9" s="25">
        <f t="shared" si="3"/>
        <v>162.77600000000001</v>
      </c>
      <c r="C9" s="25">
        <f t="shared" si="4"/>
        <v>135.00299999999999</v>
      </c>
      <c r="D9" s="25">
        <f t="shared" si="0"/>
        <v>16.102</v>
      </c>
      <c r="E9" s="25">
        <f t="shared" si="5"/>
        <v>11.670999999999999</v>
      </c>
      <c r="F9" s="25">
        <f t="shared" si="6"/>
        <v>19.68</v>
      </c>
      <c r="G9" s="25">
        <f t="shared" si="1"/>
        <v>182.45599999999999</v>
      </c>
      <c r="H9" s="644"/>
      <c r="I9" s="23"/>
      <c r="J9" s="1">
        <v>1964</v>
      </c>
      <c r="K9" s="793">
        <f t="shared" si="7"/>
        <v>162776</v>
      </c>
      <c r="L9" s="793">
        <f t="shared" si="8"/>
        <v>135003</v>
      </c>
      <c r="M9" s="793">
        <f t="shared" si="9"/>
        <v>16102</v>
      </c>
      <c r="N9" s="793">
        <f t="shared" si="10"/>
        <v>11671</v>
      </c>
      <c r="O9" s="793">
        <f t="shared" si="11"/>
        <v>19680</v>
      </c>
      <c r="P9" s="793">
        <f t="shared" si="12"/>
        <v>182456</v>
      </c>
      <c r="Q9" s="1">
        <v>182456</v>
      </c>
      <c r="S9" s="794">
        <v>162776000000</v>
      </c>
      <c r="T9" s="795">
        <v>135003000000</v>
      </c>
      <c r="U9" s="796">
        <v>16102000000</v>
      </c>
      <c r="V9" s="797">
        <v>11671000000</v>
      </c>
      <c r="W9" s="798">
        <v>19680000000</v>
      </c>
      <c r="X9" s="799">
        <v>182456000000</v>
      </c>
    </row>
    <row r="10" spans="1:24" ht="15">
      <c r="A10" s="120">
        <v>1965</v>
      </c>
      <c r="B10" s="25">
        <f t="shared" si="3"/>
        <v>180.559</v>
      </c>
      <c r="C10" s="25">
        <f t="shared" si="4"/>
        <v>149.39500000000001</v>
      </c>
      <c r="D10" s="25">
        <f t="shared" si="0"/>
        <v>16.001999999999999</v>
      </c>
      <c r="E10" s="25">
        <f t="shared" si="5"/>
        <v>15.162000000000001</v>
      </c>
      <c r="F10" s="25">
        <f t="shared" si="6"/>
        <v>21.888000000000002</v>
      </c>
      <c r="G10" s="25">
        <f t="shared" si="1"/>
        <v>202.447</v>
      </c>
      <c r="H10" s="644"/>
      <c r="I10" s="23"/>
      <c r="J10" s="1">
        <v>1965</v>
      </c>
      <c r="K10" s="793">
        <f t="shared" si="7"/>
        <v>180559</v>
      </c>
      <c r="L10" s="793">
        <f t="shared" si="8"/>
        <v>149395</v>
      </c>
      <c r="M10" s="793">
        <f t="shared" si="9"/>
        <v>16002</v>
      </c>
      <c r="N10" s="793">
        <f t="shared" si="10"/>
        <v>15162</v>
      </c>
      <c r="O10" s="793">
        <f t="shared" si="11"/>
        <v>21888</v>
      </c>
      <c r="P10" s="793">
        <f t="shared" si="12"/>
        <v>202447</v>
      </c>
      <c r="Q10" s="1">
        <v>202447</v>
      </c>
      <c r="S10" s="794">
        <v>180559000000</v>
      </c>
      <c r="T10" s="795">
        <v>149395000000</v>
      </c>
      <c r="U10" s="796">
        <v>16002000000</v>
      </c>
      <c r="V10" s="797">
        <v>15162000000</v>
      </c>
      <c r="W10" s="798">
        <v>21888000000</v>
      </c>
      <c r="X10" s="799">
        <v>202447000000</v>
      </c>
    </row>
    <row r="11" spans="1:24" ht="15">
      <c r="A11" s="120">
        <v>1966</v>
      </c>
      <c r="B11" s="25">
        <f t="shared" si="3"/>
        <v>202.33600000000001</v>
      </c>
      <c r="C11" s="25">
        <f t="shared" si="4"/>
        <v>166.48599999999999</v>
      </c>
      <c r="D11" s="25">
        <f t="shared" si="0"/>
        <v>16.780999999999999</v>
      </c>
      <c r="E11" s="25">
        <f t="shared" si="5"/>
        <v>19.068999999999999</v>
      </c>
      <c r="F11" s="25">
        <f t="shared" si="6"/>
        <v>23.712</v>
      </c>
      <c r="G11" s="25">
        <f t="shared" si="1"/>
        <v>226.048</v>
      </c>
      <c r="H11" s="644"/>
      <c r="I11" s="23"/>
      <c r="J11" s="1">
        <v>1966</v>
      </c>
      <c r="K11" s="793">
        <f t="shared" si="7"/>
        <v>202336</v>
      </c>
      <c r="L11" s="793">
        <f t="shared" si="8"/>
        <v>166486</v>
      </c>
      <c r="M11" s="793">
        <f t="shared" si="9"/>
        <v>16781</v>
      </c>
      <c r="N11" s="793">
        <f t="shared" si="10"/>
        <v>19069</v>
      </c>
      <c r="O11" s="793">
        <f t="shared" si="11"/>
        <v>23712</v>
      </c>
      <c r="P11" s="793">
        <f t="shared" si="12"/>
        <v>226048</v>
      </c>
      <c r="Q11" s="1">
        <v>226048</v>
      </c>
      <c r="S11" s="794">
        <v>202336000000</v>
      </c>
      <c r="T11" s="795">
        <v>166486000000</v>
      </c>
      <c r="U11" s="796">
        <v>16781000000</v>
      </c>
      <c r="V11" s="797">
        <v>19069000000</v>
      </c>
      <c r="W11" s="798">
        <v>23712000000</v>
      </c>
      <c r="X11" s="799">
        <v>226048000000</v>
      </c>
    </row>
    <row r="12" spans="1:24" ht="15">
      <c r="A12" s="120">
        <v>1967</v>
      </c>
      <c r="B12" s="25">
        <f t="shared" si="3"/>
        <v>220.36699999999999</v>
      </c>
      <c r="C12" s="25">
        <f t="shared" si="4"/>
        <v>180.11500000000001</v>
      </c>
      <c r="D12" s="25">
        <f t="shared" si="0"/>
        <v>19.312000000000001</v>
      </c>
      <c r="E12" s="25">
        <f t="shared" si="5"/>
        <v>20.94</v>
      </c>
      <c r="F12" s="25">
        <f t="shared" si="6"/>
        <v>25.635999999999999</v>
      </c>
      <c r="G12" s="25">
        <f t="shared" si="1"/>
        <v>246.00299999999999</v>
      </c>
      <c r="H12" s="644"/>
      <c r="I12" s="23"/>
      <c r="J12" s="1">
        <v>1967</v>
      </c>
      <c r="K12" s="793">
        <f t="shared" si="7"/>
        <v>220367</v>
      </c>
      <c r="L12" s="793">
        <f t="shared" si="8"/>
        <v>180115</v>
      </c>
      <c r="M12" s="793">
        <f t="shared" si="9"/>
        <v>19312</v>
      </c>
      <c r="N12" s="793">
        <f t="shared" si="10"/>
        <v>20940</v>
      </c>
      <c r="O12" s="793">
        <f t="shared" si="11"/>
        <v>25636</v>
      </c>
      <c r="P12" s="793">
        <f t="shared" si="12"/>
        <v>246003</v>
      </c>
      <c r="Q12" s="1">
        <v>246003</v>
      </c>
      <c r="S12" s="794">
        <v>220367000000</v>
      </c>
      <c r="T12" s="795">
        <v>180115000000</v>
      </c>
      <c r="U12" s="796">
        <v>19312000000</v>
      </c>
      <c r="V12" s="797">
        <v>20940000000</v>
      </c>
      <c r="W12" s="798">
        <v>25636000000</v>
      </c>
      <c r="X12" s="799">
        <v>246003000000</v>
      </c>
    </row>
    <row r="13" spans="1:24" ht="15">
      <c r="A13" s="120">
        <v>1968</v>
      </c>
      <c r="B13" s="25">
        <f t="shared" si="3"/>
        <v>236.46700000000001</v>
      </c>
      <c r="C13" s="25">
        <f t="shared" si="4"/>
        <v>191.78</v>
      </c>
      <c r="D13" s="25">
        <f t="shared" si="0"/>
        <v>21.516999999999999</v>
      </c>
      <c r="E13" s="25">
        <f t="shared" si="5"/>
        <v>23.17</v>
      </c>
      <c r="F13" s="25">
        <f t="shared" si="6"/>
        <v>27.431999999999999</v>
      </c>
      <c r="G13" s="25">
        <f t="shared" si="1"/>
        <v>263.899</v>
      </c>
      <c r="H13" s="644"/>
      <c r="I13" s="23"/>
      <c r="J13" s="1">
        <v>1968</v>
      </c>
      <c r="K13" s="793">
        <f t="shared" si="7"/>
        <v>236467</v>
      </c>
      <c r="L13" s="793">
        <f t="shared" si="8"/>
        <v>191780</v>
      </c>
      <c r="M13" s="793">
        <f t="shared" si="9"/>
        <v>21517</v>
      </c>
      <c r="N13" s="793">
        <f t="shared" si="10"/>
        <v>23170</v>
      </c>
      <c r="O13" s="793">
        <f t="shared" si="11"/>
        <v>27432</v>
      </c>
      <c r="P13" s="793">
        <f t="shared" si="12"/>
        <v>263899</v>
      </c>
      <c r="Q13" s="1">
        <v>263899</v>
      </c>
      <c r="S13" s="794">
        <v>236467000000</v>
      </c>
      <c r="T13" s="795">
        <v>191780000000</v>
      </c>
      <c r="U13" s="796">
        <v>21517000000</v>
      </c>
      <c r="V13" s="797">
        <v>23170000000</v>
      </c>
      <c r="W13" s="798">
        <v>27432000000</v>
      </c>
      <c r="X13" s="799">
        <v>263899000000</v>
      </c>
    </row>
    <row r="14" spans="1:24" ht="15">
      <c r="A14" s="120">
        <v>1969</v>
      </c>
      <c r="B14" s="25">
        <f t="shared" si="3"/>
        <v>260.71499999999997</v>
      </c>
      <c r="C14" s="25">
        <f t="shared" si="4"/>
        <v>207.548</v>
      </c>
      <c r="D14" s="25">
        <f t="shared" si="0"/>
        <v>24.584</v>
      </c>
      <c r="E14" s="25">
        <f t="shared" si="5"/>
        <v>28.582999999999998</v>
      </c>
      <c r="F14" s="25">
        <f t="shared" si="6"/>
        <v>29.375</v>
      </c>
      <c r="G14" s="25">
        <f t="shared" si="1"/>
        <v>290.08999999999997</v>
      </c>
      <c r="H14" s="644"/>
      <c r="I14" s="23"/>
      <c r="J14" s="1">
        <v>1969</v>
      </c>
      <c r="K14" s="793">
        <f t="shared" si="7"/>
        <v>260715</v>
      </c>
      <c r="L14" s="793">
        <f t="shared" si="8"/>
        <v>207548</v>
      </c>
      <c r="M14" s="793">
        <f t="shared" si="9"/>
        <v>24584</v>
      </c>
      <c r="N14" s="793">
        <f t="shared" si="10"/>
        <v>28583</v>
      </c>
      <c r="O14" s="793">
        <f t="shared" si="11"/>
        <v>29375</v>
      </c>
      <c r="P14" s="793">
        <f t="shared" si="12"/>
        <v>290090</v>
      </c>
      <c r="Q14" s="1">
        <v>290090</v>
      </c>
      <c r="S14" s="794">
        <v>260715000000</v>
      </c>
      <c r="T14" s="795">
        <v>207548000000</v>
      </c>
      <c r="U14" s="796">
        <v>24584000000</v>
      </c>
      <c r="V14" s="797">
        <v>28583000000</v>
      </c>
      <c r="W14" s="798">
        <v>29375000000</v>
      </c>
      <c r="X14" s="799">
        <v>290090000000</v>
      </c>
    </row>
    <row r="15" spans="1:24" ht="15">
      <c r="A15" s="120">
        <v>1970</v>
      </c>
      <c r="B15" s="25">
        <f t="shared" si="3"/>
        <v>284.66399999999999</v>
      </c>
      <c r="C15" s="25">
        <f t="shared" si="4"/>
        <v>222.61199999999999</v>
      </c>
      <c r="D15" s="25">
        <f t="shared" si="0"/>
        <v>29.812999999999999</v>
      </c>
      <c r="E15" s="25">
        <f t="shared" si="5"/>
        <v>32.238999999999997</v>
      </c>
      <c r="F15" s="25">
        <f t="shared" si="6"/>
        <v>30.053999999999998</v>
      </c>
      <c r="G15" s="25">
        <f t="shared" si="1"/>
        <v>314.71800000000002</v>
      </c>
      <c r="H15" s="644"/>
      <c r="I15" s="23"/>
      <c r="J15" s="1">
        <v>1970</v>
      </c>
      <c r="K15" s="793">
        <f t="shared" si="7"/>
        <v>284664</v>
      </c>
      <c r="L15" s="793">
        <f t="shared" si="8"/>
        <v>222612</v>
      </c>
      <c r="M15" s="793">
        <f t="shared" si="9"/>
        <v>29813</v>
      </c>
      <c r="N15" s="793">
        <f t="shared" si="10"/>
        <v>32239</v>
      </c>
      <c r="O15" s="793">
        <f t="shared" si="11"/>
        <v>30054</v>
      </c>
      <c r="P15" s="793">
        <f t="shared" si="12"/>
        <v>314718</v>
      </c>
      <c r="Q15" s="1">
        <v>314718</v>
      </c>
      <c r="S15" s="794">
        <v>284664000000</v>
      </c>
      <c r="T15" s="795">
        <v>222612000000</v>
      </c>
      <c r="U15" s="796">
        <v>29813000000</v>
      </c>
      <c r="V15" s="797">
        <v>32239000000</v>
      </c>
      <c r="W15" s="798">
        <v>30054000000</v>
      </c>
      <c r="X15" s="799">
        <v>314718000000</v>
      </c>
    </row>
    <row r="16" spans="1:24" ht="15">
      <c r="A16" s="120">
        <v>1971</v>
      </c>
      <c r="B16" s="25">
        <f t="shared" si="3"/>
        <v>317.47300000000001</v>
      </c>
      <c r="C16" s="25">
        <f t="shared" si="4"/>
        <v>243.761</v>
      </c>
      <c r="D16" s="25">
        <f t="shared" si="0"/>
        <v>35.850999999999999</v>
      </c>
      <c r="E16" s="25">
        <f t="shared" si="5"/>
        <v>37.860999999999997</v>
      </c>
      <c r="F16" s="25">
        <f t="shared" si="6"/>
        <v>32.264000000000003</v>
      </c>
      <c r="G16" s="25">
        <f t="shared" si="1"/>
        <v>349.73700000000002</v>
      </c>
      <c r="H16" s="644"/>
      <c r="I16" s="23"/>
      <c r="J16" s="1">
        <v>1971</v>
      </c>
      <c r="K16" s="793">
        <f t="shared" si="7"/>
        <v>317473</v>
      </c>
      <c r="L16" s="793">
        <f t="shared" si="8"/>
        <v>243761</v>
      </c>
      <c r="M16" s="793">
        <f t="shared" si="9"/>
        <v>35851</v>
      </c>
      <c r="N16" s="793">
        <f t="shared" si="10"/>
        <v>37861</v>
      </c>
      <c r="O16" s="793">
        <f t="shared" si="11"/>
        <v>32264</v>
      </c>
      <c r="P16" s="793">
        <f t="shared" si="12"/>
        <v>349737</v>
      </c>
      <c r="Q16" s="1">
        <v>349737</v>
      </c>
      <c r="S16" s="794">
        <v>317473000000</v>
      </c>
      <c r="T16" s="795">
        <v>243761000000</v>
      </c>
      <c r="U16" s="796">
        <v>35851000000</v>
      </c>
      <c r="V16" s="797">
        <v>37861000000</v>
      </c>
      <c r="W16" s="798">
        <v>32264000000</v>
      </c>
      <c r="X16" s="799">
        <v>349737000000</v>
      </c>
    </row>
    <row r="17" spans="1:24" ht="15">
      <c r="A17" s="120">
        <v>1972</v>
      </c>
      <c r="B17" s="25">
        <f t="shared" si="3"/>
        <v>360.7</v>
      </c>
      <c r="C17" s="25">
        <f t="shared" si="4"/>
        <v>272.94600000000003</v>
      </c>
      <c r="D17" s="25">
        <f t="shared" si="0"/>
        <v>45.494</v>
      </c>
      <c r="E17" s="25">
        <f t="shared" si="5"/>
        <v>42.26</v>
      </c>
      <c r="F17" s="25">
        <f t="shared" si="6"/>
        <v>34.908000000000001</v>
      </c>
      <c r="G17" s="25">
        <f t="shared" si="1"/>
        <v>395.608</v>
      </c>
      <c r="H17" s="644"/>
      <c r="I17" s="23"/>
      <c r="J17" s="1">
        <v>1972</v>
      </c>
      <c r="K17" s="793">
        <f t="shared" si="7"/>
        <v>360700</v>
      </c>
      <c r="L17" s="793">
        <f t="shared" si="8"/>
        <v>272946</v>
      </c>
      <c r="M17" s="793">
        <f t="shared" si="9"/>
        <v>45494</v>
      </c>
      <c r="N17" s="793">
        <f t="shared" si="10"/>
        <v>42260</v>
      </c>
      <c r="O17" s="793">
        <f t="shared" si="11"/>
        <v>34908</v>
      </c>
      <c r="P17" s="793">
        <f t="shared" si="12"/>
        <v>395608</v>
      </c>
      <c r="Q17" s="1">
        <v>395608</v>
      </c>
      <c r="S17" s="794">
        <v>360700000000</v>
      </c>
      <c r="T17" s="795">
        <v>272946000000</v>
      </c>
      <c r="U17" s="796">
        <v>45494000000</v>
      </c>
      <c r="V17" s="797">
        <v>42260000000</v>
      </c>
      <c r="W17" s="798">
        <v>34908000000</v>
      </c>
      <c r="X17" s="799">
        <v>395608000000</v>
      </c>
    </row>
    <row r="18" spans="1:24" ht="15">
      <c r="A18" s="120">
        <v>1973</v>
      </c>
      <c r="B18" s="25">
        <f t="shared" si="3"/>
        <v>432.37</v>
      </c>
      <c r="C18" s="25">
        <f t="shared" si="4"/>
        <v>326.49299999999999</v>
      </c>
      <c r="D18" s="25">
        <f t="shared" si="0"/>
        <v>54.085999999999999</v>
      </c>
      <c r="E18" s="25">
        <f t="shared" si="5"/>
        <v>51.790999999999997</v>
      </c>
      <c r="F18" s="25">
        <f t="shared" si="6"/>
        <v>37.665999999999997</v>
      </c>
      <c r="G18" s="25">
        <f t="shared" si="1"/>
        <v>470.036</v>
      </c>
      <c r="H18" s="644"/>
      <c r="I18" s="23"/>
      <c r="J18" s="1">
        <v>1973</v>
      </c>
      <c r="K18" s="793">
        <f t="shared" si="7"/>
        <v>432370</v>
      </c>
      <c r="L18" s="793">
        <f t="shared" si="8"/>
        <v>326493</v>
      </c>
      <c r="M18" s="793">
        <f t="shared" si="9"/>
        <v>54086</v>
      </c>
      <c r="N18" s="793">
        <f t="shared" si="10"/>
        <v>51791</v>
      </c>
      <c r="O18" s="793">
        <f t="shared" si="11"/>
        <v>37666</v>
      </c>
      <c r="P18" s="793">
        <f t="shared" si="12"/>
        <v>470036</v>
      </c>
      <c r="Q18" s="1">
        <v>470036</v>
      </c>
      <c r="S18" s="794">
        <v>432370000000</v>
      </c>
      <c r="T18" s="795">
        <v>326493000000</v>
      </c>
      <c r="U18" s="796">
        <v>54086000000</v>
      </c>
      <c r="V18" s="797">
        <v>51791000000</v>
      </c>
      <c r="W18" s="798">
        <v>37666000000</v>
      </c>
      <c r="X18" s="799">
        <v>470036000000</v>
      </c>
    </row>
    <row r="19" spans="1:24" ht="15">
      <c r="A19" s="120">
        <v>1974</v>
      </c>
      <c r="B19" s="25">
        <f t="shared" si="3"/>
        <v>535.46699999999998</v>
      </c>
      <c r="C19" s="25">
        <f t="shared" si="4"/>
        <v>388.06</v>
      </c>
      <c r="D19" s="25">
        <f t="shared" si="0"/>
        <v>77.23</v>
      </c>
      <c r="E19" s="25">
        <f t="shared" si="5"/>
        <v>70.177000000000007</v>
      </c>
      <c r="F19" s="25">
        <f t="shared" si="6"/>
        <v>42.188000000000002</v>
      </c>
      <c r="G19" s="25">
        <f t="shared" si="1"/>
        <v>577.65499999999997</v>
      </c>
      <c r="H19" s="644"/>
      <c r="I19" s="23"/>
      <c r="J19" s="1">
        <v>1974</v>
      </c>
      <c r="K19" s="793">
        <f t="shared" si="7"/>
        <v>535467</v>
      </c>
      <c r="L19" s="793">
        <f t="shared" si="8"/>
        <v>388060</v>
      </c>
      <c r="M19" s="793">
        <f t="shared" si="9"/>
        <v>77230</v>
      </c>
      <c r="N19" s="793">
        <f t="shared" si="10"/>
        <v>70177</v>
      </c>
      <c r="O19" s="793">
        <f t="shared" si="11"/>
        <v>42188</v>
      </c>
      <c r="P19" s="793">
        <f t="shared" si="12"/>
        <v>577655</v>
      </c>
      <c r="Q19" s="1">
        <v>577655</v>
      </c>
      <c r="S19" s="794">
        <v>535467000000</v>
      </c>
      <c r="T19" s="795">
        <v>388060000000</v>
      </c>
      <c r="U19" s="796">
        <v>77230000000</v>
      </c>
      <c r="V19" s="797">
        <v>70177000000</v>
      </c>
      <c r="W19" s="798">
        <v>42188000000</v>
      </c>
      <c r="X19" s="799">
        <v>577655000000</v>
      </c>
    </row>
    <row r="20" spans="1:24" ht="15">
      <c r="A20" s="120">
        <v>1975</v>
      </c>
      <c r="B20" s="25">
        <f t="shared" si="3"/>
        <v>613.23599999999999</v>
      </c>
      <c r="C20" s="25">
        <f t="shared" si="4"/>
        <v>434.31099999999998</v>
      </c>
      <c r="D20" s="25">
        <f t="shared" si="0"/>
        <v>103.883</v>
      </c>
      <c r="E20" s="25">
        <f t="shared" si="5"/>
        <v>75.042000000000002</v>
      </c>
      <c r="F20" s="25">
        <f t="shared" si="6"/>
        <v>50.433</v>
      </c>
      <c r="G20" s="25">
        <f t="shared" si="1"/>
        <v>663.66899999999998</v>
      </c>
      <c r="H20" s="644"/>
      <c r="I20" s="23"/>
      <c r="J20" s="1">
        <v>1975</v>
      </c>
      <c r="K20" s="793">
        <f t="shared" si="7"/>
        <v>613236</v>
      </c>
      <c r="L20" s="793">
        <f t="shared" si="8"/>
        <v>434311</v>
      </c>
      <c r="M20" s="793">
        <f t="shared" si="9"/>
        <v>103883</v>
      </c>
      <c r="N20" s="793">
        <f t="shared" si="10"/>
        <v>75042</v>
      </c>
      <c r="O20" s="793">
        <f t="shared" si="11"/>
        <v>50433</v>
      </c>
      <c r="P20" s="793">
        <f t="shared" si="12"/>
        <v>663669</v>
      </c>
      <c r="Q20" s="1">
        <v>663669</v>
      </c>
      <c r="S20" s="794">
        <v>613236000000</v>
      </c>
      <c r="T20" s="795">
        <v>434311000000</v>
      </c>
      <c r="U20" s="796">
        <v>103883000000</v>
      </c>
      <c r="V20" s="797">
        <v>75042000000</v>
      </c>
      <c r="W20" s="798">
        <v>50433000000</v>
      </c>
      <c r="X20" s="799">
        <v>663669000000</v>
      </c>
    </row>
    <row r="21" spans="1:24" ht="15">
      <c r="A21" s="120">
        <v>1976</v>
      </c>
      <c r="B21" s="25">
        <f t="shared" si="3"/>
        <v>677.09199999999998</v>
      </c>
      <c r="C21" s="25">
        <f t="shared" si="4"/>
        <v>488.31700000000001</v>
      </c>
      <c r="D21" s="25">
        <f t="shared" si="0"/>
        <v>112.82299999999999</v>
      </c>
      <c r="E21" s="25">
        <f t="shared" si="5"/>
        <v>75.951999999999998</v>
      </c>
      <c r="F21" s="25">
        <f t="shared" si="6"/>
        <v>61.307000000000002</v>
      </c>
      <c r="G21" s="25">
        <f t="shared" si="1"/>
        <v>738.399</v>
      </c>
      <c r="H21" s="644"/>
      <c r="I21" s="23"/>
      <c r="J21" s="1">
        <v>1976</v>
      </c>
      <c r="K21" s="793">
        <f t="shared" si="7"/>
        <v>677092</v>
      </c>
      <c r="L21" s="793">
        <f t="shared" si="8"/>
        <v>488317</v>
      </c>
      <c r="M21" s="793">
        <f t="shared" si="9"/>
        <v>112823</v>
      </c>
      <c r="N21" s="793">
        <f t="shared" si="10"/>
        <v>75952</v>
      </c>
      <c r="O21" s="793">
        <f t="shared" si="11"/>
        <v>61307</v>
      </c>
      <c r="P21" s="793">
        <f t="shared" si="12"/>
        <v>738399</v>
      </c>
      <c r="Q21" s="1">
        <v>738399</v>
      </c>
      <c r="S21" s="794">
        <v>677092000000</v>
      </c>
      <c r="T21" s="795">
        <v>488317000000</v>
      </c>
      <c r="U21" s="796">
        <v>112823000000</v>
      </c>
      <c r="V21" s="797">
        <v>75952000000</v>
      </c>
      <c r="W21" s="798">
        <v>61307000000</v>
      </c>
      <c r="X21" s="799">
        <v>738399000000</v>
      </c>
    </row>
    <row r="22" spans="1:24" ht="15">
      <c r="A22" s="120">
        <v>1977</v>
      </c>
      <c r="B22" s="25">
        <f t="shared" si="3"/>
        <v>753.76099999999997</v>
      </c>
      <c r="C22" s="25">
        <f t="shared" si="4"/>
        <v>549.29499999999996</v>
      </c>
      <c r="D22" s="25">
        <f t="shared" si="0"/>
        <v>125.145</v>
      </c>
      <c r="E22" s="25">
        <f t="shared" si="5"/>
        <v>79.320999999999998</v>
      </c>
      <c r="F22" s="25">
        <f t="shared" si="6"/>
        <v>68.656000000000006</v>
      </c>
      <c r="G22" s="25">
        <f t="shared" si="1"/>
        <v>822.41700000000003</v>
      </c>
      <c r="H22" s="644"/>
      <c r="I22" s="23"/>
      <c r="J22" s="1">
        <v>1977</v>
      </c>
      <c r="K22" s="793">
        <f t="shared" si="7"/>
        <v>753761</v>
      </c>
      <c r="L22" s="793">
        <f t="shared" si="8"/>
        <v>549295</v>
      </c>
      <c r="M22" s="793">
        <f t="shared" si="9"/>
        <v>125145</v>
      </c>
      <c r="N22" s="793">
        <f t="shared" si="10"/>
        <v>79321</v>
      </c>
      <c r="O22" s="793">
        <f t="shared" si="11"/>
        <v>68656</v>
      </c>
      <c r="P22" s="793">
        <f t="shared" si="12"/>
        <v>822417</v>
      </c>
      <c r="Q22" s="1">
        <v>822417</v>
      </c>
      <c r="S22" s="794">
        <v>753761000000</v>
      </c>
      <c r="T22" s="795">
        <v>549295000000</v>
      </c>
      <c r="U22" s="796">
        <v>125145000000</v>
      </c>
      <c r="V22" s="797">
        <v>79321000000</v>
      </c>
      <c r="W22" s="798">
        <v>68656000000</v>
      </c>
      <c r="X22" s="799">
        <v>822417000000</v>
      </c>
    </row>
    <row r="23" spans="1:24" ht="15">
      <c r="A23" s="120">
        <v>1978</v>
      </c>
      <c r="B23" s="25">
        <f t="shared" si="3"/>
        <v>836.40300000000002</v>
      </c>
      <c r="C23" s="25">
        <f t="shared" si="4"/>
        <v>636.28499999999997</v>
      </c>
      <c r="D23" s="25">
        <f t="shared" si="0"/>
        <v>120.878</v>
      </c>
      <c r="E23" s="25">
        <f t="shared" si="5"/>
        <v>79.239999999999995</v>
      </c>
      <c r="F23" s="25">
        <f t="shared" si="6"/>
        <v>88.103999999999999</v>
      </c>
      <c r="G23" s="25">
        <f t="shared" si="1"/>
        <v>924.50699999999995</v>
      </c>
      <c r="H23" s="644"/>
      <c r="I23" s="23"/>
      <c r="J23" s="1">
        <v>1978</v>
      </c>
      <c r="K23" s="793">
        <f t="shared" si="7"/>
        <v>836403</v>
      </c>
      <c r="L23" s="793">
        <f t="shared" si="8"/>
        <v>636285</v>
      </c>
      <c r="M23" s="793">
        <f t="shared" si="9"/>
        <v>120878</v>
      </c>
      <c r="N23" s="793">
        <f t="shared" si="10"/>
        <v>79240</v>
      </c>
      <c r="O23" s="793">
        <f t="shared" si="11"/>
        <v>88104</v>
      </c>
      <c r="P23" s="793">
        <f t="shared" si="12"/>
        <v>924507</v>
      </c>
      <c r="Q23" s="1">
        <v>924507</v>
      </c>
      <c r="S23" s="794">
        <v>836403000000</v>
      </c>
      <c r="T23" s="795">
        <v>636285000000</v>
      </c>
      <c r="U23" s="796">
        <v>120878000000</v>
      </c>
      <c r="V23" s="797">
        <v>79240000000</v>
      </c>
      <c r="W23" s="798">
        <v>88104000000</v>
      </c>
      <c r="X23" s="799">
        <v>924507000000</v>
      </c>
    </row>
    <row r="24" spans="1:24" ht="15">
      <c r="A24" s="120">
        <v>1979</v>
      </c>
      <c r="B24" s="25">
        <f t="shared" si="3"/>
        <v>957.90800000000002</v>
      </c>
      <c r="C24" s="25">
        <f t="shared" si="4"/>
        <v>736.274</v>
      </c>
      <c r="D24" s="25">
        <f t="shared" si="0"/>
        <v>139.78700000000001</v>
      </c>
      <c r="E24" s="25">
        <f t="shared" si="5"/>
        <v>81.846999999999994</v>
      </c>
      <c r="F24" s="25">
        <f t="shared" si="6"/>
        <v>103.154</v>
      </c>
      <c r="G24" s="25">
        <f t="shared" si="1"/>
        <v>1061.0619999999999</v>
      </c>
      <c r="H24" s="644"/>
      <c r="I24" s="23"/>
      <c r="J24" s="1">
        <v>1979</v>
      </c>
      <c r="K24" s="793">
        <f t="shared" si="7"/>
        <v>957908</v>
      </c>
      <c r="L24" s="793">
        <f t="shared" si="8"/>
        <v>736274</v>
      </c>
      <c r="M24" s="793">
        <f t="shared" si="9"/>
        <v>139787</v>
      </c>
      <c r="N24" s="793">
        <f t="shared" si="10"/>
        <v>81847</v>
      </c>
      <c r="O24" s="793">
        <f t="shared" si="11"/>
        <v>103154</v>
      </c>
      <c r="P24" s="793">
        <f t="shared" si="12"/>
        <v>1061062</v>
      </c>
      <c r="Q24" s="1">
        <v>1061062</v>
      </c>
      <c r="S24" s="794">
        <v>957908000000</v>
      </c>
      <c r="T24" s="795">
        <v>736274000000</v>
      </c>
      <c r="U24" s="796">
        <v>139787000000</v>
      </c>
      <c r="V24" s="797">
        <v>81847000000</v>
      </c>
      <c r="W24" s="798">
        <v>103154000000</v>
      </c>
      <c r="X24" s="799">
        <v>1061062000000</v>
      </c>
    </row>
    <row r="25" spans="1:24" ht="15">
      <c r="A25" s="120">
        <v>1980</v>
      </c>
      <c r="B25" s="25">
        <f t="shared" si="3"/>
        <v>1100.21</v>
      </c>
      <c r="C25" s="25">
        <f t="shared" si="4"/>
        <v>863.55100000000004</v>
      </c>
      <c r="D25" s="25">
        <f t="shared" si="0"/>
        <v>149.702</v>
      </c>
      <c r="E25" s="25">
        <f t="shared" si="5"/>
        <v>86.956999999999994</v>
      </c>
      <c r="F25" s="25">
        <f t="shared" si="6"/>
        <v>110.277</v>
      </c>
      <c r="G25" s="25">
        <f t="shared" si="1"/>
        <v>1210.4870000000001</v>
      </c>
      <c r="H25" s="644"/>
      <c r="I25" s="23"/>
      <c r="J25" s="1">
        <v>1980</v>
      </c>
      <c r="K25" s="793">
        <f t="shared" si="7"/>
        <v>1100210</v>
      </c>
      <c r="L25" s="793">
        <f t="shared" si="8"/>
        <v>863551</v>
      </c>
      <c r="M25" s="793">
        <f t="shared" si="9"/>
        <v>149702</v>
      </c>
      <c r="N25" s="793">
        <f t="shared" si="10"/>
        <v>86957</v>
      </c>
      <c r="O25" s="793">
        <f t="shared" si="11"/>
        <v>110277</v>
      </c>
      <c r="P25" s="793">
        <f t="shared" si="12"/>
        <v>1210487</v>
      </c>
      <c r="Q25" s="1">
        <v>1210487</v>
      </c>
      <c r="S25" s="794">
        <v>1100210000000</v>
      </c>
      <c r="T25" s="795">
        <v>863551000000</v>
      </c>
      <c r="U25" s="796">
        <v>149702000000</v>
      </c>
      <c r="V25" s="797">
        <v>86957000000</v>
      </c>
      <c r="W25" s="798">
        <v>110277000000</v>
      </c>
      <c r="X25" s="799">
        <v>1210487000000</v>
      </c>
    </row>
    <row r="26" spans="1:24" ht="15">
      <c r="A26" s="120">
        <v>1981</v>
      </c>
      <c r="B26" s="25">
        <f t="shared" si="3"/>
        <v>1231.0170000000001</v>
      </c>
      <c r="C26" s="25">
        <f t="shared" si="4"/>
        <v>952.90599999999995</v>
      </c>
      <c r="D26" s="25">
        <f t="shared" si="0"/>
        <v>174.69900000000001</v>
      </c>
      <c r="E26" s="25">
        <f t="shared" si="5"/>
        <v>103.41200000000001</v>
      </c>
      <c r="F26" s="25">
        <f t="shared" si="6"/>
        <v>135.738</v>
      </c>
      <c r="G26" s="25">
        <f t="shared" si="1"/>
        <v>1366.7550000000001</v>
      </c>
      <c r="H26" s="644"/>
      <c r="I26" s="23"/>
      <c r="J26" s="1">
        <v>1981</v>
      </c>
      <c r="K26" s="793">
        <f t="shared" si="7"/>
        <v>1231017</v>
      </c>
      <c r="L26" s="793">
        <f t="shared" si="8"/>
        <v>952906</v>
      </c>
      <c r="M26" s="793">
        <f t="shared" si="9"/>
        <v>174699</v>
      </c>
      <c r="N26" s="793">
        <f t="shared" si="10"/>
        <v>103412</v>
      </c>
      <c r="O26" s="793">
        <f t="shared" si="11"/>
        <v>135738</v>
      </c>
      <c r="P26" s="793">
        <f t="shared" si="12"/>
        <v>1366755</v>
      </c>
      <c r="Q26" s="1">
        <v>1366755</v>
      </c>
      <c r="S26" s="794">
        <v>1231017000000</v>
      </c>
      <c r="T26" s="795">
        <v>952906000000</v>
      </c>
      <c r="U26" s="796">
        <v>174699000000</v>
      </c>
      <c r="V26" s="797">
        <v>103412000000</v>
      </c>
      <c r="W26" s="798">
        <v>135738000000</v>
      </c>
      <c r="X26" s="799">
        <v>1366755000000</v>
      </c>
    </row>
    <row r="27" spans="1:24" ht="15">
      <c r="A27" s="120">
        <v>1982</v>
      </c>
      <c r="B27" s="25">
        <f t="shared" si="3"/>
        <v>1316.5039999999999</v>
      </c>
      <c r="C27" s="25">
        <f t="shared" si="4"/>
        <v>1034.172</v>
      </c>
      <c r="D27" s="25">
        <f t="shared" si="0"/>
        <v>201.398</v>
      </c>
      <c r="E27" s="25">
        <f t="shared" si="5"/>
        <v>80.933999999999997</v>
      </c>
      <c r="F27" s="25">
        <f t="shared" si="6"/>
        <v>136.601</v>
      </c>
      <c r="G27" s="25">
        <f t="shared" si="1"/>
        <v>1453.105</v>
      </c>
      <c r="H27" s="644"/>
      <c r="I27" s="23"/>
      <c r="J27" s="1">
        <v>1982</v>
      </c>
      <c r="K27" s="793">
        <f t="shared" si="7"/>
        <v>1316504</v>
      </c>
      <c r="L27" s="793">
        <f t="shared" si="8"/>
        <v>1034172</v>
      </c>
      <c r="M27" s="793">
        <f t="shared" si="9"/>
        <v>201398</v>
      </c>
      <c r="N27" s="793">
        <f t="shared" si="10"/>
        <v>80934</v>
      </c>
      <c r="O27" s="793">
        <f t="shared" si="11"/>
        <v>136601</v>
      </c>
      <c r="P27" s="793">
        <f t="shared" si="12"/>
        <v>1453105</v>
      </c>
      <c r="Q27" s="1">
        <v>1453105</v>
      </c>
      <c r="S27" s="794">
        <v>1316504000000</v>
      </c>
      <c r="T27" s="795">
        <v>1034172000000</v>
      </c>
      <c r="U27" s="796">
        <v>201398000000</v>
      </c>
      <c r="V27" s="797">
        <v>80934000000</v>
      </c>
      <c r="W27" s="798">
        <v>136601000000</v>
      </c>
      <c r="X27" s="799">
        <v>1453105000000</v>
      </c>
    </row>
    <row r="28" spans="1:24" ht="15">
      <c r="A28" s="120">
        <v>1983</v>
      </c>
      <c r="B28" s="25">
        <f t="shared" si="3"/>
        <v>1371.5709999999999</v>
      </c>
      <c r="C28" s="25">
        <f t="shared" si="4"/>
        <v>1120.08</v>
      </c>
      <c r="D28" s="25">
        <f t="shared" si="0"/>
        <v>201.053</v>
      </c>
      <c r="E28" s="25">
        <f t="shared" si="5"/>
        <v>50.438000000000002</v>
      </c>
      <c r="F28" s="25">
        <f t="shared" si="6"/>
        <v>144.31700000000001</v>
      </c>
      <c r="G28" s="25">
        <f t="shared" si="1"/>
        <v>1515.8879999999999</v>
      </c>
      <c r="H28" s="644"/>
      <c r="I28" s="23"/>
      <c r="J28" s="1">
        <v>1983</v>
      </c>
      <c r="K28" s="793">
        <f t="shared" si="7"/>
        <v>1371571</v>
      </c>
      <c r="L28" s="793">
        <f t="shared" si="8"/>
        <v>1120080</v>
      </c>
      <c r="M28" s="793">
        <f t="shared" si="9"/>
        <v>201053</v>
      </c>
      <c r="N28" s="793">
        <f t="shared" si="10"/>
        <v>50438</v>
      </c>
      <c r="O28" s="793">
        <f t="shared" si="11"/>
        <v>144317</v>
      </c>
      <c r="P28" s="793">
        <f t="shared" si="12"/>
        <v>1515888</v>
      </c>
      <c r="Q28" s="1">
        <v>1515888</v>
      </c>
      <c r="S28" s="794">
        <v>1371571000000</v>
      </c>
      <c r="T28" s="795">
        <v>1120080000000</v>
      </c>
      <c r="U28" s="796">
        <v>201053000000</v>
      </c>
      <c r="V28" s="797">
        <v>50438000000</v>
      </c>
      <c r="W28" s="798">
        <v>144317000000</v>
      </c>
      <c r="X28" s="799">
        <v>1515888000000</v>
      </c>
    </row>
    <row r="29" spans="1:24" ht="15">
      <c r="A29" s="120">
        <v>1984</v>
      </c>
      <c r="B29" s="25">
        <f t="shared" si="3"/>
        <v>1444.259</v>
      </c>
      <c r="C29" s="10">
        <f t="shared" si="4"/>
        <v>1201.864</v>
      </c>
      <c r="D29" s="10">
        <f t="shared" si="0"/>
        <v>221.10400000000001</v>
      </c>
      <c r="E29" s="10">
        <f t="shared" si="5"/>
        <v>21.291</v>
      </c>
      <c r="F29" s="25">
        <f t="shared" si="6"/>
        <v>154.405</v>
      </c>
      <c r="G29" s="10">
        <f t="shared" si="1"/>
        <v>1598.664</v>
      </c>
      <c r="H29" s="644"/>
      <c r="I29" s="23"/>
      <c r="J29" s="1">
        <v>1984</v>
      </c>
      <c r="K29" s="793">
        <f t="shared" si="7"/>
        <v>1444259</v>
      </c>
      <c r="L29" s="793">
        <f t="shared" si="8"/>
        <v>1201864</v>
      </c>
      <c r="M29" s="793">
        <f t="shared" si="9"/>
        <v>221104</v>
      </c>
      <c r="N29" s="793">
        <f t="shared" si="10"/>
        <v>21291</v>
      </c>
      <c r="O29" s="793">
        <f t="shared" si="11"/>
        <v>154405</v>
      </c>
      <c r="P29" s="793">
        <f t="shared" si="12"/>
        <v>1598664</v>
      </c>
      <c r="Q29" s="1">
        <v>1598664</v>
      </c>
      <c r="S29" s="794">
        <v>1444259000000</v>
      </c>
      <c r="T29" s="795">
        <v>1201864000000</v>
      </c>
      <c r="U29" s="796">
        <v>221104000000</v>
      </c>
      <c r="V29" s="797">
        <v>21291000000</v>
      </c>
      <c r="W29" s="798">
        <v>154405000000</v>
      </c>
      <c r="X29" s="799">
        <v>1598664000000</v>
      </c>
    </row>
    <row r="30" spans="1:24" ht="15">
      <c r="A30" s="120">
        <v>1985</v>
      </c>
      <c r="B30" s="25">
        <f t="shared" si="3"/>
        <v>1508.96</v>
      </c>
      <c r="C30" s="10">
        <f t="shared" si="4"/>
        <v>1289.0029999999999</v>
      </c>
      <c r="D30" s="10">
        <f t="shared" si="0"/>
        <v>232.03100000000001</v>
      </c>
      <c r="E30" s="10">
        <f t="shared" si="5"/>
        <v>-12.074</v>
      </c>
      <c r="F30" s="25">
        <f t="shared" si="6"/>
        <v>177.833</v>
      </c>
      <c r="G30" s="10">
        <f t="shared" si="1"/>
        <v>1686.7929999999999</v>
      </c>
      <c r="H30" s="644"/>
      <c r="I30" s="644"/>
      <c r="J30" s="1">
        <v>1985</v>
      </c>
      <c r="K30" s="793">
        <f t="shared" si="7"/>
        <v>1508960</v>
      </c>
      <c r="L30" s="793">
        <f t="shared" si="8"/>
        <v>1289003</v>
      </c>
      <c r="M30" s="793">
        <f t="shared" si="9"/>
        <v>232031</v>
      </c>
      <c r="N30" s="793">
        <f t="shared" si="10"/>
        <v>-12074</v>
      </c>
      <c r="O30" s="793">
        <f t="shared" si="11"/>
        <v>177833</v>
      </c>
      <c r="P30" s="793">
        <f t="shared" si="12"/>
        <v>1686793</v>
      </c>
      <c r="Q30" s="1">
        <v>1686793</v>
      </c>
      <c r="S30" s="794">
        <v>1508960000000</v>
      </c>
      <c r="T30" s="795">
        <v>1289003000000</v>
      </c>
      <c r="U30" s="796">
        <v>232031000000</v>
      </c>
      <c r="V30" s="797">
        <v>-12074000000</v>
      </c>
      <c r="W30" s="798">
        <v>177833000000</v>
      </c>
      <c r="X30" s="799">
        <v>1686793000000</v>
      </c>
    </row>
    <row r="31" spans="1:24" ht="15">
      <c r="A31" s="120">
        <v>1986</v>
      </c>
      <c r="B31" s="25">
        <f t="shared" si="3"/>
        <v>1618.3810000000001</v>
      </c>
      <c r="C31" s="10">
        <f t="shared" si="4"/>
        <v>1408.559</v>
      </c>
      <c r="D31" s="10">
        <f t="shared" si="0"/>
        <v>253.298</v>
      </c>
      <c r="E31" s="10">
        <f t="shared" si="5"/>
        <v>-43.475999999999999</v>
      </c>
      <c r="F31" s="25">
        <f t="shared" si="6"/>
        <v>196.816</v>
      </c>
      <c r="G31" s="10">
        <f t="shared" si="1"/>
        <v>1815.1969999999999</v>
      </c>
      <c r="H31" s="644"/>
      <c r="I31" s="644"/>
      <c r="J31" s="1">
        <v>1986</v>
      </c>
      <c r="K31" s="793">
        <f t="shared" si="7"/>
        <v>1618381</v>
      </c>
      <c r="L31" s="793">
        <f t="shared" si="8"/>
        <v>1408559</v>
      </c>
      <c r="M31" s="793">
        <f t="shared" si="9"/>
        <v>253298</v>
      </c>
      <c r="N31" s="793">
        <f t="shared" si="10"/>
        <v>-43476</v>
      </c>
      <c r="O31" s="793">
        <f t="shared" si="11"/>
        <v>196816</v>
      </c>
      <c r="P31" s="793">
        <f t="shared" si="12"/>
        <v>1815197</v>
      </c>
      <c r="Q31" s="1">
        <v>1815197</v>
      </c>
      <c r="S31" s="794">
        <v>1618381000000</v>
      </c>
      <c r="T31" s="795">
        <v>1408559000000</v>
      </c>
      <c r="U31" s="796">
        <v>253298000000</v>
      </c>
      <c r="V31" s="797">
        <v>-43476000000</v>
      </c>
      <c r="W31" s="798">
        <v>196816000000</v>
      </c>
      <c r="X31" s="799">
        <v>1815197000000</v>
      </c>
    </row>
    <row r="32" spans="1:24" ht="15">
      <c r="A32" s="120">
        <v>1987</v>
      </c>
      <c r="B32" s="25">
        <f t="shared" si="3"/>
        <v>1752.498</v>
      </c>
      <c r="C32" s="10">
        <f t="shared" si="4"/>
        <v>1523.357</v>
      </c>
      <c r="D32" s="10">
        <f t="shared" si="0"/>
        <v>287.58699999999999</v>
      </c>
      <c r="E32" s="10">
        <f t="shared" si="5"/>
        <v>-58.445999999999998</v>
      </c>
      <c r="F32" s="25">
        <f t="shared" si="6"/>
        <v>212.572</v>
      </c>
      <c r="G32" s="10">
        <f t="shared" si="1"/>
        <v>1965.07</v>
      </c>
      <c r="H32" s="644"/>
      <c r="I32" s="644"/>
      <c r="J32" s="1">
        <v>1987</v>
      </c>
      <c r="K32" s="793">
        <f t="shared" si="7"/>
        <v>1752498</v>
      </c>
      <c r="L32" s="793">
        <f t="shared" si="8"/>
        <v>1523357</v>
      </c>
      <c r="M32" s="793">
        <f t="shared" si="9"/>
        <v>287587</v>
      </c>
      <c r="N32" s="793">
        <f t="shared" si="10"/>
        <v>-58446</v>
      </c>
      <c r="O32" s="793">
        <f t="shared" si="11"/>
        <v>212572</v>
      </c>
      <c r="P32" s="793">
        <f t="shared" si="12"/>
        <v>1965070</v>
      </c>
      <c r="Q32" s="1">
        <v>1965070</v>
      </c>
      <c r="S32" s="794">
        <v>1752498000000</v>
      </c>
      <c r="T32" s="795">
        <v>1523357000000</v>
      </c>
      <c r="U32" s="796">
        <v>287587000000</v>
      </c>
      <c r="V32" s="797">
        <v>-58446000000</v>
      </c>
      <c r="W32" s="798">
        <v>212572000000</v>
      </c>
      <c r="X32" s="799">
        <v>1965070000000</v>
      </c>
    </row>
    <row r="33" spans="1:24" ht="15">
      <c r="A33" s="120">
        <v>1988</v>
      </c>
      <c r="B33" s="25">
        <f t="shared" si="3"/>
        <v>1924.1590000000001</v>
      </c>
      <c r="C33" s="10">
        <f t="shared" si="4"/>
        <v>1665.3579999999999</v>
      </c>
      <c r="D33" s="10">
        <f t="shared" si="0"/>
        <v>324.69299999999998</v>
      </c>
      <c r="E33" s="10">
        <f t="shared" si="5"/>
        <v>-65.891999999999996</v>
      </c>
      <c r="F33" s="25">
        <f t="shared" si="6"/>
        <v>215.905</v>
      </c>
      <c r="G33" s="10">
        <f t="shared" si="1"/>
        <v>2140.0639999999999</v>
      </c>
      <c r="H33" s="644"/>
      <c r="I33" s="644"/>
      <c r="J33" s="1">
        <v>1988</v>
      </c>
      <c r="K33" s="793">
        <f t="shared" si="7"/>
        <v>1924159</v>
      </c>
      <c r="L33" s="793">
        <f t="shared" si="8"/>
        <v>1665358</v>
      </c>
      <c r="M33" s="793">
        <f t="shared" si="9"/>
        <v>324693</v>
      </c>
      <c r="N33" s="793">
        <f t="shared" si="10"/>
        <v>-65892</v>
      </c>
      <c r="O33" s="793">
        <f t="shared" si="11"/>
        <v>215905</v>
      </c>
      <c r="P33" s="793">
        <f t="shared" si="12"/>
        <v>2140064</v>
      </c>
      <c r="Q33" s="1">
        <v>2140064</v>
      </c>
      <c r="S33" s="794">
        <v>1924159000000</v>
      </c>
      <c r="T33" s="795">
        <v>1665358000000</v>
      </c>
      <c r="U33" s="796">
        <v>324693000000</v>
      </c>
      <c r="V33" s="797">
        <v>-65892000000</v>
      </c>
      <c r="W33" s="798">
        <v>215905000000</v>
      </c>
      <c r="X33" s="799">
        <v>2140064000000</v>
      </c>
    </row>
    <row r="34" spans="1:24" ht="15">
      <c r="A34" s="120">
        <v>1989</v>
      </c>
      <c r="B34" s="25">
        <f t="shared" si="3"/>
        <v>2094.201</v>
      </c>
      <c r="C34" s="10">
        <f t="shared" si="4"/>
        <v>1833.2909999999999</v>
      </c>
      <c r="D34" s="10">
        <f t="shared" si="0"/>
        <v>351.541</v>
      </c>
      <c r="E34" s="10">
        <f t="shared" si="5"/>
        <v>-90.631</v>
      </c>
      <c r="F34" s="25">
        <f t="shared" si="6"/>
        <v>232.06100000000001</v>
      </c>
      <c r="G34" s="10">
        <f t="shared" si="1"/>
        <v>2326.2620000000002</v>
      </c>
      <c r="H34" s="644"/>
      <c r="I34" s="644"/>
      <c r="J34" s="1">
        <v>1989</v>
      </c>
      <c r="K34" s="793">
        <f t="shared" si="7"/>
        <v>2094201</v>
      </c>
      <c r="L34" s="793">
        <f t="shared" si="8"/>
        <v>1833291</v>
      </c>
      <c r="M34" s="793">
        <f t="shared" si="9"/>
        <v>351541</v>
      </c>
      <c r="N34" s="793">
        <f t="shared" si="10"/>
        <v>-90631</v>
      </c>
      <c r="O34" s="793">
        <f t="shared" si="11"/>
        <v>232061</v>
      </c>
      <c r="P34" s="793">
        <f t="shared" si="12"/>
        <v>2326262</v>
      </c>
      <c r="Q34" s="1">
        <v>2326262</v>
      </c>
      <c r="S34" s="794">
        <v>2094201000000</v>
      </c>
      <c r="T34" s="795">
        <v>1833291000000</v>
      </c>
      <c r="U34" s="796">
        <v>351541000000</v>
      </c>
      <c r="V34" s="797">
        <v>-90631000000</v>
      </c>
      <c r="W34" s="798">
        <v>232061000000</v>
      </c>
      <c r="X34" s="799">
        <v>2326262000000</v>
      </c>
    </row>
    <row r="35" spans="1:24" ht="15">
      <c r="A35" s="120">
        <v>1990</v>
      </c>
      <c r="B35" s="25">
        <f t="shared" si="3"/>
        <v>2171.232</v>
      </c>
      <c r="C35" s="10">
        <f t="shared" si="4"/>
        <v>1899.2660000000001</v>
      </c>
      <c r="D35" s="10">
        <f t="shared" si="0"/>
        <v>381.94400000000002</v>
      </c>
      <c r="E35" s="10">
        <f t="shared" si="5"/>
        <v>-108.59099999999999</v>
      </c>
      <c r="F35" s="25">
        <f t="shared" si="6"/>
        <v>252.506</v>
      </c>
      <c r="G35" s="10">
        <f t="shared" si="1"/>
        <v>2423.7379999999998</v>
      </c>
      <c r="H35" s="644"/>
      <c r="I35" s="644"/>
      <c r="J35" s="1">
        <v>1990</v>
      </c>
      <c r="K35" s="793">
        <f t="shared" si="7"/>
        <v>2171232</v>
      </c>
      <c r="L35" s="793">
        <f t="shared" si="8"/>
        <v>1899266</v>
      </c>
      <c r="M35" s="793">
        <f t="shared" si="9"/>
        <v>381944</v>
      </c>
      <c r="N35" s="793">
        <f t="shared" si="10"/>
        <v>-108591</v>
      </c>
      <c r="O35" s="793">
        <f t="shared" si="11"/>
        <v>252506</v>
      </c>
      <c r="P35" s="793">
        <f t="shared" si="12"/>
        <v>2423738</v>
      </c>
      <c r="Q35" s="1">
        <v>2423738</v>
      </c>
      <c r="S35" s="794">
        <v>2171232000000</v>
      </c>
      <c r="T35" s="795">
        <v>1899266000000</v>
      </c>
      <c r="U35" s="796">
        <v>381944000000</v>
      </c>
      <c r="V35" s="797">
        <v>-108591000000</v>
      </c>
      <c r="W35" s="798">
        <v>252506000000</v>
      </c>
      <c r="X35" s="799">
        <v>2423738000000</v>
      </c>
    </row>
    <row r="36" spans="1:24" ht="15">
      <c r="A36" s="120">
        <v>1991</v>
      </c>
      <c r="B36" s="25">
        <f t="shared" si="3"/>
        <v>2222.3739999999998</v>
      </c>
      <c r="C36" s="10">
        <f t="shared" si="4"/>
        <v>2018.944</v>
      </c>
      <c r="D36" s="10">
        <f t="shared" si="0"/>
        <v>369.57</v>
      </c>
      <c r="E36" s="10">
        <f t="shared" si="5"/>
        <v>-164.91300000000001</v>
      </c>
      <c r="F36" s="25">
        <f t="shared" si="6"/>
        <v>267.40800000000002</v>
      </c>
      <c r="G36" s="10">
        <f t="shared" si="1"/>
        <v>2489.7820000000002</v>
      </c>
      <c r="H36" s="644"/>
      <c r="I36" s="644"/>
      <c r="J36" s="1">
        <v>1991</v>
      </c>
      <c r="K36" s="793">
        <f t="shared" si="7"/>
        <v>2222374</v>
      </c>
      <c r="L36" s="793">
        <f t="shared" si="8"/>
        <v>2018944</v>
      </c>
      <c r="M36" s="793">
        <f t="shared" si="9"/>
        <v>369570</v>
      </c>
      <c r="N36" s="793">
        <f t="shared" si="10"/>
        <v>-164913</v>
      </c>
      <c r="O36" s="793">
        <f t="shared" si="11"/>
        <v>267408</v>
      </c>
      <c r="P36" s="793">
        <f t="shared" si="12"/>
        <v>2489782</v>
      </c>
      <c r="Q36" s="1">
        <v>2489782</v>
      </c>
      <c r="S36" s="794">
        <v>2222374000000</v>
      </c>
      <c r="T36" s="795">
        <v>2018944000000</v>
      </c>
      <c r="U36" s="796">
        <v>369570000000</v>
      </c>
      <c r="V36" s="797">
        <v>-164913000000</v>
      </c>
      <c r="W36" s="798">
        <v>267408000000</v>
      </c>
      <c r="X36" s="799">
        <v>2489782000000</v>
      </c>
    </row>
    <row r="37" spans="1:24" ht="15">
      <c r="A37" s="120">
        <v>1992</v>
      </c>
      <c r="B37" s="25">
        <f t="shared" si="3"/>
        <v>2248.6909999999998</v>
      </c>
      <c r="C37" s="10">
        <f t="shared" si="4"/>
        <v>2125.5349999999999</v>
      </c>
      <c r="D37" s="10">
        <f t="shared" si="0"/>
        <v>358.36700000000002</v>
      </c>
      <c r="E37" s="10">
        <f t="shared" si="5"/>
        <v>-233.09299999999999</v>
      </c>
      <c r="F37" s="25">
        <f t="shared" si="6"/>
        <v>298.11399999999998</v>
      </c>
      <c r="G37" s="10">
        <f t="shared" si="1"/>
        <v>2546.8049999999998</v>
      </c>
      <c r="H37" s="644"/>
      <c r="I37" s="644"/>
      <c r="J37" s="1">
        <v>1992</v>
      </c>
      <c r="K37" s="793">
        <f t="shared" si="7"/>
        <v>2248691</v>
      </c>
      <c r="L37" s="793">
        <f t="shared" si="8"/>
        <v>2125535</v>
      </c>
      <c r="M37" s="793">
        <f t="shared" si="9"/>
        <v>358367</v>
      </c>
      <c r="N37" s="793">
        <f t="shared" si="10"/>
        <v>-233093</v>
      </c>
      <c r="O37" s="793">
        <f t="shared" si="11"/>
        <v>298114</v>
      </c>
      <c r="P37" s="793">
        <f t="shared" si="12"/>
        <v>2546805</v>
      </c>
      <c r="Q37" s="1">
        <v>2546805</v>
      </c>
      <c r="S37" s="794">
        <v>2248691000000</v>
      </c>
      <c r="T37" s="795">
        <v>2125535000000</v>
      </c>
      <c r="U37" s="796">
        <v>358367000000</v>
      </c>
      <c r="V37" s="797">
        <v>-233093000000</v>
      </c>
      <c r="W37" s="798">
        <v>298114000000</v>
      </c>
      <c r="X37" s="799">
        <v>2546805000000</v>
      </c>
    </row>
    <row r="38" spans="1:24" ht="15">
      <c r="A38" s="120">
        <v>1993</v>
      </c>
      <c r="B38" s="25">
        <f t="shared" si="3"/>
        <v>2330.8449999999998</v>
      </c>
      <c r="C38" s="10">
        <f t="shared" si="4"/>
        <v>2255.5120000000002</v>
      </c>
      <c r="D38" s="10">
        <f t="shared" si="0"/>
        <v>377.62099999999998</v>
      </c>
      <c r="E38" s="10">
        <f t="shared" si="5"/>
        <v>-291.14499999999998</v>
      </c>
      <c r="F38" s="25">
        <f t="shared" si="6"/>
        <v>323.73899999999998</v>
      </c>
      <c r="G38" s="10">
        <f t="shared" si="1"/>
        <v>2654.5839999999998</v>
      </c>
      <c r="H38" s="644"/>
      <c r="I38" s="644"/>
      <c r="J38" s="1">
        <v>1993</v>
      </c>
      <c r="K38" s="793">
        <f t="shared" si="7"/>
        <v>2330845</v>
      </c>
      <c r="L38" s="793">
        <f t="shared" si="8"/>
        <v>2255512</v>
      </c>
      <c r="M38" s="793">
        <f t="shared" si="9"/>
        <v>377621</v>
      </c>
      <c r="N38" s="793">
        <f t="shared" si="10"/>
        <v>-291145</v>
      </c>
      <c r="O38" s="793">
        <f t="shared" si="11"/>
        <v>323739</v>
      </c>
      <c r="P38" s="793">
        <f t="shared" si="12"/>
        <v>2654584</v>
      </c>
      <c r="Q38" s="1">
        <v>2654584</v>
      </c>
      <c r="S38" s="794">
        <v>2330845000000</v>
      </c>
      <c r="T38" s="795">
        <v>2255512000000</v>
      </c>
      <c r="U38" s="796">
        <v>377621000000</v>
      </c>
      <c r="V38" s="797">
        <v>-291145000000</v>
      </c>
      <c r="W38" s="798">
        <v>323739000000</v>
      </c>
      <c r="X38" s="799">
        <v>2654584000000</v>
      </c>
    </row>
    <row r="39" spans="1:24" ht="15">
      <c r="A39" s="120">
        <v>1994</v>
      </c>
      <c r="B39" s="25">
        <f t="shared" si="3"/>
        <v>2450.7640000000001</v>
      </c>
      <c r="C39" s="10">
        <f t="shared" si="4"/>
        <v>2383.223</v>
      </c>
      <c r="D39" s="10">
        <f t="shared" si="0"/>
        <v>420.43799999999999</v>
      </c>
      <c r="E39" s="10">
        <f t="shared" si="5"/>
        <v>-337.30700000000002</v>
      </c>
      <c r="F39" s="25">
        <f t="shared" si="6"/>
        <v>333.08300000000003</v>
      </c>
      <c r="G39" s="10">
        <f t="shared" si="1"/>
        <v>2783.8470000000002</v>
      </c>
      <c r="H39" s="644"/>
      <c r="I39" s="644"/>
      <c r="J39" s="1">
        <v>1994</v>
      </c>
      <c r="K39" s="793">
        <f t="shared" si="7"/>
        <v>2450764</v>
      </c>
      <c r="L39" s="793">
        <f t="shared" si="8"/>
        <v>2383223</v>
      </c>
      <c r="M39" s="793">
        <f t="shared" si="9"/>
        <v>420438</v>
      </c>
      <c r="N39" s="793">
        <f t="shared" si="10"/>
        <v>-337307</v>
      </c>
      <c r="O39" s="793">
        <f t="shared" si="11"/>
        <v>333083</v>
      </c>
      <c r="P39" s="793">
        <f t="shared" si="12"/>
        <v>2783847</v>
      </c>
      <c r="Q39" s="1">
        <v>2783847</v>
      </c>
      <c r="S39" s="794">
        <v>2450764000000</v>
      </c>
      <c r="T39" s="795">
        <v>2383223000000</v>
      </c>
      <c r="U39" s="796">
        <v>420438000000</v>
      </c>
      <c r="V39" s="797">
        <v>-337307000000</v>
      </c>
      <c r="W39" s="798">
        <v>333083000000</v>
      </c>
      <c r="X39" s="799">
        <v>2783847000000</v>
      </c>
    </row>
    <row r="40" spans="1:24" ht="15">
      <c r="A40" s="120">
        <v>1995</v>
      </c>
      <c r="B40" s="25">
        <f t="shared" si="3"/>
        <v>2528.6869999999999</v>
      </c>
      <c r="C40" s="10">
        <f t="shared" si="4"/>
        <v>2476.0949999999998</v>
      </c>
      <c r="D40" s="10">
        <f t="shared" si="0"/>
        <v>456.01499999999999</v>
      </c>
      <c r="E40" s="10">
        <f t="shared" si="5"/>
        <v>-384.95</v>
      </c>
      <c r="F40" s="25">
        <f t="shared" si="6"/>
        <v>324.19</v>
      </c>
      <c r="G40" s="10">
        <f t="shared" si="1"/>
        <v>2852.877</v>
      </c>
      <c r="H40" s="644"/>
      <c r="I40" s="644"/>
      <c r="J40" s="1">
        <v>1995</v>
      </c>
      <c r="K40" s="793">
        <f t="shared" si="7"/>
        <v>2528687</v>
      </c>
      <c r="L40" s="793">
        <f t="shared" si="8"/>
        <v>2476095</v>
      </c>
      <c r="M40" s="793">
        <f t="shared" si="9"/>
        <v>456015</v>
      </c>
      <c r="N40" s="793">
        <f t="shared" si="10"/>
        <v>-384950</v>
      </c>
      <c r="O40" s="793">
        <f t="shared" si="11"/>
        <v>324190</v>
      </c>
      <c r="P40" s="793">
        <f t="shared" si="12"/>
        <v>2852877</v>
      </c>
      <c r="Q40" s="1">
        <v>2852877</v>
      </c>
      <c r="S40" s="794">
        <v>2528687000000</v>
      </c>
      <c r="T40" s="795">
        <v>2476095000000</v>
      </c>
      <c r="U40" s="796">
        <v>456015000000</v>
      </c>
      <c r="V40" s="797">
        <v>-384950000000</v>
      </c>
      <c r="W40" s="798">
        <v>324190000000</v>
      </c>
      <c r="X40" s="799">
        <v>2852877000000</v>
      </c>
    </row>
    <row r="41" spans="1:24" ht="15">
      <c r="A41" s="120">
        <v>1996</v>
      </c>
      <c r="B41" s="25">
        <f t="shared" si="3"/>
        <v>2630.8209999999999</v>
      </c>
      <c r="C41" s="10">
        <f t="shared" si="4"/>
        <v>2603.596</v>
      </c>
      <c r="D41" s="10">
        <f t="shared" si="0"/>
        <v>453.65199999999999</v>
      </c>
      <c r="E41" s="10">
        <f t="shared" si="5"/>
        <v>-395.07600000000002</v>
      </c>
      <c r="F41" s="25">
        <f t="shared" si="6"/>
        <v>311.36500000000001</v>
      </c>
      <c r="G41" s="10">
        <f t="shared" si="1"/>
        <v>2942.1860000000001</v>
      </c>
      <c r="H41" s="644"/>
      <c r="I41" s="644"/>
      <c r="J41" s="1">
        <v>1996</v>
      </c>
      <c r="K41" s="793">
        <f t="shared" si="7"/>
        <v>2630821</v>
      </c>
      <c r="L41" s="793">
        <f t="shared" si="8"/>
        <v>2603596</v>
      </c>
      <c r="M41" s="793">
        <f t="shared" si="9"/>
        <v>453652</v>
      </c>
      <c r="N41" s="793">
        <f t="shared" si="10"/>
        <v>-395076</v>
      </c>
      <c r="O41" s="793">
        <f t="shared" si="11"/>
        <v>311365</v>
      </c>
      <c r="P41" s="793">
        <f t="shared" si="12"/>
        <v>2942186</v>
      </c>
      <c r="Q41" s="1">
        <v>2942186</v>
      </c>
      <c r="S41" s="794">
        <v>2630821000000</v>
      </c>
      <c r="T41" s="795">
        <v>2603596000000</v>
      </c>
      <c r="U41" s="796">
        <v>453652000000</v>
      </c>
      <c r="V41" s="797">
        <v>-395076000000</v>
      </c>
      <c r="W41" s="798">
        <v>311365000000</v>
      </c>
      <c r="X41" s="799">
        <v>2942186000000</v>
      </c>
    </row>
    <row r="42" spans="1:24" ht="15">
      <c r="A42" s="120">
        <v>1997</v>
      </c>
      <c r="B42" s="25">
        <f t="shared" si="3"/>
        <v>2787.1579999999999</v>
      </c>
      <c r="C42" s="10">
        <f t="shared" si="4"/>
        <v>2737.4479999999999</v>
      </c>
      <c r="D42" s="10">
        <f t="shared" si="0"/>
        <v>465.745</v>
      </c>
      <c r="E42" s="10">
        <f t="shared" si="5"/>
        <v>-380.16699999999997</v>
      </c>
      <c r="F42" s="25">
        <f t="shared" si="6"/>
        <v>290.22199999999998</v>
      </c>
      <c r="G42" s="10">
        <f t="shared" si="1"/>
        <v>3077.38</v>
      </c>
      <c r="H42" s="644"/>
      <c r="I42" s="644"/>
      <c r="J42" s="1">
        <v>1997</v>
      </c>
      <c r="K42" s="793">
        <f t="shared" si="7"/>
        <v>2787158</v>
      </c>
      <c r="L42" s="793">
        <f t="shared" si="8"/>
        <v>2737448</v>
      </c>
      <c r="M42" s="793">
        <f t="shared" si="9"/>
        <v>465745</v>
      </c>
      <c r="N42" s="793">
        <f t="shared" si="10"/>
        <v>-380167</v>
      </c>
      <c r="O42" s="793">
        <f t="shared" si="11"/>
        <v>290222</v>
      </c>
      <c r="P42" s="793">
        <f t="shared" si="12"/>
        <v>3077380</v>
      </c>
      <c r="Q42" s="1">
        <v>3077380</v>
      </c>
      <c r="S42" s="794">
        <v>2787158000000</v>
      </c>
      <c r="T42" s="795">
        <v>2737448000000</v>
      </c>
      <c r="U42" s="796">
        <v>465745000000</v>
      </c>
      <c r="V42" s="797">
        <v>-380167000000</v>
      </c>
      <c r="W42" s="798">
        <v>290222000000</v>
      </c>
      <c r="X42" s="799">
        <v>3077380000000</v>
      </c>
    </row>
    <row r="43" spans="1:24" ht="15">
      <c r="A43" s="120">
        <v>1998</v>
      </c>
      <c r="B43" s="25">
        <f t="shared" si="3"/>
        <v>2918.8519999999999</v>
      </c>
      <c r="C43" s="10">
        <f t="shared" si="4"/>
        <v>2834.51</v>
      </c>
      <c r="D43" s="10">
        <f t="shared" si="0"/>
        <v>489.334</v>
      </c>
      <c r="E43" s="10">
        <f t="shared" si="5"/>
        <v>-363.904</v>
      </c>
      <c r="F43" s="25">
        <f t="shared" si="6"/>
        <v>299.66300000000001</v>
      </c>
      <c r="G43" s="10">
        <f t="shared" si="1"/>
        <v>3218.5149999999999</v>
      </c>
      <c r="H43" s="644"/>
      <c r="I43" s="644"/>
      <c r="J43" s="1">
        <v>1998</v>
      </c>
      <c r="K43" s="793">
        <f t="shared" si="7"/>
        <v>2918852</v>
      </c>
      <c r="L43" s="793">
        <f t="shared" si="8"/>
        <v>2834510</v>
      </c>
      <c r="M43" s="793">
        <f t="shared" si="9"/>
        <v>489334</v>
      </c>
      <c r="N43" s="793">
        <f t="shared" si="10"/>
        <v>-363904</v>
      </c>
      <c r="O43" s="793">
        <f t="shared" si="11"/>
        <v>299663</v>
      </c>
      <c r="P43" s="793">
        <f t="shared" si="12"/>
        <v>3218515</v>
      </c>
      <c r="Q43" s="1">
        <v>3218515</v>
      </c>
      <c r="S43" s="794">
        <v>2918852000000</v>
      </c>
      <c r="T43" s="795">
        <v>2834510000000</v>
      </c>
      <c r="U43" s="796">
        <v>489334000000</v>
      </c>
      <c r="V43" s="797">
        <v>-363904000000</v>
      </c>
      <c r="W43" s="798">
        <v>299663000000</v>
      </c>
      <c r="X43" s="799">
        <v>3218515000000</v>
      </c>
    </row>
    <row r="44" spans="1:24" ht="15">
      <c r="A44" s="120">
        <v>1999</v>
      </c>
      <c r="B44" s="25">
        <f t="shared" si="3"/>
        <v>3138.6280000000002</v>
      </c>
      <c r="C44" s="10">
        <f t="shared" si="4"/>
        <v>3022.826</v>
      </c>
      <c r="D44" s="10">
        <f t="shared" si="0"/>
        <v>533.78700000000003</v>
      </c>
      <c r="E44" s="10">
        <f t="shared" si="5"/>
        <v>-351.22800000000001</v>
      </c>
      <c r="F44" s="25">
        <f t="shared" si="6"/>
        <v>243.678</v>
      </c>
      <c r="G44" s="10">
        <f t="shared" si="1"/>
        <v>3382.306</v>
      </c>
      <c r="H44" s="644"/>
      <c r="I44" s="644"/>
      <c r="J44" s="1">
        <v>1999</v>
      </c>
      <c r="K44" s="793">
        <f t="shared" si="7"/>
        <v>3138628</v>
      </c>
      <c r="L44" s="793">
        <f t="shared" si="8"/>
        <v>3022826</v>
      </c>
      <c r="M44" s="793">
        <f t="shared" si="9"/>
        <v>533787</v>
      </c>
      <c r="N44" s="793">
        <f t="shared" si="10"/>
        <v>-351228</v>
      </c>
      <c r="O44" s="793">
        <f t="shared" si="11"/>
        <v>243678</v>
      </c>
      <c r="P44" s="793">
        <f t="shared" si="12"/>
        <v>3382306</v>
      </c>
      <c r="Q44" s="1">
        <v>3382306</v>
      </c>
      <c r="S44" s="794">
        <v>3138628000000</v>
      </c>
      <c r="T44" s="795">
        <v>3022826000000</v>
      </c>
      <c r="U44" s="796">
        <v>533787000000</v>
      </c>
      <c r="V44" s="797">
        <v>-351228000000</v>
      </c>
      <c r="W44" s="798">
        <v>243678000000</v>
      </c>
      <c r="X44" s="799">
        <v>3382306000000</v>
      </c>
    </row>
    <row r="45" spans="1:24" ht="15">
      <c r="A45" s="120">
        <v>2000</v>
      </c>
      <c r="B45" s="25">
        <f t="shared" si="3"/>
        <v>3355.502</v>
      </c>
      <c r="C45" s="10">
        <f t="shared" si="4"/>
        <v>3211.5920000000001</v>
      </c>
      <c r="D45" s="10">
        <f t="shared" si="0"/>
        <v>521.49</v>
      </c>
      <c r="E45" s="10">
        <f t="shared" si="5"/>
        <v>-287.017</v>
      </c>
      <c r="F45" s="25">
        <f t="shared" si="6"/>
        <v>208.83199999999999</v>
      </c>
      <c r="G45" s="10">
        <f t="shared" si="1"/>
        <v>3564.3339999999998</v>
      </c>
      <c r="H45" s="644"/>
      <c r="I45" s="644"/>
      <c r="J45" s="1">
        <v>2000</v>
      </c>
      <c r="K45" s="793">
        <f t="shared" si="7"/>
        <v>3355502</v>
      </c>
      <c r="L45" s="793">
        <f t="shared" si="8"/>
        <v>3211592</v>
      </c>
      <c r="M45" s="793">
        <f t="shared" si="9"/>
        <v>521490</v>
      </c>
      <c r="N45" s="793">
        <f t="shared" si="10"/>
        <v>-287017</v>
      </c>
      <c r="O45" s="793">
        <f t="shared" si="11"/>
        <v>208832</v>
      </c>
      <c r="P45" s="793">
        <f t="shared" si="12"/>
        <v>3564334</v>
      </c>
      <c r="Q45" s="1">
        <v>3564334</v>
      </c>
      <c r="S45" s="794">
        <v>3355502000000</v>
      </c>
      <c r="T45" s="795">
        <v>3211592000000</v>
      </c>
      <c r="U45" s="796">
        <v>521490000000</v>
      </c>
      <c r="V45" s="797">
        <v>-287017000000</v>
      </c>
      <c r="W45" s="798">
        <v>208832000000</v>
      </c>
      <c r="X45" s="799">
        <v>3564334000000</v>
      </c>
    </row>
    <row r="46" spans="1:24" ht="15">
      <c r="A46" s="120">
        <v>2001</v>
      </c>
      <c r="B46" s="25">
        <f t="shared" si="3"/>
        <v>3533.87</v>
      </c>
      <c r="C46" s="10">
        <f t="shared" si="4"/>
        <v>3367.1750000000002</v>
      </c>
      <c r="D46" s="10">
        <f t="shared" si="0"/>
        <v>519.89599999999996</v>
      </c>
      <c r="E46" s="10">
        <f t="shared" si="5"/>
        <v>-254.38300000000001</v>
      </c>
      <c r="F46" s="25">
        <f t="shared" si="6"/>
        <v>203.43700000000001</v>
      </c>
      <c r="G46" s="10">
        <f t="shared" si="1"/>
        <v>3737.3069999999998</v>
      </c>
      <c r="H46" s="644"/>
      <c r="I46" s="644"/>
      <c r="J46" s="1">
        <v>2001</v>
      </c>
      <c r="K46" s="793">
        <f t="shared" si="7"/>
        <v>3533870</v>
      </c>
      <c r="L46" s="793">
        <f t="shared" si="8"/>
        <v>3367175</v>
      </c>
      <c r="M46" s="793">
        <f t="shared" si="9"/>
        <v>519896</v>
      </c>
      <c r="N46" s="793">
        <f t="shared" si="10"/>
        <v>-254383</v>
      </c>
      <c r="O46" s="793">
        <f t="shared" si="11"/>
        <v>203437</v>
      </c>
      <c r="P46" s="793">
        <f t="shared" si="12"/>
        <v>3737307</v>
      </c>
      <c r="Q46" s="1">
        <v>3737307</v>
      </c>
      <c r="S46" s="794">
        <v>3533870000000</v>
      </c>
      <c r="T46" s="795">
        <v>3367175000000</v>
      </c>
      <c r="U46" s="796">
        <v>519896000000</v>
      </c>
      <c r="V46" s="797">
        <v>-254383000000</v>
      </c>
      <c r="W46" s="798">
        <v>203437000000</v>
      </c>
      <c r="X46" s="799">
        <v>3737307000000</v>
      </c>
    </row>
    <row r="47" spans="1:24" ht="15">
      <c r="A47" s="120">
        <v>2002</v>
      </c>
      <c r="B47" s="25">
        <f t="shared" si="3"/>
        <v>3757.098</v>
      </c>
      <c r="C47" s="10">
        <f t="shared" si="4"/>
        <v>3558.2869999999998</v>
      </c>
      <c r="D47" s="10">
        <f t="shared" si="0"/>
        <v>558.11699999999996</v>
      </c>
      <c r="E47" s="10">
        <f t="shared" si="5"/>
        <v>-249.381</v>
      </c>
      <c r="F47" s="25">
        <f t="shared" si="6"/>
        <v>208.69200000000001</v>
      </c>
      <c r="G47" s="10">
        <f t="shared" si="1"/>
        <v>3965.79</v>
      </c>
      <c r="H47" s="644"/>
      <c r="I47" s="644"/>
      <c r="J47" s="1">
        <v>2002</v>
      </c>
      <c r="K47" s="793">
        <f t="shared" si="7"/>
        <v>3757098</v>
      </c>
      <c r="L47" s="793">
        <f t="shared" si="8"/>
        <v>3558287</v>
      </c>
      <c r="M47" s="793">
        <f t="shared" si="9"/>
        <v>558117</v>
      </c>
      <c r="N47" s="793">
        <f t="shared" si="10"/>
        <v>-249381</v>
      </c>
      <c r="O47" s="793">
        <f t="shared" si="11"/>
        <v>208692</v>
      </c>
      <c r="P47" s="793">
        <f t="shared" si="12"/>
        <v>3965790</v>
      </c>
      <c r="Q47" s="1">
        <v>3965790</v>
      </c>
      <c r="S47" s="794">
        <v>3757098000000</v>
      </c>
      <c r="T47" s="795">
        <v>3558287000000</v>
      </c>
      <c r="U47" s="796">
        <v>558117000000</v>
      </c>
      <c r="V47" s="797">
        <v>-249381000000</v>
      </c>
      <c r="W47" s="798">
        <v>208692000000</v>
      </c>
      <c r="X47" s="799">
        <v>3965790000000</v>
      </c>
    </row>
    <row r="48" spans="1:24" ht="15">
      <c r="A48" s="120">
        <v>2003</v>
      </c>
      <c r="B48" s="25">
        <f t="shared" si="3"/>
        <v>3950.8009999999999</v>
      </c>
      <c r="C48" s="10">
        <f t="shared" si="4"/>
        <v>3720.6819999999998</v>
      </c>
      <c r="D48" s="10">
        <f t="shared" si="0"/>
        <v>569.92399999999998</v>
      </c>
      <c r="E48" s="10">
        <f t="shared" si="5"/>
        <v>-213.184</v>
      </c>
      <c r="F48" s="25">
        <f t="shared" si="6"/>
        <v>216.69900000000001</v>
      </c>
      <c r="G48" s="10">
        <f t="shared" si="1"/>
        <v>4167.5</v>
      </c>
      <c r="H48" s="644"/>
      <c r="I48" s="644"/>
      <c r="J48" s="1">
        <v>2003</v>
      </c>
      <c r="K48" s="793">
        <f t="shared" si="7"/>
        <v>3950801</v>
      </c>
      <c r="L48" s="793">
        <f t="shared" si="8"/>
        <v>3720682</v>
      </c>
      <c r="M48" s="793">
        <f t="shared" si="9"/>
        <v>569924</v>
      </c>
      <c r="N48" s="793">
        <f t="shared" si="10"/>
        <v>-213184</v>
      </c>
      <c r="O48" s="793">
        <f t="shared" si="11"/>
        <v>216699</v>
      </c>
      <c r="P48" s="793">
        <f t="shared" si="12"/>
        <v>4167500</v>
      </c>
      <c r="Q48" s="1">
        <v>4167500</v>
      </c>
      <c r="S48" s="794">
        <v>3950801000000</v>
      </c>
      <c r="T48" s="795">
        <v>3720682000000</v>
      </c>
      <c r="U48" s="796">
        <v>569924000000</v>
      </c>
      <c r="V48" s="797">
        <v>-213184000000</v>
      </c>
      <c r="W48" s="798">
        <v>216699000000</v>
      </c>
      <c r="X48" s="799">
        <v>4167500000000</v>
      </c>
    </row>
    <row r="49" spans="1:24" ht="15">
      <c r="A49" s="120">
        <v>2004</v>
      </c>
      <c r="B49" s="25">
        <f t="shared" si="3"/>
        <v>4294.1779999999999</v>
      </c>
      <c r="C49" s="10">
        <f>L49/1000</f>
        <v>3939.9079999999999</v>
      </c>
      <c r="D49" s="10">
        <f t="shared" si="0"/>
        <v>672.81100000000004</v>
      </c>
      <c r="E49" s="10">
        <f t="shared" si="5"/>
        <v>-175.00299999999999</v>
      </c>
      <c r="F49" s="25">
        <f t="shared" si="6"/>
        <v>190.42500000000001</v>
      </c>
      <c r="G49" s="10">
        <f t="shared" si="1"/>
        <v>4484.6030000000001</v>
      </c>
      <c r="H49" s="644"/>
      <c r="I49" s="644"/>
      <c r="J49" s="1">
        <v>2004</v>
      </c>
      <c r="K49" s="793">
        <f t="shared" si="7"/>
        <v>4294178</v>
      </c>
      <c r="L49" s="793">
        <f t="shared" si="8"/>
        <v>3939908</v>
      </c>
      <c r="M49" s="793">
        <f t="shared" si="9"/>
        <v>672811</v>
      </c>
      <c r="N49" s="793">
        <f t="shared" si="10"/>
        <v>-175003</v>
      </c>
      <c r="O49" s="793">
        <f t="shared" si="11"/>
        <v>190425</v>
      </c>
      <c r="P49" s="793">
        <f t="shared" si="12"/>
        <v>4484603</v>
      </c>
      <c r="Q49" s="793">
        <v>4484603</v>
      </c>
      <c r="S49" s="794">
        <v>4294178000000</v>
      </c>
      <c r="T49" s="795">
        <v>3939908000000</v>
      </c>
      <c r="U49" s="796">
        <v>672811000000</v>
      </c>
      <c r="V49" s="797">
        <v>-175003000000</v>
      </c>
      <c r="W49" s="798">
        <v>190425000000</v>
      </c>
      <c r="X49" s="799">
        <v>4484603000000</v>
      </c>
    </row>
    <row r="50" spans="1:24" ht="15">
      <c r="A50" s="120">
        <v>2005</v>
      </c>
      <c r="B50" s="25">
        <v>4661.7380000000003</v>
      </c>
      <c r="C50" s="10">
        <v>4244.9750000000004</v>
      </c>
      <c r="D50" s="10">
        <v>725.673</v>
      </c>
      <c r="E50" s="10">
        <v>-131.81299999999999</v>
      </c>
      <c r="F50" s="25">
        <v>164.92500000000001</v>
      </c>
      <c r="G50" s="10">
        <v>4826.6629999999996</v>
      </c>
      <c r="H50" s="644"/>
      <c r="I50" s="644"/>
      <c r="J50" s="1">
        <v>2005</v>
      </c>
      <c r="K50" s="793">
        <f t="shared" si="7"/>
        <v>4654628</v>
      </c>
      <c r="L50" s="793">
        <f t="shared" si="8"/>
        <v>4243569</v>
      </c>
      <c r="M50" s="793">
        <f t="shared" si="9"/>
        <v>707595</v>
      </c>
      <c r="N50" s="793">
        <f t="shared" si="10"/>
        <v>-116482</v>
      </c>
      <c r="O50" s="793">
        <f t="shared" si="11"/>
        <v>159461</v>
      </c>
      <c r="P50" s="793">
        <f t="shared" si="12"/>
        <v>4814089</v>
      </c>
      <c r="Q50" s="793">
        <v>4814089</v>
      </c>
      <c r="S50" s="794">
        <v>4654628000000</v>
      </c>
      <c r="T50" s="795">
        <v>4243569000000</v>
      </c>
      <c r="U50" s="796">
        <v>707595000000</v>
      </c>
      <c r="V50" s="797">
        <v>-116482000000</v>
      </c>
      <c r="W50" s="798">
        <v>159461000000</v>
      </c>
      <c r="X50" s="799">
        <v>4814089000000</v>
      </c>
    </row>
    <row r="51" spans="1:24" ht="15">
      <c r="A51" s="120">
        <v>2006</v>
      </c>
      <c r="B51" s="25">
        <v>5146.9399999999996</v>
      </c>
      <c r="C51" s="10">
        <v>4654.3509999999997</v>
      </c>
      <c r="D51" s="10">
        <v>788.56500000000005</v>
      </c>
      <c r="E51" s="10">
        <v>-54.405000000000001</v>
      </c>
      <c r="F51" s="25">
        <v>84.623000000000005</v>
      </c>
      <c r="G51" s="10">
        <v>5231.5630000000001</v>
      </c>
      <c r="H51" s="644"/>
      <c r="I51" s="644"/>
      <c r="J51" s="1">
        <v>2006</v>
      </c>
      <c r="K51" s="793">
        <f t="shared" si="7"/>
        <v>5127393</v>
      </c>
      <c r="L51" s="793">
        <f t="shared" si="8"/>
        <v>4644394</v>
      </c>
      <c r="M51" s="793">
        <f t="shared" si="9"/>
        <v>760945</v>
      </c>
      <c r="N51" s="793">
        <f t="shared" si="10"/>
        <v>-49012</v>
      </c>
      <c r="O51" s="793">
        <f t="shared" si="11"/>
        <v>77303</v>
      </c>
      <c r="P51" s="793">
        <f t="shared" si="12"/>
        <v>5204696</v>
      </c>
      <c r="Q51" s="793">
        <v>5204696</v>
      </c>
      <c r="S51" s="794">
        <v>5127393000000</v>
      </c>
      <c r="T51" s="795">
        <v>4644394000000</v>
      </c>
      <c r="U51" s="796">
        <v>760945000000</v>
      </c>
      <c r="V51" s="797">
        <v>-49012000000</v>
      </c>
      <c r="W51" s="798">
        <v>77303000000</v>
      </c>
      <c r="X51" s="799">
        <v>5204696000000</v>
      </c>
    </row>
    <row r="52" spans="1:24" ht="15">
      <c r="A52" s="120">
        <v>2007</v>
      </c>
      <c r="B52" s="25">
        <v>5537.6</v>
      </c>
      <c r="C52" s="10">
        <v>4934.6949999999997</v>
      </c>
      <c r="D52" s="10">
        <v>862.97799999999995</v>
      </c>
      <c r="E52" s="10">
        <v>14.085000000000001</v>
      </c>
      <c r="F52" s="25">
        <v>125.71599999999999</v>
      </c>
      <c r="G52" s="10">
        <v>5663.3159999999998</v>
      </c>
      <c r="H52" s="644"/>
      <c r="I52" s="644"/>
      <c r="J52" s="1">
        <v>2007</v>
      </c>
      <c r="K52" s="793">
        <f t="shared" si="7"/>
        <v>5507329</v>
      </c>
      <c r="L52" s="793">
        <f t="shared" si="8"/>
        <v>4933600</v>
      </c>
      <c r="M52" s="793">
        <f t="shared" si="9"/>
        <v>814315</v>
      </c>
      <c r="N52" s="793">
        <f t="shared" si="10"/>
        <v>22997</v>
      </c>
      <c r="O52" s="793">
        <f t="shared" si="11"/>
        <v>125010</v>
      </c>
      <c r="P52" s="793">
        <f t="shared" si="12"/>
        <v>5632339</v>
      </c>
      <c r="Q52" s="793">
        <v>5632339</v>
      </c>
      <c r="S52" s="794">
        <v>5507329000000</v>
      </c>
      <c r="T52" s="795">
        <v>4933600000000</v>
      </c>
      <c r="U52" s="796">
        <v>814315000000</v>
      </c>
      <c r="V52" s="797">
        <v>22997000000</v>
      </c>
      <c r="W52" s="798">
        <v>125010000000</v>
      </c>
      <c r="X52" s="799">
        <v>5632339000000</v>
      </c>
    </row>
    <row r="53" spans="1:24" ht="15">
      <c r="A53" s="120">
        <v>2008</v>
      </c>
      <c r="B53" s="25">
        <v>5983.1409999999996</v>
      </c>
      <c r="C53" s="10">
        <v>5177.5169999999998</v>
      </c>
      <c r="D53" s="10">
        <v>1016.244</v>
      </c>
      <c r="E53" s="10">
        <v>64.876999999999995</v>
      </c>
      <c r="F53" s="25">
        <v>-6.7210000000000001</v>
      </c>
      <c r="G53" s="10">
        <v>5976.42</v>
      </c>
      <c r="H53" s="644"/>
      <c r="I53" s="644"/>
      <c r="J53" s="1">
        <v>2008</v>
      </c>
      <c r="K53" s="793">
        <f t="shared" si="7"/>
        <v>6086152</v>
      </c>
      <c r="L53" s="793">
        <f t="shared" si="8"/>
        <v>5180619</v>
      </c>
      <c r="M53" s="793">
        <f t="shared" si="9"/>
        <v>1079665</v>
      </c>
      <c r="N53" s="793">
        <f t="shared" si="10"/>
        <v>106988</v>
      </c>
      <c r="O53" s="793">
        <f t="shared" si="11"/>
        <v>-13517</v>
      </c>
      <c r="P53" s="793">
        <f t="shared" si="12"/>
        <v>6072635</v>
      </c>
      <c r="Q53" s="793"/>
      <c r="S53" s="794">
        <v>6086152000000</v>
      </c>
      <c r="T53" s="795">
        <v>5180619000000</v>
      </c>
      <c r="U53" s="796">
        <v>1079665000000</v>
      </c>
      <c r="V53" s="797">
        <v>106988000000</v>
      </c>
      <c r="W53" s="798">
        <v>-13517000000</v>
      </c>
      <c r="X53" s="799">
        <v>6072635000000</v>
      </c>
    </row>
    <row r="54" spans="1:24" s="114" customFormat="1">
      <c r="A54" s="120"/>
      <c r="B54" s="23"/>
      <c r="C54" s="644"/>
      <c r="D54" s="666" t="s">
        <v>802</v>
      </c>
      <c r="E54" s="644"/>
      <c r="F54" s="644"/>
      <c r="G54" s="644"/>
      <c r="H54" s="644"/>
      <c r="I54" s="644"/>
      <c r="J54" s="644"/>
      <c r="K54" s="644"/>
      <c r="L54" s="644"/>
      <c r="P54" s="10"/>
    </row>
    <row r="55" spans="1:24" s="114" customFormat="1">
      <c r="A55" s="448" t="s">
        <v>603</v>
      </c>
      <c r="B55" s="23">
        <f>((((B34/B26))^(1/8))-1)*100</f>
        <v>6.8671651368268583</v>
      </c>
      <c r="C55" s="23">
        <f>((((C34/C26))^(1/8))-1)*100</f>
        <v>8.5232192128758868</v>
      </c>
      <c r="D55" s="23">
        <f>((((D34/D26))^(1/8))-1)*100</f>
        <v>9.1341563673167379</v>
      </c>
      <c r="E55" s="23" t="s">
        <v>744</v>
      </c>
      <c r="F55" s="23">
        <f>((((F34/F26))^(1/8))-1)*100</f>
        <v>6.9332063545471279</v>
      </c>
      <c r="G55" s="23">
        <f>((((G34/G26))^(1/8))-1)*100</f>
        <v>6.8737367480048661</v>
      </c>
      <c r="H55" s="23"/>
      <c r="I55" s="23"/>
      <c r="J55" s="23"/>
      <c r="K55" s="25"/>
      <c r="L55" s="10"/>
      <c r="M55" s="10"/>
      <c r="N55" s="10"/>
      <c r="O55" s="10"/>
      <c r="P55" s="10"/>
    </row>
    <row r="56" spans="1:24" s="114" customFormat="1">
      <c r="A56" s="448" t="s">
        <v>604</v>
      </c>
      <c r="B56" s="23">
        <f>((((B45/B34))^(1/11))-1)*100</f>
        <v>4.3788839728521101</v>
      </c>
      <c r="C56" s="23">
        <f>((((C45/C34))^(1/11))-1)*100</f>
        <v>5.2289798436172541</v>
      </c>
      <c r="D56" s="23">
        <f>((((D45/D34))^(1/11))-1)*100</f>
        <v>3.650165553339102</v>
      </c>
      <c r="E56" s="23" t="s">
        <v>744</v>
      </c>
      <c r="F56" s="23">
        <f>((((F45/F34))^(1/11))-1)*100</f>
        <v>-0.9542376815721676</v>
      </c>
      <c r="G56" s="23">
        <f>((((G45/G34))^(1/11))-1)*100</f>
        <v>3.9554473229831633</v>
      </c>
      <c r="H56" s="23"/>
      <c r="I56" s="23"/>
      <c r="J56" s="23"/>
      <c r="K56" s="23"/>
      <c r="L56" s="23"/>
    </row>
    <row r="57" spans="1:24" s="114" customFormat="1">
      <c r="A57" s="448" t="s">
        <v>447</v>
      </c>
      <c r="B57" s="23">
        <f>((((B52/B26))^(1/26))-1)*100</f>
        <v>5.9540586554848174</v>
      </c>
      <c r="C57" s="23">
        <f>((((C52/C26))^(1/26))-1)*100</f>
        <v>6.5294353642241676</v>
      </c>
      <c r="D57" s="23">
        <f>((((D52/D26))^(1/26))-1)*100</f>
        <v>6.336197721664405</v>
      </c>
      <c r="E57" s="23" t="s">
        <v>744</v>
      </c>
      <c r="F57" s="23">
        <f>((((F52/F26))^(1/26))-1)*100</f>
        <v>-0.29456976026883686</v>
      </c>
      <c r="G57" s="23">
        <f>((((G52/G26))^(1/26))-1)*100</f>
        <v>5.6198118167262834</v>
      </c>
      <c r="H57" s="23"/>
      <c r="I57" s="23"/>
      <c r="J57" s="23"/>
      <c r="K57" s="23"/>
      <c r="L57" s="23"/>
    </row>
    <row r="58" spans="1:24" s="114" customFormat="1">
      <c r="A58" s="448" t="s">
        <v>1408</v>
      </c>
      <c r="B58" s="23">
        <f t="shared" ref="B58:G58" si="13">((((B53/B26))^(1/27))-1)*100</f>
        <v>6.0308014180031844</v>
      </c>
      <c r="C58" s="23">
        <f t="shared" si="13"/>
        <v>6.4694153695596501</v>
      </c>
      <c r="D58" s="23">
        <f t="shared" si="13"/>
        <v>6.7388459135223844</v>
      </c>
      <c r="E58" s="23">
        <f t="shared" si="13"/>
        <v>-1.7119465519754185</v>
      </c>
      <c r="F58" s="23">
        <f t="shared" si="13"/>
        <v>-189.46573977677201</v>
      </c>
      <c r="G58" s="23">
        <f t="shared" si="13"/>
        <v>5.6164334470401256</v>
      </c>
      <c r="H58" s="23"/>
      <c r="I58" s="23"/>
      <c r="J58" s="23"/>
      <c r="K58" s="23"/>
      <c r="L58" s="23"/>
    </row>
    <row r="59" spans="1:24" s="114" customFormat="1">
      <c r="A59" s="448" t="s">
        <v>449</v>
      </c>
      <c r="B59" s="23">
        <f>((((B52/B45))^(1/7))-1)*100</f>
        <v>7.41887083485544</v>
      </c>
      <c r="C59" s="23">
        <f>((((C52/C45))^(1/7))-1)*100</f>
        <v>6.3282249942218982</v>
      </c>
      <c r="D59" s="23">
        <f>((((D52/D45))^(1/7))-1)*100</f>
        <v>7.4609150150604986</v>
      </c>
      <c r="E59" s="23" t="s">
        <v>744</v>
      </c>
      <c r="F59" s="23">
        <f>((((F52/F45))^(1/7))-1)*100</f>
        <v>-6.9934878647061272</v>
      </c>
      <c r="G59" s="23">
        <f>((((G52/G45))^(1/7))-1)*100</f>
        <v>6.8384271812736097</v>
      </c>
      <c r="H59" s="644"/>
      <c r="I59" s="644"/>
      <c r="J59" s="644"/>
      <c r="K59" s="644"/>
      <c r="L59" s="644"/>
    </row>
    <row r="60" spans="1:24" s="114" customFormat="1">
      <c r="A60" s="448" t="s">
        <v>1410</v>
      </c>
      <c r="B60" s="23">
        <f>((((B53/B45))^(1/8))-1)*100</f>
        <v>7.4970303751975997</v>
      </c>
      <c r="C60" s="23">
        <f>((((C53/C45))^(1/8))-1)*100</f>
        <v>6.1512580982601595</v>
      </c>
      <c r="D60" s="23">
        <f>((((D53/D45))^(1/8))-1)*100</f>
        <v>8.6973612426695546</v>
      </c>
      <c r="E60" s="23" t="s">
        <v>744</v>
      </c>
      <c r="F60" s="23" t="s">
        <v>744</v>
      </c>
      <c r="G60" s="23">
        <f>((((G53/G45))^(1/8))-1)*100</f>
        <v>6.6738180695893989</v>
      </c>
      <c r="H60" s="644"/>
      <c r="I60" s="644"/>
      <c r="J60" s="644"/>
      <c r="K60" s="644"/>
      <c r="L60" s="644"/>
    </row>
    <row r="61" spans="1:24" s="114" customFormat="1">
      <c r="A61" s="448"/>
      <c r="B61" s="1"/>
      <c r="C61" s="1"/>
      <c r="D61" s="27" t="s">
        <v>276</v>
      </c>
      <c r="E61" s="1"/>
      <c r="F61" s="1"/>
      <c r="G61" s="1"/>
      <c r="H61" s="1"/>
      <c r="I61" s="1"/>
      <c r="J61" s="1"/>
      <c r="K61" s="1"/>
      <c r="L61" s="1"/>
    </row>
    <row r="62" spans="1:24" s="114" customFormat="1">
      <c r="A62" s="448" t="s">
        <v>447</v>
      </c>
      <c r="B62" s="10">
        <f>(B52/B26-1)*100</f>
        <v>349.83944169739328</v>
      </c>
      <c r="C62" s="10">
        <f>(C52/C26-1)*100</f>
        <v>417.85748017118163</v>
      </c>
      <c r="D62" s="10">
        <f>(D52/D26-1)*100</f>
        <v>393.9799311959427</v>
      </c>
      <c r="E62" s="10" t="s">
        <v>744</v>
      </c>
      <c r="F62" s="10">
        <f>(F52/F26-1)*100</f>
        <v>-7.3833414371804569</v>
      </c>
      <c r="G62" s="10">
        <f>(G52/G26-1)*100</f>
        <v>314.36219366309246</v>
      </c>
      <c r="H62" s="10"/>
      <c r="I62" s="10"/>
      <c r="J62" s="10"/>
      <c r="K62" s="10"/>
      <c r="L62" s="10"/>
    </row>
    <row r="63" spans="1:24" s="114" customFormat="1">
      <c r="A63" s="448" t="s">
        <v>1408</v>
      </c>
      <c r="B63" s="10">
        <f t="shared" ref="B63:G63" si="14">(B53/B26-1)*100</f>
        <v>386.032361860153</v>
      </c>
      <c r="C63" s="10">
        <f t="shared" si="14"/>
        <v>443.33974180034551</v>
      </c>
      <c r="D63" s="10">
        <f t="shared" si="14"/>
        <v>481.71140075215078</v>
      </c>
      <c r="E63" s="10">
        <f t="shared" si="14"/>
        <v>-37.263567090859873</v>
      </c>
      <c r="F63" s="10">
        <f t="shared" si="14"/>
        <v>-104.95145058863397</v>
      </c>
      <c r="G63" s="10">
        <f t="shared" si="14"/>
        <v>337.27076176783692</v>
      </c>
      <c r="H63" s="10"/>
      <c r="I63" s="10"/>
      <c r="J63" s="10"/>
      <c r="K63" s="10"/>
      <c r="L63" s="10"/>
    </row>
    <row r="64" spans="1:24" s="114" customFormat="1">
      <c r="A64" s="448" t="s">
        <v>114</v>
      </c>
      <c r="B64" s="644">
        <f>(B34/B29-1)*100</f>
        <v>45.001762149309776</v>
      </c>
      <c r="C64" s="644">
        <f>(C34/C29-1)*100</f>
        <v>52.537308713797891</v>
      </c>
      <c r="D64" s="644">
        <f>(D34/D29-1)*100</f>
        <v>58.993505318764015</v>
      </c>
      <c r="E64" s="23" t="s">
        <v>744</v>
      </c>
      <c r="F64" s="644">
        <f>(F34/F29-1)*100</f>
        <v>50.293708105307466</v>
      </c>
      <c r="G64" s="644">
        <f>(G34/G29-1)*100</f>
        <v>45.512878253341562</v>
      </c>
      <c r="H64" s="644"/>
      <c r="I64" s="644"/>
    </row>
    <row r="66" spans="1:9">
      <c r="A66" s="1170" t="s">
        <v>301</v>
      </c>
      <c r="B66" s="1170"/>
      <c r="C66" s="1170"/>
      <c r="D66" s="1170"/>
      <c r="E66" s="1170"/>
      <c r="F66" s="1170"/>
      <c r="G66" s="1170"/>
      <c r="H66" s="9"/>
      <c r="I66" s="9"/>
    </row>
    <row r="67" spans="1:9">
      <c r="A67" s="13" t="s">
        <v>390</v>
      </c>
      <c r="B67" s="643"/>
      <c r="C67" s="643"/>
      <c r="D67" s="643"/>
      <c r="E67" s="643"/>
      <c r="F67" s="643"/>
      <c r="G67" s="643"/>
      <c r="H67" s="9"/>
      <c r="I67" s="9"/>
    </row>
    <row r="68" spans="1:9" ht="77.45" customHeight="1">
      <c r="A68" s="1168" t="s">
        <v>931</v>
      </c>
      <c r="B68" s="1169"/>
      <c r="C68" s="1169"/>
      <c r="D68" s="1169"/>
      <c r="E68" s="1169"/>
      <c r="F68" s="1169"/>
      <c r="G68" s="1169"/>
    </row>
    <row r="69" spans="1:9" ht="28.15" customHeight="1">
      <c r="A69" s="1169" t="s">
        <v>932</v>
      </c>
      <c r="B69" s="1169"/>
      <c r="C69" s="1169"/>
      <c r="D69" s="1169"/>
      <c r="E69" s="1169"/>
      <c r="F69" s="1169"/>
      <c r="G69" s="1169"/>
    </row>
    <row r="70" spans="1:9" ht="15.75">
      <c r="A70" s="1169" t="s">
        <v>933</v>
      </c>
      <c r="B70" s="1169"/>
      <c r="C70" s="1169"/>
      <c r="D70" s="1169"/>
      <c r="E70" s="1169"/>
      <c r="F70" s="1169"/>
      <c r="G70" s="1169"/>
    </row>
    <row r="71" spans="1:9">
      <c r="A71" s="4" t="s">
        <v>1664</v>
      </c>
    </row>
    <row r="72" spans="1:9">
      <c r="E72" s="27">
        <f>((((B48/B26))^(1/22))-1)*100</f>
        <v>5.4433368515790503</v>
      </c>
    </row>
    <row r="73" spans="1:9">
      <c r="E73" s="27">
        <f>((((B34/B26))^(1/8))-1)*100</f>
        <v>6.8671651368268583</v>
      </c>
    </row>
    <row r="74" spans="1:9">
      <c r="E74" s="27">
        <f>((((B45/B34))^(1/11))-1)*100</f>
        <v>4.3788839728521101</v>
      </c>
    </row>
    <row r="75" spans="1:9">
      <c r="E75" s="27">
        <f>((((B48/B45))^(1/3))-1)*100</f>
        <v>5.5948046310579036</v>
      </c>
    </row>
    <row r="76" spans="1:9">
      <c r="E76" s="27"/>
    </row>
  </sheetData>
  <mergeCells count="13">
    <mergeCell ref="A69:G69"/>
    <mergeCell ref="A70:G70"/>
    <mergeCell ref="A68:G68"/>
    <mergeCell ref="B3:G3"/>
    <mergeCell ref="B4:B5"/>
    <mergeCell ref="C4:C5"/>
    <mergeCell ref="D4:D5"/>
    <mergeCell ref="A66:G66"/>
    <mergeCell ref="H4:H5"/>
    <mergeCell ref="I4:I5"/>
    <mergeCell ref="E4:E5"/>
    <mergeCell ref="F4:F5"/>
    <mergeCell ref="G4:G5"/>
  </mergeCells>
  <phoneticPr fontId="35" type="noConversion"/>
  <pageMargins left="0.74803149606299213" right="0.74803149606299213" top="0.98425196850393704" bottom="0.98425196850393704" header="0.51181102362204722" footer="0.51181102362204722"/>
  <pageSetup scale="55" orientation="portrait" horizontalDpi="300" verticalDpi="300" r:id="rId1"/>
  <headerFooter alignWithMargins="0"/>
  <colBreaks count="1" manualBreakCount="1">
    <brk id="7" max="1048575" man="1"/>
  </colBreaks>
</worksheet>
</file>

<file path=xl/worksheets/sheet56.xml><?xml version="1.0" encoding="utf-8"?>
<worksheet xmlns="http://schemas.openxmlformats.org/spreadsheetml/2006/main" xmlns:r="http://schemas.openxmlformats.org/officeDocument/2006/relationships">
  <sheetPr codeName="Sheet23">
    <pageSetUpPr fitToPage="1"/>
  </sheetPr>
  <dimension ref="A1:K57"/>
  <sheetViews>
    <sheetView view="pageBreakPreview" zoomScale="80" zoomScaleSheetLayoutView="80" workbookViewId="0">
      <selection activeCell="H62" sqref="H62"/>
    </sheetView>
  </sheetViews>
  <sheetFormatPr defaultColWidth="8.85546875" defaultRowHeight="12.75"/>
  <cols>
    <col min="1" max="1" width="8.85546875" style="1" customWidth="1"/>
    <col min="2" max="3" width="41.7109375" style="1" customWidth="1"/>
    <col min="4" max="7" width="19.7109375" style="1" customWidth="1"/>
    <col min="8" max="8" width="21.42578125" style="1" customWidth="1"/>
    <col min="9" max="9" width="19.7109375" style="1" customWidth="1"/>
    <col min="10" max="11" width="9.28515625" style="1" bestFit="1" customWidth="1"/>
    <col min="12" max="16384" width="8.85546875" style="1"/>
  </cols>
  <sheetData>
    <row r="1" spans="1:6" ht="18.75" customHeight="1">
      <c r="A1" s="4"/>
      <c r="B1" s="1178" t="s">
        <v>2140</v>
      </c>
      <c r="C1" s="1178"/>
    </row>
    <row r="2" spans="1:6" ht="15.75" customHeight="1">
      <c r="A2" s="4"/>
      <c r="B2" s="1178"/>
      <c r="C2" s="1178"/>
    </row>
    <row r="3" spans="1:6" ht="15">
      <c r="A3" s="4"/>
      <c r="B3" s="1177"/>
      <c r="C3" s="1177"/>
    </row>
    <row r="4" spans="1:6" ht="12.75" customHeight="1">
      <c r="A4" s="4"/>
      <c r="B4" s="1179" t="s">
        <v>372</v>
      </c>
      <c r="C4" s="1172" t="s">
        <v>373</v>
      </c>
      <c r="D4" s="1164"/>
      <c r="E4" s="4"/>
      <c r="F4" s="4"/>
    </row>
    <row r="5" spans="1:6" s="4" customFormat="1">
      <c r="A5" s="667"/>
      <c r="B5" s="1180"/>
      <c r="C5" s="1173"/>
      <c r="D5" s="1164"/>
    </row>
    <row r="6" spans="1:6">
      <c r="A6" s="24">
        <v>1981</v>
      </c>
      <c r="B6" s="247">
        <f>'13a'!C26/'1'!B15/'4'!B5*100*1000</f>
        <v>77.561209466778038</v>
      </c>
      <c r="C6" s="25">
        <f>'13a'!C26/'2a'!B5/'4'!B5*100*1000</f>
        <v>210.80405456226745</v>
      </c>
      <c r="D6" s="23"/>
      <c r="E6" s="247">
        <f>'13a'!C26/'1'!B15/'4'!B5*100*1000</f>
        <v>77.561209466778038</v>
      </c>
      <c r="F6" s="25">
        <f>'13a'!C26/'2a'!N5/'4'!B5*100*1000</f>
        <v>210.80405456226745</v>
      </c>
    </row>
    <row r="7" spans="1:6">
      <c r="A7" s="24">
        <v>1982</v>
      </c>
      <c r="B7" s="11">
        <f>'13a'!C27/'1'!B16/'4'!B6*100*1000</f>
        <v>74.998688332283152</v>
      </c>
      <c r="C7" s="25">
        <f>'13a'!C27/'2a'!B6/'4'!B6*100*1000</f>
        <v>202.59601042353552</v>
      </c>
      <c r="D7" s="23"/>
      <c r="E7" s="247">
        <f>'13a'!C27/'1'!B16/'4'!B6*100*1000</f>
        <v>74.998688332283152</v>
      </c>
      <c r="F7" s="25">
        <f>'13a'!C27/'2a'!N6/'4'!B6*100*1000</f>
        <v>202.59601042353552</v>
      </c>
    </row>
    <row r="8" spans="1:6">
      <c r="A8" s="24">
        <v>1983</v>
      </c>
      <c r="B8" s="11">
        <f>'13a'!C28/'1'!B17/'4'!B7*100*1000</f>
        <v>75.999931445087199</v>
      </c>
      <c r="C8" s="25">
        <f>'13a'!C28/'2a'!B7/'4'!B7*100*1000</f>
        <v>203.35955031700036</v>
      </c>
      <c r="D8" s="23"/>
      <c r="E8" s="247">
        <f>'13a'!C28/'1'!B17/'4'!B7*100*1000</f>
        <v>75.999931445087199</v>
      </c>
      <c r="F8" s="25">
        <f>'13a'!C28/'2a'!N7/'4'!B7*100*1000</f>
        <v>203.35955031700036</v>
      </c>
    </row>
    <row r="9" spans="1:6">
      <c r="A9" s="22">
        <v>1984</v>
      </c>
      <c r="B9" s="11">
        <f>'13a'!C29/'1'!B18/'4'!B8*100*1000</f>
        <v>77.450299626151406</v>
      </c>
      <c r="C9" s="25">
        <f>'13a'!C29/'2a'!B8/'4'!B8*100*1000</f>
        <v>205.39290880206499</v>
      </c>
      <c r="D9" s="23"/>
      <c r="E9" s="247">
        <f>'13a'!C29/'1'!B18/'4'!B8*100*1000</f>
        <v>77.450299626151406</v>
      </c>
      <c r="F9" s="25">
        <f>'13a'!C29/'2a'!N8/'4'!B8*100*1000</f>
        <v>205.39290880206499</v>
      </c>
    </row>
    <row r="10" spans="1:6">
      <c r="A10" s="22">
        <v>1985</v>
      </c>
      <c r="B10" s="11">
        <f>'13a'!C30/'1'!B19/'4'!B9*100*1000</f>
        <v>79.174495925043743</v>
      </c>
      <c r="C10" s="25">
        <f>'13a'!C30/'2a'!B9/'4'!B9*100*1000</f>
        <v>207.99395221475126</v>
      </c>
      <c r="D10" s="644"/>
      <c r="E10" s="247">
        <f>'13a'!C30/'1'!B19/'4'!B9*100*1000</f>
        <v>79.174495925043743</v>
      </c>
      <c r="F10" s="25">
        <f>'13a'!C30/'2a'!N9/'4'!B9*100*1000</f>
        <v>207.99395221475126</v>
      </c>
    </row>
    <row r="11" spans="1:6">
      <c r="A11" s="22">
        <v>1986</v>
      </c>
      <c r="B11" s="11">
        <f>'13a'!C31/'1'!B20/'4'!B10*100*1000</f>
        <v>82.267077674842227</v>
      </c>
      <c r="C11" s="25">
        <f>'13a'!C31/'2a'!B10/'4'!B10*100*1000</f>
        <v>214.61205372923294</v>
      </c>
      <c r="D11" s="644"/>
      <c r="E11" s="247">
        <f>'13a'!C31/'1'!B20/'4'!B10*100*1000</f>
        <v>82.267077674842227</v>
      </c>
      <c r="F11" s="25">
        <f>'13a'!C31/'2a'!N10/'4'!B10*100*1000</f>
        <v>214.61205372923294</v>
      </c>
    </row>
    <row r="12" spans="1:6">
      <c r="A12" s="22">
        <v>1987</v>
      </c>
      <c r="B12" s="11">
        <f>'13a'!C32/'1'!B21/'4'!B11*100*1000</f>
        <v>84.089400831388062</v>
      </c>
      <c r="C12" s="25">
        <f>'13a'!C32/'2a'!B11/'4'!B11*100*1000</f>
        <v>217.9205127013021</v>
      </c>
      <c r="D12" s="644"/>
      <c r="E12" s="247">
        <f>'13a'!C32/'1'!B21/'4'!B11*100*1000</f>
        <v>84.089400831388062</v>
      </c>
      <c r="F12" s="25">
        <f>'13a'!C32/'2a'!N11/'4'!B11*100*1000</f>
        <v>217.9205127013021</v>
      </c>
    </row>
    <row r="13" spans="1:6">
      <c r="A13" s="22">
        <v>1988</v>
      </c>
      <c r="B13" s="11">
        <f>'13a'!C33/'1'!B22/'4'!B12*100*1000</f>
        <v>87.302479941161707</v>
      </c>
      <c r="C13" s="25">
        <f>'13a'!C33/'2a'!B12/'4'!B12*100*1000</f>
        <v>223.74076478440594</v>
      </c>
      <c r="D13" s="644"/>
      <c r="E13" s="247">
        <f>'13a'!C33/'1'!B22/'4'!B12*100*1000</f>
        <v>87.302479941161707</v>
      </c>
      <c r="F13" s="25">
        <f>'13a'!C33/'2a'!N12/'4'!B12*100*1000</f>
        <v>223.74076478440594</v>
      </c>
    </row>
    <row r="14" spans="1:6">
      <c r="A14" s="22">
        <v>1989</v>
      </c>
      <c r="B14" s="11">
        <f>'13a'!C34/'1'!B23/'4'!B13*100*1000</f>
        <v>89.853850305556364</v>
      </c>
      <c r="C14" s="25">
        <f>'13a'!C34/'2a'!B13/'4'!B13*100*1000</f>
        <v>229.93937487488921</v>
      </c>
      <c r="D14" s="644"/>
      <c r="E14" s="247">
        <f>'13a'!C34/'1'!B23/'4'!B13*100*1000</f>
        <v>89.853850305556364</v>
      </c>
      <c r="F14" s="25">
        <f>'13a'!C34/'2a'!N13/'4'!B13*100*1000</f>
        <v>229.93937487488921</v>
      </c>
    </row>
    <row r="15" spans="1:6">
      <c r="A15" s="22">
        <v>1990</v>
      </c>
      <c r="B15" s="11">
        <f>'13a'!C35/'1'!B24/'4'!B14*100*1000</f>
        <v>87.48405945849197</v>
      </c>
      <c r="C15" s="25">
        <f>'13a'!C35/'2a'!B14/'4'!B14*100*1000</f>
        <v>222.31193569471472</v>
      </c>
      <c r="D15" s="644"/>
      <c r="E15" s="247">
        <f>'13a'!C35/'1'!B24/'4'!B14*100*1000</f>
        <v>87.48405945849197</v>
      </c>
      <c r="F15" s="25">
        <f>'13a'!C35/'2a'!N14/'4'!B14*100*1000</f>
        <v>222.31193569471472</v>
      </c>
    </row>
    <row r="16" spans="1:6">
      <c r="A16" s="22">
        <v>1991</v>
      </c>
      <c r="B16" s="11">
        <f>'13a'!C36/'1'!B25/'4'!B15*100*1000</f>
        <v>86.967280307931617</v>
      </c>
      <c r="C16" s="25">
        <f>'13a'!C36/'2a'!B15/'4'!B15*100*1000</f>
        <v>220.42471200969155</v>
      </c>
      <c r="D16" s="644"/>
      <c r="E16" s="247">
        <f>'13a'!C36/'1'!B25/'4'!B15*100*1000</f>
        <v>86.967280307931617</v>
      </c>
      <c r="F16" s="25">
        <f>'13a'!C36/'2a'!N15/'4'!B15*100*1000</f>
        <v>220.42471200969155</v>
      </c>
    </row>
    <row r="17" spans="1:6">
      <c r="A17" s="22">
        <v>1992</v>
      </c>
      <c r="B17" s="11">
        <f>'13a'!C37/'1'!B26/'4'!B16*100*1000</f>
        <v>89.188793616097229</v>
      </c>
      <c r="C17" s="25">
        <f>'13a'!C37/'2a'!B16/'4'!B16*100*1000</f>
        <v>224.78447273019538</v>
      </c>
      <c r="D17" s="644"/>
      <c r="E17" s="247">
        <f>'13a'!C37/'1'!B26/'4'!B16*100*1000</f>
        <v>89.188793616097229</v>
      </c>
      <c r="F17" s="25">
        <f>'13a'!C37/'2a'!N16/'4'!B16*100*1000</f>
        <v>224.78447273019538</v>
      </c>
    </row>
    <row r="18" spans="1:6">
      <c r="A18" s="22">
        <v>1993</v>
      </c>
      <c r="B18" s="11">
        <f>'13a'!C38/'1'!B27/'4'!B17*100*1000</f>
        <v>91.858657970260637</v>
      </c>
      <c r="C18" s="25">
        <f>'13a'!C38/'2a'!B17/'4'!B17*100*1000</f>
        <v>231.23685170984163</v>
      </c>
      <c r="D18" s="644"/>
      <c r="E18" s="247">
        <f>'13a'!C38/'1'!B27/'4'!B17*100*1000</f>
        <v>91.858657970260637</v>
      </c>
      <c r="F18" s="25">
        <f>'13a'!C38/'2a'!N17/'4'!B17*100*1000</f>
        <v>231.23685170984163</v>
      </c>
    </row>
    <row r="19" spans="1:6">
      <c r="A19" s="22">
        <v>1994</v>
      </c>
      <c r="B19" s="11">
        <f>'13a'!C39/'1'!B28/'4'!B18*100*1000</f>
        <v>95.890577227579541</v>
      </c>
      <c r="C19" s="25">
        <f>'13a'!C39/'2a'!B18/'4'!B18*100*1000</f>
        <v>241.14553547108122</v>
      </c>
      <c r="D19" s="644"/>
      <c r="E19" s="247">
        <f>'13a'!C39/'1'!B28/'4'!B18*100*1000</f>
        <v>95.890577227579541</v>
      </c>
      <c r="F19" s="25">
        <f>'13a'!C39/'2a'!N18/'4'!B18*100*1000</f>
        <v>241.14553547108122</v>
      </c>
    </row>
    <row r="20" spans="1:6">
      <c r="A20" s="22">
        <v>1995</v>
      </c>
      <c r="B20" s="11">
        <f>'13a'!C40/'1'!B29/'4'!B19*100*1000</f>
        <v>96.463124214108049</v>
      </c>
      <c r="C20" s="25">
        <f>'13a'!C40/'2a'!B19/'4'!B19*100*1000</f>
        <v>241.44464557558936</v>
      </c>
      <c r="D20" s="644"/>
      <c r="E20" s="247">
        <f>'13a'!C40/'1'!B29/'4'!B19*100*1000</f>
        <v>96.463124214108049</v>
      </c>
      <c r="F20" s="25">
        <f>'13a'!C40/'2a'!N19/'4'!B19*100*1000</f>
        <v>241.44464557558936</v>
      </c>
    </row>
    <row r="21" spans="1:6">
      <c r="A21" s="22">
        <v>1996</v>
      </c>
      <c r="B21" s="11">
        <f>'13a'!C41/'1'!B30/'4'!B20*100*1000</f>
        <v>98.90772891550867</v>
      </c>
      <c r="C21" s="25">
        <f>'13a'!C41/'2a'!B20/'4'!B20*100*1000</f>
        <v>247.12508776247705</v>
      </c>
      <c r="D21" s="644"/>
      <c r="E21" s="247">
        <f>'13a'!C41/'1'!B30/'4'!B20*100*1000</f>
        <v>98.90772891550867</v>
      </c>
      <c r="F21" s="25">
        <f>'13a'!C41/'2a'!N20/'4'!B20*100*1000</f>
        <v>247.12508776247705</v>
      </c>
    </row>
    <row r="22" spans="1:6">
      <c r="A22" s="22">
        <v>1997</v>
      </c>
      <c r="B22" s="11">
        <f>'13a'!C42/'1'!B31/'4'!B21*100*1000</f>
        <v>101.25579174008716</v>
      </c>
      <c r="C22" s="25">
        <f>'13a'!C42/'2a'!B21/'4'!B21*100*1000</f>
        <v>251.98888595139184</v>
      </c>
      <c r="D22" s="644"/>
      <c r="E22" s="247">
        <f>'13a'!C42/'1'!B31/'4'!B21*100*1000</f>
        <v>101.25579174008716</v>
      </c>
      <c r="F22" s="25">
        <f>'13a'!C42/'2a'!N21/'4'!B21*100*1000</f>
        <v>251.98888595139184</v>
      </c>
    </row>
    <row r="23" spans="1:6">
      <c r="A23" s="22">
        <v>1998</v>
      </c>
      <c r="B23" s="11">
        <f>'13a'!C43/'1'!B32/'4'!B22*100*1000</f>
        <v>102.95451370683796</v>
      </c>
      <c r="C23" s="25">
        <f>'13a'!C43/'2a'!B22/'4'!B22*100*1000</f>
        <v>255.86048887098812</v>
      </c>
      <c r="D23" s="644"/>
      <c r="E23" s="247">
        <f>'13a'!C43/'1'!B32/'4'!B22*100*1000</f>
        <v>102.95451370683796</v>
      </c>
      <c r="F23" s="25">
        <f>'13a'!C43/'2a'!N22/'4'!B22*100*1000</f>
        <v>255.86048887098812</v>
      </c>
    </row>
    <row r="24" spans="1:6">
      <c r="A24" s="22">
        <v>1999</v>
      </c>
      <c r="B24" s="11">
        <f>'13a'!C44/'1'!B33/'4'!B23*100*1000</f>
        <v>107.02998880780662</v>
      </c>
      <c r="C24" s="25">
        <f>'13a'!C44/'2a'!B23/'4'!B23*100*1000</f>
        <v>264.79893394555074</v>
      </c>
      <c r="D24" s="10"/>
      <c r="E24" s="247">
        <f>'13a'!C44/'1'!B33/'4'!B23*100*1000</f>
        <v>107.02998880780662</v>
      </c>
      <c r="F24" s="25">
        <f>'13a'!C44/'2a'!N23/'4'!B23*100*1000</f>
        <v>264.79893394555074</v>
      </c>
    </row>
    <row r="25" spans="1:6">
      <c r="A25" s="22">
        <v>2000</v>
      </c>
      <c r="B25" s="11">
        <f>'13a'!C45/'1'!B34/'4'!B24*100*1000</f>
        <v>109.70730164531075</v>
      </c>
      <c r="C25" s="25">
        <f>'13a'!C45/'2a'!B24/'4'!B24*100*1000</f>
        <v>270.07209284529182</v>
      </c>
      <c r="D25" s="644"/>
      <c r="E25" s="247">
        <f>'13a'!C45/'1'!B34/'4'!B24*100*1000</f>
        <v>109.70730164531075</v>
      </c>
      <c r="F25" s="25">
        <f>'13a'!C45/'2a'!N24/'4'!B24*100*1000</f>
        <v>270.07209284529182</v>
      </c>
    </row>
    <row r="26" spans="1:6">
      <c r="A26" s="22">
        <v>2001</v>
      </c>
      <c r="B26" s="11">
        <f>'13a'!C46/'1'!B35/'4'!B25*100*1000</f>
        <v>110.99381034294075</v>
      </c>
      <c r="C26" s="25">
        <f>'13a'!C46/'2a'!B25/'4'!B25*100*1000</f>
        <v>272.14601398339153</v>
      </c>
      <c r="D26" s="644"/>
      <c r="E26" s="247">
        <f>'13a'!C46/'1'!B35/'4'!B25*100*1000</f>
        <v>110.99381034294075</v>
      </c>
      <c r="F26" s="25">
        <f>'13a'!C46/'2a'!N25/'4'!B25*100*1000</f>
        <v>272.14601398339153</v>
      </c>
    </row>
    <row r="27" spans="1:6">
      <c r="A27" s="22">
        <v>2002</v>
      </c>
      <c r="B27" s="11">
        <f>'13a'!C47/'1'!B36/'4'!B26*100*1000</f>
        <v>113.48874274821414</v>
      </c>
      <c r="C27" s="25">
        <f>'13a'!C47/'2a'!B26/'4'!B26*100*1000</f>
        <v>276.7156855120927</v>
      </c>
      <c r="D27" s="644"/>
      <c r="E27" s="247">
        <f>'13a'!C47/'1'!B36/'4'!B26*100*1000</f>
        <v>113.48874274821414</v>
      </c>
      <c r="F27" s="25">
        <f>'13a'!C47/'2a'!N26/'4'!B26*100*1000</f>
        <v>276.7156855120927</v>
      </c>
    </row>
    <row r="28" spans="1:6">
      <c r="A28" s="22">
        <v>2003</v>
      </c>
      <c r="B28" s="11">
        <f>'13a'!C48/'1'!B37/'4'!B27*100*1000</f>
        <v>114.39248471700462</v>
      </c>
      <c r="C28" s="25">
        <f>'13a'!C48/'2a'!B27/'4'!B27*100*1000</f>
        <v>277.70585950480086</v>
      </c>
      <c r="D28" s="644"/>
      <c r="E28" s="247">
        <f>'13a'!C48/'1'!B37/'4'!B27*100*1000</f>
        <v>114.39248471700462</v>
      </c>
      <c r="F28" s="25">
        <f>'13a'!C48/'2a'!N27/'4'!B27*100*1000</f>
        <v>277.70585950480086</v>
      </c>
    </row>
    <row r="29" spans="1:6">
      <c r="A29" s="120">
        <v>2004</v>
      </c>
      <c r="B29" s="11">
        <f>'13a'!C49/'1'!B38/'4'!B28*100*1000</f>
        <v>117.81356443934902</v>
      </c>
      <c r="C29" s="25">
        <f>'13a'!C49/'2a'!B28/'4'!B28*100*1000</f>
        <v>284.47572498959545</v>
      </c>
      <c r="D29" s="644"/>
      <c r="E29" s="247">
        <f>'13a'!C49/'1'!B38/'4'!B28*100*1000</f>
        <v>117.81356443934902</v>
      </c>
      <c r="F29" s="25">
        <f>'13a'!C49/'2a'!N28/'4'!B28*100*1000</f>
        <v>284.47572498959545</v>
      </c>
    </row>
    <row r="30" spans="1:6">
      <c r="A30" s="24">
        <v>2005</v>
      </c>
      <c r="B30" s="11">
        <f>'13a'!C50/'1'!B39/'4'!B29*100*1000</f>
        <v>123.0342887571356</v>
      </c>
      <c r="C30" s="25">
        <f>'13a'!C50/'2a'!B29/'4'!B29*100*1000</f>
        <v>294.76679954975759</v>
      </c>
      <c r="D30" s="644"/>
      <c r="E30" s="247">
        <f>'13a'!C50/'1'!B39/'4'!B29*100*1000</f>
        <v>123.0342887571356</v>
      </c>
      <c r="F30" s="25">
        <f>'13a'!C50/'2a'!N29/'4'!B29*100*1000</f>
        <v>294.76679954975759</v>
      </c>
    </row>
    <row r="31" spans="1:6">
      <c r="A31" s="24">
        <v>2006</v>
      </c>
      <c r="B31" s="11">
        <f>'13a'!C51/'1'!B40/'4'!B30*100*1000</f>
        <v>130.95908689276678</v>
      </c>
      <c r="C31" s="25">
        <f>'13a'!C51/'2a'!B30/'4'!B30*100*1000</f>
        <v>312.49142291174923</v>
      </c>
      <c r="D31" s="46">
        <f>C30*'4'!B29/'4'!B26</f>
        <v>315.40047551824063</v>
      </c>
      <c r="E31" s="247">
        <f>'13a'!C51/'1'!B40/'4'!B30*100*1000</f>
        <v>130.95908689276678</v>
      </c>
      <c r="F31" s="25">
        <f>'13a'!C51/'2a'!N30/'4'!B30*100*1000</f>
        <v>312.49142291174923</v>
      </c>
    </row>
    <row r="32" spans="1:6">
      <c r="A32" s="24">
        <v>2007</v>
      </c>
      <c r="B32" s="11">
        <f>'13a'!C52/'1'!B41/'4'!B31*100*1000</f>
        <v>134.40900859045075</v>
      </c>
      <c r="C32" s="25">
        <f>'13a'!C52/'2a'!B31/'4'!B31*100*1000</f>
        <v>319.84790243614714</v>
      </c>
      <c r="D32" s="46">
        <f>C31*'4'!B30/'4'!B26</f>
        <v>340.92814239671839</v>
      </c>
      <c r="E32" s="247">
        <f>'13a'!C52/'1'!B41/'4'!B31*100*1000</f>
        <v>134.40900859045075</v>
      </c>
      <c r="F32" s="25">
        <f>'13a'!C52/'2a'!N31/'4'!B31*100*1000</f>
        <v>319.84790243614714</v>
      </c>
    </row>
    <row r="33" spans="1:11" s="1141" customFormat="1">
      <c r="A33" s="24">
        <v>2008</v>
      </c>
      <c r="B33" s="11">
        <f>'13a'!C53/'1'!B42/'4'!B32*100*1000</f>
        <v>136.22071236211272</v>
      </c>
      <c r="C33" s="25">
        <f>F34</f>
        <v>322.70545432420477</v>
      </c>
      <c r="D33" s="46"/>
      <c r="E33" s="247"/>
      <c r="F33" s="25"/>
    </row>
    <row r="34" spans="1:11" s="114" customFormat="1">
      <c r="A34" s="738"/>
      <c r="B34" s="644" t="s">
        <v>802</v>
      </c>
      <c r="D34" s="644"/>
      <c r="E34" s="247">
        <f>'13a'!C53/'1'!B42/'4'!B32*100*1000</f>
        <v>136.22071236211272</v>
      </c>
      <c r="F34" s="25">
        <f>'13a'!C53/'2a'!N32/'4'!B32*100*1000</f>
        <v>322.70545432420477</v>
      </c>
      <c r="G34" s="644"/>
      <c r="I34" s="644"/>
    </row>
    <row r="35" spans="1:11" s="114" customFormat="1">
      <c r="A35" s="431" t="s">
        <v>603</v>
      </c>
      <c r="B35" s="23">
        <f>((((B14/B6))^(1/8))-1)*100</f>
        <v>1.855976061416853</v>
      </c>
      <c r="C35" s="23">
        <f>((((C14/C6))^(1/8))-1)*100</f>
        <v>1.0920022412964636</v>
      </c>
      <c r="D35" s="23"/>
      <c r="E35" s="23"/>
      <c r="F35" s="23"/>
      <c r="G35" s="23"/>
      <c r="H35" s="644"/>
      <c r="I35" s="644"/>
    </row>
    <row r="36" spans="1:11" s="114" customFormat="1">
      <c r="A36" s="431" t="s">
        <v>114</v>
      </c>
      <c r="B36" s="23">
        <f>((((B14/B9))^(1/5))-1)*100</f>
        <v>3.0155339462269559</v>
      </c>
      <c r="C36" s="23">
        <f>((((C14/C9))^(1/5))-1)*100</f>
        <v>2.2834999065872275</v>
      </c>
      <c r="D36" s="23"/>
      <c r="E36" s="23"/>
      <c r="F36" s="23"/>
      <c r="G36" s="23"/>
      <c r="H36" s="644"/>
      <c r="I36" s="644"/>
    </row>
    <row r="37" spans="1:11" s="114" customFormat="1">
      <c r="A37" s="431" t="s">
        <v>604</v>
      </c>
      <c r="B37" s="23">
        <f>((((B25/B14))^(1/11))-1)*100</f>
        <v>1.83139959938865</v>
      </c>
      <c r="C37" s="23">
        <f>((((C25/C14))^(1/11))-1)*100</f>
        <v>1.4732306891380498</v>
      </c>
      <c r="D37" s="644"/>
      <c r="E37" s="644"/>
      <c r="F37" s="644"/>
      <c r="G37" s="644"/>
      <c r="H37" s="644"/>
      <c r="I37" s="644"/>
    </row>
    <row r="38" spans="1:11" s="114" customFormat="1">
      <c r="A38" s="431" t="s">
        <v>819</v>
      </c>
      <c r="B38" s="23">
        <f>((((B31/B6))^(1/25))-1)*100</f>
        <v>2.11737504645928</v>
      </c>
      <c r="C38" s="23">
        <f>((((C31/C6))^(1/25))-1)*100</f>
        <v>1.5870539066499045</v>
      </c>
      <c r="D38" s="725"/>
      <c r="E38" s="725"/>
      <c r="F38" s="725"/>
      <c r="G38" s="725"/>
      <c r="H38" s="725"/>
      <c r="I38" s="725"/>
    </row>
    <row r="39" spans="1:11" s="114" customFormat="1">
      <c r="A39" s="431" t="s">
        <v>447</v>
      </c>
      <c r="B39" s="23">
        <f>((((B32/B6))^(1/26))-1)*100</f>
        <v>2.1372104918682799</v>
      </c>
      <c r="C39" s="23">
        <f>((((C32/C6))^(1/26))-1)*100</f>
        <v>1.6164505639168159</v>
      </c>
      <c r="D39" s="23"/>
      <c r="E39" s="23"/>
      <c r="F39" s="23"/>
      <c r="G39" s="23"/>
      <c r="H39" s="644"/>
      <c r="I39" s="644"/>
    </row>
    <row r="40" spans="1:11" s="114" customFormat="1">
      <c r="A40" s="431" t="s">
        <v>818</v>
      </c>
      <c r="B40" s="23">
        <f>((((B31/B25))^(1/6))-1)*100</f>
        <v>2.9951285926718363</v>
      </c>
      <c r="C40" s="23">
        <f>((((C31/C25))^(1/6))-1)*100</f>
        <v>2.4612693691620446</v>
      </c>
      <c r="D40" s="23"/>
      <c r="E40" s="23"/>
      <c r="F40" s="23"/>
      <c r="G40" s="23"/>
      <c r="H40" s="725"/>
      <c r="I40" s="725"/>
    </row>
    <row r="41" spans="1:11" s="114" customFormat="1">
      <c r="A41" s="431" t="s">
        <v>449</v>
      </c>
      <c r="B41" s="644">
        <f>((((B32/B25))^(1/7))-1)*100</f>
        <v>2.9435113609684205</v>
      </c>
      <c r="C41" s="959">
        <f>((((C32/C25))^(1/7))-1)*100</f>
        <v>2.4459580341253728</v>
      </c>
      <c r="D41" s="644"/>
      <c r="E41" s="644"/>
      <c r="F41" s="644"/>
      <c r="G41" s="644"/>
      <c r="H41" s="644"/>
      <c r="I41" s="644"/>
    </row>
    <row r="42" spans="1:11" s="114" customFormat="1">
      <c r="A42" s="431"/>
      <c r="B42" s="644" t="s">
        <v>276</v>
      </c>
      <c r="D42" s="644"/>
      <c r="E42" s="644"/>
      <c r="G42" s="644"/>
      <c r="H42" s="644"/>
      <c r="I42" s="644"/>
    </row>
    <row r="43" spans="1:11" s="114" customFormat="1">
      <c r="A43" s="431" t="s">
        <v>687</v>
      </c>
      <c r="B43" s="10">
        <f>(B24/B9-1)*100</f>
        <v>38.191833116766283</v>
      </c>
      <c r="C43" s="10">
        <f>(C24/C9-1)*100</f>
        <v>28.923113991600701</v>
      </c>
      <c r="D43" s="644"/>
      <c r="E43" s="644"/>
      <c r="G43" s="644"/>
      <c r="H43" s="644"/>
      <c r="I43" s="644"/>
    </row>
    <row r="44" spans="1:11" s="114" customFormat="1">
      <c r="A44" s="431" t="s">
        <v>819</v>
      </c>
      <c r="B44" s="10">
        <f>(B31/B6-1)*100</f>
        <v>68.846112371237282</v>
      </c>
      <c r="C44" s="10">
        <f>(C31/C6-1)*100</f>
        <v>48.237861724545382</v>
      </c>
      <c r="D44" s="725"/>
      <c r="E44" s="725"/>
      <c r="G44" s="725"/>
      <c r="H44" s="725"/>
      <c r="I44" s="725"/>
    </row>
    <row r="45" spans="1:11" s="114" customFormat="1">
      <c r="A45" s="1014" t="s">
        <v>447</v>
      </c>
      <c r="B45" s="10">
        <f>(B32/B6-1)*100</f>
        <v>73.294111211639176</v>
      </c>
      <c r="C45" s="10">
        <f>(C32/C6-1)*100</f>
        <v>51.727585648344451</v>
      </c>
      <c r="D45" s="644"/>
      <c r="E45" s="644"/>
      <c r="F45" s="644"/>
      <c r="G45" s="644"/>
      <c r="H45" s="644"/>
      <c r="I45" s="644"/>
    </row>
    <row r="47" spans="1:11" ht="15" customHeight="1">
      <c r="A47" s="9" t="s">
        <v>216</v>
      </c>
      <c r="B47" s="9"/>
      <c r="C47" s="9"/>
      <c r="D47" s="9"/>
      <c r="E47" s="9"/>
      <c r="F47" s="9"/>
      <c r="G47" s="9"/>
      <c r="H47" s="9"/>
      <c r="I47" s="9"/>
      <c r="J47" s="9"/>
      <c r="K47" s="9"/>
    </row>
    <row r="48" spans="1:11" ht="88.5" customHeight="1">
      <c r="A48" s="1168" t="s">
        <v>931</v>
      </c>
      <c r="B48" s="1169"/>
      <c r="C48" s="1169"/>
      <c r="D48" s="651"/>
      <c r="E48" s="651"/>
      <c r="F48" s="651"/>
      <c r="G48" s="651"/>
      <c r="H48" s="651"/>
      <c r="I48" s="651"/>
    </row>
    <row r="49" spans="1:6">
      <c r="A49" s="4" t="s">
        <v>1664</v>
      </c>
    </row>
    <row r="51" spans="1:6">
      <c r="E51" s="27"/>
    </row>
    <row r="52" spans="1:6">
      <c r="E52" s="27"/>
      <c r="F52" s="27"/>
    </row>
    <row r="53" spans="1:6">
      <c r="E53" s="27"/>
      <c r="F53" s="27"/>
    </row>
    <row r="54" spans="1:6">
      <c r="E54" s="27"/>
      <c r="F54" s="27"/>
    </row>
    <row r="55" spans="1:6">
      <c r="E55" s="27"/>
      <c r="F55" s="27"/>
    </row>
    <row r="56" spans="1:6">
      <c r="E56" s="27"/>
    </row>
    <row r="57" spans="1:6">
      <c r="E57" s="27"/>
    </row>
  </sheetData>
  <mergeCells count="6">
    <mergeCell ref="B1:C2"/>
    <mergeCell ref="A48:C48"/>
    <mergeCell ref="D4:D5"/>
    <mergeCell ref="B4:B5"/>
    <mergeCell ref="B3:C3"/>
    <mergeCell ref="C4:C5"/>
  </mergeCells>
  <phoneticPr fontId="35" type="noConversion"/>
  <pageMargins left="0.75" right="0.75" top="1" bottom="1" header="0.5" footer="0.5"/>
  <pageSetup scale="91" orientation="portrait" horizontalDpi="300" verticalDpi="300" r:id="rId1"/>
  <headerFooter alignWithMargins="0"/>
  <colBreaks count="1" manualBreakCount="1">
    <brk id="9" max="1048575" man="1"/>
  </colBreaks>
</worksheet>
</file>

<file path=xl/worksheets/sheet57.xml><?xml version="1.0" encoding="utf-8"?>
<worksheet xmlns="http://schemas.openxmlformats.org/spreadsheetml/2006/main" xmlns:r="http://schemas.openxmlformats.org/officeDocument/2006/relationships">
  <sheetPr codeName="Sheet63">
    <pageSetUpPr fitToPage="1"/>
  </sheetPr>
  <dimension ref="A1:X49"/>
  <sheetViews>
    <sheetView view="pageBreakPreview" zoomScale="70" zoomScaleSheetLayoutView="70" workbookViewId="0">
      <pane xSplit="1" ySplit="3" topLeftCell="B13"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85546875" style="1" customWidth="1"/>
    <col min="2" max="2" width="21.7109375" style="1" customWidth="1"/>
    <col min="3" max="12" width="12.85546875" style="1" customWidth="1"/>
    <col min="13" max="13" width="11.5703125" style="1" bestFit="1" customWidth="1"/>
    <col min="14" max="15" width="11.28515625" style="1" bestFit="1" customWidth="1"/>
    <col min="16" max="17" width="10.5703125" style="1" bestFit="1" customWidth="1"/>
    <col min="18" max="18" width="10" style="1" bestFit="1" customWidth="1"/>
    <col min="19" max="19" width="11" style="1" bestFit="1" customWidth="1"/>
    <col min="20" max="20" width="10.28515625" style="1" bestFit="1" customWidth="1"/>
    <col min="21" max="21" width="10.5703125" style="1" bestFit="1" customWidth="1"/>
    <col min="22" max="22" width="9.85546875" style="1" bestFit="1" customWidth="1"/>
    <col min="23" max="23" width="9.5703125" style="1" bestFit="1" customWidth="1"/>
    <col min="24" max="24" width="11.28515625" style="1" customWidth="1"/>
    <col min="25" max="16384" width="9.140625" style="1"/>
  </cols>
  <sheetData>
    <row r="1" spans="1:24" ht="15.75">
      <c r="A1" s="4"/>
      <c r="B1" s="3" t="s">
        <v>2141</v>
      </c>
      <c r="C1" s="4"/>
      <c r="D1" s="4"/>
      <c r="E1" s="4"/>
      <c r="F1" s="4"/>
      <c r="G1" s="4"/>
    </row>
    <row r="2" spans="1:24" ht="15.75">
      <c r="A2" s="4"/>
      <c r="B2" s="3"/>
      <c r="C2" s="4"/>
      <c r="D2" s="4"/>
      <c r="E2" s="4"/>
      <c r="F2" s="4"/>
      <c r="G2" s="4"/>
    </row>
    <row r="3" spans="1:24" ht="40.9" customHeight="1">
      <c r="A3" s="7"/>
      <c r="B3" s="968" t="s">
        <v>701</v>
      </c>
      <c r="C3" s="968" t="s">
        <v>731</v>
      </c>
      <c r="D3" s="968" t="s">
        <v>732</v>
      </c>
      <c r="E3" s="968" t="s">
        <v>733</v>
      </c>
      <c r="F3" s="968" t="s">
        <v>734</v>
      </c>
      <c r="G3" s="968" t="s">
        <v>735</v>
      </c>
      <c r="H3" s="968" t="s">
        <v>736</v>
      </c>
      <c r="I3" s="968" t="s">
        <v>737</v>
      </c>
      <c r="J3" s="968" t="s">
        <v>256</v>
      </c>
      <c r="K3" s="968" t="s">
        <v>1192</v>
      </c>
      <c r="L3" s="968" t="s">
        <v>1193</v>
      </c>
    </row>
    <row r="4" spans="1:24" s="139" customFormat="1" ht="32.450000000000003" customHeight="1">
      <c r="A4" s="1008"/>
      <c r="B4" s="127" t="s">
        <v>120</v>
      </c>
      <c r="C4" s="127" t="s">
        <v>997</v>
      </c>
      <c r="D4" s="127" t="s">
        <v>998</v>
      </c>
      <c r="E4" s="127" t="s">
        <v>999</v>
      </c>
      <c r="F4" s="127" t="s">
        <v>1000</v>
      </c>
      <c r="G4" s="127" t="s">
        <v>983</v>
      </c>
      <c r="H4" s="127" t="s">
        <v>984</v>
      </c>
      <c r="I4" s="127" t="s">
        <v>985</v>
      </c>
      <c r="J4" s="127" t="s">
        <v>118</v>
      </c>
      <c r="K4" s="127" t="s">
        <v>275</v>
      </c>
      <c r="L4" s="127" t="s">
        <v>119</v>
      </c>
      <c r="M4" s="127"/>
      <c r="N4" s="248"/>
      <c r="O4" s="248"/>
      <c r="U4" s="248"/>
      <c r="X4" s="248"/>
    </row>
    <row r="5" spans="1:24" ht="15">
      <c r="A5" s="2">
        <v>1981</v>
      </c>
      <c r="B5" s="10">
        <f>SUM(C5:L5)</f>
        <v>1742.1320000000003</v>
      </c>
      <c r="C5" s="10">
        <f>N5/1000</f>
        <v>288.95400000000001</v>
      </c>
      <c r="D5" s="10">
        <f t="shared" ref="D5:D29" si="0">O5/1000</f>
        <v>426.37799999999999</v>
      </c>
      <c r="E5" s="10">
        <f t="shared" ref="E5:E29" si="1">P5/1000</f>
        <v>131.506</v>
      </c>
      <c r="F5" s="10">
        <f t="shared" ref="F5:F29" si="2">Q5/1000</f>
        <v>109.05800000000001</v>
      </c>
      <c r="G5" s="10">
        <f t="shared" ref="G5:G29" si="3">R5/1000</f>
        <v>98.748999999999995</v>
      </c>
      <c r="H5" s="10">
        <f t="shared" ref="H5:H29" si="4">S5/1000</f>
        <v>312.11</v>
      </c>
      <c r="I5" s="10">
        <f t="shared" ref="I5:I29" si="5">T5/1000</f>
        <v>89.034999999999997</v>
      </c>
      <c r="J5" s="10">
        <f t="shared" ref="J5:J29" si="6">U5/1000</f>
        <v>202.72800000000001</v>
      </c>
      <c r="K5" s="10">
        <f t="shared" ref="K5:K29" si="7">V5/1000</f>
        <v>65.736999999999995</v>
      </c>
      <c r="L5" s="10">
        <f t="shared" ref="L5:L29" si="8">W5/1000</f>
        <v>17.876999999999999</v>
      </c>
      <c r="M5" s="6"/>
      <c r="N5" s="791">
        <v>288954</v>
      </c>
      <c r="O5" s="791">
        <v>426378</v>
      </c>
      <c r="P5" s="791">
        <v>131506</v>
      </c>
      <c r="Q5" s="791">
        <v>109058</v>
      </c>
      <c r="R5" s="791">
        <v>98749</v>
      </c>
      <c r="S5" s="791">
        <v>312110</v>
      </c>
      <c r="T5" s="791">
        <v>89035</v>
      </c>
      <c r="U5" s="791">
        <v>202728</v>
      </c>
      <c r="V5" s="791">
        <v>65737</v>
      </c>
      <c r="W5" s="791">
        <v>17877</v>
      </c>
      <c r="X5" s="792"/>
    </row>
    <row r="6" spans="1:24" ht="15">
      <c r="A6" s="2">
        <v>1982</v>
      </c>
      <c r="B6" s="10">
        <f t="shared" ref="B6:B29" si="9">SUM(C6:L6)</f>
        <v>1822.8</v>
      </c>
      <c r="C6" s="10">
        <f t="shared" ref="C6:C29" si="10">N6/1000</f>
        <v>308.72199999999998</v>
      </c>
      <c r="D6" s="10">
        <f t="shared" si="0"/>
        <v>471.87</v>
      </c>
      <c r="E6" s="10">
        <f t="shared" si="1"/>
        <v>150.239</v>
      </c>
      <c r="F6" s="10">
        <f t="shared" si="2"/>
        <v>111.93</v>
      </c>
      <c r="G6" s="10">
        <f t="shared" si="3"/>
        <v>90.858999999999995</v>
      </c>
      <c r="H6" s="10">
        <f t="shared" si="4"/>
        <v>319.48500000000001</v>
      </c>
      <c r="I6" s="10">
        <f t="shared" si="5"/>
        <v>85.497</v>
      </c>
      <c r="J6" s="10">
        <f t="shared" si="6"/>
        <v>230.06399999999999</v>
      </c>
      <c r="K6" s="10">
        <f t="shared" si="7"/>
        <v>46.052999999999997</v>
      </c>
      <c r="L6" s="10">
        <f t="shared" si="8"/>
        <v>8.0809999999999995</v>
      </c>
      <c r="M6" s="6"/>
      <c r="N6" s="791">
        <v>308722</v>
      </c>
      <c r="O6" s="791">
        <v>471870</v>
      </c>
      <c r="P6" s="791">
        <v>150239</v>
      </c>
      <c r="Q6" s="791">
        <v>111930</v>
      </c>
      <c r="R6" s="791">
        <v>90859</v>
      </c>
      <c r="S6" s="791">
        <v>319485</v>
      </c>
      <c r="T6" s="791">
        <v>85497</v>
      </c>
      <c r="U6" s="791">
        <v>230064</v>
      </c>
      <c r="V6" s="791">
        <v>46053</v>
      </c>
      <c r="W6" s="791">
        <v>8081</v>
      </c>
      <c r="X6" s="792"/>
    </row>
    <row r="7" spans="1:24" ht="15">
      <c r="A7" s="2">
        <v>1983</v>
      </c>
      <c r="B7" s="10">
        <f t="shared" si="9"/>
        <v>1933.8799999999999</v>
      </c>
      <c r="C7" s="10">
        <f t="shared" si="10"/>
        <v>330.53399999999999</v>
      </c>
      <c r="D7" s="10">
        <f t="shared" si="0"/>
        <v>483.81400000000002</v>
      </c>
      <c r="E7" s="10">
        <f t="shared" si="1"/>
        <v>161.20500000000001</v>
      </c>
      <c r="F7" s="10">
        <f t="shared" si="2"/>
        <v>117.755</v>
      </c>
      <c r="G7" s="10">
        <f t="shared" si="3"/>
        <v>91.78</v>
      </c>
      <c r="H7" s="10">
        <f t="shared" si="4"/>
        <v>330.8</v>
      </c>
      <c r="I7" s="10">
        <f t="shared" si="5"/>
        <v>81.382999999999996</v>
      </c>
      <c r="J7" s="10">
        <f t="shared" si="6"/>
        <v>282.49</v>
      </c>
      <c r="K7" s="10">
        <f t="shared" si="7"/>
        <v>46.951000000000001</v>
      </c>
      <c r="L7" s="10">
        <f t="shared" si="8"/>
        <v>7.1680000000000001</v>
      </c>
      <c r="M7" s="6"/>
      <c r="N7" s="791">
        <v>330534</v>
      </c>
      <c r="O7" s="791">
        <v>483814</v>
      </c>
      <c r="P7" s="791">
        <v>161205</v>
      </c>
      <c r="Q7" s="791">
        <v>117755</v>
      </c>
      <c r="R7" s="791">
        <v>91780</v>
      </c>
      <c r="S7" s="791">
        <v>330800</v>
      </c>
      <c r="T7" s="791">
        <v>81383</v>
      </c>
      <c r="U7" s="791">
        <v>282490</v>
      </c>
      <c r="V7" s="791">
        <v>46951</v>
      </c>
      <c r="W7" s="791">
        <v>7168</v>
      </c>
      <c r="X7" s="792"/>
    </row>
    <row r="8" spans="1:24" ht="15">
      <c r="A8" s="2">
        <v>1984</v>
      </c>
      <c r="B8" s="10">
        <f t="shared" si="9"/>
        <v>2018.4629999999997</v>
      </c>
      <c r="C8" s="10">
        <f t="shared" si="10"/>
        <v>351.14800000000002</v>
      </c>
      <c r="D8" s="10">
        <f t="shared" si="0"/>
        <v>504.17399999999998</v>
      </c>
      <c r="E8" s="10">
        <f t="shared" si="1"/>
        <v>172.399</v>
      </c>
      <c r="F8" s="10">
        <f t="shared" si="2"/>
        <v>124.99</v>
      </c>
      <c r="G8" s="10">
        <f t="shared" si="3"/>
        <v>99.71</v>
      </c>
      <c r="H8" s="10">
        <f t="shared" si="4"/>
        <v>346.24299999999999</v>
      </c>
      <c r="I8" s="10">
        <f t="shared" si="5"/>
        <v>75.424999999999997</v>
      </c>
      <c r="J8" s="10">
        <f t="shared" si="6"/>
        <v>281.99299999999999</v>
      </c>
      <c r="K8" s="10">
        <f t="shared" si="7"/>
        <v>47.86</v>
      </c>
      <c r="L8" s="10">
        <f t="shared" si="8"/>
        <v>14.521000000000001</v>
      </c>
      <c r="M8" s="6"/>
      <c r="N8" s="791">
        <v>351148</v>
      </c>
      <c r="O8" s="791">
        <v>504174</v>
      </c>
      <c r="P8" s="791">
        <v>172399</v>
      </c>
      <c r="Q8" s="791">
        <v>124990</v>
      </c>
      <c r="R8" s="791">
        <v>99710</v>
      </c>
      <c r="S8" s="791">
        <v>346243</v>
      </c>
      <c r="T8" s="791">
        <v>75425</v>
      </c>
      <c r="U8" s="791">
        <v>281993</v>
      </c>
      <c r="V8" s="791">
        <v>47860</v>
      </c>
      <c r="W8" s="791">
        <v>14521</v>
      </c>
      <c r="X8" s="128"/>
    </row>
    <row r="9" spans="1:24" ht="15">
      <c r="A9" s="2">
        <v>1985</v>
      </c>
      <c r="B9" s="10">
        <f t="shared" si="9"/>
        <v>2084.1309999999999</v>
      </c>
      <c r="C9" s="10">
        <f t="shared" si="10"/>
        <v>378.416</v>
      </c>
      <c r="D9" s="10">
        <f t="shared" si="0"/>
        <v>529.49699999999996</v>
      </c>
      <c r="E9" s="10">
        <f t="shared" si="1"/>
        <v>185.69499999999999</v>
      </c>
      <c r="F9" s="10">
        <f t="shared" si="2"/>
        <v>135.96600000000001</v>
      </c>
      <c r="G9" s="10">
        <f t="shared" si="3"/>
        <v>105.28400000000001</v>
      </c>
      <c r="H9" s="10">
        <f t="shared" si="4"/>
        <v>351.935</v>
      </c>
      <c r="I9" s="10">
        <f t="shared" si="5"/>
        <v>71.61</v>
      </c>
      <c r="J9" s="10">
        <f t="shared" si="6"/>
        <v>272.517</v>
      </c>
      <c r="K9" s="10">
        <f t="shared" si="7"/>
        <v>47.360999999999997</v>
      </c>
      <c r="L9" s="10">
        <f t="shared" si="8"/>
        <v>5.85</v>
      </c>
      <c r="M9" s="6"/>
      <c r="N9" s="791">
        <v>378416</v>
      </c>
      <c r="O9" s="791">
        <v>529497</v>
      </c>
      <c r="P9" s="791">
        <v>185695</v>
      </c>
      <c r="Q9" s="791">
        <v>135966</v>
      </c>
      <c r="R9" s="791">
        <v>105284</v>
      </c>
      <c r="S9" s="791">
        <v>351935</v>
      </c>
      <c r="T9" s="791">
        <v>71610</v>
      </c>
      <c r="U9" s="791">
        <v>272517</v>
      </c>
      <c r="V9" s="791">
        <v>47361</v>
      </c>
      <c r="W9" s="791">
        <v>5850</v>
      </c>
      <c r="X9" s="128"/>
    </row>
    <row r="10" spans="1:24" ht="15">
      <c r="A10" s="2">
        <v>1986</v>
      </c>
      <c r="B10" s="10">
        <f t="shared" si="9"/>
        <v>2100.9690000000001</v>
      </c>
      <c r="C10" s="10">
        <f t="shared" si="10"/>
        <v>423.01299999999998</v>
      </c>
      <c r="D10" s="10">
        <f t="shared" si="0"/>
        <v>551.39599999999996</v>
      </c>
      <c r="E10" s="10">
        <f t="shared" si="1"/>
        <v>196.56399999999999</v>
      </c>
      <c r="F10" s="10">
        <f t="shared" si="2"/>
        <v>153.43</v>
      </c>
      <c r="G10" s="10">
        <f t="shared" si="3"/>
        <v>110.261</v>
      </c>
      <c r="H10" s="10">
        <f t="shared" si="4"/>
        <v>380.53300000000002</v>
      </c>
      <c r="I10" s="10">
        <f t="shared" si="5"/>
        <v>80.272000000000006</v>
      </c>
      <c r="J10" s="10">
        <f t="shared" si="6"/>
        <v>155.84700000000001</v>
      </c>
      <c r="K10" s="10">
        <f t="shared" si="7"/>
        <v>45.23</v>
      </c>
      <c r="L10" s="10">
        <f t="shared" si="8"/>
        <v>4.423</v>
      </c>
      <c r="M10" s="6"/>
      <c r="N10" s="791">
        <v>423013</v>
      </c>
      <c r="O10" s="791">
        <v>551396</v>
      </c>
      <c r="P10" s="791">
        <v>196564</v>
      </c>
      <c r="Q10" s="791">
        <v>153430</v>
      </c>
      <c r="R10" s="791">
        <v>110261</v>
      </c>
      <c r="S10" s="791">
        <v>380533</v>
      </c>
      <c r="T10" s="791">
        <v>80272</v>
      </c>
      <c r="U10" s="791">
        <v>155847</v>
      </c>
      <c r="V10" s="791">
        <v>45230</v>
      </c>
      <c r="W10" s="791">
        <v>4423</v>
      </c>
      <c r="X10" s="128"/>
    </row>
    <row r="11" spans="1:24" ht="15">
      <c r="A11" s="2">
        <v>1987</v>
      </c>
      <c r="B11" s="10">
        <f t="shared" si="9"/>
        <v>2285.6499999999996</v>
      </c>
      <c r="C11" s="10">
        <f t="shared" si="10"/>
        <v>477.39800000000002</v>
      </c>
      <c r="D11" s="10">
        <f t="shared" si="0"/>
        <v>576.34400000000005</v>
      </c>
      <c r="E11" s="10">
        <f t="shared" si="1"/>
        <v>205.96799999999999</v>
      </c>
      <c r="F11" s="10">
        <f t="shared" si="2"/>
        <v>166.916</v>
      </c>
      <c r="G11" s="10">
        <f t="shared" si="3"/>
        <v>117.67</v>
      </c>
      <c r="H11" s="10">
        <f t="shared" si="4"/>
        <v>420.774</v>
      </c>
      <c r="I11" s="10">
        <f t="shared" si="5"/>
        <v>108.952</v>
      </c>
      <c r="J11" s="10">
        <f t="shared" si="6"/>
        <v>145.864</v>
      </c>
      <c r="K11" s="10">
        <f t="shared" si="7"/>
        <v>57.93</v>
      </c>
      <c r="L11" s="10">
        <f t="shared" si="8"/>
        <v>7.8339999999999996</v>
      </c>
      <c r="M11" s="6"/>
      <c r="N11" s="791">
        <v>477398</v>
      </c>
      <c r="O11" s="791">
        <v>576344</v>
      </c>
      <c r="P11" s="791">
        <v>205968</v>
      </c>
      <c r="Q11" s="791">
        <v>166916</v>
      </c>
      <c r="R11" s="791">
        <v>117670</v>
      </c>
      <c r="S11" s="791">
        <v>420774</v>
      </c>
      <c r="T11" s="791">
        <v>108952</v>
      </c>
      <c r="U11" s="791">
        <v>145864</v>
      </c>
      <c r="V11" s="791">
        <v>57930</v>
      </c>
      <c r="W11" s="791">
        <v>7834</v>
      </c>
      <c r="X11" s="128"/>
    </row>
    <row r="12" spans="1:24" ht="15">
      <c r="A12" s="2">
        <v>1988</v>
      </c>
      <c r="B12" s="10">
        <f t="shared" si="9"/>
        <v>2482.8049999999998</v>
      </c>
      <c r="C12" s="10">
        <f t="shared" si="10"/>
        <v>527.76400000000001</v>
      </c>
      <c r="D12" s="10">
        <f t="shared" si="0"/>
        <v>616.42399999999998</v>
      </c>
      <c r="E12" s="10">
        <f t="shared" si="1"/>
        <v>217.78200000000001</v>
      </c>
      <c r="F12" s="10">
        <f t="shared" si="2"/>
        <v>184.80699999999999</v>
      </c>
      <c r="G12" s="10">
        <f t="shared" si="3"/>
        <v>126.51</v>
      </c>
      <c r="H12" s="10">
        <f t="shared" si="4"/>
        <v>466.77699999999999</v>
      </c>
      <c r="I12" s="10">
        <f t="shared" si="5"/>
        <v>140.90100000000001</v>
      </c>
      <c r="J12" s="10">
        <f t="shared" si="6"/>
        <v>101.53100000000001</v>
      </c>
      <c r="K12" s="10">
        <f t="shared" si="7"/>
        <v>84.146000000000001</v>
      </c>
      <c r="L12" s="10">
        <f t="shared" si="8"/>
        <v>16.163</v>
      </c>
      <c r="M12" s="6"/>
      <c r="N12" s="791">
        <v>527764</v>
      </c>
      <c r="O12" s="791">
        <v>616424</v>
      </c>
      <c r="P12" s="791">
        <v>217782</v>
      </c>
      <c r="Q12" s="791">
        <v>184807</v>
      </c>
      <c r="R12" s="791">
        <v>126510</v>
      </c>
      <c r="S12" s="791">
        <v>466777</v>
      </c>
      <c r="T12" s="791">
        <v>140901</v>
      </c>
      <c r="U12" s="791">
        <v>101531</v>
      </c>
      <c r="V12" s="791">
        <v>84146</v>
      </c>
      <c r="W12" s="791">
        <v>16163</v>
      </c>
      <c r="X12" s="128"/>
    </row>
    <row r="13" spans="1:24" ht="15">
      <c r="A13" s="2">
        <v>1989</v>
      </c>
      <c r="B13" s="10">
        <f t="shared" si="9"/>
        <v>2699.0160000000005</v>
      </c>
      <c r="C13" s="10">
        <f t="shared" si="10"/>
        <v>570.80899999999997</v>
      </c>
      <c r="D13" s="10">
        <f t="shared" si="0"/>
        <v>659.649</v>
      </c>
      <c r="E13" s="10">
        <f t="shared" si="1"/>
        <v>236.22900000000001</v>
      </c>
      <c r="F13" s="10">
        <f t="shared" si="2"/>
        <v>200.751</v>
      </c>
      <c r="G13" s="10">
        <f t="shared" si="3"/>
        <v>133.04300000000001</v>
      </c>
      <c r="H13" s="10">
        <f t="shared" si="4"/>
        <v>525.78099999999995</v>
      </c>
      <c r="I13" s="10">
        <f t="shared" si="5"/>
        <v>162.91399999999999</v>
      </c>
      <c r="J13" s="10">
        <f t="shared" si="6"/>
        <v>104.57</v>
      </c>
      <c r="K13" s="10">
        <f t="shared" si="7"/>
        <v>87.212000000000003</v>
      </c>
      <c r="L13" s="10">
        <f t="shared" si="8"/>
        <v>18.058</v>
      </c>
      <c r="M13" s="6"/>
      <c r="N13" s="791">
        <v>570809</v>
      </c>
      <c r="O13" s="791">
        <v>659649</v>
      </c>
      <c r="P13" s="791">
        <v>236229</v>
      </c>
      <c r="Q13" s="791">
        <v>200751</v>
      </c>
      <c r="R13" s="791">
        <v>133043</v>
      </c>
      <c r="S13" s="791">
        <v>525781</v>
      </c>
      <c r="T13" s="791">
        <v>162914</v>
      </c>
      <c r="U13" s="791">
        <v>104570</v>
      </c>
      <c r="V13" s="791">
        <v>87212</v>
      </c>
      <c r="W13" s="791">
        <v>18058</v>
      </c>
      <c r="X13" s="128"/>
    </row>
    <row r="14" spans="1:24" ht="15">
      <c r="A14" s="2">
        <v>1990</v>
      </c>
      <c r="B14" s="10">
        <f t="shared" si="9"/>
        <v>2814.317</v>
      </c>
      <c r="C14" s="10">
        <f t="shared" si="10"/>
        <v>600.76199999999994</v>
      </c>
      <c r="D14" s="10">
        <f t="shared" si="0"/>
        <v>697.34900000000005</v>
      </c>
      <c r="E14" s="10">
        <f t="shared" si="1"/>
        <v>249.86600000000001</v>
      </c>
      <c r="F14" s="10">
        <f t="shared" si="2"/>
        <v>207.70699999999999</v>
      </c>
      <c r="G14" s="10">
        <f t="shared" si="3"/>
        <v>131.22399999999999</v>
      </c>
      <c r="H14" s="10">
        <f t="shared" si="4"/>
        <v>536.83000000000004</v>
      </c>
      <c r="I14" s="10">
        <f t="shared" si="5"/>
        <v>171.94499999999999</v>
      </c>
      <c r="J14" s="10">
        <f t="shared" si="6"/>
        <v>137.965</v>
      </c>
      <c r="K14" s="10">
        <f t="shared" si="7"/>
        <v>65.277000000000001</v>
      </c>
      <c r="L14" s="10">
        <f t="shared" si="8"/>
        <v>15.391999999999999</v>
      </c>
      <c r="M14" s="6"/>
      <c r="N14" s="791">
        <v>600762</v>
      </c>
      <c r="O14" s="791">
        <v>697349</v>
      </c>
      <c r="P14" s="791">
        <v>249866</v>
      </c>
      <c r="Q14" s="791">
        <v>207707</v>
      </c>
      <c r="R14" s="791">
        <v>131224</v>
      </c>
      <c r="S14" s="791">
        <v>536830</v>
      </c>
      <c r="T14" s="791">
        <v>171945</v>
      </c>
      <c r="U14" s="791">
        <v>137965</v>
      </c>
      <c r="V14" s="791">
        <v>65277</v>
      </c>
      <c r="W14" s="791">
        <v>15392</v>
      </c>
      <c r="X14" s="128"/>
    </row>
    <row r="15" spans="1:24" ht="15">
      <c r="A15" s="2">
        <v>1991</v>
      </c>
      <c r="B15" s="10">
        <f t="shared" si="9"/>
        <v>2806.2450000000003</v>
      </c>
      <c r="C15" s="10">
        <f t="shared" si="10"/>
        <v>635.50199999999995</v>
      </c>
      <c r="D15" s="10">
        <f t="shared" si="0"/>
        <v>695.53499999999997</v>
      </c>
      <c r="E15" s="10">
        <f t="shared" si="1"/>
        <v>256.97800000000001</v>
      </c>
      <c r="F15" s="10">
        <f t="shared" si="2"/>
        <v>210.18100000000001</v>
      </c>
      <c r="G15" s="10">
        <f t="shared" si="3"/>
        <v>123.48099999999999</v>
      </c>
      <c r="H15" s="10">
        <f t="shared" si="4"/>
        <v>568.10500000000002</v>
      </c>
      <c r="I15" s="10">
        <f t="shared" si="5"/>
        <v>158.43100000000001</v>
      </c>
      <c r="J15" s="10">
        <f t="shared" si="6"/>
        <v>93.32</v>
      </c>
      <c r="K15" s="10">
        <f t="shared" si="7"/>
        <v>49.104999999999997</v>
      </c>
      <c r="L15" s="10">
        <f t="shared" si="8"/>
        <v>15.606999999999999</v>
      </c>
      <c r="M15" s="6"/>
      <c r="N15" s="791">
        <v>635502</v>
      </c>
      <c r="O15" s="791">
        <v>695535</v>
      </c>
      <c r="P15" s="791">
        <v>256978</v>
      </c>
      <c r="Q15" s="791">
        <v>210181</v>
      </c>
      <c r="R15" s="791">
        <v>123481</v>
      </c>
      <c r="S15" s="791">
        <v>568105</v>
      </c>
      <c r="T15" s="791">
        <v>158431</v>
      </c>
      <c r="U15" s="791">
        <v>93320</v>
      </c>
      <c r="V15" s="791">
        <v>49105</v>
      </c>
      <c r="W15" s="791">
        <v>15607</v>
      </c>
      <c r="X15" s="128"/>
    </row>
    <row r="16" spans="1:24" ht="15">
      <c r="A16" s="2">
        <v>1992</v>
      </c>
      <c r="B16" s="10">
        <f t="shared" si="9"/>
        <v>2842.1039999999998</v>
      </c>
      <c r="C16" s="10">
        <f t="shared" si="10"/>
        <v>667.36699999999996</v>
      </c>
      <c r="D16" s="10">
        <f t="shared" si="0"/>
        <v>697.12199999999996</v>
      </c>
      <c r="E16" s="10">
        <f t="shared" si="1"/>
        <v>255.06100000000001</v>
      </c>
      <c r="F16" s="10">
        <f t="shared" si="2"/>
        <v>212.65700000000001</v>
      </c>
      <c r="G16" s="10">
        <f t="shared" si="3"/>
        <v>121.723</v>
      </c>
      <c r="H16" s="10">
        <f t="shared" si="4"/>
        <v>592.875</v>
      </c>
      <c r="I16" s="10">
        <f t="shared" si="5"/>
        <v>136.94200000000001</v>
      </c>
      <c r="J16" s="10">
        <f t="shared" si="6"/>
        <v>94.606999999999999</v>
      </c>
      <c r="K16" s="10">
        <f t="shared" si="7"/>
        <v>46.738999999999997</v>
      </c>
      <c r="L16" s="10">
        <f t="shared" si="8"/>
        <v>17.010999999999999</v>
      </c>
      <c r="M16" s="6"/>
      <c r="N16" s="791">
        <v>667367</v>
      </c>
      <c r="O16" s="791">
        <v>697122</v>
      </c>
      <c r="P16" s="791">
        <v>255061</v>
      </c>
      <c r="Q16" s="791">
        <v>212657</v>
      </c>
      <c r="R16" s="791">
        <v>121723</v>
      </c>
      <c r="S16" s="791">
        <v>592875</v>
      </c>
      <c r="T16" s="791">
        <v>136942</v>
      </c>
      <c r="U16" s="791">
        <v>94607</v>
      </c>
      <c r="V16" s="791">
        <v>46739</v>
      </c>
      <c r="W16" s="791">
        <v>17011</v>
      </c>
      <c r="X16" s="128"/>
    </row>
    <row r="17" spans="1:24" ht="15">
      <c r="A17" s="2">
        <v>1993</v>
      </c>
      <c r="B17" s="10">
        <f t="shared" si="9"/>
        <v>2933.3050000000003</v>
      </c>
      <c r="C17" s="10">
        <f t="shared" si="10"/>
        <v>707.91399999999999</v>
      </c>
      <c r="D17" s="10">
        <f t="shared" si="0"/>
        <v>709.197</v>
      </c>
      <c r="E17" s="10">
        <f t="shared" si="1"/>
        <v>266.24400000000003</v>
      </c>
      <c r="F17" s="10">
        <f t="shared" si="2"/>
        <v>218.93</v>
      </c>
      <c r="G17" s="10">
        <f t="shared" si="3"/>
        <v>124.483</v>
      </c>
      <c r="H17" s="10">
        <f t="shared" si="4"/>
        <v>627.81600000000003</v>
      </c>
      <c r="I17" s="10">
        <f t="shared" si="5"/>
        <v>118.715</v>
      </c>
      <c r="J17" s="10">
        <f t="shared" si="6"/>
        <v>109.465</v>
      </c>
      <c r="K17" s="10">
        <f t="shared" si="7"/>
        <v>34.911000000000001</v>
      </c>
      <c r="L17" s="10">
        <f t="shared" si="8"/>
        <v>15.63</v>
      </c>
      <c r="M17" s="6"/>
      <c r="N17" s="791">
        <v>707914</v>
      </c>
      <c r="O17" s="791">
        <v>709197</v>
      </c>
      <c r="P17" s="791">
        <v>266244</v>
      </c>
      <c r="Q17" s="791">
        <v>218930</v>
      </c>
      <c r="R17" s="791">
        <v>124483</v>
      </c>
      <c r="S17" s="791">
        <v>627816</v>
      </c>
      <c r="T17" s="791">
        <v>118715</v>
      </c>
      <c r="U17" s="791">
        <v>109465</v>
      </c>
      <c r="V17" s="791">
        <v>34911</v>
      </c>
      <c r="W17" s="791">
        <v>15630</v>
      </c>
      <c r="X17" s="128"/>
    </row>
    <row r="18" spans="1:24" ht="15">
      <c r="A18" s="2">
        <v>1994</v>
      </c>
      <c r="B18" s="10">
        <f t="shared" si="9"/>
        <v>3095.0099999999998</v>
      </c>
      <c r="C18" s="10">
        <f t="shared" si="10"/>
        <v>739.52599999999995</v>
      </c>
      <c r="D18" s="10">
        <f t="shared" si="0"/>
        <v>737.31100000000004</v>
      </c>
      <c r="E18" s="10">
        <f t="shared" si="1"/>
        <v>280.93900000000002</v>
      </c>
      <c r="F18" s="10">
        <f t="shared" si="2"/>
        <v>227.09700000000001</v>
      </c>
      <c r="G18" s="10">
        <f t="shared" si="3"/>
        <v>131.535</v>
      </c>
      <c r="H18" s="10">
        <f t="shared" si="4"/>
        <v>667.43899999999996</v>
      </c>
      <c r="I18" s="10">
        <f t="shared" si="5"/>
        <v>126.877</v>
      </c>
      <c r="J18" s="10">
        <f t="shared" si="6"/>
        <v>114.291</v>
      </c>
      <c r="K18" s="10">
        <f t="shared" si="7"/>
        <v>48.237000000000002</v>
      </c>
      <c r="L18" s="10">
        <f t="shared" si="8"/>
        <v>21.757999999999999</v>
      </c>
      <c r="M18" s="6"/>
      <c r="N18" s="791">
        <v>739526</v>
      </c>
      <c r="O18" s="791">
        <v>737311</v>
      </c>
      <c r="P18" s="791">
        <v>280939</v>
      </c>
      <c r="Q18" s="791">
        <v>227097</v>
      </c>
      <c r="R18" s="791">
        <v>131535</v>
      </c>
      <c r="S18" s="791">
        <v>667439</v>
      </c>
      <c r="T18" s="791">
        <v>126877</v>
      </c>
      <c r="U18" s="791">
        <v>114291</v>
      </c>
      <c r="V18" s="791">
        <v>48237</v>
      </c>
      <c r="W18" s="791">
        <v>21758</v>
      </c>
      <c r="X18" s="128"/>
    </row>
    <row r="19" spans="1:24" ht="15">
      <c r="A19" s="2">
        <v>1995</v>
      </c>
      <c r="B19" s="10">
        <f t="shared" si="9"/>
        <v>3217.636</v>
      </c>
      <c r="C19" s="10">
        <f t="shared" si="10"/>
        <v>749.702</v>
      </c>
      <c r="D19" s="10">
        <f t="shared" si="0"/>
        <v>759.73400000000004</v>
      </c>
      <c r="E19" s="10">
        <f t="shared" si="1"/>
        <v>291.85199999999998</v>
      </c>
      <c r="F19" s="10">
        <f t="shared" si="2"/>
        <v>231.167</v>
      </c>
      <c r="G19" s="10">
        <f t="shared" si="3"/>
        <v>146.976</v>
      </c>
      <c r="H19" s="10">
        <f t="shared" si="4"/>
        <v>673.44600000000003</v>
      </c>
      <c r="I19" s="10">
        <f t="shared" si="5"/>
        <v>175.04900000000001</v>
      </c>
      <c r="J19" s="10">
        <f t="shared" si="6"/>
        <v>98.733000000000004</v>
      </c>
      <c r="K19" s="10">
        <f t="shared" si="7"/>
        <v>65.174000000000007</v>
      </c>
      <c r="L19" s="10">
        <f t="shared" si="8"/>
        <v>25.803000000000001</v>
      </c>
      <c r="M19" s="6"/>
      <c r="N19" s="791">
        <v>749702</v>
      </c>
      <c r="O19" s="791">
        <v>759734</v>
      </c>
      <c r="P19" s="791">
        <v>291852</v>
      </c>
      <c r="Q19" s="791">
        <v>231167</v>
      </c>
      <c r="R19" s="791">
        <v>146976</v>
      </c>
      <c r="S19" s="791">
        <v>673446</v>
      </c>
      <c r="T19" s="791">
        <v>175049</v>
      </c>
      <c r="U19" s="791">
        <v>98733</v>
      </c>
      <c r="V19" s="791">
        <v>65174</v>
      </c>
      <c r="W19" s="791">
        <v>25803</v>
      </c>
      <c r="X19" s="128"/>
    </row>
    <row r="20" spans="1:24" ht="15">
      <c r="A20" s="2">
        <v>1996</v>
      </c>
      <c r="B20" s="10">
        <f t="shared" si="9"/>
        <v>3380.2250000000004</v>
      </c>
      <c r="C20" s="10">
        <f t="shared" si="10"/>
        <v>770.43399999999997</v>
      </c>
      <c r="D20" s="10">
        <f t="shared" si="0"/>
        <v>788.61199999999997</v>
      </c>
      <c r="E20" s="10">
        <f t="shared" si="1"/>
        <v>295.13</v>
      </c>
      <c r="F20" s="10">
        <f t="shared" si="2"/>
        <v>236.36</v>
      </c>
      <c r="G20" s="10">
        <f t="shared" si="3"/>
        <v>151.01</v>
      </c>
      <c r="H20" s="10">
        <f t="shared" si="4"/>
        <v>700.64</v>
      </c>
      <c r="I20" s="10">
        <f t="shared" si="5"/>
        <v>220.226</v>
      </c>
      <c r="J20" s="10">
        <f t="shared" si="6"/>
        <v>135.44999999999999</v>
      </c>
      <c r="K20" s="10">
        <f t="shared" si="7"/>
        <v>60.697000000000003</v>
      </c>
      <c r="L20" s="10">
        <f t="shared" si="8"/>
        <v>21.666</v>
      </c>
      <c r="M20" s="6"/>
      <c r="N20" s="791">
        <v>770434</v>
      </c>
      <c r="O20" s="791">
        <v>788612</v>
      </c>
      <c r="P20" s="791">
        <v>295130</v>
      </c>
      <c r="Q20" s="791">
        <v>236360</v>
      </c>
      <c r="R20" s="791">
        <v>151010</v>
      </c>
      <c r="S20" s="791">
        <v>700640</v>
      </c>
      <c r="T20" s="791">
        <v>220226</v>
      </c>
      <c r="U20" s="791">
        <v>135450</v>
      </c>
      <c r="V20" s="791">
        <v>60697</v>
      </c>
      <c r="W20" s="791">
        <v>21666</v>
      </c>
      <c r="X20" s="128"/>
    </row>
    <row r="21" spans="1:24" ht="15">
      <c r="A21" s="2">
        <v>1997</v>
      </c>
      <c r="B21" s="10">
        <f t="shared" si="9"/>
        <v>3551.8069999999998</v>
      </c>
      <c r="C21" s="10">
        <f t="shared" si="10"/>
        <v>798.87599999999998</v>
      </c>
      <c r="D21" s="10">
        <f t="shared" si="0"/>
        <v>818.98400000000004</v>
      </c>
      <c r="E21" s="10">
        <f t="shared" si="1"/>
        <v>316.41300000000001</v>
      </c>
      <c r="F21" s="10">
        <f t="shared" si="2"/>
        <v>246.69200000000001</v>
      </c>
      <c r="G21" s="10">
        <f t="shared" si="3"/>
        <v>158.78200000000001</v>
      </c>
      <c r="H21" s="10">
        <f t="shared" si="4"/>
        <v>737.63300000000004</v>
      </c>
      <c r="I21" s="10">
        <f t="shared" si="5"/>
        <v>258.43400000000003</v>
      </c>
      <c r="J21" s="10">
        <f t="shared" si="6"/>
        <v>133.285</v>
      </c>
      <c r="K21" s="10">
        <f t="shared" si="7"/>
        <v>54.835999999999999</v>
      </c>
      <c r="L21" s="10">
        <f t="shared" si="8"/>
        <v>27.872</v>
      </c>
      <c r="M21" s="6"/>
      <c r="N21" s="791">
        <v>798876</v>
      </c>
      <c r="O21" s="791">
        <v>818984</v>
      </c>
      <c r="P21" s="791">
        <v>316413</v>
      </c>
      <c r="Q21" s="791">
        <v>246692</v>
      </c>
      <c r="R21" s="791">
        <v>158782</v>
      </c>
      <c r="S21" s="791">
        <v>737633</v>
      </c>
      <c r="T21" s="791">
        <v>258434</v>
      </c>
      <c r="U21" s="791">
        <v>133285</v>
      </c>
      <c r="V21" s="791">
        <v>54836</v>
      </c>
      <c r="W21" s="791">
        <v>27872</v>
      </c>
      <c r="X21" s="128"/>
    </row>
    <row r="22" spans="1:24" ht="15">
      <c r="A22" s="2">
        <v>1998</v>
      </c>
      <c r="B22" s="10">
        <f t="shared" si="9"/>
        <v>3670.4579999999996</v>
      </c>
      <c r="C22" s="10">
        <f t="shared" si="10"/>
        <v>829.67700000000002</v>
      </c>
      <c r="D22" s="10">
        <f t="shared" si="0"/>
        <v>845.97900000000004</v>
      </c>
      <c r="E22" s="10">
        <f t="shared" si="1"/>
        <v>343.05900000000003</v>
      </c>
      <c r="F22" s="10">
        <f t="shared" si="2"/>
        <v>258.923</v>
      </c>
      <c r="G22" s="10">
        <f t="shared" si="3"/>
        <v>170.24799999999999</v>
      </c>
      <c r="H22" s="10">
        <f t="shared" si="4"/>
        <v>770.62900000000002</v>
      </c>
      <c r="I22" s="10">
        <f t="shared" si="5"/>
        <v>280.52199999999999</v>
      </c>
      <c r="J22" s="10">
        <f t="shared" si="6"/>
        <v>94.034999999999997</v>
      </c>
      <c r="K22" s="10">
        <f t="shared" si="7"/>
        <v>43.881999999999998</v>
      </c>
      <c r="L22" s="10">
        <f t="shared" si="8"/>
        <v>33.503999999999998</v>
      </c>
      <c r="M22" s="6"/>
      <c r="N22" s="791">
        <v>829677</v>
      </c>
      <c r="O22" s="791">
        <v>845979</v>
      </c>
      <c r="P22" s="791">
        <v>343059</v>
      </c>
      <c r="Q22" s="791">
        <v>258923</v>
      </c>
      <c r="R22" s="791">
        <v>170248</v>
      </c>
      <c r="S22" s="791">
        <v>770629</v>
      </c>
      <c r="T22" s="791">
        <v>280522</v>
      </c>
      <c r="U22" s="791">
        <v>94035</v>
      </c>
      <c r="V22" s="791">
        <v>43882</v>
      </c>
      <c r="W22" s="791">
        <v>33504</v>
      </c>
      <c r="X22" s="128"/>
    </row>
    <row r="23" spans="1:24" ht="15">
      <c r="A23" s="2">
        <v>1999</v>
      </c>
      <c r="B23" s="10">
        <f t="shared" si="9"/>
        <v>3917.8239999999996</v>
      </c>
      <c r="C23" s="10">
        <f t="shared" si="10"/>
        <v>871.38199999999995</v>
      </c>
      <c r="D23" s="10">
        <f t="shared" si="0"/>
        <v>875.8</v>
      </c>
      <c r="E23" s="10">
        <f t="shared" si="1"/>
        <v>362.08300000000003</v>
      </c>
      <c r="F23" s="10">
        <f t="shared" si="2"/>
        <v>277.35700000000003</v>
      </c>
      <c r="G23" s="10">
        <f t="shared" si="3"/>
        <v>179.202</v>
      </c>
      <c r="H23" s="10">
        <f t="shared" si="4"/>
        <v>816.48199999999997</v>
      </c>
      <c r="I23" s="10">
        <f t="shared" si="5"/>
        <v>289.95100000000002</v>
      </c>
      <c r="J23" s="10">
        <f t="shared" si="6"/>
        <v>169.72499999999999</v>
      </c>
      <c r="K23" s="10">
        <f t="shared" si="7"/>
        <v>45.433</v>
      </c>
      <c r="L23" s="10">
        <f t="shared" si="8"/>
        <v>30.408999999999999</v>
      </c>
      <c r="M23" s="6"/>
      <c r="N23" s="791">
        <v>871382</v>
      </c>
      <c r="O23" s="791">
        <v>875800</v>
      </c>
      <c r="P23" s="791">
        <v>362083</v>
      </c>
      <c r="Q23" s="791">
        <v>277357</v>
      </c>
      <c r="R23" s="791">
        <v>179202</v>
      </c>
      <c r="S23" s="791">
        <v>816482</v>
      </c>
      <c r="T23" s="791">
        <v>289951</v>
      </c>
      <c r="U23" s="791">
        <v>169725</v>
      </c>
      <c r="V23" s="791">
        <v>45433</v>
      </c>
      <c r="W23" s="791">
        <v>30409</v>
      </c>
      <c r="X23" s="128"/>
    </row>
    <row r="24" spans="1:24" ht="15">
      <c r="A24" s="2">
        <v>2000</v>
      </c>
      <c r="B24" s="10">
        <f t="shared" si="9"/>
        <v>4321.8550000000005</v>
      </c>
      <c r="C24" s="10">
        <f t="shared" si="10"/>
        <v>906.03399999999999</v>
      </c>
      <c r="D24" s="10">
        <f t="shared" si="0"/>
        <v>920.03200000000004</v>
      </c>
      <c r="E24" s="10">
        <f t="shared" si="1"/>
        <v>387.71300000000002</v>
      </c>
      <c r="F24" s="10">
        <f t="shared" si="2"/>
        <v>292.51900000000001</v>
      </c>
      <c r="G24" s="10">
        <f t="shared" si="3"/>
        <v>194.77500000000001</v>
      </c>
      <c r="H24" s="10">
        <f t="shared" si="4"/>
        <v>863.26099999999997</v>
      </c>
      <c r="I24" s="10">
        <f t="shared" si="5"/>
        <v>291.77100000000002</v>
      </c>
      <c r="J24" s="10">
        <f t="shared" si="6"/>
        <v>375.97300000000001</v>
      </c>
      <c r="K24" s="10">
        <f t="shared" si="7"/>
        <v>61.389000000000003</v>
      </c>
      <c r="L24" s="10">
        <f t="shared" si="8"/>
        <v>28.388000000000002</v>
      </c>
      <c r="M24" s="6"/>
      <c r="N24" s="791">
        <v>906034</v>
      </c>
      <c r="O24" s="791">
        <v>920032</v>
      </c>
      <c r="P24" s="791">
        <v>387713</v>
      </c>
      <c r="Q24" s="791">
        <v>292519</v>
      </c>
      <c r="R24" s="791">
        <v>194775</v>
      </c>
      <c r="S24" s="791">
        <v>863261</v>
      </c>
      <c r="T24" s="791">
        <v>291771</v>
      </c>
      <c r="U24" s="791">
        <v>375973</v>
      </c>
      <c r="V24" s="791">
        <v>61389</v>
      </c>
      <c r="W24" s="791">
        <v>28388</v>
      </c>
      <c r="X24" s="128"/>
    </row>
    <row r="25" spans="1:24" ht="15">
      <c r="A25" s="2">
        <v>2001</v>
      </c>
      <c r="B25" s="10">
        <f t="shared" si="9"/>
        <v>4434.5120000000006</v>
      </c>
      <c r="C25" s="10">
        <f t="shared" si="10"/>
        <v>958.36099999999999</v>
      </c>
      <c r="D25" s="10">
        <f t="shared" si="0"/>
        <v>946.21400000000006</v>
      </c>
      <c r="E25" s="10">
        <f t="shared" si="1"/>
        <v>408.142</v>
      </c>
      <c r="F25" s="10">
        <f t="shared" si="2"/>
        <v>308.02100000000002</v>
      </c>
      <c r="G25" s="10">
        <f t="shared" si="3"/>
        <v>190.41900000000001</v>
      </c>
      <c r="H25" s="10">
        <f t="shared" si="4"/>
        <v>926.15</v>
      </c>
      <c r="I25" s="10">
        <f t="shared" si="5"/>
        <v>300.44499999999999</v>
      </c>
      <c r="J25" s="10">
        <f t="shared" si="6"/>
        <v>327.3</v>
      </c>
      <c r="K25" s="10">
        <f t="shared" si="7"/>
        <v>42.337000000000003</v>
      </c>
      <c r="L25" s="10">
        <f t="shared" si="8"/>
        <v>27.123000000000001</v>
      </c>
      <c r="M25" s="6"/>
      <c r="N25" s="791">
        <v>958361</v>
      </c>
      <c r="O25" s="791">
        <v>946214</v>
      </c>
      <c r="P25" s="791">
        <v>408142</v>
      </c>
      <c r="Q25" s="791">
        <v>308021</v>
      </c>
      <c r="R25" s="791">
        <v>190419</v>
      </c>
      <c r="S25" s="791">
        <v>926150</v>
      </c>
      <c r="T25" s="791">
        <v>300445</v>
      </c>
      <c r="U25" s="791">
        <v>327300</v>
      </c>
      <c r="V25" s="791">
        <v>42337</v>
      </c>
      <c r="W25" s="791">
        <v>27123</v>
      </c>
      <c r="X25" s="128"/>
    </row>
    <row r="26" spans="1:24" ht="15">
      <c r="A26" s="2">
        <v>2002</v>
      </c>
      <c r="B26" s="10">
        <f t="shared" si="9"/>
        <v>4644.3440000000001</v>
      </c>
      <c r="C26" s="10">
        <f t="shared" si="10"/>
        <v>1031.2760000000001</v>
      </c>
      <c r="D26" s="10">
        <f t="shared" si="0"/>
        <v>976.36400000000003</v>
      </c>
      <c r="E26" s="10">
        <f t="shared" si="1"/>
        <v>421.16899999999998</v>
      </c>
      <c r="F26" s="10">
        <f t="shared" si="2"/>
        <v>330.846</v>
      </c>
      <c r="G26" s="10">
        <f t="shared" si="3"/>
        <v>192.381</v>
      </c>
      <c r="H26" s="10">
        <f t="shared" si="4"/>
        <v>1013.754</v>
      </c>
      <c r="I26" s="10">
        <f t="shared" si="5"/>
        <v>303.27800000000002</v>
      </c>
      <c r="J26" s="10">
        <f t="shared" si="6"/>
        <v>306.27699999999999</v>
      </c>
      <c r="K26" s="10">
        <f t="shared" si="7"/>
        <v>40.380000000000003</v>
      </c>
      <c r="L26" s="10">
        <f t="shared" si="8"/>
        <v>28.619</v>
      </c>
      <c r="M26" s="6"/>
      <c r="N26" s="791">
        <v>1031276</v>
      </c>
      <c r="O26" s="791">
        <v>976364</v>
      </c>
      <c r="P26" s="791">
        <v>421169</v>
      </c>
      <c r="Q26" s="791">
        <v>330846</v>
      </c>
      <c r="R26" s="791">
        <v>192381</v>
      </c>
      <c r="S26" s="791">
        <v>1013754</v>
      </c>
      <c r="T26" s="791">
        <v>303278</v>
      </c>
      <c r="U26" s="791">
        <v>306277</v>
      </c>
      <c r="V26" s="791">
        <v>40380</v>
      </c>
      <c r="W26" s="791">
        <v>28619</v>
      </c>
      <c r="X26" s="128"/>
    </row>
    <row r="27" spans="1:24" ht="15">
      <c r="A27" s="2">
        <v>2003</v>
      </c>
      <c r="B27" s="10">
        <f t="shared" si="9"/>
        <v>4930.0569999999998</v>
      </c>
      <c r="C27" s="10">
        <f t="shared" si="10"/>
        <v>1122.5150000000001</v>
      </c>
      <c r="D27" s="10">
        <f t="shared" si="0"/>
        <v>1015.034</v>
      </c>
      <c r="E27" s="10">
        <f t="shared" si="1"/>
        <v>401.78300000000002</v>
      </c>
      <c r="F27" s="10">
        <f t="shared" si="2"/>
        <v>345.08800000000002</v>
      </c>
      <c r="G27" s="10">
        <f t="shared" si="3"/>
        <v>187.661</v>
      </c>
      <c r="H27" s="10">
        <f t="shared" si="4"/>
        <v>1095.4190000000001</v>
      </c>
      <c r="I27" s="10">
        <f t="shared" si="5"/>
        <v>297.47399999999999</v>
      </c>
      <c r="J27" s="10">
        <f t="shared" si="6"/>
        <v>389.89400000000001</v>
      </c>
      <c r="K27" s="10">
        <f t="shared" si="7"/>
        <v>49.82</v>
      </c>
      <c r="L27" s="10">
        <f t="shared" si="8"/>
        <v>25.369</v>
      </c>
      <c r="M27" s="6"/>
      <c r="N27" s="791">
        <v>1122515</v>
      </c>
      <c r="O27" s="791">
        <v>1015034</v>
      </c>
      <c r="P27" s="791">
        <v>401783</v>
      </c>
      <c r="Q27" s="791">
        <v>345088</v>
      </c>
      <c r="R27" s="791">
        <v>187661</v>
      </c>
      <c r="S27" s="791">
        <v>1095419</v>
      </c>
      <c r="T27" s="791">
        <v>297474</v>
      </c>
      <c r="U27" s="791">
        <v>389894</v>
      </c>
      <c r="V27" s="791">
        <v>49820</v>
      </c>
      <c r="W27" s="791">
        <v>25369</v>
      </c>
      <c r="X27" s="128"/>
    </row>
    <row r="28" spans="1:24" ht="15">
      <c r="A28" s="2">
        <v>2004</v>
      </c>
      <c r="B28" s="10">
        <f t="shared" si="9"/>
        <v>5362.552999999999</v>
      </c>
      <c r="C28" s="10">
        <f t="shared" si="10"/>
        <v>1215.645</v>
      </c>
      <c r="D28" s="10">
        <f t="shared" si="0"/>
        <v>1087.921</v>
      </c>
      <c r="E28" s="10">
        <f t="shared" si="1"/>
        <v>399.822</v>
      </c>
      <c r="F28" s="10">
        <f t="shared" si="2"/>
        <v>359.267</v>
      </c>
      <c r="G28" s="10">
        <f t="shared" si="3"/>
        <v>194.12899999999999</v>
      </c>
      <c r="H28" s="10">
        <f t="shared" si="4"/>
        <v>1227.819</v>
      </c>
      <c r="I28" s="10">
        <f t="shared" si="5"/>
        <v>311.77100000000002</v>
      </c>
      <c r="J28" s="10">
        <f t="shared" si="6"/>
        <v>452.60899999999998</v>
      </c>
      <c r="K28" s="10">
        <f t="shared" si="7"/>
        <v>75.575999999999993</v>
      </c>
      <c r="L28" s="10">
        <f t="shared" si="8"/>
        <v>37.994</v>
      </c>
      <c r="M28" s="6"/>
      <c r="N28" s="791">
        <v>1215645</v>
      </c>
      <c r="O28" s="791">
        <v>1087921</v>
      </c>
      <c r="P28" s="791">
        <v>399822</v>
      </c>
      <c r="Q28" s="791">
        <v>359267</v>
      </c>
      <c r="R28" s="791">
        <v>194129</v>
      </c>
      <c r="S28" s="791">
        <v>1227819</v>
      </c>
      <c r="T28" s="791">
        <v>311771</v>
      </c>
      <c r="U28" s="791">
        <v>452609</v>
      </c>
      <c r="V28" s="791">
        <v>75576</v>
      </c>
      <c r="W28" s="791">
        <v>37994</v>
      </c>
      <c r="X28" s="128"/>
    </row>
    <row r="29" spans="1:24" ht="15">
      <c r="A29" s="2">
        <v>2005</v>
      </c>
      <c r="B29" s="10">
        <f t="shared" si="9"/>
        <v>5912.5130000000008</v>
      </c>
      <c r="C29" s="10">
        <f t="shared" si="10"/>
        <v>1314.73</v>
      </c>
      <c r="D29" s="10">
        <f t="shared" si="0"/>
        <v>1153.5229999999999</v>
      </c>
      <c r="E29" s="10">
        <f t="shared" si="1"/>
        <v>407.036</v>
      </c>
      <c r="F29" s="10">
        <f t="shared" si="2"/>
        <v>374.60599999999999</v>
      </c>
      <c r="G29" s="10">
        <f t="shared" si="3"/>
        <v>205.226</v>
      </c>
      <c r="H29" s="10">
        <f t="shared" si="4"/>
        <v>1358.9680000000001</v>
      </c>
      <c r="I29" s="10">
        <f t="shared" si="5"/>
        <v>290.51100000000002</v>
      </c>
      <c r="J29" s="10">
        <f t="shared" si="6"/>
        <v>659.61699999999996</v>
      </c>
      <c r="K29" s="10">
        <f t="shared" si="7"/>
        <v>104.631</v>
      </c>
      <c r="L29" s="10">
        <f t="shared" si="8"/>
        <v>43.664999999999999</v>
      </c>
      <c r="M29" s="6"/>
      <c r="N29" s="791">
        <v>1314730</v>
      </c>
      <c r="O29" s="791">
        <v>1153523</v>
      </c>
      <c r="P29" s="791">
        <v>407036</v>
      </c>
      <c r="Q29" s="791">
        <v>374606</v>
      </c>
      <c r="R29" s="791">
        <v>205226</v>
      </c>
      <c r="S29" s="791">
        <v>1358968</v>
      </c>
      <c r="T29" s="791">
        <v>290511</v>
      </c>
      <c r="U29" s="791">
        <v>659617</v>
      </c>
      <c r="V29" s="791">
        <v>104631</v>
      </c>
      <c r="W29" s="791">
        <v>43665</v>
      </c>
      <c r="X29" s="128"/>
    </row>
    <row r="30" spans="1:24" ht="15">
      <c r="A30" s="2">
        <v>2006</v>
      </c>
      <c r="B30" s="10">
        <f>SUM(C30:L30)</f>
        <v>6418.7880000000005</v>
      </c>
      <c r="C30" s="10">
        <f t="shared" ref="C30:L30" si="11">N30/1000</f>
        <v>1468.232</v>
      </c>
      <c r="D30" s="10">
        <f t="shared" si="11"/>
        <v>1207.5519999999999</v>
      </c>
      <c r="E30" s="10">
        <f t="shared" si="11"/>
        <v>419.017</v>
      </c>
      <c r="F30" s="10">
        <f t="shared" si="11"/>
        <v>386.85199999999998</v>
      </c>
      <c r="G30" s="10">
        <f t="shared" si="11"/>
        <v>216.17400000000001</v>
      </c>
      <c r="H30" s="10">
        <f t="shared" si="11"/>
        <v>1506.8689999999999</v>
      </c>
      <c r="I30" s="10">
        <f t="shared" si="11"/>
        <v>275.46199999999999</v>
      </c>
      <c r="J30" s="10">
        <f t="shared" si="11"/>
        <v>734.55899999999997</v>
      </c>
      <c r="K30" s="10">
        <f t="shared" si="11"/>
        <v>164.67599999999999</v>
      </c>
      <c r="L30" s="10">
        <f t="shared" si="11"/>
        <v>39.395000000000003</v>
      </c>
      <c r="M30" s="6"/>
      <c r="N30" s="791">
        <v>1468232</v>
      </c>
      <c r="O30" s="791">
        <v>1207552</v>
      </c>
      <c r="P30" s="791">
        <v>419017</v>
      </c>
      <c r="Q30" s="791">
        <v>386852</v>
      </c>
      <c r="R30" s="791">
        <v>216174</v>
      </c>
      <c r="S30" s="791">
        <v>1506869</v>
      </c>
      <c r="T30" s="791">
        <v>275462</v>
      </c>
      <c r="U30" s="791">
        <v>734559</v>
      </c>
      <c r="V30" s="791">
        <v>164676</v>
      </c>
      <c r="W30" s="791">
        <v>39395</v>
      </c>
      <c r="X30" s="128"/>
    </row>
    <row r="31" spans="1:24" ht="15">
      <c r="A31" s="2">
        <v>2007</v>
      </c>
      <c r="B31" s="10">
        <f>SUM(C31:L31)</f>
        <v>6903.826</v>
      </c>
      <c r="C31" s="10">
        <f t="shared" ref="C31:L31" si="12">N31/1000</f>
        <v>1589.0409999999999</v>
      </c>
      <c r="D31" s="10">
        <f t="shared" si="12"/>
        <v>1324.0909999999999</v>
      </c>
      <c r="E31" s="10">
        <f t="shared" si="12"/>
        <v>421.24900000000002</v>
      </c>
      <c r="F31" s="10">
        <f t="shared" si="12"/>
        <v>398.226</v>
      </c>
      <c r="G31" s="10">
        <f t="shared" si="12"/>
        <v>223.86199999999999</v>
      </c>
      <c r="H31" s="10">
        <f t="shared" si="12"/>
        <v>1675.87</v>
      </c>
      <c r="I31" s="10">
        <f t="shared" si="12"/>
        <v>263.459</v>
      </c>
      <c r="J31" s="10">
        <f t="shared" si="12"/>
        <v>735.03</v>
      </c>
      <c r="K31" s="10">
        <f t="shared" si="12"/>
        <v>217.88</v>
      </c>
      <c r="L31" s="10">
        <f t="shared" si="12"/>
        <v>55.118000000000002</v>
      </c>
      <c r="M31" s="6"/>
      <c r="N31" s="791">
        <v>1589041</v>
      </c>
      <c r="O31" s="791">
        <v>1324091</v>
      </c>
      <c r="P31" s="791">
        <v>421249</v>
      </c>
      <c r="Q31" s="791">
        <v>398226</v>
      </c>
      <c r="R31" s="791">
        <v>223862</v>
      </c>
      <c r="S31" s="791">
        <v>1675870</v>
      </c>
      <c r="T31" s="791">
        <v>263459</v>
      </c>
      <c r="U31" s="791">
        <v>735030</v>
      </c>
      <c r="V31" s="791">
        <v>217880</v>
      </c>
      <c r="W31" s="791">
        <v>55118</v>
      </c>
      <c r="X31" s="128"/>
    </row>
    <row r="32" spans="1:24" ht="15">
      <c r="A32" s="2">
        <v>2008</v>
      </c>
      <c r="B32" s="10">
        <f>SUM(C32:L32)</f>
        <v>7779.3550000000005</v>
      </c>
      <c r="C32" s="10">
        <f t="shared" ref="C32:L32" si="13">N32/1000</f>
        <v>1676.0840000000001</v>
      </c>
      <c r="D32" s="10">
        <f t="shared" si="13"/>
        <v>1473.3610000000001</v>
      </c>
      <c r="E32" s="10">
        <f t="shared" si="13"/>
        <v>483.75700000000001</v>
      </c>
      <c r="F32" s="10">
        <f t="shared" si="13"/>
        <v>399.96899999999999</v>
      </c>
      <c r="G32" s="10">
        <f t="shared" si="13"/>
        <v>238.898</v>
      </c>
      <c r="H32" s="10">
        <f t="shared" si="13"/>
        <v>1800.566</v>
      </c>
      <c r="I32" s="10">
        <f t="shared" si="13"/>
        <v>257.26600000000002</v>
      </c>
      <c r="J32" s="10">
        <f t="shared" si="13"/>
        <v>1123.635</v>
      </c>
      <c r="K32" s="10">
        <f t="shared" si="13"/>
        <v>138.31899999999999</v>
      </c>
      <c r="L32" s="10">
        <f t="shared" si="13"/>
        <v>187.5</v>
      </c>
      <c r="M32" s="6"/>
      <c r="N32" s="791">
        <v>1676084</v>
      </c>
      <c r="O32" s="791">
        <v>1473361</v>
      </c>
      <c r="P32" s="791">
        <v>483757</v>
      </c>
      <c r="Q32" s="791">
        <v>399969</v>
      </c>
      <c r="R32" s="791">
        <v>238898</v>
      </c>
      <c r="S32" s="791">
        <v>1800566</v>
      </c>
      <c r="T32" s="791">
        <v>257266</v>
      </c>
      <c r="U32" s="791">
        <v>1123635</v>
      </c>
      <c r="V32" s="791">
        <v>138319</v>
      </c>
      <c r="W32" s="791">
        <v>187500</v>
      </c>
      <c r="X32" s="128"/>
    </row>
    <row r="33" spans="1:24" s="114" customFormat="1">
      <c r="A33" s="738"/>
      <c r="B33" s="23"/>
      <c r="C33" s="644"/>
      <c r="D33" s="644"/>
      <c r="E33" s="644"/>
      <c r="F33" s="644" t="s">
        <v>802</v>
      </c>
      <c r="G33" s="644"/>
      <c r="I33" s="644"/>
      <c r="N33" s="249"/>
      <c r="O33" s="249"/>
      <c r="U33" s="249"/>
      <c r="X33" s="249"/>
    </row>
    <row r="34" spans="1:24" s="114" customFormat="1">
      <c r="A34" s="431" t="s">
        <v>603</v>
      </c>
      <c r="B34" s="23">
        <f>((((B13/B5))^(1/8))-1)*100</f>
        <v>5.6247149989828049</v>
      </c>
      <c r="C34" s="23">
        <f t="shared" ref="C34:L34" si="14">((((C13/C5))^(1/8))-1)*100</f>
        <v>8.8824194505597198</v>
      </c>
      <c r="D34" s="23">
        <f t="shared" si="14"/>
        <v>5.6062849225338329</v>
      </c>
      <c r="E34" s="23">
        <f t="shared" si="14"/>
        <v>7.5965770518273024</v>
      </c>
      <c r="F34" s="23">
        <f t="shared" si="14"/>
        <v>7.9257371263064647</v>
      </c>
      <c r="G34" s="23">
        <f t="shared" si="14"/>
        <v>3.7964297195242747</v>
      </c>
      <c r="H34" s="23">
        <f t="shared" si="14"/>
        <v>6.7363016179729174</v>
      </c>
      <c r="I34" s="23">
        <f t="shared" si="14"/>
        <v>7.8449231964286437</v>
      </c>
      <c r="J34" s="23">
        <f t="shared" si="14"/>
        <v>-7.9419711525517638</v>
      </c>
      <c r="K34" s="23">
        <f t="shared" si="14"/>
        <v>3.5966699940375602</v>
      </c>
      <c r="L34" s="23">
        <f t="shared" si="14"/>
        <v>0.12600218428671095</v>
      </c>
      <c r="N34" s="249"/>
      <c r="O34" s="249"/>
      <c r="U34" s="249"/>
      <c r="X34" s="249"/>
    </row>
    <row r="35" spans="1:24" s="114" customFormat="1">
      <c r="A35" s="431" t="s">
        <v>114</v>
      </c>
      <c r="B35" s="23">
        <f>((((B13/B8))^(1/5))-1)*100</f>
        <v>5.983176820532643</v>
      </c>
      <c r="C35" s="23">
        <f t="shared" ref="C35:L35" si="15">((((C13/C8))^(1/5))-1)*100</f>
        <v>10.204701500112034</v>
      </c>
      <c r="D35" s="23">
        <f t="shared" si="15"/>
        <v>5.5228452096300895</v>
      </c>
      <c r="E35" s="23">
        <f t="shared" si="15"/>
        <v>6.5024733842615312</v>
      </c>
      <c r="F35" s="23">
        <f t="shared" si="15"/>
        <v>9.9401916873793184</v>
      </c>
      <c r="G35" s="23">
        <f t="shared" si="15"/>
        <v>5.9377299580494869</v>
      </c>
      <c r="H35" s="23">
        <f t="shared" si="15"/>
        <v>8.7138252330320363</v>
      </c>
      <c r="I35" s="23">
        <f t="shared" si="15"/>
        <v>16.651040680567487</v>
      </c>
      <c r="J35" s="23">
        <f t="shared" si="15"/>
        <v>-17.996241865450212</v>
      </c>
      <c r="K35" s="23">
        <f t="shared" si="15"/>
        <v>12.751079962377808</v>
      </c>
      <c r="L35" s="23">
        <f t="shared" si="15"/>
        <v>4.4562966919887037</v>
      </c>
      <c r="X35" s="249"/>
    </row>
    <row r="36" spans="1:24" s="114" customFormat="1">
      <c r="A36" s="431" t="s">
        <v>604</v>
      </c>
      <c r="B36" s="23">
        <f>((((B25/B14))^(1/11))-1)*100</f>
        <v>4.2202413556523988</v>
      </c>
      <c r="C36" s="23">
        <f t="shared" ref="C36:L36" si="16">((((C25/C14))^(1/11))-1)*100</f>
        <v>4.3371065647748841</v>
      </c>
      <c r="D36" s="23">
        <f t="shared" si="16"/>
        <v>2.8132332578380215</v>
      </c>
      <c r="E36" s="23">
        <f t="shared" si="16"/>
        <v>4.5618123475206884</v>
      </c>
      <c r="F36" s="23">
        <f t="shared" si="16"/>
        <v>3.6471105408605764</v>
      </c>
      <c r="G36" s="23">
        <f t="shared" si="16"/>
        <v>3.442671489607485</v>
      </c>
      <c r="H36" s="23">
        <f t="shared" si="16"/>
        <v>5.0827241924222388</v>
      </c>
      <c r="I36" s="23">
        <f t="shared" si="16"/>
        <v>5.2044547714050093</v>
      </c>
      <c r="J36" s="23">
        <f t="shared" si="16"/>
        <v>8.170044226896378</v>
      </c>
      <c r="K36" s="23">
        <f t="shared" si="16"/>
        <v>-3.8597062198294507</v>
      </c>
      <c r="L36" s="23">
        <f t="shared" si="16"/>
        <v>5.2852458026062088</v>
      </c>
    </row>
    <row r="37" spans="1:24" s="114" customFormat="1">
      <c r="A37" s="431" t="s">
        <v>1408</v>
      </c>
      <c r="B37" s="23">
        <f>((((B32/B5))^(1/27))-1)*100</f>
        <v>5.6985385837367453</v>
      </c>
      <c r="C37" s="23">
        <f t="shared" ref="C37:L37" si="17">((((C32/C5))^(1/27))-1)*100</f>
        <v>6.7275544480437599</v>
      </c>
      <c r="D37" s="23">
        <f t="shared" si="17"/>
        <v>4.6995890600817436</v>
      </c>
      <c r="E37" s="23">
        <f t="shared" si="17"/>
        <v>4.942443907196381</v>
      </c>
      <c r="F37" s="23">
        <f t="shared" si="17"/>
        <v>4.9306947298295656</v>
      </c>
      <c r="G37" s="23">
        <f t="shared" si="17"/>
        <v>3.3261775151840922</v>
      </c>
      <c r="H37" s="23">
        <f t="shared" si="17"/>
        <v>6.7060243591784863</v>
      </c>
      <c r="I37" s="23">
        <f t="shared" si="17"/>
        <v>4.0081730382377723</v>
      </c>
      <c r="J37" s="23">
        <f t="shared" si="17"/>
        <v>6.547894302756796</v>
      </c>
      <c r="K37" s="23">
        <f t="shared" si="17"/>
        <v>2.7934939899570299</v>
      </c>
      <c r="L37" s="23">
        <f t="shared" si="17"/>
        <v>9.094774598816624</v>
      </c>
    </row>
    <row r="38" spans="1:24" s="114" customFormat="1">
      <c r="A38" s="431" t="s">
        <v>1410</v>
      </c>
      <c r="B38" s="23">
        <f>((((B32/B24))^(1/8))-1)*100</f>
        <v>7.6240113014463429</v>
      </c>
      <c r="C38" s="23">
        <f t="shared" ref="C38:L38" si="18">((((C32/C24))^(1/8))-1)*100</f>
        <v>7.9925784558066315</v>
      </c>
      <c r="D38" s="23">
        <f t="shared" si="18"/>
        <v>6.0628467773484296</v>
      </c>
      <c r="E38" s="23">
        <f t="shared" si="18"/>
        <v>2.8050887653229717</v>
      </c>
      <c r="F38" s="23">
        <f t="shared" si="18"/>
        <v>3.9881929919349801</v>
      </c>
      <c r="G38" s="23">
        <f t="shared" si="18"/>
        <v>2.5852479807582096</v>
      </c>
      <c r="H38" s="23">
        <f t="shared" si="18"/>
        <v>9.6246867817573634</v>
      </c>
      <c r="I38" s="23">
        <f t="shared" si="18"/>
        <v>-1.5609228116313156</v>
      </c>
      <c r="J38" s="23">
        <f t="shared" si="18"/>
        <v>14.66571279564084</v>
      </c>
      <c r="K38" s="23">
        <f t="shared" si="18"/>
        <v>10.687584527758087</v>
      </c>
      <c r="L38" s="23">
        <f t="shared" si="18"/>
        <v>26.614460681740781</v>
      </c>
    </row>
    <row r="39" spans="1:24" s="114" customFormat="1">
      <c r="A39" s="431"/>
      <c r="B39" s="23"/>
      <c r="C39" s="23"/>
      <c r="D39" s="23"/>
      <c r="E39" s="644"/>
      <c r="F39" s="644" t="s">
        <v>276</v>
      </c>
      <c r="G39" s="644"/>
      <c r="H39" s="644"/>
      <c r="I39" s="644"/>
      <c r="J39" s="644"/>
      <c r="K39" s="644"/>
      <c r="L39" s="644"/>
    </row>
    <row r="40" spans="1:24" s="114" customFormat="1">
      <c r="A40" s="431" t="s">
        <v>819</v>
      </c>
      <c r="B40" s="10">
        <f t="shared" ref="B40:L40" si="19">(B30/B5-1)*100</f>
        <v>268.44441178969214</v>
      </c>
      <c r="C40" s="10">
        <f t="shared" si="19"/>
        <v>408.11963149843916</v>
      </c>
      <c r="D40" s="10">
        <f t="shared" si="19"/>
        <v>183.21161035513089</v>
      </c>
      <c r="E40" s="10">
        <f t="shared" si="19"/>
        <v>218.62956823262815</v>
      </c>
      <c r="F40" s="10">
        <f t="shared" si="19"/>
        <v>254.72134093784953</v>
      </c>
      <c r="G40" s="10">
        <f t="shared" si="19"/>
        <v>118.91259658325657</v>
      </c>
      <c r="H40" s="10">
        <f t="shared" si="19"/>
        <v>382.80061516772935</v>
      </c>
      <c r="I40" s="10">
        <f t="shared" si="19"/>
        <v>209.3861964396024</v>
      </c>
      <c r="J40" s="10">
        <f t="shared" si="19"/>
        <v>262.3372203149047</v>
      </c>
      <c r="K40" s="10">
        <f t="shared" si="19"/>
        <v>150.50732464213459</v>
      </c>
      <c r="L40" s="10">
        <f t="shared" si="19"/>
        <v>120.36695194943228</v>
      </c>
    </row>
    <row r="41" spans="1:24" s="114" customFormat="1">
      <c r="A41" s="431" t="s">
        <v>447</v>
      </c>
      <c r="B41" s="10">
        <f t="shared" ref="B41:L41" si="20">(B31/B5-1)*100</f>
        <v>296.28604491508099</v>
      </c>
      <c r="C41" s="10">
        <f t="shared" si="20"/>
        <v>449.92870837572758</v>
      </c>
      <c r="D41" s="10">
        <f t="shared" si="20"/>
        <v>210.54393050298091</v>
      </c>
      <c r="E41" s="10">
        <f t="shared" si="20"/>
        <v>220.32682919410522</v>
      </c>
      <c r="F41" s="10">
        <f t="shared" si="20"/>
        <v>265.15065378055709</v>
      </c>
      <c r="G41" s="10">
        <f t="shared" si="20"/>
        <v>126.69799187839877</v>
      </c>
      <c r="H41" s="10">
        <f t="shared" si="20"/>
        <v>436.94851174265477</v>
      </c>
      <c r="I41" s="10">
        <f t="shared" si="20"/>
        <v>195.90498118717358</v>
      </c>
      <c r="J41" s="10">
        <f t="shared" si="20"/>
        <v>262.56955131999524</v>
      </c>
      <c r="K41" s="10">
        <f t="shared" si="20"/>
        <v>231.4419581057852</v>
      </c>
      <c r="L41" s="10">
        <f t="shared" si="20"/>
        <v>208.31795043911171</v>
      </c>
    </row>
    <row r="42" spans="1:24" s="114" customFormat="1">
      <c r="A42" s="431" t="s">
        <v>1408</v>
      </c>
      <c r="B42" s="10">
        <f>(B32/B5-1)*100</f>
        <v>346.54222527340056</v>
      </c>
      <c r="C42" s="10">
        <f t="shared" ref="C42:L42" si="21">(C32/C5-1)*100</f>
        <v>480.05218823757411</v>
      </c>
      <c r="D42" s="10">
        <f t="shared" si="21"/>
        <v>245.5527724225922</v>
      </c>
      <c r="E42" s="10">
        <f t="shared" si="21"/>
        <v>267.85926117439504</v>
      </c>
      <c r="F42" s="10">
        <f t="shared" si="21"/>
        <v>266.74888591391732</v>
      </c>
      <c r="G42" s="10">
        <f t="shared" si="21"/>
        <v>141.92447518455884</v>
      </c>
      <c r="H42" s="10">
        <f t="shared" si="21"/>
        <v>476.90109256351923</v>
      </c>
      <c r="I42" s="10">
        <f t="shared" si="21"/>
        <v>188.94928960521145</v>
      </c>
      <c r="J42" s="10">
        <f t="shared" si="21"/>
        <v>454.2574286729016</v>
      </c>
      <c r="K42" s="10">
        <f t="shared" si="21"/>
        <v>110.4127051736465</v>
      </c>
      <c r="L42" s="10">
        <f t="shared" si="21"/>
        <v>948.8336969290151</v>
      </c>
    </row>
    <row r="43" spans="1:24" ht="26.25" customHeight="1">
      <c r="A43" s="1170" t="s">
        <v>257</v>
      </c>
      <c r="B43" s="1170"/>
      <c r="C43" s="1170"/>
      <c r="D43" s="1170"/>
      <c r="E43" s="1170"/>
      <c r="F43" s="1170"/>
      <c r="G43" s="1170"/>
      <c r="H43" s="1170"/>
      <c r="I43" s="1170"/>
      <c r="J43" s="1170"/>
      <c r="K43" s="1170"/>
      <c r="L43" s="1170"/>
    </row>
    <row r="44" spans="1:24" ht="12.75" customHeight="1">
      <c r="A44" s="13" t="s">
        <v>388</v>
      </c>
      <c r="B44" s="643"/>
      <c r="C44" s="643"/>
      <c r="D44" s="643"/>
      <c r="E44" s="643"/>
      <c r="F44" s="643"/>
      <c r="G44" s="643"/>
      <c r="H44" s="643"/>
      <c r="I44" s="643"/>
      <c r="J44" s="643"/>
      <c r="K44" s="643"/>
      <c r="L44" s="643"/>
    </row>
    <row r="45" spans="1:24" ht="15.75">
      <c r="A45" s="8" t="s">
        <v>115</v>
      </c>
    </row>
    <row r="46" spans="1:24" ht="15.75">
      <c r="A46" s="8" t="s">
        <v>116</v>
      </c>
    </row>
    <row r="47" spans="1:24" ht="15.75">
      <c r="A47" s="8" t="s">
        <v>117</v>
      </c>
      <c r="H47" s="9"/>
    </row>
    <row r="48" spans="1:24">
      <c r="A48" s="1" t="s">
        <v>1026</v>
      </c>
    </row>
    <row r="49" spans="1:1">
      <c r="A49" s="4" t="s">
        <v>1664</v>
      </c>
    </row>
  </sheetData>
  <mergeCells count="1">
    <mergeCell ref="A43:L43"/>
  </mergeCells>
  <phoneticPr fontId="35" type="noConversion"/>
  <pageMargins left="0.75" right="0.75" top="1" bottom="1" header="0.5" footer="0.5"/>
  <pageSetup scale="61" orientation="landscape" horizontalDpi="300" verticalDpi="300" r:id="rId1"/>
  <headerFooter alignWithMargins="0"/>
</worksheet>
</file>

<file path=xl/worksheets/sheet58.xml><?xml version="1.0" encoding="utf-8"?>
<worksheet xmlns="http://schemas.openxmlformats.org/spreadsheetml/2006/main" xmlns:r="http://schemas.openxmlformats.org/officeDocument/2006/relationships">
  <sheetPr codeName="Sheet631">
    <pageSetUpPr fitToPage="1"/>
  </sheetPr>
  <dimension ref="A1:W46"/>
  <sheetViews>
    <sheetView view="pageBreakPreview" zoomScale="70" zoomScaleSheetLayoutView="7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20.5703125" style="1" customWidth="1"/>
    <col min="3" max="12" width="12.85546875" style="1" customWidth="1"/>
    <col min="13" max="13" width="11.5703125" style="1" bestFit="1" customWidth="1"/>
    <col min="14" max="14" width="11.140625" style="4" bestFit="1" customWidth="1"/>
    <col min="15" max="15" width="11.140625" style="1" bestFit="1" customWidth="1"/>
    <col min="16" max="17" width="10.42578125" style="1" bestFit="1" customWidth="1"/>
    <col min="18" max="18" width="9.85546875" style="1" bestFit="1" customWidth="1"/>
    <col min="19" max="19" width="10.85546875" style="1" bestFit="1" customWidth="1"/>
    <col min="20" max="20" width="10.140625" style="1" bestFit="1" customWidth="1"/>
    <col min="21" max="21" width="10.42578125" style="1" bestFit="1" customWidth="1"/>
    <col min="22" max="23" width="9.42578125" style="1" bestFit="1" customWidth="1"/>
    <col min="24" max="16384" width="8.85546875" style="1"/>
  </cols>
  <sheetData>
    <row r="1" spans="1:23" ht="15.75">
      <c r="A1" s="4"/>
      <c r="B1" s="3" t="s">
        <v>2142</v>
      </c>
      <c r="C1" s="4"/>
      <c r="D1" s="4"/>
      <c r="E1" s="4"/>
      <c r="F1" s="4"/>
      <c r="G1" s="4"/>
    </row>
    <row r="2" spans="1:23" ht="15.75">
      <c r="A2" s="4"/>
      <c r="B2" s="3"/>
      <c r="C2" s="4"/>
      <c r="D2" s="4"/>
      <c r="E2" s="4"/>
      <c r="F2" s="4"/>
      <c r="G2" s="4"/>
    </row>
    <row r="3" spans="1:23" ht="48" customHeight="1">
      <c r="A3" s="7"/>
      <c r="B3" s="970" t="s">
        <v>1024</v>
      </c>
      <c r="C3" s="968" t="s">
        <v>731</v>
      </c>
      <c r="D3" s="968" t="s">
        <v>732</v>
      </c>
      <c r="E3" s="968" t="s">
        <v>733</v>
      </c>
      <c r="F3" s="968" t="s">
        <v>734</v>
      </c>
      <c r="G3" s="968" t="s">
        <v>735</v>
      </c>
      <c r="H3" s="968" t="s">
        <v>736</v>
      </c>
      <c r="I3" s="968" t="s">
        <v>737</v>
      </c>
      <c r="J3" s="968" t="s">
        <v>256</v>
      </c>
      <c r="K3" s="968" t="s">
        <v>1192</v>
      </c>
      <c r="L3" s="968" t="s">
        <v>1193</v>
      </c>
    </row>
    <row r="4" spans="1:23">
      <c r="A4" s="2">
        <v>1981</v>
      </c>
      <c r="B4" s="10">
        <f>'13c'!B5/'4'!$B5*100</f>
        <v>3519.458585858587</v>
      </c>
      <c r="C4" s="10">
        <f>'13c'!C5/'4'!$B5*100</f>
        <v>583.74545454545455</v>
      </c>
      <c r="D4" s="10">
        <f>'13c'!D5/'4'!$B5*100</f>
        <v>861.36969696969686</v>
      </c>
      <c r="E4" s="10">
        <f>'13c'!E5/'4'!$B5*100</f>
        <v>265.6686868686869</v>
      </c>
      <c r="F4" s="10">
        <f>'13c'!F5/'4'!$B5*100</f>
        <v>220.31919191919195</v>
      </c>
      <c r="G4" s="10">
        <f>'13c'!G5/'4'!$B5*100</f>
        <v>199.49292929292929</v>
      </c>
      <c r="H4" s="10">
        <f>'13c'!H5/'4'!$B5*100</f>
        <v>630.52525252525254</v>
      </c>
      <c r="I4" s="10">
        <f>'13c'!I5/'4'!$B5*100</f>
        <v>179.86868686868686</v>
      </c>
      <c r="J4" s="10">
        <f>'13c'!J5/'4'!$B5*100</f>
        <v>409.5515151515151</v>
      </c>
      <c r="K4" s="10">
        <f>'13c'!K5/'4'!$B5*100</f>
        <v>132.80202020202017</v>
      </c>
      <c r="L4" s="10">
        <f>'13c'!L5/'4'!$B5*100</f>
        <v>36.11515151515151</v>
      </c>
      <c r="M4" s="6"/>
      <c r="N4" s="25"/>
      <c r="O4" s="6"/>
      <c r="P4" s="6"/>
      <c r="Q4" s="6"/>
      <c r="R4" s="6"/>
      <c r="S4" s="6"/>
      <c r="T4" s="6"/>
      <c r="U4" s="6"/>
      <c r="V4" s="6"/>
      <c r="W4" s="6"/>
    </row>
    <row r="5" spans="1:23">
      <c r="A5" s="2">
        <v>1982</v>
      </c>
      <c r="B5" s="10">
        <f>'13c'!B6/'4'!$B6*100</f>
        <v>3320.2185792349724</v>
      </c>
      <c r="C5" s="10">
        <f>'13c'!C6/'4'!$B6*100</f>
        <v>562.33515482695816</v>
      </c>
      <c r="D5" s="10">
        <f>'13c'!D6/'4'!$B6*100</f>
        <v>859.50819672131149</v>
      </c>
      <c r="E5" s="10">
        <f>'13c'!E6/'4'!$B6*100</f>
        <v>273.65938069216759</v>
      </c>
      <c r="F5" s="10">
        <f>'13c'!F6/'4'!$B6*100</f>
        <v>203.87978142076503</v>
      </c>
      <c r="G5" s="10">
        <f>'13c'!G6/'4'!$B6*100</f>
        <v>165.49908925318761</v>
      </c>
      <c r="H5" s="10">
        <f>'13c'!H6/'4'!$B6*100</f>
        <v>581.93989071038254</v>
      </c>
      <c r="I5" s="10">
        <f>'13c'!I6/'4'!$B6*100</f>
        <v>155.73224043715848</v>
      </c>
      <c r="J5" s="10">
        <f>'13c'!J6/'4'!$B6*100</f>
        <v>419.06010928961751</v>
      </c>
      <c r="K5" s="10">
        <f>'13c'!K6/'4'!$B6*100</f>
        <v>83.885245901639337</v>
      </c>
      <c r="L5" s="10">
        <f>'13c'!L6/'4'!$B6*100</f>
        <v>14.719489981785063</v>
      </c>
      <c r="M5" s="6"/>
      <c r="N5" s="25"/>
      <c r="O5" s="6"/>
      <c r="P5" s="6"/>
      <c r="Q5" s="6"/>
      <c r="R5" s="6"/>
      <c r="S5" s="6"/>
      <c r="T5" s="6"/>
      <c r="U5" s="6"/>
      <c r="V5" s="6"/>
      <c r="W5" s="6"/>
    </row>
    <row r="6" spans="1:23">
      <c r="A6" s="2">
        <v>1983</v>
      </c>
      <c r="B6" s="10">
        <f>'13c'!B7/'4'!$B7*100</f>
        <v>3328.5370051635114</v>
      </c>
      <c r="C6" s="10">
        <f>'13c'!C7/'4'!$B7*100</f>
        <v>568.90533562822714</v>
      </c>
      <c r="D6" s="10">
        <f>'13c'!D7/'4'!$B7*100</f>
        <v>832.72633390705676</v>
      </c>
      <c r="E6" s="10">
        <f>'13c'!E7/'4'!$B7*100</f>
        <v>277.46127366609295</v>
      </c>
      <c r="F6" s="10">
        <f>'13c'!F7/'4'!$B7*100</f>
        <v>202.67641996557657</v>
      </c>
      <c r="G6" s="10">
        <f>'13c'!G7/'4'!$B7*100</f>
        <v>157.96901893287435</v>
      </c>
      <c r="H6" s="10">
        <f>'13c'!H7/'4'!$B7*100</f>
        <v>569.36316695352843</v>
      </c>
      <c r="I6" s="10">
        <f>'13c'!I7/'4'!$B7*100</f>
        <v>140.07401032702236</v>
      </c>
      <c r="J6" s="10">
        <f>'13c'!J7/'4'!$B7*100</f>
        <v>486.2134251290878</v>
      </c>
      <c r="K6" s="10">
        <f>'13c'!K7/'4'!$B7*100</f>
        <v>80.810671256454398</v>
      </c>
      <c r="L6" s="10">
        <f>'13c'!L7/'4'!$B7*100</f>
        <v>12.33734939759036</v>
      </c>
      <c r="M6" s="6"/>
      <c r="N6" s="25"/>
      <c r="O6" s="6"/>
      <c r="P6" s="6"/>
      <c r="Q6" s="6"/>
      <c r="R6" s="6"/>
      <c r="S6" s="6"/>
      <c r="T6" s="6"/>
      <c r="U6" s="6"/>
      <c r="V6" s="6"/>
      <c r="W6" s="6"/>
    </row>
    <row r="7" spans="1:23">
      <c r="A7" s="2">
        <v>1984</v>
      </c>
      <c r="B7" s="10">
        <f>'13c'!B8/'4'!$B8*100</f>
        <v>3330.7970297029697</v>
      </c>
      <c r="C7" s="10">
        <f>'13c'!C8/'4'!$B8*100</f>
        <v>579.45214521452147</v>
      </c>
      <c r="D7" s="10">
        <f>'13c'!D8/'4'!$B8*100</f>
        <v>831.97029702970303</v>
      </c>
      <c r="E7" s="10">
        <f>'13c'!E8/'4'!$B8*100</f>
        <v>284.486798679868</v>
      </c>
      <c r="F7" s="10">
        <f>'13c'!F8/'4'!$B8*100</f>
        <v>206.25412541254121</v>
      </c>
      <c r="G7" s="10">
        <f>'13c'!G8/'4'!$B8*100</f>
        <v>164.53795379537951</v>
      </c>
      <c r="H7" s="10">
        <f>'13c'!H8/'4'!$B8*100</f>
        <v>571.35808580858077</v>
      </c>
      <c r="I7" s="10">
        <f>'13c'!I8/'4'!$B8*100</f>
        <v>124.46369636963696</v>
      </c>
      <c r="J7" s="10">
        <f>'13c'!J8/'4'!$B8*100</f>
        <v>465.3349834983498</v>
      </c>
      <c r="K7" s="10">
        <f>'13c'!K8/'4'!$B8*100</f>
        <v>78.976897689768975</v>
      </c>
      <c r="L7" s="10">
        <f>'13c'!L8/'4'!$B8*100</f>
        <v>23.962046204620464</v>
      </c>
      <c r="M7" s="6"/>
      <c r="N7" s="25"/>
      <c r="O7" s="6"/>
      <c r="P7" s="6"/>
      <c r="Q7" s="6"/>
      <c r="R7" s="6"/>
      <c r="S7" s="6"/>
      <c r="T7" s="6"/>
      <c r="U7" s="6"/>
      <c r="V7" s="6"/>
      <c r="W7" s="6"/>
    </row>
    <row r="8" spans="1:23">
      <c r="A8" s="2">
        <v>1985</v>
      </c>
      <c r="B8" s="10">
        <f>'13c'!B9/'4'!$B9*100</f>
        <v>3308.1444444444442</v>
      </c>
      <c r="C8" s="10">
        <f>'13c'!C9/'4'!$B9*100</f>
        <v>600.66031746031751</v>
      </c>
      <c r="D8" s="10">
        <f>'13c'!D9/'4'!$B9*100</f>
        <v>840.47142857142842</v>
      </c>
      <c r="E8" s="10">
        <f>'13c'!E9/'4'!$B9*100</f>
        <v>294.75396825396825</v>
      </c>
      <c r="F8" s="10">
        <f>'13c'!F9/'4'!$B9*100</f>
        <v>215.81904761904761</v>
      </c>
      <c r="G8" s="10">
        <f>'13c'!G9/'4'!$B9*100</f>
        <v>167.11746031746034</v>
      </c>
      <c r="H8" s="10">
        <f>'13c'!H9/'4'!$B9*100</f>
        <v>558.6269841269841</v>
      </c>
      <c r="I8" s="10">
        <f>'13c'!I9/'4'!$B9*100</f>
        <v>113.66666666666667</v>
      </c>
      <c r="J8" s="10">
        <f>'13c'!J9/'4'!$B9*100</f>
        <v>432.56666666666666</v>
      </c>
      <c r="K8" s="10">
        <f>'13c'!K9/'4'!$B9*100</f>
        <v>75.17619047619047</v>
      </c>
      <c r="L8" s="10">
        <f>'13c'!L9/'4'!$B9*100</f>
        <v>9.2857142857142847</v>
      </c>
      <c r="M8" s="6"/>
      <c r="N8" s="25"/>
      <c r="O8" s="6"/>
      <c r="P8" s="6"/>
      <c r="Q8" s="6"/>
      <c r="R8" s="6"/>
      <c r="S8" s="6"/>
      <c r="T8" s="6"/>
      <c r="U8" s="6"/>
      <c r="V8" s="6"/>
      <c r="W8" s="6"/>
    </row>
    <row r="9" spans="1:23">
      <c r="A9" s="2">
        <v>1986</v>
      </c>
      <c r="B9" s="10">
        <f>'13c'!B10/'4'!$B10*100</f>
        <v>3202.6966463414637</v>
      </c>
      <c r="C9" s="10">
        <f>'13c'!C10/'4'!$B10*100</f>
        <v>644.83689024390242</v>
      </c>
      <c r="D9" s="10">
        <f>'13c'!D10/'4'!$B10*100</f>
        <v>840.54268292682934</v>
      </c>
      <c r="E9" s="10">
        <f>'13c'!E10/'4'!$B10*100</f>
        <v>299.64024390243907</v>
      </c>
      <c r="F9" s="10">
        <f>'13c'!F10/'4'!$B10*100</f>
        <v>233.88719512195127</v>
      </c>
      <c r="G9" s="10">
        <f>'13c'!G10/'4'!$B10*100</f>
        <v>168.08079268292684</v>
      </c>
      <c r="H9" s="10">
        <f>'13c'!H10/'4'!$B10*100</f>
        <v>580.08079268292693</v>
      </c>
      <c r="I9" s="10">
        <f>'13c'!I10/'4'!$B10*100</f>
        <v>122.36585365853661</v>
      </c>
      <c r="J9" s="10">
        <f>'13c'!J10/'4'!$B10*100</f>
        <v>237.57164634146343</v>
      </c>
      <c r="K9" s="10">
        <f>'13c'!K10/'4'!$B10*100</f>
        <v>68.948170731707307</v>
      </c>
      <c r="L9" s="10">
        <f>'13c'!L10/'4'!$B10*100</f>
        <v>6.7423780487804885</v>
      </c>
      <c r="M9" s="6"/>
      <c r="N9" s="25"/>
      <c r="O9" s="6"/>
      <c r="P9" s="6"/>
      <c r="Q9" s="6"/>
      <c r="R9" s="6"/>
      <c r="S9" s="6"/>
      <c r="T9" s="6"/>
      <c r="U9" s="6"/>
      <c r="V9" s="6"/>
      <c r="W9" s="6"/>
    </row>
    <row r="10" spans="1:23">
      <c r="A10" s="2">
        <v>1987</v>
      </c>
      <c r="B10" s="10">
        <f>'13c'!B11/'4'!$B11*100</f>
        <v>3336.7153284671531</v>
      </c>
      <c r="C10" s="10">
        <f>'13c'!C11/'4'!$B11*100</f>
        <v>696.93138686131397</v>
      </c>
      <c r="D10" s="10">
        <f>'13c'!D11/'4'!$B11*100</f>
        <v>841.3781021897812</v>
      </c>
      <c r="E10" s="10">
        <f>'13c'!E11/'4'!$B11*100</f>
        <v>300.68321167883209</v>
      </c>
      <c r="F10" s="10">
        <f>'13c'!F11/'4'!$B11*100</f>
        <v>243.67299270072991</v>
      </c>
      <c r="G10" s="10">
        <f>'13c'!G11/'4'!$B11*100</f>
        <v>171.78102189781021</v>
      </c>
      <c r="H10" s="10">
        <f>'13c'!H11/'4'!$B11*100</f>
        <v>614.26861313868619</v>
      </c>
      <c r="I10" s="10">
        <f>'13c'!I11/'4'!$B11*100</f>
        <v>159.05401459854014</v>
      </c>
      <c r="J10" s="10">
        <f>'13c'!J11/'4'!$B11*100</f>
        <v>212.94014598540144</v>
      </c>
      <c r="K10" s="10">
        <f>'13c'!K11/'4'!$B11*100</f>
        <v>84.569343065693431</v>
      </c>
      <c r="L10" s="10">
        <f>'13c'!L11/'4'!$B11*100</f>
        <v>11.436496350364964</v>
      </c>
      <c r="M10" s="6"/>
      <c r="N10" s="25"/>
      <c r="O10" s="6"/>
      <c r="P10" s="6"/>
      <c r="Q10" s="6"/>
      <c r="R10" s="6"/>
      <c r="S10" s="6"/>
      <c r="T10" s="6"/>
      <c r="U10" s="6"/>
      <c r="V10" s="6"/>
      <c r="W10" s="6"/>
    </row>
    <row r="11" spans="1:23">
      <c r="A11" s="2">
        <v>1988</v>
      </c>
      <c r="B11" s="10">
        <f>'13c'!B12/'4'!$B12*100</f>
        <v>3487.0856741573029</v>
      </c>
      <c r="C11" s="10">
        <f>'13c'!C12/'4'!$B12*100</f>
        <v>741.24157303370782</v>
      </c>
      <c r="D11" s="10">
        <f>'13c'!D12/'4'!$B12*100</f>
        <v>865.76404494382007</v>
      </c>
      <c r="E11" s="10">
        <f>'13c'!E12/'4'!$B12*100</f>
        <v>305.87359550561797</v>
      </c>
      <c r="F11" s="10">
        <f>'13c'!F12/'4'!$B12*100</f>
        <v>259.56039325842693</v>
      </c>
      <c r="G11" s="10">
        <f>'13c'!G12/'4'!$B12*100</f>
        <v>177.68258426966293</v>
      </c>
      <c r="H11" s="10">
        <f>'13c'!H12/'4'!$B12*100</f>
        <v>655.5856741573034</v>
      </c>
      <c r="I11" s="10">
        <f>'13c'!I12/'4'!$B12*100</f>
        <v>197.89466292134833</v>
      </c>
      <c r="J11" s="10">
        <f>'13c'!J12/'4'!$B12*100</f>
        <v>142.59971910112358</v>
      </c>
      <c r="K11" s="10">
        <f>'13c'!K12/'4'!$B12*100</f>
        <v>118.18258426966293</v>
      </c>
      <c r="L11" s="10">
        <f>'13c'!L12/'4'!$B12*100</f>
        <v>22.700842696629213</v>
      </c>
      <c r="M11" s="6"/>
      <c r="N11" s="25"/>
      <c r="O11" s="6"/>
      <c r="P11" s="6"/>
      <c r="Q11" s="6"/>
      <c r="R11" s="6"/>
      <c r="S11" s="6"/>
      <c r="T11" s="6"/>
      <c r="U11" s="6"/>
      <c r="V11" s="6"/>
      <c r="W11" s="6"/>
    </row>
    <row r="12" spans="1:23">
      <c r="A12" s="2">
        <v>1989</v>
      </c>
      <c r="B12" s="10">
        <f>'13c'!B13/'4'!$B13*100</f>
        <v>3608.3101604278086</v>
      </c>
      <c r="C12" s="10">
        <f>'13c'!C13/'4'!$B13*100</f>
        <v>763.11363636363637</v>
      </c>
      <c r="D12" s="10">
        <f>'13c'!D13/'4'!$B13*100</f>
        <v>881.88368983957218</v>
      </c>
      <c r="E12" s="10">
        <f>'13c'!E13/'4'!$B13*100</f>
        <v>315.81417112299471</v>
      </c>
      <c r="F12" s="10">
        <f>'13c'!F13/'4'!$B13*100</f>
        <v>268.38368983957224</v>
      </c>
      <c r="G12" s="10">
        <f>'13c'!G13/'4'!$B13*100</f>
        <v>177.86497326203209</v>
      </c>
      <c r="H12" s="10">
        <f>'13c'!H13/'4'!$B13*100</f>
        <v>702.91577540106948</v>
      </c>
      <c r="I12" s="10">
        <f>'13c'!I13/'4'!$B13*100</f>
        <v>217.79946524064169</v>
      </c>
      <c r="J12" s="10">
        <f>'13c'!J13/'4'!$B13*100</f>
        <v>139.79946524064169</v>
      </c>
      <c r="K12" s="10">
        <f>'13c'!K13/'4'!$B13*100</f>
        <v>116.59358288770053</v>
      </c>
      <c r="L12" s="10">
        <f>'13c'!L13/'4'!$B13*100</f>
        <v>24.141711229946523</v>
      </c>
      <c r="M12" s="6"/>
      <c r="N12" s="25"/>
      <c r="O12" s="6"/>
      <c r="P12" s="6"/>
      <c r="Q12" s="6"/>
      <c r="R12" s="6"/>
      <c r="S12" s="6"/>
      <c r="T12" s="6"/>
      <c r="U12" s="6"/>
      <c r="V12" s="6"/>
      <c r="W12" s="6"/>
    </row>
    <row r="13" spans="1:23">
      <c r="A13" s="2">
        <v>1990</v>
      </c>
      <c r="B13" s="10">
        <f>'13c'!B14/'4'!$B14*100</f>
        <v>3589.6900510204077</v>
      </c>
      <c r="C13" s="10">
        <f>'13c'!C14/'4'!$B14*100</f>
        <v>766.27806122448965</v>
      </c>
      <c r="D13" s="10">
        <f>'13c'!D14/'4'!$B14*100</f>
        <v>889.47576530612253</v>
      </c>
      <c r="E13" s="10">
        <f>'13c'!E14/'4'!$B14*100</f>
        <v>318.70663265306121</v>
      </c>
      <c r="F13" s="10">
        <f>'13c'!F14/'4'!$B14*100</f>
        <v>264.93239795918362</v>
      </c>
      <c r="G13" s="10">
        <f>'13c'!G14/'4'!$B14*100</f>
        <v>167.37755102040813</v>
      </c>
      <c r="H13" s="10">
        <f>'13c'!H14/'4'!$B14*100</f>
        <v>684.73214285714289</v>
      </c>
      <c r="I13" s="10">
        <f>'13c'!I14/'4'!$B14*100</f>
        <v>219.3176020408163</v>
      </c>
      <c r="J13" s="10">
        <f>'13c'!J14/'4'!$B14*100</f>
        <v>175.97576530612244</v>
      </c>
      <c r="K13" s="10">
        <f>'13c'!K14/'4'!$B14*100</f>
        <v>83.261479591836732</v>
      </c>
      <c r="L13" s="10">
        <f>'13c'!L14/'4'!$B14*100</f>
        <v>19.632653061224488</v>
      </c>
      <c r="M13" s="6"/>
      <c r="N13" s="25"/>
      <c r="O13" s="6"/>
      <c r="P13" s="6"/>
      <c r="Q13" s="6"/>
      <c r="R13" s="6"/>
      <c r="S13" s="6"/>
      <c r="T13" s="6"/>
      <c r="U13" s="6"/>
      <c r="V13" s="6"/>
      <c r="W13" s="6"/>
    </row>
    <row r="14" spans="1:23">
      <c r="A14" s="2">
        <v>1991</v>
      </c>
      <c r="B14" s="10">
        <f>'13c'!B15/'4'!$B15*100</f>
        <v>3389.184782608696</v>
      </c>
      <c r="C14" s="10">
        <f>'13c'!C15/'4'!$B15*100</f>
        <v>767.51449275362313</v>
      </c>
      <c r="D14" s="10">
        <f>'13c'!D15/'4'!$B15*100</f>
        <v>840.018115942029</v>
      </c>
      <c r="E14" s="10">
        <f>'13c'!E15/'4'!$B15*100</f>
        <v>310.35990338164254</v>
      </c>
      <c r="F14" s="10">
        <f>'13c'!F15/'4'!$B15*100</f>
        <v>253.84178743961354</v>
      </c>
      <c r="G14" s="10">
        <f>'13c'!G15/'4'!$B15*100</f>
        <v>149.13164251207729</v>
      </c>
      <c r="H14" s="10">
        <f>'13c'!H15/'4'!$B15*100</f>
        <v>686.11714975845416</v>
      </c>
      <c r="I14" s="10">
        <f>'13c'!I15/'4'!$B15*100</f>
        <v>191.34178743961354</v>
      </c>
      <c r="J14" s="10">
        <f>'13c'!J15/'4'!$B15*100</f>
        <v>112.70531400966183</v>
      </c>
      <c r="K14" s="10">
        <f>'13c'!K15/'4'!$B15*100</f>
        <v>59.305555555555557</v>
      </c>
      <c r="L14" s="10">
        <f>'13c'!L15/'4'!$B15*100</f>
        <v>18.84903381642512</v>
      </c>
      <c r="M14" s="6"/>
      <c r="N14" s="25"/>
      <c r="O14" s="6"/>
      <c r="P14" s="6"/>
      <c r="Q14" s="6"/>
      <c r="R14" s="6"/>
      <c r="S14" s="6"/>
      <c r="T14" s="6"/>
      <c r="U14" s="6"/>
      <c r="V14" s="6"/>
      <c r="W14" s="6"/>
    </row>
    <row r="15" spans="1:23">
      <c r="A15" s="2">
        <v>1992</v>
      </c>
      <c r="B15" s="10">
        <f>'13c'!B16/'4'!$B16*100</f>
        <v>3383.457142857143</v>
      </c>
      <c r="C15" s="10">
        <f>'13c'!C16/'4'!$B16*100</f>
        <v>794.48452380952381</v>
      </c>
      <c r="D15" s="10">
        <f>'13c'!D16/'4'!$B16*100</f>
        <v>829.90714285714284</v>
      </c>
      <c r="E15" s="10">
        <f>'13c'!E16/'4'!$B16*100</f>
        <v>303.64404761904763</v>
      </c>
      <c r="F15" s="10">
        <f>'13c'!F16/'4'!$B16*100</f>
        <v>253.16309523809525</v>
      </c>
      <c r="G15" s="10">
        <f>'13c'!G16/'4'!$B16*100</f>
        <v>144.90833333333333</v>
      </c>
      <c r="H15" s="10">
        <f>'13c'!H16/'4'!$B16*100</f>
        <v>705.80357142857144</v>
      </c>
      <c r="I15" s="10">
        <f>'13c'!I16/'4'!$B16*100</f>
        <v>163.02619047619049</v>
      </c>
      <c r="J15" s="10">
        <f>'13c'!J16/'4'!$B16*100</f>
        <v>112.62738095238096</v>
      </c>
      <c r="K15" s="10">
        <f>'13c'!K16/'4'!$B16*100</f>
        <v>55.641666666666666</v>
      </c>
      <c r="L15" s="10">
        <f>'13c'!L16/'4'!$B16*100</f>
        <v>20.251190476190477</v>
      </c>
      <c r="M15" s="6"/>
      <c r="N15" s="25"/>
      <c r="O15" s="6"/>
      <c r="P15" s="6"/>
      <c r="Q15" s="6"/>
      <c r="R15" s="6"/>
      <c r="S15" s="6"/>
      <c r="T15" s="6"/>
      <c r="U15" s="6"/>
      <c r="V15" s="6"/>
      <c r="W15" s="6"/>
    </row>
    <row r="16" spans="1:23">
      <c r="A16" s="2">
        <v>1993</v>
      </c>
      <c r="B16" s="10">
        <f>'13c'!B17/'4'!$B17*100</f>
        <v>3426.7581775700942</v>
      </c>
      <c r="C16" s="10">
        <f>'13c'!C17/'4'!$B17*100</f>
        <v>827.00233644859816</v>
      </c>
      <c r="D16" s="10">
        <f>'13c'!D17/'4'!$B17*100</f>
        <v>828.50116822429914</v>
      </c>
      <c r="E16" s="10">
        <f>'13c'!E17/'4'!$B17*100</f>
        <v>311.03271028037386</v>
      </c>
      <c r="F16" s="10">
        <f>'13c'!F17/'4'!$B17*100</f>
        <v>255.75934579439257</v>
      </c>
      <c r="G16" s="10">
        <f>'13c'!G17/'4'!$B17*100</f>
        <v>145.42406542056077</v>
      </c>
      <c r="H16" s="10">
        <f>'13c'!H17/'4'!$B17*100</f>
        <v>733.42990654205619</v>
      </c>
      <c r="I16" s="10">
        <f>'13c'!I17/'4'!$B17*100</f>
        <v>138.68574766355141</v>
      </c>
      <c r="J16" s="10">
        <f>'13c'!J17/'4'!$B17*100</f>
        <v>127.87967289719629</v>
      </c>
      <c r="K16" s="10">
        <f>'13c'!K17/'4'!$B17*100</f>
        <v>40.783878504672899</v>
      </c>
      <c r="L16" s="10">
        <f>'13c'!L17/'4'!$B17*100</f>
        <v>18.259345794392527</v>
      </c>
      <c r="M16" s="6"/>
      <c r="N16" s="25"/>
      <c r="O16" s="6"/>
      <c r="P16" s="6"/>
      <c r="Q16" s="6"/>
      <c r="R16" s="6"/>
      <c r="S16" s="6"/>
      <c r="T16" s="6"/>
      <c r="U16" s="6"/>
      <c r="V16" s="6"/>
      <c r="W16" s="6"/>
    </row>
    <row r="17" spans="1:23">
      <c r="A17" s="2">
        <v>1994</v>
      </c>
      <c r="B17" s="10">
        <f>'13c'!B18/'4'!$B18*100</f>
        <v>3611.4469078179695</v>
      </c>
      <c r="C17" s="10">
        <f>'13c'!C18/'4'!$B18*100</f>
        <v>862.92415402567087</v>
      </c>
      <c r="D17" s="10">
        <f>'13c'!D18/'4'!$B18*100</f>
        <v>860.33955659276535</v>
      </c>
      <c r="E17" s="10">
        <f>'13c'!E18/'4'!$B18*100</f>
        <v>327.81680280046675</v>
      </c>
      <c r="F17" s="10">
        <f>'13c'!F18/'4'!$B18*100</f>
        <v>264.99066511085181</v>
      </c>
      <c r="G17" s="10">
        <f>'13c'!G18/'4'!$B18*100</f>
        <v>153.48308051341891</v>
      </c>
      <c r="H17" s="10">
        <f>'13c'!H18/'4'!$B18*100</f>
        <v>778.80863477246203</v>
      </c>
      <c r="I17" s="10">
        <f>'13c'!I18/'4'!$B18*100</f>
        <v>148.04784130688446</v>
      </c>
      <c r="J17" s="10">
        <f>'13c'!J18/'4'!$B18*100</f>
        <v>133.36172695449241</v>
      </c>
      <c r="K17" s="10">
        <f>'13c'!K18/'4'!$B18*100</f>
        <v>56.285880980163363</v>
      </c>
      <c r="L17" s="10">
        <f>'13c'!L18/'4'!$B18*100</f>
        <v>25.388564760793464</v>
      </c>
      <c r="M17" s="6"/>
      <c r="N17" s="25"/>
      <c r="O17" s="6"/>
      <c r="P17" s="6"/>
      <c r="Q17" s="6"/>
      <c r="R17" s="6"/>
      <c r="S17" s="6"/>
      <c r="T17" s="6"/>
      <c r="U17" s="6"/>
      <c r="V17" s="6"/>
      <c r="W17" s="6"/>
    </row>
    <row r="18" spans="1:23">
      <c r="A18" s="2">
        <v>1995</v>
      </c>
      <c r="B18" s="10">
        <f>'13c'!B19/'4'!$B19*100</f>
        <v>3673.1004566210045</v>
      </c>
      <c r="C18" s="10">
        <f>'13c'!C19/'4'!$B19*100</f>
        <v>855.82420091324207</v>
      </c>
      <c r="D18" s="10">
        <f>'13c'!D19/'4'!$B19*100</f>
        <v>867.27625570776274</v>
      </c>
      <c r="E18" s="10">
        <f>'13c'!E19/'4'!$B19*100</f>
        <v>333.16438356164383</v>
      </c>
      <c r="F18" s="10">
        <f>'13c'!F19/'4'!$B19*100</f>
        <v>263.88926940639271</v>
      </c>
      <c r="G18" s="10">
        <f>'13c'!G19/'4'!$B19*100</f>
        <v>167.78082191780823</v>
      </c>
      <c r="H18" s="10">
        <f>'13c'!H19/'4'!$B19*100</f>
        <v>768.77397260273983</v>
      </c>
      <c r="I18" s="10">
        <f>'13c'!I19/'4'!$B19*100</f>
        <v>199.82762557077626</v>
      </c>
      <c r="J18" s="10">
        <f>'13c'!J19/'4'!$B19*100</f>
        <v>112.70890410958904</v>
      </c>
      <c r="K18" s="10">
        <f>'13c'!K19/'4'!$B19*100</f>
        <v>74.399543378995446</v>
      </c>
      <c r="L18" s="10">
        <f>'13c'!L19/'4'!$B19*100</f>
        <v>29.455479452054796</v>
      </c>
      <c r="M18" s="6"/>
      <c r="N18" s="25"/>
      <c r="O18" s="6"/>
      <c r="P18" s="6"/>
      <c r="Q18" s="6"/>
      <c r="R18" s="6"/>
      <c r="S18" s="6"/>
      <c r="T18" s="6"/>
      <c r="U18" s="6"/>
      <c r="V18" s="6"/>
      <c r="W18" s="6"/>
    </row>
    <row r="19" spans="1:23">
      <c r="A19" s="2">
        <v>1996</v>
      </c>
      <c r="B19" s="10">
        <f>'13c'!B20/'4'!$B20*100</f>
        <v>3802.2778402699664</v>
      </c>
      <c r="C19" s="10">
        <f>'13c'!C20/'4'!$B20*100</f>
        <v>866.62992125984249</v>
      </c>
      <c r="D19" s="10">
        <f>'13c'!D20/'4'!$B20*100</f>
        <v>887.07761529808772</v>
      </c>
      <c r="E19" s="10">
        <f>'13c'!E20/'4'!$B20*100</f>
        <v>331.97975253093358</v>
      </c>
      <c r="F19" s="10">
        <f>'13c'!F20/'4'!$B20*100</f>
        <v>265.87176602924637</v>
      </c>
      <c r="G19" s="10">
        <f>'13c'!G20/'4'!$B20*100</f>
        <v>169.86501687289086</v>
      </c>
      <c r="H19" s="10">
        <f>'13c'!H20/'4'!$B20*100</f>
        <v>788.12148481439817</v>
      </c>
      <c r="I19" s="10">
        <f>'13c'!I20/'4'!$B20*100</f>
        <v>247.7232845894263</v>
      </c>
      <c r="J19" s="10">
        <f>'13c'!J20/'4'!$B20*100</f>
        <v>152.36220472440942</v>
      </c>
      <c r="K19" s="10">
        <f>'13c'!K20/'4'!$B20*100</f>
        <v>68.275590551181097</v>
      </c>
      <c r="L19" s="10">
        <f>'13c'!L20/'4'!$B20*100</f>
        <v>24.371203599550057</v>
      </c>
      <c r="M19" s="6"/>
      <c r="N19" s="25"/>
      <c r="O19" s="6"/>
      <c r="P19" s="6"/>
      <c r="Q19" s="6"/>
      <c r="R19" s="6"/>
      <c r="S19" s="6"/>
      <c r="T19" s="6"/>
      <c r="U19" s="6"/>
      <c r="V19" s="6"/>
      <c r="W19" s="6"/>
    </row>
    <row r="20" spans="1:23">
      <c r="A20" s="2">
        <v>1997</v>
      </c>
      <c r="B20" s="10">
        <f>'13c'!B21/'4'!$B21*100</f>
        <v>3928.9900442477874</v>
      </c>
      <c r="C20" s="10">
        <f>'13c'!C21/'4'!$B21*100</f>
        <v>883.71238938053091</v>
      </c>
      <c r="D20" s="10">
        <f>'13c'!D21/'4'!$B21*100</f>
        <v>905.95575221238937</v>
      </c>
      <c r="E20" s="10">
        <f>'13c'!E21/'4'!$B21*100</f>
        <v>350.01438053097343</v>
      </c>
      <c r="F20" s="10">
        <f>'13c'!F21/'4'!$B21*100</f>
        <v>272.88938053097343</v>
      </c>
      <c r="G20" s="10">
        <f>'13c'!G21/'4'!$B21*100</f>
        <v>175.64380530973452</v>
      </c>
      <c r="H20" s="10">
        <f>'13c'!H21/'4'!$B21*100</f>
        <v>815.96570796460173</v>
      </c>
      <c r="I20" s="10">
        <f>'13c'!I21/'4'!$B21*100</f>
        <v>285.87831858407083</v>
      </c>
      <c r="J20" s="10">
        <f>'13c'!J21/'4'!$B21*100</f>
        <v>147.43915929203538</v>
      </c>
      <c r="K20" s="10">
        <f>'13c'!K21/'4'!$B21*100</f>
        <v>60.659292035398224</v>
      </c>
      <c r="L20" s="10">
        <f>'13c'!L21/'4'!$B21*100</f>
        <v>30.831858407079643</v>
      </c>
      <c r="M20" s="6"/>
      <c r="N20" s="25"/>
      <c r="O20" s="6"/>
      <c r="P20" s="6"/>
      <c r="Q20" s="6"/>
      <c r="R20" s="6"/>
      <c r="S20" s="6"/>
      <c r="T20" s="6"/>
      <c r="U20" s="6"/>
      <c r="V20" s="6"/>
      <c r="W20" s="6"/>
    </row>
    <row r="21" spans="1:23">
      <c r="A21" s="2">
        <v>1998</v>
      </c>
      <c r="B21" s="10">
        <f>'13c'!B22/'4'!$B22*100</f>
        <v>4020.2168674698792</v>
      </c>
      <c r="C21" s="10">
        <f>'13c'!C22/'4'!$B22*100</f>
        <v>908.73713033954004</v>
      </c>
      <c r="D21" s="10">
        <f>'13c'!D22/'4'!$B22*100</f>
        <v>926.59255202628708</v>
      </c>
      <c r="E21" s="10">
        <f>'13c'!E22/'4'!$B22*100</f>
        <v>375.74917853231108</v>
      </c>
      <c r="F21" s="10">
        <f>'13c'!F22/'4'!$B22*100</f>
        <v>283.59583789704271</v>
      </c>
      <c r="G21" s="10">
        <f>'13c'!G22/'4'!$B22*100</f>
        <v>186.4709748083242</v>
      </c>
      <c r="H21" s="10">
        <f>'13c'!H22/'4'!$B22*100</f>
        <v>844.06243154435924</v>
      </c>
      <c r="I21" s="10">
        <f>'13c'!I22/'4'!$B22*100</f>
        <v>307.25301204819277</v>
      </c>
      <c r="J21" s="10">
        <f>'13c'!J22/'4'!$B22*100</f>
        <v>102.99561883899233</v>
      </c>
      <c r="K21" s="10">
        <f>'13c'!K22/'4'!$B22*100</f>
        <v>48.063526834611167</v>
      </c>
      <c r="L21" s="10">
        <f>'13c'!L22/'4'!$B22*100</f>
        <v>36.696604600219054</v>
      </c>
      <c r="M21" s="6"/>
      <c r="N21" s="25"/>
      <c r="O21" s="6"/>
      <c r="P21" s="6"/>
      <c r="Q21" s="6"/>
      <c r="R21" s="6"/>
      <c r="S21" s="6"/>
      <c r="T21" s="6"/>
      <c r="U21" s="6"/>
      <c r="V21" s="6"/>
      <c r="W21" s="6"/>
    </row>
    <row r="22" spans="1:23">
      <c r="A22" s="2">
        <v>1999</v>
      </c>
      <c r="B22" s="10">
        <f>'13c'!B23/'4'!$B23*100</f>
        <v>4217.2486544671683</v>
      </c>
      <c r="C22" s="10">
        <f>'13c'!C23/'4'!$B23*100</f>
        <v>937.97847147470395</v>
      </c>
      <c r="D22" s="10">
        <f>'13c'!D23/'4'!$B23*100</f>
        <v>942.73412271259417</v>
      </c>
      <c r="E22" s="10">
        <f>'13c'!E23/'4'!$B23*100</f>
        <v>389.75565123789022</v>
      </c>
      <c r="F22" s="10">
        <f>'13c'!F23/'4'!$B23*100</f>
        <v>298.55435952637242</v>
      </c>
      <c r="G22" s="10">
        <f>'13c'!G23/'4'!$B23*100</f>
        <v>192.89773950484391</v>
      </c>
      <c r="H22" s="10">
        <f>'13c'!H23/'4'!$B23*100</f>
        <v>878.88266953713662</v>
      </c>
      <c r="I22" s="10">
        <f>'13c'!I23/'4'!$B23*100</f>
        <v>312.11087190527451</v>
      </c>
      <c r="J22" s="10">
        <f>'13c'!J23/'4'!$B23*100</f>
        <v>182.69644779332614</v>
      </c>
      <c r="K22" s="10">
        <f>'13c'!K23/'4'!$B23*100</f>
        <v>48.905274488697522</v>
      </c>
      <c r="L22" s="10">
        <f>'13c'!L23/'4'!$B23*100</f>
        <v>32.733046286329383</v>
      </c>
      <c r="M22" s="6"/>
      <c r="N22" s="25"/>
      <c r="O22" s="6"/>
      <c r="P22" s="6"/>
      <c r="Q22" s="6"/>
      <c r="R22" s="6"/>
      <c r="S22" s="6"/>
      <c r="T22" s="6"/>
      <c r="U22" s="6"/>
      <c r="V22" s="6"/>
      <c r="W22" s="6"/>
    </row>
    <row r="23" spans="1:23">
      <c r="A23" s="2">
        <v>2000</v>
      </c>
      <c r="B23" s="10">
        <f>'13c'!B24/'4'!$B24*100</f>
        <v>4530.2463312368982</v>
      </c>
      <c r="C23" s="10">
        <f>'13c'!C24/'4'!$B24*100</f>
        <v>949.72117400419279</v>
      </c>
      <c r="D23" s="10">
        <f>'13c'!D24/'4'!$B24*100</f>
        <v>964.3941299790356</v>
      </c>
      <c r="E23" s="10">
        <f>'13c'!E24/'4'!$B24*100</f>
        <v>406.40775681341717</v>
      </c>
      <c r="F23" s="10">
        <f>'13c'!F24/'4'!$B24*100</f>
        <v>306.62368972746327</v>
      </c>
      <c r="G23" s="10">
        <f>'13c'!G24/'4'!$B24*100</f>
        <v>204.16666666666666</v>
      </c>
      <c r="H23" s="10">
        <f>'13c'!H24/'4'!$B24*100</f>
        <v>904.88574423480065</v>
      </c>
      <c r="I23" s="10">
        <f>'13c'!I24/'4'!$B24*100</f>
        <v>305.83962264150944</v>
      </c>
      <c r="J23" s="10">
        <f>'13c'!J24/'4'!$B24*100</f>
        <v>394.10167714884693</v>
      </c>
      <c r="K23" s="10">
        <f>'13c'!K24/'4'!$B24*100</f>
        <v>64.349056603773576</v>
      </c>
      <c r="L23" s="10">
        <f>'13c'!L24/'4'!$B24*100</f>
        <v>29.756813417190774</v>
      </c>
      <c r="M23" s="6"/>
      <c r="N23" s="25"/>
      <c r="O23" s="6"/>
      <c r="P23" s="6"/>
      <c r="Q23" s="6"/>
      <c r="R23" s="6"/>
      <c r="S23" s="6"/>
      <c r="T23" s="6"/>
      <c r="U23" s="6"/>
      <c r="V23" s="6"/>
      <c r="W23" s="6"/>
    </row>
    <row r="24" spans="1:23">
      <c r="A24" s="2">
        <v>2001</v>
      </c>
      <c r="B24" s="10">
        <f>'13c'!B25/'4'!$B25*100</f>
        <v>4534.2658486707578</v>
      </c>
      <c r="C24" s="10">
        <f>'13c'!C25/'4'!$B25*100</f>
        <v>979.9192229038855</v>
      </c>
      <c r="D24" s="10">
        <f>'13c'!D25/'4'!$B25*100</f>
        <v>967.49897750511252</v>
      </c>
      <c r="E24" s="10">
        <f>'13c'!E25/'4'!$B25*100</f>
        <v>417.32310838445807</v>
      </c>
      <c r="F24" s="10">
        <f>'13c'!F25/'4'!$B25*100</f>
        <v>314.9498977505113</v>
      </c>
      <c r="G24" s="10">
        <f>'13c'!G25/'4'!$B25*100</f>
        <v>194.70245398773008</v>
      </c>
      <c r="H24" s="10">
        <f>'13c'!H25/'4'!$B25*100</f>
        <v>946.98364008179965</v>
      </c>
      <c r="I24" s="10">
        <f>'13c'!I25/'4'!$B25*100</f>
        <v>307.20347648261759</v>
      </c>
      <c r="J24" s="10">
        <f>'13c'!J25/'4'!$B25*100</f>
        <v>334.66257668711654</v>
      </c>
      <c r="K24" s="10">
        <f>'13c'!K25/'4'!$B25*100</f>
        <v>43.289366053169736</v>
      </c>
      <c r="L24" s="10">
        <f>'13c'!L25/'4'!$B25*100</f>
        <v>27.733128834355831</v>
      </c>
      <c r="M24" s="6"/>
      <c r="N24" s="25"/>
      <c r="O24" s="6"/>
      <c r="P24" s="6"/>
      <c r="Q24" s="6"/>
      <c r="R24" s="6"/>
      <c r="S24" s="6"/>
      <c r="T24" s="6"/>
      <c r="U24" s="6"/>
      <c r="V24" s="6"/>
      <c r="W24" s="6"/>
    </row>
    <row r="25" spans="1:23">
      <c r="A25" s="2">
        <v>2002</v>
      </c>
      <c r="B25" s="10">
        <f>'13c'!B26/'4'!$B26*100</f>
        <v>4644.3440000000001</v>
      </c>
      <c r="C25" s="10">
        <f>'13c'!C26/'4'!$B26*100</f>
        <v>1031.2760000000001</v>
      </c>
      <c r="D25" s="10">
        <f>'13c'!D26/'4'!$B26*100</f>
        <v>976.36400000000003</v>
      </c>
      <c r="E25" s="10">
        <f>'13c'!E26/'4'!$B26*100</f>
        <v>421.16899999999998</v>
      </c>
      <c r="F25" s="10">
        <f>'13c'!F26/'4'!$B26*100</f>
        <v>330.846</v>
      </c>
      <c r="G25" s="10">
        <f>'13c'!G26/'4'!$B26*100</f>
        <v>192.381</v>
      </c>
      <c r="H25" s="10">
        <f>'13c'!H26/'4'!$B26*100</f>
        <v>1013.7539999999999</v>
      </c>
      <c r="I25" s="10">
        <f>'13c'!I26/'4'!$B26*100</f>
        <v>303.27800000000002</v>
      </c>
      <c r="J25" s="10">
        <f>'13c'!J26/'4'!$B26*100</f>
        <v>306.27699999999999</v>
      </c>
      <c r="K25" s="10">
        <f>'13c'!K26/'4'!$B26*100</f>
        <v>40.380000000000003</v>
      </c>
      <c r="L25" s="10">
        <f>'13c'!L26/'4'!$B26*100</f>
        <v>28.619</v>
      </c>
      <c r="M25" s="6"/>
      <c r="N25" s="25"/>
      <c r="O25" s="6"/>
      <c r="P25" s="6"/>
      <c r="Q25" s="6"/>
      <c r="R25" s="6"/>
      <c r="S25" s="6"/>
      <c r="T25" s="6"/>
      <c r="U25" s="6"/>
      <c r="V25" s="6"/>
      <c r="W25" s="6"/>
    </row>
    <row r="26" spans="1:23">
      <c r="A26" s="2">
        <v>2003</v>
      </c>
      <c r="B26" s="10">
        <f>'13c'!B27/'4'!$B27*100</f>
        <v>4795.7752918287933</v>
      </c>
      <c r="C26" s="10">
        <f>'13c'!C27/'4'!$B27*100</f>
        <v>1091.9406614785994</v>
      </c>
      <c r="D26" s="10">
        <f>'13c'!D27/'4'!$B27*100</f>
        <v>987.38715953307383</v>
      </c>
      <c r="E26" s="10">
        <f>'13c'!E27/'4'!$B27*100</f>
        <v>390.83949416342415</v>
      </c>
      <c r="F26" s="10">
        <f>'13c'!F27/'4'!$B27*100</f>
        <v>335.68871595330745</v>
      </c>
      <c r="G26" s="10">
        <f>'13c'!G27/'4'!$B27*100</f>
        <v>182.54961089494165</v>
      </c>
      <c r="H26" s="10">
        <f>'13c'!H27/'4'!$B27*100</f>
        <v>1065.5826848249028</v>
      </c>
      <c r="I26" s="10">
        <f>'13c'!I27/'4'!$B27*100</f>
        <v>289.3715953307393</v>
      </c>
      <c r="J26" s="10">
        <f>'13c'!J27/'4'!$B27*100</f>
        <v>379.27431906614788</v>
      </c>
      <c r="K26" s="10">
        <f>'13c'!K27/'4'!$B27*100</f>
        <v>48.463035019455255</v>
      </c>
      <c r="L26" s="10">
        <f>'13c'!L27/'4'!$B27*100</f>
        <v>24.678015564202337</v>
      </c>
      <c r="M26" s="6"/>
      <c r="N26" s="25"/>
      <c r="O26" s="6"/>
      <c r="P26" s="6"/>
      <c r="Q26" s="6"/>
      <c r="R26" s="6"/>
      <c r="S26" s="6"/>
      <c r="T26" s="6"/>
      <c r="U26" s="6"/>
      <c r="V26" s="6"/>
      <c r="W26" s="6"/>
    </row>
    <row r="27" spans="1:23">
      <c r="A27" s="2">
        <v>2004</v>
      </c>
      <c r="B27" s="10">
        <f>'13c'!B28/'4'!$B28*100</f>
        <v>5121.8271251193873</v>
      </c>
      <c r="C27" s="10">
        <f>'13c'!C28/'4'!$B28*100</f>
        <v>1161.0744985673352</v>
      </c>
      <c r="D27" s="10">
        <f>'13c'!D28/'4'!$B28*100</f>
        <v>1039.0840496657115</v>
      </c>
      <c r="E27" s="10">
        <f>'13c'!E28/'4'!$B28*100</f>
        <v>381.87392550143267</v>
      </c>
      <c r="F27" s="10">
        <f>'13c'!F28/'4'!$B28*100</f>
        <v>343.13944603629415</v>
      </c>
      <c r="G27" s="10">
        <f>'13c'!G28/'4'!$B28*100</f>
        <v>185.41451766953199</v>
      </c>
      <c r="H27" s="10">
        <f>'13c'!H28/'4'!$B28*100</f>
        <v>1172.702005730659</v>
      </c>
      <c r="I27" s="10">
        <f>'13c'!I28/'4'!$B28*100</f>
        <v>297.77554918815662</v>
      </c>
      <c r="J27" s="10">
        <f>'13c'!J28/'4'!$B28*100</f>
        <v>432.29130850047756</v>
      </c>
      <c r="K27" s="10">
        <f>'13c'!K28/'4'!$B28*100</f>
        <v>72.1833810888252</v>
      </c>
      <c r="L27" s="10">
        <f>'13c'!L28/'4'!$B28*100</f>
        <v>36.288443170964655</v>
      </c>
      <c r="M27" s="6"/>
      <c r="N27" s="25"/>
      <c r="O27" s="6"/>
      <c r="P27" s="6"/>
      <c r="Q27" s="6"/>
      <c r="R27" s="6"/>
      <c r="S27" s="6"/>
      <c r="T27" s="6"/>
      <c r="U27" s="6"/>
      <c r="V27" s="6"/>
      <c r="W27" s="6"/>
    </row>
    <row r="28" spans="1:23">
      <c r="A28" s="2">
        <v>2005</v>
      </c>
      <c r="B28" s="10">
        <f>'13c'!B29/'4'!$B29*100</f>
        <v>5525.7130841121498</v>
      </c>
      <c r="C28" s="10">
        <f>'13c'!C29/'4'!$B29*100</f>
        <v>1228.7196261682243</v>
      </c>
      <c r="D28" s="10">
        <f>'13c'!D29/'4'!$B29*100</f>
        <v>1078.0588785046727</v>
      </c>
      <c r="E28" s="10">
        <f>'13c'!E29/'4'!$B29*100</f>
        <v>380.407476635514</v>
      </c>
      <c r="F28" s="10">
        <f>'13c'!F29/'4'!$B29*100</f>
        <v>350.09906542056075</v>
      </c>
      <c r="G28" s="10">
        <f>'13c'!G29/'4'!$B29*100</f>
        <v>191.79999999999998</v>
      </c>
      <c r="H28" s="10">
        <f>'13c'!H29/'4'!$B29*100</f>
        <v>1270.0635514018693</v>
      </c>
      <c r="I28" s="10">
        <f>'13c'!I29/'4'!$B29*100</f>
        <v>271.50560747663553</v>
      </c>
      <c r="J28" s="10">
        <f>'13c'!J29/'4'!$B29*100</f>
        <v>616.46448598130837</v>
      </c>
      <c r="K28" s="10">
        <f>'13c'!K29/'4'!$B29*100</f>
        <v>97.785981308411223</v>
      </c>
      <c r="L28" s="10">
        <f>'13c'!L29/'4'!$B29*100</f>
        <v>40.808411214953274</v>
      </c>
      <c r="M28" s="6"/>
      <c r="N28" s="25"/>
      <c r="O28" s="6"/>
      <c r="P28" s="6"/>
      <c r="Q28" s="6"/>
      <c r="R28" s="6"/>
      <c r="S28" s="6"/>
      <c r="T28" s="6"/>
      <c r="U28" s="6"/>
      <c r="V28" s="6"/>
      <c r="W28" s="6"/>
    </row>
    <row r="29" spans="1:23">
      <c r="A29" s="2">
        <v>2006</v>
      </c>
      <c r="B29" s="10">
        <f>'13c'!B30/'4'!$B30*100</f>
        <v>5883.3987167736022</v>
      </c>
      <c r="C29" s="10">
        <f>'13c'!C30/'4'!$B30*100</f>
        <v>1345.7671860678277</v>
      </c>
      <c r="D29" s="10">
        <f>'13c'!D30/'4'!$B30*100</f>
        <v>1106.8304307974336</v>
      </c>
      <c r="E29" s="10">
        <f>'13c'!E30/'4'!$B30*100</f>
        <v>384.06691109074245</v>
      </c>
      <c r="F29" s="10">
        <f>'13c'!F30/'4'!$B30*100</f>
        <v>354.58478460128322</v>
      </c>
      <c r="G29" s="10">
        <f>'13c'!G30/'4'!$B30*100</f>
        <v>198.14298808432633</v>
      </c>
      <c r="H29" s="10">
        <f>'13c'!H30/'4'!$B30*100</f>
        <v>1381.1814848762604</v>
      </c>
      <c r="I29" s="10">
        <f>'13c'!I30/'4'!$B30*100</f>
        <v>252.48579285059577</v>
      </c>
      <c r="J29" s="10">
        <f>'13c'!J30/'4'!$B30*100</f>
        <v>673.28964252978926</v>
      </c>
      <c r="K29" s="10">
        <f>'13c'!K30/'4'!$B30*100</f>
        <v>150.94042163153068</v>
      </c>
      <c r="L29" s="10">
        <f>'13c'!L30/'4'!$B30*100</f>
        <v>36.109074243813019</v>
      </c>
      <c r="M29" s="6"/>
      <c r="N29" s="25"/>
      <c r="O29" s="6"/>
      <c r="P29" s="6"/>
      <c r="Q29" s="6"/>
      <c r="R29" s="6"/>
      <c r="S29" s="6"/>
      <c r="T29" s="6"/>
      <c r="U29" s="6"/>
      <c r="V29" s="6"/>
      <c r="W29" s="6"/>
    </row>
    <row r="30" spans="1:23">
      <c r="A30" s="2">
        <v>2007</v>
      </c>
      <c r="B30" s="10">
        <f>'13c'!B31/'4'!$B31*100</f>
        <v>6191.7721973094167</v>
      </c>
      <c r="C30" s="10">
        <f>'13c'!C31/'4'!$B31*100</f>
        <v>1425.1488789237667</v>
      </c>
      <c r="D30" s="10">
        <f>'13c'!D31/'4'!$B31*100</f>
        <v>1187.5255605381165</v>
      </c>
      <c r="E30" s="10">
        <f>'13c'!E31/'4'!$B31*100</f>
        <v>377.80179372197313</v>
      </c>
      <c r="F30" s="10">
        <f>'13c'!F31/'4'!$B31*100</f>
        <v>357.15336322869956</v>
      </c>
      <c r="G30" s="10">
        <f>'13c'!G31/'4'!$B31*100</f>
        <v>200.77309417040357</v>
      </c>
      <c r="H30" s="10">
        <f>'13c'!H31/'4'!$B31*100</f>
        <v>1503.0224215246635</v>
      </c>
      <c r="I30" s="10">
        <f>'13c'!I31/'4'!$B31*100</f>
        <v>236.28609865470852</v>
      </c>
      <c r="J30" s="10">
        <f>'13c'!J31/'4'!$B31*100</f>
        <v>659.21973094170403</v>
      </c>
      <c r="K30" s="10">
        <f>'13c'!K31/'4'!$B31*100</f>
        <v>195.40807174887891</v>
      </c>
      <c r="L30" s="10">
        <f>'13c'!L31/'4'!$B31*100</f>
        <v>49.433183856502247</v>
      </c>
      <c r="M30" s="6"/>
      <c r="N30" s="25"/>
      <c r="O30" s="6"/>
      <c r="P30" s="6"/>
      <c r="Q30" s="6"/>
      <c r="R30" s="6"/>
      <c r="S30" s="6"/>
      <c r="T30" s="6"/>
      <c r="U30" s="6"/>
      <c r="V30" s="6"/>
      <c r="W30" s="6"/>
    </row>
    <row r="31" spans="1:23">
      <c r="A31" s="2">
        <v>2008</v>
      </c>
      <c r="B31" s="10">
        <f>'13c'!B32/'4'!$B32*100</f>
        <v>6818.014899211219</v>
      </c>
      <c r="C31" s="10">
        <f>'13c'!C32/'4'!$B32*100</f>
        <v>1468.9605609114813</v>
      </c>
      <c r="D31" s="10">
        <f>'13c'!D32/'4'!$B32*100</f>
        <v>1291.2892199824716</v>
      </c>
      <c r="E31" s="10">
        <f>'13c'!E32/'4'!$B32*100</f>
        <v>423.97633654688872</v>
      </c>
      <c r="F31" s="10">
        <f>'13c'!F32/'4'!$B32*100</f>
        <v>350.54250657318147</v>
      </c>
      <c r="G31" s="10">
        <f>'13c'!G32/'4'!$B32*100</f>
        <v>209.37598597721299</v>
      </c>
      <c r="H31" s="10">
        <f>'13c'!H32/'4'!$B32*100</f>
        <v>1578.0595968448731</v>
      </c>
      <c r="I31" s="10">
        <f>'13c'!I32/'4'!$B32*100</f>
        <v>225.47414548641544</v>
      </c>
      <c r="J31" s="10">
        <f>'13c'!J32/'4'!$B32*100</f>
        <v>984.78089395267307</v>
      </c>
      <c r="K31" s="10">
        <f>'13c'!K32/'4'!$B32*100</f>
        <v>121.22611744084135</v>
      </c>
      <c r="L31" s="10">
        <f>'13c'!L32/'4'!$B32*100</f>
        <v>164.32953549517967</v>
      </c>
      <c r="M31" s="6"/>
      <c r="N31" s="25"/>
      <c r="O31" s="6"/>
      <c r="P31" s="6"/>
      <c r="Q31" s="6"/>
      <c r="R31" s="6"/>
      <c r="S31" s="6"/>
      <c r="T31" s="6"/>
      <c r="U31" s="6"/>
      <c r="V31" s="6"/>
      <c r="W31" s="6"/>
    </row>
    <row r="32" spans="1:23" s="114" customFormat="1">
      <c r="A32" s="738"/>
      <c r="B32" s="23"/>
      <c r="C32" s="644"/>
      <c r="D32" s="644"/>
      <c r="E32" s="644"/>
      <c r="F32" s="644" t="s">
        <v>802</v>
      </c>
      <c r="G32" s="644"/>
      <c r="I32" s="644"/>
      <c r="N32" s="116"/>
    </row>
    <row r="33" spans="1:14" s="114" customFormat="1">
      <c r="A33" s="431" t="s">
        <v>603</v>
      </c>
      <c r="B33" s="23">
        <f>((((B12/B4))^(1/8))-1)*100</f>
        <v>0.31214110149184737</v>
      </c>
      <c r="C33" s="23">
        <f t="shared" ref="C33:L33" si="0">((((C12/C4))^(1/8))-1)*100</f>
        <v>3.4059937913352156</v>
      </c>
      <c r="D33" s="23">
        <f t="shared" si="0"/>
        <v>0.29463799694593451</v>
      </c>
      <c r="E33" s="23">
        <f t="shared" si="0"/>
        <v>2.1848250133918112</v>
      </c>
      <c r="F33" s="23">
        <f t="shared" si="0"/>
        <v>2.4974294245511564</v>
      </c>
      <c r="G33" s="23">
        <f t="shared" si="0"/>
        <v>-1.4241874739612581</v>
      </c>
      <c r="H33" s="23">
        <f t="shared" si="0"/>
        <v>1.3678185892061601</v>
      </c>
      <c r="I33" s="23">
        <f t="shared" si="0"/>
        <v>2.4206801681205148</v>
      </c>
      <c r="J33" s="23">
        <f t="shared" si="0"/>
        <v>-12.572185597287856</v>
      </c>
      <c r="K33" s="23">
        <f t="shared" si="0"/>
        <v>-1.6138999457971481</v>
      </c>
      <c r="L33" s="23">
        <f t="shared" si="0"/>
        <v>-4.9100046410996301</v>
      </c>
      <c r="N33" s="116"/>
    </row>
    <row r="34" spans="1:14" s="114" customFormat="1">
      <c r="A34" s="431" t="s">
        <v>114</v>
      </c>
      <c r="B34" s="23">
        <f>((((B12/B7))^(1/5))-1)*100</f>
        <v>1.6134363454594736</v>
      </c>
      <c r="C34" s="23">
        <f t="shared" ref="C34:L34" si="1">((((C12/C7))^(1/5))-1)*100</f>
        <v>5.6609054077958021</v>
      </c>
      <c r="D34" s="23">
        <f t="shared" si="1"/>
        <v>1.172084441831811</v>
      </c>
      <c r="E34" s="23">
        <f t="shared" si="1"/>
        <v>2.1113220468121918</v>
      </c>
      <c r="F34" s="23">
        <f t="shared" si="1"/>
        <v>5.4073014696502275</v>
      </c>
      <c r="G34" s="23">
        <f t="shared" si="1"/>
        <v>1.5698632803129886</v>
      </c>
      <c r="H34" s="23">
        <f t="shared" si="1"/>
        <v>4.2314987301641072</v>
      </c>
      <c r="I34" s="23">
        <f t="shared" si="1"/>
        <v>11.841458733571809</v>
      </c>
      <c r="J34" s="23">
        <f t="shared" si="1"/>
        <v>-21.377298668790267</v>
      </c>
      <c r="K34" s="23">
        <f t="shared" si="1"/>
        <v>8.1022953863679739</v>
      </c>
      <c r="L34" s="23">
        <f t="shared" si="1"/>
        <v>0.14951026394869338</v>
      </c>
      <c r="N34" s="116"/>
    </row>
    <row r="35" spans="1:14" s="114" customFormat="1">
      <c r="A35" s="431" t="s">
        <v>604</v>
      </c>
      <c r="B35" s="23">
        <f>((((B24/B13))^(1/11))-1)*100</f>
        <v>2.1463211320665643</v>
      </c>
      <c r="C35" s="23">
        <f t="shared" ref="C35:L35" si="2">((((C24/C13))^(1/11))-1)*100</f>
        <v>2.2608607936996483</v>
      </c>
      <c r="D35" s="23">
        <f t="shared" si="2"/>
        <v>0.76731165055601291</v>
      </c>
      <c r="E35" s="23">
        <f t="shared" si="2"/>
        <v>2.4810950662941256</v>
      </c>
      <c r="F35" s="23">
        <f t="shared" si="2"/>
        <v>1.5845952763507976</v>
      </c>
      <c r="G35" s="23">
        <f t="shared" si="2"/>
        <v>1.3842244394615344</v>
      </c>
      <c r="H35" s="23">
        <f t="shared" si="2"/>
        <v>2.9916410782653946</v>
      </c>
      <c r="I35" s="23">
        <f t="shared" si="2"/>
        <v>3.1109492918199422</v>
      </c>
      <c r="J35" s="23">
        <f t="shared" si="2"/>
        <v>6.0175252978451166</v>
      </c>
      <c r="K35" s="23">
        <f t="shared" si="2"/>
        <v>-5.7728403382946603</v>
      </c>
      <c r="L35" s="23">
        <f t="shared" si="2"/>
        <v>3.1901326300114885</v>
      </c>
      <c r="N35" s="116"/>
    </row>
    <row r="36" spans="1:14" s="114" customFormat="1">
      <c r="A36" s="431" t="s">
        <v>1408</v>
      </c>
      <c r="B36" s="23">
        <f>((((B31/B4))^(1/27))-1)*100</f>
        <v>2.479352703576132</v>
      </c>
      <c r="C36" s="23">
        <f t="shared" ref="C36:L36" si="3">((((C31/C4))^(1/27))-1)*100</f>
        <v>3.4770285570823622</v>
      </c>
      <c r="D36" s="23">
        <f t="shared" si="3"/>
        <v>1.51082748137914</v>
      </c>
      <c r="E36" s="23">
        <f t="shared" si="3"/>
        <v>1.7462858696095207</v>
      </c>
      <c r="F36" s="23">
        <f t="shared" si="3"/>
        <v>1.7348945286554951</v>
      </c>
      <c r="G36" s="23">
        <f t="shared" si="3"/>
        <v>0.17924496375305576</v>
      </c>
      <c r="H36" s="23">
        <f t="shared" si="3"/>
        <v>3.4561541949565733</v>
      </c>
      <c r="I36" s="23">
        <f t="shared" si="3"/>
        <v>0.84046942991642393</v>
      </c>
      <c r="J36" s="23">
        <f t="shared" si="3"/>
        <v>3.3028401941936014</v>
      </c>
      <c r="K36" s="23">
        <f t="shared" si="3"/>
        <v>-0.33721499484781203</v>
      </c>
      <c r="L36" s="23">
        <f t="shared" si="3"/>
        <v>5.7721519524345233</v>
      </c>
      <c r="N36" s="116"/>
    </row>
    <row r="37" spans="1:14" s="114" customFormat="1">
      <c r="A37" s="431" t="s">
        <v>1410</v>
      </c>
      <c r="B37" s="23">
        <f>((((B31/B23))^(1/8))-1)*100</f>
        <v>5.2427084091958509</v>
      </c>
      <c r="C37" s="23">
        <f t="shared" ref="C37:L37" si="4">((((C30/C23))^(1/7))-1)*100</f>
        <v>5.9694274430044825</v>
      </c>
      <c r="D37" s="23">
        <f t="shared" si="4"/>
        <v>3.0178850757783149</v>
      </c>
      <c r="E37" s="23">
        <f t="shared" si="4"/>
        <v>-1.0372584100623805</v>
      </c>
      <c r="F37" s="23">
        <f t="shared" si="4"/>
        <v>2.2031187036077649</v>
      </c>
      <c r="G37" s="23">
        <f t="shared" si="4"/>
        <v>-0.23916024204186925</v>
      </c>
      <c r="H37" s="23">
        <f t="shared" si="4"/>
        <v>7.5181228049910898</v>
      </c>
      <c r="I37" s="23">
        <f t="shared" si="4"/>
        <v>-3.6188596646572146</v>
      </c>
      <c r="J37" s="23">
        <f t="shared" si="4"/>
        <v>7.6260536945125468</v>
      </c>
      <c r="K37" s="23">
        <f t="shared" si="4"/>
        <v>17.196416011443858</v>
      </c>
      <c r="L37" s="23">
        <f t="shared" si="4"/>
        <v>7.5202607049963177</v>
      </c>
      <c r="N37" s="116"/>
    </row>
    <row r="38" spans="1:14" s="114" customFormat="1">
      <c r="A38" s="431"/>
      <c r="B38" s="23"/>
      <c r="C38" s="23"/>
      <c r="D38" s="23"/>
      <c r="E38" s="644"/>
      <c r="F38" s="644" t="s">
        <v>276</v>
      </c>
      <c r="G38" s="644"/>
      <c r="H38" s="644"/>
      <c r="I38" s="644"/>
      <c r="J38" s="644"/>
      <c r="K38" s="644"/>
      <c r="L38" s="644"/>
      <c r="N38" s="116"/>
    </row>
    <row r="39" spans="1:14" s="114" customFormat="1">
      <c r="A39" s="431" t="s">
        <v>819</v>
      </c>
      <c r="B39" s="10">
        <f t="shared" ref="B39:L39" si="5">(B29/B4-1)*100</f>
        <v>67.167721206138921</v>
      </c>
      <c r="C39" s="10">
        <f t="shared" si="5"/>
        <v>130.54007111982347</v>
      </c>
      <c r="D39" s="10">
        <f t="shared" si="5"/>
        <v>28.496560151961337</v>
      </c>
      <c r="E39" s="10">
        <f t="shared" si="5"/>
        <v>44.566119408937595</v>
      </c>
      <c r="F39" s="10">
        <f t="shared" si="5"/>
        <v>60.941396667493606</v>
      </c>
      <c r="G39" s="10">
        <f t="shared" si="5"/>
        <v>-0.67668624316039594</v>
      </c>
      <c r="H39" s="10">
        <f t="shared" si="5"/>
        <v>119.05252475529426</v>
      </c>
      <c r="I39" s="10">
        <f t="shared" si="5"/>
        <v>40.372288943724264</v>
      </c>
      <c r="J39" s="10">
        <f t="shared" si="5"/>
        <v>64.396813983389436</v>
      </c>
      <c r="K39" s="10">
        <f t="shared" si="5"/>
        <v>13.658227037448789</v>
      </c>
      <c r="L39" s="10">
        <f t="shared" si="5"/>
        <v>-1.6827483988102188E-2</v>
      </c>
      <c r="N39" s="116"/>
    </row>
    <row r="40" spans="1:14">
      <c r="A40" s="431" t="s">
        <v>447</v>
      </c>
      <c r="B40" s="10">
        <f t="shared" ref="B40:L40" si="6">(B30/B4-1)*100</f>
        <v>75.929679132704081</v>
      </c>
      <c r="C40" s="10">
        <f t="shared" si="6"/>
        <v>144.13875394258758</v>
      </c>
      <c r="D40" s="10">
        <f t="shared" si="6"/>
        <v>37.864794259170907</v>
      </c>
      <c r="E40" s="10">
        <f t="shared" si="6"/>
        <v>42.207874844019798</v>
      </c>
      <c r="F40" s="10">
        <f t="shared" si="6"/>
        <v>62.107240916032083</v>
      </c>
      <c r="G40" s="10">
        <f t="shared" si="6"/>
        <v>0.64170939893037904</v>
      </c>
      <c r="H40" s="10">
        <f t="shared" si="6"/>
        <v>138.37624512342072</v>
      </c>
      <c r="I40" s="10">
        <f t="shared" si="6"/>
        <v>31.365888509103979</v>
      </c>
      <c r="J40" s="10">
        <f t="shared" si="6"/>
        <v>60.961370316948596</v>
      </c>
      <c r="K40" s="10">
        <f t="shared" si="6"/>
        <v>47.142393957276838</v>
      </c>
      <c r="L40" s="10">
        <f t="shared" si="6"/>
        <v>36.876578894493562</v>
      </c>
    </row>
    <row r="41" spans="1:14">
      <c r="A41" s="431" t="s">
        <v>1408</v>
      </c>
      <c r="B41" s="10">
        <f>(B30/B4-1)*100</f>
        <v>75.929679132704081</v>
      </c>
      <c r="C41" s="10">
        <f t="shared" ref="C41:L41" si="7">(C30/C4-1)*100</f>
        <v>144.13875394258758</v>
      </c>
      <c r="D41" s="10">
        <f t="shared" si="7"/>
        <v>37.864794259170907</v>
      </c>
      <c r="E41" s="10">
        <f t="shared" si="7"/>
        <v>42.207874844019798</v>
      </c>
      <c r="F41" s="10">
        <f t="shared" si="7"/>
        <v>62.107240916032083</v>
      </c>
      <c r="G41" s="10">
        <f t="shared" si="7"/>
        <v>0.64170939893037904</v>
      </c>
      <c r="H41" s="10">
        <f t="shared" si="7"/>
        <v>138.37624512342072</v>
      </c>
      <c r="I41" s="10">
        <f t="shared" si="7"/>
        <v>31.365888509103979</v>
      </c>
      <c r="J41" s="10">
        <f t="shared" si="7"/>
        <v>60.961370316948596</v>
      </c>
      <c r="K41" s="10">
        <f t="shared" si="7"/>
        <v>47.142393957276838</v>
      </c>
      <c r="L41" s="10">
        <f t="shared" si="7"/>
        <v>36.876578894493562</v>
      </c>
    </row>
    <row r="42" spans="1:14" ht="18.600000000000001" customHeight="1">
      <c r="A42" s="1170" t="s">
        <v>1962</v>
      </c>
      <c r="B42" s="1170"/>
      <c r="C42" s="1170"/>
      <c r="D42" s="1170"/>
      <c r="E42" s="1170"/>
      <c r="F42" s="1170"/>
      <c r="G42" s="1170"/>
      <c r="H42" s="1170"/>
      <c r="I42" s="1170"/>
      <c r="J42" s="1170"/>
      <c r="K42" s="1170"/>
      <c r="L42" s="1170"/>
    </row>
    <row r="43" spans="1:14" ht="15.75">
      <c r="A43" s="8" t="s">
        <v>115</v>
      </c>
    </row>
    <row r="44" spans="1:14" ht="15.75">
      <c r="A44" s="8" t="s">
        <v>116</v>
      </c>
    </row>
    <row r="45" spans="1:14" ht="15.75">
      <c r="A45" s="8" t="s">
        <v>117</v>
      </c>
      <c r="H45" s="9"/>
    </row>
    <row r="46" spans="1:14">
      <c r="A46" s="1" t="s">
        <v>1026</v>
      </c>
    </row>
  </sheetData>
  <mergeCells count="1">
    <mergeCell ref="A42:L42"/>
  </mergeCells>
  <phoneticPr fontId="35" type="noConversion"/>
  <pageMargins left="0.75" right="0.75" top="1" bottom="1" header="0.5" footer="0.5"/>
  <pageSetup scale="74" orientation="landscape" horizontalDpi="300" verticalDpi="300" r:id="rId1"/>
  <headerFooter alignWithMargins="0"/>
</worksheet>
</file>

<file path=xl/worksheets/sheet59.xml><?xml version="1.0" encoding="utf-8"?>
<worksheet xmlns="http://schemas.openxmlformats.org/spreadsheetml/2006/main" xmlns:r="http://schemas.openxmlformats.org/officeDocument/2006/relationships">
  <sheetPr codeName="Sheet632">
    <pageSetUpPr fitToPage="1"/>
  </sheetPr>
  <dimension ref="A1:W47"/>
  <sheetViews>
    <sheetView view="pageBreakPreview" zoomScale="70" zoomScaleSheetLayoutView="7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20.85546875" style="1" customWidth="1"/>
    <col min="3" max="12" width="12.85546875" style="1" customWidth="1"/>
    <col min="13" max="13" width="11.5703125" style="1" bestFit="1" customWidth="1"/>
    <col min="14" max="15" width="11.140625" style="1" bestFit="1" customWidth="1"/>
    <col min="16" max="17" width="10.42578125" style="1" bestFit="1" customWidth="1"/>
    <col min="18" max="18" width="9.85546875" style="1" bestFit="1" customWidth="1"/>
    <col min="19" max="19" width="10.85546875" style="1" bestFit="1" customWidth="1"/>
    <col min="20" max="20" width="10.140625" style="1" bestFit="1" customWidth="1"/>
    <col min="21" max="21" width="10.42578125" style="1" bestFit="1" customWidth="1"/>
    <col min="22" max="23" width="9.42578125" style="1" bestFit="1" customWidth="1"/>
    <col min="24" max="16384" width="8.85546875" style="1"/>
  </cols>
  <sheetData>
    <row r="1" spans="1:23" ht="15.75">
      <c r="A1" s="4"/>
      <c r="B1" s="3" t="s">
        <v>2143</v>
      </c>
      <c r="C1" s="4"/>
      <c r="D1" s="4"/>
      <c r="E1" s="4"/>
      <c r="F1" s="4"/>
      <c r="G1" s="4"/>
    </row>
    <row r="2" spans="1:23" ht="15.75">
      <c r="A2" s="4"/>
      <c r="B2" s="3"/>
      <c r="C2" s="4"/>
      <c r="D2" s="4"/>
      <c r="E2" s="4"/>
      <c r="F2" s="4"/>
      <c r="G2" s="4"/>
    </row>
    <row r="3" spans="1:23" ht="40.9" customHeight="1">
      <c r="A3" s="7"/>
      <c r="B3" s="970" t="s">
        <v>1024</v>
      </c>
      <c r="C3" s="968" t="s">
        <v>1025</v>
      </c>
      <c r="D3" s="968" t="s">
        <v>732</v>
      </c>
      <c r="E3" s="968" t="s">
        <v>733</v>
      </c>
      <c r="F3" s="968" t="s">
        <v>734</v>
      </c>
      <c r="G3" s="968" t="s">
        <v>735</v>
      </c>
      <c r="H3" s="968" t="s">
        <v>736</v>
      </c>
      <c r="I3" s="968" t="s">
        <v>737</v>
      </c>
      <c r="J3" s="968" t="s">
        <v>256</v>
      </c>
      <c r="K3" s="968" t="s">
        <v>1192</v>
      </c>
      <c r="L3" s="968" t="s">
        <v>1193</v>
      </c>
    </row>
    <row r="4" spans="1:23">
      <c r="A4" s="2">
        <v>1981</v>
      </c>
      <c r="B4" s="10">
        <f>'13d'!B4/'1'!$B15*1000</f>
        <v>141.79978399839754</v>
      </c>
      <c r="C4" s="10">
        <f>'13d'!C4/'1'!$B15*1000</f>
        <v>23.519236651110791</v>
      </c>
      <c r="D4" s="10">
        <f>'13d'!D4/'1'!$B15*1000</f>
        <v>34.704780293151565</v>
      </c>
      <c r="E4" s="10">
        <f>'13d'!E4/'1'!$B15*1000</f>
        <v>10.703851599358293</v>
      </c>
      <c r="F4" s="10">
        <f>'13d'!F4/'1'!$B15*1000</f>
        <v>8.876710170812105</v>
      </c>
      <c r="G4" s="10">
        <f>'13d'!G4/'1'!$B15*1000</f>
        <v>8.0376153299851865</v>
      </c>
      <c r="H4" s="10">
        <f>'13d'!H4/'1'!$B15*1000</f>
        <v>25.404005312880905</v>
      </c>
      <c r="I4" s="10">
        <f>'13d'!I4/'1'!$B15*1000</f>
        <v>7.2469501554975855</v>
      </c>
      <c r="J4" s="10">
        <f>'13d'!J4/'1'!$B15*1000</f>
        <v>16.500923357373104</v>
      </c>
      <c r="K4" s="10">
        <f>'13d'!K4/'1'!$B15*1000</f>
        <v>5.3506234893238016</v>
      </c>
      <c r="L4" s="10">
        <f>'13d'!L4/'1'!$B15*1000</f>
        <v>1.4550876389041423</v>
      </c>
      <c r="M4" s="6"/>
      <c r="N4" s="6"/>
      <c r="O4" s="6"/>
      <c r="P4" s="6"/>
      <c r="Q4" s="6"/>
      <c r="R4" s="6"/>
      <c r="S4" s="6"/>
      <c r="T4" s="6"/>
      <c r="U4" s="6"/>
      <c r="V4" s="6"/>
      <c r="W4" s="6"/>
    </row>
    <row r="5" spans="1:23">
      <c r="A5" s="2">
        <v>1982</v>
      </c>
      <c r="B5" s="10">
        <f>'13d'!B5/'1'!$B16*1000</f>
        <v>132.19039878481118</v>
      </c>
      <c r="C5" s="10">
        <f>'13d'!C5/'1'!$B16*1000</f>
        <v>22.388679116548431</v>
      </c>
      <c r="D5" s="10">
        <f>'13d'!D5/'1'!$B16*1000</f>
        <v>34.220256459616436</v>
      </c>
      <c r="E5" s="10">
        <f>'13d'!E5/'1'!$B16*1000</f>
        <v>10.89540998630198</v>
      </c>
      <c r="F5" s="10">
        <f>'13d'!F5/'1'!$B16*1000</f>
        <v>8.1172214922009633</v>
      </c>
      <c r="G5" s="10">
        <f>'13d'!G5/'1'!$B16*1000</f>
        <v>6.5891416739023247</v>
      </c>
      <c r="H5" s="10">
        <f>'13d'!H5/'1'!$B16*1000</f>
        <v>23.169217443364822</v>
      </c>
      <c r="I5" s="10">
        <f>'13d'!I5/'1'!$B16*1000</f>
        <v>6.2002866605798781</v>
      </c>
      <c r="J5" s="10">
        <f>'13d'!J5/'1'!$B16*1000</f>
        <v>16.684360273221856</v>
      </c>
      <c r="K5" s="10">
        <f>'13d'!K5/'1'!$B16*1000</f>
        <v>3.3397873794365309</v>
      </c>
      <c r="L5" s="10">
        <f>'13d'!L5/'1'!$B16*1000</f>
        <v>0.58603829963795218</v>
      </c>
      <c r="M5" s="6"/>
      <c r="N5" s="6"/>
      <c r="O5" s="6"/>
      <c r="P5" s="6"/>
      <c r="Q5" s="6"/>
      <c r="R5" s="6"/>
      <c r="S5" s="6"/>
      <c r="T5" s="6"/>
      <c r="U5" s="6"/>
      <c r="V5" s="6"/>
      <c r="W5" s="6"/>
    </row>
    <row r="6" spans="1:23">
      <c r="A6" s="2">
        <v>1983</v>
      </c>
      <c r="B6" s="10">
        <f>'13d'!B6/'1'!$B17*1000</f>
        <v>131.21808033624851</v>
      </c>
      <c r="C6" s="10">
        <f>'13d'!C6/'1'!$B17*1000</f>
        <v>22.427470663051253</v>
      </c>
      <c r="D6" s="10">
        <f>'13d'!D6/'1'!$B17*1000</f>
        <v>32.827861252922482</v>
      </c>
      <c r="E6" s="10">
        <f>'13d'!E6/'1'!$B17*1000</f>
        <v>10.938119552715236</v>
      </c>
      <c r="F6" s="10">
        <f>'13d'!F6/'1'!$B17*1000</f>
        <v>7.98993993939383</v>
      </c>
      <c r="G6" s="10">
        <f>'13d'!G6/'1'!$B17*1000</f>
        <v>6.2274781337316103</v>
      </c>
      <c r="H6" s="10">
        <f>'13d'!H6/'1'!$B17*1000</f>
        <v>22.445519357576998</v>
      </c>
      <c r="I6" s="10">
        <f>'13d'!I6/'1'!$B17*1000</f>
        <v>5.522018445821308</v>
      </c>
      <c r="J6" s="10">
        <f>'13d'!J6/'1'!$B17*1000</f>
        <v>19.167577881867977</v>
      </c>
      <c r="K6" s="10">
        <f>'13d'!K6/'1'!$B17*1000</f>
        <v>3.1857302882635965</v>
      </c>
      <c r="L6" s="10">
        <f>'13d'!L6/'1'!$B17*1000</f>
        <v>0.48636482090420768</v>
      </c>
      <c r="M6" s="6"/>
      <c r="N6" s="6"/>
      <c r="O6" s="6"/>
      <c r="P6" s="6"/>
      <c r="Q6" s="6"/>
      <c r="R6" s="6"/>
      <c r="S6" s="6"/>
      <c r="T6" s="6"/>
      <c r="U6" s="6"/>
      <c r="V6" s="6"/>
      <c r="W6" s="6"/>
    </row>
    <row r="7" spans="1:23">
      <c r="A7" s="2">
        <v>1984</v>
      </c>
      <c r="B7" s="10">
        <f>'13d'!B7/'1'!$B18*1000</f>
        <v>130.07342272861192</v>
      </c>
      <c r="C7" s="10">
        <f>'13d'!C7/'1'!$B18*1000</f>
        <v>22.628615062206549</v>
      </c>
      <c r="D7" s="10">
        <f>'13d'!D7/'1'!$B18*1000</f>
        <v>32.489888509611127</v>
      </c>
      <c r="E7" s="10">
        <f>'13d'!E7/'1'!$B18*1000</f>
        <v>11.109704762975575</v>
      </c>
      <c r="F7" s="10">
        <f>'13d'!F7/'1'!$B18*1000</f>
        <v>8.054582673474421</v>
      </c>
      <c r="G7" s="10">
        <f>'13d'!G7/'1'!$B18*1000</f>
        <v>6.4254935464607943</v>
      </c>
      <c r="H7" s="10">
        <f>'13d'!H7/'1'!$B18*1000</f>
        <v>22.312527951130523</v>
      </c>
      <c r="I7" s="10">
        <f>'13d'!I7/'1'!$B18*1000</f>
        <v>4.860524027096635</v>
      </c>
      <c r="J7" s="10">
        <f>'13d'!J7/'1'!$B18*1000</f>
        <v>18.172141226026664</v>
      </c>
      <c r="K7" s="10">
        <f>'13d'!K7/'1'!$B18*1000</f>
        <v>3.0841853488477948</v>
      </c>
      <c r="L7" s="10">
        <f>'13d'!L7/'1'!$B18*1000</f>
        <v>0.93575962078183939</v>
      </c>
      <c r="M7" s="6"/>
      <c r="N7" s="6"/>
      <c r="O7" s="6"/>
      <c r="P7" s="6"/>
      <c r="Q7" s="6"/>
      <c r="R7" s="6"/>
      <c r="S7" s="6"/>
      <c r="T7" s="6"/>
      <c r="U7" s="6"/>
      <c r="V7" s="6"/>
      <c r="W7" s="6"/>
    </row>
    <row r="8" spans="1:23">
      <c r="A8" s="2">
        <v>1985</v>
      </c>
      <c r="B8" s="10">
        <f>'13d'!B8/'1'!$B19*1000</f>
        <v>128.01368295245032</v>
      </c>
      <c r="C8" s="10">
        <f>'13d'!C8/'1'!$B19*1000</f>
        <v>23.243464949244771</v>
      </c>
      <c r="D8" s="10">
        <f>'13d'!D8/'1'!$B19*1000</f>
        <v>32.523320790427078</v>
      </c>
      <c r="E8" s="10">
        <f>'13d'!E8/'1'!$B19*1000</f>
        <v>11.40595329941125</v>
      </c>
      <c r="F8" s="10">
        <f>'13d'!F8/'1'!$B19*1000</f>
        <v>8.3514464380179856</v>
      </c>
      <c r="G8" s="10">
        <f>'13d'!G8/'1'!$B19*1000</f>
        <v>6.4668644130171202</v>
      </c>
      <c r="H8" s="10">
        <f>'13d'!H8/'1'!$B19*1000</f>
        <v>21.616921157964931</v>
      </c>
      <c r="I8" s="10">
        <f>'13d'!I8/'1'!$B19*1000</f>
        <v>4.3985046219383381</v>
      </c>
      <c r="J8" s="10">
        <f>'13d'!J8/'1'!$B19*1000</f>
        <v>16.738825360379415</v>
      </c>
      <c r="K8" s="10">
        <f>'13d'!K8/'1'!$B19*1000</f>
        <v>2.9090570786150201</v>
      </c>
      <c r="L8" s="10">
        <f>'13d'!L8/'1'!$B19*1000</f>
        <v>0.35932484343442639</v>
      </c>
      <c r="M8" s="6"/>
      <c r="N8" s="6"/>
      <c r="O8" s="6"/>
      <c r="P8" s="6"/>
      <c r="Q8" s="6"/>
      <c r="R8" s="6"/>
      <c r="S8" s="6"/>
      <c r="T8" s="6"/>
      <c r="U8" s="6"/>
      <c r="V8" s="6"/>
      <c r="W8" s="6"/>
    </row>
    <row r="9" spans="1:23">
      <c r="A9" s="2">
        <v>1986</v>
      </c>
      <c r="B9" s="10">
        <f>'13d'!B9/'1'!$B20*1000</f>
        <v>122.70737676975946</v>
      </c>
      <c r="C9" s="10">
        <f>'13d'!C9/'1'!$B20*1000</f>
        <v>24.70613110879135</v>
      </c>
      <c r="D9" s="10">
        <f>'13d'!D9/'1'!$B20*1000</f>
        <v>32.204357475687786</v>
      </c>
      <c r="E9" s="10">
        <f>'13d'!E9/'1'!$B20*1000</f>
        <v>11.480346833947097</v>
      </c>
      <c r="F9" s="10">
        <f>'13d'!F9/'1'!$B20*1000</f>
        <v>8.9610997676711062</v>
      </c>
      <c r="G9" s="10">
        <f>'13d'!G9/'1'!$B20*1000</f>
        <v>6.4398085216918703</v>
      </c>
      <c r="H9" s="10">
        <f>'13d'!H9/'1'!$B20*1000</f>
        <v>22.225081000398806</v>
      </c>
      <c r="I9" s="10">
        <f>'13d'!I9/'1'!$B20*1000</f>
        <v>4.6882969468193636</v>
      </c>
      <c r="J9" s="10">
        <f>'13d'!J9/'1'!$B20*1000</f>
        <v>9.1022649774635891</v>
      </c>
      <c r="K9" s="10">
        <f>'13d'!K9/'1'!$B20*1000</f>
        <v>2.6416642279330245</v>
      </c>
      <c r="L9" s="10">
        <f>'13d'!L9/'1'!$B20*1000</f>
        <v>0.25832590935546695</v>
      </c>
      <c r="M9" s="6"/>
      <c r="N9" s="6"/>
      <c r="O9" s="6"/>
      <c r="P9" s="6"/>
      <c r="Q9" s="6"/>
      <c r="R9" s="6"/>
      <c r="S9" s="6"/>
      <c r="T9" s="6"/>
      <c r="U9" s="6"/>
      <c r="V9" s="6"/>
      <c r="W9" s="6"/>
    </row>
    <row r="10" spans="1:23">
      <c r="A10" s="2">
        <v>1987</v>
      </c>
      <c r="B10" s="10">
        <f>'13d'!B10/'1'!$B21*1000</f>
        <v>126.16802168517432</v>
      </c>
      <c r="C10" s="10">
        <f>'13d'!C10/'1'!$B21*1000</f>
        <v>26.35239919342807</v>
      </c>
      <c r="D10" s="10">
        <f>'13d'!D10/'1'!$B21*1000</f>
        <v>31.814224526992383</v>
      </c>
      <c r="E10" s="10">
        <f>'13d'!E10/'1'!$B21*1000</f>
        <v>11.369446367751838</v>
      </c>
      <c r="F10" s="10">
        <f>'13d'!F10/'1'!$B21*1000</f>
        <v>9.2137735469571265</v>
      </c>
      <c r="G10" s="10">
        <f>'13d'!G10/'1'!$B21*1000</f>
        <v>6.4953912942464784</v>
      </c>
      <c r="H10" s="10">
        <f>'13d'!H10/'1'!$B21*1000</f>
        <v>23.226750883362524</v>
      </c>
      <c r="I10" s="10">
        <f>'13d'!I10/'1'!$B21*1000</f>
        <v>6.0141571538263134</v>
      </c>
      <c r="J10" s="10">
        <f>'13d'!J10/'1'!$B21*1000</f>
        <v>8.0517018419645474</v>
      </c>
      <c r="K10" s="10">
        <f>'13d'!K10/'1'!$B21*1000</f>
        <v>3.1977395910231881</v>
      </c>
      <c r="L10" s="10">
        <f>'13d'!L10/'1'!$B21*1000</f>
        <v>0.43243728562188249</v>
      </c>
      <c r="M10" s="6"/>
      <c r="N10" s="6"/>
      <c r="O10" s="6"/>
      <c r="P10" s="6"/>
      <c r="Q10" s="6"/>
      <c r="R10" s="6"/>
      <c r="S10" s="6"/>
      <c r="T10" s="6"/>
      <c r="U10" s="6"/>
      <c r="V10" s="6"/>
      <c r="W10" s="6"/>
    </row>
    <row r="11" spans="1:23">
      <c r="A11" s="2">
        <v>1988</v>
      </c>
      <c r="B11" s="10">
        <f>'13d'!B11/'1'!$B22*1000</f>
        <v>130.15521810344444</v>
      </c>
      <c r="C11" s="10">
        <f>'13d'!C11/'1'!$B22*1000</f>
        <v>27.666787575804889</v>
      </c>
      <c r="D11" s="10">
        <f>'13d'!D11/'1'!$B22*1000</f>
        <v>32.314579745166306</v>
      </c>
      <c r="E11" s="10">
        <f>'13d'!E11/'1'!$B22*1000</f>
        <v>11.416709612315239</v>
      </c>
      <c r="F11" s="10">
        <f>'13d'!F11/'1'!$B22*1000</f>
        <v>9.6880727209922881</v>
      </c>
      <c r="G11" s="10">
        <f>'13d'!G11/'1'!$B22*1000</f>
        <v>6.631989480553953</v>
      </c>
      <c r="H11" s="10">
        <f>'13d'!H11/'1'!$B22*1000</f>
        <v>24.469687406248774</v>
      </c>
      <c r="I11" s="10">
        <f>'13d'!I11/'1'!$B22*1000</f>
        <v>7.3864038400089527</v>
      </c>
      <c r="J11" s="10">
        <f>'13d'!J11/'1'!$B22*1000</f>
        <v>5.3225241004673416</v>
      </c>
      <c r="K11" s="10">
        <f>'13d'!K11/'1'!$B22*1000</f>
        <v>4.4111563262247486</v>
      </c>
      <c r="L11" s="10">
        <f>'13d'!L11/'1'!$B22*1000</f>
        <v>0.84730729566195184</v>
      </c>
      <c r="M11" s="6"/>
      <c r="N11" s="6"/>
      <c r="O11" s="6"/>
      <c r="P11" s="6"/>
      <c r="Q11" s="6"/>
      <c r="R11" s="6"/>
      <c r="S11" s="6"/>
      <c r="T11" s="6"/>
      <c r="U11" s="6"/>
      <c r="V11" s="6"/>
      <c r="W11" s="6"/>
    </row>
    <row r="12" spans="1:23">
      <c r="A12" s="2">
        <v>1989</v>
      </c>
      <c r="B12" s="10">
        <f>'13d'!B12/'1'!$B23*1000</f>
        <v>132.2850434744411</v>
      </c>
      <c r="C12" s="10">
        <f>'13d'!C12/'1'!$B23*1000</f>
        <v>27.976674973620842</v>
      </c>
      <c r="D12" s="10">
        <f>'13d'!D12/'1'!$B23*1000</f>
        <v>32.330929732491981</v>
      </c>
      <c r="E12" s="10">
        <f>'13d'!E12/'1'!$B23*1000</f>
        <v>11.57813200622884</v>
      </c>
      <c r="F12" s="10">
        <f>'13d'!F12/'1'!$B23*1000</f>
        <v>9.8392728174036463</v>
      </c>
      <c r="G12" s="10">
        <f>'13d'!G12/'1'!$B23*1000</f>
        <v>6.5207464642558843</v>
      </c>
      <c r="H12" s="10">
        <f>'13d'!H12/'1'!$B23*1000</f>
        <v>25.769748101913841</v>
      </c>
      <c r="I12" s="10">
        <f>'13d'!I12/'1'!$B23*1000</f>
        <v>7.9847935590582217</v>
      </c>
      <c r="J12" s="10">
        <f>'13d'!J12/'1'!$B23*1000</f>
        <v>5.1252185967487032</v>
      </c>
      <c r="K12" s="10">
        <f>'13d'!K12/'1'!$B23*1000</f>
        <v>4.2744626973285644</v>
      </c>
      <c r="L12" s="10">
        <f>'13d'!L12/'1'!$B23*1000</f>
        <v>0.8850645253905336</v>
      </c>
      <c r="M12" s="6"/>
      <c r="N12" s="6"/>
      <c r="O12" s="6"/>
      <c r="P12" s="6"/>
      <c r="Q12" s="6"/>
      <c r="R12" s="6"/>
      <c r="S12" s="6"/>
      <c r="T12" s="6"/>
      <c r="U12" s="6"/>
      <c r="V12" s="6"/>
      <c r="W12" s="6"/>
    </row>
    <row r="13" spans="1:23">
      <c r="A13" s="2">
        <v>1990</v>
      </c>
      <c r="B13" s="10">
        <f>'13d'!B13/'1'!$B24*1000</f>
        <v>129.63317184799007</v>
      </c>
      <c r="C13" s="10">
        <f>'13d'!C13/'1'!$B24*1000</f>
        <v>27.672321058978856</v>
      </c>
      <c r="D13" s="10">
        <f>'13d'!D13/'1'!$B24*1000</f>
        <v>32.121314960263554</v>
      </c>
      <c r="E13" s="10">
        <f>'13d'!E13/'1'!$B24*1000</f>
        <v>11.509336765179576</v>
      </c>
      <c r="F13" s="10">
        <f>'13d'!F13/'1'!$B24*1000</f>
        <v>9.5674073762943088</v>
      </c>
      <c r="G13" s="10">
        <f>'13d'!G13/'1'!$B24*1000</f>
        <v>6.0444446530297222</v>
      </c>
      <c r="H13" s="10">
        <f>'13d'!H13/'1'!$B24*1000</f>
        <v>24.727482953468467</v>
      </c>
      <c r="I13" s="10">
        <f>'13d'!I13/'1'!$B24*1000</f>
        <v>7.92013683369807</v>
      </c>
      <c r="J13" s="10">
        <f>'13d'!J13/'1'!$B24*1000</f>
        <v>6.354948839810139</v>
      </c>
      <c r="K13" s="10">
        <f>'13d'!K13/'1'!$B24*1000</f>
        <v>3.0067915443502806</v>
      </c>
      <c r="L13" s="10">
        <f>'13d'!L13/'1'!$B24*1000</f>
        <v>0.70898686291709967</v>
      </c>
      <c r="M13" s="6"/>
      <c r="N13" s="6"/>
      <c r="O13" s="6"/>
      <c r="P13" s="6"/>
      <c r="Q13" s="6"/>
      <c r="R13" s="6"/>
      <c r="S13" s="6"/>
      <c r="T13" s="6"/>
      <c r="U13" s="6"/>
      <c r="V13" s="6"/>
      <c r="W13" s="6"/>
    </row>
    <row r="14" spans="1:23">
      <c r="A14" s="2">
        <v>1991</v>
      </c>
      <c r="B14" s="10">
        <f>'13d'!B14/'1'!$B25*1000</f>
        <v>120.88076515630526</v>
      </c>
      <c r="C14" s="10">
        <f>'13d'!C14/'1'!$B25*1000</f>
        <v>27.374647622842016</v>
      </c>
      <c r="D14" s="10">
        <f>'13d'!D14/'1'!$B25*1000</f>
        <v>29.960606787002124</v>
      </c>
      <c r="E14" s="10">
        <f>'13d'!E14/'1'!$B25*1000</f>
        <v>11.069488682683449</v>
      </c>
      <c r="F14" s="10">
        <f>'13d'!F14/'1'!$B25*1000</f>
        <v>9.0536785281817487</v>
      </c>
      <c r="G14" s="10">
        <f>'13d'!G14/'1'!$B25*1000</f>
        <v>5.3190215972823927</v>
      </c>
      <c r="H14" s="10">
        <f>'13d'!H14/'1'!$B25*1000</f>
        <v>24.471479535508408</v>
      </c>
      <c r="I14" s="10">
        <f>'13d'!I14/'1'!$B25*1000</f>
        <v>6.8245147891501263</v>
      </c>
      <c r="J14" s="10">
        <f>'13d'!J14/'1'!$B25*1000</f>
        <v>4.0198175869841748</v>
      </c>
      <c r="K14" s="10">
        <f>'13d'!K14/'1'!$B25*1000</f>
        <v>2.1152287034811179</v>
      </c>
      <c r="L14" s="10">
        <f>'13d'!L14/'1'!$B25*1000</f>
        <v>0.67228132318969158</v>
      </c>
      <c r="M14" s="6"/>
      <c r="N14" s="6"/>
      <c r="O14" s="6"/>
      <c r="P14" s="6"/>
      <c r="Q14" s="6"/>
      <c r="R14" s="6"/>
      <c r="S14" s="6"/>
      <c r="T14" s="6"/>
      <c r="U14" s="6"/>
      <c r="V14" s="6"/>
      <c r="W14" s="6"/>
    </row>
    <row r="15" spans="1:23">
      <c r="A15" s="2">
        <v>1992</v>
      </c>
      <c r="B15" s="10">
        <f>'13d'!B15/'1'!$B26*1000</f>
        <v>119.25648229339177</v>
      </c>
      <c r="C15" s="10">
        <f>'13d'!C15/'1'!$B26*1000</f>
        <v>28.003141622788601</v>
      </c>
      <c r="D15" s="10">
        <f>'13d'!D15/'1'!$B26*1000</f>
        <v>29.251680251438316</v>
      </c>
      <c r="E15" s="10">
        <f>'13d'!E15/'1'!$B26*1000</f>
        <v>10.702520959906742</v>
      </c>
      <c r="F15" s="10">
        <f>'13d'!F15/'1'!$B26*1000</f>
        <v>8.9232222871034317</v>
      </c>
      <c r="G15" s="10">
        <f>'13d'!G15/'1'!$B26*1000</f>
        <v>5.1075741050287125</v>
      </c>
      <c r="H15" s="10">
        <f>'13d'!H15/'1'!$B26*1000</f>
        <v>24.877410165037816</v>
      </c>
      <c r="I15" s="10">
        <f>'13d'!I15/'1'!$B26*1000</f>
        <v>5.7461729754511639</v>
      </c>
      <c r="J15" s="10">
        <f>'13d'!J15/'1'!$B26*1000</f>
        <v>3.9697695863103228</v>
      </c>
      <c r="K15" s="10">
        <f>'13d'!K15/'1'!$B26*1000</f>
        <v>1.961198015945524</v>
      </c>
      <c r="L15" s="10">
        <f>'13d'!L15/'1'!$B26*1000</f>
        <v>0.71379232438112294</v>
      </c>
      <c r="M15" s="6"/>
      <c r="N15" s="6"/>
      <c r="O15" s="6"/>
      <c r="P15" s="6"/>
      <c r="Q15" s="6"/>
      <c r="R15" s="6"/>
      <c r="S15" s="6"/>
      <c r="T15" s="6"/>
      <c r="U15" s="6"/>
      <c r="V15" s="6"/>
      <c r="W15" s="6"/>
    </row>
    <row r="16" spans="1:23">
      <c r="A16" s="2">
        <v>1993</v>
      </c>
      <c r="B16" s="10">
        <f>'13d'!B16/'1'!$B27*1000</f>
        <v>119.46265890735911</v>
      </c>
      <c r="C16" s="10">
        <f>'13d'!C16/'1'!$B27*1000</f>
        <v>28.830717814118959</v>
      </c>
      <c r="D16" s="10">
        <f>'13d'!D16/'1'!$B27*1000</f>
        <v>28.882969656794078</v>
      </c>
      <c r="E16" s="10">
        <f>'13d'!E16/'1'!$B27*1000</f>
        <v>10.843132970533551</v>
      </c>
      <c r="F16" s="10">
        <f>'13d'!F16/'1'!$B27*1000</f>
        <v>8.9162088206266077</v>
      </c>
      <c r="G16" s="10">
        <f>'13d'!G16/'1'!$B27*1000</f>
        <v>5.0697319810809933</v>
      </c>
      <c r="H16" s="10">
        <f>'13d'!H16/'1'!$B27*1000</f>
        <v>25.568622650758297</v>
      </c>
      <c r="I16" s="10">
        <f>'13d'!I16/'1'!$B27*1000</f>
        <v>4.834822683691991</v>
      </c>
      <c r="J16" s="10">
        <f>'13d'!J16/'1'!$B27*1000</f>
        <v>4.4581044103133038</v>
      </c>
      <c r="K16" s="10">
        <f>'13d'!K16/'1'!$B27*1000</f>
        <v>1.4217958531809045</v>
      </c>
      <c r="L16" s="10">
        <f>'13d'!L16/'1'!$B27*1000</f>
        <v>0.6365520662604206</v>
      </c>
      <c r="M16" s="6"/>
      <c r="N16" s="6"/>
      <c r="O16" s="6"/>
      <c r="P16" s="6"/>
      <c r="Q16" s="6"/>
      <c r="R16" s="6"/>
      <c r="S16" s="6"/>
      <c r="T16" s="6"/>
      <c r="U16" s="6"/>
      <c r="V16" s="6"/>
      <c r="W16" s="6"/>
    </row>
    <row r="17" spans="1:23">
      <c r="A17" s="2">
        <v>1994</v>
      </c>
      <c r="B17" s="10">
        <f>'13d'!B17/'1'!$B28*1000</f>
        <v>124.52980498473326</v>
      </c>
      <c r="C17" s="10">
        <f>'13d'!C17/'1'!$B28*1000</f>
        <v>29.755325042936807</v>
      </c>
      <c r="D17" s="10">
        <f>'13d'!D17/'1'!$B28*1000</f>
        <v>29.666203031039853</v>
      </c>
      <c r="E17" s="10">
        <f>'13d'!E17/'1'!$B28*1000</f>
        <v>11.303769255222432</v>
      </c>
      <c r="F17" s="10">
        <f>'13d'!F17/'1'!$B28*1000</f>
        <v>9.1374002418790159</v>
      </c>
      <c r="G17" s="10">
        <f>'13d'!G17/'1'!$B28*1000</f>
        <v>5.2923990225126545</v>
      </c>
      <c r="H17" s="10">
        <f>'13d'!H17/'1'!$B28*1000</f>
        <v>26.854856206992991</v>
      </c>
      <c r="I17" s="10">
        <f>'13d'!I17/'1'!$B28*1000</f>
        <v>5.1049812656657014</v>
      </c>
      <c r="J17" s="10">
        <f>'13d'!J17/'1'!$B28*1000</f>
        <v>4.5985751068688465</v>
      </c>
      <c r="K17" s="10">
        <f>'13d'!K17/'1'!$B28*1000</f>
        <v>1.9408480757892799</v>
      </c>
      <c r="L17" s="10">
        <f>'13d'!L17/'1'!$B28*1000</f>
        <v>0.87544773582567625</v>
      </c>
      <c r="M17" s="6"/>
      <c r="N17" s="6"/>
      <c r="O17" s="6"/>
      <c r="P17" s="6"/>
      <c r="Q17" s="6"/>
      <c r="R17" s="6"/>
      <c r="S17" s="6"/>
      <c r="T17" s="6"/>
      <c r="U17" s="6"/>
      <c r="V17" s="6"/>
      <c r="W17" s="6"/>
    </row>
    <row r="18" spans="1:23">
      <c r="A18" s="2">
        <v>1995</v>
      </c>
      <c r="B18" s="10">
        <f>'13d'!B18/'1'!$B29*1000</f>
        <v>125.35190335741791</v>
      </c>
      <c r="C18" s="10">
        <f>'13d'!C18/'1'!$B29*1000</f>
        <v>29.20671345387202</v>
      </c>
      <c r="D18" s="10">
        <f>'13d'!D18/'1'!$B29*1000</f>
        <v>29.597537740547587</v>
      </c>
      <c r="E18" s="10">
        <f>'13d'!E18/'1'!$B29*1000</f>
        <v>11.369901287364121</v>
      </c>
      <c r="F18" s="10">
        <f>'13d'!F18/'1'!$B29*1000</f>
        <v>9.0057493897458372</v>
      </c>
      <c r="G18" s="10">
        <f>'13d'!G18/'1'!$B29*1000</f>
        <v>5.7258562956965484</v>
      </c>
      <c r="H18" s="10">
        <f>'13d'!H18/'1'!$B29*1000</f>
        <v>26.235950215760791</v>
      </c>
      <c r="I18" s="10">
        <f>'13d'!I18/'1'!$B29*1000</f>
        <v>6.8195175995086625</v>
      </c>
      <c r="J18" s="10">
        <f>'13d'!J18/'1'!$B29*1000</f>
        <v>3.8464168955680336</v>
      </c>
      <c r="K18" s="10">
        <f>'13d'!K18/'1'!$B29*1000</f>
        <v>2.5390332994211766</v>
      </c>
      <c r="L18" s="10">
        <f>'13d'!L18/'1'!$B29*1000</f>
        <v>1.0052271799331729</v>
      </c>
      <c r="M18" s="6"/>
      <c r="N18" s="6"/>
      <c r="O18" s="6"/>
      <c r="P18" s="6"/>
      <c r="Q18" s="6"/>
      <c r="R18" s="6"/>
      <c r="S18" s="6"/>
      <c r="T18" s="6"/>
      <c r="U18" s="6"/>
      <c r="V18" s="6"/>
      <c r="W18" s="6"/>
    </row>
    <row r="19" spans="1:23">
      <c r="A19" s="2">
        <v>1996</v>
      </c>
      <c r="B19" s="10">
        <f>'13d'!B19/'1'!$B30*1000</f>
        <v>128.41100461570281</v>
      </c>
      <c r="C19" s="10">
        <f>'13d'!C19/'1'!$B30*1000</f>
        <v>29.267934510304599</v>
      </c>
      <c r="D19" s="10">
        <f>'13d'!D19/'1'!$B30*1000</f>
        <v>29.958496600669665</v>
      </c>
      <c r="E19" s="10">
        <f>'13d'!E19/'1'!$B30*1000</f>
        <v>11.211661884114921</v>
      </c>
      <c r="F19" s="10">
        <f>'13d'!F19/'1'!$B30*1000</f>
        <v>8.9790546638071476</v>
      </c>
      <c r="G19" s="10">
        <f>'13d'!G19/'1'!$B30*1000</f>
        <v>5.7367026771937599</v>
      </c>
      <c r="H19" s="10">
        <f>'13d'!H19/'1'!$B30*1000</f>
        <v>26.61653773756067</v>
      </c>
      <c r="I19" s="10">
        <f>'13d'!I19/'1'!$B30*1000</f>
        <v>8.3661418699932</v>
      </c>
      <c r="J19" s="10">
        <f>'13d'!J19/'1'!$B30*1000</f>
        <v>5.1455955077537565</v>
      </c>
      <c r="K19" s="10">
        <f>'13d'!K19/'1'!$B30*1000</f>
        <v>2.3058118164203014</v>
      </c>
      <c r="L19" s="10">
        <f>'13d'!L19/'1'!$B30*1000</f>
        <v>0.82306734788477598</v>
      </c>
      <c r="M19" s="6"/>
      <c r="N19" s="6"/>
      <c r="O19" s="6"/>
      <c r="P19" s="6"/>
      <c r="Q19" s="6"/>
      <c r="R19" s="6"/>
      <c r="S19" s="6"/>
      <c r="T19" s="6"/>
      <c r="U19" s="6"/>
      <c r="V19" s="6"/>
      <c r="W19" s="6"/>
    </row>
    <row r="20" spans="1:23">
      <c r="A20" s="2">
        <v>1997</v>
      </c>
      <c r="B20" s="10">
        <f>'13d'!B20/'1'!$B31*1000</f>
        <v>131.37821426853907</v>
      </c>
      <c r="C20" s="10">
        <f>'13d'!C20/'1'!$B31*1000</f>
        <v>29.549719988161915</v>
      </c>
      <c r="D20" s="10">
        <f>'13d'!D20/'1'!$B31*1000</f>
        <v>30.293497207056916</v>
      </c>
      <c r="E20" s="10">
        <f>'13d'!E20/'1'!$B31*1000</f>
        <v>11.703838331123073</v>
      </c>
      <c r="F20" s="10">
        <f>'13d'!F20/'1'!$B31*1000</f>
        <v>9.1249199166324182</v>
      </c>
      <c r="G20" s="10">
        <f>'13d'!G20/'1'!$B31*1000</f>
        <v>5.8732064039479548</v>
      </c>
      <c r="H20" s="10">
        <f>'13d'!H20/'1'!$B31*1000</f>
        <v>27.284395330474116</v>
      </c>
      <c r="I20" s="10">
        <f>'13d'!I20/'1'!$B31*1000</f>
        <v>9.5592461601307814</v>
      </c>
      <c r="J20" s="10">
        <f>'13d'!J20/'1'!$B31*1000</f>
        <v>4.930094818998394</v>
      </c>
      <c r="K20" s="10">
        <f>'13d'!K20/'1'!$B31*1000</f>
        <v>2.0283353677802896</v>
      </c>
      <c r="L20" s="10">
        <f>'13d'!L20/'1'!$B31*1000</f>
        <v>1.0309607442332087</v>
      </c>
      <c r="M20" s="6"/>
      <c r="N20" s="6"/>
      <c r="O20" s="6"/>
      <c r="P20" s="6"/>
      <c r="Q20" s="6"/>
      <c r="R20" s="6"/>
      <c r="S20" s="6"/>
      <c r="T20" s="6"/>
      <c r="U20" s="6"/>
      <c r="V20" s="6"/>
      <c r="W20" s="6"/>
    </row>
    <row r="21" spans="1:23">
      <c r="A21" s="2">
        <v>1998</v>
      </c>
      <c r="B21" s="10">
        <f>'13d'!B21/'1'!$B32*1000</f>
        <v>133.3176522472572</v>
      </c>
      <c r="C21" s="10">
        <f>'13d'!C21/'1'!$B32*1000</f>
        <v>30.135364514059994</v>
      </c>
      <c r="D21" s="10">
        <f>'13d'!D21/'1'!$B32*1000</f>
        <v>30.727482545906373</v>
      </c>
      <c r="E21" s="10">
        <f>'13d'!E21/'1'!$B32*1000</f>
        <v>12.460521401495892</v>
      </c>
      <c r="F21" s="10">
        <f>'13d'!F21/'1'!$B32*1000</f>
        <v>9.4045501876922657</v>
      </c>
      <c r="G21" s="10">
        <f>'13d'!G21/'1'!$B32*1000</f>
        <v>6.1837143102552989</v>
      </c>
      <c r="H21" s="10">
        <f>'13d'!H21/'1'!$B32*1000</f>
        <v>27.990634692905235</v>
      </c>
      <c r="I21" s="10">
        <f>'13d'!I21/'1'!$B32*1000</f>
        <v>10.18906480981531</v>
      </c>
      <c r="J21" s="10">
        <f>'13d'!J21/'1'!$B32*1000</f>
        <v>3.4155207413000861</v>
      </c>
      <c r="K21" s="10">
        <f>'13d'!K21/'1'!$B32*1000</f>
        <v>1.5938733574704138</v>
      </c>
      <c r="L21" s="10">
        <f>'13d'!L21/'1'!$B32*1000</f>
        <v>1.216925686356336</v>
      </c>
      <c r="M21" s="6"/>
      <c r="N21" s="6"/>
      <c r="O21" s="6"/>
      <c r="P21" s="6"/>
      <c r="Q21" s="6"/>
      <c r="R21" s="6"/>
      <c r="S21" s="6"/>
      <c r="T21" s="6"/>
      <c r="U21" s="6"/>
      <c r="V21" s="6"/>
      <c r="W21" s="6"/>
    </row>
    <row r="22" spans="1:23">
      <c r="A22" s="2">
        <v>1999</v>
      </c>
      <c r="B22" s="10">
        <f>'13d'!B22/'1'!$B33*1000</f>
        <v>138.71941649005137</v>
      </c>
      <c r="C22" s="10">
        <f>'13d'!C22/'1'!$B33*1000</f>
        <v>30.853249809060838</v>
      </c>
      <c r="D22" s="10">
        <f>'13d'!D22/'1'!$B33*1000</f>
        <v>31.009679087673931</v>
      </c>
      <c r="E22" s="10">
        <f>'13d'!E22/'1'!$B33*1000</f>
        <v>12.820367244921488</v>
      </c>
      <c r="F22" s="10">
        <f>'13d'!F22/'1'!$B33*1000</f>
        <v>9.8204516587348447</v>
      </c>
      <c r="G22" s="10">
        <f>'13d'!G22/'1'!$B33*1000</f>
        <v>6.3450519660531439</v>
      </c>
      <c r="H22" s="10">
        <f>'13d'!H22/'1'!$B33*1000</f>
        <v>28.909391186186554</v>
      </c>
      <c r="I22" s="10">
        <f>'13d'!I22/'1'!$B33*1000</f>
        <v>10.266370702386554</v>
      </c>
      <c r="J22" s="10">
        <f>'13d'!J22/'1'!$B33*1000</f>
        <v>6.00949735459632</v>
      </c>
      <c r="K22" s="10">
        <f>'13d'!K22/'1'!$B33*1000</f>
        <v>1.608658084026364</v>
      </c>
      <c r="L22" s="10">
        <f>'13d'!L22/'1'!$B33*1000</f>
        <v>1.0766993964113682</v>
      </c>
      <c r="M22" s="6"/>
      <c r="N22" s="6"/>
      <c r="O22" s="6"/>
      <c r="P22" s="6"/>
      <c r="Q22" s="6"/>
      <c r="R22" s="6"/>
      <c r="S22" s="6"/>
      <c r="T22" s="6"/>
      <c r="U22" s="6"/>
      <c r="V22" s="6"/>
      <c r="W22" s="6"/>
    </row>
    <row r="23" spans="1:23">
      <c r="A23" s="2">
        <v>2000</v>
      </c>
      <c r="B23" s="10">
        <f>'13d'!B23/'1'!$B34*1000</f>
        <v>147.63365027447281</v>
      </c>
      <c r="C23" s="10">
        <f>'13d'!C23/'1'!$B34*1000</f>
        <v>30.949929299521077</v>
      </c>
      <c r="D23" s="10">
        <f>'13d'!D23/'1'!$B34*1000</f>
        <v>31.428098010998454</v>
      </c>
      <c r="E23" s="10">
        <f>'13d'!E23/'1'!$B34*1000</f>
        <v>13.244193858624747</v>
      </c>
      <c r="F23" s="10">
        <f>'13d'!F23/'1'!$B34*1000</f>
        <v>9.9923870061902811</v>
      </c>
      <c r="G23" s="10">
        <f>'13d'!G23/'1'!$B34*1000</f>
        <v>6.6534726945282605</v>
      </c>
      <c r="H23" s="10">
        <f>'13d'!H23/'1'!$B34*1000</f>
        <v>29.488812690289613</v>
      </c>
      <c r="I23" s="10">
        <f>'13d'!I23/'1'!$B34*1000</f>
        <v>9.9668354848168654</v>
      </c>
      <c r="J23" s="10">
        <f>'13d'!J23/'1'!$B34*1000</f>
        <v>12.84315794829867</v>
      </c>
      <c r="K23" s="10">
        <f>'13d'!K23/'1'!$B34*1000</f>
        <v>2.0970352213805432</v>
      </c>
      <c r="L23" s="10">
        <f>'13d'!L23/'1'!$B34*1000</f>
        <v>0.9697280598242497</v>
      </c>
      <c r="M23" s="6"/>
      <c r="N23" s="6"/>
      <c r="O23" s="6"/>
      <c r="P23" s="6"/>
      <c r="Q23" s="6"/>
      <c r="R23" s="6"/>
      <c r="S23" s="6"/>
      <c r="T23" s="6"/>
      <c r="U23" s="6"/>
      <c r="V23" s="6"/>
      <c r="W23" s="6"/>
    </row>
    <row r="24" spans="1:23">
      <c r="A24" s="2">
        <v>2001</v>
      </c>
      <c r="B24" s="10">
        <f>'13d'!B24/'1'!$B35*1000</f>
        <v>146.17695364556189</v>
      </c>
      <c r="C24" s="10">
        <f>'13d'!C24/'1'!$B35*1000</f>
        <v>31.590914958109103</v>
      </c>
      <c r="D24" s="10">
        <f>'13d'!D24/'1'!$B35*1000</f>
        <v>31.190507550048729</v>
      </c>
      <c r="E24" s="10">
        <f>'13d'!E24/'1'!$B35*1000</f>
        <v>13.453781208576482</v>
      </c>
      <c r="F24" s="10">
        <f>'13d'!F24/'1'!$B35*1000</f>
        <v>10.153444491493003</v>
      </c>
      <c r="G24" s="10">
        <f>'13d'!G24/'1'!$B35*1000</f>
        <v>6.2768731567834859</v>
      </c>
      <c r="H24" s="10">
        <f>'13d'!H24/'1'!$B35*1000</f>
        <v>30.529128260073968</v>
      </c>
      <c r="I24" s="10">
        <f>'13d'!I24/'1'!$B35*1000</f>
        <v>9.9037131567218299</v>
      </c>
      <c r="J24" s="10">
        <f>'13d'!J24/'1'!$B35*1000</f>
        <v>10.788947448601423</v>
      </c>
      <c r="K24" s="10">
        <f>'13d'!K24/'1'!$B35*1000</f>
        <v>1.3955749102702064</v>
      </c>
      <c r="L24" s="10">
        <f>'13d'!L24/'1'!$B35*1000</f>
        <v>0.89406850488364342</v>
      </c>
      <c r="M24" s="6"/>
      <c r="N24" s="6"/>
      <c r="O24" s="6"/>
      <c r="P24" s="6"/>
      <c r="Q24" s="6"/>
      <c r="R24" s="6"/>
      <c r="S24" s="6"/>
      <c r="T24" s="6"/>
      <c r="U24" s="6"/>
      <c r="V24" s="6"/>
      <c r="W24" s="6"/>
    </row>
    <row r="25" spans="1:23">
      <c r="A25" s="2">
        <v>2002</v>
      </c>
      <c r="B25" s="10">
        <f>'13d'!B25/'1'!$B36*1000</f>
        <v>148.12766970461115</v>
      </c>
      <c r="C25" s="10">
        <f>'13d'!C25/'1'!$B36*1000</f>
        <v>32.891730393418875</v>
      </c>
      <c r="D25" s="10">
        <f>'13d'!D25/'1'!$B36*1000</f>
        <v>31.140355689301433</v>
      </c>
      <c r="E25" s="10">
        <f>'13d'!E25/'1'!$B36*1000</f>
        <v>13.432851339569458</v>
      </c>
      <c r="F25" s="10">
        <f>'13d'!F25/'1'!$B36*1000</f>
        <v>10.552070865356182</v>
      </c>
      <c r="G25" s="10">
        <f>'13d'!G25/'1'!$B36*1000</f>
        <v>6.1358394695661653</v>
      </c>
      <c r="H25" s="10">
        <f>'13d'!H25/'1'!$B36*1000</f>
        <v>32.332880095386642</v>
      </c>
      <c r="I25" s="10">
        <f>'13d'!I25/'1'!$B36*1000</f>
        <v>9.6728113620944232</v>
      </c>
      <c r="J25" s="10">
        <f>'13d'!J25/'1'!$B36*1000</f>
        <v>9.7684620893971648</v>
      </c>
      <c r="K25" s="10">
        <f>'13d'!K25/'1'!$B36*1000</f>
        <v>1.2878880855234236</v>
      </c>
      <c r="L25" s="10">
        <f>'13d'!L25/'1'!$B36*1000</f>
        <v>0.9127803149973962</v>
      </c>
      <c r="M25" s="6"/>
      <c r="N25" s="6"/>
      <c r="O25" s="6"/>
      <c r="P25" s="6"/>
      <c r="Q25" s="6"/>
      <c r="R25" s="6"/>
      <c r="S25" s="6"/>
      <c r="T25" s="6"/>
      <c r="U25" s="6"/>
      <c r="V25" s="6"/>
      <c r="W25" s="6"/>
    </row>
    <row r="26" spans="1:23">
      <c r="A26" s="2">
        <v>2003</v>
      </c>
      <c r="B26" s="10">
        <f>'13d'!B26/'1'!$B37*1000</f>
        <v>151.57475700058797</v>
      </c>
      <c r="C26" s="10">
        <f>'13d'!C26/'1'!$B37*1000</f>
        <v>34.511758860904663</v>
      </c>
      <c r="D26" s="10">
        <f>'13d'!D26/'1'!$B37*1000</f>
        <v>31.207252146848369</v>
      </c>
      <c r="E26" s="10">
        <f>'13d'!E26/'1'!$B37*1000</f>
        <v>12.352830929128659</v>
      </c>
      <c r="F26" s="10">
        <f>'13d'!F26/'1'!$B37*1000</f>
        <v>10.609741376989945</v>
      </c>
      <c r="G26" s="10">
        <f>'13d'!G26/'1'!$B37*1000</f>
        <v>5.7696433273463867</v>
      </c>
      <c r="H26" s="10">
        <f>'13d'!H26/'1'!$B37*1000</f>
        <v>33.678691491564322</v>
      </c>
      <c r="I26" s="10">
        <f>'13d'!I26/'1'!$B37*1000</f>
        <v>9.1458474545006094</v>
      </c>
      <c r="J26" s="10">
        <f>'13d'!J26/'1'!$B37*1000</f>
        <v>11.987303251460839</v>
      </c>
      <c r="K26" s="10">
        <f>'13d'!K26/'1'!$B37*1000</f>
        <v>1.5317174616377243</v>
      </c>
      <c r="L26" s="10">
        <f>'13d'!L26/'1'!$B37*1000</f>
        <v>0.77997070020649206</v>
      </c>
      <c r="M26" s="6"/>
      <c r="N26" s="6"/>
      <c r="O26" s="6"/>
      <c r="P26" s="6"/>
      <c r="Q26" s="6"/>
      <c r="R26" s="6"/>
      <c r="S26" s="6"/>
      <c r="T26" s="6"/>
      <c r="U26" s="6"/>
      <c r="V26" s="6"/>
      <c r="W26" s="6"/>
    </row>
    <row r="27" spans="1:23">
      <c r="A27" s="2">
        <v>2004</v>
      </c>
      <c r="B27" s="10">
        <f>'13d'!B27/'1'!$B38*1000</f>
        <v>160.35437462624108</v>
      </c>
      <c r="C27" s="10">
        <f>'13d'!C27/'1'!$B38*1000</f>
        <v>36.350968231459319</v>
      </c>
      <c r="D27" s="10">
        <f>'13d'!D27/'1'!$B38*1000</f>
        <v>32.531686231866587</v>
      </c>
      <c r="E27" s="10">
        <f>'13d'!E27/'1'!$B38*1000</f>
        <v>11.955724590845625</v>
      </c>
      <c r="F27" s="10">
        <f>'13d'!F27/'1'!$B38*1000</f>
        <v>10.743023912089216</v>
      </c>
      <c r="G27" s="10">
        <f>'13d'!G27/'1'!$B38*1000</f>
        <v>5.8049653573246847</v>
      </c>
      <c r="H27" s="10">
        <f>'13d'!H27/'1'!$B38*1000</f>
        <v>36.715002704722309</v>
      </c>
      <c r="I27" s="10">
        <f>'13d'!I27/'1'!$B38*1000</f>
        <v>9.3227691608078871</v>
      </c>
      <c r="J27" s="10">
        <f>'13d'!J27/'1'!$B38*1000</f>
        <v>13.534194094717268</v>
      </c>
      <c r="K27" s="10">
        <f>'13d'!K27/'1'!$B38*1000</f>
        <v>2.2599202687139495</v>
      </c>
      <c r="L27" s="10">
        <f>'13d'!L27/'1'!$B38*1000</f>
        <v>1.1361200736942656</v>
      </c>
      <c r="M27" s="6"/>
      <c r="N27" s="6"/>
      <c r="O27" s="6"/>
      <c r="P27" s="6"/>
      <c r="Q27" s="6"/>
      <c r="R27" s="6"/>
      <c r="S27" s="6"/>
      <c r="T27" s="6"/>
      <c r="U27" s="6"/>
      <c r="V27" s="6"/>
      <c r="W27" s="6"/>
    </row>
    <row r="28" spans="1:23">
      <c r="A28" s="2">
        <v>2005</v>
      </c>
      <c r="B28" s="10">
        <f>'13d'!B28/'1'!$B39*1000</f>
        <v>171.36539831737949</v>
      </c>
      <c r="C28" s="10">
        <f>'13d'!C28/'1'!$B39*1000</f>
        <v>38.105494250889315</v>
      </c>
      <c r="D28" s="10">
        <f>'13d'!D28/'1'!$B39*1000</f>
        <v>33.433149045635673</v>
      </c>
      <c r="E28" s="10">
        <f>'13d'!E28/'1'!$B39*1000</f>
        <v>11.797333260749342</v>
      </c>
      <c r="F28" s="10">
        <f>'13d'!F28/'1'!$B39*1000</f>
        <v>10.857397929117493</v>
      </c>
      <c r="G28" s="10">
        <f>'13d'!G28/'1'!$B39*1000</f>
        <v>5.9481704708442109</v>
      </c>
      <c r="H28" s="10">
        <f>'13d'!H28/'1'!$B39*1000</f>
        <v>39.387666905860939</v>
      </c>
      <c r="I28" s="10">
        <f>'13d'!I28/'1'!$B39*1000</f>
        <v>8.4200293903083576</v>
      </c>
      <c r="J28" s="10">
        <f>'13d'!J28/'1'!$B39*1000</f>
        <v>19.118017997070769</v>
      </c>
      <c r="K28" s="10">
        <f>'13d'!K28/'1'!$B39*1000</f>
        <v>3.0325739649698416</v>
      </c>
      <c r="L28" s="10">
        <f>'13d'!L28/'1'!$B39*1000</f>
        <v>1.2655651019335392</v>
      </c>
      <c r="M28" s="6"/>
      <c r="N28" s="6"/>
      <c r="O28" s="6"/>
      <c r="P28" s="6"/>
      <c r="Q28" s="6"/>
      <c r="R28" s="6"/>
      <c r="S28" s="6"/>
      <c r="T28" s="6"/>
      <c r="U28" s="6"/>
      <c r="V28" s="6"/>
      <c r="W28" s="6"/>
    </row>
    <row r="29" spans="1:23">
      <c r="A29" s="2">
        <v>2006</v>
      </c>
      <c r="B29" s="10">
        <f>'13d'!B29/'1'!$B40*1000</f>
        <v>180.60490397871772</v>
      </c>
      <c r="C29" s="10">
        <f>'13d'!C29/'1'!$B40*1000</f>
        <v>41.311521642166817</v>
      </c>
      <c r="D29" s="10">
        <f>'13d'!D29/'1'!$B40*1000</f>
        <v>33.976790168067325</v>
      </c>
      <c r="E29" s="10">
        <f>'13d'!E29/'1'!$B40*1000</f>
        <v>11.789846471086186</v>
      </c>
      <c r="F29" s="10">
        <f>'13d'!F29/'1'!$B40*1000</f>
        <v>10.884822541884059</v>
      </c>
      <c r="G29" s="10">
        <f>'13d'!G29/'1'!$B40*1000</f>
        <v>6.0824698545419054</v>
      </c>
      <c r="H29" s="10">
        <f>'13d'!H29/'1'!$B40*1000</f>
        <v>42.398647696964971</v>
      </c>
      <c r="I29" s="10">
        <f>'13d'!I29/'1'!$B40*1000</f>
        <v>7.750651378388806</v>
      </c>
      <c r="J29" s="10">
        <f>'13d'!J29/'1'!$B40*1000</f>
        <v>20.668225475230358</v>
      </c>
      <c r="K29" s="10">
        <f>'13d'!K29/'1'!$B40*1000</f>
        <v>4.6334749126469532</v>
      </c>
      <c r="L29" s="10">
        <f>'13d'!L29/'1'!$B40*1000</f>
        <v>1.108453837740331</v>
      </c>
      <c r="M29" s="6"/>
      <c r="N29" s="6"/>
      <c r="O29" s="6"/>
      <c r="P29" s="6"/>
      <c r="Q29" s="6"/>
      <c r="R29" s="6"/>
      <c r="S29" s="6"/>
      <c r="T29" s="6"/>
      <c r="U29" s="6"/>
      <c r="V29" s="6"/>
      <c r="W29" s="6"/>
    </row>
    <row r="30" spans="1:23">
      <c r="A30" s="2">
        <v>2007</v>
      </c>
      <c r="B30" s="10">
        <f>'13d'!B30/'1'!$B41*1000</f>
        <v>188.04331537024626</v>
      </c>
      <c r="C30" s="10">
        <f>'13d'!C30/'1'!$B41*1000</f>
        <v>43.281585877055917</v>
      </c>
      <c r="D30" s="10">
        <f>'13d'!D30/'1'!$B41*1000</f>
        <v>36.0649966398204</v>
      </c>
      <c r="E30" s="10">
        <f>'13d'!E30/'1'!$B41*1000</f>
        <v>11.47379127984988</v>
      </c>
      <c r="F30" s="10">
        <f>'13d'!F30/'1'!$B41*1000</f>
        <v>10.846701134505953</v>
      </c>
      <c r="G30" s="10">
        <f>'13d'!G30/'1'!$B41*1000</f>
        <v>6.097452726272949</v>
      </c>
      <c r="H30" s="10">
        <f>'13d'!H30/'1'!$B41*1000</f>
        <v>45.64659522553648</v>
      </c>
      <c r="I30" s="10">
        <f>'13d'!I30/'1'!$B41*1000</f>
        <v>7.1759780481329791</v>
      </c>
      <c r="J30" s="10">
        <f>'13d'!J30/'1'!$B41*1000</f>
        <v>20.020417388357139</v>
      </c>
      <c r="K30" s="10">
        <f>'13d'!K30/'1'!$B41*1000</f>
        <v>5.9345176939380071</v>
      </c>
      <c r="L30" s="10">
        <f>'13d'!L30/'1'!$B41*1000</f>
        <v>1.5012793567765517</v>
      </c>
      <c r="M30" s="6"/>
      <c r="N30" s="6"/>
      <c r="O30" s="6"/>
      <c r="P30" s="6"/>
      <c r="Q30" s="6"/>
      <c r="R30" s="6"/>
      <c r="S30" s="6"/>
      <c r="T30" s="6"/>
      <c r="U30" s="6"/>
      <c r="V30" s="6"/>
      <c r="W30" s="6"/>
    </row>
    <row r="31" spans="1:23">
      <c r="A31" s="2">
        <v>2008</v>
      </c>
      <c r="B31" s="10">
        <f>'13d'!B31/'1'!$B42*1000</f>
        <v>204.67519079469244</v>
      </c>
      <c r="C31" s="10">
        <f>'13d'!C31/'1'!$B42*1000</f>
        <v>44.097847763462553</v>
      </c>
      <c r="D31" s="10">
        <f>'13d'!D31/'1'!$B42*1000</f>
        <v>38.764196232780073</v>
      </c>
      <c r="E31" s="10">
        <f>'13d'!E31/'1'!$B42*1000</f>
        <v>12.727669102807113</v>
      </c>
      <c r="F31" s="10">
        <f>'13d'!F31/'1'!$B42*1000</f>
        <v>10.523202937385213</v>
      </c>
      <c r="G31" s="10">
        <f>'13d'!G31/'1'!$B42*1000</f>
        <v>6.2854174581916409</v>
      </c>
      <c r="H31" s="10">
        <f>'13d'!H31/'1'!$B42*1000</f>
        <v>47.372974955948933</v>
      </c>
      <c r="I31" s="10">
        <f>'13d'!I31/'1'!$B42*1000</f>
        <v>6.7686803899535803</v>
      </c>
      <c r="J31" s="10">
        <f>'13d'!J31/'1'!$B42*1000</f>
        <v>29.562888955266107</v>
      </c>
      <c r="K31" s="10">
        <f>'13d'!K31/'1'!$B42*1000</f>
        <v>3.6391793041365323</v>
      </c>
      <c r="L31" s="10">
        <f>'13d'!L31/'1'!$B42*1000</f>
        <v>4.9331336947606612</v>
      </c>
      <c r="M31" s="6"/>
      <c r="N31" s="6"/>
      <c r="O31" s="6"/>
      <c r="P31" s="6"/>
      <c r="Q31" s="6"/>
      <c r="R31" s="6"/>
      <c r="S31" s="6"/>
      <c r="T31" s="6"/>
      <c r="U31" s="6"/>
      <c r="V31" s="6"/>
      <c r="W31" s="6"/>
    </row>
    <row r="32" spans="1:23" s="114" customFormat="1">
      <c r="A32" s="738"/>
      <c r="B32" s="23"/>
      <c r="C32" s="644"/>
      <c r="D32" s="644"/>
      <c r="E32" s="644"/>
      <c r="F32" s="644" t="s">
        <v>802</v>
      </c>
      <c r="G32" s="644"/>
      <c r="I32" s="644"/>
    </row>
    <row r="33" spans="1:12" s="114" customFormat="1">
      <c r="A33" s="431" t="s">
        <v>603</v>
      </c>
      <c r="B33" s="23">
        <f>((((B12/B4))^(1/8))-1)*100</f>
        <v>-0.86445536298731529</v>
      </c>
      <c r="C33" s="23">
        <f t="shared" ref="C33:L33" si="0">((((C12/C4))^(1/8))-1)*100</f>
        <v>2.1931084380284682</v>
      </c>
      <c r="D33" s="23">
        <f t="shared" si="0"/>
        <v>-0.88175316744991683</v>
      </c>
      <c r="E33" s="23">
        <f t="shared" si="0"/>
        <v>0.98626317916143957</v>
      </c>
      <c r="F33" s="23">
        <f t="shared" si="0"/>
        <v>1.2952009429846756</v>
      </c>
      <c r="G33" s="23">
        <f t="shared" si="0"/>
        <v>-2.5804179284976803</v>
      </c>
      <c r="H33" s="23">
        <f t="shared" si="0"/>
        <v>0.17883971133181298</v>
      </c>
      <c r="I33" s="23">
        <f t="shared" si="0"/>
        <v>1.2193519056379332</v>
      </c>
      <c r="J33" s="23">
        <f t="shared" si="0"/>
        <v>-13.597657252003071</v>
      </c>
      <c r="K33" s="23">
        <f t="shared" si="0"/>
        <v>-2.7679051958749645</v>
      </c>
      <c r="L33" s="23">
        <f t="shared" si="0"/>
        <v>-6.0253487172810427</v>
      </c>
    </row>
    <row r="34" spans="1:12" s="114" customFormat="1">
      <c r="A34" s="431" t="s">
        <v>114</v>
      </c>
      <c r="B34" s="23">
        <f>((((B12/B7))^(1/5))-1)*100</f>
        <v>0.33776782243117864</v>
      </c>
      <c r="C34" s="23">
        <f t="shared" ref="C34:L34" si="1">((((C12/C7))^(1/5))-1)*100</f>
        <v>4.334424422691141</v>
      </c>
      <c r="D34" s="23">
        <f t="shared" si="1"/>
        <v>-9.8043291008842459E-2</v>
      </c>
      <c r="E34" s="23">
        <f t="shared" si="1"/>
        <v>0.82940300082035012</v>
      </c>
      <c r="F34" s="23">
        <f t="shared" si="1"/>
        <v>4.0840042619360695</v>
      </c>
      <c r="G34" s="23">
        <f t="shared" si="1"/>
        <v>0.29474177930912671</v>
      </c>
      <c r="H34" s="23">
        <f t="shared" si="1"/>
        <v>2.9229627055965768</v>
      </c>
      <c r="I34" s="23">
        <f t="shared" si="1"/>
        <v>10.437386264347026</v>
      </c>
      <c r="J34" s="23">
        <f t="shared" si="1"/>
        <v>-22.364338462845613</v>
      </c>
      <c r="K34" s="23">
        <f t="shared" si="1"/>
        <v>6.7451648684838661</v>
      </c>
      <c r="L34" s="23">
        <f t="shared" si="1"/>
        <v>-1.1077799373793606</v>
      </c>
    </row>
    <row r="35" spans="1:12" s="114" customFormat="1">
      <c r="A35" s="431" t="s">
        <v>604</v>
      </c>
      <c r="B35" s="23">
        <f>((((B24/B13))^(1/11))-1)*100</f>
        <v>1.097884751685152</v>
      </c>
      <c r="C35" s="23">
        <f t="shared" ref="C35:L35" si="2">((((C24/C13))^(1/11))-1)*100</f>
        <v>1.2112487708973996</v>
      </c>
      <c r="D35" s="23">
        <f t="shared" si="2"/>
        <v>-0.2669704882111934</v>
      </c>
      <c r="E35" s="23">
        <f t="shared" si="2"/>
        <v>1.4292225448166995</v>
      </c>
      <c r="F35" s="23">
        <f t="shared" si="2"/>
        <v>0.54192448611893873</v>
      </c>
      <c r="G35" s="23">
        <f t="shared" si="2"/>
        <v>0.34361026832896435</v>
      </c>
      <c r="H35" s="23">
        <f t="shared" si="2"/>
        <v>1.9345282798315599</v>
      </c>
      <c r="I35" s="23">
        <f t="shared" si="2"/>
        <v>2.0526119062430626</v>
      </c>
      <c r="J35" s="23">
        <f t="shared" si="2"/>
        <v>4.9293546300384961</v>
      </c>
      <c r="K35" s="23">
        <f t="shared" si="2"/>
        <v>-6.7399939382917884</v>
      </c>
      <c r="L35" s="23">
        <f t="shared" si="2"/>
        <v>2.1309825015814132</v>
      </c>
    </row>
    <row r="36" spans="1:12" s="114" customFormat="1">
      <c r="A36" s="431" t="s">
        <v>1408</v>
      </c>
      <c r="B36" s="23">
        <f>((((B31/B4))^(1/27))-1)*100</f>
        <v>1.3685699597108414</v>
      </c>
      <c r="C36" s="23">
        <f t="shared" ref="C36:L36" si="3">((((C31/C4))^(1/27))-1)*100</f>
        <v>2.355431916633921</v>
      </c>
      <c r="D36" s="23">
        <f t="shared" si="3"/>
        <v>0.410542667832825</v>
      </c>
      <c r="E36" s="23">
        <f t="shared" si="3"/>
        <v>0.64344890182290726</v>
      </c>
      <c r="F36" s="23">
        <f t="shared" si="3"/>
        <v>0.63218103261832859</v>
      </c>
      <c r="G36" s="23">
        <f t="shared" si="3"/>
        <v>-0.90660670942313004</v>
      </c>
      <c r="H36" s="23">
        <f t="shared" si="3"/>
        <v>2.3347838135605814</v>
      </c>
      <c r="I36" s="23">
        <f t="shared" si="3"/>
        <v>-0.25254931357646671</v>
      </c>
      <c r="J36" s="23">
        <f t="shared" si="3"/>
        <v>2.1831315967760112</v>
      </c>
      <c r="K36" s="23">
        <f t="shared" si="3"/>
        <v>-1.4174687129747454</v>
      </c>
      <c r="L36" s="23">
        <f t="shared" si="3"/>
        <v>4.6256782670463625</v>
      </c>
    </row>
    <row r="37" spans="1:12" s="114" customFormat="1">
      <c r="A37" s="431" t="s">
        <v>1410</v>
      </c>
      <c r="B37" s="23">
        <f>((((B31/B23))^(1/8))-1)*100</f>
        <v>4.1681570707155613</v>
      </c>
      <c r="C37" s="23">
        <f t="shared" ref="C37:L37" si="4">((((C31/C23))^(1/8))-1)*100</f>
        <v>4.5248893720137628</v>
      </c>
      <c r="D37" s="23">
        <f t="shared" si="4"/>
        <v>2.6571222245606041</v>
      </c>
      <c r="E37" s="23">
        <f t="shared" si="4"/>
        <v>-0.49602774812109729</v>
      </c>
      <c r="F37" s="23">
        <f t="shared" si="4"/>
        <v>0.64908648260160184</v>
      </c>
      <c r="G37" s="23">
        <f t="shared" si="4"/>
        <v>-0.70880934862238565</v>
      </c>
      <c r="H37" s="23">
        <f t="shared" si="4"/>
        <v>6.104589983412323</v>
      </c>
      <c r="I37" s="23">
        <f t="shared" si="4"/>
        <v>-4.7218447774351135</v>
      </c>
      <c r="J37" s="23">
        <f t="shared" si="4"/>
        <v>10.983746439874164</v>
      </c>
      <c r="K37" s="23">
        <f t="shared" si="4"/>
        <v>7.1333576163654655</v>
      </c>
      <c r="L37" s="23">
        <f t="shared" si="4"/>
        <v>22.548814787971615</v>
      </c>
    </row>
    <row r="38" spans="1:12" s="114" customFormat="1">
      <c r="A38" s="431"/>
      <c r="B38" s="23"/>
      <c r="C38" s="23"/>
      <c r="D38" s="23"/>
      <c r="E38" s="644"/>
      <c r="F38" s="644" t="s">
        <v>276</v>
      </c>
      <c r="G38" s="644"/>
      <c r="H38" s="644"/>
      <c r="I38" s="644"/>
      <c r="J38" s="644"/>
      <c r="K38" s="644"/>
      <c r="L38" s="644"/>
    </row>
    <row r="39" spans="1:12" s="114" customFormat="1">
      <c r="A39" s="431" t="s">
        <v>819</v>
      </c>
      <c r="B39" s="10">
        <f t="shared" ref="B39:L39" si="5">(B29/B4-1)*100</f>
        <v>27.366134761360918</v>
      </c>
      <c r="C39" s="10">
        <f t="shared" si="5"/>
        <v>75.649925441843408</v>
      </c>
      <c r="D39" s="10">
        <f t="shared" si="5"/>
        <v>-2.0976652753162628</v>
      </c>
      <c r="E39" s="10">
        <f t="shared" si="5"/>
        <v>10.145832662637066</v>
      </c>
      <c r="F39" s="10">
        <f t="shared" si="5"/>
        <v>22.622259062540028</v>
      </c>
      <c r="G39" s="10">
        <f t="shared" si="5"/>
        <v>-24.324944590834065</v>
      </c>
      <c r="H39" s="10">
        <f t="shared" si="5"/>
        <v>66.897491851283235</v>
      </c>
      <c r="I39" s="10">
        <f t="shared" si="5"/>
        <v>6.9505269400688352</v>
      </c>
      <c r="J39" s="10">
        <f t="shared" si="5"/>
        <v>25.254963177531398</v>
      </c>
      <c r="K39" s="10">
        <f t="shared" si="5"/>
        <v>-13.403084296770052</v>
      </c>
      <c r="L39" s="10">
        <f t="shared" si="5"/>
        <v>-23.822194065566293</v>
      </c>
    </row>
    <row r="40" spans="1:12" s="114" customFormat="1">
      <c r="A40" s="431" t="s">
        <v>447</v>
      </c>
      <c r="B40" s="10">
        <f t="shared" ref="B40:L40" si="6">(B30/B4-1)*100</f>
        <v>32.611848952020473</v>
      </c>
      <c r="C40" s="10">
        <f t="shared" si="6"/>
        <v>84.026320748006796</v>
      </c>
      <c r="D40" s="10">
        <f t="shared" si="6"/>
        <v>3.9193918969636865</v>
      </c>
      <c r="E40" s="10">
        <f t="shared" si="6"/>
        <v>7.1931086987206294</v>
      </c>
      <c r="F40" s="10">
        <f t="shared" si="6"/>
        <v>22.19280483181101</v>
      </c>
      <c r="G40" s="10">
        <f t="shared" si="6"/>
        <v>-24.138535175654063</v>
      </c>
      <c r="H40" s="10">
        <f t="shared" si="6"/>
        <v>79.682670757401098</v>
      </c>
      <c r="I40" s="10">
        <f t="shared" si="6"/>
        <v>-0.97933759501251938</v>
      </c>
      <c r="J40" s="10">
        <f t="shared" si="6"/>
        <v>21.329073257051512</v>
      </c>
      <c r="K40" s="10">
        <f t="shared" si="6"/>
        <v>10.912638607056934</v>
      </c>
      <c r="L40" s="10">
        <f t="shared" si="6"/>
        <v>3.1744973043133839</v>
      </c>
    </row>
    <row r="41" spans="1:12" s="114" customFormat="1">
      <c r="A41" s="431" t="s">
        <v>1408</v>
      </c>
      <c r="B41" s="10">
        <f>(B31/B4-1)*100</f>
        <v>44.340975016580742</v>
      </c>
      <c r="C41" s="10">
        <f t="shared" ref="C41:L41" si="7">(C31/C4-1)*100</f>
        <v>87.496934605570416</v>
      </c>
      <c r="D41" s="10">
        <f t="shared" si="7"/>
        <v>11.696993628366425</v>
      </c>
      <c r="E41" s="10">
        <f t="shared" si="7"/>
        <v>18.907376327696369</v>
      </c>
      <c r="F41" s="10">
        <f t="shared" si="7"/>
        <v>18.54845697212253</v>
      </c>
      <c r="G41" s="10">
        <f t="shared" si="7"/>
        <v>-21.79997175601056</v>
      </c>
      <c r="H41" s="10">
        <f t="shared" si="7"/>
        <v>86.478369739313649</v>
      </c>
      <c r="I41" s="10">
        <f t="shared" si="7"/>
        <v>-6.5996005944816138</v>
      </c>
      <c r="J41" s="10">
        <f t="shared" si="7"/>
        <v>79.158998045139867</v>
      </c>
      <c r="K41" s="10">
        <f t="shared" si="7"/>
        <v>-31.985883301303964</v>
      </c>
      <c r="L41" s="10">
        <f t="shared" si="7"/>
        <v>239.02656876914369</v>
      </c>
    </row>
    <row r="42" spans="1:12" ht="18.600000000000001" customHeight="1">
      <c r="A42" s="1170" t="s">
        <v>215</v>
      </c>
      <c r="B42" s="1170"/>
      <c r="C42" s="1170"/>
      <c r="D42" s="1170"/>
      <c r="E42" s="1170"/>
      <c r="F42" s="1170"/>
      <c r="G42" s="1170"/>
      <c r="H42" s="1170"/>
      <c r="I42" s="1170"/>
      <c r="J42" s="1170"/>
      <c r="K42" s="1170"/>
      <c r="L42" s="1170"/>
    </row>
    <row r="43" spans="1:12" ht="15.75">
      <c r="A43" s="8" t="s">
        <v>115</v>
      </c>
    </row>
    <row r="44" spans="1:12" ht="15.75">
      <c r="A44" s="8" t="s">
        <v>116</v>
      </c>
    </row>
    <row r="45" spans="1:12" ht="15.75">
      <c r="A45" s="8" t="s">
        <v>117</v>
      </c>
      <c r="H45" s="9"/>
    </row>
    <row r="46" spans="1:12">
      <c r="A46" s="1" t="s">
        <v>1026</v>
      </c>
    </row>
    <row r="47" spans="1:12">
      <c r="A47" s="4" t="s">
        <v>1664</v>
      </c>
    </row>
  </sheetData>
  <mergeCells count="1">
    <mergeCell ref="A42:L42"/>
  </mergeCells>
  <phoneticPr fontId="35" type="noConversion"/>
  <pageMargins left="0.75" right="0.75" top="1" bottom="1" header="0.5" footer="0.5"/>
  <pageSetup scale="73"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sheetPr codeName="Sheet128">
    <pageSetUpPr fitToPage="1"/>
  </sheetPr>
  <dimension ref="A1:AJ56"/>
  <sheetViews>
    <sheetView view="pageBreakPreview" zoomScale="55" zoomScaleNormal="106" zoomScaleSheetLayoutView="55"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140625" style="1" customWidth="1"/>
    <col min="9" max="27" width="7.140625" style="1" customWidth="1"/>
    <col min="28" max="28" width="7.140625" style="961" customWidth="1"/>
    <col min="29" max="35" width="7.140625" style="1" customWidth="1"/>
    <col min="36" max="36" width="5.5703125" style="1" customWidth="1"/>
    <col min="37" max="16384" width="9.140625" style="1"/>
  </cols>
  <sheetData>
    <row r="1" spans="1:36" ht="15.75">
      <c r="A1" s="3" t="s">
        <v>2091</v>
      </c>
    </row>
    <row r="2" spans="1:36">
      <c r="A2" s="4"/>
      <c r="B2" s="4"/>
      <c r="I2" s="652"/>
      <c r="J2" s="652"/>
      <c r="K2" s="652"/>
      <c r="L2" s="652"/>
      <c r="M2" s="652"/>
      <c r="N2" s="652"/>
      <c r="O2" s="652"/>
      <c r="P2" s="652"/>
      <c r="Q2" s="652"/>
      <c r="R2" s="652"/>
      <c r="S2" s="652"/>
      <c r="T2" s="652"/>
      <c r="U2" s="652"/>
      <c r="V2" s="652"/>
      <c r="W2" s="652"/>
      <c r="X2" s="652"/>
      <c r="Y2" s="652"/>
      <c r="Z2" s="652"/>
    </row>
    <row r="3" spans="1:36">
      <c r="A3" s="9"/>
      <c r="B3" s="9"/>
      <c r="C3" s="9"/>
      <c r="D3" s="9"/>
      <c r="E3" s="9"/>
      <c r="F3" s="9"/>
      <c r="G3" s="9"/>
      <c r="H3" s="9"/>
      <c r="I3" s="665"/>
      <c r="J3" s="238"/>
      <c r="K3" s="666"/>
      <c r="L3" s="666"/>
      <c r="M3" s="666"/>
      <c r="N3" s="666"/>
      <c r="O3" s="666"/>
      <c r="P3" s="666"/>
      <c r="Q3" s="666"/>
      <c r="R3" s="666"/>
      <c r="S3" s="666"/>
      <c r="T3" s="666"/>
      <c r="U3" s="666"/>
      <c r="V3" s="666"/>
      <c r="W3" s="666"/>
      <c r="X3" s="666"/>
      <c r="Y3" s="666"/>
      <c r="Z3" s="666"/>
      <c r="AD3" s="1171" t="s">
        <v>802</v>
      </c>
      <c r="AE3" s="1171"/>
      <c r="AF3" s="1171"/>
      <c r="AG3" s="1171"/>
      <c r="AH3" s="9"/>
      <c r="AI3" s="644" t="s">
        <v>276</v>
      </c>
      <c r="AJ3" s="9"/>
    </row>
    <row r="4" spans="1:36" s="4" customFormat="1">
      <c r="A4" s="667"/>
      <c r="B4" s="667"/>
      <c r="C4" s="667"/>
      <c r="D4" s="667"/>
      <c r="E4" s="667"/>
      <c r="F4" s="667"/>
      <c r="G4" s="667"/>
      <c r="H4" s="667"/>
      <c r="I4" s="237">
        <v>1981</v>
      </c>
      <c r="J4" s="239">
        <v>1989</v>
      </c>
      <c r="K4" s="132">
        <v>1990</v>
      </c>
      <c r="L4" s="132">
        <v>1991</v>
      </c>
      <c r="M4" s="132">
        <v>1992</v>
      </c>
      <c r="N4" s="132">
        <v>1993</v>
      </c>
      <c r="O4" s="132">
        <v>1994</v>
      </c>
      <c r="P4" s="132">
        <v>1995</v>
      </c>
      <c r="Q4" s="132">
        <v>1996</v>
      </c>
      <c r="R4" s="132">
        <v>1997</v>
      </c>
      <c r="S4" s="132">
        <v>1998</v>
      </c>
      <c r="T4" s="132">
        <v>1999</v>
      </c>
      <c r="U4" s="132">
        <v>2000</v>
      </c>
      <c r="V4" s="132">
        <v>2001</v>
      </c>
      <c r="W4" s="132">
        <v>2002</v>
      </c>
      <c r="X4" s="132">
        <v>2003</v>
      </c>
      <c r="Y4" s="132">
        <v>2004</v>
      </c>
      <c r="Z4" s="132">
        <v>2005</v>
      </c>
      <c r="AA4" s="132">
        <v>2006</v>
      </c>
      <c r="AB4" s="132">
        <v>2007</v>
      </c>
      <c r="AC4" s="132"/>
      <c r="AD4" s="241" t="s">
        <v>603</v>
      </c>
      <c r="AE4" s="241" t="s">
        <v>604</v>
      </c>
      <c r="AF4" s="241" t="s">
        <v>447</v>
      </c>
      <c r="AG4" s="241" t="s">
        <v>449</v>
      </c>
      <c r="AH4" s="1007"/>
      <c r="AI4" s="241" t="s">
        <v>447</v>
      </c>
      <c r="AJ4" s="9"/>
    </row>
    <row r="5" spans="1:36">
      <c r="A5" s="128" t="s">
        <v>964</v>
      </c>
      <c r="I5" s="349">
        <v>9132</v>
      </c>
      <c r="J5" s="19">
        <v>10659</v>
      </c>
      <c r="K5" s="19">
        <v>10897</v>
      </c>
      <c r="L5" s="19">
        <v>11062</v>
      </c>
      <c r="M5" s="19">
        <v>11257</v>
      </c>
      <c r="N5" s="19">
        <v>11387</v>
      </c>
      <c r="O5" s="19">
        <v>11521</v>
      </c>
      <c r="P5" s="19">
        <v>11710</v>
      </c>
      <c r="Q5" s="19">
        <v>11858</v>
      </c>
      <c r="R5" s="19">
        <v>12001</v>
      </c>
      <c r="S5" s="19">
        <v>12134</v>
      </c>
      <c r="T5" s="19">
        <v>12288</v>
      </c>
      <c r="U5" s="19">
        <v>12465</v>
      </c>
      <c r="V5" s="19">
        <v>12651</v>
      </c>
      <c r="W5" s="19">
        <v>12859</v>
      </c>
      <c r="X5" s="19">
        <v>13033</v>
      </c>
      <c r="Y5" s="19">
        <v>13228</v>
      </c>
      <c r="Z5" s="19">
        <v>13459</v>
      </c>
      <c r="AA5" s="19">
        <v>13652</v>
      </c>
      <c r="AB5" s="19">
        <v>13837</v>
      </c>
      <c r="AC5" s="19"/>
      <c r="AD5" s="959">
        <f>((((J5/I5))^(1/8))-1)*100</f>
        <v>1.9515469600075441</v>
      </c>
      <c r="AE5" s="959">
        <f>((((U5/J5))^(1/11))-1)*100</f>
        <v>1.4330816549955827</v>
      </c>
      <c r="AF5" s="959">
        <f>((((AB5/I5))^(1/26))-1)*100</f>
        <v>1.6111545610001388</v>
      </c>
      <c r="AG5" s="959">
        <f>((((AB5/U5))^(1/7))-1)*100</f>
        <v>1.502916851114966</v>
      </c>
      <c r="AH5" s="23"/>
      <c r="AI5" s="959">
        <f>((AB5/I5)-1)*100</f>
        <v>51.522120017520812</v>
      </c>
    </row>
    <row r="6" spans="1:36">
      <c r="I6" s="349"/>
      <c r="J6" s="19"/>
      <c r="K6" s="19"/>
      <c r="L6" s="19"/>
      <c r="M6" s="19"/>
      <c r="N6" s="19"/>
      <c r="O6" s="19"/>
      <c r="P6" s="19"/>
      <c r="Q6" s="19"/>
      <c r="R6" s="19"/>
      <c r="S6" s="19"/>
      <c r="T6" s="19"/>
      <c r="U6" s="19"/>
      <c r="V6" s="19"/>
      <c r="W6" s="19"/>
      <c r="X6" s="19"/>
      <c r="Y6" s="19"/>
      <c r="Z6" s="19"/>
      <c r="AA6" s="19"/>
      <c r="AB6" s="19"/>
      <c r="AC6" s="19"/>
      <c r="AD6" s="961"/>
      <c r="AE6" s="961"/>
      <c r="AF6" s="961"/>
      <c r="AG6" s="961"/>
      <c r="AH6" s="4"/>
      <c r="AI6" s="960"/>
    </row>
    <row r="7" spans="1:36">
      <c r="B7" s="128" t="s">
        <v>610</v>
      </c>
      <c r="I7" s="349">
        <v>6611</v>
      </c>
      <c r="J7" s="19">
        <v>7404</v>
      </c>
      <c r="K7" s="19">
        <v>7527</v>
      </c>
      <c r="L7" s="19">
        <v>7608</v>
      </c>
      <c r="M7" s="19">
        <v>7740</v>
      </c>
      <c r="N7" s="19">
        <v>7812</v>
      </c>
      <c r="O7" s="19">
        <v>7882</v>
      </c>
      <c r="P7" s="19">
        <v>8005</v>
      </c>
      <c r="Q7" s="19">
        <v>8078</v>
      </c>
      <c r="R7" s="19">
        <v>8145</v>
      </c>
      <c r="S7" s="19">
        <v>8206</v>
      </c>
      <c r="T7" s="19">
        <v>8283</v>
      </c>
      <c r="U7" s="19">
        <v>8373</v>
      </c>
      <c r="V7" s="19">
        <v>8466</v>
      </c>
      <c r="W7" s="19">
        <v>8584</v>
      </c>
      <c r="X7" s="19">
        <v>8667</v>
      </c>
      <c r="Y7" s="19">
        <v>8766</v>
      </c>
      <c r="Z7" s="19">
        <v>8891</v>
      </c>
      <c r="AA7" s="19">
        <v>8983</v>
      </c>
      <c r="AB7" s="19">
        <v>9067</v>
      </c>
      <c r="AC7" s="19"/>
      <c r="AD7" s="959">
        <f>((((J7/I7))^(1/8))-1)*100</f>
        <v>1.4261420712571748</v>
      </c>
      <c r="AE7" s="959">
        <f>((((U7/J7))^(1/11))-1)*100</f>
        <v>1.1243819002844768</v>
      </c>
      <c r="AF7" s="959">
        <f>((((AB7/I7))^(1/26))-1)*100</f>
        <v>1.2224364942649002</v>
      </c>
      <c r="AG7" s="959">
        <f>((((AB7/U7))^(1/7))-1)*100</f>
        <v>1.1440548965145902</v>
      </c>
      <c r="AH7" s="23"/>
      <c r="AI7" s="959">
        <f>((AB7/I7)-1)*100</f>
        <v>37.150204205112679</v>
      </c>
    </row>
    <row r="8" spans="1:36">
      <c r="B8" s="128"/>
      <c r="I8" s="349"/>
      <c r="J8" s="19"/>
      <c r="K8" s="19"/>
      <c r="L8" s="19"/>
      <c r="M8" s="19"/>
      <c r="N8" s="19"/>
      <c r="O8" s="19"/>
      <c r="P8" s="19"/>
      <c r="Q8" s="19"/>
      <c r="R8" s="19"/>
      <c r="S8" s="19"/>
      <c r="T8" s="19"/>
      <c r="U8" s="19"/>
      <c r="V8" s="19"/>
      <c r="W8" s="19"/>
      <c r="X8" s="19"/>
      <c r="Y8" s="19"/>
      <c r="Z8" s="19"/>
      <c r="AA8" s="19"/>
      <c r="AB8" s="19"/>
      <c r="AC8" s="19"/>
      <c r="AD8" s="961"/>
      <c r="AE8" s="961"/>
      <c r="AF8" s="961"/>
      <c r="AG8" s="961"/>
      <c r="AH8" s="4"/>
      <c r="AI8" s="960"/>
    </row>
    <row r="9" spans="1:36">
      <c r="C9" s="128" t="s">
        <v>921</v>
      </c>
      <c r="I9" s="349">
        <v>806</v>
      </c>
      <c r="J9" s="19">
        <v>1027</v>
      </c>
      <c r="K9" s="19">
        <v>1058</v>
      </c>
      <c r="L9" s="19">
        <v>1093</v>
      </c>
      <c r="M9" s="19">
        <v>1140</v>
      </c>
      <c r="N9" s="19">
        <v>1144</v>
      </c>
      <c r="O9" s="19">
        <v>1164</v>
      </c>
      <c r="P9" s="19">
        <v>1212</v>
      </c>
      <c r="Q9" s="19">
        <v>1101</v>
      </c>
      <c r="R9" s="19">
        <v>1136</v>
      </c>
      <c r="S9" s="19">
        <v>1150</v>
      </c>
      <c r="T9" s="19">
        <v>1177</v>
      </c>
      <c r="U9" s="19">
        <v>1181</v>
      </c>
      <c r="V9" s="19">
        <v>1185</v>
      </c>
      <c r="W9" s="19">
        <v>1200</v>
      </c>
      <c r="X9" s="19">
        <v>1247</v>
      </c>
      <c r="Y9" s="19">
        <v>1302</v>
      </c>
      <c r="Z9" s="19">
        <v>1309</v>
      </c>
      <c r="AA9" s="19">
        <v>1363</v>
      </c>
      <c r="AB9" s="19">
        <v>1370</v>
      </c>
      <c r="AC9" s="19"/>
      <c r="AD9" s="959">
        <f>((((J9/I9))^(1/8))-1)*100</f>
        <v>3.0752567418869559</v>
      </c>
      <c r="AE9" s="959">
        <f>((((U9/J9))^(1/11))-1)*100</f>
        <v>1.2782792654223218</v>
      </c>
      <c r="AF9" s="959">
        <f>((((AB9/I9))^(1/26))-1)*100</f>
        <v>2.061273188676882</v>
      </c>
      <c r="AG9" s="959">
        <f>((((AB9/U9))^(1/7))-1)*100</f>
        <v>2.1433496049722445</v>
      </c>
      <c r="AH9" s="23"/>
      <c r="AI9" s="959">
        <f>((AB9/I9)-1)*100</f>
        <v>69.975186104218352</v>
      </c>
    </row>
    <row r="10" spans="1:36">
      <c r="C10" s="1" t="s">
        <v>611</v>
      </c>
      <c r="I10" s="349">
        <v>532</v>
      </c>
      <c r="J10" s="19">
        <v>711</v>
      </c>
      <c r="K10" s="19">
        <v>747</v>
      </c>
      <c r="L10" s="19">
        <v>765</v>
      </c>
      <c r="M10" s="19">
        <v>785</v>
      </c>
      <c r="N10" s="19">
        <v>780</v>
      </c>
      <c r="O10" s="19">
        <v>816</v>
      </c>
      <c r="P10" s="19">
        <v>854</v>
      </c>
      <c r="Q10" s="19">
        <v>852</v>
      </c>
      <c r="R10" s="19">
        <v>866</v>
      </c>
      <c r="S10" s="19">
        <v>891</v>
      </c>
      <c r="T10" s="19">
        <v>922</v>
      </c>
      <c r="U10" s="19">
        <v>926</v>
      </c>
      <c r="V10" s="19">
        <v>941</v>
      </c>
      <c r="W10" s="19">
        <v>946</v>
      </c>
      <c r="X10" s="19">
        <v>986</v>
      </c>
      <c r="Y10" s="19">
        <v>1033</v>
      </c>
      <c r="Z10" s="19">
        <v>1029</v>
      </c>
      <c r="AA10" s="19">
        <v>1065</v>
      </c>
      <c r="AB10" s="19">
        <v>1065</v>
      </c>
      <c r="AC10" s="19"/>
      <c r="AD10" s="959">
        <f>((((J10/I10))^(1/8))-1)*100</f>
        <v>3.691879395752351</v>
      </c>
      <c r="AE10" s="959">
        <f>((((U10/J10))^(1/11))-1)*100</f>
        <v>2.4309109585425759</v>
      </c>
      <c r="AF10" s="959">
        <f>((((AB10/I10))^(1/26))-1)*100</f>
        <v>2.7055158656891898</v>
      </c>
      <c r="AG10" s="959">
        <f>((((AB10/U10))^(1/7))-1)*100</f>
        <v>2.018033043492129</v>
      </c>
      <c r="AH10" s="23"/>
      <c r="AI10" s="959">
        <f>((AB10/I10)-1)*100</f>
        <v>100.18796992481205</v>
      </c>
    </row>
    <row r="11" spans="1:36">
      <c r="C11" s="1" t="s">
        <v>612</v>
      </c>
      <c r="I11" s="349">
        <v>274</v>
      </c>
      <c r="J11" s="19">
        <v>316</v>
      </c>
      <c r="K11" s="19">
        <v>311</v>
      </c>
      <c r="L11" s="19">
        <v>328</v>
      </c>
      <c r="M11" s="19">
        <v>355</v>
      </c>
      <c r="N11" s="19">
        <v>364</v>
      </c>
      <c r="O11" s="19">
        <v>347</v>
      </c>
      <c r="P11" s="19">
        <v>358</v>
      </c>
      <c r="Q11" s="19">
        <v>249</v>
      </c>
      <c r="R11" s="19">
        <v>270</v>
      </c>
      <c r="S11" s="19">
        <v>259</v>
      </c>
      <c r="T11" s="19">
        <v>255</v>
      </c>
      <c r="U11" s="19">
        <v>256</v>
      </c>
      <c r="V11" s="19">
        <v>244</v>
      </c>
      <c r="W11" s="19">
        <v>253</v>
      </c>
      <c r="X11" s="19">
        <v>262</v>
      </c>
      <c r="Y11" s="19">
        <v>269</v>
      </c>
      <c r="Z11" s="19">
        <v>279</v>
      </c>
      <c r="AA11" s="19">
        <v>298</v>
      </c>
      <c r="AB11" s="19">
        <v>305</v>
      </c>
      <c r="AC11" s="19"/>
      <c r="AD11" s="959">
        <f>((((J11/I11))^(1/8))-1)*100</f>
        <v>1.7986608574492191</v>
      </c>
      <c r="AE11" s="959">
        <f>((((U11/J11))^(1/11))-1)*100</f>
        <v>-1.8960202298928142</v>
      </c>
      <c r="AF11" s="959">
        <f>((((AB11/I11))^(1/26))-1)*100</f>
        <v>0.4130957835464244</v>
      </c>
      <c r="AG11" s="959">
        <f>((((AB11/U11))^(1/7))-1)*100</f>
        <v>2.5334796822061856</v>
      </c>
      <c r="AH11" s="23"/>
      <c r="AI11" s="959">
        <f>((AB11/I11)-1)*100</f>
        <v>11.313868613138677</v>
      </c>
    </row>
    <row r="12" spans="1:36">
      <c r="I12" s="349"/>
      <c r="J12" s="19"/>
      <c r="K12" s="19"/>
      <c r="L12" s="19"/>
      <c r="M12" s="19"/>
      <c r="N12" s="19"/>
      <c r="O12" s="19"/>
      <c r="P12" s="19"/>
      <c r="Q12" s="19"/>
      <c r="R12" s="19"/>
      <c r="S12" s="19"/>
      <c r="T12" s="19"/>
      <c r="U12" s="19"/>
      <c r="V12" s="19"/>
      <c r="W12" s="19"/>
      <c r="X12" s="19"/>
      <c r="Y12" s="19"/>
      <c r="Z12" s="19"/>
      <c r="AA12" s="19"/>
      <c r="AB12" s="19"/>
      <c r="AC12" s="19"/>
      <c r="AD12" s="961"/>
      <c r="AE12" s="961"/>
      <c r="AF12" s="961"/>
      <c r="AG12" s="961"/>
      <c r="AH12" s="4"/>
      <c r="AI12" s="960"/>
    </row>
    <row r="13" spans="1:36">
      <c r="C13" s="128" t="s">
        <v>922</v>
      </c>
      <c r="I13" s="349">
        <v>5805</v>
      </c>
      <c r="J13" s="19">
        <v>6377</v>
      </c>
      <c r="K13" s="19">
        <v>6468</v>
      </c>
      <c r="L13" s="19">
        <v>6515</v>
      </c>
      <c r="M13" s="19">
        <v>6601</v>
      </c>
      <c r="N13" s="19">
        <v>6668</v>
      </c>
      <c r="O13" s="19">
        <v>6719</v>
      </c>
      <c r="P13" s="19">
        <v>6793</v>
      </c>
      <c r="Q13" s="19">
        <v>6977</v>
      </c>
      <c r="R13" s="19">
        <v>7009</v>
      </c>
      <c r="S13" s="19">
        <v>7056</v>
      </c>
      <c r="T13" s="19">
        <v>7106</v>
      </c>
      <c r="U13" s="19">
        <v>7191</v>
      </c>
      <c r="V13" s="19">
        <v>7281</v>
      </c>
      <c r="W13" s="19">
        <v>7384</v>
      </c>
      <c r="X13" s="19">
        <v>7420</v>
      </c>
      <c r="Y13" s="19">
        <v>7464</v>
      </c>
      <c r="Z13" s="19">
        <v>7582</v>
      </c>
      <c r="AA13" s="19">
        <v>7619</v>
      </c>
      <c r="AB13" s="19">
        <v>7698</v>
      </c>
      <c r="AC13" s="19"/>
      <c r="AD13" s="959">
        <f>((((J13/I13))^(1/8))-1)*100</f>
        <v>1.1816539166923823</v>
      </c>
      <c r="AE13" s="959">
        <f>((((U13/J13))^(1/11))-1)*100</f>
        <v>1.0980987530187836</v>
      </c>
      <c r="AF13" s="959">
        <f>((((AB13/I13))^(1/26))-1)*100</f>
        <v>1.0914554618667749</v>
      </c>
      <c r="AG13" s="959">
        <f>((((AB13/U13))^(1/7))-1)*100</f>
        <v>0.97804202605031865</v>
      </c>
      <c r="AH13" s="23"/>
      <c r="AI13" s="959">
        <f>((AB13/I13)-1)*100</f>
        <v>32.609819121447025</v>
      </c>
    </row>
    <row r="14" spans="1:36">
      <c r="C14" s="128"/>
      <c r="I14" s="349"/>
      <c r="J14" s="19"/>
      <c r="K14" s="19"/>
      <c r="L14" s="19"/>
      <c r="M14" s="19"/>
      <c r="N14" s="19"/>
      <c r="O14" s="19"/>
      <c r="P14" s="19"/>
      <c r="Q14" s="19"/>
      <c r="R14" s="19"/>
      <c r="S14" s="19"/>
      <c r="T14" s="19"/>
      <c r="U14" s="19"/>
      <c r="V14" s="19"/>
      <c r="W14" s="19"/>
      <c r="X14" s="19"/>
      <c r="Y14" s="19"/>
      <c r="Z14" s="19"/>
      <c r="AA14" s="19"/>
      <c r="AB14" s="19"/>
      <c r="AC14" s="19"/>
      <c r="AD14" s="961"/>
      <c r="AE14" s="961"/>
      <c r="AF14" s="961"/>
      <c r="AG14" s="961"/>
      <c r="AH14" s="4"/>
      <c r="AI14" s="960"/>
    </row>
    <row r="15" spans="1:36">
      <c r="D15" s="128" t="s">
        <v>923</v>
      </c>
      <c r="I15" s="349">
        <v>1354</v>
      </c>
      <c r="J15" s="19">
        <v>1621</v>
      </c>
      <c r="K15" s="19">
        <v>1625</v>
      </c>
      <c r="L15" s="19">
        <v>1631</v>
      </c>
      <c r="M15" s="19">
        <v>1635</v>
      </c>
      <c r="N15" s="19">
        <v>1644</v>
      </c>
      <c r="O15" s="19">
        <v>1697</v>
      </c>
      <c r="P15" s="19">
        <v>1698</v>
      </c>
      <c r="Q15" s="19">
        <v>1746</v>
      </c>
      <c r="R15" s="19">
        <v>1738</v>
      </c>
      <c r="S15" s="19">
        <v>1767</v>
      </c>
      <c r="T15" s="19">
        <v>1809</v>
      </c>
      <c r="U15" s="19">
        <v>1871</v>
      </c>
      <c r="V15" s="19">
        <v>1942</v>
      </c>
      <c r="W15" s="19">
        <v>2024</v>
      </c>
      <c r="X15" s="19">
        <v>2042</v>
      </c>
      <c r="Y15" s="19">
        <v>2086</v>
      </c>
      <c r="Z15" s="19">
        <v>2127</v>
      </c>
      <c r="AA15" s="19">
        <v>2169</v>
      </c>
      <c r="AB15" s="19">
        <v>2228</v>
      </c>
      <c r="AC15" s="19"/>
      <c r="AD15" s="959">
        <f>((((J15/I15))^(1/8))-1)*100</f>
        <v>2.2752486007133976</v>
      </c>
      <c r="AE15" s="959">
        <f>((((U15/J15))^(1/11))-1)*100</f>
        <v>1.3124452539870823</v>
      </c>
      <c r="AF15" s="959">
        <f>((((AB15/I15))^(1/26))-1)*100</f>
        <v>1.9340071061396236</v>
      </c>
      <c r="AG15" s="959">
        <f>((((AB15/U15))^(1/7))-1)*100</f>
        <v>2.5261113439643212</v>
      </c>
      <c r="AH15" s="23"/>
      <c r="AI15" s="959">
        <f>((AB15/I15)-1)*100</f>
        <v>64.549483013293951</v>
      </c>
    </row>
    <row r="16" spans="1:36">
      <c r="D16" s="1" t="s">
        <v>613</v>
      </c>
      <c r="I16" s="349">
        <v>64</v>
      </c>
      <c r="J16" s="19">
        <v>131</v>
      </c>
      <c r="K16" s="19">
        <v>148</v>
      </c>
      <c r="L16" s="19">
        <v>152</v>
      </c>
      <c r="M16" s="19">
        <v>155</v>
      </c>
      <c r="N16" s="19">
        <v>180</v>
      </c>
      <c r="O16" s="19">
        <v>196</v>
      </c>
      <c r="P16" s="19">
        <v>181</v>
      </c>
      <c r="Q16" s="19">
        <v>193</v>
      </c>
      <c r="R16" s="19">
        <v>176</v>
      </c>
      <c r="S16" s="19">
        <v>179</v>
      </c>
      <c r="T16" s="19">
        <v>198</v>
      </c>
      <c r="U16" s="19">
        <v>169</v>
      </c>
      <c r="V16" s="19">
        <v>173</v>
      </c>
      <c r="W16" s="19">
        <v>178</v>
      </c>
      <c r="X16" s="19">
        <v>159</v>
      </c>
      <c r="Y16" s="19">
        <v>159</v>
      </c>
      <c r="Z16" s="19">
        <v>173</v>
      </c>
      <c r="AA16" s="19">
        <v>154</v>
      </c>
      <c r="AB16" s="19">
        <v>143</v>
      </c>
      <c r="AC16" s="19"/>
      <c r="AD16" s="959">
        <f>((((J16/I16))^(1/8))-1)*100</f>
        <v>9.3670291816032147</v>
      </c>
      <c r="AE16" s="959">
        <f>((((U16/J16))^(1/11))-1)*100</f>
        <v>2.3424822444202853</v>
      </c>
      <c r="AF16" s="959">
        <f>((((AB16/I16))^(1/26))-1)*100</f>
        <v>3.140463648654257</v>
      </c>
      <c r="AG16" s="959">
        <f>((((AB16/U16))^(1/7))-1)*100</f>
        <v>-2.3582355095758456</v>
      </c>
      <c r="AH16" s="23"/>
      <c r="AI16" s="959">
        <f>((AB16/I16)-1)*100</f>
        <v>123.4375</v>
      </c>
    </row>
    <row r="17" spans="1:36">
      <c r="D17" s="1" t="s">
        <v>614</v>
      </c>
      <c r="I17" s="349">
        <v>368</v>
      </c>
      <c r="J17" s="19">
        <v>342</v>
      </c>
      <c r="K17" s="19">
        <v>390</v>
      </c>
      <c r="L17" s="19">
        <v>383</v>
      </c>
      <c r="M17" s="19">
        <v>370</v>
      </c>
      <c r="N17" s="19">
        <v>405</v>
      </c>
      <c r="O17" s="19">
        <v>412</v>
      </c>
      <c r="P17" s="19">
        <v>409</v>
      </c>
      <c r="Q17" s="19">
        <v>447</v>
      </c>
      <c r="R17" s="19">
        <v>406</v>
      </c>
      <c r="S17" s="19">
        <v>460</v>
      </c>
      <c r="T17" s="19">
        <v>437</v>
      </c>
      <c r="U17" s="19">
        <v>446</v>
      </c>
      <c r="V17" s="19">
        <v>456</v>
      </c>
      <c r="W17" s="19">
        <v>474</v>
      </c>
      <c r="X17" s="19">
        <v>484</v>
      </c>
      <c r="Y17" s="19">
        <v>485</v>
      </c>
      <c r="Z17" s="19">
        <v>507</v>
      </c>
      <c r="AA17" s="19">
        <v>521</v>
      </c>
      <c r="AB17" s="19">
        <v>507</v>
      </c>
      <c r="AC17" s="19"/>
      <c r="AD17" s="959">
        <f>((((J17/I17))^(1/8))-1)*100</f>
        <v>-0.91172090298592412</v>
      </c>
      <c r="AE17" s="959">
        <f>((((U17/J17))^(1/11))-1)*100</f>
        <v>2.44307684261309</v>
      </c>
      <c r="AF17" s="959">
        <f>((((AB17/I17))^(1/26))-1)*100</f>
        <v>1.2400411716398274</v>
      </c>
      <c r="AG17" s="959">
        <f>((((AB17/U17))^(1/7))-1)*100</f>
        <v>1.8481864281673976</v>
      </c>
      <c r="AH17" s="23"/>
      <c r="AI17" s="959">
        <f>((AB17/I17)-1)*100</f>
        <v>37.771739130434788</v>
      </c>
    </row>
    <row r="18" spans="1:36">
      <c r="D18" s="1" t="s">
        <v>615</v>
      </c>
      <c r="I18" s="349">
        <v>922</v>
      </c>
      <c r="J18" s="19">
        <v>1147</v>
      </c>
      <c r="K18" s="19">
        <v>1088</v>
      </c>
      <c r="L18" s="19">
        <v>1095</v>
      </c>
      <c r="M18" s="19">
        <v>1111</v>
      </c>
      <c r="N18" s="19">
        <v>1059</v>
      </c>
      <c r="O18" s="19">
        <v>1088</v>
      </c>
      <c r="P18" s="19">
        <v>1108</v>
      </c>
      <c r="Q18" s="19">
        <v>1106</v>
      </c>
      <c r="R18" s="19">
        <v>1155</v>
      </c>
      <c r="S18" s="19">
        <v>1128</v>
      </c>
      <c r="T18" s="19">
        <v>1174</v>
      </c>
      <c r="U18" s="19">
        <v>1256</v>
      </c>
      <c r="V18" s="19">
        <v>1313</v>
      </c>
      <c r="W18" s="19">
        <v>1372</v>
      </c>
      <c r="X18" s="19">
        <v>1399</v>
      </c>
      <c r="Y18" s="19">
        <v>1442</v>
      </c>
      <c r="Z18" s="19">
        <v>1446</v>
      </c>
      <c r="AA18" s="19">
        <v>1494</v>
      </c>
      <c r="AB18" s="19">
        <v>1577</v>
      </c>
      <c r="AC18" s="19"/>
      <c r="AD18" s="959">
        <f>((((J18/I18))^(1/8))-1)*100</f>
        <v>2.7670907301521996</v>
      </c>
      <c r="AE18" s="959">
        <f>((((U18/J18))^(1/11))-1)*100</f>
        <v>0.82870792968130491</v>
      </c>
      <c r="AF18" s="959">
        <f>((((AB18/I18))^(1/26))-1)*100</f>
        <v>2.0858182923142676</v>
      </c>
      <c r="AG18" s="959">
        <f>((((AB18/U18))^(1/7))-1)*100</f>
        <v>3.3047505659237641</v>
      </c>
      <c r="AH18" s="23"/>
      <c r="AI18" s="959">
        <f>((AB18/I18)-1)*100</f>
        <v>71.041214750542309</v>
      </c>
    </row>
    <row r="19" spans="1:36">
      <c r="I19" s="349"/>
      <c r="J19" s="19"/>
      <c r="K19" s="19"/>
      <c r="L19" s="19"/>
      <c r="M19" s="19"/>
      <c r="N19" s="19"/>
      <c r="O19" s="19"/>
      <c r="P19" s="19"/>
      <c r="Q19" s="19"/>
      <c r="R19" s="19"/>
      <c r="S19" s="19"/>
      <c r="T19" s="19"/>
      <c r="U19" s="19"/>
      <c r="V19" s="19"/>
      <c r="W19" s="19"/>
      <c r="X19" s="19"/>
      <c r="Y19" s="19"/>
      <c r="Z19" s="19"/>
      <c r="AA19" s="19"/>
      <c r="AB19" s="19"/>
      <c r="AC19" s="19"/>
      <c r="AD19" s="961"/>
      <c r="AE19" s="961"/>
      <c r="AF19" s="961"/>
      <c r="AG19" s="961"/>
      <c r="AH19" s="4"/>
      <c r="AI19" s="960"/>
    </row>
    <row r="20" spans="1:36">
      <c r="D20" s="128" t="s">
        <v>619</v>
      </c>
      <c r="I20" s="349">
        <v>3081</v>
      </c>
      <c r="J20" s="19">
        <v>3046</v>
      </c>
      <c r="K20" s="19">
        <v>3044</v>
      </c>
      <c r="L20" s="19">
        <v>3028</v>
      </c>
      <c r="M20" s="19">
        <v>3036</v>
      </c>
      <c r="N20" s="19">
        <v>3019</v>
      </c>
      <c r="O20" s="19">
        <v>3056</v>
      </c>
      <c r="P20" s="19">
        <v>3114</v>
      </c>
      <c r="Q20" s="19">
        <v>3088</v>
      </c>
      <c r="R20" s="19">
        <v>3071</v>
      </c>
      <c r="S20" s="19">
        <v>3015</v>
      </c>
      <c r="T20" s="19">
        <v>3046</v>
      </c>
      <c r="U20" s="19">
        <v>3050</v>
      </c>
      <c r="V20" s="19">
        <v>3012</v>
      </c>
      <c r="W20" s="19">
        <v>3000</v>
      </c>
      <c r="X20" s="19">
        <v>2986</v>
      </c>
      <c r="Y20" s="19">
        <v>2953</v>
      </c>
      <c r="Z20" s="19">
        <v>2956</v>
      </c>
      <c r="AA20" s="19">
        <v>2935</v>
      </c>
      <c r="AB20" s="19">
        <v>2897</v>
      </c>
      <c r="AC20" s="19"/>
      <c r="AD20" s="959">
        <f>((((J20/I20))^(1/8))-1)*100</f>
        <v>-0.14271013636856233</v>
      </c>
      <c r="AE20" s="959">
        <f>((((U20/J20))^(1/11))-1)*100</f>
        <v>1.1931040295176665E-2</v>
      </c>
      <c r="AF20" s="959">
        <f>((((AB20/I20))^(1/26))-1)*100</f>
        <v>-0.23656014223946142</v>
      </c>
      <c r="AG20" s="959">
        <f>((((AB20/U20))^(1/7))-1)*100</f>
        <v>-0.7325305603846699</v>
      </c>
      <c r="AH20" s="23"/>
      <c r="AI20" s="959">
        <f>((AB20/I20)-1)*100</f>
        <v>-5.9720869847452178</v>
      </c>
    </row>
    <row r="21" spans="1:36">
      <c r="D21" s="1" t="s">
        <v>613</v>
      </c>
      <c r="I21" s="349">
        <v>38</v>
      </c>
      <c r="J21" s="19">
        <v>37</v>
      </c>
      <c r="K21" s="19">
        <v>42</v>
      </c>
      <c r="L21" s="19">
        <v>63</v>
      </c>
      <c r="M21" s="19">
        <v>61</v>
      </c>
      <c r="N21" s="19">
        <v>105</v>
      </c>
      <c r="O21" s="19">
        <v>103</v>
      </c>
      <c r="P21" s="19">
        <v>90</v>
      </c>
      <c r="Q21" s="19">
        <v>109</v>
      </c>
      <c r="R21" s="19">
        <v>91</v>
      </c>
      <c r="S21" s="19">
        <v>88</v>
      </c>
      <c r="T21" s="19">
        <v>67</v>
      </c>
      <c r="U21" s="19">
        <v>64</v>
      </c>
      <c r="V21" s="19">
        <v>64</v>
      </c>
      <c r="W21" s="19">
        <v>53</v>
      </c>
      <c r="X21" s="19">
        <v>51</v>
      </c>
      <c r="Y21" s="19">
        <v>43</v>
      </c>
      <c r="Z21" s="19">
        <v>52</v>
      </c>
      <c r="AA21" s="19">
        <v>44</v>
      </c>
      <c r="AB21" s="19">
        <v>29</v>
      </c>
      <c r="AC21" s="19"/>
      <c r="AD21" s="959">
        <f>((((J21/I21))^(1/8))-1)*100</f>
        <v>-0.33279808399838684</v>
      </c>
      <c r="AE21" s="959">
        <f>((((U21/J21))^(1/11))-1)*100</f>
        <v>5.1076645524236186</v>
      </c>
      <c r="AF21" s="959">
        <f>((((AB21/I21))^(1/26))-1)*100</f>
        <v>-1.0341932535952503</v>
      </c>
      <c r="AG21" s="959">
        <f>((((AB21/U21))^(1/7))-1)*100</f>
        <v>-10.692426613216643</v>
      </c>
      <c r="AH21" s="23"/>
      <c r="AI21" s="959">
        <f>((AB21/I21)-1)*100</f>
        <v>-23.684210526315784</v>
      </c>
    </row>
    <row r="22" spans="1:36">
      <c r="D22" s="1" t="s">
        <v>620</v>
      </c>
      <c r="I22" s="349">
        <v>868</v>
      </c>
      <c r="J22" s="19">
        <v>571</v>
      </c>
      <c r="K22" s="19">
        <v>575</v>
      </c>
      <c r="L22" s="19">
        <v>601</v>
      </c>
      <c r="M22" s="19">
        <v>605</v>
      </c>
      <c r="N22" s="19">
        <v>596</v>
      </c>
      <c r="O22" s="19">
        <v>626</v>
      </c>
      <c r="P22" s="19">
        <v>643</v>
      </c>
      <c r="Q22" s="19">
        <v>631</v>
      </c>
      <c r="R22" s="19">
        <v>572</v>
      </c>
      <c r="S22" s="19">
        <v>522</v>
      </c>
      <c r="T22" s="19">
        <v>526</v>
      </c>
      <c r="U22" s="19">
        <v>514</v>
      </c>
      <c r="V22" s="19">
        <v>477</v>
      </c>
      <c r="W22" s="19">
        <v>489</v>
      </c>
      <c r="X22" s="19">
        <v>450</v>
      </c>
      <c r="Y22" s="19">
        <v>442</v>
      </c>
      <c r="Z22" s="19">
        <v>479</v>
      </c>
      <c r="AA22" s="19">
        <v>426</v>
      </c>
      <c r="AB22" s="19">
        <v>416</v>
      </c>
      <c r="AC22" s="19"/>
      <c r="AD22" s="959">
        <f>((((J22/I22))^(1/8))-1)*100</f>
        <v>-5.1003637275942921</v>
      </c>
      <c r="AE22" s="959">
        <f>((((U22/J22))^(1/11))-1)*100</f>
        <v>-0.95149837134155257</v>
      </c>
      <c r="AF22" s="959">
        <f>((((AB22/I22))^(1/26))-1)*100</f>
        <v>-2.7892330712651514</v>
      </c>
      <c r="AG22" s="959">
        <f>((((AB22/U22))^(1/7))-1)*100</f>
        <v>-2.9767664496512136</v>
      </c>
      <c r="AH22" s="23"/>
      <c r="AI22" s="959">
        <f>((AB22/I22)-1)*100</f>
        <v>-52.073732718894014</v>
      </c>
    </row>
    <row r="23" spans="1:36">
      <c r="D23" s="1" t="s">
        <v>615</v>
      </c>
      <c r="I23" s="349">
        <v>1513</v>
      </c>
      <c r="J23" s="19">
        <v>1778</v>
      </c>
      <c r="K23" s="19">
        <v>1767</v>
      </c>
      <c r="L23" s="19">
        <v>1741</v>
      </c>
      <c r="M23" s="19">
        <v>1751</v>
      </c>
      <c r="N23" s="19">
        <v>1732</v>
      </c>
      <c r="O23" s="19">
        <v>1752</v>
      </c>
      <c r="P23" s="19">
        <v>1790</v>
      </c>
      <c r="Q23" s="19">
        <v>1879</v>
      </c>
      <c r="R23" s="19">
        <v>1917</v>
      </c>
      <c r="S23" s="19">
        <v>1881</v>
      </c>
      <c r="T23" s="19">
        <v>1876</v>
      </c>
      <c r="U23" s="19">
        <v>1889</v>
      </c>
      <c r="V23" s="19">
        <v>1896</v>
      </c>
      <c r="W23" s="19">
        <v>1852</v>
      </c>
      <c r="X23" s="19">
        <v>1892</v>
      </c>
      <c r="Y23" s="19">
        <v>1867</v>
      </c>
      <c r="Z23" s="19">
        <v>1823</v>
      </c>
      <c r="AA23" s="19">
        <v>1854</v>
      </c>
      <c r="AB23" s="19">
        <v>1843</v>
      </c>
      <c r="AC23" s="19"/>
      <c r="AD23" s="959">
        <f>((((J23/I23))^(1/8))-1)*100</f>
        <v>2.0379215174059828</v>
      </c>
      <c r="AE23" s="959">
        <f>((((U23/J23))^(1/11))-1)*100</f>
        <v>0.55204958539152305</v>
      </c>
      <c r="AF23" s="959">
        <f>((((AB23/I23))^(1/26))-1)*100</f>
        <v>0.76173363325475751</v>
      </c>
      <c r="AG23" s="959">
        <f>((((AB23/U23))^(1/7))-1)*100</f>
        <v>-0.35156498422282967</v>
      </c>
      <c r="AH23" s="23"/>
      <c r="AI23" s="959">
        <f>((AB23/I23)-1)*100</f>
        <v>21.810971579643091</v>
      </c>
    </row>
    <row r="24" spans="1:36">
      <c r="D24" s="1" t="s">
        <v>621</v>
      </c>
      <c r="I24" s="349">
        <v>661</v>
      </c>
      <c r="J24" s="19">
        <v>660</v>
      </c>
      <c r="K24" s="19">
        <v>660</v>
      </c>
      <c r="L24" s="19">
        <v>623</v>
      </c>
      <c r="M24" s="19">
        <v>619</v>
      </c>
      <c r="N24" s="19">
        <v>586</v>
      </c>
      <c r="O24" s="19">
        <v>576</v>
      </c>
      <c r="P24" s="19">
        <v>591</v>
      </c>
      <c r="Q24" s="19">
        <v>469</v>
      </c>
      <c r="R24" s="19">
        <v>491</v>
      </c>
      <c r="S24" s="19">
        <v>525</v>
      </c>
      <c r="T24" s="19">
        <v>576</v>
      </c>
      <c r="U24" s="19">
        <v>583</v>
      </c>
      <c r="V24" s="19">
        <v>575</v>
      </c>
      <c r="W24" s="19">
        <v>606</v>
      </c>
      <c r="X24" s="19">
        <v>593</v>
      </c>
      <c r="Y24" s="19">
        <v>601</v>
      </c>
      <c r="Z24" s="19">
        <v>602</v>
      </c>
      <c r="AA24" s="19">
        <v>611</v>
      </c>
      <c r="AB24" s="19">
        <v>609</v>
      </c>
      <c r="AC24" s="19"/>
      <c r="AD24" s="959">
        <f>((((J24/I24))^(1/8))-1)*100</f>
        <v>-1.8923269713599922E-2</v>
      </c>
      <c r="AE24" s="959">
        <f>((((U24/J24))^(1/11))-1)*100</f>
        <v>-1.1214160737490486</v>
      </c>
      <c r="AF24" s="959">
        <f>((((AB24/I24))^(1/26))-1)*100</f>
        <v>-0.31464078106582249</v>
      </c>
      <c r="AG24" s="959">
        <f>((((AB24/U24))^(1/7))-1)*100</f>
        <v>0.62524772618861579</v>
      </c>
      <c r="AH24" s="23"/>
      <c r="AI24" s="959">
        <f>((AB24/I24)-1)*100</f>
        <v>-7.8668683812405433</v>
      </c>
    </row>
    <row r="25" spans="1:36">
      <c r="I25" s="349"/>
      <c r="J25" s="19"/>
      <c r="K25" s="19"/>
      <c r="L25" s="19"/>
      <c r="M25" s="19"/>
      <c r="N25" s="19"/>
      <c r="O25" s="19"/>
      <c r="P25" s="19"/>
      <c r="Q25" s="19"/>
      <c r="R25" s="19"/>
      <c r="S25" s="19"/>
      <c r="T25" s="19"/>
      <c r="U25" s="19"/>
      <c r="V25" s="19"/>
      <c r="W25" s="19"/>
      <c r="X25" s="19"/>
      <c r="Y25" s="19"/>
      <c r="Z25" s="19"/>
      <c r="AA25" s="19"/>
      <c r="AB25" s="19"/>
      <c r="AC25" s="19"/>
      <c r="AD25" s="961"/>
      <c r="AE25" s="961"/>
      <c r="AF25" s="961"/>
      <c r="AG25" s="961"/>
      <c r="AH25" s="4"/>
      <c r="AI25" s="960"/>
    </row>
    <row r="26" spans="1:36">
      <c r="D26" s="128" t="s">
        <v>622</v>
      </c>
      <c r="I26" s="349">
        <v>643</v>
      </c>
      <c r="J26" s="19">
        <v>834</v>
      </c>
      <c r="K26" s="19">
        <v>833</v>
      </c>
      <c r="L26" s="19">
        <v>874</v>
      </c>
      <c r="M26" s="19">
        <v>851</v>
      </c>
      <c r="N26" s="19">
        <v>874</v>
      </c>
      <c r="O26" s="19">
        <v>904</v>
      </c>
      <c r="P26" s="19">
        <v>907</v>
      </c>
      <c r="Q26" s="19">
        <v>768</v>
      </c>
      <c r="R26" s="19">
        <v>800</v>
      </c>
      <c r="S26" s="19">
        <v>845</v>
      </c>
      <c r="T26" s="19">
        <v>848</v>
      </c>
      <c r="U26" s="19">
        <v>876</v>
      </c>
      <c r="V26" s="19">
        <v>889</v>
      </c>
      <c r="W26" s="19">
        <v>898</v>
      </c>
      <c r="X26" s="19">
        <v>935</v>
      </c>
      <c r="Y26" s="19">
        <v>945</v>
      </c>
      <c r="Z26" s="19">
        <v>959</v>
      </c>
      <c r="AA26" s="19">
        <v>961</v>
      </c>
      <c r="AB26" s="19">
        <v>972</v>
      </c>
      <c r="AC26" s="19"/>
      <c r="AD26" s="959">
        <f>((((J26/I26))^(1/8))-1)*100</f>
        <v>3.3045344145526512</v>
      </c>
      <c r="AE26" s="959">
        <f>((((U26/J26))^(1/11))-1)*100</f>
        <v>0.44765982147689787</v>
      </c>
      <c r="AF26" s="959">
        <f>((((AB26/I26))^(1/26))-1)*100</f>
        <v>1.6019695044499294</v>
      </c>
      <c r="AG26" s="959">
        <f>((((AB26/U26))^(1/7))-1)*100</f>
        <v>1.496656733045465</v>
      </c>
      <c r="AH26" s="23"/>
      <c r="AI26" s="959">
        <f>((AB26/I26)-1)*100</f>
        <v>51.166407465007779</v>
      </c>
    </row>
    <row r="27" spans="1:36">
      <c r="I27" s="349"/>
      <c r="J27" s="19"/>
      <c r="K27" s="19"/>
      <c r="L27" s="19"/>
      <c r="M27" s="19"/>
      <c r="N27" s="36"/>
      <c r="O27" s="19"/>
      <c r="P27" s="19"/>
      <c r="Q27" s="19"/>
      <c r="R27" s="19"/>
      <c r="S27" s="19"/>
      <c r="T27" s="19"/>
      <c r="U27" s="19"/>
      <c r="V27" s="19"/>
      <c r="W27" s="19"/>
      <c r="X27" s="19"/>
      <c r="Y27" s="19"/>
      <c r="Z27" s="19"/>
      <c r="AA27" s="19"/>
      <c r="AB27" s="19"/>
      <c r="AC27" s="19"/>
      <c r="AD27" s="114"/>
      <c r="AE27" s="114"/>
      <c r="AF27" s="114"/>
      <c r="AG27" s="114"/>
      <c r="AH27" s="116"/>
      <c r="AI27" s="959"/>
      <c r="AJ27" s="114"/>
    </row>
    <row r="28" spans="1:36" s="114" customFormat="1">
      <c r="A28" s="1"/>
      <c r="B28" s="1"/>
      <c r="C28" s="1"/>
      <c r="D28" s="128" t="s">
        <v>623</v>
      </c>
      <c r="E28" s="1"/>
      <c r="F28" s="1"/>
      <c r="G28" s="1"/>
      <c r="H28" s="1"/>
      <c r="I28" s="349">
        <v>429</v>
      </c>
      <c r="J28" s="19">
        <v>515</v>
      </c>
      <c r="K28" s="19">
        <v>577</v>
      </c>
      <c r="L28" s="19">
        <v>583</v>
      </c>
      <c r="M28" s="19">
        <v>679</v>
      </c>
      <c r="N28" s="19">
        <v>707</v>
      </c>
      <c r="O28" s="19">
        <v>647</v>
      </c>
      <c r="P28" s="19">
        <v>653</v>
      </c>
      <c r="Q28" s="19">
        <v>665</v>
      </c>
      <c r="R28" s="19">
        <v>670</v>
      </c>
      <c r="S28" s="19">
        <v>694</v>
      </c>
      <c r="T28" s="19">
        <v>683</v>
      </c>
      <c r="U28" s="19">
        <v>679</v>
      </c>
      <c r="V28" s="19">
        <v>666</v>
      </c>
      <c r="W28" s="19">
        <v>676</v>
      </c>
      <c r="X28" s="19">
        <v>661</v>
      </c>
      <c r="Y28" s="19">
        <v>672</v>
      </c>
      <c r="Z28" s="19">
        <v>711</v>
      </c>
      <c r="AA28" s="19">
        <v>705</v>
      </c>
      <c r="AB28" s="19">
        <v>698</v>
      </c>
      <c r="AC28" s="19"/>
      <c r="AD28" s="959">
        <f t="shared" ref="AD28:AD33" si="0">((((J28/I28))^(1/8))-1)*100</f>
        <v>2.3101548784488113</v>
      </c>
      <c r="AE28" s="959">
        <f t="shared" ref="AE28:AE33" si="1">((((U28/J28))^(1/11))-1)*100</f>
        <v>2.5450678650614345</v>
      </c>
      <c r="AF28" s="959">
        <f t="shared" ref="AF28:AF33" si="2">((((AB28/I28))^(1/26))-1)*100</f>
        <v>1.8897970818924081</v>
      </c>
      <c r="AG28" s="959">
        <f t="shared" ref="AG28:AG33" si="3">((((AB28/U28))^(1/7))-1)*100</f>
        <v>0.39503500308584183</v>
      </c>
      <c r="AH28" s="23"/>
      <c r="AI28" s="959">
        <f t="shared" ref="AI28:AI33" si="4">((AB28/I28)-1)*100</f>
        <v>62.703962703962702</v>
      </c>
    </row>
    <row r="29" spans="1:36" s="114" customFormat="1">
      <c r="A29" s="1"/>
      <c r="B29" s="1"/>
      <c r="C29" s="1"/>
      <c r="D29" s="1" t="s">
        <v>624</v>
      </c>
      <c r="E29" s="1"/>
      <c r="F29" s="1"/>
      <c r="G29" s="1"/>
      <c r="H29" s="1"/>
      <c r="I29" s="349">
        <v>65</v>
      </c>
      <c r="J29" s="19">
        <v>60</v>
      </c>
      <c r="K29" s="19">
        <v>86</v>
      </c>
      <c r="L29" s="19">
        <v>74</v>
      </c>
      <c r="M29" s="19">
        <v>78</v>
      </c>
      <c r="N29" s="19">
        <v>98</v>
      </c>
      <c r="O29" s="19">
        <v>90</v>
      </c>
      <c r="P29" s="19">
        <v>91</v>
      </c>
      <c r="Q29" s="19">
        <v>89</v>
      </c>
      <c r="R29" s="19">
        <v>92</v>
      </c>
      <c r="S29" s="19">
        <v>105</v>
      </c>
      <c r="T29" s="19">
        <v>106</v>
      </c>
      <c r="U29" s="19">
        <v>114</v>
      </c>
      <c r="V29" s="19">
        <v>115</v>
      </c>
      <c r="W29" s="19">
        <v>128</v>
      </c>
      <c r="X29" s="19">
        <v>122</v>
      </c>
      <c r="Y29" s="19">
        <v>122</v>
      </c>
      <c r="Z29" s="19">
        <v>130</v>
      </c>
      <c r="AA29" s="19">
        <v>131</v>
      </c>
      <c r="AB29" s="19">
        <v>127</v>
      </c>
      <c r="AC29" s="19"/>
      <c r="AD29" s="959">
        <f t="shared" si="0"/>
        <v>-0.99554515773597752</v>
      </c>
      <c r="AE29" s="959">
        <f t="shared" si="1"/>
        <v>6.0086335390041379</v>
      </c>
      <c r="AF29" s="959">
        <f t="shared" si="2"/>
        <v>2.6096227571053898</v>
      </c>
      <c r="AG29" s="959">
        <f t="shared" si="3"/>
        <v>1.5546557940790739</v>
      </c>
      <c r="AH29" s="23"/>
      <c r="AI29" s="959">
        <f t="shared" si="4"/>
        <v>95.384615384615373</v>
      </c>
    </row>
    <row r="30" spans="1:36" s="114" customFormat="1">
      <c r="A30" s="1"/>
      <c r="B30" s="1"/>
      <c r="C30" s="1"/>
      <c r="D30" s="1" t="s">
        <v>625</v>
      </c>
      <c r="E30" s="1"/>
      <c r="F30" s="1"/>
      <c r="G30" s="1"/>
      <c r="H30" s="1"/>
      <c r="I30" s="349">
        <v>364</v>
      </c>
      <c r="J30" s="19">
        <v>455</v>
      </c>
      <c r="K30" s="19">
        <v>491</v>
      </c>
      <c r="L30" s="19">
        <v>510</v>
      </c>
      <c r="M30" s="19">
        <v>601</v>
      </c>
      <c r="N30" s="19">
        <v>609</v>
      </c>
      <c r="O30" s="19">
        <v>556</v>
      </c>
      <c r="P30" s="19">
        <v>563</v>
      </c>
      <c r="Q30" s="19">
        <v>576</v>
      </c>
      <c r="R30" s="19">
        <v>578</v>
      </c>
      <c r="S30" s="19">
        <v>589</v>
      </c>
      <c r="T30" s="19">
        <v>577</v>
      </c>
      <c r="U30" s="19">
        <v>564</v>
      </c>
      <c r="V30" s="19">
        <v>551</v>
      </c>
      <c r="W30" s="19">
        <v>548</v>
      </c>
      <c r="X30" s="19">
        <v>540</v>
      </c>
      <c r="Y30" s="19">
        <v>550</v>
      </c>
      <c r="Z30" s="19">
        <v>581</v>
      </c>
      <c r="AA30" s="19">
        <v>574</v>
      </c>
      <c r="AB30" s="19">
        <v>571</v>
      </c>
      <c r="AC30" s="19"/>
      <c r="AD30" s="959">
        <f t="shared" si="0"/>
        <v>2.8285594297889682</v>
      </c>
      <c r="AE30" s="959">
        <f t="shared" si="1"/>
        <v>1.9715175314148903</v>
      </c>
      <c r="AF30" s="959">
        <f t="shared" si="2"/>
        <v>1.7467547954538309</v>
      </c>
      <c r="AG30" s="959">
        <f t="shared" si="3"/>
        <v>0.17636903552435967</v>
      </c>
      <c r="AH30" s="23"/>
      <c r="AI30" s="959">
        <f t="shared" si="4"/>
        <v>56.868131868131869</v>
      </c>
    </row>
    <row r="31" spans="1:36" s="114" customFormat="1">
      <c r="A31" s="1"/>
      <c r="B31" s="1"/>
      <c r="C31" s="1"/>
      <c r="D31" s="1"/>
      <c r="E31" s="1" t="s">
        <v>613</v>
      </c>
      <c r="F31" s="1"/>
      <c r="G31" s="1"/>
      <c r="H31" s="1"/>
      <c r="I31" s="349">
        <v>96</v>
      </c>
      <c r="J31" s="19">
        <v>114</v>
      </c>
      <c r="K31" s="19">
        <v>134</v>
      </c>
      <c r="L31" s="19">
        <v>171</v>
      </c>
      <c r="M31" s="19">
        <v>210</v>
      </c>
      <c r="N31" s="19">
        <v>212</v>
      </c>
      <c r="O31" s="19">
        <v>198</v>
      </c>
      <c r="P31" s="19">
        <v>191</v>
      </c>
      <c r="Q31" s="19">
        <v>221</v>
      </c>
      <c r="R31" s="19">
        <v>195</v>
      </c>
      <c r="S31" s="19">
        <v>157</v>
      </c>
      <c r="T31" s="19">
        <v>145</v>
      </c>
      <c r="U31" s="19">
        <v>114</v>
      </c>
      <c r="V31" s="19">
        <v>111</v>
      </c>
      <c r="W31" s="19">
        <v>117</v>
      </c>
      <c r="X31" s="19">
        <v>98</v>
      </c>
      <c r="Y31" s="19">
        <v>93</v>
      </c>
      <c r="Z31" s="19">
        <v>92</v>
      </c>
      <c r="AA31" s="19">
        <v>97</v>
      </c>
      <c r="AB31" s="19">
        <v>95</v>
      </c>
      <c r="AC31" s="19"/>
      <c r="AD31" s="959">
        <f t="shared" si="0"/>
        <v>2.171366584034784</v>
      </c>
      <c r="AE31" s="959">
        <f t="shared" si="1"/>
        <v>0</v>
      </c>
      <c r="AF31" s="959">
        <f t="shared" si="2"/>
        <v>-4.0266121279364242E-2</v>
      </c>
      <c r="AG31" s="959">
        <f t="shared" si="3"/>
        <v>-2.5709667087206012</v>
      </c>
      <c r="AH31" s="23"/>
      <c r="AI31" s="959">
        <f t="shared" si="4"/>
        <v>-1.041666666666663</v>
      </c>
    </row>
    <row r="32" spans="1:36" s="114" customFormat="1">
      <c r="A32" s="1"/>
      <c r="B32" s="1"/>
      <c r="C32" s="1"/>
      <c r="D32" s="1"/>
      <c r="E32" s="1" t="s">
        <v>620</v>
      </c>
      <c r="F32" s="1"/>
      <c r="G32" s="1"/>
      <c r="H32" s="1"/>
      <c r="I32" s="349">
        <v>186</v>
      </c>
      <c r="J32" s="19">
        <v>244</v>
      </c>
      <c r="K32" s="19">
        <v>265</v>
      </c>
      <c r="L32" s="19">
        <v>251</v>
      </c>
      <c r="M32" s="19">
        <v>289</v>
      </c>
      <c r="N32" s="19">
        <v>315</v>
      </c>
      <c r="O32" s="19">
        <v>269</v>
      </c>
      <c r="P32" s="19">
        <v>290</v>
      </c>
      <c r="Q32" s="19">
        <v>294</v>
      </c>
      <c r="R32" s="19">
        <v>318</v>
      </c>
      <c r="S32" s="19">
        <v>360</v>
      </c>
      <c r="T32" s="19">
        <v>345</v>
      </c>
      <c r="U32" s="19">
        <v>355</v>
      </c>
      <c r="V32" s="19">
        <v>342</v>
      </c>
      <c r="W32" s="19">
        <v>324</v>
      </c>
      <c r="X32" s="19">
        <v>349</v>
      </c>
      <c r="Y32" s="19">
        <v>360</v>
      </c>
      <c r="Z32" s="19">
        <v>363</v>
      </c>
      <c r="AA32" s="19">
        <v>337</v>
      </c>
      <c r="AB32" s="19">
        <v>334</v>
      </c>
      <c r="AC32" s="19"/>
      <c r="AD32" s="959">
        <f t="shared" si="0"/>
        <v>3.4509802703652559</v>
      </c>
      <c r="AE32" s="959">
        <f t="shared" si="1"/>
        <v>3.4673920081735199</v>
      </c>
      <c r="AF32" s="959">
        <f t="shared" si="2"/>
        <v>2.2770545513292717</v>
      </c>
      <c r="AG32" s="959">
        <f t="shared" si="3"/>
        <v>-0.86731403478526037</v>
      </c>
      <c r="AH32" s="23"/>
      <c r="AI32" s="959">
        <f t="shared" si="4"/>
        <v>79.569892473118273</v>
      </c>
    </row>
    <row r="33" spans="1:36" s="114" customFormat="1">
      <c r="A33" s="1"/>
      <c r="B33" s="1"/>
      <c r="C33" s="1"/>
      <c r="D33" s="1"/>
      <c r="E33" s="1" t="s">
        <v>626</v>
      </c>
      <c r="F33" s="1"/>
      <c r="G33" s="1"/>
      <c r="H33" s="1"/>
      <c r="I33" s="349">
        <v>81</v>
      </c>
      <c r="J33" s="19">
        <v>97</v>
      </c>
      <c r="K33" s="19">
        <v>92</v>
      </c>
      <c r="L33" s="19">
        <v>88</v>
      </c>
      <c r="M33" s="19">
        <v>101</v>
      </c>
      <c r="N33" s="19">
        <v>82</v>
      </c>
      <c r="O33" s="19">
        <v>89</v>
      </c>
      <c r="P33" s="19">
        <v>82</v>
      </c>
      <c r="Q33" s="19">
        <v>61</v>
      </c>
      <c r="R33" s="19">
        <v>65</v>
      </c>
      <c r="S33" s="19">
        <v>73</v>
      </c>
      <c r="T33" s="19">
        <v>87</v>
      </c>
      <c r="U33" s="19">
        <v>96</v>
      </c>
      <c r="V33" s="19">
        <v>98</v>
      </c>
      <c r="W33" s="19">
        <v>107</v>
      </c>
      <c r="X33" s="19">
        <v>93</v>
      </c>
      <c r="Y33" s="19">
        <v>96</v>
      </c>
      <c r="Z33" s="19">
        <v>126</v>
      </c>
      <c r="AA33" s="19">
        <v>140</v>
      </c>
      <c r="AB33" s="19">
        <v>143</v>
      </c>
      <c r="AC33" s="19"/>
      <c r="AD33" s="959">
        <f t="shared" si="0"/>
        <v>2.2788507417344173</v>
      </c>
      <c r="AE33" s="959">
        <f t="shared" si="1"/>
        <v>-9.4162793859975391E-2</v>
      </c>
      <c r="AF33" s="959">
        <f t="shared" si="2"/>
        <v>2.2102074959934992</v>
      </c>
      <c r="AG33" s="959">
        <f t="shared" si="3"/>
        <v>5.8579656277742309</v>
      </c>
      <c r="AH33" s="23"/>
      <c r="AI33" s="959">
        <f t="shared" si="4"/>
        <v>76.543209876543216</v>
      </c>
    </row>
    <row r="34" spans="1:36" s="114" customFormat="1">
      <c r="A34" s="1"/>
      <c r="B34" s="1"/>
      <c r="C34" s="1"/>
      <c r="D34" s="1"/>
      <c r="E34" s="1"/>
      <c r="F34" s="1"/>
      <c r="G34" s="1"/>
      <c r="H34" s="1"/>
      <c r="I34" s="349"/>
      <c r="J34" s="19"/>
      <c r="K34" s="19"/>
      <c r="L34" s="19"/>
      <c r="M34" s="19"/>
      <c r="N34" s="19"/>
      <c r="O34" s="19"/>
      <c r="P34" s="19"/>
      <c r="Q34" s="19"/>
      <c r="R34" s="19"/>
      <c r="S34" s="19"/>
      <c r="T34" s="19"/>
      <c r="U34" s="19"/>
      <c r="V34" s="19"/>
      <c r="W34" s="19"/>
      <c r="X34" s="19"/>
      <c r="Y34" s="19"/>
      <c r="Z34" s="19"/>
      <c r="AA34" s="19"/>
      <c r="AB34" s="19"/>
      <c r="AC34" s="19"/>
      <c r="AH34" s="116"/>
      <c r="AI34" s="959"/>
    </row>
    <row r="35" spans="1:36">
      <c r="D35" s="128" t="s">
        <v>2</v>
      </c>
      <c r="I35" s="349">
        <v>298</v>
      </c>
      <c r="J35" s="19">
        <v>361</v>
      </c>
      <c r="K35" s="19">
        <v>390</v>
      </c>
      <c r="L35" s="19">
        <v>398</v>
      </c>
      <c r="M35" s="19">
        <v>400</v>
      </c>
      <c r="N35" s="19">
        <v>424</v>
      </c>
      <c r="O35" s="19">
        <v>415</v>
      </c>
      <c r="P35" s="19">
        <v>420</v>
      </c>
      <c r="Q35" s="19">
        <v>709</v>
      </c>
      <c r="R35" s="19">
        <v>731</v>
      </c>
      <c r="S35" s="19">
        <v>734</v>
      </c>
      <c r="T35" s="19">
        <v>721</v>
      </c>
      <c r="U35" s="19">
        <v>716</v>
      </c>
      <c r="V35" s="19">
        <v>773</v>
      </c>
      <c r="W35" s="19">
        <v>786</v>
      </c>
      <c r="X35" s="19">
        <v>796</v>
      </c>
      <c r="Y35" s="19">
        <v>809</v>
      </c>
      <c r="Z35" s="19">
        <v>829</v>
      </c>
      <c r="AA35" s="19">
        <v>849</v>
      </c>
      <c r="AB35" s="19">
        <v>904</v>
      </c>
      <c r="AC35" s="19"/>
      <c r="AD35" s="959">
        <f>((((J35/I35))^(1/8))-1)*100</f>
        <v>2.4262722834799133</v>
      </c>
      <c r="AE35" s="959">
        <f>((((U35/J35))^(1/11))-1)*100</f>
        <v>6.4233419659865065</v>
      </c>
      <c r="AF35" s="959">
        <f>((((AB35/I35))^(1/26))-1)*100</f>
        <v>4.3606130870800452</v>
      </c>
      <c r="AG35" s="959">
        <f>((((AB35/U35))^(1/7))-1)*100</f>
        <v>3.3867916536339582</v>
      </c>
      <c r="AH35" s="23"/>
      <c r="AI35" s="959">
        <f>((AB35/I35)-1)*100</f>
        <v>203.3557046979866</v>
      </c>
      <c r="AJ35" s="114"/>
    </row>
    <row r="36" spans="1:36" ht="12.75" customHeight="1">
      <c r="I36" s="349"/>
      <c r="J36" s="19"/>
      <c r="K36" s="19"/>
      <c r="L36" s="19"/>
      <c r="M36" s="19"/>
      <c r="N36" s="19"/>
      <c r="O36" s="19"/>
      <c r="P36" s="19"/>
      <c r="Q36" s="19"/>
      <c r="R36" s="19"/>
      <c r="S36" s="19"/>
      <c r="T36" s="19"/>
      <c r="U36" s="19"/>
      <c r="V36" s="19"/>
      <c r="W36" s="19"/>
      <c r="X36" s="19"/>
      <c r="Y36" s="19"/>
      <c r="Z36" s="19"/>
      <c r="AA36" s="19"/>
      <c r="AB36" s="19"/>
      <c r="AC36" s="19"/>
      <c r="AD36" s="114"/>
      <c r="AE36" s="114"/>
      <c r="AF36" s="114"/>
      <c r="AG36" s="114"/>
      <c r="AH36" s="116"/>
      <c r="AI36" s="959"/>
      <c r="AJ36" s="114"/>
    </row>
    <row r="37" spans="1:36" ht="15.75" customHeight="1">
      <c r="B37" s="128" t="s">
        <v>3</v>
      </c>
      <c r="I37" s="349">
        <v>2521</v>
      </c>
      <c r="J37" s="19">
        <v>3256</v>
      </c>
      <c r="K37" s="19">
        <v>3370</v>
      </c>
      <c r="L37" s="19">
        <v>3455</v>
      </c>
      <c r="M37" s="19">
        <v>3517</v>
      </c>
      <c r="N37" s="19">
        <v>3575</v>
      </c>
      <c r="O37" s="19">
        <v>3639</v>
      </c>
      <c r="P37" s="19">
        <v>3705</v>
      </c>
      <c r="Q37" s="19">
        <v>3779</v>
      </c>
      <c r="R37" s="19">
        <v>3856</v>
      </c>
      <c r="S37" s="19">
        <v>3927</v>
      </c>
      <c r="T37" s="19">
        <v>4004</v>
      </c>
      <c r="U37" s="19">
        <v>4093</v>
      </c>
      <c r="V37" s="19">
        <v>4185</v>
      </c>
      <c r="W37" s="19">
        <v>4275</v>
      </c>
      <c r="X37" s="19">
        <v>4366</v>
      </c>
      <c r="Y37" s="19">
        <v>4461</v>
      </c>
      <c r="Z37" s="19">
        <v>4569</v>
      </c>
      <c r="AA37" s="19">
        <v>4670</v>
      </c>
      <c r="AB37" s="19">
        <v>4769</v>
      </c>
      <c r="AC37" s="19"/>
      <c r="AD37" s="959">
        <f>((((J37/I37))^(1/8))-1)*100</f>
        <v>3.2497345589185045</v>
      </c>
      <c r="AE37" s="959">
        <f>((((U37/J37))^(1/11))-1)*100</f>
        <v>2.1015855172903386</v>
      </c>
      <c r="AF37" s="959">
        <f>((((AB37/I37))^(1/26))-1)*100</f>
        <v>2.4821549780106311</v>
      </c>
      <c r="AG37" s="959">
        <f>((((AB37/U37))^(1/7))-1)*100</f>
        <v>2.2077090810328492</v>
      </c>
      <c r="AH37" s="23"/>
      <c r="AI37" s="959">
        <f>((AB37/I37)-1)*100</f>
        <v>89.170963903213021</v>
      </c>
      <c r="AJ37" s="114"/>
    </row>
    <row r="38" spans="1:36">
      <c r="B38" s="128"/>
      <c r="I38" s="349"/>
      <c r="J38" s="19"/>
      <c r="K38" s="19"/>
      <c r="L38" s="19"/>
      <c r="M38" s="19"/>
      <c r="N38" s="19"/>
      <c r="O38" s="19"/>
      <c r="P38" s="19"/>
      <c r="Q38" s="19"/>
      <c r="R38" s="19"/>
      <c r="S38" s="19"/>
      <c r="T38" s="19"/>
      <c r="U38" s="19"/>
      <c r="V38" s="19"/>
      <c r="W38" s="19"/>
      <c r="X38" s="19"/>
      <c r="Y38" s="19"/>
      <c r="Z38" s="19"/>
      <c r="AA38" s="19"/>
      <c r="AB38" s="19"/>
      <c r="AC38" s="19"/>
      <c r="AD38" s="114"/>
      <c r="AE38" s="114"/>
      <c r="AF38" s="114"/>
      <c r="AG38" s="114"/>
      <c r="AH38" s="116"/>
      <c r="AI38" s="959"/>
      <c r="AJ38" s="114"/>
    </row>
    <row r="39" spans="1:36">
      <c r="C39" s="128" t="s">
        <v>4</v>
      </c>
      <c r="I39" s="349">
        <v>191</v>
      </c>
      <c r="J39" s="19">
        <v>216</v>
      </c>
      <c r="K39" s="19">
        <v>230</v>
      </c>
      <c r="L39" s="19">
        <v>230</v>
      </c>
      <c r="M39" s="19">
        <v>237</v>
      </c>
      <c r="N39" s="19">
        <v>261</v>
      </c>
      <c r="O39" s="19">
        <v>253</v>
      </c>
      <c r="P39" s="19">
        <v>261</v>
      </c>
      <c r="Q39" s="19">
        <v>261</v>
      </c>
      <c r="R39" s="19">
        <v>271</v>
      </c>
      <c r="S39" s="19">
        <v>275</v>
      </c>
      <c r="T39" s="19">
        <v>272</v>
      </c>
      <c r="U39" s="19">
        <v>290</v>
      </c>
      <c r="V39" s="19">
        <v>300</v>
      </c>
      <c r="W39" s="19">
        <v>315</v>
      </c>
      <c r="X39" s="19">
        <v>315</v>
      </c>
      <c r="Y39" s="19">
        <v>315</v>
      </c>
      <c r="Z39" s="19">
        <v>303</v>
      </c>
      <c r="AA39" s="19">
        <v>321</v>
      </c>
      <c r="AB39" s="19">
        <v>339</v>
      </c>
      <c r="AC39" s="19"/>
      <c r="AD39" s="959">
        <f t="shared" ref="AD39:AD44" si="5">((((J39/I39))^(1/8))-1)*100</f>
        <v>1.5494435498089265</v>
      </c>
      <c r="AE39" s="959">
        <f t="shared" ref="AE39:AE44" si="6">((((U39/J39))^(1/11))-1)*100</f>
        <v>2.7143909109708542</v>
      </c>
      <c r="AF39" s="959">
        <f t="shared" ref="AF39:AF44" si="7">((((AB39/I39))^(1/26))-1)*100</f>
        <v>2.2311674694609263</v>
      </c>
      <c r="AG39" s="959">
        <f t="shared" ref="AG39:AG44" si="8">((((AB39/U39))^(1/7))-1)*100</f>
        <v>2.2553306046306121</v>
      </c>
      <c r="AH39" s="23"/>
      <c r="AI39" s="959">
        <f t="shared" ref="AI39:AI44" si="9">((AB39/I39)-1)*100</f>
        <v>77.486910994764386</v>
      </c>
      <c r="AJ39" s="114"/>
    </row>
    <row r="40" spans="1:36">
      <c r="C40" s="1" t="s">
        <v>5</v>
      </c>
      <c r="I40" s="349">
        <v>162</v>
      </c>
      <c r="J40" s="19">
        <v>192</v>
      </c>
      <c r="K40" s="19">
        <v>204</v>
      </c>
      <c r="L40" s="19">
        <v>208</v>
      </c>
      <c r="M40" s="19">
        <v>218</v>
      </c>
      <c r="N40" s="19">
        <v>235</v>
      </c>
      <c r="O40" s="19">
        <v>228</v>
      </c>
      <c r="P40" s="19">
        <v>236</v>
      </c>
      <c r="Q40" s="19">
        <v>232</v>
      </c>
      <c r="R40" s="19">
        <v>233</v>
      </c>
      <c r="S40" s="19">
        <v>237</v>
      </c>
      <c r="T40" s="19">
        <v>236</v>
      </c>
      <c r="U40" s="19">
        <v>245</v>
      </c>
      <c r="V40" s="19">
        <v>257</v>
      </c>
      <c r="W40" s="19">
        <v>256</v>
      </c>
      <c r="X40" s="19">
        <v>245</v>
      </c>
      <c r="Y40" s="19">
        <v>250</v>
      </c>
      <c r="Z40" s="19">
        <v>242</v>
      </c>
      <c r="AA40" s="19">
        <v>252</v>
      </c>
      <c r="AB40" s="19">
        <v>265</v>
      </c>
      <c r="AC40" s="19"/>
      <c r="AD40" s="959">
        <f t="shared" si="5"/>
        <v>2.1464497693805429</v>
      </c>
      <c r="AE40" s="959">
        <f t="shared" si="6"/>
        <v>2.2407620390551886</v>
      </c>
      <c r="AF40" s="959">
        <f t="shared" si="7"/>
        <v>1.9108485398564357</v>
      </c>
      <c r="AG40" s="959">
        <f t="shared" si="8"/>
        <v>1.1273300870834557</v>
      </c>
      <c r="AH40" s="23"/>
      <c r="AI40" s="959">
        <f t="shared" si="9"/>
        <v>63.58024691358024</v>
      </c>
      <c r="AJ40" s="114"/>
    </row>
    <row r="41" spans="1:36">
      <c r="C41" s="1" t="s">
        <v>6</v>
      </c>
      <c r="I41" s="349">
        <v>29</v>
      </c>
      <c r="J41" s="19">
        <v>24</v>
      </c>
      <c r="K41" s="19">
        <v>26</v>
      </c>
      <c r="L41" s="19">
        <v>22</v>
      </c>
      <c r="M41" s="19">
        <v>19</v>
      </c>
      <c r="N41" s="19">
        <v>26</v>
      </c>
      <c r="O41" s="19">
        <v>26</v>
      </c>
      <c r="P41" s="19">
        <v>25</v>
      </c>
      <c r="Q41" s="19">
        <v>29</v>
      </c>
      <c r="R41" s="19">
        <v>38</v>
      </c>
      <c r="S41" s="19">
        <v>39</v>
      </c>
      <c r="T41" s="19">
        <v>35</v>
      </c>
      <c r="U41" s="19">
        <v>44</v>
      </c>
      <c r="V41" s="19">
        <v>43</v>
      </c>
      <c r="W41" s="19">
        <v>59</v>
      </c>
      <c r="X41" s="19">
        <v>70</v>
      </c>
      <c r="Y41" s="19">
        <v>65</v>
      </c>
      <c r="Z41" s="19">
        <v>61</v>
      </c>
      <c r="AA41" s="19">
        <v>69</v>
      </c>
      <c r="AB41" s="19">
        <v>75</v>
      </c>
      <c r="AC41" s="19"/>
      <c r="AD41" s="959">
        <f t="shared" si="5"/>
        <v>-2.3377657675827113</v>
      </c>
      <c r="AE41" s="959">
        <f t="shared" si="6"/>
        <v>5.6649713271726299</v>
      </c>
      <c r="AF41" s="959">
        <f t="shared" si="7"/>
        <v>3.7221866872171994</v>
      </c>
      <c r="AG41" s="959">
        <f t="shared" si="8"/>
        <v>7.9162737137417949</v>
      </c>
      <c r="AH41" s="23"/>
      <c r="AI41" s="959">
        <f t="shared" si="9"/>
        <v>158.62068965517241</v>
      </c>
      <c r="AJ41" s="114"/>
    </row>
    <row r="42" spans="1:36">
      <c r="C42" s="128" t="s">
        <v>7</v>
      </c>
      <c r="I42" s="349">
        <v>529</v>
      </c>
      <c r="J42" s="19">
        <v>685</v>
      </c>
      <c r="K42" s="19">
        <v>724</v>
      </c>
      <c r="L42" s="19">
        <v>724</v>
      </c>
      <c r="M42" s="19">
        <v>722</v>
      </c>
      <c r="N42" s="19">
        <v>760</v>
      </c>
      <c r="O42" s="19">
        <v>761</v>
      </c>
      <c r="P42" s="19">
        <v>777</v>
      </c>
      <c r="Q42" s="19">
        <v>781</v>
      </c>
      <c r="R42" s="19">
        <v>775</v>
      </c>
      <c r="S42" s="19">
        <v>779</v>
      </c>
      <c r="T42" s="19">
        <v>794</v>
      </c>
      <c r="U42" s="19">
        <v>793</v>
      </c>
      <c r="V42" s="19">
        <v>791</v>
      </c>
      <c r="W42" s="19">
        <v>830</v>
      </c>
      <c r="X42" s="19">
        <v>818</v>
      </c>
      <c r="Y42" s="19">
        <v>810</v>
      </c>
      <c r="Z42" s="19">
        <v>822</v>
      </c>
      <c r="AA42" s="19">
        <v>834</v>
      </c>
      <c r="AB42" s="19">
        <v>863</v>
      </c>
      <c r="AC42" s="19"/>
      <c r="AD42" s="959">
        <f t="shared" si="5"/>
        <v>3.283123260263987</v>
      </c>
      <c r="AE42" s="959">
        <f t="shared" si="6"/>
        <v>1.3398454908543744</v>
      </c>
      <c r="AF42" s="959">
        <f t="shared" si="7"/>
        <v>1.9002376975859825</v>
      </c>
      <c r="AG42" s="959">
        <f t="shared" si="8"/>
        <v>1.2157808170262019</v>
      </c>
      <c r="AH42" s="23"/>
      <c r="AI42" s="959">
        <f t="shared" si="9"/>
        <v>63.137996219281668</v>
      </c>
      <c r="AJ42" s="114"/>
    </row>
    <row r="43" spans="1:36">
      <c r="C43" s="1" t="s">
        <v>5</v>
      </c>
      <c r="I43" s="349">
        <v>485</v>
      </c>
      <c r="J43" s="19">
        <v>648</v>
      </c>
      <c r="K43" s="19">
        <v>693</v>
      </c>
      <c r="L43" s="19">
        <v>700</v>
      </c>
      <c r="M43" s="19">
        <v>681</v>
      </c>
      <c r="N43" s="19">
        <v>735</v>
      </c>
      <c r="O43" s="19">
        <v>735</v>
      </c>
      <c r="P43" s="19">
        <v>748</v>
      </c>
      <c r="Q43" s="19">
        <v>751</v>
      </c>
      <c r="R43" s="19">
        <v>724</v>
      </c>
      <c r="S43" s="19">
        <v>728</v>
      </c>
      <c r="T43" s="19">
        <v>745</v>
      </c>
      <c r="U43" s="19">
        <v>742</v>
      </c>
      <c r="V43" s="19">
        <v>735</v>
      </c>
      <c r="W43" s="19">
        <v>769</v>
      </c>
      <c r="X43" s="19">
        <v>732</v>
      </c>
      <c r="Y43" s="19">
        <v>727</v>
      </c>
      <c r="Z43" s="19">
        <v>740</v>
      </c>
      <c r="AA43" s="19">
        <v>749</v>
      </c>
      <c r="AB43" s="19">
        <v>763</v>
      </c>
      <c r="AC43" s="19"/>
      <c r="AD43" s="959">
        <f t="shared" si="5"/>
        <v>3.6881577659604314</v>
      </c>
      <c r="AE43" s="959">
        <f t="shared" si="6"/>
        <v>1.2390547931478979</v>
      </c>
      <c r="AF43" s="959">
        <f t="shared" si="7"/>
        <v>1.7580015575286767</v>
      </c>
      <c r="AG43" s="959">
        <f t="shared" si="8"/>
        <v>0.39949282681295273</v>
      </c>
      <c r="AH43" s="23"/>
      <c r="AI43" s="959">
        <f t="shared" si="9"/>
        <v>57.319587628865975</v>
      </c>
      <c r="AJ43" s="114"/>
    </row>
    <row r="44" spans="1:36">
      <c r="C44" s="1" t="s">
        <v>6</v>
      </c>
      <c r="I44" s="349">
        <v>44</v>
      </c>
      <c r="J44" s="19">
        <v>36</v>
      </c>
      <c r="K44" s="19">
        <v>31</v>
      </c>
      <c r="L44" s="19">
        <v>24</v>
      </c>
      <c r="M44" s="19">
        <v>42</v>
      </c>
      <c r="N44" s="19">
        <v>25</v>
      </c>
      <c r="O44" s="19">
        <v>26</v>
      </c>
      <c r="P44" s="19">
        <v>28</v>
      </c>
      <c r="Q44" s="19">
        <v>31</v>
      </c>
      <c r="R44" s="19">
        <v>51</v>
      </c>
      <c r="S44" s="19">
        <v>51</v>
      </c>
      <c r="T44" s="19">
        <v>48</v>
      </c>
      <c r="U44" s="19">
        <v>51</v>
      </c>
      <c r="V44" s="19">
        <v>55</v>
      </c>
      <c r="W44" s="19">
        <v>62</v>
      </c>
      <c r="X44" s="19">
        <v>86</v>
      </c>
      <c r="Y44" s="19">
        <v>84</v>
      </c>
      <c r="Z44" s="19">
        <v>82</v>
      </c>
      <c r="AA44" s="19">
        <v>85</v>
      </c>
      <c r="AB44" s="19">
        <v>101</v>
      </c>
      <c r="AC44" s="19"/>
      <c r="AD44" s="959">
        <f t="shared" si="5"/>
        <v>-2.4771851535739797</v>
      </c>
      <c r="AE44" s="959">
        <f t="shared" si="6"/>
        <v>3.2170890513528061</v>
      </c>
      <c r="AF44" s="959">
        <f t="shared" si="7"/>
        <v>3.2475049174280679</v>
      </c>
      <c r="AG44" s="959">
        <f t="shared" si="8"/>
        <v>10.253663286340764</v>
      </c>
      <c r="AH44" s="23"/>
      <c r="AI44" s="959">
        <f t="shared" si="9"/>
        <v>129.54545454545453</v>
      </c>
      <c r="AJ44" s="114"/>
    </row>
    <row r="45" spans="1:36">
      <c r="I45" s="349"/>
      <c r="J45" s="19"/>
      <c r="K45" s="19"/>
      <c r="L45" s="19"/>
      <c r="M45" s="19"/>
      <c r="N45" s="19"/>
      <c r="O45" s="19"/>
      <c r="P45" s="19"/>
      <c r="Q45" s="19"/>
      <c r="R45" s="19"/>
      <c r="S45" s="19"/>
      <c r="T45" s="19"/>
      <c r="U45" s="19"/>
      <c r="V45" s="19"/>
      <c r="W45" s="19"/>
      <c r="X45" s="19"/>
      <c r="Y45" s="19"/>
      <c r="Z45" s="19"/>
      <c r="AA45" s="19"/>
      <c r="AB45" s="19"/>
      <c r="AC45" s="19"/>
      <c r="AD45" s="114"/>
      <c r="AE45" s="114"/>
      <c r="AF45" s="114"/>
      <c r="AG45" s="114"/>
      <c r="AH45" s="116"/>
      <c r="AI45" s="959"/>
      <c r="AJ45" s="114"/>
    </row>
    <row r="46" spans="1:36">
      <c r="C46" s="128" t="s">
        <v>8</v>
      </c>
      <c r="I46" s="349">
        <v>965</v>
      </c>
      <c r="J46" s="19">
        <v>1305</v>
      </c>
      <c r="K46" s="19">
        <v>1382</v>
      </c>
      <c r="L46" s="19">
        <v>1409</v>
      </c>
      <c r="M46" s="19">
        <v>1489</v>
      </c>
      <c r="N46" s="19">
        <v>1503</v>
      </c>
      <c r="O46" s="19">
        <v>1523</v>
      </c>
      <c r="P46" s="19">
        <v>1519</v>
      </c>
      <c r="Q46" s="19">
        <v>1623</v>
      </c>
      <c r="R46" s="19">
        <v>1649</v>
      </c>
      <c r="S46" s="19">
        <v>1674</v>
      </c>
      <c r="T46" s="19">
        <v>1724</v>
      </c>
      <c r="U46" s="19">
        <v>1728</v>
      </c>
      <c r="V46" s="19">
        <v>1792</v>
      </c>
      <c r="W46" s="19">
        <v>1816</v>
      </c>
      <c r="X46" s="19">
        <v>1871</v>
      </c>
      <c r="Y46" s="19">
        <v>1959</v>
      </c>
      <c r="Z46" s="19">
        <v>2001</v>
      </c>
      <c r="AA46" s="19">
        <v>2029</v>
      </c>
      <c r="AB46" s="19">
        <v>2069</v>
      </c>
      <c r="AC46" s="19"/>
      <c r="AD46" s="959">
        <f t="shared" ref="AD46:AD51" si="10">((((J46/I46))^(1/8))-1)*100</f>
        <v>3.8449543593245039</v>
      </c>
      <c r="AE46" s="959">
        <f t="shared" ref="AE46:AE51" si="11">((((U46/J46))^(1/11))-1)*100</f>
        <v>2.5852305374438167</v>
      </c>
      <c r="AF46" s="959">
        <f t="shared" ref="AF46:AF51" si="12">((((AB46/I46))^(1/26))-1)*100</f>
        <v>2.9768819396654544</v>
      </c>
      <c r="AG46" s="959">
        <f t="shared" ref="AG46:AG51" si="13">((((AB46/U46))^(1/7))-1)*100</f>
        <v>2.6062514786050706</v>
      </c>
      <c r="AH46" s="23"/>
      <c r="AI46" s="959">
        <f t="shared" ref="AI46:AI51" si="14">((AB46/I46)-1)*100</f>
        <v>114.40414507772019</v>
      </c>
      <c r="AJ46" s="114"/>
    </row>
    <row r="47" spans="1:36">
      <c r="C47" s="1" t="s">
        <v>5</v>
      </c>
      <c r="I47" s="349">
        <v>102</v>
      </c>
      <c r="J47" s="19">
        <v>156</v>
      </c>
      <c r="K47" s="19">
        <v>181</v>
      </c>
      <c r="L47" s="19">
        <v>267</v>
      </c>
      <c r="M47" s="19">
        <v>277</v>
      </c>
      <c r="N47" s="19">
        <v>343</v>
      </c>
      <c r="O47" s="19">
        <v>315</v>
      </c>
      <c r="P47" s="19">
        <v>305</v>
      </c>
      <c r="Q47" s="19">
        <v>333</v>
      </c>
      <c r="R47" s="19">
        <v>370</v>
      </c>
      <c r="S47" s="19">
        <v>350</v>
      </c>
      <c r="T47" s="19">
        <v>295</v>
      </c>
      <c r="U47" s="19">
        <v>272</v>
      </c>
      <c r="V47" s="19">
        <v>288</v>
      </c>
      <c r="W47" s="19">
        <v>311</v>
      </c>
      <c r="X47" s="19">
        <v>326</v>
      </c>
      <c r="Y47" s="19">
        <v>317</v>
      </c>
      <c r="Z47" s="19">
        <v>358</v>
      </c>
      <c r="AA47" s="19">
        <v>297</v>
      </c>
      <c r="AB47" s="19">
        <v>329</v>
      </c>
      <c r="AC47" s="19"/>
      <c r="AD47" s="959">
        <f t="shared" si="10"/>
        <v>5.4546059782704104</v>
      </c>
      <c r="AE47" s="959">
        <f t="shared" si="11"/>
        <v>5.1839515447598794</v>
      </c>
      <c r="AF47" s="959">
        <f t="shared" si="12"/>
        <v>4.6071509851411285</v>
      </c>
      <c r="AG47" s="959">
        <f t="shared" si="13"/>
        <v>2.7552112121775885</v>
      </c>
      <c r="AH47" s="23"/>
      <c r="AI47" s="959">
        <f t="shared" si="14"/>
        <v>222.54901960784315</v>
      </c>
      <c r="AJ47" s="114"/>
    </row>
    <row r="48" spans="1:36">
      <c r="C48" s="1" t="s">
        <v>6</v>
      </c>
      <c r="I48" s="349">
        <v>864</v>
      </c>
      <c r="J48" s="19">
        <v>1149</v>
      </c>
      <c r="K48" s="19">
        <v>1201</v>
      </c>
      <c r="L48" s="19">
        <v>1142</v>
      </c>
      <c r="M48" s="19">
        <v>1211</v>
      </c>
      <c r="N48" s="19">
        <v>1160</v>
      </c>
      <c r="O48" s="19">
        <v>1208</v>
      </c>
      <c r="P48" s="19">
        <v>1214</v>
      </c>
      <c r="Q48" s="19">
        <v>1290</v>
      </c>
      <c r="R48" s="19">
        <v>1279</v>
      </c>
      <c r="S48" s="19">
        <v>1325</v>
      </c>
      <c r="T48" s="19">
        <v>1429</v>
      </c>
      <c r="U48" s="19">
        <v>1456</v>
      </c>
      <c r="V48" s="19">
        <v>1505</v>
      </c>
      <c r="W48" s="19">
        <v>1505</v>
      </c>
      <c r="X48" s="19">
        <v>1545</v>
      </c>
      <c r="Y48" s="19">
        <v>1642</v>
      </c>
      <c r="Z48" s="19">
        <v>1642</v>
      </c>
      <c r="AA48" s="19">
        <v>1733</v>
      </c>
      <c r="AB48" s="19">
        <v>1740</v>
      </c>
      <c r="AC48" s="19"/>
      <c r="AD48" s="959">
        <f t="shared" si="10"/>
        <v>3.627682488383166</v>
      </c>
      <c r="AE48" s="959">
        <f t="shared" si="11"/>
        <v>2.1760744484405015</v>
      </c>
      <c r="AF48" s="959">
        <f t="shared" si="12"/>
        <v>2.7291449389475586</v>
      </c>
      <c r="AG48" s="959">
        <f t="shared" si="13"/>
        <v>2.5782794787868157</v>
      </c>
      <c r="AH48" s="23"/>
      <c r="AI48" s="959">
        <f t="shared" si="14"/>
        <v>101.38888888888889</v>
      </c>
      <c r="AJ48" s="114"/>
    </row>
    <row r="49" spans="1:36">
      <c r="C49" s="128" t="s">
        <v>9</v>
      </c>
      <c r="I49" s="349">
        <v>837</v>
      </c>
      <c r="J49" s="19">
        <v>1050</v>
      </c>
      <c r="K49" s="19">
        <v>1034</v>
      </c>
      <c r="L49" s="19">
        <v>1092</v>
      </c>
      <c r="M49" s="19">
        <v>1069</v>
      </c>
      <c r="N49" s="19">
        <v>1051</v>
      </c>
      <c r="O49" s="19">
        <v>1101</v>
      </c>
      <c r="P49" s="19">
        <v>1148</v>
      </c>
      <c r="Q49" s="19">
        <v>1114</v>
      </c>
      <c r="R49" s="19">
        <v>1161</v>
      </c>
      <c r="S49" s="19">
        <v>1199</v>
      </c>
      <c r="T49" s="19">
        <v>1215</v>
      </c>
      <c r="U49" s="19">
        <v>1282</v>
      </c>
      <c r="V49" s="19">
        <v>1302</v>
      </c>
      <c r="W49" s="19">
        <v>1314</v>
      </c>
      <c r="X49" s="19">
        <v>1362</v>
      </c>
      <c r="Y49" s="19">
        <v>1376</v>
      </c>
      <c r="Z49" s="19">
        <v>1443</v>
      </c>
      <c r="AA49" s="19">
        <v>1485</v>
      </c>
      <c r="AB49" s="19">
        <v>1498</v>
      </c>
      <c r="AC49" s="19"/>
      <c r="AD49" s="959">
        <f t="shared" si="10"/>
        <v>2.8745574917127925</v>
      </c>
      <c r="AE49" s="959">
        <f t="shared" si="11"/>
        <v>1.8313971373536297</v>
      </c>
      <c r="AF49" s="959">
        <f t="shared" si="12"/>
        <v>2.2639473056136783</v>
      </c>
      <c r="AG49" s="959">
        <f t="shared" si="13"/>
        <v>2.2493465377166455</v>
      </c>
      <c r="AH49" s="23"/>
      <c r="AI49" s="959">
        <f t="shared" si="14"/>
        <v>78.972520908004768</v>
      </c>
      <c r="AJ49" s="114"/>
    </row>
    <row r="50" spans="1:36">
      <c r="C50" s="1" t="s">
        <v>5</v>
      </c>
      <c r="I50" s="349">
        <v>150</v>
      </c>
      <c r="J50" s="19">
        <v>205</v>
      </c>
      <c r="K50" s="19">
        <v>194</v>
      </c>
      <c r="L50" s="19">
        <v>257</v>
      </c>
      <c r="M50" s="19">
        <v>278</v>
      </c>
      <c r="N50" s="19">
        <v>263</v>
      </c>
      <c r="O50" s="19">
        <v>328</v>
      </c>
      <c r="P50" s="19">
        <v>299</v>
      </c>
      <c r="Q50" s="19">
        <v>314</v>
      </c>
      <c r="R50" s="19">
        <v>337</v>
      </c>
      <c r="S50" s="19">
        <v>345</v>
      </c>
      <c r="T50" s="19">
        <v>323</v>
      </c>
      <c r="U50" s="19">
        <v>323</v>
      </c>
      <c r="V50" s="19">
        <v>326</v>
      </c>
      <c r="W50" s="19">
        <v>309</v>
      </c>
      <c r="X50" s="19">
        <v>307</v>
      </c>
      <c r="Y50" s="19">
        <v>319</v>
      </c>
      <c r="Z50" s="19">
        <v>302</v>
      </c>
      <c r="AA50" s="19">
        <v>308</v>
      </c>
      <c r="AB50" s="19">
        <v>316</v>
      </c>
      <c r="AC50" s="19"/>
      <c r="AD50" s="959">
        <f t="shared" si="10"/>
        <v>3.9819183096520439</v>
      </c>
      <c r="AE50" s="959">
        <f t="shared" si="11"/>
        <v>4.2197143017408179</v>
      </c>
      <c r="AF50" s="959">
        <f t="shared" si="12"/>
        <v>2.9072548693515943</v>
      </c>
      <c r="AG50" s="959">
        <f t="shared" si="13"/>
        <v>-0.31251222700223735</v>
      </c>
      <c r="AH50" s="23"/>
      <c r="AI50" s="959">
        <f t="shared" si="14"/>
        <v>110.66666666666664</v>
      </c>
      <c r="AJ50" s="114"/>
    </row>
    <row r="51" spans="1:36">
      <c r="C51" s="1" t="s">
        <v>10</v>
      </c>
      <c r="I51" s="349">
        <v>686</v>
      </c>
      <c r="J51" s="19">
        <v>845</v>
      </c>
      <c r="K51" s="19">
        <v>840</v>
      </c>
      <c r="L51" s="19">
        <v>835</v>
      </c>
      <c r="M51" s="19">
        <v>791</v>
      </c>
      <c r="N51" s="19">
        <v>788</v>
      </c>
      <c r="O51" s="19">
        <v>772</v>
      </c>
      <c r="P51" s="19">
        <v>849</v>
      </c>
      <c r="Q51" s="19">
        <v>800</v>
      </c>
      <c r="R51" s="19">
        <v>824</v>
      </c>
      <c r="S51" s="19">
        <v>854</v>
      </c>
      <c r="T51" s="19">
        <v>892</v>
      </c>
      <c r="U51" s="19">
        <v>959</v>
      </c>
      <c r="V51" s="19">
        <v>976</v>
      </c>
      <c r="W51" s="19">
        <v>1006</v>
      </c>
      <c r="X51" s="19">
        <v>1055</v>
      </c>
      <c r="Y51" s="19">
        <v>1057</v>
      </c>
      <c r="Z51" s="19">
        <v>1141</v>
      </c>
      <c r="AA51" s="19">
        <v>1177</v>
      </c>
      <c r="AB51" s="19">
        <v>1182</v>
      </c>
      <c r="AC51" s="19"/>
      <c r="AD51" s="959">
        <f t="shared" si="10"/>
        <v>2.6399836427388523</v>
      </c>
      <c r="AE51" s="959">
        <f t="shared" si="11"/>
        <v>1.1571386248081295</v>
      </c>
      <c r="AF51" s="959">
        <f t="shared" si="12"/>
        <v>2.1146859871701729</v>
      </c>
      <c r="AG51" s="959">
        <f t="shared" si="13"/>
        <v>3.0317952295003225</v>
      </c>
      <c r="AH51" s="23"/>
      <c r="AI51" s="959">
        <f t="shared" si="14"/>
        <v>72.303206997084544</v>
      </c>
    </row>
    <row r="52" spans="1:36">
      <c r="I52" s="652"/>
      <c r="J52" s="652"/>
      <c r="K52" s="652"/>
      <c r="L52" s="652"/>
      <c r="M52" s="652"/>
      <c r="N52" s="652"/>
      <c r="O52" s="652"/>
      <c r="P52" s="652"/>
      <c r="Q52" s="652"/>
      <c r="R52" s="652"/>
      <c r="S52" s="652"/>
      <c r="T52" s="652"/>
      <c r="U52" s="652"/>
      <c r="V52" s="652"/>
      <c r="W52" s="652"/>
      <c r="X52" s="652"/>
      <c r="Y52" s="652"/>
      <c r="Z52" s="652"/>
    </row>
    <row r="53" spans="1:36" ht="16.5" customHeight="1">
      <c r="A53" s="1170" t="s">
        <v>1959</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row>
    <row r="54" spans="1:36" ht="16.5" customHeight="1">
      <c r="A54" s="13" t="s">
        <v>388</v>
      </c>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c r="AA54" s="643"/>
      <c r="AB54" s="958"/>
      <c r="AC54" s="643"/>
      <c r="AD54" s="643"/>
      <c r="AE54" s="643"/>
      <c r="AF54" s="643"/>
      <c r="AG54" s="643"/>
      <c r="AH54" s="643"/>
      <c r="AI54" s="643"/>
    </row>
    <row r="55" spans="1:36" ht="30" customHeight="1">
      <c r="A55" s="1168" t="s">
        <v>1031</v>
      </c>
      <c r="B55" s="1169"/>
      <c r="C55" s="1169"/>
      <c r="D55" s="1169"/>
      <c r="E55" s="1169"/>
      <c r="F55" s="1169"/>
      <c r="G55" s="1169"/>
      <c r="H55" s="1169"/>
      <c r="I55" s="1169"/>
      <c r="J55" s="1169"/>
      <c r="K55" s="1169"/>
      <c r="L55" s="1169"/>
      <c r="M55" s="1169"/>
      <c r="N55" s="1169"/>
      <c r="O55" s="1169"/>
      <c r="P55" s="1169"/>
      <c r="Q55" s="1169"/>
      <c r="R55" s="1169"/>
      <c r="S55" s="1169"/>
      <c r="T55" s="1169"/>
      <c r="U55" s="1169"/>
      <c r="V55" s="1169"/>
      <c r="W55" s="1169"/>
      <c r="X55" s="1169"/>
      <c r="Y55" s="1169"/>
      <c r="Z55" s="1169"/>
      <c r="AA55" s="1169"/>
      <c r="AB55" s="1169"/>
      <c r="AC55" s="1169"/>
      <c r="AD55" s="1169"/>
      <c r="AE55" s="1169"/>
      <c r="AF55" s="1169"/>
      <c r="AG55" s="1169"/>
      <c r="AH55" s="1169"/>
      <c r="AI55" s="1169"/>
    </row>
    <row r="56" spans="1:36">
      <c r="A56" s="1" t="s">
        <v>369</v>
      </c>
    </row>
  </sheetData>
  <mergeCells count="3">
    <mergeCell ref="AD3:AG3"/>
    <mergeCell ref="A55:AI55"/>
    <mergeCell ref="A53:AI53"/>
  </mergeCells>
  <phoneticPr fontId="35" type="noConversion"/>
  <pageMargins left="0.75" right="0.75" top="1" bottom="1" header="0.5" footer="0.5"/>
  <pageSetup scale="53" orientation="landscape" horizontalDpi="300" verticalDpi="300" r:id="rId1"/>
  <headerFooter alignWithMargins="0"/>
</worksheet>
</file>

<file path=xl/worksheets/sheet60.xml><?xml version="1.0" encoding="utf-8"?>
<worksheet xmlns="http://schemas.openxmlformats.org/spreadsheetml/2006/main" xmlns:r="http://schemas.openxmlformats.org/officeDocument/2006/relationships">
  <sheetPr codeName="Sheet71">
    <pageSetUpPr fitToPage="1"/>
  </sheetPr>
  <dimension ref="A1:L65"/>
  <sheetViews>
    <sheetView view="pageBreakPreview" zoomScale="70" zoomScaleSheetLayoutView="70" workbookViewId="0">
      <pane xSplit="1" ySplit="5" topLeftCell="B12"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4" width="14.7109375" style="1" customWidth="1"/>
    <col min="5" max="5" width="15.7109375" style="1" customWidth="1"/>
    <col min="6" max="7" width="9.28515625" style="1" bestFit="1" customWidth="1"/>
    <col min="8" max="16384" width="8.85546875" style="1"/>
  </cols>
  <sheetData>
    <row r="1" spans="1:9" ht="18.75" customHeight="1">
      <c r="A1" s="4"/>
      <c r="B1" s="1178" t="s">
        <v>2144</v>
      </c>
      <c r="C1" s="1178"/>
      <c r="D1" s="1178"/>
      <c r="E1" s="1178"/>
    </row>
    <row r="2" spans="1:9" ht="15.75" customHeight="1">
      <c r="A2" s="4"/>
      <c r="B2" s="1178"/>
      <c r="C2" s="1178"/>
      <c r="D2" s="1178"/>
      <c r="E2" s="1178"/>
    </row>
    <row r="3" spans="1:9" ht="15">
      <c r="A3" s="4"/>
      <c r="B3" s="1177"/>
      <c r="C3" s="1177"/>
      <c r="D3" s="1177"/>
      <c r="E3" s="1177"/>
      <c r="F3" s="4"/>
    </row>
    <row r="4" spans="1:9" ht="12.75" customHeight="1">
      <c r="A4" s="2"/>
      <c r="B4" s="1172" t="s">
        <v>164</v>
      </c>
      <c r="C4" s="1172" t="s">
        <v>376</v>
      </c>
      <c r="D4" s="1172" t="s">
        <v>1007</v>
      </c>
      <c r="E4" s="1172" t="s">
        <v>1008</v>
      </c>
      <c r="F4" s="1164"/>
      <c r="G4" s="1164"/>
      <c r="H4" s="4"/>
      <c r="I4" s="4"/>
    </row>
    <row r="5" spans="1:9" s="4" customFormat="1" ht="64.5" customHeight="1">
      <c r="A5" s="7"/>
      <c r="B5" s="1173"/>
      <c r="C5" s="1173"/>
      <c r="D5" s="1173"/>
      <c r="E5" s="1173"/>
      <c r="F5" s="1164"/>
      <c r="G5" s="1164"/>
    </row>
    <row r="6" spans="1:9">
      <c r="A6" s="432">
        <v>1961</v>
      </c>
      <c r="B6" s="135">
        <f>'13a'!B6/'13a'!$B6*100</f>
        <v>100</v>
      </c>
      <c r="C6" s="25">
        <f>'13a'!C6/'13a'!$B6*100</f>
        <v>83.072277361928997</v>
      </c>
      <c r="D6" s="25">
        <f>'13a'!D6/'13a'!$B6*100</f>
        <v>9.8069189873036429</v>
      </c>
      <c r="E6" s="25">
        <f>'13a'!E6/'13a'!$B6*100</f>
        <v>7.1208036507673533</v>
      </c>
      <c r="F6" s="23"/>
      <c r="G6" s="23"/>
      <c r="H6" s="4"/>
      <c r="I6" s="4"/>
    </row>
    <row r="7" spans="1:9">
      <c r="A7" s="120">
        <v>1962</v>
      </c>
      <c r="B7" s="135">
        <f>'13a'!B7/'13a'!$B7*100</f>
        <v>100</v>
      </c>
      <c r="C7" s="25">
        <f>'13a'!C7/'13a'!$B7*100</f>
        <v>83.105972859737165</v>
      </c>
      <c r="D7" s="25">
        <f>'13a'!D7/'13a'!$B7*100</f>
        <v>9.6907039595040967</v>
      </c>
      <c r="E7" s="25">
        <f>'13a'!E7/'13a'!$B7*100</f>
        <v>7.2033231807587246</v>
      </c>
      <c r="F7" s="23"/>
      <c r="G7" s="23"/>
      <c r="H7" s="4"/>
      <c r="I7" s="4"/>
    </row>
    <row r="8" spans="1:9">
      <c r="A8" s="120">
        <v>1963</v>
      </c>
      <c r="B8" s="135">
        <f>'13a'!B8/'13a'!$B8*100</f>
        <v>100</v>
      </c>
      <c r="C8" s="25">
        <f>'13a'!C8/'13a'!$B8*100</f>
        <v>83.848050171346529</v>
      </c>
      <c r="D8" s="25">
        <f>'13a'!D8/'13a'!$B8*100</f>
        <v>8.8849607867040525</v>
      </c>
      <c r="E8" s="25">
        <f>'13a'!E8/'13a'!$B8*100</f>
        <v>7.2669890419494232</v>
      </c>
      <c r="F8" s="23"/>
      <c r="G8" s="23"/>
      <c r="H8" s="4"/>
      <c r="I8" s="4"/>
    </row>
    <row r="9" spans="1:9">
      <c r="A9" s="120">
        <v>1964</v>
      </c>
      <c r="B9" s="135">
        <f>'13a'!B9/'13a'!$B9*100</f>
        <v>100</v>
      </c>
      <c r="C9" s="25">
        <f>'13a'!C9/'13a'!$B9*100</f>
        <v>82.937902393473223</v>
      </c>
      <c r="D9" s="25">
        <f>'13a'!D9/'13a'!$B9*100</f>
        <v>9.8921216887010353</v>
      </c>
      <c r="E9" s="25">
        <f>'13a'!E9/'13a'!$B9*100</f>
        <v>7.169975917825723</v>
      </c>
      <c r="F9" s="23"/>
      <c r="G9" s="23"/>
      <c r="H9" s="4"/>
      <c r="I9" s="4"/>
    </row>
    <row r="10" spans="1:9">
      <c r="A10" s="120">
        <v>1965</v>
      </c>
      <c r="B10" s="135">
        <f>'13a'!B10/'13a'!$B10*100</f>
        <v>100</v>
      </c>
      <c r="C10" s="25">
        <f>'13a'!C10/'13a'!$B10*100</f>
        <v>82.740267724123427</v>
      </c>
      <c r="D10" s="25">
        <f>'13a'!D10/'13a'!$B10*100</f>
        <v>8.8624770850525305</v>
      </c>
      <c r="E10" s="25">
        <f>'13a'!E10/'13a'!$B10*100</f>
        <v>8.3972551908240529</v>
      </c>
      <c r="F10" s="23"/>
      <c r="G10" s="23"/>
      <c r="H10" s="4"/>
      <c r="I10" s="4"/>
    </row>
    <row r="11" spans="1:9">
      <c r="A11" s="120">
        <v>1966</v>
      </c>
      <c r="B11" s="135">
        <f>'13a'!B11/'13a'!$B11*100</f>
        <v>100</v>
      </c>
      <c r="C11" s="25">
        <f>'13a'!C11/'13a'!$B11*100</f>
        <v>82.281946860667404</v>
      </c>
      <c r="D11" s="25">
        <f>'13a'!D11/'13a'!$B11*100</f>
        <v>8.293630396963465</v>
      </c>
      <c r="E11" s="25">
        <f>'13a'!E11/'13a'!$B11*100</f>
        <v>9.4244227423691278</v>
      </c>
      <c r="F11" s="23"/>
      <c r="G11" s="23"/>
      <c r="H11" s="4"/>
      <c r="I11" s="4"/>
    </row>
    <row r="12" spans="1:9">
      <c r="A12" s="120">
        <v>1967</v>
      </c>
      <c r="B12" s="135">
        <f>'13a'!B12/'13a'!$B12*100</f>
        <v>100</v>
      </c>
      <c r="C12" s="25">
        <f>'13a'!C12/'13a'!$B12*100</f>
        <v>81.734107193908358</v>
      </c>
      <c r="D12" s="25">
        <f>'13a'!D12/'13a'!$B12*100</f>
        <v>8.7635626023860205</v>
      </c>
      <c r="E12" s="25">
        <f>'13a'!E12/'13a'!$B12*100</f>
        <v>9.5023302037056379</v>
      </c>
      <c r="F12" s="23"/>
      <c r="G12" s="23"/>
      <c r="H12" s="4"/>
      <c r="I12" s="4"/>
    </row>
    <row r="13" spans="1:9">
      <c r="A13" s="120">
        <v>1968</v>
      </c>
      <c r="B13" s="135">
        <f>'13a'!B13/'13a'!$B13*100</f>
        <v>100</v>
      </c>
      <c r="C13" s="25">
        <f>'13a'!C13/'13a'!$B13*100</f>
        <v>81.102225680538936</v>
      </c>
      <c r="D13" s="25">
        <f>'13a'!D13/'13a'!$B13*100</f>
        <v>9.0993669306922307</v>
      </c>
      <c r="E13" s="25">
        <f>'13a'!E13/'13a'!$B13*100</f>
        <v>9.798407388768835</v>
      </c>
      <c r="F13" s="23"/>
      <c r="G13" s="23"/>
      <c r="H13" s="4"/>
      <c r="I13" s="4"/>
    </row>
    <row r="14" spans="1:9">
      <c r="A14" s="120">
        <v>1969</v>
      </c>
      <c r="B14" s="135">
        <f>'13a'!B14/'13a'!$B14*100</f>
        <v>100</v>
      </c>
      <c r="C14" s="25">
        <f>'13a'!C14/'13a'!$B14*100</f>
        <v>79.607233952783702</v>
      </c>
      <c r="D14" s="25">
        <f>'13a'!D14/'13a'!$B14*100</f>
        <v>9.4294536179352946</v>
      </c>
      <c r="E14" s="25">
        <f>'13a'!E14/'13a'!$B14*100</f>
        <v>10.963312429281016</v>
      </c>
      <c r="F14" s="23"/>
      <c r="G14" s="23"/>
      <c r="H14" s="4"/>
      <c r="I14" s="4"/>
    </row>
    <row r="15" spans="1:9">
      <c r="A15" s="120">
        <v>1970</v>
      </c>
      <c r="B15" s="135">
        <f>'13a'!B15/'13a'!$B15*100</f>
        <v>100</v>
      </c>
      <c r="C15" s="25">
        <f>'13a'!C15/'13a'!$B15*100</f>
        <v>78.201669336480904</v>
      </c>
      <c r="D15" s="25">
        <f>'13a'!D15/'13a'!$B15*100</f>
        <v>10.473048927858809</v>
      </c>
      <c r="E15" s="25">
        <f>'13a'!E15/'13a'!$B15*100</f>
        <v>11.325281735660287</v>
      </c>
      <c r="F15" s="23"/>
      <c r="G15" s="23"/>
      <c r="H15" s="4"/>
      <c r="I15" s="4"/>
    </row>
    <row r="16" spans="1:9">
      <c r="A16" s="120">
        <v>1971</v>
      </c>
      <c r="B16" s="135">
        <f>'13a'!B16/'13a'!$B16*100</f>
        <v>100</v>
      </c>
      <c r="C16" s="25">
        <f>'13a'!C16/'13a'!$B16*100</f>
        <v>76.781647573179441</v>
      </c>
      <c r="D16" s="25">
        <f>'13a'!D16/'13a'!$B16*100</f>
        <v>11.292613860076289</v>
      </c>
      <c r="E16" s="25">
        <f>'13a'!E16/'13a'!$B16*100</f>
        <v>11.925738566744256</v>
      </c>
      <c r="F16" s="23"/>
      <c r="G16" s="23"/>
      <c r="H16" s="4"/>
      <c r="I16" s="4"/>
    </row>
    <row r="17" spans="1:9">
      <c r="A17" s="120">
        <v>1972</v>
      </c>
      <c r="B17" s="135">
        <f>'13a'!B17/'13a'!$B17*100</f>
        <v>100</v>
      </c>
      <c r="C17" s="25">
        <f>'13a'!C17/'13a'!$B17*100</f>
        <v>75.671194898807883</v>
      </c>
      <c r="D17" s="25">
        <f>'13a'!D17/'13a'!$B17*100</f>
        <v>12.612697532575549</v>
      </c>
      <c r="E17" s="25">
        <f>'13a'!E17/'13a'!$B17*100</f>
        <v>11.716107568616579</v>
      </c>
      <c r="F17" s="23"/>
      <c r="G17" s="23"/>
      <c r="H17" s="4"/>
      <c r="I17" s="4"/>
    </row>
    <row r="18" spans="1:9">
      <c r="A18" s="120">
        <v>1973</v>
      </c>
      <c r="B18" s="135">
        <f>'13a'!B18/'13a'!$B18*100</f>
        <v>100</v>
      </c>
      <c r="C18" s="25">
        <f>'13a'!C18/'13a'!$B18*100</f>
        <v>75.51240835395609</v>
      </c>
      <c r="D18" s="25">
        <f>'13a'!D18/'13a'!$B18*100</f>
        <v>12.509193514813703</v>
      </c>
      <c r="E18" s="25">
        <f>'13a'!E18/'13a'!$B18*100</f>
        <v>11.978398131230197</v>
      </c>
      <c r="F18" s="23"/>
      <c r="G18" s="23"/>
      <c r="H18" s="4"/>
      <c r="I18" s="4"/>
    </row>
    <row r="19" spans="1:9">
      <c r="A19" s="120">
        <v>1974</v>
      </c>
      <c r="B19" s="135">
        <f>'13a'!B19/'13a'!$B19*100</f>
        <v>100</v>
      </c>
      <c r="C19" s="25">
        <f>'13a'!C19/'13a'!$B19*100</f>
        <v>72.471319427714491</v>
      </c>
      <c r="D19" s="25">
        <f>'13a'!D19/'13a'!$B19*100</f>
        <v>14.422924288518249</v>
      </c>
      <c r="E19" s="25">
        <f>'13a'!E19/'13a'!$B19*100</f>
        <v>13.105756283767256</v>
      </c>
      <c r="F19" s="23"/>
      <c r="G19" s="23"/>
      <c r="H19" s="4"/>
      <c r="I19" s="4"/>
    </row>
    <row r="20" spans="1:9">
      <c r="A20" s="120">
        <v>1975</v>
      </c>
      <c r="B20" s="135">
        <f>'13a'!B20/'13a'!$B20*100</f>
        <v>100</v>
      </c>
      <c r="C20" s="25">
        <f>'13a'!C20/'13a'!$B20*100</f>
        <v>70.822815359828837</v>
      </c>
      <c r="D20" s="25">
        <f>'13a'!D20/'13a'!$B20*100</f>
        <v>16.940133977783432</v>
      </c>
      <c r="E20" s="25">
        <f>'13a'!E20/'13a'!$B20*100</f>
        <v>12.237050662387727</v>
      </c>
      <c r="F20" s="23"/>
      <c r="G20" s="23"/>
      <c r="H20" s="4"/>
      <c r="I20" s="4"/>
    </row>
    <row r="21" spans="1:9">
      <c r="A21" s="120">
        <v>1976</v>
      </c>
      <c r="B21" s="135">
        <f>'13a'!B21/'13a'!$B21*100</f>
        <v>100</v>
      </c>
      <c r="C21" s="25">
        <f>'13a'!C21/'13a'!$B21*100</f>
        <v>72.119741482693641</v>
      </c>
      <c r="D21" s="25">
        <f>'13a'!D21/'13a'!$B21*100</f>
        <v>16.662875945957122</v>
      </c>
      <c r="E21" s="25">
        <f>'13a'!E21/'13a'!$B21*100</f>
        <v>11.217382571349241</v>
      </c>
      <c r="F21" s="23"/>
      <c r="G21" s="23"/>
      <c r="H21" s="4"/>
      <c r="I21" s="4"/>
    </row>
    <row r="22" spans="1:9">
      <c r="A22" s="120">
        <v>1977</v>
      </c>
      <c r="B22" s="135">
        <f>'13a'!B22/'13a'!$B22*100</f>
        <v>100</v>
      </c>
      <c r="C22" s="25">
        <f>'13a'!C22/'13a'!$B22*100</f>
        <v>72.873895041001063</v>
      </c>
      <c r="D22" s="25">
        <f>'13a'!D22/'13a'!$B22*100</f>
        <v>16.602742779209855</v>
      </c>
      <c r="E22" s="25">
        <f>'13a'!E22/'13a'!$B22*100</f>
        <v>10.523362179789086</v>
      </c>
      <c r="F22" s="23"/>
      <c r="G22" s="23"/>
      <c r="H22" s="4"/>
      <c r="I22" s="4"/>
    </row>
    <row r="23" spans="1:9">
      <c r="A23" s="120">
        <v>1978</v>
      </c>
      <c r="B23" s="135">
        <f>'13a'!B23/'13a'!$B23*100</f>
        <v>100</v>
      </c>
      <c r="C23" s="25">
        <f>'13a'!C23/'13a'!$B23*100</f>
        <v>76.073973909706211</v>
      </c>
      <c r="D23" s="25">
        <f>'13a'!D23/'13a'!$B23*100</f>
        <v>14.452124155460943</v>
      </c>
      <c r="E23" s="25">
        <f>'13a'!E23/'13a'!$B23*100</f>
        <v>9.473901934832849</v>
      </c>
      <c r="F23" s="23"/>
      <c r="G23" s="23"/>
      <c r="H23" s="4"/>
      <c r="I23" s="4"/>
    </row>
    <row r="24" spans="1:9">
      <c r="A24" s="120">
        <v>1979</v>
      </c>
      <c r="B24" s="135">
        <f>'13a'!B24/'13a'!$B24*100</f>
        <v>100</v>
      </c>
      <c r="C24" s="25">
        <f>'13a'!C24/'13a'!$B24*100</f>
        <v>76.862704977931074</v>
      </c>
      <c r="D24" s="25">
        <f>'13a'!D24/'13a'!$B24*100</f>
        <v>14.592946295468876</v>
      </c>
      <c r="E24" s="25">
        <f>'13a'!E24/'13a'!$B24*100</f>
        <v>8.5443487266000488</v>
      </c>
      <c r="F24" s="23"/>
      <c r="G24" s="23"/>
      <c r="H24" s="4"/>
      <c r="I24" s="4"/>
    </row>
    <row r="25" spans="1:9">
      <c r="A25" s="120">
        <v>1980</v>
      </c>
      <c r="B25" s="135">
        <f>'13a'!B25/'13a'!$B25*100</f>
        <v>100</v>
      </c>
      <c r="C25" s="25">
        <f>'13a'!C25/'13a'!$B25*100</f>
        <v>78.489651975531956</v>
      </c>
      <c r="D25" s="25">
        <f>'13a'!D25/'13a'!$B25*100</f>
        <v>13.606675089301131</v>
      </c>
      <c r="E25" s="25">
        <f>'13a'!E25/'13a'!$B25*100</f>
        <v>7.9036729351669219</v>
      </c>
      <c r="F25" s="23"/>
      <c r="G25" s="23"/>
      <c r="H25" s="4"/>
      <c r="I25" s="4"/>
    </row>
    <row r="26" spans="1:9">
      <c r="A26" s="120">
        <v>1981</v>
      </c>
      <c r="B26" s="135">
        <f>'13a'!B26/'13a'!$B26*100</f>
        <v>100</v>
      </c>
      <c r="C26" s="25">
        <f>'13a'!C26/'13a'!$B26*100</f>
        <v>77.408029296102328</v>
      </c>
      <c r="D26" s="25">
        <f>'13a'!D26/'13a'!$B26*100</f>
        <v>14.19143683637188</v>
      </c>
      <c r="E26" s="25">
        <f>'13a'!E26/'13a'!$B26*100</f>
        <v>8.4005338675257928</v>
      </c>
      <c r="F26" s="23"/>
      <c r="G26" s="23"/>
      <c r="H26" s="4"/>
      <c r="I26" s="4"/>
    </row>
    <row r="27" spans="1:9">
      <c r="A27" s="120">
        <v>1982</v>
      </c>
      <c r="B27" s="135">
        <f>'13a'!B27/'13a'!$B27*100</f>
        <v>100</v>
      </c>
      <c r="C27" s="25">
        <f>'13a'!C27/'13a'!$B27*100</f>
        <v>78.554413811124007</v>
      </c>
      <c r="D27" s="25">
        <f>'13a'!D27/'13a'!$B27*100</f>
        <v>15.297940606333139</v>
      </c>
      <c r="E27" s="25">
        <f>'13a'!E27/'13a'!$B27*100</f>
        <v>6.1476455825428564</v>
      </c>
      <c r="F27" s="23"/>
      <c r="G27" s="23"/>
      <c r="H27" s="4"/>
      <c r="I27" s="4"/>
    </row>
    <row r="28" spans="1:9">
      <c r="A28" s="120">
        <v>1983</v>
      </c>
      <c r="B28" s="135">
        <f>'13a'!B28/'13a'!$B28*100</f>
        <v>100</v>
      </c>
      <c r="C28" s="25">
        <f>'13a'!C28/'13a'!$B28*100</f>
        <v>81.664018851375545</v>
      </c>
      <c r="D28" s="25">
        <f>'13a'!D28/'13a'!$B28*100</f>
        <v>14.658592227453045</v>
      </c>
      <c r="E28" s="25">
        <f>'13a'!E28/'13a'!$B28*100</f>
        <v>3.6773889211714166</v>
      </c>
      <c r="F28" s="23"/>
      <c r="G28" s="23"/>
      <c r="H28" s="4"/>
      <c r="I28" s="4"/>
    </row>
    <row r="29" spans="1:9">
      <c r="A29" s="120">
        <v>1984</v>
      </c>
      <c r="B29" s="135">
        <f>'13a'!B29/'13a'!$B29*100</f>
        <v>100</v>
      </c>
      <c r="C29" s="25">
        <f>'13a'!C29/'13a'!$B29*100</f>
        <v>83.216652968754218</v>
      </c>
      <c r="D29" s="25">
        <f>'13a'!D29/'13a'!$B29*100</f>
        <v>15.309165461319612</v>
      </c>
      <c r="E29" s="25">
        <f>'13a'!E29/'13a'!$B29*100</f>
        <v>1.4741815699261698</v>
      </c>
      <c r="F29" s="23"/>
      <c r="G29" s="23"/>
      <c r="H29" s="4"/>
      <c r="I29" s="4"/>
    </row>
    <row r="30" spans="1:9">
      <c r="A30" s="120">
        <v>1985</v>
      </c>
      <c r="B30" s="135">
        <f>'13a'!B30/'13a'!$B30*100</f>
        <v>100</v>
      </c>
      <c r="C30" s="25">
        <f>'13a'!C30/'13a'!$B30*100</f>
        <v>85.423271657300376</v>
      </c>
      <c r="D30" s="25">
        <f>'13a'!D30/'13a'!$B30*100</f>
        <v>15.376882090976569</v>
      </c>
      <c r="E30" s="25">
        <f>'13a'!E30/'13a'!$B30*100</f>
        <v>-0.80015374827695895</v>
      </c>
      <c r="F30" s="644"/>
      <c r="G30" s="644"/>
    </row>
    <row r="31" spans="1:9">
      <c r="A31" s="120">
        <v>1986</v>
      </c>
      <c r="B31" s="135">
        <f>'13a'!B31/'13a'!$B31*100</f>
        <v>100</v>
      </c>
      <c r="C31" s="25">
        <f>'13a'!C31/'13a'!$B31*100</f>
        <v>87.035067762164772</v>
      </c>
      <c r="D31" s="25">
        <f>'13a'!D31/'13a'!$B31*100</f>
        <v>15.65132067170833</v>
      </c>
      <c r="E31" s="25">
        <f>'13a'!E31/'13a'!$B31*100</f>
        <v>-2.6863884338731112</v>
      </c>
      <c r="F31" s="644"/>
      <c r="G31" s="644"/>
    </row>
    <row r="32" spans="1:9">
      <c r="A32" s="120">
        <v>1987</v>
      </c>
      <c r="B32" s="135">
        <f>'13a'!B32/'13a'!$B32*100</f>
        <v>100</v>
      </c>
      <c r="C32" s="25">
        <f>'13a'!C32/'13a'!$B32*100</f>
        <v>86.924892353657455</v>
      </c>
      <c r="D32" s="25">
        <f>'13a'!D32/'13a'!$B32*100</f>
        <v>16.410118585014075</v>
      </c>
      <c r="E32" s="25">
        <f>'13a'!E32/'13a'!$B32*100</f>
        <v>-3.3350109386715419</v>
      </c>
      <c r="F32" s="644"/>
      <c r="G32" s="644"/>
    </row>
    <row r="33" spans="1:7">
      <c r="A33" s="120">
        <v>1988</v>
      </c>
      <c r="B33" s="135">
        <f>'13a'!B33/'13a'!$B33*100</f>
        <v>100</v>
      </c>
      <c r="C33" s="25">
        <f>'13a'!C33/'13a'!$B33*100</f>
        <v>86.549916093212659</v>
      </c>
      <c r="D33" s="25">
        <f>'13a'!D33/'13a'!$B33*100</f>
        <v>16.874541033251408</v>
      </c>
      <c r="E33" s="25">
        <f>'13a'!E33/'13a'!$B33*100</f>
        <v>-3.4244571264640813</v>
      </c>
      <c r="F33" s="644"/>
      <c r="G33" s="644"/>
    </row>
    <row r="34" spans="1:7">
      <c r="A34" s="120">
        <v>1989</v>
      </c>
      <c r="B34" s="135">
        <f>'13a'!B34/'13a'!$B34*100</f>
        <v>100</v>
      </c>
      <c r="C34" s="25">
        <f>'13a'!C34/'13a'!$B34*100</f>
        <v>87.541310504579073</v>
      </c>
      <c r="D34" s="25">
        <f>'13a'!D34/'13a'!$B34*100</f>
        <v>16.786402069333363</v>
      </c>
      <c r="E34" s="25">
        <f>'13a'!E34/'13a'!$B34*100</f>
        <v>-4.3277125739124376</v>
      </c>
      <c r="F34" s="644"/>
      <c r="G34" s="644"/>
    </row>
    <row r="35" spans="1:7">
      <c r="A35" s="120">
        <v>1990</v>
      </c>
      <c r="B35" s="135">
        <f>'13a'!B35/'13a'!$B35*100</f>
        <v>100</v>
      </c>
      <c r="C35" s="25">
        <f>'13a'!C35/'13a'!$B35*100</f>
        <v>87.474116077876531</v>
      </c>
      <c r="D35" s="25">
        <f>'13a'!D35/'13a'!$B35*100</f>
        <v>17.591118774962787</v>
      </c>
      <c r="E35" s="25">
        <f>'13a'!E35/'13a'!$B35*100</f>
        <v>-5.001354069947384</v>
      </c>
      <c r="F35" s="644"/>
      <c r="G35" s="644"/>
    </row>
    <row r="36" spans="1:7">
      <c r="A36" s="120">
        <v>1991</v>
      </c>
      <c r="B36" s="135">
        <f>'13a'!B36/'13a'!$B36*100</f>
        <v>100</v>
      </c>
      <c r="C36" s="25">
        <f>'13a'!C36/'13a'!$B36*100</f>
        <v>90.846275199403891</v>
      </c>
      <c r="D36" s="25">
        <f>'13a'!D36/'13a'!$B36*100</f>
        <v>16.629514204179856</v>
      </c>
      <c r="E36" s="25">
        <f>'13a'!E36/'13a'!$B36*100</f>
        <v>-7.4205781745106822</v>
      </c>
      <c r="F36" s="644"/>
      <c r="G36" s="644"/>
    </row>
    <row r="37" spans="1:7">
      <c r="A37" s="120">
        <v>1992</v>
      </c>
      <c r="B37" s="135">
        <f>'13a'!B37/'13a'!$B37*100</f>
        <v>100</v>
      </c>
      <c r="C37" s="25">
        <f>'13a'!C37/'13a'!$B37*100</f>
        <v>94.523213727452998</v>
      </c>
      <c r="D37" s="25">
        <f>'13a'!D37/'13a'!$B37*100</f>
        <v>15.936693836547574</v>
      </c>
      <c r="E37" s="25">
        <f>'13a'!E37/'13a'!$B37*100</f>
        <v>-10.365719434106332</v>
      </c>
      <c r="F37" s="644"/>
      <c r="G37" s="644"/>
    </row>
    <row r="38" spans="1:7">
      <c r="A38" s="120">
        <v>1993</v>
      </c>
      <c r="B38" s="135">
        <f>'13a'!B38/'13a'!$B38*100</f>
        <v>100</v>
      </c>
      <c r="C38" s="25">
        <f>'13a'!C38/'13a'!$B38*100</f>
        <v>96.767996155900562</v>
      </c>
      <c r="D38" s="25">
        <f>'13a'!D38/'13a'!$B38*100</f>
        <v>16.201034388816073</v>
      </c>
      <c r="E38" s="25">
        <f>'13a'!E38/'13a'!$B38*100</f>
        <v>-12.490963577586669</v>
      </c>
      <c r="F38" s="644"/>
      <c r="G38" s="644"/>
    </row>
    <row r="39" spans="1:7">
      <c r="A39" s="120">
        <v>1994</v>
      </c>
      <c r="B39" s="135">
        <f>'13a'!B39/'13a'!$B39*100</f>
        <v>100</v>
      </c>
      <c r="C39" s="25">
        <f>'13a'!C39/'13a'!$B39*100</f>
        <v>97.244083885678094</v>
      </c>
      <c r="D39" s="25">
        <f>'13a'!D39/'13a'!$B39*100</f>
        <v>17.15538501463217</v>
      </c>
      <c r="E39" s="25">
        <f>'13a'!E39/'13a'!$B39*100</f>
        <v>-13.763340737827063</v>
      </c>
      <c r="F39" s="644"/>
      <c r="G39" s="644"/>
    </row>
    <row r="40" spans="1:7">
      <c r="A40" s="120">
        <v>1995</v>
      </c>
      <c r="B40" s="135">
        <f>'13a'!B40/'13a'!$B40*100</f>
        <v>100</v>
      </c>
      <c r="C40" s="25">
        <f>'13a'!C40/'13a'!$B40*100</f>
        <v>97.92018545593028</v>
      </c>
      <c r="D40" s="25">
        <f>'13a'!D40/'13a'!$B40*100</f>
        <v>18.033667274755636</v>
      </c>
      <c r="E40" s="25">
        <f>'13a'!E40/'13a'!$B40*100</f>
        <v>-15.223315499308535</v>
      </c>
      <c r="F40" s="644"/>
      <c r="G40" s="644"/>
    </row>
    <row r="41" spans="1:7">
      <c r="A41" s="120">
        <v>1996</v>
      </c>
      <c r="B41" s="135">
        <f>'13a'!B41/'13a'!$B41*100</f>
        <v>100</v>
      </c>
      <c r="C41" s="25">
        <f>'13a'!C41/'13a'!$B41*100</f>
        <v>98.965151943062651</v>
      </c>
      <c r="D41" s="25">
        <f>'13a'!D41/'13a'!$B41*100</f>
        <v>17.243742542727155</v>
      </c>
      <c r="E41" s="25">
        <f>'13a'!E41/'13a'!$B41*100</f>
        <v>-15.017213257762501</v>
      </c>
      <c r="F41" s="644"/>
      <c r="G41" s="644"/>
    </row>
    <row r="42" spans="1:7">
      <c r="A42" s="120">
        <v>1997</v>
      </c>
      <c r="B42" s="135">
        <f>'13a'!B42/'13a'!$B42*100</f>
        <v>100</v>
      </c>
      <c r="C42" s="25">
        <f>'13a'!C42/'13a'!$B42*100</f>
        <v>98.216462791129885</v>
      </c>
      <c r="D42" s="25">
        <f>'13a'!D42/'13a'!$B42*100</f>
        <v>16.710391014789977</v>
      </c>
      <c r="E42" s="25">
        <f>'13a'!E42/'13a'!$B42*100</f>
        <v>-13.639951520509422</v>
      </c>
      <c r="F42" s="644"/>
      <c r="G42" s="644"/>
    </row>
    <row r="43" spans="1:7">
      <c r="A43" s="120">
        <v>1998</v>
      </c>
      <c r="B43" s="135">
        <f>'13a'!B43/'13a'!$B43*100</f>
        <v>100</v>
      </c>
      <c r="C43" s="25">
        <f>'13a'!C43/'13a'!$B43*100</f>
        <v>97.110439309701221</v>
      </c>
      <c r="D43" s="25">
        <f>'13a'!D43/'13a'!$B43*100</f>
        <v>16.764604714456233</v>
      </c>
      <c r="E43" s="25">
        <f>'13a'!E43/'13a'!$B43*100</f>
        <v>-12.467367307420863</v>
      </c>
      <c r="F43" s="644"/>
      <c r="G43" s="644"/>
    </row>
    <row r="44" spans="1:7">
      <c r="A44" s="120">
        <v>1999</v>
      </c>
      <c r="B44" s="135">
        <f>'13a'!B44/'13a'!$B44*100</f>
        <v>100</v>
      </c>
      <c r="C44" s="25">
        <f>'13a'!C44/'13a'!$B44*100</f>
        <v>96.310426084263568</v>
      </c>
      <c r="D44" s="25">
        <f>'13a'!D44/'13a'!$B44*100</f>
        <v>17.007017078800036</v>
      </c>
      <c r="E44" s="25">
        <f>'13a'!E44/'13a'!$B44*100</f>
        <v>-11.190494700232076</v>
      </c>
      <c r="F44" s="644"/>
      <c r="G44" s="644"/>
    </row>
    <row r="45" spans="1:7">
      <c r="A45" s="120">
        <v>2000</v>
      </c>
      <c r="B45" s="135">
        <f>'13a'!B45/'13a'!$B45*100</f>
        <v>100</v>
      </c>
      <c r="C45" s="25">
        <f>'13a'!C45/'13a'!$B45*100</f>
        <v>95.711222940710513</v>
      </c>
      <c r="D45" s="25">
        <f>'13a'!D45/'13a'!$B45*100</f>
        <v>15.541340759147214</v>
      </c>
      <c r="E45" s="25">
        <f>'13a'!E45/'13a'!$B45*100</f>
        <v>-8.553623273060186</v>
      </c>
      <c r="F45" s="644"/>
      <c r="G45" s="644"/>
    </row>
    <row r="46" spans="1:7">
      <c r="A46" s="120">
        <v>2001</v>
      </c>
      <c r="B46" s="135">
        <f>'13a'!B46/'13a'!$B46*100</f>
        <v>100</v>
      </c>
      <c r="C46" s="25">
        <f>'13a'!C46/'13a'!$B46*100</f>
        <v>95.282933441241482</v>
      </c>
      <c r="D46" s="25">
        <f>'13a'!D46/'13a'!$B46*100</f>
        <v>14.71180320724871</v>
      </c>
      <c r="E46" s="25">
        <f>'13a'!E46/'13a'!$B46*100</f>
        <v>-7.1984255221612576</v>
      </c>
      <c r="F46" s="644"/>
      <c r="G46" s="644"/>
    </row>
    <row r="47" spans="1:7">
      <c r="A47" s="120">
        <v>2002</v>
      </c>
      <c r="B47" s="135">
        <f>'13a'!B47/'13a'!$B47*100</f>
        <v>100</v>
      </c>
      <c r="C47" s="25">
        <f>'13a'!C47/'13a'!$B47*100</f>
        <v>94.708389294077506</v>
      </c>
      <c r="D47" s="25">
        <f>'13a'!D47/'13a'!$B47*100</f>
        <v>14.855002451360063</v>
      </c>
      <c r="E47" s="25">
        <f>'13a'!E47/'13a'!$B47*100</f>
        <v>-6.6375963576143073</v>
      </c>
      <c r="F47" s="644"/>
      <c r="G47" s="644"/>
    </row>
    <row r="48" spans="1:7">
      <c r="A48" s="120">
        <v>2003</v>
      </c>
      <c r="B48" s="135">
        <f>'13a'!B48/'13a'!$B48*100</f>
        <v>100</v>
      </c>
      <c r="C48" s="25">
        <f>'13a'!C48/'13a'!$B48*100</f>
        <v>94.175383675361019</v>
      </c>
      <c r="D48" s="25">
        <f>'13a'!D48/'13a'!$B48*100</f>
        <v>14.425530417755791</v>
      </c>
      <c r="E48" s="25">
        <f>'13a'!E48/'13a'!$B48*100</f>
        <v>-5.3959690705758154</v>
      </c>
      <c r="F48" s="644"/>
      <c r="G48" s="644"/>
    </row>
    <row r="49" spans="1:12">
      <c r="A49" s="120">
        <v>2004</v>
      </c>
      <c r="B49" s="135">
        <f>'13a'!B49/'13a'!$B49*100</f>
        <v>100</v>
      </c>
      <c r="C49" s="25">
        <f>'13a'!C49/'13a'!$B49*100</f>
        <v>91.749992664486655</v>
      </c>
      <c r="D49" s="25">
        <f>'13a'!D49/'13a'!$B49*100</f>
        <v>15.667981159607264</v>
      </c>
      <c r="E49" s="25">
        <f>'13a'!E49/'13a'!$B49*100</f>
        <v>-4.0753550504892901</v>
      </c>
      <c r="F49" s="644"/>
      <c r="G49" s="644"/>
    </row>
    <row r="50" spans="1:12">
      <c r="A50" s="120">
        <v>2005</v>
      </c>
      <c r="B50" s="135">
        <f>'13a'!B50/'13a'!$B50*100</f>
        <v>100</v>
      </c>
      <c r="C50" s="25">
        <f>'13a'!C50/'13a'!$B50*100</f>
        <v>91.059922286494867</v>
      </c>
      <c r="D50" s="25">
        <f>'13a'!D50/'13a'!$B50*100</f>
        <v>15.566576242594499</v>
      </c>
      <c r="E50" s="25">
        <f>'13a'!E50/'13a'!$B50*100</f>
        <v>-2.8275505830658005</v>
      </c>
      <c r="F50" s="644"/>
      <c r="G50" s="644"/>
    </row>
    <row r="51" spans="1:12">
      <c r="A51" s="120">
        <v>2006</v>
      </c>
      <c r="B51" s="135">
        <f>'13a'!B51/'13a'!$B51*100</f>
        <v>100</v>
      </c>
      <c r="C51" s="25">
        <f>'13a'!C51/'13a'!$B51*100</f>
        <v>90.429478486246197</v>
      </c>
      <c r="D51" s="25">
        <f>'13a'!D51/'13a'!$B51*100</f>
        <v>15.321045125841765</v>
      </c>
      <c r="E51" s="25">
        <f>'13a'!E51/'13a'!$B51*100</f>
        <v>-1.057035830998613</v>
      </c>
      <c r="F51" s="644"/>
      <c r="G51" s="644"/>
    </row>
    <row r="52" spans="1:12">
      <c r="A52" s="120">
        <v>2007</v>
      </c>
      <c r="B52" s="135">
        <f>'13a'!B52/'13a'!$B52*100</f>
        <v>100</v>
      </c>
      <c r="C52" s="25">
        <f>'13a'!C52/'13a'!$B52*100</f>
        <v>89.112521670037552</v>
      </c>
      <c r="D52" s="25">
        <f>'13a'!D52/'13a'!$B52*100</f>
        <v>15.583971395550417</v>
      </c>
      <c r="E52" s="25">
        <f>'13a'!E52/'13a'!$B52*100</f>
        <v>0.25435206587691417</v>
      </c>
      <c r="F52" s="644"/>
      <c r="G52" s="644"/>
    </row>
    <row r="53" spans="1:12">
      <c r="A53" s="120">
        <v>2008</v>
      </c>
      <c r="B53" s="135">
        <f>'13a'!B53/'13a'!$B53*100</f>
        <v>100</v>
      </c>
      <c r="C53" s="25">
        <f>'13a'!C53/'13a'!$B53*100</f>
        <v>86.535099206253037</v>
      </c>
      <c r="D53" s="25">
        <f>'13a'!D53/'13a'!$B53*100</f>
        <v>16.985125371439519</v>
      </c>
      <c r="E53" s="25">
        <f>'13a'!E53/'13a'!$B53*100</f>
        <v>1.0843301202495479</v>
      </c>
      <c r="F53" s="644"/>
      <c r="G53" s="644"/>
    </row>
    <row r="54" spans="1:12" ht="12.6" customHeight="1">
      <c r="A54" s="120"/>
      <c r="B54" s="23"/>
      <c r="C54" s="644" t="s">
        <v>655</v>
      </c>
      <c r="D54" s="666"/>
      <c r="E54" s="644"/>
      <c r="F54" s="644"/>
      <c r="G54" s="644"/>
      <c r="H54" s="644"/>
      <c r="I54" s="644"/>
      <c r="J54" s="644"/>
      <c r="K54" s="644"/>
      <c r="L54" s="644"/>
    </row>
    <row r="55" spans="1:12" ht="13.15" customHeight="1">
      <c r="A55" s="448" t="s">
        <v>1663</v>
      </c>
      <c r="B55" s="644" t="s">
        <v>744</v>
      </c>
      <c r="C55" s="25">
        <f>C53-C6</f>
        <v>3.4628218443240399</v>
      </c>
      <c r="D55" s="25">
        <f>D53-D6</f>
        <v>7.1782063841358763</v>
      </c>
      <c r="E55" s="25">
        <f>E53-E6</f>
        <v>-6.0364735305178057</v>
      </c>
      <c r="F55" s="23"/>
      <c r="G55" s="23"/>
      <c r="H55" s="23"/>
      <c r="I55" s="23"/>
      <c r="J55" s="23"/>
      <c r="K55" s="23"/>
      <c r="L55" s="23"/>
    </row>
    <row r="56" spans="1:12" ht="13.15" customHeight="1">
      <c r="A56" s="448" t="s">
        <v>603</v>
      </c>
      <c r="B56" s="644" t="s">
        <v>744</v>
      </c>
      <c r="C56" s="25">
        <f>C34-C26</f>
        <v>10.133281208476745</v>
      </c>
      <c r="D56" s="25">
        <f>D34-D26</f>
        <v>2.5949652329614832</v>
      </c>
      <c r="E56" s="25">
        <f>E34-E26</f>
        <v>-12.72824644143823</v>
      </c>
      <c r="F56" s="23"/>
      <c r="G56" s="23"/>
      <c r="H56" s="23"/>
      <c r="I56" s="23"/>
      <c r="J56" s="23"/>
      <c r="K56" s="23"/>
      <c r="L56" s="23"/>
    </row>
    <row r="57" spans="1:12" ht="12.6" customHeight="1">
      <c r="A57" s="448" t="s">
        <v>604</v>
      </c>
      <c r="B57" s="23" t="s">
        <v>744</v>
      </c>
      <c r="C57" s="25">
        <f>C45-C34</f>
        <v>8.1699124361314404</v>
      </c>
      <c r="D57" s="25">
        <f>D45-D34</f>
        <v>-1.2450613101861485</v>
      </c>
      <c r="E57" s="25">
        <f>E45-E34</f>
        <v>-4.2259106991477484</v>
      </c>
      <c r="F57" s="23"/>
      <c r="G57" s="23"/>
      <c r="H57" s="23"/>
      <c r="I57" s="23"/>
      <c r="J57" s="23"/>
      <c r="K57" s="23"/>
      <c r="L57" s="23"/>
    </row>
    <row r="58" spans="1:12" ht="12.6" customHeight="1">
      <c r="A58" s="448" t="s">
        <v>1408</v>
      </c>
      <c r="B58" s="644" t="s">
        <v>744</v>
      </c>
      <c r="C58" s="25">
        <f>C53-C26</f>
        <v>9.1270699101507091</v>
      </c>
      <c r="D58" s="25">
        <f>D53-D26</f>
        <v>2.7936885350676395</v>
      </c>
      <c r="E58" s="25">
        <f>E53-E26</f>
        <v>-7.3162037472762451</v>
      </c>
      <c r="F58" s="23"/>
      <c r="G58" s="23"/>
      <c r="H58" s="23"/>
      <c r="I58" s="23"/>
      <c r="J58" s="23"/>
      <c r="K58" s="23"/>
      <c r="L58" s="23"/>
    </row>
    <row r="59" spans="1:12" ht="12.6" customHeight="1">
      <c r="A59" s="448" t="s">
        <v>449</v>
      </c>
      <c r="B59" s="10" t="s">
        <v>744</v>
      </c>
      <c r="C59" s="25">
        <f>C52-C45</f>
        <v>-6.5987012706729615</v>
      </c>
      <c r="D59" s="25">
        <f>D52-D45</f>
        <v>4.2630636403202971E-2</v>
      </c>
      <c r="E59" s="25">
        <f>E52-E45</f>
        <v>8.8079753389370996</v>
      </c>
      <c r="F59" s="644"/>
      <c r="G59" s="644"/>
      <c r="H59" s="644"/>
      <c r="I59" s="644"/>
      <c r="J59" s="644"/>
      <c r="K59" s="644"/>
      <c r="L59" s="644"/>
    </row>
    <row r="60" spans="1:12" ht="12.6" customHeight="1">
      <c r="A60" s="448" t="s">
        <v>1410</v>
      </c>
      <c r="B60" s="10" t="s">
        <v>744</v>
      </c>
      <c r="C60" s="10">
        <f>C53-C45</f>
        <v>-9.1761237344574766</v>
      </c>
      <c r="D60" s="10">
        <f>D53-D45</f>
        <v>1.4437846122923048</v>
      </c>
      <c r="E60" s="10">
        <f>E53-E45</f>
        <v>9.6379533933097346</v>
      </c>
      <c r="F60" s="644"/>
      <c r="G60" s="644"/>
      <c r="H60" s="644"/>
      <c r="I60" s="644"/>
      <c r="J60" s="644"/>
      <c r="K60" s="644"/>
      <c r="L60" s="644"/>
    </row>
    <row r="61" spans="1:12" ht="12.6" customHeight="1">
      <c r="A61" s="140"/>
      <c r="B61" s="135"/>
      <c r="C61" s="25"/>
      <c r="D61" s="25"/>
      <c r="E61" s="25"/>
      <c r="F61" s="644"/>
      <c r="G61" s="644"/>
      <c r="H61" s="644"/>
      <c r="I61" s="644"/>
      <c r="J61" s="644"/>
      <c r="K61" s="644"/>
      <c r="L61" s="644"/>
    </row>
    <row r="62" spans="1:12">
      <c r="A62" s="1170" t="s">
        <v>214</v>
      </c>
      <c r="B62" s="1170"/>
      <c r="C62" s="1170"/>
      <c r="D62" s="1170"/>
      <c r="E62" s="1170"/>
      <c r="F62" s="9"/>
      <c r="G62" s="9"/>
    </row>
    <row r="63" spans="1:12" ht="105.6" customHeight="1">
      <c r="A63" s="1169" t="s">
        <v>542</v>
      </c>
      <c r="B63" s="1169"/>
      <c r="C63" s="1169"/>
      <c r="D63" s="1169"/>
      <c r="E63" s="1169"/>
      <c r="F63" s="651"/>
      <c r="G63" s="651"/>
    </row>
    <row r="64" spans="1:12" ht="28.9" customHeight="1">
      <c r="A64" s="1169" t="s">
        <v>166</v>
      </c>
      <c r="B64" s="1169"/>
      <c r="C64" s="1169"/>
      <c r="D64" s="1169"/>
      <c r="E64" s="1169"/>
    </row>
    <row r="65" spans="1:5" ht="15.75">
      <c r="A65" s="1169"/>
      <c r="B65" s="1169"/>
      <c r="C65" s="1169"/>
      <c r="D65" s="1169"/>
      <c r="E65" s="1169"/>
    </row>
  </sheetData>
  <mergeCells count="12">
    <mergeCell ref="A65:E65"/>
    <mergeCell ref="A63:E63"/>
    <mergeCell ref="B3:E3"/>
    <mergeCell ref="B4:B5"/>
    <mergeCell ref="C4:C5"/>
    <mergeCell ref="D4:D5"/>
    <mergeCell ref="A62:E62"/>
    <mergeCell ref="B1:E2"/>
    <mergeCell ref="F4:F5"/>
    <mergeCell ref="G4:G5"/>
    <mergeCell ref="E4:E5"/>
    <mergeCell ref="A64:E64"/>
  </mergeCells>
  <phoneticPr fontId="35" type="noConversion"/>
  <pageMargins left="0.75" right="0.75" top="1" bottom="1" header="0.5" footer="0.5"/>
  <pageSetup scale="65" orientation="portrait" horizontalDpi="300" verticalDpi="300" r:id="rId1"/>
  <headerFooter alignWithMargins="0"/>
  <colBreaks count="1" manualBreakCount="1">
    <brk id="5" max="1048575" man="1"/>
  </colBreaks>
</worksheet>
</file>

<file path=xl/worksheets/sheet61.xml><?xml version="1.0" encoding="utf-8"?>
<worksheet xmlns="http://schemas.openxmlformats.org/spreadsheetml/2006/main" xmlns:r="http://schemas.openxmlformats.org/officeDocument/2006/relationships">
  <sheetPr codeName="Sheet31">
    <pageSetUpPr fitToPage="1"/>
  </sheetPr>
  <dimension ref="A1:AJ54"/>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10.140625" style="1" bestFit="1" customWidth="1"/>
    <col min="3" max="12" width="9.28515625" style="1" bestFit="1" customWidth="1"/>
    <col min="13" max="16384" width="9.140625" style="1"/>
  </cols>
  <sheetData>
    <row r="1" spans="1:25" ht="15.75">
      <c r="A1" s="4"/>
      <c r="B1" s="3" t="s">
        <v>2145</v>
      </c>
    </row>
    <row r="2" spans="1:25">
      <c r="A2" s="4"/>
      <c r="B2" s="4"/>
    </row>
    <row r="3" spans="1:25">
      <c r="B3" s="1164" t="s">
        <v>375</v>
      </c>
      <c r="C3" s="1164" t="s">
        <v>377</v>
      </c>
      <c r="D3" s="1164" t="s">
        <v>386</v>
      </c>
      <c r="E3" s="1164" t="s">
        <v>378</v>
      </c>
      <c r="F3" s="1164" t="s">
        <v>379</v>
      </c>
      <c r="G3" s="1164" t="s">
        <v>380</v>
      </c>
      <c r="H3" s="1164" t="s">
        <v>381</v>
      </c>
      <c r="I3" s="1164" t="s">
        <v>382</v>
      </c>
      <c r="J3" s="1164" t="s">
        <v>383</v>
      </c>
      <c r="K3" s="1164" t="s">
        <v>384</v>
      </c>
      <c r="L3" s="1164" t="s">
        <v>385</v>
      </c>
    </row>
    <row r="4" spans="1:25" s="4" customFormat="1">
      <c r="A4" s="7"/>
      <c r="B4" s="1165"/>
      <c r="C4" s="1165"/>
      <c r="D4" s="1165"/>
      <c r="E4" s="1165"/>
      <c r="F4" s="1165"/>
      <c r="G4" s="1165"/>
      <c r="H4" s="1165"/>
      <c r="I4" s="1165"/>
      <c r="J4" s="1165"/>
      <c r="K4" s="1165"/>
      <c r="L4" s="1165"/>
    </row>
    <row r="5" spans="1:25" s="972" customFormat="1">
      <c r="A5" s="2">
        <v>1981</v>
      </c>
      <c r="B5" s="417">
        <v>0.434</v>
      </c>
      <c r="C5" s="417">
        <v>0.45600000000000002</v>
      </c>
      <c r="D5" s="417">
        <v>0.47399999999999998</v>
      </c>
      <c r="E5" s="417">
        <v>0.46200000000000002</v>
      </c>
      <c r="F5" s="417">
        <v>0.48699999999999999</v>
      </c>
      <c r="G5" s="417">
        <v>0.44900000000000001</v>
      </c>
      <c r="H5" s="417">
        <v>0.41399999999999998</v>
      </c>
      <c r="I5" s="417">
        <v>0.45100000000000001</v>
      </c>
      <c r="J5" s="417">
        <v>0.46800000000000003</v>
      </c>
      <c r="K5" s="417">
        <v>0.40699999999999997</v>
      </c>
      <c r="L5" s="417">
        <v>0.42699999999999999</v>
      </c>
      <c r="N5" s="2">
        <v>1981</v>
      </c>
      <c r="O5" s="417">
        <v>0.434</v>
      </c>
      <c r="P5" s="417">
        <v>0.45600000000000002</v>
      </c>
      <c r="Q5" s="417">
        <v>0.47399999999999998</v>
      </c>
      <c r="R5" s="417">
        <v>0.46200000000000002</v>
      </c>
      <c r="S5" s="417">
        <v>0.48699999999999999</v>
      </c>
      <c r="T5" s="417">
        <v>0.44900000000000001</v>
      </c>
      <c r="U5" s="417">
        <v>0.41399999999999998</v>
      </c>
      <c r="V5" s="417">
        <v>0.45100000000000001</v>
      </c>
      <c r="W5" s="417">
        <v>0.46800000000000003</v>
      </c>
      <c r="X5" s="417">
        <v>0.40699999999999997</v>
      </c>
      <c r="Y5" s="417">
        <v>0.42699999999999999</v>
      </c>
    </row>
    <row r="6" spans="1:25" s="972" customFormat="1">
      <c r="A6" s="2">
        <v>1982</v>
      </c>
      <c r="B6" s="417">
        <v>0.45100000000000001</v>
      </c>
      <c r="C6" s="417">
        <v>0.46700000000000003</v>
      </c>
      <c r="D6" s="417">
        <v>0.48499999999999999</v>
      </c>
      <c r="E6" s="417">
        <v>0.48399999999999999</v>
      </c>
      <c r="F6" s="417">
        <v>0.503</v>
      </c>
      <c r="G6" s="417">
        <v>0.46500000000000002</v>
      </c>
      <c r="H6" s="417">
        <v>0.43099999999999999</v>
      </c>
      <c r="I6" s="417">
        <v>0.46600000000000003</v>
      </c>
      <c r="J6" s="417">
        <v>0.46300000000000002</v>
      </c>
      <c r="K6" s="417">
        <v>0.42599999999999999</v>
      </c>
      <c r="L6" s="417">
        <v>0.44800000000000001</v>
      </c>
      <c r="N6" s="2">
        <v>1982</v>
      </c>
      <c r="O6" s="417">
        <v>0.45100000000000001</v>
      </c>
      <c r="P6" s="417">
        <v>0.46700000000000003</v>
      </c>
      <c r="Q6" s="417">
        <v>0.48499999999999999</v>
      </c>
      <c r="R6" s="417">
        <v>0.48399999999999999</v>
      </c>
      <c r="S6" s="417">
        <v>0.503</v>
      </c>
      <c r="T6" s="417">
        <v>0.46500000000000002</v>
      </c>
      <c r="U6" s="417">
        <v>0.43099999999999999</v>
      </c>
      <c r="V6" s="417">
        <v>0.46600000000000003</v>
      </c>
      <c r="W6" s="417">
        <v>0.46300000000000002</v>
      </c>
      <c r="X6" s="417">
        <v>0.42599999999999999</v>
      </c>
      <c r="Y6" s="417">
        <v>0.44800000000000001</v>
      </c>
    </row>
    <row r="7" spans="1:25" s="972" customFormat="1">
      <c r="A7" s="2">
        <v>1983</v>
      </c>
      <c r="B7" s="417">
        <v>0.46899999999999997</v>
      </c>
      <c r="C7" s="417">
        <v>0.51200000000000001</v>
      </c>
      <c r="D7" s="417">
        <v>0.499</v>
      </c>
      <c r="E7" s="417">
        <v>0.495</v>
      </c>
      <c r="F7" s="417">
        <v>0.53700000000000003</v>
      </c>
      <c r="G7" s="417">
        <v>0.47499999999999998</v>
      </c>
      <c r="H7" s="417">
        <v>0.45700000000000002</v>
      </c>
      <c r="I7" s="417">
        <v>0.46800000000000003</v>
      </c>
      <c r="J7" s="417">
        <v>0.48</v>
      </c>
      <c r="K7" s="417">
        <v>0.44900000000000001</v>
      </c>
      <c r="L7" s="417">
        <v>0.45700000000000002</v>
      </c>
      <c r="N7" s="2">
        <v>1983</v>
      </c>
      <c r="O7" s="417">
        <v>0.46899999999999997</v>
      </c>
      <c r="P7" s="417">
        <v>0.51200000000000001</v>
      </c>
      <c r="Q7" s="417">
        <v>0.499</v>
      </c>
      <c r="R7" s="417">
        <v>0.495</v>
      </c>
      <c r="S7" s="417">
        <v>0.53700000000000003</v>
      </c>
      <c r="T7" s="417">
        <v>0.47499999999999998</v>
      </c>
      <c r="U7" s="417">
        <v>0.45700000000000002</v>
      </c>
      <c r="V7" s="417">
        <v>0.46800000000000003</v>
      </c>
      <c r="W7" s="417">
        <v>0.48</v>
      </c>
      <c r="X7" s="417">
        <v>0.44900000000000001</v>
      </c>
      <c r="Y7" s="417">
        <v>0.45700000000000002</v>
      </c>
    </row>
    <row r="8" spans="1:25" s="972" customFormat="1">
      <c r="A8" s="2">
        <v>1984</v>
      </c>
      <c r="B8" s="417">
        <v>0.46700000000000003</v>
      </c>
      <c r="C8" s="417">
        <v>0.501</v>
      </c>
      <c r="D8" s="417">
        <v>0.49299999999999999</v>
      </c>
      <c r="E8" s="417">
        <v>0.48899999999999999</v>
      </c>
      <c r="F8" s="417">
        <v>0.502</v>
      </c>
      <c r="G8" s="417">
        <v>0.48699999999999999</v>
      </c>
      <c r="H8" s="417">
        <v>0.44400000000000001</v>
      </c>
      <c r="I8" s="417">
        <v>0.45800000000000002</v>
      </c>
      <c r="J8" s="417">
        <v>0.47399999999999998</v>
      </c>
      <c r="K8" s="417">
        <v>0.44800000000000001</v>
      </c>
      <c r="L8" s="417">
        <v>0.47499999999999998</v>
      </c>
      <c r="N8" s="2">
        <v>1984</v>
      </c>
      <c r="O8" s="417">
        <v>0.46700000000000003</v>
      </c>
      <c r="P8" s="417">
        <v>0.501</v>
      </c>
      <c r="Q8" s="417">
        <v>0.49299999999999999</v>
      </c>
      <c r="R8" s="417">
        <v>0.48899999999999999</v>
      </c>
      <c r="S8" s="417">
        <v>0.502</v>
      </c>
      <c r="T8" s="417">
        <v>0.48699999999999999</v>
      </c>
      <c r="U8" s="417">
        <v>0.44400000000000001</v>
      </c>
      <c r="V8" s="417">
        <v>0.45800000000000002</v>
      </c>
      <c r="W8" s="417">
        <v>0.47399999999999998</v>
      </c>
      <c r="X8" s="417">
        <v>0.44800000000000001</v>
      </c>
      <c r="Y8" s="417">
        <v>0.47499999999999998</v>
      </c>
    </row>
    <row r="9" spans="1:25" s="972" customFormat="1">
      <c r="A9" s="2">
        <v>1985</v>
      </c>
      <c r="B9" s="417">
        <v>0.46400000000000002</v>
      </c>
      <c r="C9" s="417">
        <v>0.52500000000000002</v>
      </c>
      <c r="D9" s="417">
        <v>0.49299999999999999</v>
      </c>
      <c r="E9" s="417">
        <v>0.501</v>
      </c>
      <c r="F9" s="417">
        <v>0.49199999999999999</v>
      </c>
      <c r="G9" s="417">
        <v>0.47599999999999998</v>
      </c>
      <c r="H9" s="417">
        <v>0.441</v>
      </c>
      <c r="I9" s="417">
        <v>0.46</v>
      </c>
      <c r="J9" s="417">
        <v>0.47699999999999998</v>
      </c>
      <c r="K9" s="417">
        <v>0.44</v>
      </c>
      <c r="L9" s="417">
        <v>0.47799999999999998</v>
      </c>
      <c r="N9" s="2">
        <v>1985</v>
      </c>
      <c r="O9" s="417">
        <v>0.46400000000000002</v>
      </c>
      <c r="P9" s="417">
        <v>0.52500000000000002</v>
      </c>
      <c r="Q9" s="417">
        <v>0.49299999999999999</v>
      </c>
      <c r="R9" s="417">
        <v>0.501</v>
      </c>
      <c r="S9" s="417">
        <v>0.49199999999999999</v>
      </c>
      <c r="T9" s="417">
        <v>0.47599999999999998</v>
      </c>
      <c r="U9" s="417">
        <v>0.441</v>
      </c>
      <c r="V9" s="417">
        <v>0.46</v>
      </c>
      <c r="W9" s="417">
        <v>0.47699999999999998</v>
      </c>
      <c r="X9" s="417">
        <v>0.44</v>
      </c>
      <c r="Y9" s="417">
        <v>0.47799999999999998</v>
      </c>
    </row>
    <row r="10" spans="1:25" s="972" customFormat="1">
      <c r="A10" s="2">
        <v>1986</v>
      </c>
      <c r="B10" s="417">
        <v>0.46500000000000002</v>
      </c>
      <c r="C10" s="417">
        <v>0.51600000000000001</v>
      </c>
      <c r="D10" s="417">
        <v>0.49</v>
      </c>
      <c r="E10" s="417">
        <v>0.497</v>
      </c>
      <c r="F10" s="417">
        <v>0.48099999999999998</v>
      </c>
      <c r="G10" s="417">
        <v>0.47799999999999998</v>
      </c>
      <c r="H10" s="417">
        <v>0.443</v>
      </c>
      <c r="I10" s="417">
        <v>0.45600000000000002</v>
      </c>
      <c r="J10" s="417">
        <v>0.49099999999999999</v>
      </c>
      <c r="K10" s="417">
        <v>0.45</v>
      </c>
      <c r="L10" s="417">
        <v>0.46500000000000002</v>
      </c>
      <c r="N10" s="2">
        <v>1986</v>
      </c>
      <c r="O10" s="417">
        <v>0.46500000000000002</v>
      </c>
      <c r="P10" s="417">
        <v>0.51600000000000001</v>
      </c>
      <c r="Q10" s="417">
        <v>0.49</v>
      </c>
      <c r="R10" s="417">
        <v>0.497</v>
      </c>
      <c r="S10" s="417">
        <v>0.48099999999999998</v>
      </c>
      <c r="T10" s="417">
        <v>0.47799999999999998</v>
      </c>
      <c r="U10" s="417">
        <v>0.443</v>
      </c>
      <c r="V10" s="417">
        <v>0.45600000000000002</v>
      </c>
      <c r="W10" s="417">
        <v>0.49099999999999999</v>
      </c>
      <c r="X10" s="417">
        <v>0.45</v>
      </c>
      <c r="Y10" s="417">
        <v>0.46500000000000002</v>
      </c>
    </row>
    <row r="11" spans="1:25" s="972" customFormat="1">
      <c r="A11" s="2">
        <v>1987</v>
      </c>
      <c r="B11" s="417">
        <v>0.46600000000000003</v>
      </c>
      <c r="C11" s="417">
        <v>0.51</v>
      </c>
      <c r="D11" s="417">
        <v>0.48499999999999999</v>
      </c>
      <c r="E11" s="417">
        <v>0.47799999999999998</v>
      </c>
      <c r="F11" s="417">
        <v>0.499</v>
      </c>
      <c r="G11" s="417">
        <v>0.47899999999999998</v>
      </c>
      <c r="H11" s="417">
        <v>0.441</v>
      </c>
      <c r="I11" s="417">
        <v>0.47</v>
      </c>
      <c r="J11" s="417">
        <v>0.47199999999999998</v>
      </c>
      <c r="K11" s="417">
        <v>0.45300000000000001</v>
      </c>
      <c r="L11" s="417">
        <v>0.47299999999999998</v>
      </c>
      <c r="N11" s="2">
        <v>1987</v>
      </c>
      <c r="O11" s="417">
        <v>0.46600000000000003</v>
      </c>
      <c r="P11" s="417">
        <v>0.51</v>
      </c>
      <c r="Q11" s="417">
        <v>0.48499999999999999</v>
      </c>
      <c r="R11" s="417">
        <v>0.47799999999999998</v>
      </c>
      <c r="S11" s="417">
        <v>0.499</v>
      </c>
      <c r="T11" s="417">
        <v>0.47899999999999998</v>
      </c>
      <c r="U11" s="417">
        <v>0.441</v>
      </c>
      <c r="V11" s="417">
        <v>0.47</v>
      </c>
      <c r="W11" s="417">
        <v>0.47199999999999998</v>
      </c>
      <c r="X11" s="417">
        <v>0.45300000000000001</v>
      </c>
      <c r="Y11" s="417">
        <v>0.47299999999999998</v>
      </c>
    </row>
    <row r="12" spans="1:25" s="972" customFormat="1">
      <c r="A12" s="2">
        <v>1988</v>
      </c>
      <c r="B12" s="417">
        <v>0.46700000000000003</v>
      </c>
      <c r="C12" s="417">
        <v>0.48199999999999998</v>
      </c>
      <c r="D12" s="417">
        <v>0.48499999999999999</v>
      </c>
      <c r="E12" s="417">
        <v>0.48199999999999998</v>
      </c>
      <c r="F12" s="417">
        <v>0.48899999999999999</v>
      </c>
      <c r="G12" s="417">
        <v>0.48599999999999999</v>
      </c>
      <c r="H12" s="417">
        <v>0.44500000000000001</v>
      </c>
      <c r="I12" s="417">
        <v>0.48</v>
      </c>
      <c r="J12" s="417">
        <v>0.48299999999999998</v>
      </c>
      <c r="K12" s="417">
        <v>0.44600000000000001</v>
      </c>
      <c r="L12" s="417">
        <v>0.45200000000000001</v>
      </c>
      <c r="N12" s="2">
        <v>1988</v>
      </c>
      <c r="O12" s="417">
        <v>0.46700000000000003</v>
      </c>
      <c r="P12" s="417">
        <v>0.48199999999999998</v>
      </c>
      <c r="Q12" s="417">
        <v>0.48499999999999999</v>
      </c>
      <c r="R12" s="417">
        <v>0.48199999999999998</v>
      </c>
      <c r="S12" s="417">
        <v>0.48899999999999999</v>
      </c>
      <c r="T12" s="417">
        <v>0.48599999999999999</v>
      </c>
      <c r="U12" s="417">
        <v>0.44500000000000001</v>
      </c>
      <c r="V12" s="417">
        <v>0.48</v>
      </c>
      <c r="W12" s="417">
        <v>0.48299999999999998</v>
      </c>
      <c r="X12" s="417">
        <v>0.44600000000000001</v>
      </c>
      <c r="Y12" s="417">
        <v>0.45200000000000001</v>
      </c>
    </row>
    <row r="13" spans="1:25" s="972" customFormat="1">
      <c r="A13" s="2">
        <v>1989</v>
      </c>
      <c r="B13" s="417">
        <v>0.46</v>
      </c>
      <c r="C13" s="417">
        <v>0.48399999999999999</v>
      </c>
      <c r="D13" s="417">
        <v>0.504</v>
      </c>
      <c r="E13" s="417">
        <v>0.49199999999999999</v>
      </c>
      <c r="F13" s="417">
        <v>0.48299999999999998</v>
      </c>
      <c r="G13" s="417">
        <v>0.47199999999999998</v>
      </c>
      <c r="H13" s="417">
        <v>0.44400000000000001</v>
      </c>
      <c r="I13" s="417">
        <v>0.47099999999999997</v>
      </c>
      <c r="J13" s="417">
        <v>0.47699999999999998</v>
      </c>
      <c r="K13" s="417">
        <v>0.443</v>
      </c>
      <c r="L13" s="417">
        <v>0.437</v>
      </c>
      <c r="N13" s="2">
        <v>1989</v>
      </c>
      <c r="O13" s="417">
        <v>0.46</v>
      </c>
      <c r="P13" s="417">
        <v>0.48399999999999999</v>
      </c>
      <c r="Q13" s="417">
        <v>0.504</v>
      </c>
      <c r="R13" s="417">
        <v>0.49199999999999999</v>
      </c>
      <c r="S13" s="417">
        <v>0.48299999999999998</v>
      </c>
      <c r="T13" s="417">
        <v>0.47199999999999998</v>
      </c>
      <c r="U13" s="417">
        <v>0.44400000000000001</v>
      </c>
      <c r="V13" s="417">
        <v>0.47099999999999997</v>
      </c>
      <c r="W13" s="417">
        <v>0.47699999999999998</v>
      </c>
      <c r="X13" s="417">
        <v>0.443</v>
      </c>
      <c r="Y13" s="417">
        <v>0.437</v>
      </c>
    </row>
    <row r="14" spans="1:25" s="972" customFormat="1">
      <c r="A14" s="2">
        <v>1990</v>
      </c>
      <c r="B14" s="417">
        <v>0.47899999999999998</v>
      </c>
      <c r="C14" s="417">
        <v>0.51800000000000002</v>
      </c>
      <c r="D14" s="417">
        <v>0.48899999999999999</v>
      </c>
      <c r="E14" s="417">
        <v>0.48599999999999999</v>
      </c>
      <c r="F14" s="417">
        <v>0.49</v>
      </c>
      <c r="G14" s="417">
        <v>0.5</v>
      </c>
      <c r="H14" s="417">
        <v>0.45700000000000002</v>
      </c>
      <c r="I14" s="417">
        <v>0.47</v>
      </c>
      <c r="J14" s="417">
        <v>0.499</v>
      </c>
      <c r="K14" s="417">
        <v>0.45600000000000002</v>
      </c>
      <c r="L14" s="417">
        <v>0.47699999999999998</v>
      </c>
      <c r="N14" s="2">
        <v>1990</v>
      </c>
      <c r="O14" s="417">
        <v>0.47899999999999998</v>
      </c>
      <c r="P14" s="417">
        <v>0.51800000000000002</v>
      </c>
      <c r="Q14" s="417">
        <v>0.48899999999999999</v>
      </c>
      <c r="R14" s="417">
        <v>0.48599999999999999</v>
      </c>
      <c r="S14" s="417">
        <v>0.49</v>
      </c>
      <c r="T14" s="417">
        <v>0.5</v>
      </c>
      <c r="U14" s="417">
        <v>0.45700000000000002</v>
      </c>
      <c r="V14" s="417">
        <v>0.47</v>
      </c>
      <c r="W14" s="417">
        <v>0.499</v>
      </c>
      <c r="X14" s="417">
        <v>0.45600000000000002</v>
      </c>
      <c r="Y14" s="417">
        <v>0.47699999999999998</v>
      </c>
    </row>
    <row r="15" spans="1:25" s="972" customFormat="1">
      <c r="A15" s="2">
        <v>1991</v>
      </c>
      <c r="B15" s="417">
        <v>0.498</v>
      </c>
      <c r="C15" s="417">
        <v>0.54600000000000004</v>
      </c>
      <c r="D15" s="417">
        <v>0.51400000000000001</v>
      </c>
      <c r="E15" s="417">
        <v>0.49099999999999999</v>
      </c>
      <c r="F15" s="417">
        <v>0.51400000000000001</v>
      </c>
      <c r="G15" s="417">
        <v>0.51500000000000001</v>
      </c>
      <c r="H15" s="417">
        <v>0.48599999999999999</v>
      </c>
      <c r="I15" s="417">
        <v>0.48699999999999999</v>
      </c>
      <c r="J15" s="417">
        <v>0.501</v>
      </c>
      <c r="K15" s="417">
        <v>0.47099999999999997</v>
      </c>
      <c r="L15" s="417">
        <v>0.48199999999999998</v>
      </c>
      <c r="N15" s="2">
        <v>1991</v>
      </c>
      <c r="O15" s="417">
        <v>0.498</v>
      </c>
      <c r="P15" s="417">
        <v>0.54600000000000004</v>
      </c>
      <c r="Q15" s="417">
        <v>0.51400000000000001</v>
      </c>
      <c r="R15" s="417">
        <v>0.49099999999999999</v>
      </c>
      <c r="S15" s="417">
        <v>0.51400000000000001</v>
      </c>
      <c r="T15" s="417">
        <v>0.51500000000000001</v>
      </c>
      <c r="U15" s="417">
        <v>0.48599999999999999</v>
      </c>
      <c r="V15" s="417">
        <v>0.48699999999999999</v>
      </c>
      <c r="W15" s="417">
        <v>0.501</v>
      </c>
      <c r="X15" s="417">
        <v>0.47099999999999997</v>
      </c>
      <c r="Y15" s="417">
        <v>0.48199999999999998</v>
      </c>
    </row>
    <row r="16" spans="1:25" s="972" customFormat="1">
      <c r="A16" s="2">
        <v>1992</v>
      </c>
      <c r="B16" s="417">
        <v>0.505</v>
      </c>
      <c r="C16" s="417">
        <v>0.55800000000000005</v>
      </c>
      <c r="D16" s="417">
        <v>0.499</v>
      </c>
      <c r="E16" s="417">
        <v>0.51700000000000002</v>
      </c>
      <c r="F16" s="417">
        <v>0.52200000000000002</v>
      </c>
      <c r="G16" s="417">
        <v>0.51700000000000002</v>
      </c>
      <c r="H16" s="417">
        <v>0.48699999999999999</v>
      </c>
      <c r="I16" s="417">
        <v>0.51300000000000001</v>
      </c>
      <c r="J16" s="417">
        <v>0.52</v>
      </c>
      <c r="K16" s="417">
        <v>0.49399999999999999</v>
      </c>
      <c r="L16" s="417">
        <v>0.496</v>
      </c>
      <c r="N16" s="2">
        <v>1992</v>
      </c>
      <c r="O16" s="417">
        <v>0.505</v>
      </c>
      <c r="P16" s="417">
        <v>0.55800000000000005</v>
      </c>
      <c r="Q16" s="417">
        <v>0.499</v>
      </c>
      <c r="R16" s="417">
        <v>0.51700000000000002</v>
      </c>
      <c r="S16" s="417">
        <v>0.52200000000000002</v>
      </c>
      <c r="T16" s="417">
        <v>0.51700000000000002</v>
      </c>
      <c r="U16" s="417">
        <v>0.48699999999999999</v>
      </c>
      <c r="V16" s="417">
        <v>0.51300000000000001</v>
      </c>
      <c r="W16" s="417">
        <v>0.52</v>
      </c>
      <c r="X16" s="417">
        <v>0.49399999999999999</v>
      </c>
      <c r="Y16" s="417">
        <v>0.496</v>
      </c>
    </row>
    <row r="17" spans="1:25" s="972" customFormat="1">
      <c r="A17" s="2">
        <v>1993</v>
      </c>
      <c r="B17" s="417">
        <v>0.505</v>
      </c>
      <c r="C17" s="417">
        <v>0.54600000000000004</v>
      </c>
      <c r="D17" s="417">
        <v>0.502</v>
      </c>
      <c r="E17" s="417">
        <v>0.50900000000000001</v>
      </c>
      <c r="F17" s="417">
        <v>0.51500000000000001</v>
      </c>
      <c r="G17" s="417">
        <v>0.51900000000000002</v>
      </c>
      <c r="H17" s="417">
        <v>0.497</v>
      </c>
      <c r="I17" s="417">
        <v>0.49099999999999999</v>
      </c>
      <c r="J17" s="417">
        <v>0.51</v>
      </c>
      <c r="K17" s="417">
        <v>0.47099999999999997</v>
      </c>
      <c r="L17" s="417">
        <v>0.48899999999999999</v>
      </c>
      <c r="N17" s="2">
        <v>1993</v>
      </c>
      <c r="O17" s="417">
        <v>0.505</v>
      </c>
      <c r="P17" s="417">
        <v>0.54600000000000004</v>
      </c>
      <c r="Q17" s="417">
        <v>0.502</v>
      </c>
      <c r="R17" s="417">
        <v>0.50900000000000001</v>
      </c>
      <c r="S17" s="417">
        <v>0.51500000000000001</v>
      </c>
      <c r="T17" s="417">
        <v>0.51900000000000002</v>
      </c>
      <c r="U17" s="417">
        <v>0.497</v>
      </c>
      <c r="V17" s="417">
        <v>0.49099999999999999</v>
      </c>
      <c r="W17" s="417">
        <v>0.51</v>
      </c>
      <c r="X17" s="417">
        <v>0.47099999999999997</v>
      </c>
      <c r="Y17" s="417">
        <v>0.48899999999999999</v>
      </c>
    </row>
    <row r="18" spans="1:25" s="972" customFormat="1">
      <c r="A18" s="2">
        <v>1994</v>
      </c>
      <c r="B18" s="417">
        <v>0.50800000000000001</v>
      </c>
      <c r="C18" s="417">
        <v>0.53500000000000003</v>
      </c>
      <c r="D18" s="417">
        <v>0.49199999999999999</v>
      </c>
      <c r="E18" s="417">
        <v>0.52400000000000002</v>
      </c>
      <c r="F18" s="417">
        <v>0.51400000000000001</v>
      </c>
      <c r="G18" s="417">
        <v>0.52200000000000002</v>
      </c>
      <c r="H18" s="417">
        <v>0.503</v>
      </c>
      <c r="I18" s="417">
        <v>0.50600000000000001</v>
      </c>
      <c r="J18" s="417">
        <v>0.505</v>
      </c>
      <c r="K18" s="417">
        <v>0.46400000000000002</v>
      </c>
      <c r="L18" s="417">
        <v>0.495</v>
      </c>
      <c r="N18" s="2">
        <v>1994</v>
      </c>
      <c r="O18" s="417">
        <v>0.50800000000000001</v>
      </c>
      <c r="P18" s="417">
        <v>0.53500000000000003</v>
      </c>
      <c r="Q18" s="417">
        <v>0.49199999999999999</v>
      </c>
      <c r="R18" s="417">
        <v>0.52400000000000002</v>
      </c>
      <c r="S18" s="417">
        <v>0.51400000000000001</v>
      </c>
      <c r="T18" s="417">
        <v>0.52200000000000002</v>
      </c>
      <c r="U18" s="417">
        <v>0.503</v>
      </c>
      <c r="V18" s="417">
        <v>0.50600000000000001</v>
      </c>
      <c r="W18" s="417">
        <v>0.505</v>
      </c>
      <c r="X18" s="417">
        <v>0.46400000000000002</v>
      </c>
      <c r="Y18" s="417">
        <v>0.495</v>
      </c>
    </row>
    <row r="19" spans="1:25" s="972" customFormat="1">
      <c r="A19" s="2">
        <v>1995</v>
      </c>
      <c r="B19" s="417">
        <v>0.503</v>
      </c>
      <c r="C19" s="417">
        <v>0.54200000000000004</v>
      </c>
      <c r="D19" s="417">
        <v>0.49099999999999999</v>
      </c>
      <c r="E19" s="417">
        <v>0.51900000000000002</v>
      </c>
      <c r="F19" s="417">
        <v>0.51500000000000001</v>
      </c>
      <c r="G19" s="417">
        <v>0.52</v>
      </c>
      <c r="H19" s="417">
        <v>0.497</v>
      </c>
      <c r="I19" s="417">
        <v>0.48899999999999999</v>
      </c>
      <c r="J19" s="417">
        <v>0.50800000000000001</v>
      </c>
      <c r="K19" s="417">
        <v>0.46500000000000002</v>
      </c>
      <c r="L19" s="417">
        <v>0.48399999999999999</v>
      </c>
      <c r="N19" s="2">
        <v>1995</v>
      </c>
      <c r="O19" s="417">
        <v>0.503</v>
      </c>
      <c r="P19" s="417">
        <v>0.54200000000000004</v>
      </c>
      <c r="Q19" s="417">
        <v>0.49099999999999999</v>
      </c>
      <c r="R19" s="417">
        <v>0.51900000000000002</v>
      </c>
      <c r="S19" s="417">
        <v>0.51500000000000001</v>
      </c>
      <c r="T19" s="417">
        <v>0.52</v>
      </c>
      <c r="U19" s="417">
        <v>0.497</v>
      </c>
      <c r="V19" s="417">
        <v>0.48899999999999999</v>
      </c>
      <c r="W19" s="417">
        <v>0.50800000000000001</v>
      </c>
      <c r="X19" s="417">
        <v>0.46500000000000002</v>
      </c>
      <c r="Y19" s="417">
        <v>0.48399999999999999</v>
      </c>
    </row>
    <row r="20" spans="1:25" s="972" customFormat="1">
      <c r="A20" s="2">
        <v>1996</v>
      </c>
      <c r="B20" s="417">
        <v>0.51300000000000001</v>
      </c>
      <c r="C20" s="417">
        <v>0.54500000000000004</v>
      </c>
      <c r="D20" s="417">
        <v>0.48199999999999998</v>
      </c>
      <c r="E20" s="417">
        <v>0.51600000000000001</v>
      </c>
      <c r="F20" s="417">
        <v>0.51800000000000002</v>
      </c>
      <c r="G20" s="417">
        <v>0.52800000000000002</v>
      </c>
      <c r="H20" s="417">
        <v>0.50900000000000001</v>
      </c>
      <c r="I20" s="417">
        <v>0.49099999999999999</v>
      </c>
      <c r="J20" s="417">
        <v>0.504</v>
      </c>
      <c r="K20" s="417">
        <v>0.47399999999999998</v>
      </c>
      <c r="L20" s="417">
        <v>0.503</v>
      </c>
      <c r="N20" s="2">
        <v>1996</v>
      </c>
      <c r="O20" s="417">
        <v>0.51300000000000001</v>
      </c>
      <c r="P20" s="417">
        <v>0.54500000000000004</v>
      </c>
      <c r="Q20" s="417">
        <v>0.48199999999999998</v>
      </c>
      <c r="R20" s="417">
        <v>0.51600000000000001</v>
      </c>
      <c r="S20" s="417">
        <v>0.51800000000000002</v>
      </c>
      <c r="T20" s="417">
        <v>0.52800000000000002</v>
      </c>
      <c r="U20" s="417">
        <v>0.50900000000000001</v>
      </c>
      <c r="V20" s="417">
        <v>0.49099999999999999</v>
      </c>
      <c r="W20" s="417">
        <v>0.504</v>
      </c>
      <c r="X20" s="417">
        <v>0.47399999999999998</v>
      </c>
      <c r="Y20" s="417">
        <v>0.503</v>
      </c>
    </row>
    <row r="21" spans="1:25" s="972" customFormat="1">
      <c r="A21" s="2">
        <v>1997</v>
      </c>
      <c r="B21" s="417">
        <v>0.51600000000000001</v>
      </c>
      <c r="C21" s="417">
        <v>0.53900000000000003</v>
      </c>
      <c r="D21" s="417">
        <v>0.49</v>
      </c>
      <c r="E21" s="417">
        <v>0.52200000000000002</v>
      </c>
      <c r="F21" s="417">
        <v>0.51900000000000002</v>
      </c>
      <c r="G21" s="417">
        <v>0.53100000000000003</v>
      </c>
      <c r="H21" s="417">
        <v>0.50900000000000001</v>
      </c>
      <c r="I21" s="417">
        <v>0.497</v>
      </c>
      <c r="J21" s="417">
        <v>0.499</v>
      </c>
      <c r="K21" s="417">
        <v>0.48599999999999999</v>
      </c>
      <c r="L21" s="417">
        <v>0.50600000000000001</v>
      </c>
      <c r="N21" s="2">
        <v>1997</v>
      </c>
      <c r="O21" s="417">
        <v>0.51600000000000001</v>
      </c>
      <c r="P21" s="417">
        <v>0.53900000000000003</v>
      </c>
      <c r="Q21" s="417">
        <v>0.49</v>
      </c>
      <c r="R21" s="417">
        <v>0.52200000000000002</v>
      </c>
      <c r="S21" s="417">
        <v>0.51900000000000002</v>
      </c>
      <c r="T21" s="417">
        <v>0.53100000000000003</v>
      </c>
      <c r="U21" s="417">
        <v>0.50900000000000001</v>
      </c>
      <c r="V21" s="417">
        <v>0.497</v>
      </c>
      <c r="W21" s="417">
        <v>0.499</v>
      </c>
      <c r="X21" s="417">
        <v>0.48599999999999999</v>
      </c>
      <c r="Y21" s="417">
        <v>0.50600000000000001</v>
      </c>
    </row>
    <row r="22" spans="1:25" s="972" customFormat="1">
      <c r="A22" s="2">
        <v>1998</v>
      </c>
      <c r="B22" s="417">
        <v>0.52300000000000002</v>
      </c>
      <c r="C22" s="417">
        <v>0.55700000000000005</v>
      </c>
      <c r="D22" s="417">
        <v>0.51500000000000001</v>
      </c>
      <c r="E22" s="417">
        <v>0.52900000000000003</v>
      </c>
      <c r="F22" s="417">
        <v>0.52300000000000002</v>
      </c>
      <c r="G22" s="417">
        <v>0.53800000000000003</v>
      </c>
      <c r="H22" s="417">
        <v>0.51300000000000001</v>
      </c>
      <c r="I22" s="417">
        <v>0.50900000000000001</v>
      </c>
      <c r="J22" s="417">
        <v>0.51800000000000002</v>
      </c>
      <c r="K22" s="417">
        <v>0.501</v>
      </c>
      <c r="L22" s="417">
        <v>0.50800000000000001</v>
      </c>
      <c r="N22" s="2">
        <v>1998</v>
      </c>
      <c r="O22" s="417">
        <v>0.52300000000000002</v>
      </c>
      <c r="P22" s="417">
        <v>0.55700000000000005</v>
      </c>
      <c r="Q22" s="417">
        <v>0.51500000000000001</v>
      </c>
      <c r="R22" s="417">
        <v>0.52900000000000003</v>
      </c>
      <c r="S22" s="417">
        <v>0.52300000000000002</v>
      </c>
      <c r="T22" s="417">
        <v>0.53800000000000003</v>
      </c>
      <c r="U22" s="417">
        <v>0.51300000000000001</v>
      </c>
      <c r="V22" s="417">
        <v>0.50900000000000001</v>
      </c>
      <c r="W22" s="417">
        <v>0.51800000000000002</v>
      </c>
      <c r="X22" s="417">
        <v>0.501</v>
      </c>
      <c r="Y22" s="417">
        <v>0.50800000000000001</v>
      </c>
    </row>
    <row r="23" spans="1:25" s="972" customFormat="1">
      <c r="A23" s="2">
        <v>1999</v>
      </c>
      <c r="B23" s="417">
        <v>0.51300000000000001</v>
      </c>
      <c r="C23" s="417">
        <v>0.56200000000000006</v>
      </c>
      <c r="D23" s="417">
        <v>0.52600000000000002</v>
      </c>
      <c r="E23" s="417">
        <v>0.51600000000000001</v>
      </c>
      <c r="F23" s="417">
        <v>0.50900000000000001</v>
      </c>
      <c r="G23" s="417">
        <v>0.51700000000000002</v>
      </c>
      <c r="H23" s="417">
        <v>0.50900000000000001</v>
      </c>
      <c r="I23" s="417">
        <v>0.48899999999999999</v>
      </c>
      <c r="J23" s="417">
        <v>0.5</v>
      </c>
      <c r="K23" s="417">
        <v>0.48299999999999998</v>
      </c>
      <c r="L23" s="417">
        <v>0.51</v>
      </c>
      <c r="N23" s="2">
        <v>1999</v>
      </c>
      <c r="O23" s="417">
        <v>0.51300000000000001</v>
      </c>
      <c r="P23" s="417">
        <v>0.56200000000000006</v>
      </c>
      <c r="Q23" s="417">
        <v>0.52600000000000002</v>
      </c>
      <c r="R23" s="417">
        <v>0.51600000000000001</v>
      </c>
      <c r="S23" s="417">
        <v>0.50900000000000001</v>
      </c>
      <c r="T23" s="417">
        <v>0.51700000000000002</v>
      </c>
      <c r="U23" s="417">
        <v>0.50900000000000001</v>
      </c>
      <c r="V23" s="417">
        <v>0.48899999999999999</v>
      </c>
      <c r="W23" s="417">
        <v>0.5</v>
      </c>
      <c r="X23" s="417">
        <v>0.48299999999999998</v>
      </c>
      <c r="Y23" s="417">
        <v>0.51</v>
      </c>
    </row>
    <row r="24" spans="1:25" s="972" customFormat="1">
      <c r="A24" s="2">
        <v>2000</v>
      </c>
      <c r="B24" s="417">
        <v>0.51500000000000001</v>
      </c>
      <c r="C24" s="417">
        <v>0.56299999999999994</v>
      </c>
      <c r="D24" s="417">
        <v>0.51700000000000002</v>
      </c>
      <c r="E24" s="417">
        <v>0.51800000000000002</v>
      </c>
      <c r="F24" s="417">
        <v>0.51400000000000001</v>
      </c>
      <c r="G24" s="417">
        <v>0.52200000000000002</v>
      </c>
      <c r="H24" s="417">
        <v>0.50900000000000001</v>
      </c>
      <c r="I24" s="417">
        <v>0.49299999999999999</v>
      </c>
      <c r="J24" s="417">
        <v>0.50600000000000001</v>
      </c>
      <c r="K24" s="417">
        <v>0.48599999999999999</v>
      </c>
      <c r="L24" s="417">
        <v>0.504</v>
      </c>
      <c r="N24" s="2">
        <v>2000</v>
      </c>
      <c r="O24" s="417">
        <v>0.51500000000000001</v>
      </c>
      <c r="P24" s="417">
        <v>0.56299999999999994</v>
      </c>
      <c r="Q24" s="417">
        <v>0.51700000000000002</v>
      </c>
      <c r="R24" s="417">
        <v>0.51800000000000002</v>
      </c>
      <c r="S24" s="417">
        <v>0.51400000000000001</v>
      </c>
      <c r="T24" s="417">
        <v>0.52200000000000002</v>
      </c>
      <c r="U24" s="417">
        <v>0.50900000000000001</v>
      </c>
      <c r="V24" s="417">
        <v>0.49299999999999999</v>
      </c>
      <c r="W24" s="417">
        <v>0.50600000000000001</v>
      </c>
      <c r="X24" s="417">
        <v>0.48599999999999999</v>
      </c>
      <c r="Y24" s="417">
        <v>0.504</v>
      </c>
    </row>
    <row r="25" spans="1:25" s="972" customFormat="1">
      <c r="A25" s="2">
        <v>2001</v>
      </c>
      <c r="B25" s="417">
        <v>0.51300000000000001</v>
      </c>
      <c r="C25" s="417">
        <v>0.56100000000000005</v>
      </c>
      <c r="D25" s="417">
        <v>0.51300000000000001</v>
      </c>
      <c r="E25" s="417">
        <v>0.52200000000000002</v>
      </c>
      <c r="F25" s="417">
        <v>0.52400000000000002</v>
      </c>
      <c r="G25" s="417">
        <v>0.52400000000000002</v>
      </c>
      <c r="H25" s="417">
        <v>0.50600000000000001</v>
      </c>
      <c r="I25" s="417">
        <v>0.48399999999999999</v>
      </c>
      <c r="J25" s="417">
        <v>0.499</v>
      </c>
      <c r="K25" s="417">
        <v>0.47699999999999998</v>
      </c>
      <c r="L25" s="417">
        <v>0.51100000000000001</v>
      </c>
      <c r="N25" s="2">
        <v>2001</v>
      </c>
      <c r="O25" s="417">
        <v>0.51300000000000001</v>
      </c>
      <c r="P25" s="417">
        <v>0.56100000000000005</v>
      </c>
      <c r="Q25" s="417">
        <v>0.51300000000000001</v>
      </c>
      <c r="R25" s="417">
        <v>0.52200000000000002</v>
      </c>
      <c r="S25" s="417">
        <v>0.52400000000000002</v>
      </c>
      <c r="T25" s="417">
        <v>0.52400000000000002</v>
      </c>
      <c r="U25" s="417">
        <v>0.50600000000000001</v>
      </c>
      <c r="V25" s="417">
        <v>0.48399999999999999</v>
      </c>
      <c r="W25" s="417">
        <v>0.499</v>
      </c>
      <c r="X25" s="417">
        <v>0.47699999999999998</v>
      </c>
      <c r="Y25" s="417">
        <v>0.51100000000000001</v>
      </c>
    </row>
    <row r="26" spans="1:25" s="972" customFormat="1">
      <c r="A26" s="2">
        <v>2002</v>
      </c>
      <c r="B26" s="417">
        <v>0.51100000000000001</v>
      </c>
      <c r="C26" s="417">
        <v>0.55500000000000005</v>
      </c>
      <c r="D26" s="417">
        <v>0.51800000000000002</v>
      </c>
      <c r="E26" s="417">
        <v>0.51800000000000002</v>
      </c>
      <c r="F26" s="417">
        <v>0.52600000000000002</v>
      </c>
      <c r="G26" s="417">
        <v>0.51800000000000002</v>
      </c>
      <c r="H26" s="417">
        <v>0.503</v>
      </c>
      <c r="I26" s="417">
        <v>0.48799999999999999</v>
      </c>
      <c r="J26" s="417">
        <v>0.5</v>
      </c>
      <c r="K26" s="417">
        <v>0.47099999999999997</v>
      </c>
      <c r="L26" s="417">
        <v>0.52200000000000002</v>
      </c>
      <c r="N26" s="2">
        <v>2002</v>
      </c>
      <c r="O26" s="417">
        <v>0.51100000000000001</v>
      </c>
      <c r="P26" s="417">
        <v>0.55500000000000005</v>
      </c>
      <c r="Q26" s="417">
        <v>0.51800000000000002</v>
      </c>
      <c r="R26" s="417">
        <v>0.51800000000000002</v>
      </c>
      <c r="S26" s="417">
        <v>0.52600000000000002</v>
      </c>
      <c r="T26" s="417">
        <v>0.51800000000000002</v>
      </c>
      <c r="U26" s="417">
        <v>0.503</v>
      </c>
      <c r="V26" s="417">
        <v>0.48799999999999999</v>
      </c>
      <c r="W26" s="417">
        <v>0.5</v>
      </c>
      <c r="X26" s="417">
        <v>0.47099999999999997</v>
      </c>
      <c r="Y26" s="417">
        <v>0.52200000000000002</v>
      </c>
    </row>
    <row r="27" spans="1:25" s="972" customFormat="1">
      <c r="A27" s="2">
        <v>2003</v>
      </c>
      <c r="B27" s="417">
        <v>0.50900000000000001</v>
      </c>
      <c r="C27" s="417">
        <v>0.56100000000000005</v>
      </c>
      <c r="D27" s="417">
        <v>0.499</v>
      </c>
      <c r="E27" s="417">
        <v>0.51</v>
      </c>
      <c r="F27" s="417">
        <v>0.52600000000000002</v>
      </c>
      <c r="G27" s="417">
        <v>0.51100000000000001</v>
      </c>
      <c r="H27" s="417">
        <v>0.502</v>
      </c>
      <c r="I27" s="417">
        <v>0.48199999999999998</v>
      </c>
      <c r="J27" s="417">
        <v>0.502</v>
      </c>
      <c r="K27" s="417">
        <v>0.48799999999999999</v>
      </c>
      <c r="L27" s="417">
        <v>0.50800000000000001</v>
      </c>
      <c r="N27" s="2">
        <v>2003</v>
      </c>
      <c r="O27" s="417">
        <v>0.50900000000000001</v>
      </c>
      <c r="P27" s="417">
        <v>0.56100000000000005</v>
      </c>
      <c r="Q27" s="417">
        <v>0.499</v>
      </c>
      <c r="R27" s="417">
        <v>0.51</v>
      </c>
      <c r="S27" s="417">
        <v>0.52600000000000002</v>
      </c>
      <c r="T27" s="417">
        <v>0.51100000000000001</v>
      </c>
      <c r="U27" s="417">
        <v>0.502</v>
      </c>
      <c r="V27" s="417">
        <v>0.48199999999999998</v>
      </c>
      <c r="W27" s="417">
        <v>0.502</v>
      </c>
      <c r="X27" s="417">
        <v>0.48799999999999999</v>
      </c>
      <c r="Y27" s="417">
        <v>0.50800000000000001</v>
      </c>
    </row>
    <row r="28" spans="1:25" s="972" customFormat="1">
      <c r="A28" s="2">
        <v>2004</v>
      </c>
      <c r="B28" s="417">
        <v>0.51200000000000001</v>
      </c>
      <c r="C28" s="417">
        <v>0.55500000000000005</v>
      </c>
      <c r="D28" s="417">
        <v>0.48699999999999999</v>
      </c>
      <c r="E28" s="417">
        <v>0.504</v>
      </c>
      <c r="F28" s="417">
        <v>0.52300000000000002</v>
      </c>
      <c r="G28" s="417">
        <v>0.51300000000000001</v>
      </c>
      <c r="H28" s="417">
        <v>0.51200000000000001</v>
      </c>
      <c r="I28" s="417">
        <v>0.49099999999999999</v>
      </c>
      <c r="J28" s="417">
        <v>0.50800000000000001</v>
      </c>
      <c r="K28" s="417">
        <v>0.48099999999999998</v>
      </c>
      <c r="L28" s="417">
        <v>0.502</v>
      </c>
      <c r="N28" s="2">
        <v>2004</v>
      </c>
      <c r="O28" s="417">
        <v>0.51200000000000001</v>
      </c>
      <c r="P28" s="417">
        <v>0.55500000000000005</v>
      </c>
      <c r="Q28" s="417">
        <v>0.48699999999999999</v>
      </c>
      <c r="R28" s="417">
        <v>0.504</v>
      </c>
      <c r="S28" s="417">
        <v>0.52300000000000002</v>
      </c>
      <c r="T28" s="417">
        <v>0.51300000000000001</v>
      </c>
      <c r="U28" s="417">
        <v>0.51200000000000001</v>
      </c>
      <c r="V28" s="417">
        <v>0.49099999999999999</v>
      </c>
      <c r="W28" s="417">
        <v>0.50800000000000001</v>
      </c>
      <c r="X28" s="417">
        <v>0.48099999999999998</v>
      </c>
      <c r="Y28" s="417">
        <v>0.502</v>
      </c>
    </row>
    <row r="29" spans="1:25" s="972" customFormat="1">
      <c r="A29" s="2">
        <v>2005</v>
      </c>
      <c r="B29" s="417">
        <v>0.50800000000000001</v>
      </c>
      <c r="C29" s="417">
        <v>0.55400000000000005</v>
      </c>
      <c r="D29" s="417">
        <v>0.48099999999999998</v>
      </c>
      <c r="E29" s="417">
        <v>0.502</v>
      </c>
      <c r="F29" s="417">
        <v>0.51700000000000002</v>
      </c>
      <c r="G29" s="417">
        <v>0.51700000000000002</v>
      </c>
      <c r="H29" s="417">
        <v>0.502</v>
      </c>
      <c r="I29" s="417">
        <v>0.49199999999999999</v>
      </c>
      <c r="J29" s="417">
        <v>0.52</v>
      </c>
      <c r="K29" s="417">
        <v>0.47299999999999998</v>
      </c>
      <c r="L29" s="417">
        <v>0.501</v>
      </c>
      <c r="N29" s="4">
        <v>2005</v>
      </c>
      <c r="O29" s="417">
        <v>0.50800000000000001</v>
      </c>
      <c r="P29" s="417">
        <v>0.55400000000000005</v>
      </c>
      <c r="Q29" s="417">
        <v>0.48099999999999998</v>
      </c>
      <c r="R29" s="417">
        <v>0.502</v>
      </c>
      <c r="S29" s="417">
        <v>0.51700000000000002</v>
      </c>
      <c r="T29" s="417">
        <v>0.51700000000000002</v>
      </c>
      <c r="U29" s="417">
        <v>0.502</v>
      </c>
      <c r="V29" s="417">
        <v>0.49199999999999999</v>
      </c>
      <c r="W29" s="417">
        <v>0.52</v>
      </c>
      <c r="X29" s="417">
        <v>0.47299999999999998</v>
      </c>
      <c r="Y29" s="417">
        <v>0.501</v>
      </c>
    </row>
    <row r="30" spans="1:25" s="972" customFormat="1">
      <c r="A30" s="2">
        <v>2006</v>
      </c>
      <c r="B30" s="417">
        <v>0.50600000000000001</v>
      </c>
      <c r="C30" s="417">
        <v>0.54800000000000004</v>
      </c>
      <c r="D30" s="417">
        <v>0.48299999999999998</v>
      </c>
      <c r="E30" s="417">
        <v>0.502</v>
      </c>
      <c r="F30" s="417">
        <v>0.51500000000000001</v>
      </c>
      <c r="G30" s="417">
        <v>0.51300000000000001</v>
      </c>
      <c r="H30" s="417">
        <v>0.498</v>
      </c>
      <c r="I30" s="417">
        <v>0.49399999999999999</v>
      </c>
      <c r="J30" s="417">
        <v>0.51500000000000001</v>
      </c>
      <c r="K30" s="417">
        <v>0.48</v>
      </c>
      <c r="L30" s="417">
        <v>0.5</v>
      </c>
      <c r="N30" s="4">
        <v>2006</v>
      </c>
      <c r="O30" s="417">
        <v>0.50600000000000001</v>
      </c>
      <c r="P30" s="417">
        <v>0.54800000000000004</v>
      </c>
      <c r="Q30" s="417">
        <v>0.48299999999999998</v>
      </c>
      <c r="R30" s="417">
        <v>0.502</v>
      </c>
      <c r="S30" s="417">
        <v>0.51500000000000001</v>
      </c>
      <c r="T30" s="417">
        <v>0.51300000000000001</v>
      </c>
      <c r="U30" s="417">
        <v>0.498</v>
      </c>
      <c r="V30" s="417">
        <v>0.49399999999999999</v>
      </c>
      <c r="W30" s="417">
        <v>0.51500000000000001</v>
      </c>
      <c r="X30" s="417">
        <v>0.48</v>
      </c>
      <c r="Y30" s="417">
        <v>0.5</v>
      </c>
    </row>
    <row r="31" spans="1:25" s="972" customFormat="1">
      <c r="A31" s="2">
        <v>2007</v>
      </c>
      <c r="B31" s="417">
        <v>0.50700000000000001</v>
      </c>
      <c r="C31" s="417">
        <v>0.54900000000000004</v>
      </c>
      <c r="D31" s="417">
        <v>0.47099999999999997</v>
      </c>
      <c r="E31" s="417">
        <v>0.501</v>
      </c>
      <c r="F31" s="417">
        <v>0.51200000000000001</v>
      </c>
      <c r="G31" s="417">
        <v>0.51600000000000001</v>
      </c>
      <c r="H31" s="417">
        <v>0.501</v>
      </c>
      <c r="I31" s="417">
        <v>0.497</v>
      </c>
      <c r="J31" s="417">
        <v>0.503</v>
      </c>
      <c r="K31" s="417">
        <v>0.47799999999999998</v>
      </c>
      <c r="L31" s="417">
        <v>0.49299999999999999</v>
      </c>
      <c r="N31" s="2">
        <v>2007</v>
      </c>
      <c r="O31" s="417">
        <v>0.50700000000000001</v>
      </c>
      <c r="P31" s="417">
        <v>0.54900000000000004</v>
      </c>
      <c r="Q31" s="417">
        <v>0.47099999999999997</v>
      </c>
      <c r="R31" s="417">
        <v>0.501</v>
      </c>
      <c r="S31" s="417">
        <v>0.51200000000000001</v>
      </c>
      <c r="T31" s="417">
        <v>0.51600000000000001</v>
      </c>
      <c r="U31" s="417">
        <v>0.501</v>
      </c>
      <c r="V31" s="417">
        <v>0.497</v>
      </c>
      <c r="W31" s="417">
        <v>0.503</v>
      </c>
      <c r="X31" s="417">
        <v>0.47799999999999998</v>
      </c>
      <c r="Y31" s="417">
        <v>0.49299999999999999</v>
      </c>
    </row>
    <row r="32" spans="1:25" s="114" customFormat="1">
      <c r="A32" s="738"/>
      <c r="B32" s="10"/>
      <c r="C32" s="967"/>
      <c r="D32" s="967" t="s">
        <v>802</v>
      </c>
      <c r="E32" s="967"/>
      <c r="F32" s="967"/>
      <c r="H32" s="967"/>
      <c r="I32" s="967"/>
      <c r="J32" s="967"/>
      <c r="K32" s="967"/>
      <c r="L32" s="967"/>
    </row>
    <row r="33" spans="1:36" s="114" customFormat="1">
      <c r="A33" s="431" t="s">
        <v>603</v>
      </c>
      <c r="B33" s="967">
        <f t="shared" ref="B33:L33" si="0">((((B13/B5))^(1/8))-1)*100</f>
        <v>0.72992550579502602</v>
      </c>
      <c r="C33" s="967">
        <f t="shared" si="0"/>
        <v>0.74768250579606566</v>
      </c>
      <c r="D33" s="967">
        <f t="shared" si="0"/>
        <v>0.77006167053501606</v>
      </c>
      <c r="E33" s="967">
        <f t="shared" si="0"/>
        <v>0.78952324403029905</v>
      </c>
      <c r="F33" s="967">
        <f t="shared" si="0"/>
        <v>-0.10304024491969432</v>
      </c>
      <c r="G33" s="967">
        <f t="shared" si="0"/>
        <v>0.62640498433601532</v>
      </c>
      <c r="H33" s="967">
        <f t="shared" si="0"/>
        <v>0.87831712452450805</v>
      </c>
      <c r="I33" s="967">
        <f t="shared" si="0"/>
        <v>0.54385799870757534</v>
      </c>
      <c r="J33" s="967">
        <f t="shared" si="0"/>
        <v>0.23838612609863308</v>
      </c>
      <c r="K33" s="967">
        <f t="shared" si="0"/>
        <v>1.0650894288649848</v>
      </c>
      <c r="L33" s="967">
        <f t="shared" si="0"/>
        <v>0.28978383730766666</v>
      </c>
    </row>
    <row r="34" spans="1:36" s="114" customFormat="1">
      <c r="A34" s="431" t="s">
        <v>604</v>
      </c>
      <c r="B34" s="967">
        <f t="shared" ref="B34:L34" si="1">((((B24/B13))^(1/11))-1)*100</f>
        <v>1.0320199792364981</v>
      </c>
      <c r="C34" s="967">
        <f t="shared" si="1"/>
        <v>1.3839871123862757</v>
      </c>
      <c r="D34" s="967">
        <f t="shared" si="1"/>
        <v>0.23178280596820588</v>
      </c>
      <c r="E34" s="967">
        <f t="shared" si="1"/>
        <v>0.46924776949239799</v>
      </c>
      <c r="F34" s="967">
        <f t="shared" si="1"/>
        <v>0.5671167053869608</v>
      </c>
      <c r="G34" s="967">
        <f t="shared" si="1"/>
        <v>0.91955307828028854</v>
      </c>
      <c r="H34" s="967">
        <f t="shared" si="1"/>
        <v>1.2497766439813374</v>
      </c>
      <c r="I34" s="967">
        <f t="shared" si="1"/>
        <v>0.41587217671208432</v>
      </c>
      <c r="J34" s="967">
        <f t="shared" si="1"/>
        <v>0.5379890680158983</v>
      </c>
      <c r="K34" s="967">
        <f t="shared" si="1"/>
        <v>0.84572763820935926</v>
      </c>
      <c r="L34" s="967">
        <f t="shared" si="1"/>
        <v>1.3051995405216843</v>
      </c>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row>
    <row r="35" spans="1:36" s="114" customFormat="1">
      <c r="A35" s="431" t="s">
        <v>447</v>
      </c>
      <c r="B35" s="23">
        <f>((((B31/B5))^(1/26))-1)*100</f>
        <v>0.59973923691407638</v>
      </c>
      <c r="C35" s="23">
        <f t="shared" ref="C35:L35" si="2">((((C31/C5))^(1/26))-1)*100</f>
        <v>0.71642192569496554</v>
      </c>
      <c r="D35" s="23">
        <f t="shared" si="2"/>
        <v>-2.441712499108295E-2</v>
      </c>
      <c r="E35" s="23">
        <f t="shared" si="2"/>
        <v>0.31218324163850841</v>
      </c>
      <c r="F35" s="23">
        <f t="shared" si="2"/>
        <v>0.19272587017595821</v>
      </c>
      <c r="G35" s="23">
        <f t="shared" si="2"/>
        <v>0.53637133927892933</v>
      </c>
      <c r="H35" s="23">
        <f t="shared" si="2"/>
        <v>0.73631342785482889</v>
      </c>
      <c r="I35" s="23">
        <f t="shared" si="2"/>
        <v>0.37424735765563266</v>
      </c>
      <c r="J35" s="23">
        <f t="shared" si="2"/>
        <v>0.27777691088115564</v>
      </c>
      <c r="K35" s="23">
        <f t="shared" si="2"/>
        <v>0.62036846761908127</v>
      </c>
      <c r="L35" s="23">
        <f t="shared" si="2"/>
        <v>0.55431977810000976</v>
      </c>
    </row>
    <row r="36" spans="1:36" s="114" customFormat="1">
      <c r="A36" s="431" t="s">
        <v>449</v>
      </c>
      <c r="B36" s="967">
        <f>((((B31/B24))^(1/7))-1)*100</f>
        <v>-0.22340574952290915</v>
      </c>
      <c r="C36" s="967">
        <f t="shared" ref="C36:L36" si="3">((((C31/C24))^(1/7))-1)*100</f>
        <v>-0.35908497991974375</v>
      </c>
      <c r="D36" s="967">
        <f t="shared" si="3"/>
        <v>-1.3223897215891345</v>
      </c>
      <c r="E36" s="967">
        <f t="shared" si="3"/>
        <v>-0.47556759603429866</v>
      </c>
      <c r="F36" s="967">
        <f t="shared" si="3"/>
        <v>-5.5679356370896826E-2</v>
      </c>
      <c r="G36" s="967">
        <f t="shared" si="3"/>
        <v>-0.16501830055910549</v>
      </c>
      <c r="H36" s="967">
        <f t="shared" si="3"/>
        <v>-0.22605718311193845</v>
      </c>
      <c r="I36" s="967">
        <f t="shared" si="3"/>
        <v>0.11550740210202193</v>
      </c>
      <c r="J36" s="967">
        <f t="shared" si="3"/>
        <v>-8.4913916108642074E-2</v>
      </c>
      <c r="K36" s="967">
        <f t="shared" si="3"/>
        <v>-0.2368318442233841</v>
      </c>
      <c r="L36" s="967">
        <f t="shared" si="3"/>
        <v>-0.3147478276127158</v>
      </c>
    </row>
    <row r="37" spans="1:36" s="114" customFormat="1">
      <c r="A37" s="431"/>
      <c r="D37" s="967" t="s">
        <v>655</v>
      </c>
    </row>
    <row r="38" spans="1:36" s="114" customFormat="1">
      <c r="A38" s="431" t="s">
        <v>603</v>
      </c>
      <c r="B38" s="46">
        <f t="shared" ref="B38:L38" si="4">B13-B5</f>
        <v>2.6000000000000023E-2</v>
      </c>
      <c r="C38" s="46">
        <f t="shared" si="4"/>
        <v>2.7999999999999969E-2</v>
      </c>
      <c r="D38" s="46">
        <f t="shared" si="4"/>
        <v>3.0000000000000027E-2</v>
      </c>
      <c r="E38" s="46">
        <f t="shared" si="4"/>
        <v>2.9999999999999971E-2</v>
      </c>
      <c r="F38" s="46">
        <f t="shared" si="4"/>
        <v>-4.0000000000000036E-3</v>
      </c>
      <c r="G38" s="46">
        <f t="shared" si="4"/>
        <v>2.2999999999999965E-2</v>
      </c>
      <c r="H38" s="46">
        <f t="shared" si="4"/>
        <v>3.0000000000000027E-2</v>
      </c>
      <c r="I38" s="46">
        <f t="shared" si="4"/>
        <v>1.9999999999999962E-2</v>
      </c>
      <c r="J38" s="46">
        <f t="shared" si="4"/>
        <v>8.9999999999999525E-3</v>
      </c>
      <c r="K38" s="46">
        <f t="shared" si="4"/>
        <v>3.6000000000000032E-2</v>
      </c>
      <c r="L38" s="46">
        <f t="shared" si="4"/>
        <v>1.0000000000000009E-2</v>
      </c>
    </row>
    <row r="39" spans="1:36" s="114" customFormat="1">
      <c r="A39" s="431" t="s">
        <v>604</v>
      </c>
      <c r="B39" s="46">
        <f t="shared" ref="B39:L39" si="5">B24-B13</f>
        <v>5.4999999999999993E-2</v>
      </c>
      <c r="C39" s="46">
        <f t="shared" si="5"/>
        <v>7.8999999999999959E-2</v>
      </c>
      <c r="D39" s="46">
        <f t="shared" si="5"/>
        <v>1.3000000000000012E-2</v>
      </c>
      <c r="E39" s="46">
        <f t="shared" si="5"/>
        <v>2.6000000000000023E-2</v>
      </c>
      <c r="F39" s="46">
        <f t="shared" si="5"/>
        <v>3.1000000000000028E-2</v>
      </c>
      <c r="G39" s="46">
        <f t="shared" si="5"/>
        <v>5.0000000000000044E-2</v>
      </c>
      <c r="H39" s="46">
        <f t="shared" si="5"/>
        <v>6.5000000000000002E-2</v>
      </c>
      <c r="I39" s="46">
        <f t="shared" si="5"/>
        <v>2.200000000000002E-2</v>
      </c>
      <c r="J39" s="46">
        <f t="shared" si="5"/>
        <v>2.9000000000000026E-2</v>
      </c>
      <c r="K39" s="46">
        <f t="shared" si="5"/>
        <v>4.2999999999999983E-2</v>
      </c>
      <c r="L39" s="46">
        <f t="shared" si="5"/>
        <v>6.7000000000000004E-2</v>
      </c>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row>
    <row r="40" spans="1:36" s="114" customFormat="1">
      <c r="A40" s="431" t="s">
        <v>447</v>
      </c>
      <c r="B40" s="231">
        <f>B31-B5</f>
        <v>7.3000000000000009E-2</v>
      </c>
      <c r="C40" s="231">
        <f t="shared" ref="C40:L40" si="6">C31-C5</f>
        <v>9.3000000000000027E-2</v>
      </c>
      <c r="D40" s="231">
        <f t="shared" si="6"/>
        <v>-3.0000000000000027E-3</v>
      </c>
      <c r="E40" s="231">
        <f t="shared" si="6"/>
        <v>3.8999999999999979E-2</v>
      </c>
      <c r="F40" s="231">
        <f t="shared" si="6"/>
        <v>2.5000000000000022E-2</v>
      </c>
      <c r="G40" s="231">
        <f t="shared" si="6"/>
        <v>6.7000000000000004E-2</v>
      </c>
      <c r="H40" s="231">
        <f t="shared" si="6"/>
        <v>8.7000000000000022E-2</v>
      </c>
      <c r="I40" s="231">
        <f t="shared" si="6"/>
        <v>4.5999999999999985E-2</v>
      </c>
      <c r="J40" s="231">
        <f t="shared" si="6"/>
        <v>3.4999999999999976E-2</v>
      </c>
      <c r="K40" s="231">
        <f t="shared" si="6"/>
        <v>7.1000000000000008E-2</v>
      </c>
      <c r="L40" s="231">
        <f t="shared" si="6"/>
        <v>6.6000000000000003E-2</v>
      </c>
    </row>
    <row r="41" spans="1:36" s="114" customFormat="1">
      <c r="A41" s="431" t="s">
        <v>449</v>
      </c>
      <c r="B41" s="46">
        <f>B31-B24</f>
        <v>-8.0000000000000071E-3</v>
      </c>
      <c r="C41" s="46">
        <f t="shared" ref="C41:L41" si="7">C31-C24</f>
        <v>-1.3999999999999901E-2</v>
      </c>
      <c r="D41" s="46">
        <f t="shared" si="7"/>
        <v>-4.6000000000000041E-2</v>
      </c>
      <c r="E41" s="46">
        <f t="shared" si="7"/>
        <v>-1.7000000000000015E-2</v>
      </c>
      <c r="F41" s="46">
        <f t="shared" si="7"/>
        <v>-2.0000000000000018E-3</v>
      </c>
      <c r="G41" s="46">
        <f t="shared" si="7"/>
        <v>-6.0000000000000053E-3</v>
      </c>
      <c r="H41" s="46">
        <f t="shared" si="7"/>
        <v>-8.0000000000000071E-3</v>
      </c>
      <c r="I41" s="46">
        <f t="shared" si="7"/>
        <v>4.0000000000000036E-3</v>
      </c>
      <c r="J41" s="46">
        <f t="shared" si="7"/>
        <v>-3.0000000000000027E-3</v>
      </c>
      <c r="K41" s="46">
        <f t="shared" si="7"/>
        <v>-8.0000000000000071E-3</v>
      </c>
      <c r="L41" s="46">
        <f t="shared" si="7"/>
        <v>-1.100000000000001E-2</v>
      </c>
    </row>
    <row r="42" spans="1:36">
      <c r="A42" s="4"/>
      <c r="B42" s="27"/>
    </row>
    <row r="43" spans="1:36" ht="30" customHeight="1">
      <c r="A43" s="1170" t="s">
        <v>700</v>
      </c>
      <c r="B43" s="1170"/>
      <c r="C43" s="1170"/>
      <c r="D43" s="1170"/>
      <c r="E43" s="1170"/>
      <c r="F43" s="1170"/>
      <c r="G43" s="1170"/>
      <c r="H43" s="1170"/>
      <c r="I43" s="1170"/>
      <c r="J43" s="1170"/>
      <c r="K43" s="1170"/>
      <c r="L43" s="1170"/>
    </row>
    <row r="44" spans="1:36" s="647" customFormat="1" ht="11.25" customHeight="1">
      <c r="A44" s="13" t="s">
        <v>388</v>
      </c>
      <c r="B44" s="13"/>
      <c r="C44" s="13"/>
      <c r="D44" s="13"/>
      <c r="E44" s="13"/>
      <c r="F44" s="13"/>
      <c r="G44" s="13"/>
      <c r="H44" s="13"/>
      <c r="I44" s="13"/>
      <c r="J44" s="13"/>
      <c r="K44" s="13"/>
      <c r="L44" s="13"/>
    </row>
    <row r="45" spans="1:36">
      <c r="A45" s="4" t="s">
        <v>1868</v>
      </c>
    </row>
    <row r="46" spans="1:36" ht="39.75" customHeight="1">
      <c r="A46" s="1168" t="s">
        <v>330</v>
      </c>
      <c r="B46" s="1169"/>
      <c r="C46" s="1169"/>
      <c r="D46" s="1169"/>
      <c r="E46" s="1169"/>
      <c r="F46" s="1169"/>
      <c r="G46" s="1169"/>
      <c r="H46" s="1169"/>
      <c r="I46" s="1169"/>
      <c r="J46" s="1169"/>
      <c r="K46" s="1169"/>
      <c r="L46" s="1169"/>
    </row>
    <row r="47" spans="1:36">
      <c r="A47" s="1" t="s">
        <v>934</v>
      </c>
      <c r="B47" s="4"/>
    </row>
    <row r="48" spans="1:36">
      <c r="A48" s="1"/>
      <c r="B48" s="4"/>
    </row>
    <row r="50" spans="3:6">
      <c r="F50" s="95"/>
    </row>
    <row r="51" spans="3:6">
      <c r="C51" s="230">
        <f>B5</f>
        <v>0.434</v>
      </c>
      <c r="F51" s="95"/>
    </row>
    <row r="52" spans="3:6">
      <c r="C52" s="230">
        <f>B13</f>
        <v>0.46</v>
      </c>
      <c r="F52" s="95"/>
    </row>
    <row r="53" spans="3:6">
      <c r="C53" s="230">
        <f>B24</f>
        <v>0.51500000000000001</v>
      </c>
      <c r="F53" s="95"/>
    </row>
    <row r="54" spans="3:6">
      <c r="C54" s="230">
        <f>B27</f>
        <v>0.50900000000000001</v>
      </c>
    </row>
  </sheetData>
  <mergeCells count="13">
    <mergeCell ref="A46:L46"/>
    <mergeCell ref="A43:L43"/>
    <mergeCell ref="B3:B4"/>
    <mergeCell ref="C3:C4"/>
    <mergeCell ref="D3:D4"/>
    <mergeCell ref="E3:E4"/>
    <mergeCell ref="J3:J4"/>
    <mergeCell ref="K3:K4"/>
    <mergeCell ref="L3:L4"/>
    <mergeCell ref="F3:F4"/>
    <mergeCell ref="G3:G4"/>
    <mergeCell ref="H3:H4"/>
    <mergeCell ref="I3:I4"/>
  </mergeCells>
  <phoneticPr fontId="35" type="noConversion"/>
  <pageMargins left="0.75" right="0.75" top="1" bottom="1" header="0.5" footer="0.5"/>
  <pageSetup scale="72" orientation="landscape" horizontalDpi="300" verticalDpi="300" r:id="rId1"/>
  <headerFooter alignWithMargins="0"/>
</worksheet>
</file>

<file path=xl/worksheets/sheet62.xml><?xml version="1.0" encoding="utf-8"?>
<worksheet xmlns="http://schemas.openxmlformats.org/spreadsheetml/2006/main" xmlns:r="http://schemas.openxmlformats.org/officeDocument/2006/relationships">
  <sheetPr codeName="Sheet30">
    <pageSetUpPr fitToPage="1"/>
  </sheetPr>
  <dimension ref="A1:AJ54"/>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9.140625" style="2" customWidth="1"/>
    <col min="2" max="2" width="9.7109375" style="1" bestFit="1" customWidth="1"/>
    <col min="3" max="11" width="9.28515625" style="1" bestFit="1" customWidth="1"/>
    <col min="12" max="12" width="9.28515625" style="1" customWidth="1"/>
    <col min="13" max="16384" width="9.140625" style="1"/>
  </cols>
  <sheetData>
    <row r="1" spans="1:25" ht="15.75">
      <c r="A1" s="4"/>
      <c r="B1" s="3" t="s">
        <v>2146</v>
      </c>
    </row>
    <row r="2" spans="1:25">
      <c r="A2" s="4"/>
      <c r="B2" s="4"/>
    </row>
    <row r="3" spans="1:25">
      <c r="B3" s="1166" t="s">
        <v>375</v>
      </c>
      <c r="C3" s="1164" t="s">
        <v>377</v>
      </c>
      <c r="D3" s="1164" t="s">
        <v>386</v>
      </c>
      <c r="E3" s="1164" t="s">
        <v>378</v>
      </c>
      <c r="F3" s="1164" t="s">
        <v>379</v>
      </c>
      <c r="G3" s="1164" t="s">
        <v>380</v>
      </c>
      <c r="H3" s="1164" t="s">
        <v>381</v>
      </c>
      <c r="I3" s="1164" t="s">
        <v>382</v>
      </c>
      <c r="J3" s="1164" t="s">
        <v>383</v>
      </c>
      <c r="K3" s="1164" t="s">
        <v>384</v>
      </c>
      <c r="L3" s="1164" t="s">
        <v>385</v>
      </c>
    </row>
    <row r="4" spans="1:25" s="4" customFormat="1">
      <c r="A4" s="7"/>
      <c r="B4" s="1167"/>
      <c r="C4" s="1165"/>
      <c r="D4" s="1165"/>
      <c r="E4" s="1165"/>
      <c r="F4" s="1165"/>
      <c r="G4" s="1165"/>
      <c r="H4" s="1165"/>
      <c r="I4" s="1165"/>
      <c r="J4" s="1165"/>
      <c r="K4" s="1165"/>
      <c r="L4" s="1165"/>
    </row>
    <row r="5" spans="1:25" s="972" customFormat="1">
      <c r="A5" s="983">
        <v>1981</v>
      </c>
      <c r="B5" s="418">
        <v>0.374</v>
      </c>
      <c r="C5" s="418">
        <v>0.35499999999999998</v>
      </c>
      <c r="D5" s="418">
        <v>0.36299999999999999</v>
      </c>
      <c r="E5" s="418">
        <v>0.36799999999999999</v>
      </c>
      <c r="F5" s="418">
        <v>0.379</v>
      </c>
      <c r="G5" s="418">
        <v>0.374</v>
      </c>
      <c r="H5" s="418">
        <v>0.36299999999999999</v>
      </c>
      <c r="I5" s="418">
        <v>0.38500000000000001</v>
      </c>
      <c r="J5" s="418">
        <v>0.40500000000000003</v>
      </c>
      <c r="K5" s="418">
        <v>0.371</v>
      </c>
      <c r="L5" s="418">
        <v>0.377</v>
      </c>
      <c r="N5" s="2">
        <v>1981</v>
      </c>
      <c r="O5" s="418">
        <v>0.374</v>
      </c>
      <c r="P5" s="418">
        <v>0.35499999999999998</v>
      </c>
      <c r="Q5" s="418">
        <v>0.36299999999999999</v>
      </c>
      <c r="R5" s="418">
        <v>0.36799999999999999</v>
      </c>
      <c r="S5" s="418">
        <v>0.379</v>
      </c>
      <c r="T5" s="418">
        <v>0.374</v>
      </c>
      <c r="U5" s="418">
        <v>0.36299999999999999</v>
      </c>
      <c r="V5" s="418">
        <v>0.38500000000000001</v>
      </c>
      <c r="W5" s="418">
        <v>0.40500000000000003</v>
      </c>
      <c r="X5" s="418">
        <v>0.371</v>
      </c>
      <c r="Y5" s="418">
        <v>0.377</v>
      </c>
    </row>
    <row r="6" spans="1:25" s="972" customFormat="1">
      <c r="A6" s="2">
        <v>1982</v>
      </c>
      <c r="B6" s="418">
        <v>0.38</v>
      </c>
      <c r="C6" s="418">
        <v>0.35399999999999998</v>
      </c>
      <c r="D6" s="418">
        <v>0.36099999999999999</v>
      </c>
      <c r="E6" s="418">
        <v>0.377</v>
      </c>
      <c r="F6" s="418">
        <v>0.38100000000000001</v>
      </c>
      <c r="G6" s="418">
        <v>0.378</v>
      </c>
      <c r="H6" s="418">
        <v>0.37</v>
      </c>
      <c r="I6" s="418">
        <v>0.38900000000000001</v>
      </c>
      <c r="J6" s="418">
        <v>0.39300000000000002</v>
      </c>
      <c r="K6" s="418">
        <v>0.38300000000000001</v>
      </c>
      <c r="L6" s="418">
        <v>0.38400000000000001</v>
      </c>
      <c r="N6" s="2">
        <v>1982</v>
      </c>
      <c r="O6" s="418">
        <v>0.38</v>
      </c>
      <c r="P6" s="418">
        <v>0.35399999999999998</v>
      </c>
      <c r="Q6" s="418">
        <v>0.36099999999999999</v>
      </c>
      <c r="R6" s="418">
        <v>0.377</v>
      </c>
      <c r="S6" s="418">
        <v>0.38100000000000001</v>
      </c>
      <c r="T6" s="418">
        <v>0.378</v>
      </c>
      <c r="U6" s="418">
        <v>0.37</v>
      </c>
      <c r="V6" s="418">
        <v>0.38900000000000001</v>
      </c>
      <c r="W6" s="418">
        <v>0.39300000000000002</v>
      </c>
      <c r="X6" s="418">
        <v>0.38300000000000001</v>
      </c>
      <c r="Y6" s="418">
        <v>0.38400000000000001</v>
      </c>
    </row>
    <row r="7" spans="1:25" s="972" customFormat="1">
      <c r="A7" s="2">
        <v>1983</v>
      </c>
      <c r="B7" s="418">
        <v>0.39100000000000001</v>
      </c>
      <c r="C7" s="418">
        <v>0.372</v>
      </c>
      <c r="D7" s="418">
        <v>0.38300000000000001</v>
      </c>
      <c r="E7" s="418">
        <v>0.38700000000000001</v>
      </c>
      <c r="F7" s="418">
        <v>0.40100000000000002</v>
      </c>
      <c r="G7" s="418">
        <v>0.38200000000000001</v>
      </c>
      <c r="H7" s="418">
        <v>0.39300000000000002</v>
      </c>
      <c r="I7" s="418">
        <v>0.38500000000000001</v>
      </c>
      <c r="J7" s="418">
        <v>0.40400000000000003</v>
      </c>
      <c r="K7" s="418">
        <v>0.39200000000000002</v>
      </c>
      <c r="L7" s="418">
        <v>0.38600000000000001</v>
      </c>
      <c r="N7" s="2">
        <v>1983</v>
      </c>
      <c r="O7" s="418">
        <v>0.39100000000000001</v>
      </c>
      <c r="P7" s="418">
        <v>0.372</v>
      </c>
      <c r="Q7" s="418">
        <v>0.38300000000000001</v>
      </c>
      <c r="R7" s="418">
        <v>0.38700000000000001</v>
      </c>
      <c r="S7" s="418">
        <v>0.40100000000000002</v>
      </c>
      <c r="T7" s="418">
        <v>0.38200000000000001</v>
      </c>
      <c r="U7" s="418">
        <v>0.39300000000000002</v>
      </c>
      <c r="V7" s="418">
        <v>0.38500000000000001</v>
      </c>
      <c r="W7" s="418">
        <v>0.40400000000000003</v>
      </c>
      <c r="X7" s="418">
        <v>0.39200000000000002</v>
      </c>
      <c r="Y7" s="418">
        <v>0.38600000000000001</v>
      </c>
    </row>
    <row r="8" spans="1:25" s="972" customFormat="1">
      <c r="A8" s="2">
        <v>1984</v>
      </c>
      <c r="B8" s="418">
        <v>0.38800000000000001</v>
      </c>
      <c r="C8" s="418">
        <v>0.36199999999999999</v>
      </c>
      <c r="D8" s="418">
        <v>0.373</v>
      </c>
      <c r="E8" s="418">
        <v>0.38100000000000001</v>
      </c>
      <c r="F8" s="418">
        <v>0.38100000000000001</v>
      </c>
      <c r="G8" s="418">
        <v>0.39300000000000002</v>
      </c>
      <c r="H8" s="418">
        <v>0.38100000000000001</v>
      </c>
      <c r="I8" s="418">
        <v>0.378</v>
      </c>
      <c r="J8" s="418">
        <v>0.39200000000000002</v>
      </c>
      <c r="K8" s="418">
        <v>0.38600000000000001</v>
      </c>
      <c r="L8" s="418">
        <v>0.39200000000000002</v>
      </c>
      <c r="N8" s="2">
        <v>1984</v>
      </c>
      <c r="O8" s="418">
        <v>0.38800000000000001</v>
      </c>
      <c r="P8" s="418">
        <v>0.36199999999999999</v>
      </c>
      <c r="Q8" s="418">
        <v>0.373</v>
      </c>
      <c r="R8" s="418">
        <v>0.38100000000000001</v>
      </c>
      <c r="S8" s="418">
        <v>0.38100000000000001</v>
      </c>
      <c r="T8" s="418">
        <v>0.39300000000000002</v>
      </c>
      <c r="U8" s="418">
        <v>0.38100000000000001</v>
      </c>
      <c r="V8" s="418">
        <v>0.378</v>
      </c>
      <c r="W8" s="418">
        <v>0.39200000000000002</v>
      </c>
      <c r="X8" s="418">
        <v>0.38600000000000001</v>
      </c>
      <c r="Y8" s="418">
        <v>0.39200000000000002</v>
      </c>
    </row>
    <row r="9" spans="1:25" s="972" customFormat="1">
      <c r="A9" s="2">
        <v>1985</v>
      </c>
      <c r="B9" s="418">
        <v>0.38700000000000001</v>
      </c>
      <c r="C9" s="418">
        <v>0.378</v>
      </c>
      <c r="D9" s="418">
        <v>0.36599999999999999</v>
      </c>
      <c r="E9" s="418">
        <v>0.39700000000000002</v>
      </c>
      <c r="F9" s="418">
        <v>0.371</v>
      </c>
      <c r="G9" s="418">
        <v>0.38</v>
      </c>
      <c r="H9" s="418">
        <v>0.38200000000000001</v>
      </c>
      <c r="I9" s="418">
        <v>0.378</v>
      </c>
      <c r="J9" s="418">
        <v>0.39900000000000002</v>
      </c>
      <c r="K9" s="418">
        <v>0.38</v>
      </c>
      <c r="L9" s="418">
        <v>0.40200000000000002</v>
      </c>
      <c r="N9" s="2">
        <v>1985</v>
      </c>
      <c r="O9" s="418">
        <v>0.38700000000000001</v>
      </c>
      <c r="P9" s="418">
        <v>0.378</v>
      </c>
      <c r="Q9" s="418">
        <v>0.36599999999999999</v>
      </c>
      <c r="R9" s="418">
        <v>0.39700000000000002</v>
      </c>
      <c r="S9" s="418">
        <v>0.371</v>
      </c>
      <c r="T9" s="418">
        <v>0.38</v>
      </c>
      <c r="U9" s="418">
        <v>0.38200000000000001</v>
      </c>
      <c r="V9" s="418">
        <v>0.378</v>
      </c>
      <c r="W9" s="418">
        <v>0.39900000000000002</v>
      </c>
      <c r="X9" s="418">
        <v>0.38</v>
      </c>
      <c r="Y9" s="418">
        <v>0.40200000000000002</v>
      </c>
    </row>
    <row r="10" spans="1:25" s="972" customFormat="1">
      <c r="A10" s="2">
        <v>1986</v>
      </c>
      <c r="B10" s="418">
        <v>0.38800000000000001</v>
      </c>
      <c r="C10" s="418">
        <v>0.36299999999999999</v>
      </c>
      <c r="D10" s="418">
        <v>0.36</v>
      </c>
      <c r="E10" s="418">
        <v>0.38700000000000001</v>
      </c>
      <c r="F10" s="418">
        <v>0.35799999999999998</v>
      </c>
      <c r="G10" s="418">
        <v>0.38700000000000001</v>
      </c>
      <c r="H10" s="418">
        <v>0.38200000000000001</v>
      </c>
      <c r="I10" s="418">
        <v>0.375</v>
      </c>
      <c r="J10" s="418">
        <v>0.40699999999999997</v>
      </c>
      <c r="K10" s="418">
        <v>0.38700000000000001</v>
      </c>
      <c r="L10" s="418">
        <v>0.38800000000000001</v>
      </c>
      <c r="N10" s="2">
        <v>1986</v>
      </c>
      <c r="O10" s="418">
        <v>0.38800000000000001</v>
      </c>
      <c r="P10" s="418">
        <v>0.36299999999999999</v>
      </c>
      <c r="Q10" s="418">
        <v>0.36</v>
      </c>
      <c r="R10" s="418">
        <v>0.38700000000000001</v>
      </c>
      <c r="S10" s="418">
        <v>0.35799999999999998</v>
      </c>
      <c r="T10" s="418">
        <v>0.38700000000000001</v>
      </c>
      <c r="U10" s="418">
        <v>0.38200000000000001</v>
      </c>
      <c r="V10" s="418">
        <v>0.375</v>
      </c>
      <c r="W10" s="418">
        <v>0.40699999999999997</v>
      </c>
      <c r="X10" s="418">
        <v>0.38700000000000001</v>
      </c>
      <c r="Y10" s="418">
        <v>0.38800000000000001</v>
      </c>
    </row>
    <row r="11" spans="1:25" s="972" customFormat="1">
      <c r="A11" s="2">
        <v>1987</v>
      </c>
      <c r="B11" s="418">
        <v>0.38800000000000001</v>
      </c>
      <c r="C11" s="418">
        <v>0.36599999999999999</v>
      </c>
      <c r="D11" s="418">
        <v>0.36699999999999999</v>
      </c>
      <c r="E11" s="418">
        <v>0.377</v>
      </c>
      <c r="F11" s="418">
        <v>0.374</v>
      </c>
      <c r="G11" s="418">
        <v>0.38700000000000001</v>
      </c>
      <c r="H11" s="418">
        <v>0.379</v>
      </c>
      <c r="I11" s="418">
        <v>0.38100000000000001</v>
      </c>
      <c r="J11" s="418">
        <v>0.38700000000000001</v>
      </c>
      <c r="K11" s="418">
        <v>0.39</v>
      </c>
      <c r="L11" s="418">
        <v>0.39500000000000002</v>
      </c>
      <c r="N11" s="2">
        <v>1987</v>
      </c>
      <c r="O11" s="418">
        <v>0.38800000000000001</v>
      </c>
      <c r="P11" s="418">
        <v>0.36599999999999999</v>
      </c>
      <c r="Q11" s="418">
        <v>0.36699999999999999</v>
      </c>
      <c r="R11" s="418">
        <v>0.377</v>
      </c>
      <c r="S11" s="418">
        <v>0.374</v>
      </c>
      <c r="T11" s="418">
        <v>0.38700000000000001</v>
      </c>
      <c r="U11" s="418">
        <v>0.379</v>
      </c>
      <c r="V11" s="418">
        <v>0.38100000000000001</v>
      </c>
      <c r="W11" s="418">
        <v>0.38700000000000001</v>
      </c>
      <c r="X11" s="418">
        <v>0.39</v>
      </c>
      <c r="Y11" s="418">
        <v>0.39500000000000002</v>
      </c>
    </row>
    <row r="12" spans="1:25" s="972" customFormat="1">
      <c r="A12" s="2">
        <v>1988</v>
      </c>
      <c r="B12" s="418">
        <v>0.38800000000000001</v>
      </c>
      <c r="C12" s="418">
        <v>0.34699999999999998</v>
      </c>
      <c r="D12" s="418">
        <v>0.35599999999999998</v>
      </c>
      <c r="E12" s="418">
        <v>0.378</v>
      </c>
      <c r="F12" s="418">
        <v>0.36299999999999999</v>
      </c>
      <c r="G12" s="418">
        <v>0.38900000000000001</v>
      </c>
      <c r="H12" s="418">
        <v>0.38300000000000001</v>
      </c>
      <c r="I12" s="418">
        <v>0.38900000000000001</v>
      </c>
      <c r="J12" s="418">
        <v>0.39200000000000002</v>
      </c>
      <c r="K12" s="418">
        <v>0.38400000000000001</v>
      </c>
      <c r="L12" s="418">
        <v>0.377</v>
      </c>
      <c r="N12" s="2">
        <v>1988</v>
      </c>
      <c r="O12" s="418">
        <v>0.38800000000000001</v>
      </c>
      <c r="P12" s="418">
        <v>0.34699999999999998</v>
      </c>
      <c r="Q12" s="418">
        <v>0.35599999999999998</v>
      </c>
      <c r="R12" s="418">
        <v>0.378</v>
      </c>
      <c r="S12" s="418">
        <v>0.36299999999999999</v>
      </c>
      <c r="T12" s="418">
        <v>0.38900000000000001</v>
      </c>
      <c r="U12" s="418">
        <v>0.38300000000000001</v>
      </c>
      <c r="V12" s="418">
        <v>0.38900000000000001</v>
      </c>
      <c r="W12" s="418">
        <v>0.39200000000000002</v>
      </c>
      <c r="X12" s="418">
        <v>0.38400000000000001</v>
      </c>
      <c r="Y12" s="418">
        <v>0.377</v>
      </c>
    </row>
    <row r="13" spans="1:25" s="972" customFormat="1">
      <c r="A13" s="2">
        <v>1989</v>
      </c>
      <c r="B13" s="418">
        <v>0.38500000000000001</v>
      </c>
      <c r="C13" s="418">
        <v>0.34899999999999998</v>
      </c>
      <c r="D13" s="418">
        <v>0.379</v>
      </c>
      <c r="E13" s="418">
        <v>0.38600000000000001</v>
      </c>
      <c r="F13" s="418">
        <v>0.36799999999999999</v>
      </c>
      <c r="G13" s="418">
        <v>0.38</v>
      </c>
      <c r="H13" s="418">
        <v>0.38400000000000001</v>
      </c>
      <c r="I13" s="418">
        <v>0.38300000000000001</v>
      </c>
      <c r="J13" s="418">
        <v>0.38800000000000001</v>
      </c>
      <c r="K13" s="418">
        <v>0.38400000000000001</v>
      </c>
      <c r="L13" s="418">
        <v>0.371</v>
      </c>
      <c r="N13" s="2">
        <v>1989</v>
      </c>
      <c r="O13" s="418">
        <v>0.38500000000000001</v>
      </c>
      <c r="P13" s="418">
        <v>0.34899999999999998</v>
      </c>
      <c r="Q13" s="418">
        <v>0.379</v>
      </c>
      <c r="R13" s="418">
        <v>0.38600000000000001</v>
      </c>
      <c r="S13" s="418">
        <v>0.36799999999999999</v>
      </c>
      <c r="T13" s="418">
        <v>0.38</v>
      </c>
      <c r="U13" s="418">
        <v>0.38400000000000001</v>
      </c>
      <c r="V13" s="418">
        <v>0.38300000000000001</v>
      </c>
      <c r="W13" s="418">
        <v>0.38800000000000001</v>
      </c>
      <c r="X13" s="418">
        <v>0.38400000000000001</v>
      </c>
      <c r="Y13" s="418">
        <v>0.371</v>
      </c>
    </row>
    <row r="14" spans="1:25" s="972" customFormat="1">
      <c r="A14" s="2">
        <v>1990</v>
      </c>
      <c r="B14" s="418">
        <v>0.39500000000000002</v>
      </c>
      <c r="C14" s="418">
        <v>0.36799999999999999</v>
      </c>
      <c r="D14" s="418">
        <v>0.36199999999999999</v>
      </c>
      <c r="E14" s="418">
        <v>0.375</v>
      </c>
      <c r="F14" s="418">
        <v>0.36899999999999999</v>
      </c>
      <c r="G14" s="418">
        <v>0.39500000000000002</v>
      </c>
      <c r="H14" s="418">
        <v>0.38900000000000001</v>
      </c>
      <c r="I14" s="418">
        <v>0.38100000000000001</v>
      </c>
      <c r="J14" s="418">
        <v>0.40400000000000003</v>
      </c>
      <c r="K14" s="418">
        <v>0.39200000000000002</v>
      </c>
      <c r="L14" s="418">
        <v>0.40200000000000002</v>
      </c>
      <c r="N14" s="2">
        <v>1990</v>
      </c>
      <c r="O14" s="418">
        <v>0.39500000000000002</v>
      </c>
      <c r="P14" s="418">
        <v>0.36799999999999999</v>
      </c>
      <c r="Q14" s="418">
        <v>0.36199999999999999</v>
      </c>
      <c r="R14" s="418">
        <v>0.375</v>
      </c>
      <c r="S14" s="418">
        <v>0.36899999999999999</v>
      </c>
      <c r="T14" s="418">
        <v>0.39500000000000002</v>
      </c>
      <c r="U14" s="418">
        <v>0.38900000000000001</v>
      </c>
      <c r="V14" s="418">
        <v>0.38100000000000001</v>
      </c>
      <c r="W14" s="418">
        <v>0.40400000000000003</v>
      </c>
      <c r="X14" s="418">
        <v>0.39200000000000002</v>
      </c>
      <c r="Y14" s="418">
        <v>0.40200000000000002</v>
      </c>
    </row>
    <row r="15" spans="1:25" s="972" customFormat="1">
      <c r="A15" s="2">
        <v>1991</v>
      </c>
      <c r="B15" s="418">
        <v>0.40300000000000002</v>
      </c>
      <c r="C15" s="418">
        <v>0.38600000000000001</v>
      </c>
      <c r="D15" s="418">
        <v>0.378</v>
      </c>
      <c r="E15" s="418">
        <v>0.374</v>
      </c>
      <c r="F15" s="418">
        <v>0.38</v>
      </c>
      <c r="G15" s="418">
        <v>0.40100000000000002</v>
      </c>
      <c r="H15" s="418">
        <v>0.40100000000000002</v>
      </c>
      <c r="I15" s="418">
        <v>0.38400000000000001</v>
      </c>
      <c r="J15" s="418">
        <v>0.39800000000000002</v>
      </c>
      <c r="K15" s="418">
        <v>0.40400000000000003</v>
      </c>
      <c r="L15" s="418">
        <v>0.40100000000000002</v>
      </c>
      <c r="N15" s="2">
        <v>1991</v>
      </c>
      <c r="O15" s="418">
        <v>0.40300000000000002</v>
      </c>
      <c r="P15" s="418">
        <v>0.38600000000000001</v>
      </c>
      <c r="Q15" s="418">
        <v>0.378</v>
      </c>
      <c r="R15" s="418">
        <v>0.374</v>
      </c>
      <c r="S15" s="418">
        <v>0.38</v>
      </c>
      <c r="T15" s="418">
        <v>0.40100000000000002</v>
      </c>
      <c r="U15" s="418">
        <v>0.40100000000000002</v>
      </c>
      <c r="V15" s="418">
        <v>0.38400000000000001</v>
      </c>
      <c r="W15" s="418">
        <v>0.39800000000000002</v>
      </c>
      <c r="X15" s="418">
        <v>0.40400000000000003</v>
      </c>
      <c r="Y15" s="418">
        <v>0.40100000000000002</v>
      </c>
    </row>
    <row r="16" spans="1:25" s="972" customFormat="1">
      <c r="A16" s="2">
        <v>1992</v>
      </c>
      <c r="B16" s="418">
        <v>0.40300000000000002</v>
      </c>
      <c r="C16" s="418">
        <v>0.38100000000000001</v>
      </c>
      <c r="D16" s="418">
        <v>0.35899999999999999</v>
      </c>
      <c r="E16" s="418">
        <v>0.39100000000000001</v>
      </c>
      <c r="F16" s="418">
        <v>0.38500000000000001</v>
      </c>
      <c r="G16" s="418">
        <v>0.39600000000000002</v>
      </c>
      <c r="H16" s="418">
        <v>0.39600000000000002</v>
      </c>
      <c r="I16" s="418">
        <v>0.40200000000000002</v>
      </c>
      <c r="J16" s="418">
        <v>0.41199999999999998</v>
      </c>
      <c r="K16" s="418">
        <v>0.41399999999999998</v>
      </c>
      <c r="L16" s="418">
        <v>0.41299999999999998</v>
      </c>
      <c r="N16" s="2">
        <v>1992</v>
      </c>
      <c r="O16" s="418">
        <v>0.40300000000000002</v>
      </c>
      <c r="P16" s="418">
        <v>0.38100000000000001</v>
      </c>
      <c r="Q16" s="418">
        <v>0.35899999999999999</v>
      </c>
      <c r="R16" s="418">
        <v>0.39100000000000001</v>
      </c>
      <c r="S16" s="418">
        <v>0.38500000000000001</v>
      </c>
      <c r="T16" s="418">
        <v>0.39600000000000002</v>
      </c>
      <c r="U16" s="418">
        <v>0.39600000000000002</v>
      </c>
      <c r="V16" s="418">
        <v>0.40200000000000002</v>
      </c>
      <c r="W16" s="418">
        <v>0.41199999999999998</v>
      </c>
      <c r="X16" s="418">
        <v>0.41399999999999998</v>
      </c>
      <c r="Y16" s="418">
        <v>0.41299999999999998</v>
      </c>
    </row>
    <row r="17" spans="1:25" s="972" customFormat="1">
      <c r="A17" s="2">
        <v>1993</v>
      </c>
      <c r="B17" s="418">
        <v>0.39800000000000002</v>
      </c>
      <c r="C17" s="418">
        <v>0.36599999999999999</v>
      </c>
      <c r="D17" s="418">
        <v>0.35199999999999998</v>
      </c>
      <c r="E17" s="418">
        <v>0.374</v>
      </c>
      <c r="F17" s="418">
        <v>0.373</v>
      </c>
      <c r="G17" s="418">
        <v>0.39200000000000002</v>
      </c>
      <c r="H17" s="418">
        <v>0.4</v>
      </c>
      <c r="I17" s="418">
        <v>0.38</v>
      </c>
      <c r="J17" s="418">
        <v>0.39500000000000002</v>
      </c>
      <c r="K17" s="418">
        <v>0.39300000000000002</v>
      </c>
      <c r="L17" s="418">
        <v>0.4</v>
      </c>
      <c r="N17" s="2">
        <v>1993</v>
      </c>
      <c r="O17" s="418">
        <v>0.39800000000000002</v>
      </c>
      <c r="P17" s="418">
        <v>0.36599999999999999</v>
      </c>
      <c r="Q17" s="418">
        <v>0.35199999999999998</v>
      </c>
      <c r="R17" s="418">
        <v>0.374</v>
      </c>
      <c r="S17" s="418">
        <v>0.373</v>
      </c>
      <c r="T17" s="418">
        <v>0.39200000000000002</v>
      </c>
      <c r="U17" s="418">
        <v>0.4</v>
      </c>
      <c r="V17" s="418">
        <v>0.38</v>
      </c>
      <c r="W17" s="418">
        <v>0.39500000000000002</v>
      </c>
      <c r="X17" s="418">
        <v>0.39300000000000002</v>
      </c>
      <c r="Y17" s="418">
        <v>0.4</v>
      </c>
    </row>
    <row r="18" spans="1:25" s="972" customFormat="1">
      <c r="A18" s="2">
        <v>1994</v>
      </c>
      <c r="B18" s="418">
        <v>0.40200000000000002</v>
      </c>
      <c r="C18" s="418">
        <v>0.374</v>
      </c>
      <c r="D18" s="418">
        <v>0.35</v>
      </c>
      <c r="E18" s="418">
        <v>0.39100000000000001</v>
      </c>
      <c r="F18" s="418">
        <v>0.374</v>
      </c>
      <c r="G18" s="418">
        <v>0.39900000000000002</v>
      </c>
      <c r="H18" s="418">
        <v>0.40400000000000003</v>
      </c>
      <c r="I18" s="418">
        <v>0.39400000000000002</v>
      </c>
      <c r="J18" s="418">
        <v>0.39</v>
      </c>
      <c r="K18" s="418">
        <v>0.39</v>
      </c>
      <c r="L18" s="418">
        <v>0.4</v>
      </c>
      <c r="N18" s="2">
        <v>1994</v>
      </c>
      <c r="O18" s="418">
        <v>0.40200000000000002</v>
      </c>
      <c r="P18" s="418">
        <v>0.374</v>
      </c>
      <c r="Q18" s="418">
        <v>0.35</v>
      </c>
      <c r="R18" s="418">
        <v>0.39100000000000001</v>
      </c>
      <c r="S18" s="418">
        <v>0.374</v>
      </c>
      <c r="T18" s="418">
        <v>0.39900000000000002</v>
      </c>
      <c r="U18" s="418">
        <v>0.40400000000000003</v>
      </c>
      <c r="V18" s="418">
        <v>0.39400000000000002</v>
      </c>
      <c r="W18" s="418">
        <v>0.39</v>
      </c>
      <c r="X18" s="418">
        <v>0.39</v>
      </c>
      <c r="Y18" s="418">
        <v>0.4</v>
      </c>
    </row>
    <row r="19" spans="1:25" s="972" customFormat="1">
      <c r="A19" s="2">
        <v>1995</v>
      </c>
      <c r="B19" s="418">
        <v>0.40300000000000002</v>
      </c>
      <c r="C19" s="418">
        <v>0.37</v>
      </c>
      <c r="D19" s="418">
        <v>0.35499999999999998</v>
      </c>
      <c r="E19" s="418">
        <v>0.38400000000000001</v>
      </c>
      <c r="F19" s="418">
        <v>0.377</v>
      </c>
      <c r="G19" s="418">
        <v>0.40100000000000002</v>
      </c>
      <c r="H19" s="418">
        <v>0.40400000000000003</v>
      </c>
      <c r="I19" s="418">
        <v>0.38400000000000001</v>
      </c>
      <c r="J19" s="418">
        <v>0.40400000000000003</v>
      </c>
      <c r="K19" s="418">
        <v>0.39400000000000002</v>
      </c>
      <c r="L19" s="418">
        <v>0.39700000000000002</v>
      </c>
      <c r="N19" s="2">
        <v>1995</v>
      </c>
      <c r="O19" s="418">
        <v>0.40300000000000002</v>
      </c>
      <c r="P19" s="418">
        <v>0.37</v>
      </c>
      <c r="Q19" s="418">
        <v>0.35499999999999998</v>
      </c>
      <c r="R19" s="418">
        <v>0.38400000000000001</v>
      </c>
      <c r="S19" s="418">
        <v>0.377</v>
      </c>
      <c r="T19" s="418">
        <v>0.40100000000000002</v>
      </c>
      <c r="U19" s="418">
        <v>0.40400000000000003</v>
      </c>
      <c r="V19" s="418">
        <v>0.38400000000000001</v>
      </c>
      <c r="W19" s="418">
        <v>0.40400000000000003</v>
      </c>
      <c r="X19" s="418">
        <v>0.39400000000000002</v>
      </c>
      <c r="Y19" s="418">
        <v>0.39700000000000002</v>
      </c>
    </row>
    <row r="20" spans="1:25" s="972" customFormat="1">
      <c r="A20" s="2">
        <v>1996</v>
      </c>
      <c r="B20" s="418">
        <v>0.41399999999999998</v>
      </c>
      <c r="C20" s="418">
        <v>0.375</v>
      </c>
      <c r="D20" s="418">
        <v>0.35399999999999998</v>
      </c>
      <c r="E20" s="418">
        <v>0.38100000000000001</v>
      </c>
      <c r="F20" s="418">
        <v>0.38500000000000001</v>
      </c>
      <c r="G20" s="418">
        <v>0.41</v>
      </c>
      <c r="H20" s="418">
        <v>0.41799999999999998</v>
      </c>
      <c r="I20" s="418">
        <v>0.38400000000000001</v>
      </c>
      <c r="J20" s="418">
        <v>0.39600000000000002</v>
      </c>
      <c r="K20" s="418">
        <v>0.40200000000000002</v>
      </c>
      <c r="L20" s="418">
        <v>0.41499999999999998</v>
      </c>
      <c r="N20" s="2">
        <v>1996</v>
      </c>
      <c r="O20" s="418">
        <v>0.41399999999999998</v>
      </c>
      <c r="P20" s="418">
        <v>0.375</v>
      </c>
      <c r="Q20" s="418">
        <v>0.35399999999999998</v>
      </c>
      <c r="R20" s="418">
        <v>0.38100000000000001</v>
      </c>
      <c r="S20" s="418">
        <v>0.38500000000000001</v>
      </c>
      <c r="T20" s="418">
        <v>0.41</v>
      </c>
      <c r="U20" s="418">
        <v>0.41799999999999998</v>
      </c>
      <c r="V20" s="418">
        <v>0.38400000000000001</v>
      </c>
      <c r="W20" s="418">
        <v>0.39600000000000002</v>
      </c>
      <c r="X20" s="418">
        <v>0.40200000000000002</v>
      </c>
      <c r="Y20" s="418">
        <v>0.41499999999999998</v>
      </c>
    </row>
    <row r="21" spans="1:25" s="972" customFormat="1">
      <c r="A21" s="2">
        <v>1997</v>
      </c>
      <c r="B21" s="418">
        <v>0.41799999999999998</v>
      </c>
      <c r="C21" s="418">
        <v>0.37</v>
      </c>
      <c r="D21" s="418">
        <v>0.35599999999999998</v>
      </c>
      <c r="E21" s="418">
        <v>0.39500000000000002</v>
      </c>
      <c r="F21" s="418">
        <v>0.38800000000000001</v>
      </c>
      <c r="G21" s="418">
        <v>0.41199999999999998</v>
      </c>
      <c r="H21" s="418">
        <v>0.41899999999999998</v>
      </c>
      <c r="I21" s="418">
        <v>0.39100000000000001</v>
      </c>
      <c r="J21" s="418">
        <v>0.39100000000000001</v>
      </c>
      <c r="K21" s="418">
        <v>0.42</v>
      </c>
      <c r="L21" s="418">
        <v>0.41899999999999998</v>
      </c>
      <c r="N21" s="2">
        <v>1997</v>
      </c>
      <c r="O21" s="418">
        <v>0.41799999999999998</v>
      </c>
      <c r="P21" s="418">
        <v>0.37</v>
      </c>
      <c r="Q21" s="418">
        <v>0.35599999999999998</v>
      </c>
      <c r="R21" s="418">
        <v>0.39500000000000002</v>
      </c>
      <c r="S21" s="418">
        <v>0.38800000000000001</v>
      </c>
      <c r="T21" s="418">
        <v>0.41199999999999998</v>
      </c>
      <c r="U21" s="418">
        <v>0.41899999999999998</v>
      </c>
      <c r="V21" s="418">
        <v>0.39100000000000001</v>
      </c>
      <c r="W21" s="418">
        <v>0.39100000000000001</v>
      </c>
      <c r="X21" s="418">
        <v>0.42</v>
      </c>
      <c r="Y21" s="418">
        <v>0.41899999999999998</v>
      </c>
    </row>
    <row r="22" spans="1:25" s="972" customFormat="1">
      <c r="A22" s="2">
        <v>1998</v>
      </c>
      <c r="B22" s="418">
        <v>0.42699999999999999</v>
      </c>
      <c r="C22" s="418">
        <v>0.39900000000000002</v>
      </c>
      <c r="D22" s="418">
        <v>0.38700000000000001</v>
      </c>
      <c r="E22" s="418">
        <v>0.40899999999999997</v>
      </c>
      <c r="F22" s="418">
        <v>0.4</v>
      </c>
      <c r="G22" s="418">
        <v>0.42099999999999999</v>
      </c>
      <c r="H22" s="418">
        <v>0.42699999999999999</v>
      </c>
      <c r="I22" s="418">
        <v>0.40699999999999997</v>
      </c>
      <c r="J22" s="418">
        <v>0.41</v>
      </c>
      <c r="K22" s="418">
        <v>0.436</v>
      </c>
      <c r="L22" s="418">
        <v>0.42499999999999999</v>
      </c>
      <c r="N22" s="2">
        <v>1998</v>
      </c>
      <c r="O22" s="418">
        <v>0.42699999999999999</v>
      </c>
      <c r="P22" s="418">
        <v>0.39900000000000002</v>
      </c>
      <c r="Q22" s="418">
        <v>0.38700000000000001</v>
      </c>
      <c r="R22" s="418">
        <v>0.40899999999999997</v>
      </c>
      <c r="S22" s="418">
        <v>0.4</v>
      </c>
      <c r="T22" s="418">
        <v>0.42099999999999999</v>
      </c>
      <c r="U22" s="418">
        <v>0.42699999999999999</v>
      </c>
      <c r="V22" s="418">
        <v>0.40699999999999997</v>
      </c>
      <c r="W22" s="418">
        <v>0.41</v>
      </c>
      <c r="X22" s="418">
        <v>0.436</v>
      </c>
      <c r="Y22" s="418">
        <v>0.42499999999999999</v>
      </c>
    </row>
    <row r="23" spans="1:25" s="972" customFormat="1">
      <c r="A23" s="2">
        <v>1999</v>
      </c>
      <c r="B23" s="418">
        <v>0.42599999999999999</v>
      </c>
      <c r="C23" s="418">
        <v>0.40699999999999997</v>
      </c>
      <c r="D23" s="418">
        <v>0.4</v>
      </c>
      <c r="E23" s="418">
        <v>0.40899999999999997</v>
      </c>
      <c r="F23" s="418">
        <v>0.39100000000000001</v>
      </c>
      <c r="G23" s="418">
        <v>0.41199999999999998</v>
      </c>
      <c r="H23" s="418">
        <v>0.433</v>
      </c>
      <c r="I23" s="418">
        <v>0.39500000000000002</v>
      </c>
      <c r="J23" s="418">
        <v>0.39900000000000002</v>
      </c>
      <c r="K23" s="418">
        <v>0.41699999999999998</v>
      </c>
      <c r="L23" s="418">
        <v>0.42899999999999999</v>
      </c>
      <c r="N23" s="2">
        <v>1999</v>
      </c>
      <c r="O23" s="418">
        <v>0.42599999999999999</v>
      </c>
      <c r="P23" s="418">
        <v>0.40699999999999997</v>
      </c>
      <c r="Q23" s="418">
        <v>0.4</v>
      </c>
      <c r="R23" s="418">
        <v>0.40899999999999997</v>
      </c>
      <c r="S23" s="418">
        <v>0.39100000000000001</v>
      </c>
      <c r="T23" s="418">
        <v>0.41199999999999998</v>
      </c>
      <c r="U23" s="418">
        <v>0.433</v>
      </c>
      <c r="V23" s="418">
        <v>0.39500000000000002</v>
      </c>
      <c r="W23" s="418">
        <v>0.39900000000000002</v>
      </c>
      <c r="X23" s="418">
        <v>0.41699999999999998</v>
      </c>
      <c r="Y23" s="418">
        <v>0.42899999999999999</v>
      </c>
    </row>
    <row r="24" spans="1:25" s="972" customFormat="1">
      <c r="A24" s="2">
        <v>2000</v>
      </c>
      <c r="B24" s="418">
        <v>0.43099999999999999</v>
      </c>
      <c r="C24" s="418">
        <v>0.41</v>
      </c>
      <c r="D24" s="418">
        <v>0.40100000000000002</v>
      </c>
      <c r="E24" s="418">
        <v>0.41</v>
      </c>
      <c r="F24" s="418">
        <v>0.40300000000000002</v>
      </c>
      <c r="G24" s="418">
        <v>0.42199999999999999</v>
      </c>
      <c r="H24" s="418">
        <v>0.438</v>
      </c>
      <c r="I24" s="418">
        <v>0.40100000000000002</v>
      </c>
      <c r="J24" s="418">
        <v>0.40699999999999997</v>
      </c>
      <c r="K24" s="418">
        <v>0.42099999999999999</v>
      </c>
      <c r="L24" s="418">
        <v>0.42599999999999999</v>
      </c>
      <c r="N24" s="2">
        <v>2000</v>
      </c>
      <c r="O24" s="418">
        <v>0.43099999999999999</v>
      </c>
      <c r="P24" s="418">
        <v>0.41</v>
      </c>
      <c r="Q24" s="418">
        <v>0.40100000000000002</v>
      </c>
      <c r="R24" s="418">
        <v>0.41</v>
      </c>
      <c r="S24" s="418">
        <v>0.40300000000000002</v>
      </c>
      <c r="T24" s="418">
        <v>0.42199999999999999</v>
      </c>
      <c r="U24" s="418">
        <v>0.438</v>
      </c>
      <c r="V24" s="418">
        <v>0.40100000000000002</v>
      </c>
      <c r="W24" s="418">
        <v>0.40699999999999997</v>
      </c>
      <c r="X24" s="418">
        <v>0.42099999999999999</v>
      </c>
      <c r="Y24" s="418">
        <v>0.42599999999999999</v>
      </c>
    </row>
    <row r="25" spans="1:25" s="972" customFormat="1">
      <c r="A25" s="2">
        <v>2001</v>
      </c>
      <c r="B25" s="418">
        <v>0.42899999999999999</v>
      </c>
      <c r="C25" s="418">
        <v>0.39900000000000002</v>
      </c>
      <c r="D25" s="418">
        <v>0.39300000000000002</v>
      </c>
      <c r="E25" s="418">
        <v>0.41399999999999998</v>
      </c>
      <c r="F25" s="418">
        <v>0.40699999999999997</v>
      </c>
      <c r="G25" s="418">
        <v>0.42099999999999999</v>
      </c>
      <c r="H25" s="418">
        <v>0.432</v>
      </c>
      <c r="I25" s="418">
        <v>0.39400000000000002</v>
      </c>
      <c r="J25" s="418">
        <v>0.40200000000000002</v>
      </c>
      <c r="K25" s="418">
        <v>0.41599999999999998</v>
      </c>
      <c r="L25" s="418">
        <v>0.433</v>
      </c>
      <c r="N25" s="2">
        <v>2001</v>
      </c>
      <c r="O25" s="418">
        <v>0.42899999999999999</v>
      </c>
      <c r="P25" s="418">
        <v>0.39900000000000002</v>
      </c>
      <c r="Q25" s="418">
        <v>0.39300000000000002</v>
      </c>
      <c r="R25" s="418">
        <v>0.41399999999999998</v>
      </c>
      <c r="S25" s="418">
        <v>0.40699999999999997</v>
      </c>
      <c r="T25" s="418">
        <v>0.42099999999999999</v>
      </c>
      <c r="U25" s="418">
        <v>0.432</v>
      </c>
      <c r="V25" s="418">
        <v>0.39400000000000002</v>
      </c>
      <c r="W25" s="418">
        <v>0.40200000000000002</v>
      </c>
      <c r="X25" s="418">
        <v>0.41599999999999998</v>
      </c>
      <c r="Y25" s="418">
        <v>0.433</v>
      </c>
    </row>
    <row r="26" spans="1:25" s="972" customFormat="1">
      <c r="A26" s="2">
        <v>2002</v>
      </c>
      <c r="B26" s="418">
        <v>0.42799999999999999</v>
      </c>
      <c r="C26" s="418">
        <v>0.40300000000000002</v>
      </c>
      <c r="D26" s="418">
        <v>0.39200000000000002</v>
      </c>
      <c r="E26" s="418">
        <v>0.41399999999999998</v>
      </c>
      <c r="F26" s="418">
        <v>0.40600000000000003</v>
      </c>
      <c r="G26" s="418">
        <v>0.41799999999999998</v>
      </c>
      <c r="H26" s="418">
        <v>0.43099999999999999</v>
      </c>
      <c r="I26" s="418">
        <v>0.39900000000000002</v>
      </c>
      <c r="J26" s="418">
        <v>0.40100000000000002</v>
      </c>
      <c r="K26" s="418">
        <v>0.40799999999999997</v>
      </c>
      <c r="L26" s="418">
        <v>0.44</v>
      </c>
      <c r="N26" s="2">
        <v>2002</v>
      </c>
      <c r="O26" s="418">
        <v>0.42799999999999999</v>
      </c>
      <c r="P26" s="418">
        <v>0.40300000000000002</v>
      </c>
      <c r="Q26" s="418">
        <v>0.39200000000000002</v>
      </c>
      <c r="R26" s="418">
        <v>0.41399999999999998</v>
      </c>
      <c r="S26" s="418">
        <v>0.40600000000000003</v>
      </c>
      <c r="T26" s="418">
        <v>0.41799999999999998</v>
      </c>
      <c r="U26" s="418">
        <v>0.43099999999999999</v>
      </c>
      <c r="V26" s="418">
        <v>0.39900000000000002</v>
      </c>
      <c r="W26" s="418">
        <v>0.40100000000000002</v>
      </c>
      <c r="X26" s="418">
        <v>0.40799999999999997</v>
      </c>
      <c r="Y26" s="418">
        <v>0.44</v>
      </c>
    </row>
    <row r="27" spans="1:25" s="972" customFormat="1">
      <c r="A27" s="2">
        <v>2003</v>
      </c>
      <c r="B27" s="418">
        <v>0.42599999999999999</v>
      </c>
      <c r="C27" s="418">
        <v>0.40300000000000002</v>
      </c>
      <c r="D27" s="418">
        <v>0.38</v>
      </c>
      <c r="E27" s="418">
        <v>0.40500000000000003</v>
      </c>
      <c r="F27" s="418">
        <v>0.40699999999999997</v>
      </c>
      <c r="G27" s="418">
        <v>0.41299999999999998</v>
      </c>
      <c r="H27" s="418">
        <v>0.42899999999999999</v>
      </c>
      <c r="I27" s="418">
        <v>0.39300000000000002</v>
      </c>
      <c r="J27" s="418">
        <v>0.40699999999999997</v>
      </c>
      <c r="K27" s="418">
        <v>0.42699999999999999</v>
      </c>
      <c r="L27" s="418">
        <v>0.42599999999999999</v>
      </c>
      <c r="N27" s="2">
        <v>2003</v>
      </c>
      <c r="O27" s="418">
        <v>0.42599999999999999</v>
      </c>
      <c r="P27" s="418">
        <v>0.40300000000000002</v>
      </c>
      <c r="Q27" s="418">
        <v>0.38</v>
      </c>
      <c r="R27" s="418">
        <v>0.40500000000000003</v>
      </c>
      <c r="S27" s="418">
        <v>0.40699999999999997</v>
      </c>
      <c r="T27" s="418">
        <v>0.41299999999999998</v>
      </c>
      <c r="U27" s="418">
        <v>0.42899999999999999</v>
      </c>
      <c r="V27" s="418">
        <v>0.39300000000000002</v>
      </c>
      <c r="W27" s="418">
        <v>0.40699999999999997</v>
      </c>
      <c r="X27" s="418">
        <v>0.42699999999999999</v>
      </c>
      <c r="Y27" s="418">
        <v>0.42599999999999999</v>
      </c>
    </row>
    <row r="28" spans="1:25" s="972" customFormat="1">
      <c r="A28" s="2">
        <v>2004</v>
      </c>
      <c r="B28" s="418">
        <v>0.43099999999999999</v>
      </c>
      <c r="C28" s="418">
        <v>0.40500000000000003</v>
      </c>
      <c r="D28" s="418">
        <v>0.372</v>
      </c>
      <c r="E28" s="418">
        <v>0.40600000000000003</v>
      </c>
      <c r="F28" s="418">
        <v>0.40600000000000003</v>
      </c>
      <c r="G28" s="418">
        <v>0.41699999999999998</v>
      </c>
      <c r="H28" s="418">
        <v>0.439</v>
      </c>
      <c r="I28" s="418">
        <v>0.40400000000000003</v>
      </c>
      <c r="J28" s="418">
        <v>0.41399999999999998</v>
      </c>
      <c r="K28" s="418">
        <v>0.42199999999999999</v>
      </c>
      <c r="L28" s="418">
        <v>0.42499999999999999</v>
      </c>
      <c r="N28" s="2">
        <v>2004</v>
      </c>
      <c r="O28" s="418">
        <v>0.43099999999999999</v>
      </c>
      <c r="P28" s="418">
        <v>0.40500000000000003</v>
      </c>
      <c r="Q28" s="418">
        <v>0.372</v>
      </c>
      <c r="R28" s="418">
        <v>0.40600000000000003</v>
      </c>
      <c r="S28" s="418">
        <v>0.40600000000000003</v>
      </c>
      <c r="T28" s="418">
        <v>0.41699999999999998</v>
      </c>
      <c r="U28" s="418">
        <v>0.439</v>
      </c>
      <c r="V28" s="418">
        <v>0.40400000000000003</v>
      </c>
      <c r="W28" s="418">
        <v>0.41399999999999998</v>
      </c>
      <c r="X28" s="418">
        <v>0.42199999999999999</v>
      </c>
      <c r="Y28" s="418">
        <v>0.42499999999999999</v>
      </c>
    </row>
    <row r="29" spans="1:25" s="972" customFormat="1">
      <c r="A29" s="2">
        <v>2005</v>
      </c>
      <c r="B29" s="418">
        <v>0.42899999999999999</v>
      </c>
      <c r="C29" s="418">
        <v>0.40799999999999997</v>
      </c>
      <c r="D29" s="418">
        <v>0.36599999999999999</v>
      </c>
      <c r="E29" s="418">
        <v>0.40799999999999997</v>
      </c>
      <c r="F29" s="418">
        <v>0.40200000000000002</v>
      </c>
      <c r="G29" s="418">
        <v>0.42</v>
      </c>
      <c r="H29" s="418">
        <v>0.43099999999999999</v>
      </c>
      <c r="I29" s="418">
        <v>0.40899999999999997</v>
      </c>
      <c r="J29" s="418">
        <v>0.42899999999999999</v>
      </c>
      <c r="K29" s="418">
        <v>0.41499999999999998</v>
      </c>
      <c r="L29" s="418">
        <v>0.432</v>
      </c>
      <c r="N29" s="2">
        <v>2005</v>
      </c>
      <c r="O29" s="418">
        <v>0.42899999999999999</v>
      </c>
      <c r="P29" s="418">
        <v>0.40799999999999997</v>
      </c>
      <c r="Q29" s="418">
        <v>0.36599999999999999</v>
      </c>
      <c r="R29" s="418">
        <v>0.40799999999999997</v>
      </c>
      <c r="S29" s="418">
        <v>0.40200000000000002</v>
      </c>
      <c r="T29" s="418">
        <v>0.42</v>
      </c>
      <c r="U29" s="418">
        <v>0.43099999999999999</v>
      </c>
      <c r="V29" s="418">
        <v>0.40899999999999997</v>
      </c>
      <c r="W29" s="418">
        <v>0.42899999999999999</v>
      </c>
      <c r="X29" s="418">
        <v>0.41499999999999998</v>
      </c>
      <c r="Y29" s="418">
        <v>0.432</v>
      </c>
    </row>
    <row r="30" spans="1:25" s="972" customFormat="1">
      <c r="A30" s="2">
        <v>2006</v>
      </c>
      <c r="B30" s="418">
        <v>0.42799999999999999</v>
      </c>
      <c r="C30" s="418">
        <v>0.40699999999999997</v>
      </c>
      <c r="D30" s="418">
        <v>0.374</v>
      </c>
      <c r="E30" s="418">
        <v>0.40899999999999997</v>
      </c>
      <c r="F30" s="418">
        <v>0.40100000000000002</v>
      </c>
      <c r="G30" s="418">
        <v>0.41599999999999998</v>
      </c>
      <c r="H30" s="418">
        <v>0.42699999999999999</v>
      </c>
      <c r="I30" s="418">
        <v>0.41199999999999998</v>
      </c>
      <c r="J30" s="418">
        <v>0.42899999999999999</v>
      </c>
      <c r="K30" s="418">
        <v>0.42199999999999999</v>
      </c>
      <c r="L30" s="418">
        <v>0.433</v>
      </c>
      <c r="N30" s="2">
        <v>2006</v>
      </c>
      <c r="O30" s="418">
        <v>0.42799999999999999</v>
      </c>
      <c r="P30" s="418">
        <v>0.40699999999999997</v>
      </c>
      <c r="Q30" s="418">
        <v>0.374</v>
      </c>
      <c r="R30" s="418">
        <v>0.40899999999999997</v>
      </c>
      <c r="S30" s="418">
        <v>0.40100000000000002</v>
      </c>
      <c r="T30" s="418">
        <v>0.41599999999999998</v>
      </c>
      <c r="U30" s="418">
        <v>0.42699999999999999</v>
      </c>
      <c r="V30" s="418">
        <v>0.41199999999999998</v>
      </c>
      <c r="W30" s="418">
        <v>0.42899999999999999</v>
      </c>
      <c r="X30" s="418">
        <v>0.42199999999999999</v>
      </c>
      <c r="Y30" s="418">
        <v>0.433</v>
      </c>
    </row>
    <row r="31" spans="1:25" s="972" customFormat="1">
      <c r="A31" s="2">
        <v>2007</v>
      </c>
      <c r="B31" s="418">
        <v>0.42899999999999999</v>
      </c>
      <c r="C31" s="418">
        <v>0.41199999999999998</v>
      </c>
      <c r="D31" s="418">
        <v>0.36099999999999999</v>
      </c>
      <c r="E31" s="418">
        <v>0.40799999999999997</v>
      </c>
      <c r="F31" s="418">
        <v>0.40200000000000002</v>
      </c>
      <c r="G31" s="418">
        <v>0.41599999999999998</v>
      </c>
      <c r="H31" s="418">
        <v>0.43</v>
      </c>
      <c r="I31" s="418">
        <v>0.41799999999999998</v>
      </c>
      <c r="J31" s="418">
        <v>0.42199999999999999</v>
      </c>
      <c r="K31" s="418">
        <v>0.42599999999999999</v>
      </c>
      <c r="L31" s="418">
        <v>0.43</v>
      </c>
      <c r="N31" s="2">
        <v>2007</v>
      </c>
      <c r="O31" s="418">
        <v>0.42899999999999999</v>
      </c>
      <c r="P31" s="418">
        <v>0.41199999999999998</v>
      </c>
      <c r="Q31" s="418">
        <v>0.36099999999999999</v>
      </c>
      <c r="R31" s="418">
        <v>0.40799999999999997</v>
      </c>
      <c r="S31" s="418">
        <v>0.40200000000000002</v>
      </c>
      <c r="T31" s="418">
        <v>0.41599999999999998</v>
      </c>
      <c r="U31" s="418">
        <v>0.43</v>
      </c>
      <c r="V31" s="418">
        <v>0.41799999999999998</v>
      </c>
      <c r="W31" s="418">
        <v>0.42199999999999999</v>
      </c>
      <c r="X31" s="418">
        <v>0.42599999999999999</v>
      </c>
      <c r="Y31" s="418">
        <v>0.43</v>
      </c>
    </row>
    <row r="32" spans="1:25" s="114" customFormat="1">
      <c r="A32" s="738"/>
      <c r="B32" s="10"/>
      <c r="C32" s="967"/>
      <c r="D32" s="967" t="s">
        <v>802</v>
      </c>
      <c r="E32" s="967"/>
      <c r="F32" s="967"/>
      <c r="H32" s="967"/>
      <c r="I32" s="967"/>
      <c r="J32" s="967"/>
      <c r="K32" s="967"/>
      <c r="L32" s="967"/>
    </row>
    <row r="33" spans="1:36" s="114" customFormat="1">
      <c r="A33" s="431" t="s">
        <v>603</v>
      </c>
      <c r="B33" s="967">
        <f>((((B13/B5))^(1/8))-1)*100</f>
        <v>0.36300147115995163</v>
      </c>
      <c r="C33" s="967">
        <f t="shared" ref="C33:L33" si="0">((((C13/C5))^(1/8))-1)*100</f>
        <v>-0.21284650080984902</v>
      </c>
      <c r="D33" s="967">
        <f t="shared" si="0"/>
        <v>0.54062325701869085</v>
      </c>
      <c r="E33" s="967">
        <f t="shared" si="0"/>
        <v>0.5987155709843206</v>
      </c>
      <c r="F33" s="967">
        <f t="shared" si="0"/>
        <v>-0.36748893696214591</v>
      </c>
      <c r="G33" s="967">
        <f t="shared" si="0"/>
        <v>0.19914121458677325</v>
      </c>
      <c r="H33" s="967">
        <f t="shared" si="0"/>
        <v>0.70547329986965224</v>
      </c>
      <c r="I33" s="967">
        <f t="shared" si="0"/>
        <v>-6.5083125579235013E-2</v>
      </c>
      <c r="J33" s="967">
        <f t="shared" si="0"/>
        <v>-0.5345875611822537</v>
      </c>
      <c r="K33" s="967">
        <f t="shared" si="0"/>
        <v>0.43143413360464677</v>
      </c>
      <c r="L33" s="967">
        <f t="shared" si="0"/>
        <v>-0.20033811528025192</v>
      </c>
    </row>
    <row r="34" spans="1:36" s="114" customFormat="1">
      <c r="A34" s="431" t="s">
        <v>604</v>
      </c>
      <c r="B34" s="967">
        <f>((((B24/B13))^(1/11))-1)*100</f>
        <v>1.0313251075978025</v>
      </c>
      <c r="C34" s="967">
        <f t="shared" ref="C34:L34" si="1">((((C24/C13))^(1/11))-1)*100</f>
        <v>1.4751862841970276</v>
      </c>
      <c r="D34" s="967">
        <f t="shared" si="1"/>
        <v>0.51427444027656311</v>
      </c>
      <c r="E34" s="967">
        <f t="shared" si="1"/>
        <v>0.5498679843102261</v>
      </c>
      <c r="F34" s="967">
        <f t="shared" si="1"/>
        <v>0.82936234567514422</v>
      </c>
      <c r="G34" s="967">
        <f t="shared" si="1"/>
        <v>0.95759277941753762</v>
      </c>
      <c r="H34" s="967">
        <f t="shared" si="1"/>
        <v>1.2033311749150233</v>
      </c>
      <c r="I34" s="967">
        <f t="shared" si="1"/>
        <v>0.41838587396840765</v>
      </c>
      <c r="J34" s="967">
        <f t="shared" si="1"/>
        <v>0.43556260865036389</v>
      </c>
      <c r="K34" s="967">
        <f t="shared" si="1"/>
        <v>0.83978183240784876</v>
      </c>
      <c r="L34" s="967">
        <f t="shared" si="1"/>
        <v>1.26463226832354</v>
      </c>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row>
    <row r="35" spans="1:36" s="114" customFormat="1">
      <c r="A35" s="431" t="s">
        <v>447</v>
      </c>
      <c r="B35" s="23">
        <f>((((B31/B5))^(1/26))-1)*100</f>
        <v>0.52909139213297429</v>
      </c>
      <c r="C35" s="23">
        <f t="shared" ref="C35:L35" si="2">((((C31/C5))^(1/26))-1)*100</f>
        <v>0.57435683201947363</v>
      </c>
      <c r="D35" s="23">
        <f t="shared" si="2"/>
        <v>-2.1247265264079385E-2</v>
      </c>
      <c r="E35" s="23">
        <f t="shared" si="2"/>
        <v>0.39765098886503925</v>
      </c>
      <c r="F35" s="23">
        <f t="shared" si="2"/>
        <v>0.22685648288018889</v>
      </c>
      <c r="G35" s="23">
        <f t="shared" si="2"/>
        <v>0.41018304513347204</v>
      </c>
      <c r="H35" s="23">
        <f t="shared" si="2"/>
        <v>0.65359735676837616</v>
      </c>
      <c r="I35" s="23">
        <f t="shared" si="2"/>
        <v>0.31680113530632159</v>
      </c>
      <c r="J35" s="23">
        <f t="shared" si="2"/>
        <v>0.15827222205513358</v>
      </c>
      <c r="K35" s="23">
        <f t="shared" si="2"/>
        <v>0.53309779655401623</v>
      </c>
      <c r="L35" s="23">
        <f t="shared" si="2"/>
        <v>0.50720511081185915</v>
      </c>
    </row>
    <row r="36" spans="1:36" s="114" customFormat="1">
      <c r="A36" s="431" t="s">
        <v>449</v>
      </c>
      <c r="B36" s="967">
        <f>((((B31/B24))^(1/7))-1)*100</f>
        <v>-6.6423232507739627E-2</v>
      </c>
      <c r="C36" s="967">
        <f t="shared" ref="C36:L36" si="3">((((C31/C24))^(1/7))-1)*100</f>
        <v>6.9541163679853746E-2</v>
      </c>
      <c r="D36" s="967">
        <f t="shared" si="3"/>
        <v>-1.4899806938698745</v>
      </c>
      <c r="E36" s="967">
        <f t="shared" si="3"/>
        <v>-6.9832538499581265E-2</v>
      </c>
      <c r="F36" s="967">
        <f t="shared" si="3"/>
        <v>-3.5486178275256908E-2</v>
      </c>
      <c r="G36" s="967">
        <f t="shared" si="3"/>
        <v>-0.20436309047906498</v>
      </c>
      <c r="H36" s="967">
        <f t="shared" si="3"/>
        <v>-0.26299216363832034</v>
      </c>
      <c r="I36" s="967">
        <f t="shared" si="3"/>
        <v>0.5949055075168852</v>
      </c>
      <c r="J36" s="967">
        <f t="shared" si="3"/>
        <v>0.51836931722106794</v>
      </c>
      <c r="K36" s="967">
        <f t="shared" si="3"/>
        <v>0.1688067840404095</v>
      </c>
      <c r="L36" s="967">
        <f t="shared" si="3"/>
        <v>0.13360148763756907</v>
      </c>
    </row>
    <row r="37" spans="1:36" s="114" customFormat="1">
      <c r="A37" s="431"/>
      <c r="D37" s="967" t="s">
        <v>655</v>
      </c>
    </row>
    <row r="38" spans="1:36" s="114" customFormat="1">
      <c r="A38" s="431" t="s">
        <v>603</v>
      </c>
      <c r="B38" s="46">
        <f>B13-B5</f>
        <v>1.100000000000001E-2</v>
      </c>
      <c r="C38" s="46">
        <f t="shared" ref="C38:L38" si="4">C13-C5</f>
        <v>-6.0000000000000053E-3</v>
      </c>
      <c r="D38" s="46">
        <f t="shared" si="4"/>
        <v>1.6000000000000014E-2</v>
      </c>
      <c r="E38" s="46">
        <f t="shared" si="4"/>
        <v>1.8000000000000016E-2</v>
      </c>
      <c r="F38" s="46">
        <f t="shared" si="4"/>
        <v>-1.100000000000001E-2</v>
      </c>
      <c r="G38" s="46">
        <f t="shared" si="4"/>
        <v>6.0000000000000053E-3</v>
      </c>
      <c r="H38" s="46">
        <f t="shared" si="4"/>
        <v>2.1000000000000019E-2</v>
      </c>
      <c r="I38" s="46">
        <f t="shared" si="4"/>
        <v>-2.0000000000000018E-3</v>
      </c>
      <c r="J38" s="46">
        <f t="shared" si="4"/>
        <v>-1.7000000000000015E-2</v>
      </c>
      <c r="K38" s="46">
        <f t="shared" si="4"/>
        <v>1.3000000000000012E-2</v>
      </c>
      <c r="L38" s="46">
        <f t="shared" si="4"/>
        <v>-6.0000000000000053E-3</v>
      </c>
    </row>
    <row r="39" spans="1:36" s="114" customFormat="1">
      <c r="A39" s="431" t="s">
        <v>604</v>
      </c>
      <c r="B39" s="46">
        <f>B24-B13</f>
        <v>4.5999999999999985E-2</v>
      </c>
      <c r="C39" s="46">
        <f t="shared" ref="C39:L39" si="5">C24-C13</f>
        <v>6.0999999999999999E-2</v>
      </c>
      <c r="D39" s="46">
        <f t="shared" si="5"/>
        <v>2.200000000000002E-2</v>
      </c>
      <c r="E39" s="46">
        <f t="shared" si="5"/>
        <v>2.3999999999999966E-2</v>
      </c>
      <c r="F39" s="46">
        <f t="shared" si="5"/>
        <v>3.5000000000000031E-2</v>
      </c>
      <c r="G39" s="46">
        <f t="shared" si="5"/>
        <v>4.1999999999999982E-2</v>
      </c>
      <c r="H39" s="46">
        <f t="shared" si="5"/>
        <v>5.3999999999999992E-2</v>
      </c>
      <c r="I39" s="46">
        <f t="shared" si="5"/>
        <v>1.8000000000000016E-2</v>
      </c>
      <c r="J39" s="46">
        <f t="shared" si="5"/>
        <v>1.8999999999999961E-2</v>
      </c>
      <c r="K39" s="46">
        <f t="shared" si="5"/>
        <v>3.6999999999999977E-2</v>
      </c>
      <c r="L39" s="46">
        <f t="shared" si="5"/>
        <v>5.4999999999999993E-2</v>
      </c>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row>
    <row r="40" spans="1:36" s="114" customFormat="1">
      <c r="A40" s="431" t="s">
        <v>447</v>
      </c>
      <c r="B40" s="231">
        <f>B31-B5</f>
        <v>5.4999999999999993E-2</v>
      </c>
      <c r="C40" s="231">
        <f t="shared" ref="C40:L40" si="6">C31-C5</f>
        <v>5.6999999999999995E-2</v>
      </c>
      <c r="D40" s="231">
        <f t="shared" si="6"/>
        <v>-2.0000000000000018E-3</v>
      </c>
      <c r="E40" s="231">
        <f t="shared" si="6"/>
        <v>3.999999999999998E-2</v>
      </c>
      <c r="F40" s="231">
        <f t="shared" si="6"/>
        <v>2.300000000000002E-2</v>
      </c>
      <c r="G40" s="231">
        <f t="shared" si="6"/>
        <v>4.1999999999999982E-2</v>
      </c>
      <c r="H40" s="231">
        <f t="shared" si="6"/>
        <v>6.7000000000000004E-2</v>
      </c>
      <c r="I40" s="231">
        <f t="shared" si="6"/>
        <v>3.2999999999999974E-2</v>
      </c>
      <c r="J40" s="231">
        <f t="shared" si="6"/>
        <v>1.699999999999996E-2</v>
      </c>
      <c r="K40" s="231">
        <f t="shared" si="6"/>
        <v>5.4999999999999993E-2</v>
      </c>
      <c r="L40" s="231">
        <f t="shared" si="6"/>
        <v>5.2999999999999992E-2</v>
      </c>
    </row>
    <row r="41" spans="1:36" s="114" customFormat="1">
      <c r="A41" s="431" t="s">
        <v>449</v>
      </c>
      <c r="B41" s="46">
        <f>B31-B24</f>
        <v>-2.0000000000000018E-3</v>
      </c>
      <c r="C41" s="46">
        <f t="shared" ref="C41:L41" si="7">C31-C24</f>
        <v>2.0000000000000018E-3</v>
      </c>
      <c r="D41" s="46">
        <f t="shared" si="7"/>
        <v>-4.0000000000000036E-2</v>
      </c>
      <c r="E41" s="46">
        <f t="shared" si="7"/>
        <v>-2.0000000000000018E-3</v>
      </c>
      <c r="F41" s="46">
        <f t="shared" si="7"/>
        <v>-1.0000000000000009E-3</v>
      </c>
      <c r="G41" s="46">
        <f t="shared" si="7"/>
        <v>-6.0000000000000053E-3</v>
      </c>
      <c r="H41" s="46">
        <f t="shared" si="7"/>
        <v>-8.0000000000000071E-3</v>
      </c>
      <c r="I41" s="46">
        <f t="shared" si="7"/>
        <v>1.699999999999996E-2</v>
      </c>
      <c r="J41" s="46">
        <f t="shared" si="7"/>
        <v>1.5000000000000013E-2</v>
      </c>
      <c r="K41" s="46">
        <f t="shared" si="7"/>
        <v>5.0000000000000044E-3</v>
      </c>
      <c r="L41" s="46">
        <f t="shared" si="7"/>
        <v>4.0000000000000036E-3</v>
      </c>
    </row>
    <row r="42" spans="1:36">
      <c r="A42" s="4"/>
      <c r="B42" s="27"/>
    </row>
    <row r="43" spans="1:36" ht="30" customHeight="1">
      <c r="A43" s="1170" t="s">
        <v>1189</v>
      </c>
      <c r="B43" s="1170"/>
      <c r="C43" s="1170"/>
      <c r="D43" s="1170"/>
      <c r="E43" s="1170"/>
      <c r="F43" s="1170"/>
      <c r="G43" s="1170"/>
      <c r="H43" s="1170"/>
      <c r="I43" s="1170"/>
      <c r="J43" s="1170"/>
      <c r="K43" s="1170"/>
      <c r="L43" s="1170"/>
    </row>
    <row r="44" spans="1:36" ht="15" customHeight="1">
      <c r="A44" s="13" t="s">
        <v>388</v>
      </c>
      <c r="B44" s="643"/>
      <c r="C44" s="643"/>
      <c r="D44" s="643"/>
      <c r="E44" s="643"/>
      <c r="F44" s="643"/>
      <c r="G44" s="643"/>
      <c r="H44" s="643"/>
      <c r="I44" s="643"/>
      <c r="J44" s="643"/>
      <c r="K44" s="643"/>
      <c r="L44" s="643"/>
    </row>
    <row r="45" spans="1:36">
      <c r="A45" s="4" t="s">
        <v>1868</v>
      </c>
    </row>
    <row r="46" spans="1:36" ht="39.75" customHeight="1">
      <c r="A46" s="1168" t="s">
        <v>233</v>
      </c>
      <c r="B46" s="1169"/>
      <c r="C46" s="1169"/>
      <c r="D46" s="1169"/>
      <c r="E46" s="1169"/>
      <c r="F46" s="1169"/>
      <c r="G46" s="1169"/>
      <c r="H46" s="1169"/>
      <c r="I46" s="1169"/>
      <c r="J46" s="1169"/>
      <c r="K46" s="1169"/>
      <c r="L46" s="1169"/>
    </row>
    <row r="47" spans="1:36" ht="15.75">
      <c r="A47" s="1168" t="s">
        <v>934</v>
      </c>
      <c r="B47" s="1169"/>
      <c r="C47" s="1169"/>
      <c r="D47" s="1169"/>
      <c r="E47" s="1169"/>
      <c r="F47" s="1169"/>
      <c r="G47" s="1169"/>
      <c r="H47" s="1169"/>
      <c r="I47" s="1169"/>
      <c r="J47" s="1169"/>
      <c r="K47" s="1169"/>
      <c r="L47" s="1169"/>
    </row>
    <row r="48" spans="1:36">
      <c r="A48" s="1"/>
      <c r="B48" s="4"/>
    </row>
    <row r="50" spans="3:6">
      <c r="E50" s="27">
        <f>(A27/A5-1)*100</f>
        <v>1.1105502271580026</v>
      </c>
      <c r="F50" s="27">
        <f>(B27/B5-1)*100</f>
        <v>13.903743315508009</v>
      </c>
    </row>
    <row r="51" spans="3:6">
      <c r="C51" s="230">
        <f>B5</f>
        <v>0.374</v>
      </c>
      <c r="E51" s="27">
        <f>(A13/A5-1)*100</f>
        <v>0.40383644623926962</v>
      </c>
      <c r="F51" s="27">
        <f>(B13/B5-1)*100</f>
        <v>2.941176470588247</v>
      </c>
    </row>
    <row r="52" spans="3:6">
      <c r="C52" s="230">
        <f>B13</f>
        <v>0.38500000000000001</v>
      </c>
      <c r="E52" s="27">
        <f>(A24/A13-1)*100</f>
        <v>0.55304172951231578</v>
      </c>
      <c r="F52" s="27">
        <f>(B24/B13-1)*100</f>
        <v>11.948051948051951</v>
      </c>
    </row>
    <row r="53" spans="3:6">
      <c r="C53" s="230">
        <f>B24</f>
        <v>0.43099999999999999</v>
      </c>
      <c r="E53" s="27">
        <f>(A27/A24-1)*100</f>
        <v>0.15000000000000568</v>
      </c>
      <c r="F53" s="27">
        <f>(B27/B24-1)*100</f>
        <v>-1.1600928074245953</v>
      </c>
    </row>
    <row r="54" spans="3:6">
      <c r="C54" s="230">
        <f>B27</f>
        <v>0.42599999999999999</v>
      </c>
      <c r="E54" s="1" t="s">
        <v>699</v>
      </c>
    </row>
  </sheetData>
  <mergeCells count="14">
    <mergeCell ref="L3:L4"/>
    <mergeCell ref="F3:F4"/>
    <mergeCell ref="G3:G4"/>
    <mergeCell ref="A47:L47"/>
    <mergeCell ref="A46:L46"/>
    <mergeCell ref="H3:H4"/>
    <mergeCell ref="I3:I4"/>
    <mergeCell ref="A43:L43"/>
    <mergeCell ref="B3:B4"/>
    <mergeCell ref="C3:C4"/>
    <mergeCell ref="D3:D4"/>
    <mergeCell ref="E3:E4"/>
    <mergeCell ref="J3:J4"/>
    <mergeCell ref="K3:K4"/>
  </mergeCells>
  <phoneticPr fontId="35" type="noConversion"/>
  <pageMargins left="0.75" right="0.75" top="1" bottom="1" header="0.5" footer="0.5"/>
  <pageSetup scale="71" orientation="landscape" horizontalDpi="300" verticalDpi="300" r:id="rId1"/>
  <headerFooter alignWithMargins="0"/>
</worksheet>
</file>

<file path=xl/worksheets/sheet63.xml><?xml version="1.0" encoding="utf-8"?>
<worksheet xmlns="http://schemas.openxmlformats.org/spreadsheetml/2006/main" xmlns:r="http://schemas.openxmlformats.org/officeDocument/2006/relationships">
  <sheetPr codeName="Sheet3">
    <pageSetUpPr fitToPage="1"/>
  </sheetPr>
  <dimension ref="A1:AJ54"/>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6384" width="9.140625" style="1"/>
  </cols>
  <sheetData>
    <row r="1" spans="1:25" ht="15.75">
      <c r="A1" s="4"/>
      <c r="B1" s="3" t="s">
        <v>2147</v>
      </c>
    </row>
    <row r="2" spans="1:25">
      <c r="A2" s="4"/>
      <c r="B2" s="4"/>
    </row>
    <row r="3" spans="1:25">
      <c r="B3" s="1164" t="s">
        <v>375</v>
      </c>
      <c r="C3" s="1164" t="s">
        <v>377</v>
      </c>
      <c r="D3" s="1164" t="s">
        <v>386</v>
      </c>
      <c r="E3" s="1164" t="s">
        <v>378</v>
      </c>
      <c r="F3" s="1164" t="s">
        <v>379</v>
      </c>
      <c r="G3" s="1164" t="s">
        <v>380</v>
      </c>
      <c r="H3" s="1164" t="s">
        <v>381</v>
      </c>
      <c r="I3" s="1164" t="s">
        <v>382</v>
      </c>
      <c r="J3" s="1164" t="s">
        <v>383</v>
      </c>
      <c r="K3" s="1164" t="s">
        <v>384</v>
      </c>
      <c r="L3" s="1164" t="s">
        <v>385</v>
      </c>
    </row>
    <row r="4" spans="1:25" s="4" customFormat="1">
      <c r="A4" s="7"/>
      <c r="B4" s="1165"/>
      <c r="C4" s="1165"/>
      <c r="D4" s="1165"/>
      <c r="E4" s="1165"/>
      <c r="F4" s="1165"/>
      <c r="G4" s="1165"/>
      <c r="H4" s="1165"/>
      <c r="I4" s="1165"/>
      <c r="J4" s="1165"/>
      <c r="K4" s="1165"/>
      <c r="L4" s="1165"/>
    </row>
    <row r="5" spans="1:25" s="972" customFormat="1">
      <c r="A5" s="2">
        <v>1981</v>
      </c>
      <c r="B5" s="419">
        <v>0.34799999999999998</v>
      </c>
      <c r="C5" s="419">
        <v>0.32700000000000001</v>
      </c>
      <c r="D5" s="419">
        <v>0.33900000000000002</v>
      </c>
      <c r="E5" s="419">
        <v>0.34200000000000003</v>
      </c>
      <c r="F5" s="419">
        <v>0.35199999999999998</v>
      </c>
      <c r="G5" s="419">
        <v>0.34499999999999997</v>
      </c>
      <c r="H5" s="419">
        <v>0.33800000000000002</v>
      </c>
      <c r="I5" s="419">
        <v>0.35799999999999998</v>
      </c>
      <c r="J5" s="419">
        <v>0.376</v>
      </c>
      <c r="K5" s="419">
        <v>0.34599999999999997</v>
      </c>
      <c r="L5" s="419">
        <v>0.35399999999999998</v>
      </c>
      <c r="N5" s="2">
        <v>1981</v>
      </c>
      <c r="O5" s="419">
        <v>0.34799999999999998</v>
      </c>
      <c r="P5" s="419">
        <v>0.32700000000000001</v>
      </c>
      <c r="Q5" s="419">
        <v>0.33900000000000002</v>
      </c>
      <c r="R5" s="419">
        <v>0.34200000000000003</v>
      </c>
      <c r="S5" s="419">
        <v>0.35199999999999998</v>
      </c>
      <c r="T5" s="419">
        <v>0.34499999999999997</v>
      </c>
      <c r="U5" s="419">
        <v>0.33800000000000002</v>
      </c>
      <c r="V5" s="419">
        <v>0.35799999999999998</v>
      </c>
      <c r="W5" s="419">
        <v>0.376</v>
      </c>
      <c r="X5" s="419">
        <v>0.34599999999999997</v>
      </c>
      <c r="Y5" s="419">
        <v>0.35399999999999998</v>
      </c>
    </row>
    <row r="6" spans="1:25" s="972" customFormat="1">
      <c r="A6" s="2">
        <v>1982</v>
      </c>
      <c r="B6" s="419">
        <v>0.35099999999999998</v>
      </c>
      <c r="C6" s="419">
        <v>0.32500000000000001</v>
      </c>
      <c r="D6" s="419">
        <v>0.33500000000000002</v>
      </c>
      <c r="E6" s="419">
        <v>0.34699999999999998</v>
      </c>
      <c r="F6" s="419">
        <v>0.35099999999999998</v>
      </c>
      <c r="G6" s="419">
        <v>0.34399999999999997</v>
      </c>
      <c r="H6" s="419">
        <v>0.34300000000000003</v>
      </c>
      <c r="I6" s="419">
        <v>0.35899999999999999</v>
      </c>
      <c r="J6" s="419">
        <v>0.36299999999999999</v>
      </c>
      <c r="K6" s="419">
        <v>0.35799999999999998</v>
      </c>
      <c r="L6" s="419">
        <v>0.35799999999999998</v>
      </c>
      <c r="N6" s="2">
        <v>1982</v>
      </c>
      <c r="O6" s="419">
        <v>0.35099999999999998</v>
      </c>
      <c r="P6" s="419">
        <v>0.32500000000000001</v>
      </c>
      <c r="Q6" s="419">
        <v>0.33500000000000002</v>
      </c>
      <c r="R6" s="419">
        <v>0.34699999999999998</v>
      </c>
      <c r="S6" s="419">
        <v>0.35099999999999998</v>
      </c>
      <c r="T6" s="419">
        <v>0.34399999999999997</v>
      </c>
      <c r="U6" s="419">
        <v>0.34300000000000003</v>
      </c>
      <c r="V6" s="419">
        <v>0.35899999999999999</v>
      </c>
      <c r="W6" s="419">
        <v>0.36299999999999999</v>
      </c>
      <c r="X6" s="419">
        <v>0.35799999999999998</v>
      </c>
      <c r="Y6" s="419">
        <v>0.35799999999999998</v>
      </c>
    </row>
    <row r="7" spans="1:25" s="972" customFormat="1">
      <c r="A7" s="2">
        <v>1983</v>
      </c>
      <c r="B7" s="419">
        <v>0.36099999999999999</v>
      </c>
      <c r="C7" s="419">
        <v>0.33700000000000002</v>
      </c>
      <c r="D7" s="419">
        <v>0.35599999999999998</v>
      </c>
      <c r="E7" s="419">
        <v>0.35899999999999999</v>
      </c>
      <c r="F7" s="419">
        <v>0.36699999999999999</v>
      </c>
      <c r="G7" s="419">
        <v>0.34599999999999997</v>
      </c>
      <c r="H7" s="419">
        <v>0.36399999999999999</v>
      </c>
      <c r="I7" s="419">
        <v>0.35699999999999998</v>
      </c>
      <c r="J7" s="419">
        <v>0.378</v>
      </c>
      <c r="K7" s="419">
        <v>0.36299999999999999</v>
      </c>
      <c r="L7" s="419">
        <v>0.35799999999999998</v>
      </c>
      <c r="N7" s="2">
        <v>1983</v>
      </c>
      <c r="O7" s="419">
        <v>0.36099999999999999</v>
      </c>
      <c r="P7" s="419">
        <v>0.33700000000000002</v>
      </c>
      <c r="Q7" s="419">
        <v>0.35599999999999998</v>
      </c>
      <c r="R7" s="419">
        <v>0.35899999999999999</v>
      </c>
      <c r="S7" s="419">
        <v>0.36699999999999999</v>
      </c>
      <c r="T7" s="419">
        <v>0.34599999999999997</v>
      </c>
      <c r="U7" s="419">
        <v>0.36399999999999999</v>
      </c>
      <c r="V7" s="419">
        <v>0.35699999999999998</v>
      </c>
      <c r="W7" s="419">
        <v>0.378</v>
      </c>
      <c r="X7" s="419">
        <v>0.36299999999999999</v>
      </c>
      <c r="Y7" s="419">
        <v>0.35799999999999998</v>
      </c>
    </row>
    <row r="8" spans="1:25" s="972" customFormat="1">
      <c r="A8" s="2">
        <v>1984</v>
      </c>
      <c r="B8" s="419">
        <v>0.35699999999999998</v>
      </c>
      <c r="C8" s="419">
        <v>0.33</v>
      </c>
      <c r="D8" s="419">
        <v>0.34799999999999998</v>
      </c>
      <c r="E8" s="419">
        <v>0.35199999999999998</v>
      </c>
      <c r="F8" s="419">
        <v>0.35</v>
      </c>
      <c r="G8" s="419">
        <v>0.35599999999999998</v>
      </c>
      <c r="H8" s="419">
        <v>0.35299999999999998</v>
      </c>
      <c r="I8" s="419">
        <v>0.35099999999999998</v>
      </c>
      <c r="J8" s="419">
        <v>0.36499999999999999</v>
      </c>
      <c r="K8" s="419">
        <v>0.35699999999999998</v>
      </c>
      <c r="L8" s="419">
        <v>0.36299999999999999</v>
      </c>
      <c r="N8" s="2">
        <v>1984</v>
      </c>
      <c r="O8" s="419">
        <v>0.35699999999999998</v>
      </c>
      <c r="P8" s="419">
        <v>0.33</v>
      </c>
      <c r="Q8" s="419">
        <v>0.34799999999999998</v>
      </c>
      <c r="R8" s="419">
        <v>0.35199999999999998</v>
      </c>
      <c r="S8" s="419">
        <v>0.35</v>
      </c>
      <c r="T8" s="419">
        <v>0.35599999999999998</v>
      </c>
      <c r="U8" s="419">
        <v>0.35299999999999998</v>
      </c>
      <c r="V8" s="419">
        <v>0.35099999999999998</v>
      </c>
      <c r="W8" s="419">
        <v>0.36499999999999999</v>
      </c>
      <c r="X8" s="419">
        <v>0.35699999999999998</v>
      </c>
      <c r="Y8" s="419">
        <v>0.36299999999999999</v>
      </c>
    </row>
    <row r="9" spans="1:25" s="972" customFormat="1">
      <c r="A9" s="2">
        <v>1985</v>
      </c>
      <c r="B9" s="419">
        <v>0.35699999999999998</v>
      </c>
      <c r="C9" s="419">
        <v>0.34599999999999997</v>
      </c>
      <c r="D9" s="419">
        <v>0.34100000000000003</v>
      </c>
      <c r="E9" s="419">
        <v>0.36699999999999999</v>
      </c>
      <c r="F9" s="419">
        <v>0.34200000000000003</v>
      </c>
      <c r="G9" s="419">
        <v>0.34699999999999998</v>
      </c>
      <c r="H9" s="419">
        <v>0.35099999999999998</v>
      </c>
      <c r="I9" s="419">
        <v>0.35</v>
      </c>
      <c r="J9" s="419">
        <v>0.372</v>
      </c>
      <c r="K9" s="419">
        <v>0.35199999999999998</v>
      </c>
      <c r="L9" s="419">
        <v>0.375</v>
      </c>
      <c r="N9" s="2">
        <v>1985</v>
      </c>
      <c r="O9" s="419">
        <v>0.35699999999999998</v>
      </c>
      <c r="P9" s="419">
        <v>0.34599999999999997</v>
      </c>
      <c r="Q9" s="419">
        <v>0.34100000000000003</v>
      </c>
      <c r="R9" s="419">
        <v>0.36699999999999999</v>
      </c>
      <c r="S9" s="419">
        <v>0.34200000000000003</v>
      </c>
      <c r="T9" s="419">
        <v>0.34699999999999998</v>
      </c>
      <c r="U9" s="419">
        <v>0.35099999999999998</v>
      </c>
      <c r="V9" s="419">
        <v>0.35</v>
      </c>
      <c r="W9" s="419">
        <v>0.372</v>
      </c>
      <c r="X9" s="419">
        <v>0.35199999999999998</v>
      </c>
      <c r="Y9" s="419">
        <v>0.375</v>
      </c>
    </row>
    <row r="10" spans="1:25" s="972" customFormat="1">
      <c r="A10" s="2">
        <v>1986</v>
      </c>
      <c r="B10" s="419">
        <v>0.35799999999999998</v>
      </c>
      <c r="C10" s="419">
        <v>0.32900000000000001</v>
      </c>
      <c r="D10" s="419">
        <v>0.33100000000000002</v>
      </c>
      <c r="E10" s="419">
        <v>0.35299999999999998</v>
      </c>
      <c r="F10" s="419">
        <v>0.33</v>
      </c>
      <c r="G10" s="419">
        <v>0.35499999999999998</v>
      </c>
      <c r="H10" s="419">
        <v>0.35199999999999998</v>
      </c>
      <c r="I10" s="419">
        <v>0.34399999999999997</v>
      </c>
      <c r="J10" s="419">
        <v>0.374</v>
      </c>
      <c r="K10" s="419">
        <v>0.36</v>
      </c>
      <c r="L10" s="419">
        <v>0.36099999999999999</v>
      </c>
      <c r="N10" s="2">
        <v>1986</v>
      </c>
      <c r="O10" s="419">
        <v>0.35799999999999998</v>
      </c>
      <c r="P10" s="419">
        <v>0.32900000000000001</v>
      </c>
      <c r="Q10" s="419">
        <v>0.33100000000000002</v>
      </c>
      <c r="R10" s="419">
        <v>0.35299999999999998</v>
      </c>
      <c r="S10" s="419">
        <v>0.33</v>
      </c>
      <c r="T10" s="419">
        <v>0.35499999999999998</v>
      </c>
      <c r="U10" s="419">
        <v>0.35199999999999998</v>
      </c>
      <c r="V10" s="419">
        <v>0.34399999999999997</v>
      </c>
      <c r="W10" s="419">
        <v>0.374</v>
      </c>
      <c r="X10" s="419">
        <v>0.36</v>
      </c>
      <c r="Y10" s="419">
        <v>0.36099999999999999</v>
      </c>
    </row>
    <row r="11" spans="1:25" s="972" customFormat="1">
      <c r="A11" s="2">
        <v>1987</v>
      </c>
      <c r="B11" s="419">
        <v>0.35499999999999998</v>
      </c>
      <c r="C11" s="419">
        <v>0.33200000000000002</v>
      </c>
      <c r="D11" s="419">
        <v>0.33700000000000002</v>
      </c>
      <c r="E11" s="419">
        <v>0.34300000000000003</v>
      </c>
      <c r="F11" s="419">
        <v>0.34399999999999997</v>
      </c>
      <c r="G11" s="419">
        <v>0.35199999999999998</v>
      </c>
      <c r="H11" s="419">
        <v>0.34899999999999998</v>
      </c>
      <c r="I11" s="419">
        <v>0.34899999999999998</v>
      </c>
      <c r="J11" s="419">
        <v>0.35499999999999998</v>
      </c>
      <c r="K11" s="419">
        <v>0.35799999999999998</v>
      </c>
      <c r="L11" s="419">
        <v>0.36299999999999999</v>
      </c>
      <c r="N11" s="2">
        <v>1987</v>
      </c>
      <c r="O11" s="419">
        <v>0.35499999999999998</v>
      </c>
      <c r="P11" s="419">
        <v>0.33200000000000002</v>
      </c>
      <c r="Q11" s="419">
        <v>0.33700000000000002</v>
      </c>
      <c r="R11" s="419">
        <v>0.34300000000000003</v>
      </c>
      <c r="S11" s="419">
        <v>0.34399999999999997</v>
      </c>
      <c r="T11" s="419">
        <v>0.35199999999999998</v>
      </c>
      <c r="U11" s="419">
        <v>0.34899999999999998</v>
      </c>
      <c r="V11" s="419">
        <v>0.34899999999999998</v>
      </c>
      <c r="W11" s="419">
        <v>0.35499999999999998</v>
      </c>
      <c r="X11" s="419">
        <v>0.35799999999999998</v>
      </c>
      <c r="Y11" s="419">
        <v>0.36299999999999999</v>
      </c>
    </row>
    <row r="12" spans="1:25" s="972" customFormat="1">
      <c r="A12" s="2">
        <v>1988</v>
      </c>
      <c r="B12" s="419">
        <v>0.35399999999999998</v>
      </c>
      <c r="C12" s="419">
        <v>0.316</v>
      </c>
      <c r="D12" s="419">
        <v>0.32800000000000001</v>
      </c>
      <c r="E12" s="419">
        <v>0.34300000000000003</v>
      </c>
      <c r="F12" s="419">
        <v>0.33</v>
      </c>
      <c r="G12" s="419">
        <v>0.34899999999999998</v>
      </c>
      <c r="H12" s="419">
        <v>0.35099999999999998</v>
      </c>
      <c r="I12" s="419">
        <v>0.35</v>
      </c>
      <c r="J12" s="419">
        <v>0.35399999999999998</v>
      </c>
      <c r="K12" s="419">
        <v>0.35099999999999998</v>
      </c>
      <c r="L12" s="419">
        <v>0.34699999999999998</v>
      </c>
      <c r="N12" s="2">
        <v>1988</v>
      </c>
      <c r="O12" s="419">
        <v>0.35399999999999998</v>
      </c>
      <c r="P12" s="419">
        <v>0.316</v>
      </c>
      <c r="Q12" s="419">
        <v>0.32800000000000001</v>
      </c>
      <c r="R12" s="419">
        <v>0.34300000000000003</v>
      </c>
      <c r="S12" s="419">
        <v>0.33</v>
      </c>
      <c r="T12" s="419">
        <v>0.34899999999999998</v>
      </c>
      <c r="U12" s="419">
        <v>0.35099999999999998</v>
      </c>
      <c r="V12" s="419">
        <v>0.35</v>
      </c>
      <c r="W12" s="419">
        <v>0.35399999999999998</v>
      </c>
      <c r="X12" s="419">
        <v>0.35099999999999998</v>
      </c>
      <c r="Y12" s="419">
        <v>0.34699999999999998</v>
      </c>
    </row>
    <row r="13" spans="1:25" s="972" customFormat="1">
      <c r="A13" s="2">
        <v>1989</v>
      </c>
      <c r="B13" s="419">
        <v>0.35099999999999998</v>
      </c>
      <c r="C13" s="419">
        <v>0.315</v>
      </c>
      <c r="D13" s="419">
        <v>0.34599999999999997</v>
      </c>
      <c r="E13" s="419">
        <v>0.35</v>
      </c>
      <c r="F13" s="419">
        <v>0.33500000000000002</v>
      </c>
      <c r="G13" s="419">
        <v>0.34200000000000003</v>
      </c>
      <c r="H13" s="419">
        <v>0.35099999999999998</v>
      </c>
      <c r="I13" s="419">
        <v>0.34300000000000003</v>
      </c>
      <c r="J13" s="419">
        <v>0.35099999999999998</v>
      </c>
      <c r="K13" s="419">
        <v>0.35199999999999998</v>
      </c>
      <c r="L13" s="419">
        <v>0.34100000000000003</v>
      </c>
      <c r="N13" s="2">
        <v>1989</v>
      </c>
      <c r="O13" s="419">
        <v>0.35099999999999998</v>
      </c>
      <c r="P13" s="419">
        <v>0.315</v>
      </c>
      <c r="Q13" s="419">
        <v>0.34599999999999997</v>
      </c>
      <c r="R13" s="419">
        <v>0.35</v>
      </c>
      <c r="S13" s="419">
        <v>0.33500000000000002</v>
      </c>
      <c r="T13" s="419">
        <v>0.34200000000000003</v>
      </c>
      <c r="U13" s="419">
        <v>0.35099999999999998</v>
      </c>
      <c r="V13" s="419">
        <v>0.34300000000000003</v>
      </c>
      <c r="W13" s="419">
        <v>0.35099999999999998</v>
      </c>
      <c r="X13" s="419">
        <v>0.35199999999999998</v>
      </c>
      <c r="Y13" s="419">
        <v>0.34100000000000003</v>
      </c>
    </row>
    <row r="14" spans="1:25" s="972" customFormat="1">
      <c r="A14" s="2">
        <v>1990</v>
      </c>
      <c r="B14" s="419">
        <v>0.35699999999999998</v>
      </c>
      <c r="C14" s="419">
        <v>0.33</v>
      </c>
      <c r="D14" s="419">
        <v>0.33</v>
      </c>
      <c r="E14" s="419">
        <v>0.33800000000000002</v>
      </c>
      <c r="F14" s="419">
        <v>0.33400000000000002</v>
      </c>
      <c r="G14" s="419">
        <v>0.35199999999999998</v>
      </c>
      <c r="H14" s="419">
        <v>0.35199999999999998</v>
      </c>
      <c r="I14" s="419">
        <v>0.34200000000000003</v>
      </c>
      <c r="J14" s="419">
        <v>0.36199999999999999</v>
      </c>
      <c r="K14" s="419">
        <v>0.35599999999999998</v>
      </c>
      <c r="L14" s="419">
        <v>0.36699999999999999</v>
      </c>
      <c r="N14" s="2">
        <v>1990</v>
      </c>
      <c r="O14" s="419">
        <v>0.35699999999999998</v>
      </c>
      <c r="P14" s="419">
        <v>0.33</v>
      </c>
      <c r="Q14" s="419">
        <v>0.33</v>
      </c>
      <c r="R14" s="419">
        <v>0.33800000000000002</v>
      </c>
      <c r="S14" s="419">
        <v>0.33400000000000002</v>
      </c>
      <c r="T14" s="419">
        <v>0.35199999999999998</v>
      </c>
      <c r="U14" s="419">
        <v>0.35199999999999998</v>
      </c>
      <c r="V14" s="419">
        <v>0.34200000000000003</v>
      </c>
      <c r="W14" s="419">
        <v>0.36199999999999999</v>
      </c>
      <c r="X14" s="419">
        <v>0.35599999999999998</v>
      </c>
      <c r="Y14" s="419">
        <v>0.36699999999999999</v>
      </c>
    </row>
    <row r="15" spans="1:25" s="972" customFormat="1">
      <c r="A15" s="2">
        <v>1991</v>
      </c>
      <c r="B15" s="419">
        <v>0.36399999999999999</v>
      </c>
      <c r="C15" s="419">
        <v>0.34599999999999997</v>
      </c>
      <c r="D15" s="419">
        <v>0.34399999999999997</v>
      </c>
      <c r="E15" s="419">
        <v>0.33600000000000002</v>
      </c>
      <c r="F15" s="419">
        <v>0.34200000000000003</v>
      </c>
      <c r="G15" s="419">
        <v>0.35699999999999998</v>
      </c>
      <c r="H15" s="419">
        <v>0.36199999999999999</v>
      </c>
      <c r="I15" s="419">
        <v>0.34399999999999997</v>
      </c>
      <c r="J15" s="419">
        <v>0.35699999999999998</v>
      </c>
      <c r="K15" s="419">
        <v>0.36599999999999999</v>
      </c>
      <c r="L15" s="419">
        <v>0.36699999999999999</v>
      </c>
      <c r="N15" s="2">
        <v>1991</v>
      </c>
      <c r="O15" s="419">
        <v>0.36399999999999999</v>
      </c>
      <c r="P15" s="419">
        <v>0.34599999999999997</v>
      </c>
      <c r="Q15" s="419">
        <v>0.34399999999999997</v>
      </c>
      <c r="R15" s="419">
        <v>0.33600000000000002</v>
      </c>
      <c r="S15" s="419">
        <v>0.34200000000000003</v>
      </c>
      <c r="T15" s="419">
        <v>0.35699999999999998</v>
      </c>
      <c r="U15" s="419">
        <v>0.36199999999999999</v>
      </c>
      <c r="V15" s="419">
        <v>0.34399999999999997</v>
      </c>
      <c r="W15" s="419">
        <v>0.35699999999999998</v>
      </c>
      <c r="X15" s="419">
        <v>0.36599999999999999</v>
      </c>
      <c r="Y15" s="419">
        <v>0.36699999999999999</v>
      </c>
    </row>
    <row r="16" spans="1:25" s="972" customFormat="1">
      <c r="A16" s="2">
        <v>1992</v>
      </c>
      <c r="B16" s="419">
        <v>0.36399999999999999</v>
      </c>
      <c r="C16" s="419">
        <v>0.34300000000000003</v>
      </c>
      <c r="D16" s="419">
        <v>0.32700000000000001</v>
      </c>
      <c r="E16" s="419">
        <v>0.35199999999999998</v>
      </c>
      <c r="F16" s="419">
        <v>0.34799999999999998</v>
      </c>
      <c r="G16" s="419">
        <v>0.35299999999999998</v>
      </c>
      <c r="H16" s="419">
        <v>0.35699999999999998</v>
      </c>
      <c r="I16" s="419">
        <v>0.36099999999999999</v>
      </c>
      <c r="J16" s="419">
        <v>0.373</v>
      </c>
      <c r="K16" s="419">
        <v>0.378</v>
      </c>
      <c r="L16" s="419">
        <v>0.374</v>
      </c>
      <c r="N16" s="2">
        <v>1992</v>
      </c>
      <c r="O16" s="419">
        <v>0.36399999999999999</v>
      </c>
      <c r="P16" s="419">
        <v>0.34300000000000003</v>
      </c>
      <c r="Q16" s="419">
        <v>0.32700000000000001</v>
      </c>
      <c r="R16" s="419">
        <v>0.35199999999999998</v>
      </c>
      <c r="S16" s="419">
        <v>0.34799999999999998</v>
      </c>
      <c r="T16" s="419">
        <v>0.35299999999999998</v>
      </c>
      <c r="U16" s="419">
        <v>0.35699999999999998</v>
      </c>
      <c r="V16" s="419">
        <v>0.36099999999999999</v>
      </c>
      <c r="W16" s="419">
        <v>0.373</v>
      </c>
      <c r="X16" s="419">
        <v>0.378</v>
      </c>
      <c r="Y16" s="419">
        <v>0.374</v>
      </c>
    </row>
    <row r="17" spans="1:25" s="972" customFormat="1">
      <c r="A17" s="2">
        <v>1993</v>
      </c>
      <c r="B17" s="419">
        <v>0.36099999999999999</v>
      </c>
      <c r="C17" s="419">
        <v>0.33200000000000002</v>
      </c>
      <c r="D17" s="419">
        <v>0.32200000000000001</v>
      </c>
      <c r="E17" s="419">
        <v>0.33900000000000002</v>
      </c>
      <c r="F17" s="419">
        <v>0.34100000000000003</v>
      </c>
      <c r="G17" s="419">
        <v>0.34799999999999998</v>
      </c>
      <c r="H17" s="419">
        <v>0.36099999999999999</v>
      </c>
      <c r="I17" s="419">
        <v>0.34399999999999997</v>
      </c>
      <c r="J17" s="419">
        <v>0.35699999999999998</v>
      </c>
      <c r="K17" s="419">
        <v>0.36199999999999999</v>
      </c>
      <c r="L17" s="419">
        <v>0.36699999999999999</v>
      </c>
      <c r="N17" s="2">
        <v>1993</v>
      </c>
      <c r="O17" s="419">
        <v>0.36099999999999999</v>
      </c>
      <c r="P17" s="419">
        <v>0.33200000000000002</v>
      </c>
      <c r="Q17" s="419">
        <v>0.32200000000000001</v>
      </c>
      <c r="R17" s="419">
        <v>0.33900000000000002</v>
      </c>
      <c r="S17" s="419">
        <v>0.34100000000000003</v>
      </c>
      <c r="T17" s="419">
        <v>0.34799999999999998</v>
      </c>
      <c r="U17" s="419">
        <v>0.36099999999999999</v>
      </c>
      <c r="V17" s="419">
        <v>0.34399999999999997</v>
      </c>
      <c r="W17" s="419">
        <v>0.35699999999999998</v>
      </c>
      <c r="X17" s="419">
        <v>0.36199999999999999</v>
      </c>
      <c r="Y17" s="419">
        <v>0.36699999999999999</v>
      </c>
    </row>
    <row r="18" spans="1:25" s="972" customFormat="1">
      <c r="A18" s="2">
        <v>1994</v>
      </c>
      <c r="B18" s="419">
        <v>0.36199999999999999</v>
      </c>
      <c r="C18" s="419">
        <v>0.33600000000000002</v>
      </c>
      <c r="D18" s="419">
        <v>0.32</v>
      </c>
      <c r="E18" s="419">
        <v>0.35499999999999998</v>
      </c>
      <c r="F18" s="419">
        <v>0.33900000000000002</v>
      </c>
      <c r="G18" s="419">
        <v>0.35199999999999998</v>
      </c>
      <c r="H18" s="419">
        <v>0.36299999999999999</v>
      </c>
      <c r="I18" s="419">
        <v>0.35499999999999998</v>
      </c>
      <c r="J18" s="419">
        <v>0.35099999999999998</v>
      </c>
      <c r="K18" s="419">
        <v>0.35699999999999998</v>
      </c>
      <c r="L18" s="419">
        <v>0.36499999999999999</v>
      </c>
      <c r="N18" s="2">
        <v>1994</v>
      </c>
      <c r="O18" s="419">
        <v>0.36199999999999999</v>
      </c>
      <c r="P18" s="419">
        <v>0.33600000000000002</v>
      </c>
      <c r="Q18" s="419">
        <v>0.32</v>
      </c>
      <c r="R18" s="419">
        <v>0.35499999999999998</v>
      </c>
      <c r="S18" s="419">
        <v>0.33900000000000002</v>
      </c>
      <c r="T18" s="419">
        <v>0.35199999999999998</v>
      </c>
      <c r="U18" s="419">
        <v>0.36299999999999999</v>
      </c>
      <c r="V18" s="419">
        <v>0.35499999999999998</v>
      </c>
      <c r="W18" s="419">
        <v>0.35099999999999998</v>
      </c>
      <c r="X18" s="419">
        <v>0.35699999999999998</v>
      </c>
      <c r="Y18" s="419">
        <v>0.36499999999999999</v>
      </c>
    </row>
    <row r="19" spans="1:25" s="972" customFormat="1">
      <c r="A19" s="2">
        <v>1995</v>
      </c>
      <c r="B19" s="419">
        <v>0.36299999999999999</v>
      </c>
      <c r="C19" s="419">
        <v>0.33100000000000002</v>
      </c>
      <c r="D19" s="419">
        <v>0.32600000000000001</v>
      </c>
      <c r="E19" s="419">
        <v>0.34799999999999998</v>
      </c>
      <c r="F19" s="419">
        <v>0.34100000000000003</v>
      </c>
      <c r="G19" s="419">
        <v>0.35499999999999998</v>
      </c>
      <c r="H19" s="419">
        <v>0.36299999999999999</v>
      </c>
      <c r="I19" s="419">
        <v>0.34699999999999998</v>
      </c>
      <c r="J19" s="419">
        <v>0.36</v>
      </c>
      <c r="K19" s="419">
        <v>0.35899999999999999</v>
      </c>
      <c r="L19" s="419">
        <v>0.36299999999999999</v>
      </c>
      <c r="N19" s="2">
        <v>1995</v>
      </c>
      <c r="O19" s="419">
        <v>0.36299999999999999</v>
      </c>
      <c r="P19" s="419">
        <v>0.33100000000000002</v>
      </c>
      <c r="Q19" s="419">
        <v>0.32600000000000001</v>
      </c>
      <c r="R19" s="419">
        <v>0.34799999999999998</v>
      </c>
      <c r="S19" s="419">
        <v>0.34100000000000003</v>
      </c>
      <c r="T19" s="419">
        <v>0.35499999999999998</v>
      </c>
      <c r="U19" s="419">
        <v>0.36299999999999999</v>
      </c>
      <c r="V19" s="419">
        <v>0.34699999999999998</v>
      </c>
      <c r="W19" s="419">
        <v>0.36</v>
      </c>
      <c r="X19" s="419">
        <v>0.35899999999999999</v>
      </c>
      <c r="Y19" s="419">
        <v>0.36299999999999999</v>
      </c>
    </row>
    <row r="20" spans="1:25" s="972" customFormat="1">
      <c r="A20" s="2">
        <v>1996</v>
      </c>
      <c r="B20" s="419">
        <v>0.372</v>
      </c>
      <c r="C20" s="419">
        <v>0.33800000000000002</v>
      </c>
      <c r="D20" s="419">
        <v>0.32500000000000001</v>
      </c>
      <c r="E20" s="419">
        <v>0.34499999999999997</v>
      </c>
      <c r="F20" s="419">
        <v>0.34799999999999998</v>
      </c>
      <c r="G20" s="419">
        <v>0.36099999999999999</v>
      </c>
      <c r="H20" s="419">
        <v>0.376</v>
      </c>
      <c r="I20" s="419">
        <v>0.34599999999999997</v>
      </c>
      <c r="J20" s="419">
        <v>0.35399999999999998</v>
      </c>
      <c r="K20" s="419">
        <v>0.36499999999999999</v>
      </c>
      <c r="L20" s="419">
        <v>0.378</v>
      </c>
      <c r="N20" s="2">
        <v>1996</v>
      </c>
      <c r="O20" s="419">
        <v>0.372</v>
      </c>
      <c r="P20" s="419">
        <v>0.33800000000000002</v>
      </c>
      <c r="Q20" s="419">
        <v>0.32500000000000001</v>
      </c>
      <c r="R20" s="419">
        <v>0.34499999999999997</v>
      </c>
      <c r="S20" s="419">
        <v>0.34799999999999998</v>
      </c>
      <c r="T20" s="419">
        <v>0.36099999999999999</v>
      </c>
      <c r="U20" s="419">
        <v>0.376</v>
      </c>
      <c r="V20" s="419">
        <v>0.34599999999999997</v>
      </c>
      <c r="W20" s="419">
        <v>0.35399999999999998</v>
      </c>
      <c r="X20" s="419">
        <v>0.36499999999999999</v>
      </c>
      <c r="Y20" s="419">
        <v>0.378</v>
      </c>
    </row>
    <row r="21" spans="1:25" s="972" customFormat="1">
      <c r="A21" s="2">
        <v>1997</v>
      </c>
      <c r="B21" s="419">
        <v>0.377</v>
      </c>
      <c r="C21" s="419">
        <v>0.33200000000000002</v>
      </c>
      <c r="D21" s="419">
        <v>0.32700000000000001</v>
      </c>
      <c r="E21" s="419">
        <v>0.35699999999999998</v>
      </c>
      <c r="F21" s="419">
        <v>0.35199999999999998</v>
      </c>
      <c r="G21" s="419">
        <v>0.36599999999999999</v>
      </c>
      <c r="H21" s="419">
        <v>0.378</v>
      </c>
      <c r="I21" s="419">
        <v>0.35399999999999998</v>
      </c>
      <c r="J21" s="419">
        <v>0.34799999999999998</v>
      </c>
      <c r="K21" s="419">
        <v>0.379</v>
      </c>
      <c r="L21" s="419">
        <v>0.38300000000000001</v>
      </c>
      <c r="N21" s="2">
        <v>1997</v>
      </c>
      <c r="O21" s="419">
        <v>0.377</v>
      </c>
      <c r="P21" s="419">
        <v>0.33200000000000002</v>
      </c>
      <c r="Q21" s="419">
        <v>0.32700000000000001</v>
      </c>
      <c r="R21" s="419">
        <v>0.35699999999999998</v>
      </c>
      <c r="S21" s="419">
        <v>0.35199999999999998</v>
      </c>
      <c r="T21" s="419">
        <v>0.36599999999999999</v>
      </c>
      <c r="U21" s="419">
        <v>0.378</v>
      </c>
      <c r="V21" s="419">
        <v>0.35399999999999998</v>
      </c>
      <c r="W21" s="419">
        <v>0.34799999999999998</v>
      </c>
      <c r="X21" s="419">
        <v>0.379</v>
      </c>
      <c r="Y21" s="419">
        <v>0.38300000000000001</v>
      </c>
    </row>
    <row r="22" spans="1:25" s="972" customFormat="1">
      <c r="A22" s="2">
        <v>1998</v>
      </c>
      <c r="B22" s="419">
        <v>0.38600000000000001</v>
      </c>
      <c r="C22" s="419">
        <v>0.35799999999999998</v>
      </c>
      <c r="D22" s="419">
        <v>0.35</v>
      </c>
      <c r="E22" s="419">
        <v>0.37</v>
      </c>
      <c r="F22" s="419">
        <v>0.36099999999999999</v>
      </c>
      <c r="G22" s="419">
        <v>0.372</v>
      </c>
      <c r="H22" s="419">
        <v>0.38400000000000001</v>
      </c>
      <c r="I22" s="419">
        <v>0.36699999999999999</v>
      </c>
      <c r="J22" s="419">
        <v>0.36899999999999999</v>
      </c>
      <c r="K22" s="419">
        <v>0.39600000000000002</v>
      </c>
      <c r="L22" s="419">
        <v>0.39</v>
      </c>
      <c r="N22" s="2">
        <v>1998</v>
      </c>
      <c r="O22" s="419">
        <v>0.38600000000000001</v>
      </c>
      <c r="P22" s="419">
        <v>0.35799999999999998</v>
      </c>
      <c r="Q22" s="419">
        <v>0.35</v>
      </c>
      <c r="R22" s="419">
        <v>0.37</v>
      </c>
      <c r="S22" s="419">
        <v>0.36099999999999999</v>
      </c>
      <c r="T22" s="419">
        <v>0.372</v>
      </c>
      <c r="U22" s="419">
        <v>0.38400000000000001</v>
      </c>
      <c r="V22" s="419">
        <v>0.36699999999999999</v>
      </c>
      <c r="W22" s="419">
        <v>0.36899999999999999</v>
      </c>
      <c r="X22" s="419">
        <v>0.39600000000000002</v>
      </c>
      <c r="Y22" s="419">
        <v>0.39</v>
      </c>
    </row>
    <row r="23" spans="1:25" s="972" customFormat="1">
      <c r="A23" s="2">
        <v>1999</v>
      </c>
      <c r="B23" s="419">
        <v>0.38600000000000001</v>
      </c>
      <c r="C23" s="419">
        <v>0.36099999999999999</v>
      </c>
      <c r="D23" s="419">
        <v>0.36599999999999999</v>
      </c>
      <c r="E23" s="419">
        <v>0.371</v>
      </c>
      <c r="F23" s="419">
        <v>0.35199999999999998</v>
      </c>
      <c r="G23" s="419">
        <v>0.36399999999999999</v>
      </c>
      <c r="H23" s="419">
        <v>0.39100000000000001</v>
      </c>
      <c r="I23" s="419">
        <v>0.35799999999999998</v>
      </c>
      <c r="J23" s="419">
        <v>0.36</v>
      </c>
      <c r="K23" s="419">
        <v>0.379</v>
      </c>
      <c r="L23" s="419">
        <v>0.39100000000000001</v>
      </c>
      <c r="N23" s="2">
        <v>1999</v>
      </c>
      <c r="O23" s="419">
        <v>0.38600000000000001</v>
      </c>
      <c r="P23" s="419">
        <v>0.36099999999999999</v>
      </c>
      <c r="Q23" s="419">
        <v>0.36599999999999999</v>
      </c>
      <c r="R23" s="419">
        <v>0.371</v>
      </c>
      <c r="S23" s="419">
        <v>0.35199999999999998</v>
      </c>
      <c r="T23" s="419">
        <v>0.36399999999999999</v>
      </c>
      <c r="U23" s="419">
        <v>0.39100000000000001</v>
      </c>
      <c r="V23" s="419">
        <v>0.35799999999999998</v>
      </c>
      <c r="W23" s="419">
        <v>0.36</v>
      </c>
      <c r="X23" s="419">
        <v>0.379</v>
      </c>
      <c r="Y23" s="419">
        <v>0.39100000000000001</v>
      </c>
    </row>
    <row r="24" spans="1:25" s="972" customFormat="1">
      <c r="A24" s="2">
        <v>2000</v>
      </c>
      <c r="B24" s="419">
        <v>0.39200000000000002</v>
      </c>
      <c r="C24" s="419">
        <v>0.36799999999999999</v>
      </c>
      <c r="D24" s="419">
        <v>0.36199999999999999</v>
      </c>
      <c r="E24" s="419">
        <v>0.372</v>
      </c>
      <c r="F24" s="419">
        <v>0.36499999999999999</v>
      </c>
      <c r="G24" s="419">
        <v>0.376</v>
      </c>
      <c r="H24" s="419">
        <v>0.39600000000000002</v>
      </c>
      <c r="I24" s="419">
        <v>0.36399999999999999</v>
      </c>
      <c r="J24" s="419">
        <v>0.36899999999999999</v>
      </c>
      <c r="K24" s="419">
        <v>0.38500000000000001</v>
      </c>
      <c r="L24" s="419">
        <v>0.39</v>
      </c>
      <c r="N24" s="2">
        <v>2000</v>
      </c>
      <c r="O24" s="419">
        <v>0.39200000000000002</v>
      </c>
      <c r="P24" s="419">
        <v>0.36799999999999999</v>
      </c>
      <c r="Q24" s="419">
        <v>0.36199999999999999</v>
      </c>
      <c r="R24" s="419">
        <v>0.372</v>
      </c>
      <c r="S24" s="419">
        <v>0.36499999999999999</v>
      </c>
      <c r="T24" s="419">
        <v>0.376</v>
      </c>
      <c r="U24" s="419">
        <v>0.39600000000000002</v>
      </c>
      <c r="V24" s="419">
        <v>0.36399999999999999</v>
      </c>
      <c r="W24" s="419">
        <v>0.36899999999999999</v>
      </c>
      <c r="X24" s="419">
        <v>0.38500000000000001</v>
      </c>
      <c r="Y24" s="419">
        <v>0.39</v>
      </c>
    </row>
    <row r="25" spans="1:25" s="972" customFormat="1">
      <c r="A25" s="2">
        <v>2001</v>
      </c>
      <c r="B25" s="419">
        <v>0.39200000000000002</v>
      </c>
      <c r="C25" s="419">
        <v>0.36</v>
      </c>
      <c r="D25" s="419">
        <v>0.35799999999999998</v>
      </c>
      <c r="E25" s="419">
        <v>0.376</v>
      </c>
      <c r="F25" s="419">
        <v>0.37</v>
      </c>
      <c r="G25" s="419">
        <v>0.378</v>
      </c>
      <c r="H25" s="419">
        <v>0.39200000000000002</v>
      </c>
      <c r="I25" s="419">
        <v>0.36199999999999999</v>
      </c>
      <c r="J25" s="419">
        <v>0.36599999999999999</v>
      </c>
      <c r="K25" s="419">
        <v>0.38400000000000001</v>
      </c>
      <c r="L25" s="419">
        <v>0.4</v>
      </c>
      <c r="N25" s="2">
        <v>2001</v>
      </c>
      <c r="O25" s="419">
        <v>0.39200000000000002</v>
      </c>
      <c r="P25" s="419">
        <v>0.36</v>
      </c>
      <c r="Q25" s="419">
        <v>0.35799999999999998</v>
      </c>
      <c r="R25" s="419">
        <v>0.376</v>
      </c>
      <c r="S25" s="419">
        <v>0.37</v>
      </c>
      <c r="T25" s="419">
        <v>0.378</v>
      </c>
      <c r="U25" s="419">
        <v>0.39200000000000002</v>
      </c>
      <c r="V25" s="419">
        <v>0.36199999999999999</v>
      </c>
      <c r="W25" s="419">
        <v>0.36599999999999999</v>
      </c>
      <c r="X25" s="419">
        <v>0.38400000000000001</v>
      </c>
      <c r="Y25" s="419">
        <v>0.4</v>
      </c>
    </row>
    <row r="26" spans="1:25" s="972" customFormat="1">
      <c r="A26" s="2">
        <v>2002</v>
      </c>
      <c r="B26" s="419">
        <v>0.39100000000000001</v>
      </c>
      <c r="C26" s="419">
        <v>0.36499999999999999</v>
      </c>
      <c r="D26" s="419">
        <v>0.35899999999999999</v>
      </c>
      <c r="E26" s="419">
        <v>0.376</v>
      </c>
      <c r="F26" s="419">
        <v>0.37</v>
      </c>
      <c r="G26" s="419">
        <v>0.374</v>
      </c>
      <c r="H26" s="419">
        <v>0.39200000000000002</v>
      </c>
      <c r="I26" s="419">
        <v>0.37</v>
      </c>
      <c r="J26" s="419">
        <v>0.36699999999999999</v>
      </c>
      <c r="K26" s="419">
        <v>0.377</v>
      </c>
      <c r="L26" s="419">
        <v>0.40799999999999997</v>
      </c>
      <c r="N26" s="2">
        <v>2002</v>
      </c>
      <c r="O26" s="419">
        <v>0.39100000000000001</v>
      </c>
      <c r="P26" s="419">
        <v>0.36499999999999999</v>
      </c>
      <c r="Q26" s="419">
        <v>0.35899999999999999</v>
      </c>
      <c r="R26" s="419">
        <v>0.376</v>
      </c>
      <c r="S26" s="419">
        <v>0.37</v>
      </c>
      <c r="T26" s="419">
        <v>0.374</v>
      </c>
      <c r="U26" s="419">
        <v>0.39200000000000002</v>
      </c>
      <c r="V26" s="419">
        <v>0.37</v>
      </c>
      <c r="W26" s="419">
        <v>0.36699999999999999</v>
      </c>
      <c r="X26" s="419">
        <v>0.377</v>
      </c>
      <c r="Y26" s="419">
        <v>0.40799999999999997</v>
      </c>
    </row>
    <row r="27" spans="1:25" s="972" customFormat="1">
      <c r="A27" s="2">
        <v>2003</v>
      </c>
      <c r="B27" s="419">
        <v>0.38900000000000001</v>
      </c>
      <c r="C27" s="419">
        <v>0.36399999999999999</v>
      </c>
      <c r="D27" s="419">
        <v>0.34699999999999998</v>
      </c>
      <c r="E27" s="419">
        <v>0.37</v>
      </c>
      <c r="F27" s="419">
        <v>0.371</v>
      </c>
      <c r="G27" s="419">
        <v>0.37</v>
      </c>
      <c r="H27" s="419">
        <v>0.39</v>
      </c>
      <c r="I27" s="419">
        <v>0.35699999999999998</v>
      </c>
      <c r="J27" s="419">
        <v>0.374</v>
      </c>
      <c r="K27" s="419">
        <v>0.39400000000000002</v>
      </c>
      <c r="L27" s="419">
        <v>0.39500000000000002</v>
      </c>
      <c r="N27" s="2">
        <v>2003</v>
      </c>
      <c r="O27" s="419">
        <v>0.38900000000000001</v>
      </c>
      <c r="P27" s="419">
        <v>0.36399999999999999</v>
      </c>
      <c r="Q27" s="419">
        <v>0.34699999999999998</v>
      </c>
      <c r="R27" s="419">
        <v>0.37</v>
      </c>
      <c r="S27" s="419">
        <v>0.371</v>
      </c>
      <c r="T27" s="419">
        <v>0.37</v>
      </c>
      <c r="U27" s="419">
        <v>0.39</v>
      </c>
      <c r="V27" s="419">
        <v>0.35699999999999998</v>
      </c>
      <c r="W27" s="419">
        <v>0.374</v>
      </c>
      <c r="X27" s="419">
        <v>0.39400000000000002</v>
      </c>
      <c r="Y27" s="419">
        <v>0.39500000000000002</v>
      </c>
    </row>
    <row r="28" spans="1:25" s="972" customFormat="1">
      <c r="A28" s="2">
        <v>2004</v>
      </c>
      <c r="B28" s="419">
        <v>0.39400000000000002</v>
      </c>
      <c r="C28" s="419">
        <v>0.36499999999999999</v>
      </c>
      <c r="D28" s="419">
        <v>0.34200000000000003</v>
      </c>
      <c r="E28" s="419">
        <v>0.372</v>
      </c>
      <c r="F28" s="419">
        <v>0.371</v>
      </c>
      <c r="G28" s="419">
        <v>0.374</v>
      </c>
      <c r="H28" s="419">
        <v>0.4</v>
      </c>
      <c r="I28" s="419">
        <v>0.36899999999999999</v>
      </c>
      <c r="J28" s="419">
        <v>0.38100000000000001</v>
      </c>
      <c r="K28" s="419">
        <v>0.39</v>
      </c>
      <c r="L28" s="419">
        <v>0.39500000000000002</v>
      </c>
      <c r="N28" s="2">
        <v>2004</v>
      </c>
      <c r="O28" s="419">
        <v>0.39400000000000002</v>
      </c>
      <c r="P28" s="419">
        <v>0.36499999999999999</v>
      </c>
      <c r="Q28" s="419">
        <v>0.34200000000000003</v>
      </c>
      <c r="R28" s="419">
        <v>0.372</v>
      </c>
      <c r="S28" s="419">
        <v>0.371</v>
      </c>
      <c r="T28" s="419">
        <v>0.374</v>
      </c>
      <c r="U28" s="419">
        <v>0.4</v>
      </c>
      <c r="V28" s="419">
        <v>0.36899999999999999</v>
      </c>
      <c r="W28" s="419">
        <v>0.38100000000000001</v>
      </c>
      <c r="X28" s="419">
        <v>0.39</v>
      </c>
      <c r="Y28" s="419">
        <v>0.39500000000000002</v>
      </c>
    </row>
    <row r="29" spans="1:25" s="972" customFormat="1">
      <c r="A29" s="2">
        <v>2005</v>
      </c>
      <c r="B29" s="419">
        <v>0.39300000000000002</v>
      </c>
      <c r="C29" s="419">
        <v>0.36499999999999999</v>
      </c>
      <c r="D29" s="419">
        <v>0.33600000000000002</v>
      </c>
      <c r="E29" s="419">
        <v>0.375</v>
      </c>
      <c r="F29" s="419">
        <v>0.36899999999999999</v>
      </c>
      <c r="G29" s="419">
        <v>0.38</v>
      </c>
      <c r="H29" s="419">
        <v>0.39400000000000002</v>
      </c>
      <c r="I29" s="419">
        <v>0.373</v>
      </c>
      <c r="J29" s="419">
        <v>0.39600000000000002</v>
      </c>
      <c r="K29" s="419">
        <v>0.38300000000000001</v>
      </c>
      <c r="L29" s="419">
        <v>0.39800000000000002</v>
      </c>
      <c r="N29" s="4">
        <v>2005</v>
      </c>
      <c r="O29" s="419">
        <v>0.39300000000000002</v>
      </c>
      <c r="P29" s="419">
        <v>0.36499999999999999</v>
      </c>
      <c r="Q29" s="419">
        <v>0.33600000000000002</v>
      </c>
      <c r="R29" s="419">
        <v>0.375</v>
      </c>
      <c r="S29" s="419">
        <v>0.36899999999999999</v>
      </c>
      <c r="T29" s="419">
        <v>0.38</v>
      </c>
      <c r="U29" s="419">
        <v>0.39400000000000002</v>
      </c>
      <c r="V29" s="419">
        <v>0.373</v>
      </c>
      <c r="W29" s="419">
        <v>0.39600000000000002</v>
      </c>
      <c r="X29" s="419">
        <v>0.38300000000000001</v>
      </c>
      <c r="Y29" s="419">
        <v>0.39800000000000002</v>
      </c>
    </row>
    <row r="30" spans="1:25" s="972" customFormat="1">
      <c r="A30" s="2">
        <v>2006</v>
      </c>
      <c r="B30" s="419">
        <v>0.39200000000000002</v>
      </c>
      <c r="C30" s="419">
        <v>0.36399999999999999</v>
      </c>
      <c r="D30" s="419">
        <v>0.34300000000000003</v>
      </c>
      <c r="E30" s="419">
        <v>0.374</v>
      </c>
      <c r="F30" s="419">
        <v>0.36699999999999999</v>
      </c>
      <c r="G30" s="419">
        <v>0.375</v>
      </c>
      <c r="H30" s="419">
        <v>0.39100000000000001</v>
      </c>
      <c r="I30" s="419">
        <v>0.376</v>
      </c>
      <c r="J30" s="419">
        <v>0.39500000000000002</v>
      </c>
      <c r="K30" s="419">
        <v>0.38900000000000001</v>
      </c>
      <c r="L30" s="419">
        <v>0.4</v>
      </c>
      <c r="N30" s="4">
        <v>2006</v>
      </c>
      <c r="O30" s="419">
        <v>0.39200000000000002</v>
      </c>
      <c r="P30" s="419">
        <v>0.36399999999999999</v>
      </c>
      <c r="Q30" s="419">
        <v>0.34300000000000003</v>
      </c>
      <c r="R30" s="419">
        <v>0.374</v>
      </c>
      <c r="S30" s="419">
        <v>0.36699999999999999</v>
      </c>
      <c r="T30" s="419">
        <v>0.375</v>
      </c>
      <c r="U30" s="419">
        <v>0.39100000000000001</v>
      </c>
      <c r="V30" s="419">
        <v>0.376</v>
      </c>
      <c r="W30" s="419">
        <v>0.39500000000000002</v>
      </c>
      <c r="X30" s="419">
        <v>0.38900000000000001</v>
      </c>
      <c r="Y30" s="419">
        <v>0.4</v>
      </c>
    </row>
    <row r="31" spans="1:25" s="972" customFormat="1">
      <c r="A31" s="2">
        <v>2007</v>
      </c>
      <c r="B31" s="419">
        <v>0.39300000000000002</v>
      </c>
      <c r="C31" s="419">
        <v>0.37</v>
      </c>
      <c r="D31" s="419">
        <v>0.32900000000000001</v>
      </c>
      <c r="E31" s="419">
        <v>0.372</v>
      </c>
      <c r="F31" s="419">
        <v>0.36599999999999999</v>
      </c>
      <c r="G31" s="419">
        <v>0.376</v>
      </c>
      <c r="H31" s="419">
        <v>0.39200000000000002</v>
      </c>
      <c r="I31" s="419">
        <v>0.379</v>
      </c>
      <c r="J31" s="419">
        <v>0.38500000000000001</v>
      </c>
      <c r="K31" s="419">
        <v>0.39400000000000002</v>
      </c>
      <c r="L31" s="419">
        <v>0.40100000000000002</v>
      </c>
      <c r="N31" s="4">
        <v>2007</v>
      </c>
      <c r="O31" s="419">
        <v>0.39300000000000002</v>
      </c>
      <c r="P31" s="419">
        <v>0.37</v>
      </c>
      <c r="Q31" s="419">
        <v>0.32900000000000001</v>
      </c>
      <c r="R31" s="419">
        <v>0.372</v>
      </c>
      <c r="S31" s="419">
        <v>0.36599999999999999</v>
      </c>
      <c r="T31" s="419">
        <v>0.376</v>
      </c>
      <c r="U31" s="419">
        <v>0.39200000000000002</v>
      </c>
      <c r="V31" s="419">
        <v>0.379</v>
      </c>
      <c r="W31" s="419">
        <v>0.38500000000000001</v>
      </c>
      <c r="X31" s="419">
        <v>0.39400000000000002</v>
      </c>
      <c r="Y31" s="419">
        <v>0.40100000000000002</v>
      </c>
    </row>
    <row r="32" spans="1:25" s="114" customFormat="1">
      <c r="A32" s="738"/>
      <c r="B32" s="10"/>
      <c r="C32" s="967"/>
      <c r="D32" s="967" t="s">
        <v>802</v>
      </c>
      <c r="E32" s="967"/>
      <c r="F32" s="967"/>
      <c r="H32" s="967"/>
      <c r="I32" s="967"/>
      <c r="J32" s="967"/>
      <c r="K32" s="967"/>
      <c r="L32" s="967"/>
      <c r="O32" s="419"/>
      <c r="P32" s="419"/>
      <c r="Q32" s="419"/>
      <c r="R32" s="419"/>
      <c r="S32" s="419"/>
      <c r="T32" s="419"/>
      <c r="U32" s="419"/>
      <c r="V32" s="419"/>
      <c r="W32" s="419"/>
      <c r="X32" s="419"/>
      <c r="Y32" s="419"/>
    </row>
    <row r="33" spans="1:36" s="114" customFormat="1">
      <c r="A33" s="431" t="s">
        <v>603</v>
      </c>
      <c r="B33" s="967">
        <f>((((B13/B5))^(1/8))-1)*100</f>
        <v>0.10735437974798145</v>
      </c>
      <c r="C33" s="967">
        <f t="shared" ref="C33:L33" si="0">((((C13/C5))^(1/8))-1)*100</f>
        <v>-0.4662537973475267</v>
      </c>
      <c r="D33" s="967">
        <f t="shared" si="0"/>
        <v>0.25580998277456857</v>
      </c>
      <c r="E33" s="967">
        <f t="shared" si="0"/>
        <v>0.28944831280452998</v>
      </c>
      <c r="F33" s="967">
        <f t="shared" si="0"/>
        <v>-0.61684768176895055</v>
      </c>
      <c r="G33" s="967">
        <f t="shared" si="0"/>
        <v>-0.10911142975329469</v>
      </c>
      <c r="H33" s="967">
        <f t="shared" si="0"/>
        <v>0.47286861133433167</v>
      </c>
      <c r="I33" s="967">
        <f t="shared" si="0"/>
        <v>-0.53360299483463658</v>
      </c>
      <c r="J33" s="967">
        <f t="shared" si="0"/>
        <v>-0.85634876467827192</v>
      </c>
      <c r="K33" s="967">
        <f t="shared" si="0"/>
        <v>0.21513609307333148</v>
      </c>
      <c r="L33" s="967">
        <f t="shared" si="0"/>
        <v>-0.46658852601902945</v>
      </c>
    </row>
    <row r="34" spans="1:36" s="114" customFormat="1">
      <c r="A34" s="431" t="s">
        <v>604</v>
      </c>
      <c r="B34" s="967">
        <f>((((B24/B13))^(1/11))-1)*100</f>
        <v>1.0093840423616163</v>
      </c>
      <c r="C34" s="967">
        <f t="shared" ref="C34:L34" si="1">((((C24/C13))^(1/11))-1)*100</f>
        <v>1.4237704155323883</v>
      </c>
      <c r="D34" s="967">
        <f t="shared" si="1"/>
        <v>0.41180410853074445</v>
      </c>
      <c r="E34" s="967">
        <f t="shared" si="1"/>
        <v>0.55572664328105148</v>
      </c>
      <c r="F34" s="967">
        <f t="shared" si="1"/>
        <v>0.78274594288021415</v>
      </c>
      <c r="G34" s="967">
        <f t="shared" si="1"/>
        <v>0.86534452101361126</v>
      </c>
      <c r="H34" s="967">
        <f t="shared" si="1"/>
        <v>1.1026529665165041</v>
      </c>
      <c r="I34" s="967">
        <f t="shared" si="1"/>
        <v>0.54167469438763938</v>
      </c>
      <c r="J34" s="967">
        <f t="shared" si="1"/>
        <v>0.45567524354055422</v>
      </c>
      <c r="K34" s="967">
        <f t="shared" si="1"/>
        <v>0.81798333933409406</v>
      </c>
      <c r="L34" s="967">
        <f t="shared" si="1"/>
        <v>1.2280637278147433</v>
      </c>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row>
    <row r="35" spans="1:36" s="114" customFormat="1">
      <c r="A35" s="431" t="s">
        <v>447</v>
      </c>
      <c r="B35" s="23">
        <f>((((B31/B5))^(1/26))-1)*100</f>
        <v>0.46881525491226927</v>
      </c>
      <c r="C35" s="23">
        <f t="shared" ref="C35:L35" si="2">((((C31/C5))^(1/26))-1)*100</f>
        <v>0.47629544688059244</v>
      </c>
      <c r="D35" s="23">
        <f t="shared" si="2"/>
        <v>-0.11509662302719992</v>
      </c>
      <c r="E35" s="23">
        <f t="shared" si="2"/>
        <v>0.32392009564068402</v>
      </c>
      <c r="F35" s="23">
        <f t="shared" si="2"/>
        <v>0.15012086797299151</v>
      </c>
      <c r="G35" s="23">
        <f t="shared" si="2"/>
        <v>0.33148947038708076</v>
      </c>
      <c r="H35" s="23">
        <f t="shared" si="2"/>
        <v>0.57168926577804147</v>
      </c>
      <c r="I35" s="23">
        <f t="shared" si="2"/>
        <v>0.21948366230499783</v>
      </c>
      <c r="J35" s="23">
        <f t="shared" si="2"/>
        <v>9.1019054523333587E-2</v>
      </c>
      <c r="K35" s="23">
        <f t="shared" si="2"/>
        <v>0.50091244732652918</v>
      </c>
      <c r="L35" s="23">
        <f t="shared" si="2"/>
        <v>0.48063024015332356</v>
      </c>
    </row>
    <row r="36" spans="1:36" s="114" customFormat="1">
      <c r="A36" s="431" t="s">
        <v>449</v>
      </c>
      <c r="B36" s="967">
        <f>((((B31/B24))^(1/7))-1)*100</f>
        <v>3.6403368401360936E-2</v>
      </c>
      <c r="C36" s="967">
        <f t="shared" ref="C36:L36" si="3">((((C31/C24))^(1/7))-1)*100</f>
        <v>7.745951967936815E-2</v>
      </c>
      <c r="D36" s="967">
        <f t="shared" si="3"/>
        <v>-1.3562399284640092</v>
      </c>
      <c r="E36" s="967">
        <f t="shared" si="3"/>
        <v>0</v>
      </c>
      <c r="F36" s="967">
        <f t="shared" si="3"/>
        <v>3.9093065331807786E-2</v>
      </c>
      <c r="G36" s="967">
        <f t="shared" si="3"/>
        <v>0</v>
      </c>
      <c r="H36" s="967">
        <f t="shared" si="3"/>
        <v>-0.14492875475609068</v>
      </c>
      <c r="I36" s="967">
        <f t="shared" si="3"/>
        <v>0.57855775285047262</v>
      </c>
      <c r="J36" s="967">
        <f t="shared" si="3"/>
        <v>0.60822350231568567</v>
      </c>
      <c r="K36" s="967">
        <f t="shared" si="3"/>
        <v>0.33065367163140902</v>
      </c>
      <c r="L36" s="967">
        <f t="shared" si="3"/>
        <v>0.39814318078899014</v>
      </c>
    </row>
    <row r="37" spans="1:36" s="114" customFormat="1">
      <c r="A37" s="431"/>
      <c r="D37" s="967" t="s">
        <v>655</v>
      </c>
    </row>
    <row r="38" spans="1:36" s="114" customFormat="1">
      <c r="A38" s="431" t="s">
        <v>603</v>
      </c>
      <c r="B38" s="46">
        <f>B13-B5</f>
        <v>3.0000000000000027E-3</v>
      </c>
      <c r="C38" s="46">
        <f t="shared" ref="C38:L38" si="4">C13-C5</f>
        <v>-1.2000000000000011E-2</v>
      </c>
      <c r="D38" s="46">
        <f t="shared" si="4"/>
        <v>6.9999999999999507E-3</v>
      </c>
      <c r="E38" s="46">
        <f t="shared" si="4"/>
        <v>7.9999999999999516E-3</v>
      </c>
      <c r="F38" s="46">
        <f t="shared" si="4"/>
        <v>-1.699999999999996E-2</v>
      </c>
      <c r="G38" s="46">
        <f t="shared" si="4"/>
        <v>-2.9999999999999472E-3</v>
      </c>
      <c r="H38" s="46">
        <f t="shared" si="4"/>
        <v>1.2999999999999956E-2</v>
      </c>
      <c r="I38" s="46">
        <f t="shared" si="4"/>
        <v>-1.4999999999999958E-2</v>
      </c>
      <c r="J38" s="46">
        <f t="shared" si="4"/>
        <v>-2.5000000000000022E-2</v>
      </c>
      <c r="K38" s="46">
        <f t="shared" si="4"/>
        <v>6.0000000000000053E-3</v>
      </c>
      <c r="L38" s="46">
        <f t="shared" si="4"/>
        <v>-1.2999999999999956E-2</v>
      </c>
    </row>
    <row r="39" spans="1:36" s="114" customFormat="1">
      <c r="A39" s="431" t="s">
        <v>604</v>
      </c>
      <c r="B39" s="46">
        <f>B24-B13</f>
        <v>4.1000000000000036E-2</v>
      </c>
      <c r="C39" s="46">
        <f t="shared" ref="C39:L39" si="5">C24-C13</f>
        <v>5.2999999999999992E-2</v>
      </c>
      <c r="D39" s="46">
        <f t="shared" si="5"/>
        <v>1.6000000000000014E-2</v>
      </c>
      <c r="E39" s="46">
        <f t="shared" si="5"/>
        <v>2.200000000000002E-2</v>
      </c>
      <c r="F39" s="46">
        <f t="shared" si="5"/>
        <v>2.9999999999999971E-2</v>
      </c>
      <c r="G39" s="46">
        <f t="shared" si="5"/>
        <v>3.3999999999999975E-2</v>
      </c>
      <c r="H39" s="46">
        <f t="shared" si="5"/>
        <v>4.500000000000004E-2</v>
      </c>
      <c r="I39" s="46">
        <f t="shared" si="5"/>
        <v>2.0999999999999963E-2</v>
      </c>
      <c r="J39" s="46">
        <f t="shared" si="5"/>
        <v>1.8000000000000016E-2</v>
      </c>
      <c r="K39" s="46">
        <f t="shared" si="5"/>
        <v>3.3000000000000029E-2</v>
      </c>
      <c r="L39" s="46">
        <f t="shared" si="5"/>
        <v>4.8999999999999988E-2</v>
      </c>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row>
    <row r="40" spans="1:36" s="114" customFormat="1">
      <c r="A40" s="431" t="s">
        <v>447</v>
      </c>
      <c r="B40" s="231">
        <f>B31-B5</f>
        <v>4.500000000000004E-2</v>
      </c>
      <c r="C40" s="231">
        <f t="shared" ref="C40:L40" si="6">C31-C5</f>
        <v>4.2999999999999983E-2</v>
      </c>
      <c r="D40" s="231">
        <f t="shared" si="6"/>
        <v>-1.0000000000000009E-2</v>
      </c>
      <c r="E40" s="231">
        <f t="shared" si="6"/>
        <v>2.9999999999999971E-2</v>
      </c>
      <c r="F40" s="231">
        <f t="shared" si="6"/>
        <v>1.4000000000000012E-2</v>
      </c>
      <c r="G40" s="231">
        <f t="shared" si="6"/>
        <v>3.1000000000000028E-2</v>
      </c>
      <c r="H40" s="231">
        <f t="shared" si="6"/>
        <v>5.3999999999999992E-2</v>
      </c>
      <c r="I40" s="231">
        <f t="shared" si="6"/>
        <v>2.1000000000000019E-2</v>
      </c>
      <c r="J40" s="231">
        <f t="shared" si="6"/>
        <v>9.000000000000008E-3</v>
      </c>
      <c r="K40" s="231">
        <f t="shared" si="6"/>
        <v>4.8000000000000043E-2</v>
      </c>
      <c r="L40" s="231">
        <f t="shared" si="6"/>
        <v>4.7000000000000042E-2</v>
      </c>
    </row>
    <row r="41" spans="1:36" s="114" customFormat="1">
      <c r="A41" s="431" t="s">
        <v>449</v>
      </c>
      <c r="B41" s="46">
        <f>B31-B24</f>
        <v>1.0000000000000009E-3</v>
      </c>
      <c r="C41" s="46">
        <f t="shared" ref="C41:L41" si="7">C31-C24</f>
        <v>2.0000000000000018E-3</v>
      </c>
      <c r="D41" s="46">
        <f t="shared" si="7"/>
        <v>-3.2999999999999974E-2</v>
      </c>
      <c r="E41" s="46">
        <f t="shared" si="7"/>
        <v>0</v>
      </c>
      <c r="F41" s="46">
        <f t="shared" si="7"/>
        <v>1.0000000000000009E-3</v>
      </c>
      <c r="G41" s="46">
        <f t="shared" si="7"/>
        <v>0</v>
      </c>
      <c r="H41" s="46">
        <f t="shared" si="7"/>
        <v>-4.0000000000000036E-3</v>
      </c>
      <c r="I41" s="46">
        <f t="shared" si="7"/>
        <v>1.5000000000000013E-2</v>
      </c>
      <c r="J41" s="46">
        <f t="shared" si="7"/>
        <v>1.6000000000000014E-2</v>
      </c>
      <c r="K41" s="46">
        <f t="shared" si="7"/>
        <v>9.000000000000008E-3</v>
      </c>
      <c r="L41" s="46">
        <f t="shared" si="7"/>
        <v>1.100000000000001E-2</v>
      </c>
    </row>
    <row r="42" spans="1:36">
      <c r="A42" s="4"/>
      <c r="B42" s="27"/>
    </row>
    <row r="43" spans="1:36" ht="30" customHeight="1">
      <c r="A43" s="1170" t="s">
        <v>1262</v>
      </c>
      <c r="B43" s="1170"/>
      <c r="C43" s="1170"/>
      <c r="D43" s="1170"/>
      <c r="E43" s="1170"/>
      <c r="F43" s="1170"/>
      <c r="G43" s="1170"/>
      <c r="H43" s="1170"/>
      <c r="I43" s="1170"/>
      <c r="J43" s="1170"/>
      <c r="K43" s="1170"/>
      <c r="L43" s="1170"/>
    </row>
    <row r="44" spans="1:36">
      <c r="A44" s="4" t="s">
        <v>1332</v>
      </c>
    </row>
    <row r="45" spans="1:36">
      <c r="A45" s="4" t="s">
        <v>1868</v>
      </c>
    </row>
    <row r="46" spans="1:36" ht="15.75">
      <c r="A46" s="1168" t="s">
        <v>1161</v>
      </c>
      <c r="B46" s="1169"/>
      <c r="C46" s="1169"/>
      <c r="D46" s="1169"/>
      <c r="E46" s="1169"/>
      <c r="F46" s="1169"/>
      <c r="G46" s="1169"/>
      <c r="H46" s="1169"/>
      <c r="I46" s="1169"/>
      <c r="J46" s="1169"/>
      <c r="K46" s="1169"/>
      <c r="L46" s="1169"/>
    </row>
    <row r="47" spans="1:36">
      <c r="A47" s="1" t="s">
        <v>934</v>
      </c>
      <c r="B47" s="4"/>
    </row>
    <row r="48" spans="1:36">
      <c r="A48" s="1"/>
      <c r="B48" s="4"/>
    </row>
    <row r="50" spans="3:6">
      <c r="F50" s="27">
        <f>(B27/B5-1)*100</f>
        <v>11.781609195402321</v>
      </c>
    </row>
    <row r="51" spans="3:6">
      <c r="C51" s="230">
        <f>B5</f>
        <v>0.34799999999999998</v>
      </c>
      <c r="F51" s="27">
        <f>(B13/B5-1)*100</f>
        <v>0.86206896551723755</v>
      </c>
    </row>
    <row r="52" spans="3:6">
      <c r="C52" s="230">
        <f>B13</f>
        <v>0.35099999999999998</v>
      </c>
      <c r="F52" s="27">
        <f>(B24/B13-1)*100</f>
        <v>11.680911680911699</v>
      </c>
    </row>
    <row r="53" spans="3:6">
      <c r="C53" s="230">
        <f>B24</f>
        <v>0.39200000000000002</v>
      </c>
      <c r="F53" s="27">
        <f>(B27/B24-1)*100</f>
        <v>-0.76530612244898322</v>
      </c>
    </row>
    <row r="54" spans="3:6">
      <c r="C54" s="230">
        <f>B27</f>
        <v>0.38900000000000001</v>
      </c>
    </row>
  </sheetData>
  <mergeCells count="13">
    <mergeCell ref="G3:G4"/>
    <mergeCell ref="H3:H4"/>
    <mergeCell ref="I3:I4"/>
    <mergeCell ref="A46:L46"/>
    <mergeCell ref="A43:L43"/>
    <mergeCell ref="B3:B4"/>
    <mergeCell ref="C3:C4"/>
    <mergeCell ref="D3:D4"/>
    <mergeCell ref="E3:E4"/>
    <mergeCell ref="J3:J4"/>
    <mergeCell ref="K3:K4"/>
    <mergeCell ref="L3:L4"/>
    <mergeCell ref="F3:F4"/>
  </mergeCells>
  <phoneticPr fontId="35" type="noConversion"/>
  <pageMargins left="0.75" right="0.75" top="1" bottom="1" header="0.5" footer="0.5"/>
  <pageSetup scale="74"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sheetPr codeName="Sheet42">
    <pageSetUpPr fitToPage="1"/>
  </sheetPr>
  <dimension ref="A1:AJ41"/>
  <sheetViews>
    <sheetView view="pageBreakPreview" zoomScaleSheetLayoutView="100" workbookViewId="0">
      <pane xSplit="1" ySplit="4" topLeftCell="B11"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2" width="9.28515625" style="1" bestFit="1" customWidth="1"/>
    <col min="13" max="16384" width="8.85546875" style="1"/>
  </cols>
  <sheetData>
    <row r="1" spans="1:24" ht="30" customHeight="1">
      <c r="A1" s="4"/>
      <c r="B1" s="1181" t="s">
        <v>2148</v>
      </c>
      <c r="C1" s="1181"/>
      <c r="D1" s="1181"/>
      <c r="E1" s="1181"/>
      <c r="F1" s="1181"/>
      <c r="G1" s="1181"/>
      <c r="H1" s="1181"/>
      <c r="I1" s="1181"/>
      <c r="J1" s="1181"/>
      <c r="K1" s="1181"/>
      <c r="L1" s="1181"/>
    </row>
    <row r="2" spans="1:24">
      <c r="A2" s="4"/>
      <c r="B2" s="4"/>
    </row>
    <row r="3" spans="1:24">
      <c r="B3" s="1164" t="s">
        <v>375</v>
      </c>
      <c r="C3" s="1164" t="s">
        <v>377</v>
      </c>
      <c r="D3" s="1164" t="s">
        <v>386</v>
      </c>
      <c r="E3" s="1164" t="s">
        <v>378</v>
      </c>
      <c r="F3" s="1164" t="s">
        <v>379</v>
      </c>
      <c r="G3" s="1164" t="s">
        <v>380</v>
      </c>
      <c r="H3" s="1164" t="s">
        <v>381</v>
      </c>
      <c r="I3" s="1164" t="s">
        <v>382</v>
      </c>
      <c r="J3" s="1164" t="s">
        <v>383</v>
      </c>
      <c r="K3" s="1164" t="s">
        <v>384</v>
      </c>
      <c r="L3" s="1164" t="s">
        <v>385</v>
      </c>
    </row>
    <row r="4" spans="1:24" s="4" customFormat="1">
      <c r="A4" s="7"/>
      <c r="B4" s="1165"/>
      <c r="C4" s="1165"/>
      <c r="D4" s="1165"/>
      <c r="E4" s="1165"/>
      <c r="F4" s="1165"/>
      <c r="G4" s="1165"/>
      <c r="H4" s="1165"/>
      <c r="I4" s="1165"/>
      <c r="J4" s="1165"/>
      <c r="K4" s="1165"/>
      <c r="L4" s="1165"/>
    </row>
    <row r="5" spans="1:24">
      <c r="A5" s="2">
        <v>1981</v>
      </c>
      <c r="B5" s="19">
        <f>'14a'!B5/'14a'!$B5*100</f>
        <v>100</v>
      </c>
      <c r="C5" s="21">
        <f>'14a'!C5/'14a'!$B5*100</f>
        <v>105.06912442396315</v>
      </c>
      <c r="D5" s="21">
        <f>'14a'!D5/'14a'!$B5*100</f>
        <v>109.21658986175116</v>
      </c>
      <c r="E5" s="21">
        <f>'14a'!E5/'14a'!$B5*100</f>
        <v>106.45161290322582</v>
      </c>
      <c r="F5" s="21">
        <f>'14a'!F5/'14a'!$B5*100</f>
        <v>112.21198156682028</v>
      </c>
      <c r="G5" s="21">
        <f>'14a'!G5/'14a'!$B5*100</f>
        <v>103.4562211981567</v>
      </c>
      <c r="H5" s="21">
        <f>'14a'!H5/'14a'!$B5*100</f>
        <v>95.391705069124427</v>
      </c>
      <c r="I5" s="21">
        <f>'14a'!I5/'14a'!$B5*100</f>
        <v>103.91705069124424</v>
      </c>
      <c r="J5" s="21">
        <f>'14a'!J5/'14a'!$B5*100</f>
        <v>107.83410138248848</v>
      </c>
      <c r="K5" s="21">
        <f>'14a'!K5/'14a'!$B5*100</f>
        <v>93.778801843317979</v>
      </c>
      <c r="L5" s="21">
        <f>'14a'!L5/'14a'!$B5*100</f>
        <v>98.387096774193552</v>
      </c>
      <c r="N5" s="6"/>
      <c r="O5" s="6"/>
      <c r="P5" s="6"/>
      <c r="Q5" s="6"/>
      <c r="R5" s="6"/>
      <c r="S5" s="6"/>
      <c r="T5" s="6"/>
      <c r="U5" s="6"/>
      <c r="V5" s="6"/>
      <c r="W5" s="6"/>
      <c r="X5" s="6"/>
    </row>
    <row r="6" spans="1:24">
      <c r="A6" s="2">
        <v>1982</v>
      </c>
      <c r="B6" s="19">
        <f>'14a'!B6/'14a'!$B6*100</f>
        <v>100</v>
      </c>
      <c r="C6" s="21">
        <f>'14a'!C6/'14a'!$B6*100</f>
        <v>103.54767184035477</v>
      </c>
      <c r="D6" s="21">
        <f>'14a'!D6/'14a'!$B6*100</f>
        <v>107.53880266075389</v>
      </c>
      <c r="E6" s="21">
        <f>'14a'!E6/'14a'!$B6*100</f>
        <v>107.31707317073169</v>
      </c>
      <c r="F6" s="21">
        <f>'14a'!F6/'14a'!$B6*100</f>
        <v>111.52993348115299</v>
      </c>
      <c r="G6" s="21">
        <f>'14a'!G6/'14a'!$B6*100</f>
        <v>103.10421286031041</v>
      </c>
      <c r="H6" s="21">
        <f>'14a'!H6/'14a'!$B6*100</f>
        <v>95.565410199556538</v>
      </c>
      <c r="I6" s="21">
        <f>'14a'!I6/'14a'!$B6*100</f>
        <v>103.32594235033258</v>
      </c>
      <c r="J6" s="21">
        <f>'14a'!J6/'14a'!$B6*100</f>
        <v>102.66075388026607</v>
      </c>
      <c r="K6" s="21">
        <f>'14a'!K6/'14a'!$B6*100</f>
        <v>94.456762749445673</v>
      </c>
      <c r="L6" s="21">
        <f>'14a'!L6/'14a'!$B6*100</f>
        <v>99.334811529933475</v>
      </c>
      <c r="N6" s="6"/>
      <c r="O6" s="6"/>
      <c r="P6" s="6"/>
      <c r="Q6" s="6"/>
      <c r="R6" s="6"/>
      <c r="S6" s="6"/>
      <c r="T6" s="6"/>
      <c r="U6" s="6"/>
      <c r="V6" s="6"/>
      <c r="W6" s="6"/>
      <c r="X6" s="6"/>
    </row>
    <row r="7" spans="1:24">
      <c r="A7" s="2">
        <v>1983</v>
      </c>
      <c r="B7" s="19">
        <f>'14a'!B7/'14a'!$B7*100</f>
        <v>100</v>
      </c>
      <c r="C7" s="21">
        <f>'14a'!C7/'14a'!$B7*100</f>
        <v>109.1684434968017</v>
      </c>
      <c r="D7" s="21">
        <f>'14a'!D7/'14a'!$B7*100</f>
        <v>106.39658848614073</v>
      </c>
      <c r="E7" s="21">
        <f>'14a'!E7/'14a'!$B7*100</f>
        <v>105.54371002132197</v>
      </c>
      <c r="F7" s="21">
        <f>'14a'!F7/'14a'!$B7*100</f>
        <v>114.49893390191899</v>
      </c>
      <c r="G7" s="21">
        <f>'14a'!G7/'14a'!$B7*100</f>
        <v>101.27931769722815</v>
      </c>
      <c r="H7" s="21">
        <f>'14a'!H7/'14a'!$B7*100</f>
        <v>97.441364605543725</v>
      </c>
      <c r="I7" s="21">
        <f>'14a'!I7/'14a'!$B7*100</f>
        <v>99.786780383795332</v>
      </c>
      <c r="J7" s="21">
        <f>'14a'!J7/'14a'!$B7*100</f>
        <v>102.34541577825161</v>
      </c>
      <c r="K7" s="21">
        <f>'14a'!K7/'14a'!$B7*100</f>
        <v>95.735607675906181</v>
      </c>
      <c r="L7" s="21">
        <f>'14a'!L7/'14a'!$B7*100</f>
        <v>97.441364605543725</v>
      </c>
      <c r="N7" s="6"/>
      <c r="O7" s="6"/>
      <c r="P7" s="6"/>
      <c r="Q7" s="6"/>
      <c r="R7" s="6"/>
      <c r="S7" s="6"/>
      <c r="T7" s="6"/>
      <c r="U7" s="6"/>
      <c r="V7" s="6"/>
      <c r="W7" s="6"/>
      <c r="X7" s="6"/>
    </row>
    <row r="8" spans="1:24">
      <c r="A8" s="2">
        <v>1984</v>
      </c>
      <c r="B8" s="19">
        <f>'14a'!B8/'14a'!$B8*100</f>
        <v>100</v>
      </c>
      <c r="C8" s="21">
        <f>'14a'!C8/'14a'!$B8*100</f>
        <v>107.28051391862954</v>
      </c>
      <c r="D8" s="21">
        <f>'14a'!D8/'14a'!$B8*100</f>
        <v>105.56745182012848</v>
      </c>
      <c r="E8" s="21">
        <f>'14a'!E8/'14a'!$B8*100</f>
        <v>104.71092077087793</v>
      </c>
      <c r="F8" s="21">
        <f>'14a'!F8/'14a'!$B8*100</f>
        <v>107.49464668094217</v>
      </c>
      <c r="G8" s="21">
        <f>'14a'!G8/'14a'!$B8*100</f>
        <v>104.28265524625266</v>
      </c>
      <c r="H8" s="21">
        <f>'14a'!H8/'14a'!$B8*100</f>
        <v>95.074946466809422</v>
      </c>
      <c r="I8" s="21">
        <f>'14a'!I8/'14a'!$B8*100</f>
        <v>98.072805139186286</v>
      </c>
      <c r="J8" s="21">
        <f>'14a'!J8/'14a'!$B8*100</f>
        <v>101.49892933618843</v>
      </c>
      <c r="K8" s="21">
        <f>'14a'!K8/'14a'!$B8*100</f>
        <v>95.931477516059942</v>
      </c>
      <c r="L8" s="21">
        <f>'14a'!L8/'14a'!$B8*100</f>
        <v>101.71306209850106</v>
      </c>
      <c r="N8" s="6"/>
      <c r="O8" s="6"/>
      <c r="P8" s="6"/>
      <c r="Q8" s="6"/>
      <c r="R8" s="6"/>
      <c r="S8" s="6"/>
      <c r="T8" s="6"/>
      <c r="U8" s="6"/>
      <c r="V8" s="6"/>
      <c r="W8" s="6"/>
      <c r="X8" s="6"/>
    </row>
    <row r="9" spans="1:24">
      <c r="A9" s="2">
        <v>1985</v>
      </c>
      <c r="B9" s="19">
        <f>'14a'!B9/'14a'!$B9*100</f>
        <v>100</v>
      </c>
      <c r="C9" s="21">
        <f>'14a'!C9/'14a'!$B9*100</f>
        <v>113.14655172413792</v>
      </c>
      <c r="D9" s="21">
        <f>'14a'!D9/'14a'!$B9*100</f>
        <v>106.25</v>
      </c>
      <c r="E9" s="21">
        <f>'14a'!E9/'14a'!$B9*100</f>
        <v>107.97413793103448</v>
      </c>
      <c r="F9" s="21">
        <f>'14a'!F9/'14a'!$B9*100</f>
        <v>106.03448275862068</v>
      </c>
      <c r="G9" s="21">
        <f>'14a'!G9/'14a'!$B9*100</f>
        <v>102.58620689655172</v>
      </c>
      <c r="H9" s="21">
        <f>'14a'!H9/'14a'!$B9*100</f>
        <v>95.043103448275858</v>
      </c>
      <c r="I9" s="21">
        <f>'14a'!I9/'14a'!$B9*100</f>
        <v>99.137931034482762</v>
      </c>
      <c r="J9" s="21">
        <f>'14a'!J9/'14a'!$B9*100</f>
        <v>102.80172413793103</v>
      </c>
      <c r="K9" s="21">
        <f>'14a'!K9/'14a'!$B9*100</f>
        <v>94.827586206896555</v>
      </c>
      <c r="L9" s="21">
        <f>'14a'!L9/'14a'!$B9*100</f>
        <v>103.01724137931035</v>
      </c>
      <c r="N9" s="6"/>
      <c r="O9" s="6"/>
      <c r="P9" s="6"/>
      <c r="Q9" s="6"/>
      <c r="R9" s="6"/>
      <c r="S9" s="6"/>
      <c r="T9" s="6"/>
      <c r="U9" s="6"/>
      <c r="V9" s="6"/>
      <c r="W9" s="6"/>
      <c r="X9" s="6"/>
    </row>
    <row r="10" spans="1:24">
      <c r="A10" s="2">
        <v>1986</v>
      </c>
      <c r="B10" s="19">
        <f>'14a'!B10/'14a'!$B10*100</f>
        <v>100</v>
      </c>
      <c r="C10" s="21">
        <f>'14a'!C10/'14a'!$B10*100</f>
        <v>110.96774193548387</v>
      </c>
      <c r="D10" s="21">
        <f>'14a'!D10/'14a'!$B10*100</f>
        <v>105.3763440860215</v>
      </c>
      <c r="E10" s="21">
        <f>'14a'!E10/'14a'!$B10*100</f>
        <v>106.88172043010753</v>
      </c>
      <c r="F10" s="21">
        <f>'14a'!F10/'14a'!$B10*100</f>
        <v>103.44086021505376</v>
      </c>
      <c r="G10" s="21">
        <f>'14a'!G10/'14a'!$B10*100</f>
        <v>102.79569892473117</v>
      </c>
      <c r="H10" s="21">
        <f>'14a'!H10/'14a'!$B10*100</f>
        <v>95.268817204301072</v>
      </c>
      <c r="I10" s="21">
        <f>'14a'!I10/'14a'!$B10*100</f>
        <v>98.064516129032256</v>
      </c>
      <c r="J10" s="21">
        <f>'14a'!J10/'14a'!$B10*100</f>
        <v>105.59139784946237</v>
      </c>
      <c r="K10" s="21">
        <f>'14a'!K10/'14a'!$B10*100</f>
        <v>96.774193548387089</v>
      </c>
      <c r="L10" s="21">
        <f>'14a'!L10/'14a'!$B10*100</f>
        <v>100</v>
      </c>
      <c r="N10" s="6"/>
      <c r="O10" s="6"/>
      <c r="P10" s="6"/>
      <c r="Q10" s="6"/>
      <c r="R10" s="6"/>
      <c r="S10" s="6"/>
      <c r="T10" s="6"/>
      <c r="U10" s="6"/>
      <c r="V10" s="6"/>
      <c r="W10" s="6"/>
      <c r="X10" s="6"/>
    </row>
    <row r="11" spans="1:24">
      <c r="A11" s="2">
        <v>1987</v>
      </c>
      <c r="B11" s="19">
        <f>'14a'!B11/'14a'!$B11*100</f>
        <v>100</v>
      </c>
      <c r="C11" s="21">
        <f>'14a'!C11/'14a'!$B11*100</f>
        <v>109.4420600858369</v>
      </c>
      <c r="D11" s="21">
        <f>'14a'!D11/'14a'!$B11*100</f>
        <v>104.0772532188841</v>
      </c>
      <c r="E11" s="21">
        <f>'14a'!E11/'14a'!$B11*100</f>
        <v>102.57510729613732</v>
      </c>
      <c r="F11" s="21">
        <f>'14a'!F11/'14a'!$B11*100</f>
        <v>107.08154506437768</v>
      </c>
      <c r="G11" s="21">
        <f>'14a'!G11/'14a'!$B11*100</f>
        <v>102.78969957081546</v>
      </c>
      <c r="H11" s="21">
        <f>'14a'!H11/'14a'!$B11*100</f>
        <v>94.635193133047196</v>
      </c>
      <c r="I11" s="21">
        <f>'14a'!I11/'14a'!$B11*100</f>
        <v>100.85836909871244</v>
      </c>
      <c r="J11" s="21">
        <f>'14a'!J11/'14a'!$B11*100</f>
        <v>101.28755364806865</v>
      </c>
      <c r="K11" s="21">
        <f>'14a'!K11/'14a'!$B11*100</f>
        <v>97.210300429184542</v>
      </c>
      <c r="L11" s="21">
        <f>'14a'!L11/'14a'!$B11*100</f>
        <v>101.50214592274678</v>
      </c>
      <c r="N11" s="6"/>
      <c r="O11" s="6"/>
      <c r="P11" s="6"/>
      <c r="Q11" s="6"/>
      <c r="R11" s="6"/>
      <c r="S11" s="6"/>
      <c r="T11" s="6"/>
      <c r="U11" s="6"/>
      <c r="V11" s="6"/>
      <c r="W11" s="6"/>
      <c r="X11" s="6"/>
    </row>
    <row r="12" spans="1:24">
      <c r="A12" s="2">
        <v>1988</v>
      </c>
      <c r="B12" s="19">
        <f>'14a'!B12/'14a'!$B12*100</f>
        <v>100</v>
      </c>
      <c r="C12" s="21">
        <f>'14a'!C12/'14a'!$B12*100</f>
        <v>103.21199143468948</v>
      </c>
      <c r="D12" s="21">
        <f>'14a'!D12/'14a'!$B12*100</f>
        <v>103.8543897216274</v>
      </c>
      <c r="E12" s="21">
        <f>'14a'!E12/'14a'!$B12*100</f>
        <v>103.21199143468948</v>
      </c>
      <c r="F12" s="21">
        <f>'14a'!F12/'14a'!$B12*100</f>
        <v>104.71092077087793</v>
      </c>
      <c r="G12" s="21">
        <f>'14a'!G12/'14a'!$B12*100</f>
        <v>104.06852248394003</v>
      </c>
      <c r="H12" s="21">
        <f>'14a'!H12/'14a'!$B12*100</f>
        <v>95.289079229122052</v>
      </c>
      <c r="I12" s="21">
        <f>'14a'!I12/'14a'!$B12*100</f>
        <v>102.78372591006423</v>
      </c>
      <c r="J12" s="21">
        <f>'14a'!J12/'14a'!$B12*100</f>
        <v>103.42612419700212</v>
      </c>
      <c r="K12" s="21">
        <f>'14a'!K12/'14a'!$B12*100</f>
        <v>95.503211991434682</v>
      </c>
      <c r="L12" s="21">
        <f>'14a'!L12/'14a'!$B12*100</f>
        <v>96.788008565310491</v>
      </c>
      <c r="N12" s="6"/>
      <c r="O12" s="6"/>
      <c r="P12" s="6"/>
      <c r="Q12" s="6"/>
      <c r="R12" s="6"/>
      <c r="S12" s="6"/>
      <c r="T12" s="6"/>
      <c r="U12" s="6"/>
      <c r="V12" s="6"/>
      <c r="W12" s="6"/>
      <c r="X12" s="6"/>
    </row>
    <row r="13" spans="1:24">
      <c r="A13" s="2">
        <v>1989</v>
      </c>
      <c r="B13" s="19">
        <f>'14a'!B13/'14a'!$B13*100</f>
        <v>100</v>
      </c>
      <c r="C13" s="21">
        <f>'14a'!C13/'14a'!$B13*100</f>
        <v>105.21739130434781</v>
      </c>
      <c r="D13" s="21">
        <f>'14a'!D13/'14a'!$B13*100</f>
        <v>109.56521739130434</v>
      </c>
      <c r="E13" s="21">
        <f>'14a'!E13/'14a'!$B13*100</f>
        <v>106.95652173913044</v>
      </c>
      <c r="F13" s="21">
        <f>'14a'!F13/'14a'!$B13*100</f>
        <v>104.99999999999999</v>
      </c>
      <c r="G13" s="21">
        <f>'14a'!G13/'14a'!$B13*100</f>
        <v>102.60869565217389</v>
      </c>
      <c r="H13" s="21">
        <f>'14a'!H13/'14a'!$B13*100</f>
        <v>96.521739130434781</v>
      </c>
      <c r="I13" s="21">
        <f>'14a'!I13/'14a'!$B13*100</f>
        <v>102.39130434782608</v>
      </c>
      <c r="J13" s="21">
        <f>'14a'!J13/'14a'!$B13*100</f>
        <v>103.69565217391303</v>
      </c>
      <c r="K13" s="21">
        <f>'14a'!K13/'14a'!$B13*100</f>
        <v>96.304347826086953</v>
      </c>
      <c r="L13" s="21">
        <f>'14a'!L13/'14a'!$B13*100</f>
        <v>95</v>
      </c>
      <c r="N13" s="6"/>
      <c r="O13" s="6"/>
      <c r="P13" s="6"/>
      <c r="Q13" s="6"/>
      <c r="R13" s="6"/>
      <c r="S13" s="6"/>
      <c r="T13" s="6"/>
      <c r="U13" s="6"/>
      <c r="V13" s="6"/>
      <c r="W13" s="6"/>
      <c r="X13" s="6"/>
    </row>
    <row r="14" spans="1:24">
      <c r="A14" s="2">
        <v>1990</v>
      </c>
      <c r="B14" s="19">
        <f>'14a'!B14/'14a'!$B14*100</f>
        <v>100</v>
      </c>
      <c r="C14" s="21">
        <f>'14a'!C14/'14a'!$B14*100</f>
        <v>108.1419624217119</v>
      </c>
      <c r="D14" s="21">
        <f>'14a'!D14/'14a'!$B14*100</f>
        <v>102.08768267223383</v>
      </c>
      <c r="E14" s="21">
        <f>'14a'!E14/'14a'!$B14*100</f>
        <v>101.46137787056368</v>
      </c>
      <c r="F14" s="21">
        <f>'14a'!F14/'14a'!$B14*100</f>
        <v>102.2964509394572</v>
      </c>
      <c r="G14" s="21">
        <f>'14a'!G14/'14a'!$B14*100</f>
        <v>104.38413361169103</v>
      </c>
      <c r="H14" s="21">
        <f>'14a'!H14/'14a'!$B14*100</f>
        <v>95.407098121085596</v>
      </c>
      <c r="I14" s="21">
        <f>'14a'!I14/'14a'!$B14*100</f>
        <v>98.121085594989552</v>
      </c>
      <c r="J14" s="21">
        <f>'14a'!J14/'14a'!$B14*100</f>
        <v>104.17536534446765</v>
      </c>
      <c r="K14" s="21">
        <f>'14a'!K14/'14a'!$B14*100</f>
        <v>95.198329853862219</v>
      </c>
      <c r="L14" s="21">
        <f>'14a'!L14/'14a'!$B14*100</f>
        <v>99.582463465553246</v>
      </c>
      <c r="N14" s="6"/>
      <c r="O14" s="6"/>
      <c r="P14" s="6"/>
      <c r="Q14" s="6"/>
      <c r="R14" s="6"/>
      <c r="S14" s="6"/>
      <c r="T14" s="6"/>
      <c r="U14" s="6"/>
      <c r="V14" s="6"/>
      <c r="W14" s="6"/>
      <c r="X14" s="6"/>
    </row>
    <row r="15" spans="1:24">
      <c r="A15" s="2">
        <v>1991</v>
      </c>
      <c r="B15" s="19">
        <f>'14a'!B15/'14a'!$B15*100</f>
        <v>100</v>
      </c>
      <c r="C15" s="21">
        <f>'14a'!C15/'14a'!$B15*100</f>
        <v>109.63855421686748</v>
      </c>
      <c r="D15" s="21">
        <f>'14a'!D15/'14a'!$B15*100</f>
        <v>103.21285140562249</v>
      </c>
      <c r="E15" s="21">
        <f>'14a'!E15/'14a'!$B15*100</f>
        <v>98.594377510040161</v>
      </c>
      <c r="F15" s="21">
        <f>'14a'!F15/'14a'!$B15*100</f>
        <v>103.21285140562249</v>
      </c>
      <c r="G15" s="21">
        <f>'14a'!G15/'14a'!$B15*100</f>
        <v>103.4136546184739</v>
      </c>
      <c r="H15" s="21">
        <f>'14a'!H15/'14a'!$B15*100</f>
        <v>97.590361445783131</v>
      </c>
      <c r="I15" s="21">
        <f>'14a'!I15/'14a'!$B15*100</f>
        <v>97.791164658634528</v>
      </c>
      <c r="J15" s="21">
        <f>'14a'!J15/'14a'!$B15*100</f>
        <v>100.60240963855422</v>
      </c>
      <c r="K15" s="21">
        <f>'14a'!K15/'14a'!$B15*100</f>
        <v>94.578313253012041</v>
      </c>
      <c r="L15" s="21">
        <f>'14a'!L15/'14a'!$B15*100</f>
        <v>96.787148594377499</v>
      </c>
      <c r="N15" s="6"/>
      <c r="O15" s="6"/>
      <c r="P15" s="6"/>
      <c r="Q15" s="6"/>
      <c r="R15" s="6"/>
      <c r="S15" s="6"/>
      <c r="T15" s="6"/>
      <c r="U15" s="6"/>
      <c r="V15" s="6"/>
      <c r="W15" s="6"/>
      <c r="X15" s="6"/>
    </row>
    <row r="16" spans="1:24">
      <c r="A16" s="2">
        <v>1992</v>
      </c>
      <c r="B16" s="19">
        <f>'14a'!B16/'14a'!$B16*100</f>
        <v>100</v>
      </c>
      <c r="C16" s="21">
        <f>'14a'!C16/'14a'!$B16*100</f>
        <v>110.4950495049505</v>
      </c>
      <c r="D16" s="21">
        <f>'14a'!D16/'14a'!$B16*100</f>
        <v>98.811881188118804</v>
      </c>
      <c r="E16" s="21">
        <f>'14a'!E16/'14a'!$B16*100</f>
        <v>102.37623762376238</v>
      </c>
      <c r="F16" s="21">
        <f>'14a'!F16/'14a'!$B16*100</f>
        <v>103.36633663366337</v>
      </c>
      <c r="G16" s="21">
        <f>'14a'!G16/'14a'!$B16*100</f>
        <v>102.37623762376238</v>
      </c>
      <c r="H16" s="21">
        <f>'14a'!H16/'14a'!$B16*100</f>
        <v>96.43564356435644</v>
      </c>
      <c r="I16" s="21">
        <f>'14a'!I16/'14a'!$B16*100</f>
        <v>101.58415841584159</v>
      </c>
      <c r="J16" s="21">
        <f>'14a'!J16/'14a'!$B16*100</f>
        <v>102.97029702970298</v>
      </c>
      <c r="K16" s="21">
        <f>'14a'!K16/'14a'!$B16*100</f>
        <v>97.821782178217816</v>
      </c>
      <c r="L16" s="21">
        <f>'14a'!L16/'14a'!$B16*100</f>
        <v>98.21782178217822</v>
      </c>
      <c r="N16" s="6"/>
      <c r="O16" s="6"/>
      <c r="P16" s="6"/>
      <c r="Q16" s="6"/>
      <c r="R16" s="6"/>
      <c r="S16" s="6"/>
      <c r="T16" s="6"/>
      <c r="U16" s="6"/>
      <c r="V16" s="6"/>
      <c r="W16" s="6"/>
      <c r="X16" s="6"/>
    </row>
    <row r="17" spans="1:24">
      <c r="A17" s="2">
        <v>1993</v>
      </c>
      <c r="B17" s="19">
        <f>'14a'!B17/'14a'!$B17*100</f>
        <v>100</v>
      </c>
      <c r="C17" s="21">
        <f>'14a'!C17/'14a'!$B17*100</f>
        <v>108.11881188118812</v>
      </c>
      <c r="D17" s="21">
        <f>'14a'!D17/'14a'!$B17*100</f>
        <v>99.405940594059402</v>
      </c>
      <c r="E17" s="21">
        <f>'14a'!E17/'14a'!$B17*100</f>
        <v>100.79207920792079</v>
      </c>
      <c r="F17" s="21">
        <f>'14a'!F17/'14a'!$B17*100</f>
        <v>101.98019801980197</v>
      </c>
      <c r="G17" s="21">
        <f>'14a'!G17/'14a'!$B17*100</f>
        <v>102.77227722772278</v>
      </c>
      <c r="H17" s="21">
        <f>'14a'!H17/'14a'!$B17*100</f>
        <v>98.415841584158414</v>
      </c>
      <c r="I17" s="21">
        <f>'14a'!I17/'14a'!$B17*100</f>
        <v>97.227722772277218</v>
      </c>
      <c r="J17" s="21">
        <f>'14a'!J17/'14a'!$B17*100</f>
        <v>100.99009900990099</v>
      </c>
      <c r="K17" s="21">
        <f>'14a'!K17/'14a'!$B17*100</f>
        <v>93.267326732673268</v>
      </c>
      <c r="L17" s="21">
        <f>'14a'!L17/'14a'!$B17*100</f>
        <v>96.831683168316829</v>
      </c>
      <c r="N17" s="6"/>
      <c r="O17" s="6"/>
      <c r="P17" s="6"/>
      <c r="Q17" s="6"/>
      <c r="R17" s="6"/>
      <c r="S17" s="6"/>
      <c r="T17" s="6"/>
      <c r="U17" s="6"/>
      <c r="V17" s="6"/>
      <c r="W17" s="6"/>
      <c r="X17" s="6"/>
    </row>
    <row r="18" spans="1:24">
      <c r="A18" s="2">
        <v>1994</v>
      </c>
      <c r="B18" s="19">
        <f>'14a'!B18/'14a'!$B18*100</f>
        <v>100</v>
      </c>
      <c r="C18" s="21">
        <f>'14a'!C18/'14a'!$B18*100</f>
        <v>105.31496062992127</v>
      </c>
      <c r="D18" s="21">
        <f>'14a'!D18/'14a'!$B18*100</f>
        <v>96.850393700787393</v>
      </c>
      <c r="E18" s="21">
        <f>'14a'!E18/'14a'!$B18*100</f>
        <v>103.14960629921259</v>
      </c>
      <c r="F18" s="21">
        <f>'14a'!F18/'14a'!$B18*100</f>
        <v>101.18110236220473</v>
      </c>
      <c r="G18" s="21">
        <f>'14a'!G18/'14a'!$B18*100</f>
        <v>102.75590551181102</v>
      </c>
      <c r="H18" s="21">
        <f>'14a'!H18/'14a'!$B18*100</f>
        <v>99.015748031496059</v>
      </c>
      <c r="I18" s="21">
        <f>'14a'!I18/'14a'!$B18*100</f>
        <v>99.606299212598429</v>
      </c>
      <c r="J18" s="21">
        <f>'14a'!J18/'14a'!$B18*100</f>
        <v>99.409448818897644</v>
      </c>
      <c r="K18" s="21">
        <f>'14a'!K18/'14a'!$B18*100</f>
        <v>91.338582677165363</v>
      </c>
      <c r="L18" s="21">
        <f>'14a'!L18/'14a'!$B18*100</f>
        <v>97.440944881889763</v>
      </c>
      <c r="N18" s="6"/>
      <c r="O18" s="6"/>
      <c r="P18" s="6"/>
      <c r="Q18" s="6"/>
      <c r="R18" s="6"/>
      <c r="S18" s="6"/>
      <c r="T18" s="6"/>
      <c r="U18" s="6"/>
      <c r="V18" s="6"/>
      <c r="W18" s="6"/>
      <c r="X18" s="6"/>
    </row>
    <row r="19" spans="1:24">
      <c r="A19" s="2">
        <v>1995</v>
      </c>
      <c r="B19" s="19">
        <f>'14a'!B19/'14a'!$B19*100</f>
        <v>100</v>
      </c>
      <c r="C19" s="21">
        <f>'14a'!C19/'14a'!$B19*100</f>
        <v>107.7534791252485</v>
      </c>
      <c r="D19" s="21">
        <f>'14a'!D19/'14a'!$B19*100</f>
        <v>97.614314115308147</v>
      </c>
      <c r="E19" s="21">
        <f>'14a'!E19/'14a'!$B19*100</f>
        <v>103.18091451292246</v>
      </c>
      <c r="F19" s="21">
        <f>'14a'!F19/'14a'!$B19*100</f>
        <v>102.38568588469185</v>
      </c>
      <c r="G19" s="21">
        <f>'14a'!G19/'14a'!$B19*100</f>
        <v>103.37972166998013</v>
      </c>
      <c r="H19" s="21">
        <f>'14a'!H19/'14a'!$B19*100</f>
        <v>98.807157057654067</v>
      </c>
      <c r="I19" s="21">
        <f>'14a'!I19/'14a'!$B19*100</f>
        <v>97.216699801192846</v>
      </c>
      <c r="J19" s="21">
        <f>'14a'!J19/'14a'!$B19*100</f>
        <v>100.99403578528828</v>
      </c>
      <c r="K19" s="21">
        <f>'14a'!K19/'14a'!$B19*100</f>
        <v>92.445328031809154</v>
      </c>
      <c r="L19" s="21">
        <f>'14a'!L19/'14a'!$B19*100</f>
        <v>96.22266401590457</v>
      </c>
      <c r="N19" s="6"/>
      <c r="O19" s="6"/>
      <c r="P19" s="6"/>
      <c r="Q19" s="6"/>
      <c r="R19" s="6"/>
      <c r="S19" s="6"/>
      <c r="T19" s="6"/>
      <c r="U19" s="6"/>
      <c r="V19" s="6"/>
      <c r="W19" s="6"/>
      <c r="X19" s="6"/>
    </row>
    <row r="20" spans="1:24">
      <c r="A20" s="2">
        <v>1996</v>
      </c>
      <c r="B20" s="19">
        <f>'14a'!B20/'14a'!$B20*100</f>
        <v>100</v>
      </c>
      <c r="C20" s="21">
        <f>'14a'!C20/'14a'!$B20*100</f>
        <v>106.23781676413256</v>
      </c>
      <c r="D20" s="21">
        <f>'14a'!D20/'14a'!$B20*100</f>
        <v>93.957115009746587</v>
      </c>
      <c r="E20" s="21">
        <f>'14a'!E20/'14a'!$B20*100</f>
        <v>100.58479532163742</v>
      </c>
      <c r="F20" s="21">
        <f>'14a'!F20/'14a'!$B20*100</f>
        <v>100.97465886939571</v>
      </c>
      <c r="G20" s="21">
        <f>'14a'!G20/'14a'!$B20*100</f>
        <v>102.92397660818713</v>
      </c>
      <c r="H20" s="21">
        <f>'14a'!H20/'14a'!$B20*100</f>
        <v>99.220272904483437</v>
      </c>
      <c r="I20" s="21">
        <f>'14a'!I20/'14a'!$B20*100</f>
        <v>95.711500974658875</v>
      </c>
      <c r="J20" s="21">
        <f>'14a'!J20/'14a'!$B20*100</f>
        <v>98.245614035087712</v>
      </c>
      <c r="K20" s="21">
        <f>'14a'!K20/'14a'!$B20*100</f>
        <v>92.397660818713447</v>
      </c>
      <c r="L20" s="21">
        <f>'14a'!L20/'14a'!$B20*100</f>
        <v>98.050682261208578</v>
      </c>
      <c r="N20" s="6"/>
      <c r="O20" s="6"/>
      <c r="P20" s="6"/>
      <c r="Q20" s="6"/>
      <c r="R20" s="6"/>
      <c r="S20" s="6"/>
      <c r="T20" s="6"/>
      <c r="U20" s="6"/>
      <c r="V20" s="6"/>
      <c r="W20" s="6"/>
      <c r="X20" s="6"/>
    </row>
    <row r="21" spans="1:24">
      <c r="A21" s="2">
        <v>1997</v>
      </c>
      <c r="B21" s="19">
        <f>'14a'!B21/'14a'!$B21*100</f>
        <v>100</v>
      </c>
      <c r="C21" s="21">
        <f>'14a'!C21/'14a'!$B21*100</f>
        <v>104.45736434108528</v>
      </c>
      <c r="D21" s="21">
        <f>'14a'!D21/'14a'!$B21*100</f>
        <v>94.961240310077514</v>
      </c>
      <c r="E21" s="21">
        <f>'14a'!E21/'14a'!$B21*100</f>
        <v>101.16279069767442</v>
      </c>
      <c r="F21" s="21">
        <f>'14a'!F21/'14a'!$B21*100</f>
        <v>100.58139534883721</v>
      </c>
      <c r="G21" s="21">
        <f>'14a'!G21/'14a'!$B21*100</f>
        <v>102.90697674418605</v>
      </c>
      <c r="H21" s="21">
        <f>'14a'!H21/'14a'!$B21*100</f>
        <v>98.643410852713174</v>
      </c>
      <c r="I21" s="21">
        <f>'14a'!I21/'14a'!$B21*100</f>
        <v>96.31782945736434</v>
      </c>
      <c r="J21" s="21">
        <f>'14a'!J21/'14a'!$B21*100</f>
        <v>96.705426356589143</v>
      </c>
      <c r="K21" s="21">
        <f>'14a'!K21/'14a'!$B21*100</f>
        <v>94.186046511627893</v>
      </c>
      <c r="L21" s="21">
        <f>'14a'!L21/'14a'!$B21*100</f>
        <v>98.062015503875969</v>
      </c>
      <c r="N21" s="6"/>
      <c r="O21" s="6"/>
      <c r="P21" s="6"/>
      <c r="Q21" s="6"/>
      <c r="R21" s="6"/>
      <c r="S21" s="6"/>
      <c r="T21" s="6"/>
      <c r="U21" s="6"/>
      <c r="V21" s="6"/>
      <c r="W21" s="6"/>
      <c r="X21" s="6"/>
    </row>
    <row r="22" spans="1:24">
      <c r="A22" s="2">
        <v>1998</v>
      </c>
      <c r="B22" s="19">
        <f>'14a'!B22/'14a'!$B22*100</f>
        <v>100</v>
      </c>
      <c r="C22" s="21">
        <f>'14a'!C22/'14a'!$B22*100</f>
        <v>106.50095602294456</v>
      </c>
      <c r="D22" s="21">
        <f>'14a'!D22/'14a'!$B22*100</f>
        <v>98.470363288718929</v>
      </c>
      <c r="E22" s="21">
        <f>'14a'!E22/'14a'!$B22*100</f>
        <v>101.14722753346082</v>
      </c>
      <c r="F22" s="21">
        <f>'14a'!F22/'14a'!$B22*100</f>
        <v>100</v>
      </c>
      <c r="G22" s="21">
        <f>'14a'!G22/'14a'!$B22*100</f>
        <v>102.868068833652</v>
      </c>
      <c r="H22" s="21">
        <f>'14a'!H22/'14a'!$B22*100</f>
        <v>98.08795411089865</v>
      </c>
      <c r="I22" s="21">
        <f>'14a'!I22/'14a'!$B22*100</f>
        <v>97.323135755258122</v>
      </c>
      <c r="J22" s="21">
        <f>'14a'!J22/'14a'!$B22*100</f>
        <v>99.043977055449332</v>
      </c>
      <c r="K22" s="21">
        <f>'14a'!K22/'14a'!$B22*100</f>
        <v>95.79349904397705</v>
      </c>
      <c r="L22" s="21">
        <f>'14a'!L22/'14a'!$B22*100</f>
        <v>97.131931166347982</v>
      </c>
      <c r="N22" s="6"/>
      <c r="O22" s="6"/>
      <c r="P22" s="6"/>
      <c r="Q22" s="6"/>
      <c r="R22" s="6"/>
      <c r="S22" s="6"/>
      <c r="T22" s="6"/>
      <c r="U22" s="6"/>
      <c r="V22" s="6"/>
      <c r="W22" s="6"/>
      <c r="X22" s="6"/>
    </row>
    <row r="23" spans="1:24">
      <c r="A23" s="2">
        <v>1999</v>
      </c>
      <c r="B23" s="19">
        <f>'14a'!B23/'14a'!$B23*100</f>
        <v>100</v>
      </c>
      <c r="C23" s="21">
        <f>'14a'!C23/'14a'!$B23*100</f>
        <v>109.55165692007797</v>
      </c>
      <c r="D23" s="21">
        <f>'14a'!D23/'14a'!$B23*100</f>
        <v>102.53411306042885</v>
      </c>
      <c r="E23" s="21">
        <f>'14a'!E23/'14a'!$B23*100</f>
        <v>100.58479532163742</v>
      </c>
      <c r="F23" s="21">
        <f>'14a'!F23/'14a'!$B23*100</f>
        <v>99.220272904483437</v>
      </c>
      <c r="G23" s="21">
        <f>'14a'!G23/'14a'!$B23*100</f>
        <v>100.77972709551656</v>
      </c>
      <c r="H23" s="21">
        <f>'14a'!H23/'14a'!$B23*100</f>
        <v>99.220272904483437</v>
      </c>
      <c r="I23" s="21">
        <f>'14a'!I23/'14a'!$B23*100</f>
        <v>95.32163742690058</v>
      </c>
      <c r="J23" s="21">
        <f>'14a'!J23/'14a'!$B23*100</f>
        <v>97.465886939571149</v>
      </c>
      <c r="K23" s="21">
        <f>'14a'!K23/'14a'!$B23*100</f>
        <v>94.152046783625735</v>
      </c>
      <c r="L23" s="21">
        <f>'14a'!L23/'14a'!$B23*100</f>
        <v>99.415204678362571</v>
      </c>
      <c r="N23" s="6"/>
      <c r="O23" s="6"/>
      <c r="P23" s="6"/>
      <c r="Q23" s="6"/>
      <c r="R23" s="6"/>
      <c r="S23" s="6"/>
      <c r="T23" s="6"/>
      <c r="U23" s="6"/>
      <c r="V23" s="6"/>
      <c r="W23" s="6"/>
      <c r="X23" s="6"/>
    </row>
    <row r="24" spans="1:24">
      <c r="A24" s="2">
        <v>2000</v>
      </c>
      <c r="B24" s="19">
        <f>'14a'!B24/'14a'!$B24*100</f>
        <v>100</v>
      </c>
      <c r="C24" s="21">
        <f>'14a'!C24/'14a'!$B24*100</f>
        <v>109.32038834951454</v>
      </c>
      <c r="D24" s="21">
        <f>'14a'!D24/'14a'!$B24*100</f>
        <v>100.3883495145631</v>
      </c>
      <c r="E24" s="21">
        <f>'14a'!E24/'14a'!$B24*100</f>
        <v>100.58252427184466</v>
      </c>
      <c r="F24" s="21">
        <f>'14a'!F24/'14a'!$B24*100</f>
        <v>99.805825242718456</v>
      </c>
      <c r="G24" s="21">
        <f>'14a'!G24/'14a'!$B24*100</f>
        <v>101.35922330097087</v>
      </c>
      <c r="H24" s="21">
        <f>'14a'!H24/'14a'!$B24*100</f>
        <v>98.834951456310677</v>
      </c>
      <c r="I24" s="21">
        <f>'14a'!I24/'14a'!$B24*100</f>
        <v>95.728155339805824</v>
      </c>
      <c r="J24" s="21">
        <f>'14a'!J24/'14a'!$B24*100</f>
        <v>98.252427184466015</v>
      </c>
      <c r="K24" s="21">
        <f>'14a'!K24/'14a'!$B24*100</f>
        <v>94.368932038834956</v>
      </c>
      <c r="L24" s="21">
        <f>'14a'!L24/'14a'!$B24*100</f>
        <v>97.864077669902912</v>
      </c>
      <c r="N24" s="6"/>
      <c r="O24" s="6"/>
      <c r="P24" s="6"/>
      <c r="Q24" s="6"/>
      <c r="R24" s="6"/>
      <c r="S24" s="6"/>
      <c r="T24" s="6"/>
      <c r="U24" s="6"/>
      <c r="V24" s="6"/>
      <c r="W24" s="6"/>
      <c r="X24" s="6"/>
    </row>
    <row r="25" spans="1:24">
      <c r="A25" s="2">
        <v>2001</v>
      </c>
      <c r="B25" s="19">
        <f>'14a'!B25/'14a'!$B25*100</f>
        <v>100</v>
      </c>
      <c r="C25" s="21">
        <f>'14a'!C25/'14a'!$B25*100</f>
        <v>109.35672514619883</v>
      </c>
      <c r="D25" s="21">
        <f>'14a'!D25/'14a'!$B25*100</f>
        <v>100</v>
      </c>
      <c r="E25" s="21">
        <f>'14a'!E25/'14a'!$B25*100</f>
        <v>101.75438596491229</v>
      </c>
      <c r="F25" s="21">
        <f>'14a'!F25/'14a'!$B25*100</f>
        <v>102.14424951267056</v>
      </c>
      <c r="G25" s="21">
        <f>'14a'!G25/'14a'!$B25*100</f>
        <v>102.14424951267056</v>
      </c>
      <c r="H25" s="21">
        <f>'14a'!H25/'14a'!$B25*100</f>
        <v>98.635477582845994</v>
      </c>
      <c r="I25" s="21">
        <f>'14a'!I25/'14a'!$B25*100</f>
        <v>94.346978557504869</v>
      </c>
      <c r="J25" s="21">
        <f>'14a'!J25/'14a'!$B25*100</f>
        <v>97.270955165692001</v>
      </c>
      <c r="K25" s="21">
        <f>'14a'!K25/'14a'!$B25*100</f>
        <v>92.982456140350862</v>
      </c>
      <c r="L25" s="21">
        <f>'14a'!L25/'14a'!$B25*100</f>
        <v>99.610136452241719</v>
      </c>
      <c r="N25" s="6"/>
      <c r="O25" s="6"/>
      <c r="P25" s="6"/>
      <c r="Q25" s="6"/>
      <c r="R25" s="6"/>
      <c r="S25" s="6"/>
      <c r="T25" s="6"/>
      <c r="U25" s="6"/>
      <c r="V25" s="6"/>
      <c r="W25" s="6"/>
      <c r="X25" s="6"/>
    </row>
    <row r="26" spans="1:24">
      <c r="A26" s="2">
        <v>2002</v>
      </c>
      <c r="B26" s="19">
        <f>'14a'!B26/'14a'!$B26*100</f>
        <v>100</v>
      </c>
      <c r="C26" s="21">
        <f>'14a'!C26/'14a'!$B26*100</f>
        <v>108.6105675146771</v>
      </c>
      <c r="D26" s="21">
        <f>'14a'!D26/'14a'!$B26*100</f>
        <v>101.36986301369863</v>
      </c>
      <c r="E26" s="21">
        <f>'14a'!E26/'14a'!$B26*100</f>
        <v>101.36986301369863</v>
      </c>
      <c r="F26" s="21">
        <f>'14a'!F26/'14a'!$B26*100</f>
        <v>102.93542074363992</v>
      </c>
      <c r="G26" s="21">
        <f>'14a'!G26/'14a'!$B26*100</f>
        <v>101.36986301369863</v>
      </c>
      <c r="H26" s="21">
        <f>'14a'!H26/'14a'!$B26*100</f>
        <v>98.43444227005871</v>
      </c>
      <c r="I26" s="21">
        <f>'14a'!I26/'14a'!$B26*100</f>
        <v>95.499021526418787</v>
      </c>
      <c r="J26" s="21">
        <f>'14a'!J26/'14a'!$B26*100</f>
        <v>97.847358121330714</v>
      </c>
      <c r="K26" s="21">
        <f>'14a'!K26/'14a'!$B26*100</f>
        <v>92.172211350293537</v>
      </c>
      <c r="L26" s="21">
        <f>'14a'!L26/'14a'!$B26*100</f>
        <v>102.15264187866929</v>
      </c>
      <c r="N26" s="6"/>
      <c r="O26" s="6"/>
      <c r="P26" s="6"/>
      <c r="Q26" s="6"/>
      <c r="R26" s="6"/>
      <c r="S26" s="6"/>
      <c r="T26" s="6"/>
      <c r="U26" s="6"/>
      <c r="V26" s="6"/>
      <c r="W26" s="6"/>
      <c r="X26" s="6"/>
    </row>
    <row r="27" spans="1:24">
      <c r="A27" s="2">
        <v>2003</v>
      </c>
      <c r="B27" s="19">
        <f>'14a'!B27/'14a'!$B27*100</f>
        <v>100</v>
      </c>
      <c r="C27" s="21">
        <f>'14a'!C27/'14a'!$B27*100</f>
        <v>110.21611001964638</v>
      </c>
      <c r="D27" s="21">
        <f>'14a'!D27/'14a'!$B27*100</f>
        <v>98.035363457760312</v>
      </c>
      <c r="E27" s="21">
        <f>'14a'!E27/'14a'!$B27*100</f>
        <v>100.19646365422396</v>
      </c>
      <c r="F27" s="21">
        <f>'14a'!F27/'14a'!$B27*100</f>
        <v>103.33988212180746</v>
      </c>
      <c r="G27" s="21">
        <f>'14a'!G27/'14a'!$B27*100</f>
        <v>100.39292730844794</v>
      </c>
      <c r="H27" s="21">
        <f>'14a'!H27/'14a'!$B27*100</f>
        <v>98.624754420432211</v>
      </c>
      <c r="I27" s="21">
        <f>'14a'!I27/'14a'!$B27*100</f>
        <v>94.695481335952849</v>
      </c>
      <c r="J27" s="21">
        <f>'14a'!J27/'14a'!$B27*100</f>
        <v>98.624754420432211</v>
      </c>
      <c r="K27" s="21">
        <f>'14a'!K27/'14a'!$B27*100</f>
        <v>95.874263261296662</v>
      </c>
      <c r="L27" s="21">
        <f>'14a'!L27/'14a'!$B27*100</f>
        <v>99.803536345776038</v>
      </c>
      <c r="N27" s="6"/>
      <c r="O27" s="6"/>
      <c r="P27" s="6"/>
      <c r="Q27" s="6"/>
      <c r="R27" s="6"/>
      <c r="S27" s="6"/>
      <c r="T27" s="6"/>
      <c r="U27" s="6"/>
      <c r="V27" s="6"/>
      <c r="W27" s="6"/>
      <c r="X27" s="6"/>
    </row>
    <row r="28" spans="1:24">
      <c r="A28" s="2">
        <v>2004</v>
      </c>
      <c r="B28" s="19">
        <f>'14a'!B28/'14a'!$B28*100</f>
        <v>100</v>
      </c>
      <c r="C28" s="21">
        <f>'14a'!C28/'14a'!$B28*100</f>
        <v>108.3984375</v>
      </c>
      <c r="D28" s="21">
        <f>'14a'!D28/'14a'!$B28*100</f>
        <v>95.1171875</v>
      </c>
      <c r="E28" s="21">
        <f>'14a'!E28/'14a'!$B28*100</f>
        <v>98.4375</v>
      </c>
      <c r="F28" s="21">
        <f>'14a'!F28/'14a'!$B28*100</f>
        <v>102.1484375</v>
      </c>
      <c r="G28" s="21">
        <f>'14a'!G28/'14a'!$B28*100</f>
        <v>100.1953125</v>
      </c>
      <c r="H28" s="21">
        <f>'14a'!H28/'14a'!$B28*100</f>
        <v>100</v>
      </c>
      <c r="I28" s="21">
        <f>'14a'!I28/'14a'!$B28*100</f>
        <v>95.8984375</v>
      </c>
      <c r="J28" s="21">
        <f>'14a'!J28/'14a'!$B28*100</f>
        <v>99.21875</v>
      </c>
      <c r="K28" s="21">
        <f>'14a'!K28/'14a'!$B28*100</f>
        <v>93.9453125</v>
      </c>
      <c r="L28" s="21">
        <f>'14a'!L28/'14a'!$B28*100</f>
        <v>98.046875</v>
      </c>
      <c r="N28" s="6"/>
      <c r="O28" s="6"/>
      <c r="P28" s="6"/>
      <c r="Q28" s="6"/>
      <c r="R28" s="6"/>
      <c r="S28" s="6"/>
      <c r="T28" s="6"/>
      <c r="U28" s="6"/>
      <c r="V28" s="6"/>
      <c r="W28" s="6"/>
      <c r="X28" s="6"/>
    </row>
    <row r="29" spans="1:24">
      <c r="A29" s="2">
        <v>2005</v>
      </c>
      <c r="B29" s="19">
        <f>'14a'!B29/'14a'!$B29*100</f>
        <v>100</v>
      </c>
      <c r="C29" s="21">
        <f>'14a'!C29/'14a'!$B29*100</f>
        <v>109.05511811023622</v>
      </c>
      <c r="D29" s="21">
        <f>'14a'!D29/'14a'!$B29*100</f>
        <v>94.685039370078741</v>
      </c>
      <c r="E29" s="21">
        <f>'14a'!E29/'14a'!$B29*100</f>
        <v>98.818897637795274</v>
      </c>
      <c r="F29" s="21">
        <f>'14a'!F29/'14a'!$B29*100</f>
        <v>101.77165354330708</v>
      </c>
      <c r="G29" s="21">
        <f>'14a'!G29/'14a'!$B29*100</f>
        <v>101.77165354330708</v>
      </c>
      <c r="H29" s="21">
        <f>'14a'!H29/'14a'!$B29*100</f>
        <v>98.818897637795274</v>
      </c>
      <c r="I29" s="21">
        <f>'14a'!I29/'14a'!$B29*100</f>
        <v>96.850393700787393</v>
      </c>
      <c r="J29" s="21">
        <f>'14a'!J29/'14a'!$B29*100</f>
        <v>102.36220472440945</v>
      </c>
      <c r="K29" s="21">
        <f>'14a'!K29/'14a'!$B29*100</f>
        <v>93.11023622047243</v>
      </c>
      <c r="L29" s="21">
        <f>'14a'!L29/'14a'!$B29*100</f>
        <v>98.622047244094489</v>
      </c>
      <c r="N29" s="6"/>
      <c r="O29" s="6"/>
      <c r="P29" s="6"/>
      <c r="Q29" s="6"/>
      <c r="R29" s="6"/>
      <c r="S29" s="6"/>
      <c r="T29" s="6"/>
      <c r="U29" s="6"/>
      <c r="V29" s="6"/>
      <c r="W29" s="6"/>
      <c r="X29" s="6"/>
    </row>
    <row r="30" spans="1:24">
      <c r="A30" s="2">
        <v>2006</v>
      </c>
      <c r="B30" s="19">
        <f>'14a'!B30/'14a'!$B30*100</f>
        <v>100</v>
      </c>
      <c r="C30" s="21">
        <f>'14a'!C30/'14a'!$B30*100</f>
        <v>108.300395256917</v>
      </c>
      <c r="D30" s="21">
        <f>'14a'!D30/'14a'!$B30*100</f>
        <v>95.454545454545453</v>
      </c>
      <c r="E30" s="21">
        <f>'14a'!E30/'14a'!$B30*100</f>
        <v>99.209486166007906</v>
      </c>
      <c r="F30" s="21">
        <f>'14a'!F30/'14a'!$B30*100</f>
        <v>101.77865612648222</v>
      </c>
      <c r="G30" s="21">
        <f>'14a'!G30/'14a'!$B30*100</f>
        <v>101.38339920948616</v>
      </c>
      <c r="H30" s="21">
        <f>'14a'!H30/'14a'!$B30*100</f>
        <v>98.418972332015812</v>
      </c>
      <c r="I30" s="21">
        <f>'14a'!I30/'14a'!$B30*100</f>
        <v>97.628458498023718</v>
      </c>
      <c r="J30" s="21">
        <f>'14a'!J30/'14a'!$B30*100</f>
        <v>101.77865612648222</v>
      </c>
      <c r="K30" s="21">
        <f>'14a'!K30/'14a'!$B30*100</f>
        <v>94.861660079051376</v>
      </c>
      <c r="L30" s="21">
        <f>'14a'!L30/'14a'!$B30*100</f>
        <v>98.814229249011859</v>
      </c>
      <c r="N30" s="6"/>
      <c r="O30" s="6"/>
      <c r="P30" s="6"/>
      <c r="Q30" s="6"/>
      <c r="R30" s="6"/>
      <c r="S30" s="6"/>
      <c r="T30" s="6"/>
      <c r="U30" s="6"/>
      <c r="V30" s="6"/>
      <c r="W30" s="6"/>
      <c r="X30" s="6"/>
    </row>
    <row r="31" spans="1:24" s="972" customFormat="1">
      <c r="A31" s="2">
        <v>2007</v>
      </c>
      <c r="B31" s="19">
        <f>'14a'!B31/'14a'!$B31*100</f>
        <v>100</v>
      </c>
      <c r="C31" s="21">
        <f>'14a'!C31/'14a'!$B31*100</f>
        <v>108.28402366863905</v>
      </c>
      <c r="D31" s="21">
        <f>'14a'!D31/'14a'!$B31*100</f>
        <v>92.899408284023664</v>
      </c>
      <c r="E31" s="21">
        <f>'14a'!E31/'14a'!$B31*100</f>
        <v>98.81656804733727</v>
      </c>
      <c r="F31" s="21">
        <f>'14a'!F31/'14a'!$B31*100</f>
        <v>100.98619329388561</v>
      </c>
      <c r="G31" s="21">
        <f>'14a'!G31/'14a'!$B31*100</f>
        <v>101.77514792899409</v>
      </c>
      <c r="H31" s="21">
        <f>'14a'!H31/'14a'!$B31*100</f>
        <v>98.81656804733727</v>
      </c>
      <c r="I31" s="21">
        <f>'14a'!I31/'14a'!$B31*100</f>
        <v>98.027613412228803</v>
      </c>
      <c r="J31" s="21">
        <f>'14a'!J31/'14a'!$B31*100</f>
        <v>99.211045364891518</v>
      </c>
      <c r="K31" s="21">
        <f>'14a'!K31/'14a'!$B31*100</f>
        <v>94.280078895463504</v>
      </c>
      <c r="L31" s="21">
        <f>'14a'!L31/'14a'!$B31*100</f>
        <v>97.238658777120307</v>
      </c>
      <c r="N31" s="6"/>
      <c r="O31" s="6"/>
      <c r="P31" s="6"/>
      <c r="Q31" s="6"/>
      <c r="R31" s="6"/>
      <c r="S31" s="6"/>
      <c r="T31" s="6"/>
      <c r="U31" s="6"/>
      <c r="V31" s="6"/>
      <c r="W31" s="6"/>
      <c r="X31" s="6"/>
    </row>
    <row r="32" spans="1:24" s="114" customFormat="1">
      <c r="A32" s="431"/>
      <c r="D32" s="644" t="s">
        <v>655</v>
      </c>
    </row>
    <row r="33" spans="1:36" s="114" customFormat="1">
      <c r="A33" s="431" t="s">
        <v>603</v>
      </c>
      <c r="B33" s="10" t="s">
        <v>744</v>
      </c>
      <c r="C33" s="10">
        <f>C13-C5</f>
        <v>0.14826688038466784</v>
      </c>
      <c r="D33" s="10">
        <f t="shared" ref="D33:J33" si="0">D13-D5</f>
        <v>0.34862752955318399</v>
      </c>
      <c r="E33" s="10">
        <f t="shared" si="0"/>
        <v>0.50490883590461522</v>
      </c>
      <c r="F33" s="10">
        <f t="shared" si="0"/>
        <v>-7.2119815668202989</v>
      </c>
      <c r="G33" s="10">
        <f t="shared" si="0"/>
        <v>-0.84752554598280483</v>
      </c>
      <c r="H33" s="10">
        <f t="shared" si="0"/>
        <v>1.1300340613103543</v>
      </c>
      <c r="I33" s="10">
        <f t="shared" si="0"/>
        <v>-1.5257463434181631</v>
      </c>
      <c r="J33" s="10">
        <f t="shared" si="0"/>
        <v>-4.1384492085754516</v>
      </c>
      <c r="K33" s="10">
        <f>K13-K5</f>
        <v>2.5255459827689748</v>
      </c>
      <c r="L33" s="10">
        <f>L13-L5</f>
        <v>-3.3870967741935516</v>
      </c>
    </row>
    <row r="34" spans="1:36" s="114" customFormat="1">
      <c r="A34" s="431" t="s">
        <v>604</v>
      </c>
      <c r="B34" s="10" t="s">
        <v>744</v>
      </c>
      <c r="C34" s="10">
        <f t="shared" ref="C34:J34" si="1">C24-C13</f>
        <v>4.102997045166731</v>
      </c>
      <c r="D34" s="10">
        <f t="shared" si="1"/>
        <v>-9.176867876741241</v>
      </c>
      <c r="E34" s="10">
        <f t="shared" si="1"/>
        <v>-6.3739974672857755</v>
      </c>
      <c r="F34" s="10">
        <f t="shared" si="1"/>
        <v>-5.1941747572815302</v>
      </c>
      <c r="G34" s="10">
        <f t="shared" si="1"/>
        <v>-1.2494723512030248</v>
      </c>
      <c r="H34" s="10">
        <f t="shared" si="1"/>
        <v>2.3132123258758952</v>
      </c>
      <c r="I34" s="10">
        <f t="shared" si="1"/>
        <v>-6.6631490080202553</v>
      </c>
      <c r="J34" s="10">
        <f t="shared" si="1"/>
        <v>-5.4432249894470175</v>
      </c>
      <c r="K34" s="10">
        <f>K24-K13</f>
        <v>-1.9354157872519977</v>
      </c>
      <c r="L34" s="10">
        <f>L24-L13</f>
        <v>2.8640776699029118</v>
      </c>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row>
    <row r="35" spans="1:36" s="114" customFormat="1">
      <c r="A35" s="431" t="s">
        <v>447</v>
      </c>
      <c r="B35" s="25" t="s">
        <v>744</v>
      </c>
      <c r="C35" s="25">
        <f>C31-C5</f>
        <v>3.2148992446759053</v>
      </c>
      <c r="D35" s="25">
        <f>D31-D5</f>
        <v>-16.317181577727496</v>
      </c>
      <c r="E35" s="25">
        <f t="shared" ref="E35:L35" si="2">E31-E5</f>
        <v>-7.6350448558885518</v>
      </c>
      <c r="F35" s="25">
        <f t="shared" si="2"/>
        <v>-11.225788272934679</v>
      </c>
      <c r="G35" s="25">
        <f t="shared" si="2"/>
        <v>-1.68107326916261</v>
      </c>
      <c r="H35" s="25">
        <f t="shared" si="2"/>
        <v>3.4248629782128432</v>
      </c>
      <c r="I35" s="25">
        <f t="shared" si="2"/>
        <v>-5.8894372790154392</v>
      </c>
      <c r="J35" s="25">
        <f t="shared" si="2"/>
        <v>-8.6230560175969657</v>
      </c>
      <c r="K35" s="25">
        <f t="shared" si="2"/>
        <v>0.5012770521455252</v>
      </c>
      <c r="L35" s="25">
        <f t="shared" si="2"/>
        <v>-1.1484379970732448</v>
      </c>
    </row>
    <row r="36" spans="1:36" s="114" customFormat="1">
      <c r="A36" s="431" t="s">
        <v>449</v>
      </c>
      <c r="B36" s="10" t="s">
        <v>744</v>
      </c>
      <c r="C36" s="10">
        <f>C31-C24</f>
        <v>-1.0363646808754936</v>
      </c>
      <c r="D36" s="10">
        <f t="shared" ref="D36:L36" si="3">D31-D24</f>
        <v>-7.4889412305394387</v>
      </c>
      <c r="E36" s="10">
        <f t="shared" si="3"/>
        <v>-1.7659562245073914</v>
      </c>
      <c r="F36" s="10">
        <f t="shared" si="3"/>
        <v>1.1803680511671502</v>
      </c>
      <c r="G36" s="10">
        <f t="shared" si="3"/>
        <v>0.41592462802321961</v>
      </c>
      <c r="H36" s="10">
        <f t="shared" si="3"/>
        <v>-1.838340897340629E-2</v>
      </c>
      <c r="I36" s="10">
        <f t="shared" si="3"/>
        <v>2.2994580724229792</v>
      </c>
      <c r="J36" s="10">
        <f t="shared" si="3"/>
        <v>0.9586181804255034</v>
      </c>
      <c r="K36" s="10">
        <f t="shared" si="3"/>
        <v>-8.8853143371451893E-2</v>
      </c>
      <c r="L36" s="10">
        <f t="shared" si="3"/>
        <v>-0.62541889278260498</v>
      </c>
    </row>
    <row r="37" spans="1:36">
      <c r="A37" s="4"/>
      <c r="B37" s="4"/>
    </row>
    <row r="38" spans="1:36">
      <c r="A38" s="9" t="s">
        <v>213</v>
      </c>
    </row>
    <row r="39" spans="1:36" ht="39.75" customHeight="1">
      <c r="A39" s="1168" t="s">
        <v>330</v>
      </c>
      <c r="B39" s="1169"/>
      <c r="C39" s="1169"/>
      <c r="D39" s="1169"/>
      <c r="E39" s="1169"/>
      <c r="F39" s="1169"/>
      <c r="G39" s="1169"/>
      <c r="H39" s="1169"/>
      <c r="I39" s="1169"/>
      <c r="J39" s="1169"/>
      <c r="K39" s="1169"/>
      <c r="L39" s="1169"/>
    </row>
    <row r="40" spans="1:36">
      <c r="A40" s="1024" t="s">
        <v>160</v>
      </c>
      <c r="B40" s="4"/>
    </row>
    <row r="41" spans="1:36">
      <c r="A41" s="1"/>
      <c r="B41" s="4"/>
    </row>
  </sheetData>
  <mergeCells count="13">
    <mergeCell ref="B1:L1"/>
    <mergeCell ref="H3:H4"/>
    <mergeCell ref="I3:I4"/>
    <mergeCell ref="A39:L39"/>
    <mergeCell ref="B3:B4"/>
    <mergeCell ref="C3:C4"/>
    <mergeCell ref="D3:D4"/>
    <mergeCell ref="E3:E4"/>
    <mergeCell ref="J3:J4"/>
    <mergeCell ref="K3:K4"/>
    <mergeCell ref="L3:L4"/>
    <mergeCell ref="F3:F4"/>
    <mergeCell ref="G3:G4"/>
  </mergeCells>
  <phoneticPr fontId="35" type="noConversion"/>
  <pageMargins left="0.75" right="0.75" top="1" bottom="1" header="0.5" footer="0.5"/>
  <pageSetup scale="83"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sheetPr codeName="Sheet43">
    <pageSetUpPr fitToPage="1"/>
  </sheetPr>
  <dimension ref="A1:AJ41"/>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9.140625" style="2" customWidth="1"/>
    <col min="2" max="2" width="9.7109375" style="1" bestFit="1" customWidth="1"/>
    <col min="3" max="11" width="9.28515625" style="1" bestFit="1" customWidth="1"/>
    <col min="12" max="12" width="8.7109375" style="1" customWidth="1"/>
    <col min="13" max="16384" width="8.85546875" style="1"/>
  </cols>
  <sheetData>
    <row r="1" spans="1:24" ht="36.75" customHeight="1">
      <c r="A1" s="4"/>
      <c r="B1" s="1181" t="s">
        <v>2149</v>
      </c>
      <c r="C1" s="1181"/>
      <c r="D1" s="1181"/>
      <c r="E1" s="1181"/>
      <c r="F1" s="1181"/>
      <c r="G1" s="1181"/>
      <c r="H1" s="1181"/>
      <c r="I1" s="1181"/>
      <c r="J1" s="1181"/>
      <c r="K1" s="1181"/>
      <c r="L1" s="1181"/>
      <c r="M1" s="1181"/>
    </row>
    <row r="2" spans="1:24">
      <c r="A2" s="4"/>
      <c r="B2" s="4"/>
    </row>
    <row r="3" spans="1:24">
      <c r="B3" s="1164" t="s">
        <v>375</v>
      </c>
      <c r="C3" s="1164" t="s">
        <v>377</v>
      </c>
      <c r="D3" s="1164" t="s">
        <v>386</v>
      </c>
      <c r="E3" s="1164" t="s">
        <v>378</v>
      </c>
      <c r="F3" s="1164" t="s">
        <v>379</v>
      </c>
      <c r="G3" s="1164" t="s">
        <v>380</v>
      </c>
      <c r="H3" s="1164" t="s">
        <v>381</v>
      </c>
      <c r="I3" s="1164" t="s">
        <v>382</v>
      </c>
      <c r="J3" s="1164" t="s">
        <v>383</v>
      </c>
      <c r="K3" s="1164" t="s">
        <v>384</v>
      </c>
      <c r="L3" s="1164" t="s">
        <v>385</v>
      </c>
    </row>
    <row r="4" spans="1:24" s="4" customFormat="1">
      <c r="A4" s="7"/>
      <c r="B4" s="1165"/>
      <c r="C4" s="1165"/>
      <c r="D4" s="1165"/>
      <c r="E4" s="1165"/>
      <c r="F4" s="1165"/>
      <c r="G4" s="1165"/>
      <c r="H4" s="1165"/>
      <c r="I4" s="1165"/>
      <c r="J4" s="1165"/>
      <c r="K4" s="1165"/>
      <c r="L4" s="1165"/>
    </row>
    <row r="5" spans="1:24">
      <c r="A5" s="2">
        <v>1981</v>
      </c>
      <c r="B5" s="19">
        <f>'14b'!B5/'14b'!$B5*100</f>
        <v>100</v>
      </c>
      <c r="C5" s="21">
        <f>'14b'!C5/'14b'!$B5*100</f>
        <v>94.919786096256672</v>
      </c>
      <c r="D5" s="21">
        <f>'14b'!D5/'14b'!$B5*100</f>
        <v>97.058823529411768</v>
      </c>
      <c r="E5" s="21">
        <f>'14b'!E5/'14b'!$B5*100</f>
        <v>98.395721925133685</v>
      </c>
      <c r="F5" s="21">
        <f>'14b'!F5/'14b'!$B5*100</f>
        <v>101.33689839572193</v>
      </c>
      <c r="G5" s="21">
        <f>'14b'!G5/'14b'!$B5*100</f>
        <v>100</v>
      </c>
      <c r="H5" s="21">
        <f>'14b'!H5/'14b'!$B5*100</f>
        <v>97.058823529411768</v>
      </c>
      <c r="I5" s="21">
        <f>'14b'!I5/'14b'!$B5*100</f>
        <v>102.94117647058825</v>
      </c>
      <c r="J5" s="21">
        <f>'14b'!J5/'14b'!$B5*100</f>
        <v>108.28877005347594</v>
      </c>
      <c r="K5" s="21">
        <f>'14b'!K5/'14b'!$B5*100</f>
        <v>99.197860962566835</v>
      </c>
      <c r="L5" s="21">
        <f>'14b'!L5/'14b'!$B5*100</f>
        <v>100.80213903743316</v>
      </c>
      <c r="N5" s="6"/>
      <c r="O5" s="6"/>
      <c r="P5" s="6"/>
      <c r="Q5" s="6"/>
      <c r="R5" s="6"/>
      <c r="S5" s="6"/>
      <c r="T5" s="6"/>
      <c r="U5" s="6"/>
      <c r="V5" s="6"/>
      <c r="W5" s="6"/>
      <c r="X5" s="6"/>
    </row>
    <row r="6" spans="1:24">
      <c r="A6" s="2">
        <v>1982</v>
      </c>
      <c r="B6" s="19">
        <f>'14b'!B6/'14b'!$B6*100</f>
        <v>100</v>
      </c>
      <c r="C6" s="21">
        <f>'14b'!C6/'14b'!$B6*100</f>
        <v>93.157894736842096</v>
      </c>
      <c r="D6" s="21">
        <f>'14b'!D6/'14b'!$B6*100</f>
        <v>95</v>
      </c>
      <c r="E6" s="21">
        <f>'14b'!E6/'14b'!$B6*100</f>
        <v>99.210526315789465</v>
      </c>
      <c r="F6" s="21">
        <f>'14b'!F6/'14b'!$B6*100</f>
        <v>100.26315789473684</v>
      </c>
      <c r="G6" s="21">
        <f>'14b'!G6/'14b'!$B6*100</f>
        <v>99.473684210526315</v>
      </c>
      <c r="H6" s="21">
        <f>'14b'!H6/'14b'!$B6*100</f>
        <v>97.368421052631575</v>
      </c>
      <c r="I6" s="21">
        <f>'14b'!I6/'14b'!$B6*100</f>
        <v>102.36842105263158</v>
      </c>
      <c r="J6" s="21">
        <f>'14b'!J6/'14b'!$B6*100</f>
        <v>103.42105263157895</v>
      </c>
      <c r="K6" s="21">
        <f>'14b'!K6/'14b'!$B6*100</f>
        <v>100.78947368421052</v>
      </c>
      <c r="L6" s="21">
        <f>'14b'!L6/'14b'!$B6*100</f>
        <v>101.05263157894737</v>
      </c>
      <c r="N6" s="6"/>
      <c r="O6" s="6"/>
      <c r="P6" s="6"/>
      <c r="Q6" s="6"/>
      <c r="R6" s="6"/>
      <c r="S6" s="6"/>
      <c r="T6" s="6"/>
      <c r="U6" s="6"/>
      <c r="V6" s="6"/>
      <c r="W6" s="6"/>
      <c r="X6" s="6"/>
    </row>
    <row r="7" spans="1:24">
      <c r="A7" s="2">
        <v>1983</v>
      </c>
      <c r="B7" s="19">
        <f>'14b'!B7/'14b'!$B7*100</f>
        <v>100</v>
      </c>
      <c r="C7" s="21">
        <f>'14b'!C7/'14b'!$B7*100</f>
        <v>95.140664961636816</v>
      </c>
      <c r="D7" s="21">
        <f>'14b'!D7/'14b'!$B7*100</f>
        <v>97.953964194373398</v>
      </c>
      <c r="E7" s="21">
        <f>'14b'!E7/'14b'!$B7*100</f>
        <v>98.976982097186706</v>
      </c>
      <c r="F7" s="21">
        <f>'14b'!F7/'14b'!$B7*100</f>
        <v>102.55754475703324</v>
      </c>
      <c r="G7" s="21">
        <f>'14b'!G7/'14b'!$B7*100</f>
        <v>97.698209718670071</v>
      </c>
      <c r="H7" s="21">
        <f>'14b'!H7/'14b'!$B7*100</f>
        <v>100.51150895140665</v>
      </c>
      <c r="I7" s="21">
        <f>'14b'!I7/'14b'!$B7*100</f>
        <v>98.465473145780052</v>
      </c>
      <c r="J7" s="21">
        <f>'14b'!J7/'14b'!$B7*100</f>
        <v>103.32480818414322</v>
      </c>
      <c r="K7" s="21">
        <f>'14b'!K7/'14b'!$B7*100</f>
        <v>100.25575447570331</v>
      </c>
      <c r="L7" s="21">
        <f>'14b'!L7/'14b'!$B7*100</f>
        <v>98.721227621483379</v>
      </c>
      <c r="N7" s="6"/>
      <c r="O7" s="6"/>
      <c r="P7" s="6"/>
      <c r="Q7" s="6"/>
      <c r="R7" s="6"/>
      <c r="S7" s="6"/>
      <c r="T7" s="6"/>
      <c r="U7" s="6"/>
      <c r="V7" s="6"/>
      <c r="W7" s="6"/>
      <c r="X7" s="6"/>
    </row>
    <row r="8" spans="1:24">
      <c r="A8" s="2">
        <v>1984</v>
      </c>
      <c r="B8" s="19">
        <f>'14b'!B8/'14b'!$B8*100</f>
        <v>100</v>
      </c>
      <c r="C8" s="21">
        <f>'14b'!C8/'14b'!$B8*100</f>
        <v>93.298969072164937</v>
      </c>
      <c r="D8" s="21">
        <f>'14b'!D8/'14b'!$B8*100</f>
        <v>96.13402061855669</v>
      </c>
      <c r="E8" s="21">
        <f>'14b'!E8/'14b'!$B8*100</f>
        <v>98.19587628865979</v>
      </c>
      <c r="F8" s="21">
        <f>'14b'!F8/'14b'!$B8*100</f>
        <v>98.19587628865979</v>
      </c>
      <c r="G8" s="21">
        <f>'14b'!G8/'14b'!$B8*100</f>
        <v>101.28865979381443</v>
      </c>
      <c r="H8" s="21">
        <f>'14b'!H8/'14b'!$B8*100</f>
        <v>98.19587628865979</v>
      </c>
      <c r="I8" s="21">
        <f>'14b'!I8/'14b'!$B8*100</f>
        <v>97.422680412371136</v>
      </c>
      <c r="J8" s="21">
        <f>'14b'!J8/'14b'!$B8*100</f>
        <v>101.03092783505154</v>
      </c>
      <c r="K8" s="21">
        <f>'14b'!K8/'14b'!$B8*100</f>
        <v>99.484536082474222</v>
      </c>
      <c r="L8" s="21">
        <f>'14b'!L8/'14b'!$B8*100</f>
        <v>101.03092783505154</v>
      </c>
      <c r="N8" s="6"/>
      <c r="O8" s="6"/>
      <c r="P8" s="6"/>
      <c r="Q8" s="6"/>
      <c r="R8" s="6"/>
      <c r="S8" s="6"/>
      <c r="T8" s="6"/>
      <c r="U8" s="6"/>
      <c r="V8" s="6"/>
      <c r="W8" s="6"/>
      <c r="X8" s="6"/>
    </row>
    <row r="9" spans="1:24">
      <c r="A9" s="2">
        <v>1985</v>
      </c>
      <c r="B9" s="19">
        <f>'14b'!B9/'14b'!$B9*100</f>
        <v>100</v>
      </c>
      <c r="C9" s="21">
        <f>'14b'!C9/'14b'!$B9*100</f>
        <v>97.674418604651152</v>
      </c>
      <c r="D9" s="21">
        <f>'14b'!D9/'14b'!$B9*100</f>
        <v>94.573643410852696</v>
      </c>
      <c r="E9" s="21">
        <f>'14b'!E9/'14b'!$B9*100</f>
        <v>102.58397932816538</v>
      </c>
      <c r="F9" s="21">
        <f>'14b'!F9/'14b'!$B9*100</f>
        <v>95.865633074935403</v>
      </c>
      <c r="G9" s="21">
        <f>'14b'!G9/'14b'!$B9*100</f>
        <v>98.191214470284237</v>
      </c>
      <c r="H9" s="21">
        <f>'14b'!H9/'14b'!$B9*100</f>
        <v>98.708010335917308</v>
      </c>
      <c r="I9" s="21">
        <f>'14b'!I9/'14b'!$B9*100</f>
        <v>97.674418604651152</v>
      </c>
      <c r="J9" s="21">
        <f>'14b'!J9/'14b'!$B9*100</f>
        <v>103.10077519379846</v>
      </c>
      <c r="K9" s="21">
        <f>'14b'!K9/'14b'!$B9*100</f>
        <v>98.191214470284237</v>
      </c>
      <c r="L9" s="21">
        <f>'14b'!L9/'14b'!$B9*100</f>
        <v>103.87596899224806</v>
      </c>
      <c r="N9" s="6"/>
      <c r="O9" s="6"/>
      <c r="P9" s="6"/>
      <c r="Q9" s="6"/>
      <c r="R9" s="6"/>
      <c r="S9" s="6"/>
      <c r="T9" s="6"/>
      <c r="U9" s="6"/>
      <c r="V9" s="6"/>
      <c r="W9" s="6"/>
      <c r="X9" s="6"/>
    </row>
    <row r="10" spans="1:24">
      <c r="A10" s="2">
        <v>1986</v>
      </c>
      <c r="B10" s="19">
        <f>'14b'!B10/'14b'!$B10*100</f>
        <v>100</v>
      </c>
      <c r="C10" s="21">
        <f>'14b'!C10/'14b'!$B10*100</f>
        <v>93.556701030927826</v>
      </c>
      <c r="D10" s="21">
        <f>'14b'!D10/'14b'!$B10*100</f>
        <v>92.783505154639172</v>
      </c>
      <c r="E10" s="21">
        <f>'14b'!E10/'14b'!$B10*100</f>
        <v>99.742268041237111</v>
      </c>
      <c r="F10" s="21">
        <f>'14b'!F10/'14b'!$B10*100</f>
        <v>92.268041237113394</v>
      </c>
      <c r="G10" s="21">
        <f>'14b'!G10/'14b'!$B10*100</f>
        <v>99.742268041237111</v>
      </c>
      <c r="H10" s="21">
        <f>'14b'!H10/'14b'!$B10*100</f>
        <v>98.453608247422679</v>
      </c>
      <c r="I10" s="21">
        <f>'14b'!I10/'14b'!$B10*100</f>
        <v>96.649484536082468</v>
      </c>
      <c r="J10" s="21">
        <f>'14b'!J10/'14b'!$B10*100</f>
        <v>104.89690721649482</v>
      </c>
      <c r="K10" s="21">
        <f>'14b'!K10/'14b'!$B10*100</f>
        <v>99.742268041237111</v>
      </c>
      <c r="L10" s="21">
        <f>'14b'!L10/'14b'!$B10*100</f>
        <v>100</v>
      </c>
      <c r="N10" s="6"/>
      <c r="O10" s="6"/>
      <c r="P10" s="6"/>
      <c r="Q10" s="6"/>
      <c r="R10" s="6"/>
      <c r="S10" s="6"/>
      <c r="T10" s="6"/>
      <c r="U10" s="6"/>
      <c r="V10" s="6"/>
      <c r="W10" s="6"/>
      <c r="X10" s="6"/>
    </row>
    <row r="11" spans="1:24">
      <c r="A11" s="2">
        <v>1987</v>
      </c>
      <c r="B11" s="19">
        <f>'14b'!B11/'14b'!$B11*100</f>
        <v>100</v>
      </c>
      <c r="C11" s="21">
        <f>'14b'!C11/'14b'!$B11*100</f>
        <v>94.329896907216494</v>
      </c>
      <c r="D11" s="21">
        <f>'14b'!D11/'14b'!$B11*100</f>
        <v>94.587628865979383</v>
      </c>
      <c r="E11" s="21">
        <f>'14b'!E11/'14b'!$B11*100</f>
        <v>97.164948453608247</v>
      </c>
      <c r="F11" s="21">
        <f>'14b'!F11/'14b'!$B11*100</f>
        <v>96.391752577319593</v>
      </c>
      <c r="G11" s="21">
        <f>'14b'!G11/'14b'!$B11*100</f>
        <v>99.742268041237111</v>
      </c>
      <c r="H11" s="21">
        <f>'14b'!H11/'14b'!$B11*100</f>
        <v>97.680412371134011</v>
      </c>
      <c r="I11" s="21">
        <f>'14b'!I11/'14b'!$B11*100</f>
        <v>98.19587628865979</v>
      </c>
      <c r="J11" s="21">
        <f>'14b'!J11/'14b'!$B11*100</f>
        <v>99.742268041237111</v>
      </c>
      <c r="K11" s="21">
        <f>'14b'!K11/'14b'!$B11*100</f>
        <v>100.51546391752578</v>
      </c>
      <c r="L11" s="21">
        <f>'14b'!L11/'14b'!$B11*100</f>
        <v>101.8041237113402</v>
      </c>
      <c r="N11" s="6"/>
      <c r="O11" s="6"/>
      <c r="P11" s="6"/>
      <c r="Q11" s="6"/>
      <c r="R11" s="6"/>
      <c r="S11" s="6"/>
      <c r="T11" s="6"/>
      <c r="U11" s="6"/>
      <c r="V11" s="6"/>
      <c r="W11" s="6"/>
      <c r="X11" s="6"/>
    </row>
    <row r="12" spans="1:24">
      <c r="A12" s="2">
        <v>1988</v>
      </c>
      <c r="B12" s="19">
        <f>'14b'!B12/'14b'!$B12*100</f>
        <v>100</v>
      </c>
      <c r="C12" s="21">
        <f>'14b'!C12/'14b'!$B12*100</f>
        <v>89.432989690721641</v>
      </c>
      <c r="D12" s="21">
        <f>'14b'!D12/'14b'!$B12*100</f>
        <v>91.75257731958763</v>
      </c>
      <c r="E12" s="21">
        <f>'14b'!E12/'14b'!$B12*100</f>
        <v>97.422680412371136</v>
      </c>
      <c r="F12" s="21">
        <f>'14b'!F12/'14b'!$B12*100</f>
        <v>93.556701030927826</v>
      </c>
      <c r="G12" s="21">
        <f>'14b'!G12/'14b'!$B12*100</f>
        <v>100.25773195876289</v>
      </c>
      <c r="H12" s="21">
        <f>'14b'!H12/'14b'!$B12*100</f>
        <v>98.711340206185554</v>
      </c>
      <c r="I12" s="21">
        <f>'14b'!I12/'14b'!$B12*100</f>
        <v>100.25773195876289</v>
      </c>
      <c r="J12" s="21">
        <f>'14b'!J12/'14b'!$B12*100</f>
        <v>101.03092783505154</v>
      </c>
      <c r="K12" s="21">
        <f>'14b'!K12/'14b'!$B12*100</f>
        <v>98.969072164948457</v>
      </c>
      <c r="L12" s="21">
        <f>'14b'!L12/'14b'!$B12*100</f>
        <v>97.164948453608247</v>
      </c>
      <c r="N12" s="6"/>
      <c r="O12" s="6"/>
      <c r="P12" s="6"/>
      <c r="Q12" s="6"/>
      <c r="R12" s="6"/>
      <c r="S12" s="6"/>
      <c r="T12" s="6"/>
      <c r="U12" s="6"/>
      <c r="V12" s="6"/>
      <c r="W12" s="6"/>
      <c r="X12" s="6"/>
    </row>
    <row r="13" spans="1:24">
      <c r="A13" s="2">
        <v>1989</v>
      </c>
      <c r="B13" s="19">
        <f>'14b'!B13/'14b'!$B13*100</f>
        <v>100</v>
      </c>
      <c r="C13" s="21">
        <f>'14b'!C13/'14b'!$B13*100</f>
        <v>90.649350649350652</v>
      </c>
      <c r="D13" s="21">
        <f>'14b'!D13/'14b'!$B13*100</f>
        <v>98.441558441558442</v>
      </c>
      <c r="E13" s="21">
        <f>'14b'!E13/'14b'!$B13*100</f>
        <v>100.25974025974027</v>
      </c>
      <c r="F13" s="21">
        <f>'14b'!F13/'14b'!$B13*100</f>
        <v>95.584415584415581</v>
      </c>
      <c r="G13" s="21">
        <f>'14b'!G13/'14b'!$B13*100</f>
        <v>98.701298701298697</v>
      </c>
      <c r="H13" s="21">
        <f>'14b'!H13/'14b'!$B13*100</f>
        <v>99.740259740259745</v>
      </c>
      <c r="I13" s="21">
        <f>'14b'!I13/'14b'!$B13*100</f>
        <v>99.480519480519476</v>
      </c>
      <c r="J13" s="21">
        <f>'14b'!J13/'14b'!$B13*100</f>
        <v>100.77922077922079</v>
      </c>
      <c r="K13" s="21">
        <f>'14b'!K13/'14b'!$B13*100</f>
        <v>99.740259740259745</v>
      </c>
      <c r="L13" s="21">
        <f>'14b'!L13/'14b'!$B13*100</f>
        <v>96.36363636363636</v>
      </c>
      <c r="N13" s="6"/>
      <c r="O13" s="6"/>
      <c r="P13" s="6"/>
      <c r="Q13" s="6"/>
      <c r="R13" s="6"/>
      <c r="S13" s="6"/>
      <c r="T13" s="6"/>
      <c r="U13" s="6"/>
      <c r="V13" s="6"/>
      <c r="W13" s="6"/>
      <c r="X13" s="6"/>
    </row>
    <row r="14" spans="1:24">
      <c r="A14" s="2">
        <v>1990</v>
      </c>
      <c r="B14" s="19">
        <f>'14b'!B14/'14b'!$B14*100</f>
        <v>100</v>
      </c>
      <c r="C14" s="21">
        <f>'14b'!C14/'14b'!$B14*100</f>
        <v>93.164556962025316</v>
      </c>
      <c r="D14" s="21">
        <f>'14b'!D14/'14b'!$B14*100</f>
        <v>91.645569620253156</v>
      </c>
      <c r="E14" s="21">
        <f>'14b'!E14/'14b'!$B14*100</f>
        <v>94.936708860759495</v>
      </c>
      <c r="F14" s="21">
        <f>'14b'!F14/'14b'!$B14*100</f>
        <v>93.417721518987335</v>
      </c>
      <c r="G14" s="21">
        <f>'14b'!G14/'14b'!$B14*100</f>
        <v>100</v>
      </c>
      <c r="H14" s="21">
        <f>'14b'!H14/'14b'!$B14*100</f>
        <v>98.481012658227854</v>
      </c>
      <c r="I14" s="21">
        <f>'14b'!I14/'14b'!$B14*100</f>
        <v>96.455696202531641</v>
      </c>
      <c r="J14" s="21">
        <f>'14b'!J14/'14b'!$B14*100</f>
        <v>102.27848101265823</v>
      </c>
      <c r="K14" s="21">
        <f>'14b'!K14/'14b'!$B14*100</f>
        <v>99.240506329113913</v>
      </c>
      <c r="L14" s="21">
        <f>'14b'!L14/'14b'!$B14*100</f>
        <v>101.77215189873419</v>
      </c>
      <c r="N14" s="6"/>
      <c r="O14" s="6"/>
      <c r="P14" s="6"/>
      <c r="Q14" s="6"/>
      <c r="R14" s="6"/>
      <c r="S14" s="6"/>
      <c r="T14" s="6"/>
      <c r="U14" s="6"/>
      <c r="V14" s="6"/>
      <c r="W14" s="6"/>
      <c r="X14" s="6"/>
    </row>
    <row r="15" spans="1:24">
      <c r="A15" s="2">
        <v>1991</v>
      </c>
      <c r="B15" s="19">
        <f>'14b'!B15/'14b'!$B15*100</f>
        <v>100</v>
      </c>
      <c r="C15" s="21">
        <f>'14b'!C15/'14b'!$B15*100</f>
        <v>95.781637717121583</v>
      </c>
      <c r="D15" s="21">
        <f>'14b'!D15/'14b'!$B15*100</f>
        <v>93.796526054590572</v>
      </c>
      <c r="E15" s="21">
        <f>'14b'!E15/'14b'!$B15*100</f>
        <v>92.803970223325067</v>
      </c>
      <c r="F15" s="21">
        <f>'14b'!F15/'14b'!$B15*100</f>
        <v>94.292803970223318</v>
      </c>
      <c r="G15" s="21">
        <f>'14b'!G15/'14b'!$B15*100</f>
        <v>99.50372208436724</v>
      </c>
      <c r="H15" s="21">
        <f>'14b'!H15/'14b'!$B15*100</f>
        <v>99.50372208436724</v>
      </c>
      <c r="I15" s="21">
        <f>'14b'!I15/'14b'!$B15*100</f>
        <v>95.285359801488838</v>
      </c>
      <c r="J15" s="21">
        <f>'14b'!J15/'14b'!$B15*100</f>
        <v>98.759305210918114</v>
      </c>
      <c r="K15" s="21">
        <f>'14b'!K15/'14b'!$B15*100</f>
        <v>100.24813895781637</v>
      </c>
      <c r="L15" s="21">
        <f>'14b'!L15/'14b'!$B15*100</f>
        <v>99.50372208436724</v>
      </c>
      <c r="N15" s="6"/>
      <c r="O15" s="6"/>
      <c r="P15" s="6"/>
      <c r="Q15" s="6"/>
      <c r="R15" s="6"/>
      <c r="S15" s="6"/>
      <c r="T15" s="6"/>
      <c r="U15" s="6"/>
      <c r="V15" s="6"/>
      <c r="W15" s="6"/>
      <c r="X15" s="6"/>
    </row>
    <row r="16" spans="1:24">
      <c r="A16" s="2">
        <v>1992</v>
      </c>
      <c r="B16" s="19">
        <f>'14b'!B16/'14b'!$B16*100</f>
        <v>100</v>
      </c>
      <c r="C16" s="21">
        <f>'14b'!C16/'14b'!$B16*100</f>
        <v>94.540942928039698</v>
      </c>
      <c r="D16" s="21">
        <f>'14b'!D16/'14b'!$B16*100</f>
        <v>89.081885856079396</v>
      </c>
      <c r="E16" s="21">
        <f>'14b'!E16/'14b'!$B16*100</f>
        <v>97.022332506203469</v>
      </c>
      <c r="F16" s="21">
        <f>'14b'!F16/'14b'!$B16*100</f>
        <v>95.533498759305203</v>
      </c>
      <c r="G16" s="21">
        <f>'14b'!G16/'14b'!$B16*100</f>
        <v>98.263027295285355</v>
      </c>
      <c r="H16" s="21">
        <f>'14b'!H16/'14b'!$B16*100</f>
        <v>98.263027295285355</v>
      </c>
      <c r="I16" s="21">
        <f>'14b'!I16/'14b'!$B16*100</f>
        <v>99.75186104218362</v>
      </c>
      <c r="J16" s="21">
        <f>'14b'!J16/'14b'!$B16*100</f>
        <v>102.23325062034738</v>
      </c>
      <c r="K16" s="21">
        <f>'14b'!K16/'14b'!$B16*100</f>
        <v>102.72952853598014</v>
      </c>
      <c r="L16" s="21">
        <f>'14b'!L16/'14b'!$B16*100</f>
        <v>102.48138957816376</v>
      </c>
      <c r="N16" s="6"/>
      <c r="O16" s="6"/>
      <c r="P16" s="6"/>
      <c r="Q16" s="6"/>
      <c r="R16" s="6"/>
      <c r="S16" s="6"/>
      <c r="T16" s="6"/>
      <c r="U16" s="6"/>
      <c r="V16" s="6"/>
      <c r="W16" s="6"/>
      <c r="X16" s="6"/>
    </row>
    <row r="17" spans="1:24">
      <c r="A17" s="2">
        <v>1993</v>
      </c>
      <c r="B17" s="19">
        <f>'14b'!B17/'14b'!$B17*100</f>
        <v>100</v>
      </c>
      <c r="C17" s="21">
        <f>'14b'!C17/'14b'!$B17*100</f>
        <v>91.959798994974875</v>
      </c>
      <c r="D17" s="21">
        <f>'14b'!D17/'14b'!$B17*100</f>
        <v>88.442211055276374</v>
      </c>
      <c r="E17" s="21">
        <f>'14b'!E17/'14b'!$B17*100</f>
        <v>93.969849246231149</v>
      </c>
      <c r="F17" s="21">
        <f>'14b'!F17/'14b'!$B17*100</f>
        <v>93.718592964824111</v>
      </c>
      <c r="G17" s="21">
        <f>'14b'!G17/'14b'!$B17*100</f>
        <v>98.492462311557787</v>
      </c>
      <c r="H17" s="21">
        <f>'14b'!H17/'14b'!$B17*100</f>
        <v>100.50251256281406</v>
      </c>
      <c r="I17" s="21">
        <f>'14b'!I17/'14b'!$B17*100</f>
        <v>95.477386934673362</v>
      </c>
      <c r="J17" s="21">
        <f>'14b'!J17/'14b'!$B17*100</f>
        <v>99.246231155778901</v>
      </c>
      <c r="K17" s="21">
        <f>'14b'!K17/'14b'!$B17*100</f>
        <v>98.743718592964825</v>
      </c>
      <c r="L17" s="21">
        <f>'14b'!L17/'14b'!$B17*100</f>
        <v>100.50251256281406</v>
      </c>
      <c r="N17" s="6"/>
      <c r="O17" s="6"/>
      <c r="P17" s="6"/>
      <c r="Q17" s="6"/>
      <c r="R17" s="6"/>
      <c r="S17" s="6"/>
      <c r="T17" s="6"/>
      <c r="U17" s="6"/>
      <c r="V17" s="6"/>
      <c r="W17" s="6"/>
      <c r="X17" s="6"/>
    </row>
    <row r="18" spans="1:24">
      <c r="A18" s="2">
        <v>1994</v>
      </c>
      <c r="B18" s="19">
        <f>'14b'!B18/'14b'!$B18*100</f>
        <v>100</v>
      </c>
      <c r="C18" s="21">
        <f>'14b'!C18/'14b'!$B18*100</f>
        <v>93.03482587064677</v>
      </c>
      <c r="D18" s="21">
        <f>'14b'!D18/'14b'!$B18*100</f>
        <v>87.06467661691542</v>
      </c>
      <c r="E18" s="21">
        <f>'14b'!E18/'14b'!$B18*100</f>
        <v>97.263681592039802</v>
      </c>
      <c r="F18" s="21">
        <f>'14b'!F18/'14b'!$B18*100</f>
        <v>93.03482587064677</v>
      </c>
      <c r="G18" s="21">
        <f>'14b'!G18/'14b'!$B18*100</f>
        <v>99.253731343283576</v>
      </c>
      <c r="H18" s="21">
        <f>'14b'!H18/'14b'!$B18*100</f>
        <v>100.49751243781095</v>
      </c>
      <c r="I18" s="21">
        <f>'14b'!I18/'14b'!$B18*100</f>
        <v>98.009950248756212</v>
      </c>
      <c r="J18" s="21">
        <f>'14b'!J18/'14b'!$B18*100</f>
        <v>97.014925373134332</v>
      </c>
      <c r="K18" s="21">
        <f>'14b'!K18/'14b'!$B18*100</f>
        <v>97.014925373134332</v>
      </c>
      <c r="L18" s="21">
        <f>'14b'!L18/'14b'!$B18*100</f>
        <v>99.50248756218906</v>
      </c>
      <c r="N18" s="6"/>
      <c r="O18" s="6"/>
      <c r="P18" s="6"/>
      <c r="Q18" s="6"/>
      <c r="R18" s="6"/>
      <c r="S18" s="6"/>
      <c r="T18" s="6"/>
      <c r="U18" s="6"/>
      <c r="V18" s="6"/>
      <c r="W18" s="6"/>
      <c r="X18" s="6"/>
    </row>
    <row r="19" spans="1:24">
      <c r="A19" s="2">
        <v>1995</v>
      </c>
      <c r="B19" s="19">
        <f>'14b'!B19/'14b'!$B19*100</f>
        <v>100</v>
      </c>
      <c r="C19" s="21">
        <f>'14b'!C19/'14b'!$B19*100</f>
        <v>91.811414392059547</v>
      </c>
      <c r="D19" s="21">
        <f>'14b'!D19/'14b'!$B19*100</f>
        <v>88.08933002481389</v>
      </c>
      <c r="E19" s="21">
        <f>'14b'!E19/'14b'!$B19*100</f>
        <v>95.285359801488838</v>
      </c>
      <c r="F19" s="21">
        <f>'14b'!F19/'14b'!$B19*100</f>
        <v>93.548387096774192</v>
      </c>
      <c r="G19" s="21">
        <f>'14b'!G19/'14b'!$B19*100</f>
        <v>99.50372208436724</v>
      </c>
      <c r="H19" s="21">
        <f>'14b'!H19/'14b'!$B19*100</f>
        <v>100.24813895781637</v>
      </c>
      <c r="I19" s="21">
        <f>'14b'!I19/'14b'!$B19*100</f>
        <v>95.285359801488838</v>
      </c>
      <c r="J19" s="21">
        <f>'14b'!J19/'14b'!$B19*100</f>
        <v>100.24813895781637</v>
      </c>
      <c r="K19" s="21">
        <f>'14b'!K19/'14b'!$B19*100</f>
        <v>97.766749379652609</v>
      </c>
      <c r="L19" s="21">
        <f>'14b'!L19/'14b'!$B19*100</f>
        <v>98.511166253101734</v>
      </c>
      <c r="N19" s="6"/>
      <c r="O19" s="6"/>
      <c r="P19" s="6"/>
      <c r="Q19" s="6"/>
      <c r="R19" s="6"/>
      <c r="S19" s="6"/>
      <c r="T19" s="6"/>
      <c r="U19" s="6"/>
      <c r="V19" s="6"/>
      <c r="W19" s="6"/>
      <c r="X19" s="6"/>
    </row>
    <row r="20" spans="1:24">
      <c r="A20" s="2">
        <v>1996</v>
      </c>
      <c r="B20" s="19">
        <f>'14b'!B20/'14b'!$B20*100</f>
        <v>100</v>
      </c>
      <c r="C20" s="21">
        <f>'14b'!C20/'14b'!$B20*100</f>
        <v>90.579710144927532</v>
      </c>
      <c r="D20" s="21">
        <f>'14b'!D20/'14b'!$B20*100</f>
        <v>85.507246376811594</v>
      </c>
      <c r="E20" s="21">
        <f>'14b'!E20/'14b'!$B20*100</f>
        <v>92.028985507246389</v>
      </c>
      <c r="F20" s="21">
        <f>'14b'!F20/'14b'!$B20*100</f>
        <v>92.995169082125599</v>
      </c>
      <c r="G20" s="21">
        <f>'14b'!G20/'14b'!$B20*100</f>
        <v>99.033816425120762</v>
      </c>
      <c r="H20" s="21">
        <f>'14b'!H20/'14b'!$B20*100</f>
        <v>100.96618357487924</v>
      </c>
      <c r="I20" s="21">
        <f>'14b'!I20/'14b'!$B20*100</f>
        <v>92.753623188405797</v>
      </c>
      <c r="J20" s="21">
        <f>'14b'!J20/'14b'!$B20*100</f>
        <v>95.652173913043498</v>
      </c>
      <c r="K20" s="21">
        <f>'14b'!K20/'14b'!$B20*100</f>
        <v>97.101449275362327</v>
      </c>
      <c r="L20" s="21">
        <f>'14b'!L20/'14b'!$B20*100</f>
        <v>100.2415458937198</v>
      </c>
      <c r="N20" s="6"/>
      <c r="O20" s="6"/>
      <c r="P20" s="6"/>
      <c r="Q20" s="6"/>
      <c r="R20" s="6"/>
      <c r="S20" s="6"/>
      <c r="T20" s="6"/>
      <c r="U20" s="6"/>
      <c r="V20" s="6"/>
      <c r="W20" s="6"/>
      <c r="X20" s="6"/>
    </row>
    <row r="21" spans="1:24">
      <c r="A21" s="2">
        <v>1997</v>
      </c>
      <c r="B21" s="19">
        <f>'14b'!B21/'14b'!$B21*100</f>
        <v>100</v>
      </c>
      <c r="C21" s="21">
        <f>'14b'!C21/'14b'!$B21*100</f>
        <v>88.516746411483254</v>
      </c>
      <c r="D21" s="21">
        <f>'14b'!D21/'14b'!$B21*100</f>
        <v>85.167464114832541</v>
      </c>
      <c r="E21" s="21">
        <f>'14b'!E21/'14b'!$B21*100</f>
        <v>94.497607655502406</v>
      </c>
      <c r="F21" s="21">
        <f>'14b'!F21/'14b'!$B21*100</f>
        <v>92.822966507177043</v>
      </c>
      <c r="G21" s="21">
        <f>'14b'!G21/'14b'!$B21*100</f>
        <v>98.564593301435409</v>
      </c>
      <c r="H21" s="21">
        <f>'14b'!H21/'14b'!$B21*100</f>
        <v>100.23923444976077</v>
      </c>
      <c r="I21" s="21">
        <f>'14b'!I21/'14b'!$B21*100</f>
        <v>93.540669856459331</v>
      </c>
      <c r="J21" s="21">
        <f>'14b'!J21/'14b'!$B21*100</f>
        <v>93.540669856459331</v>
      </c>
      <c r="K21" s="21">
        <f>'14b'!K21/'14b'!$B21*100</f>
        <v>100.47846889952152</v>
      </c>
      <c r="L21" s="21">
        <f>'14b'!L21/'14b'!$B21*100</f>
        <v>100.23923444976077</v>
      </c>
      <c r="N21" s="6"/>
      <c r="O21" s="6"/>
      <c r="P21" s="6"/>
      <c r="Q21" s="6"/>
      <c r="R21" s="6"/>
      <c r="S21" s="6"/>
      <c r="T21" s="6"/>
      <c r="U21" s="6"/>
      <c r="V21" s="6"/>
      <c r="W21" s="6"/>
      <c r="X21" s="6"/>
    </row>
    <row r="22" spans="1:24">
      <c r="A22" s="2">
        <v>1998</v>
      </c>
      <c r="B22" s="19">
        <f>'14b'!B22/'14b'!$B22*100</f>
        <v>100</v>
      </c>
      <c r="C22" s="21">
        <f>'14b'!C22/'14b'!$B22*100</f>
        <v>93.442622950819683</v>
      </c>
      <c r="D22" s="21">
        <f>'14b'!D22/'14b'!$B22*100</f>
        <v>90.632318501170957</v>
      </c>
      <c r="E22" s="21">
        <f>'14b'!E22/'14b'!$B22*100</f>
        <v>95.784543325526926</v>
      </c>
      <c r="F22" s="21">
        <f>'14b'!F22/'14b'!$B22*100</f>
        <v>93.676814988290403</v>
      </c>
      <c r="G22" s="21">
        <f>'14b'!G22/'14b'!$B22*100</f>
        <v>98.594847775175637</v>
      </c>
      <c r="H22" s="21">
        <f>'14b'!H22/'14b'!$B22*100</f>
        <v>100</v>
      </c>
      <c r="I22" s="21">
        <f>'14b'!I22/'14b'!$B22*100</f>
        <v>95.316159250585471</v>
      </c>
      <c r="J22" s="21">
        <f>'14b'!J22/'14b'!$B22*100</f>
        <v>96.01873536299766</v>
      </c>
      <c r="K22" s="21">
        <f>'14b'!K22/'14b'!$B22*100</f>
        <v>102.10772833723654</v>
      </c>
      <c r="L22" s="21">
        <f>'14b'!L22/'14b'!$B22*100</f>
        <v>99.531615925058546</v>
      </c>
      <c r="N22" s="6"/>
      <c r="O22" s="6"/>
      <c r="P22" s="6"/>
      <c r="Q22" s="6"/>
      <c r="R22" s="6"/>
      <c r="S22" s="6"/>
      <c r="T22" s="6"/>
      <c r="U22" s="6"/>
      <c r="V22" s="6"/>
      <c r="W22" s="6"/>
      <c r="X22" s="6"/>
    </row>
    <row r="23" spans="1:24">
      <c r="A23" s="2">
        <v>1999</v>
      </c>
      <c r="B23" s="19">
        <f>'14b'!B23/'14b'!$B23*100</f>
        <v>100</v>
      </c>
      <c r="C23" s="21">
        <f>'14b'!C23/'14b'!$B23*100</f>
        <v>95.53990610328637</v>
      </c>
      <c r="D23" s="21">
        <f>'14b'!D23/'14b'!$B23*100</f>
        <v>93.896713615023486</v>
      </c>
      <c r="E23" s="21">
        <f>'14b'!E23/'14b'!$B23*100</f>
        <v>96.009389671361504</v>
      </c>
      <c r="F23" s="21">
        <f>'14b'!F23/'14b'!$B23*100</f>
        <v>91.784037558685455</v>
      </c>
      <c r="G23" s="21">
        <f>'14b'!G23/'14b'!$B23*100</f>
        <v>96.713615023474176</v>
      </c>
      <c r="H23" s="21">
        <f>'14b'!H23/'14b'!$B23*100</f>
        <v>101.6431924882629</v>
      </c>
      <c r="I23" s="21">
        <f>'14b'!I23/'14b'!$B23*100</f>
        <v>92.72300469483568</v>
      </c>
      <c r="J23" s="21">
        <f>'14b'!J23/'14b'!$B23*100</f>
        <v>93.661971830985919</v>
      </c>
      <c r="K23" s="21">
        <f>'14b'!K23/'14b'!$B23*100</f>
        <v>97.887323943661968</v>
      </c>
      <c r="L23" s="21">
        <f>'14b'!L23/'14b'!$B23*100</f>
        <v>100.70422535211267</v>
      </c>
      <c r="N23" s="6"/>
      <c r="O23" s="6"/>
      <c r="P23" s="6"/>
      <c r="Q23" s="6"/>
      <c r="R23" s="6"/>
      <c r="S23" s="6"/>
      <c r="T23" s="6"/>
      <c r="U23" s="6"/>
      <c r="V23" s="6"/>
      <c r="W23" s="6"/>
      <c r="X23" s="6"/>
    </row>
    <row r="24" spans="1:24">
      <c r="A24" s="2">
        <v>2000</v>
      </c>
      <c r="B24" s="19">
        <f>'14b'!B24/'14b'!$B24*100</f>
        <v>100</v>
      </c>
      <c r="C24" s="21">
        <f>'14b'!C24/'14b'!$B24*100</f>
        <v>95.127610208816705</v>
      </c>
      <c r="D24" s="21">
        <f>'14b'!D24/'14b'!$B24*100</f>
        <v>93.039443155452446</v>
      </c>
      <c r="E24" s="21">
        <f>'14b'!E24/'14b'!$B24*100</f>
        <v>95.127610208816705</v>
      </c>
      <c r="F24" s="21">
        <f>'14b'!F24/'14b'!$B24*100</f>
        <v>93.503480278422273</v>
      </c>
      <c r="G24" s="21">
        <f>'14b'!G24/'14b'!$B24*100</f>
        <v>97.911832946635727</v>
      </c>
      <c r="H24" s="21">
        <f>'14b'!H24/'14b'!$B24*100</f>
        <v>101.62412993039442</v>
      </c>
      <c r="I24" s="21">
        <f>'14b'!I24/'14b'!$B24*100</f>
        <v>93.039443155452446</v>
      </c>
      <c r="J24" s="21">
        <f>'14b'!J24/'14b'!$B24*100</f>
        <v>94.431554524361943</v>
      </c>
      <c r="K24" s="21">
        <f>'14b'!K24/'14b'!$B24*100</f>
        <v>97.679814385150806</v>
      </c>
      <c r="L24" s="21">
        <f>'14b'!L24/'14b'!$B24*100</f>
        <v>98.83990719257541</v>
      </c>
      <c r="N24" s="6"/>
      <c r="O24" s="6"/>
      <c r="P24" s="6"/>
      <c r="Q24" s="6"/>
      <c r="R24" s="6"/>
      <c r="S24" s="6"/>
      <c r="T24" s="6"/>
      <c r="U24" s="6"/>
      <c r="V24" s="6"/>
      <c r="W24" s="6"/>
      <c r="X24" s="6"/>
    </row>
    <row r="25" spans="1:24">
      <c r="A25" s="2">
        <v>2001</v>
      </c>
      <c r="B25" s="19">
        <f>'14b'!B25/'14b'!$B25*100</f>
        <v>100</v>
      </c>
      <c r="C25" s="21">
        <f>'14b'!C25/'14b'!$B25*100</f>
        <v>93.006993006993014</v>
      </c>
      <c r="D25" s="21">
        <f>'14b'!D25/'14b'!$B25*100</f>
        <v>91.608391608391614</v>
      </c>
      <c r="E25" s="21">
        <f>'14b'!E25/'14b'!$B25*100</f>
        <v>96.503496503496507</v>
      </c>
      <c r="F25" s="21">
        <f>'14b'!F25/'14b'!$B25*100</f>
        <v>94.871794871794862</v>
      </c>
      <c r="G25" s="21">
        <f>'14b'!G25/'14b'!$B25*100</f>
        <v>98.135198135198138</v>
      </c>
      <c r="H25" s="21">
        <f>'14b'!H25/'14b'!$B25*100</f>
        <v>100.69930069930071</v>
      </c>
      <c r="I25" s="21">
        <f>'14b'!I25/'14b'!$B25*100</f>
        <v>91.841491841491845</v>
      </c>
      <c r="J25" s="21">
        <f>'14b'!J25/'14b'!$B25*100</f>
        <v>93.706293706293707</v>
      </c>
      <c r="K25" s="21">
        <f>'14b'!K25/'14b'!$B25*100</f>
        <v>96.969696969696969</v>
      </c>
      <c r="L25" s="21">
        <f>'14b'!L25/'14b'!$B25*100</f>
        <v>100.93240093240092</v>
      </c>
      <c r="N25" s="6"/>
      <c r="O25" s="6"/>
      <c r="P25" s="6"/>
      <c r="Q25" s="6"/>
      <c r="R25" s="6"/>
      <c r="S25" s="6"/>
      <c r="T25" s="6"/>
      <c r="U25" s="6"/>
      <c r="V25" s="6"/>
      <c r="W25" s="6"/>
      <c r="X25" s="6"/>
    </row>
    <row r="26" spans="1:24">
      <c r="A26" s="2">
        <v>2002</v>
      </c>
      <c r="B26" s="19">
        <f>'14b'!B26/'14b'!$B26*100</f>
        <v>100</v>
      </c>
      <c r="C26" s="21">
        <f>'14b'!C26/'14b'!$B26*100</f>
        <v>94.158878504672899</v>
      </c>
      <c r="D26" s="21">
        <f>'14b'!D26/'14b'!$B26*100</f>
        <v>91.588785046728987</v>
      </c>
      <c r="E26" s="21">
        <f>'14b'!E26/'14b'!$B26*100</f>
        <v>96.728971962616811</v>
      </c>
      <c r="F26" s="21">
        <f>'14b'!F26/'14b'!$B26*100</f>
        <v>94.859813084112147</v>
      </c>
      <c r="G26" s="21">
        <f>'14b'!G26/'14b'!$B26*100</f>
        <v>97.663551401869157</v>
      </c>
      <c r="H26" s="21">
        <f>'14b'!H26/'14b'!$B26*100</f>
        <v>100.70093457943925</v>
      </c>
      <c r="I26" s="21">
        <f>'14b'!I26/'14b'!$B26*100</f>
        <v>93.224299065420567</v>
      </c>
      <c r="J26" s="21">
        <f>'14b'!J26/'14b'!$B26*100</f>
        <v>93.691588785046733</v>
      </c>
      <c r="K26" s="21">
        <f>'14b'!K26/'14b'!$B26*100</f>
        <v>95.327102803738313</v>
      </c>
      <c r="L26" s="21">
        <f>'14b'!L26/'14b'!$B26*100</f>
        <v>102.80373831775702</v>
      </c>
      <c r="N26" s="6"/>
      <c r="O26" s="6"/>
      <c r="P26" s="6"/>
      <c r="Q26" s="6"/>
      <c r="R26" s="6"/>
      <c r="S26" s="6"/>
      <c r="T26" s="6"/>
      <c r="U26" s="6"/>
      <c r="V26" s="6"/>
      <c r="W26" s="6"/>
      <c r="X26" s="6"/>
    </row>
    <row r="27" spans="1:24">
      <c r="A27" s="2">
        <v>2003</v>
      </c>
      <c r="B27" s="19">
        <f>'14b'!B27/'14b'!$B27*100</f>
        <v>100</v>
      </c>
      <c r="C27" s="21">
        <f>'14b'!C27/'14b'!$B27*100</f>
        <v>94.600938967136159</v>
      </c>
      <c r="D27" s="21">
        <f>'14b'!D27/'14b'!$B27*100</f>
        <v>89.201877934272304</v>
      </c>
      <c r="E27" s="21">
        <f>'14b'!E27/'14b'!$B27*100</f>
        <v>95.070422535211279</v>
      </c>
      <c r="F27" s="21">
        <f>'14b'!F27/'14b'!$B27*100</f>
        <v>95.53990610328637</v>
      </c>
      <c r="G27" s="21">
        <f>'14b'!G27/'14b'!$B27*100</f>
        <v>96.948356807511743</v>
      </c>
      <c r="H27" s="21">
        <f>'14b'!H27/'14b'!$B27*100</f>
        <v>100.70422535211267</v>
      </c>
      <c r="I27" s="21">
        <f>'14b'!I27/'14b'!$B27*100</f>
        <v>92.253521126760575</v>
      </c>
      <c r="J27" s="21">
        <f>'14b'!J27/'14b'!$B27*100</f>
        <v>95.53990610328637</v>
      </c>
      <c r="K27" s="21">
        <f>'14b'!K27/'14b'!$B27*100</f>
        <v>100.23474178403755</v>
      </c>
      <c r="L27" s="21">
        <f>'14b'!L27/'14b'!$B27*100</f>
        <v>100</v>
      </c>
      <c r="N27" s="6"/>
      <c r="O27" s="6"/>
      <c r="P27" s="6"/>
      <c r="Q27" s="6"/>
      <c r="R27" s="6"/>
      <c r="S27" s="6"/>
      <c r="T27" s="6"/>
      <c r="U27" s="6"/>
      <c r="V27" s="6"/>
      <c r="W27" s="6"/>
      <c r="X27" s="6"/>
    </row>
    <row r="28" spans="1:24">
      <c r="A28" s="2">
        <v>2004</v>
      </c>
      <c r="B28" s="19">
        <f>'14b'!B28/'14b'!$B28*100</f>
        <v>100</v>
      </c>
      <c r="C28" s="21">
        <f>'14b'!C28/'14b'!$B28*100</f>
        <v>93.967517401392115</v>
      </c>
      <c r="D28" s="21">
        <f>'14b'!D28/'14b'!$B28*100</f>
        <v>86.310904872389798</v>
      </c>
      <c r="E28" s="21">
        <f>'14b'!E28/'14b'!$B28*100</f>
        <v>94.199535962877036</v>
      </c>
      <c r="F28" s="21">
        <f>'14b'!F28/'14b'!$B28*100</f>
        <v>94.199535962877036</v>
      </c>
      <c r="G28" s="21">
        <f>'14b'!G28/'14b'!$B28*100</f>
        <v>96.751740139211122</v>
      </c>
      <c r="H28" s="21">
        <f>'14b'!H28/'14b'!$B28*100</f>
        <v>101.85614849187937</v>
      </c>
      <c r="I28" s="21">
        <f>'14b'!I28/'14b'!$B28*100</f>
        <v>93.735498839907208</v>
      </c>
      <c r="J28" s="21">
        <f>'14b'!J28/'14b'!$B28*100</f>
        <v>96.055684454756374</v>
      </c>
      <c r="K28" s="21">
        <f>'14b'!K28/'14b'!$B28*100</f>
        <v>97.911832946635727</v>
      </c>
      <c r="L28" s="21">
        <f>'14b'!L28/'14b'!$B28*100</f>
        <v>98.607888631090489</v>
      </c>
      <c r="N28" s="6"/>
      <c r="O28" s="6"/>
      <c r="P28" s="6"/>
      <c r="Q28" s="6"/>
      <c r="R28" s="6"/>
      <c r="S28" s="6"/>
      <c r="T28" s="6"/>
      <c r="U28" s="6"/>
      <c r="V28" s="6"/>
      <c r="W28" s="6"/>
      <c r="X28" s="6"/>
    </row>
    <row r="29" spans="1:24">
      <c r="A29" s="2">
        <v>2005</v>
      </c>
      <c r="B29" s="19">
        <f>'14b'!B29/'14b'!$B29*100</f>
        <v>100</v>
      </c>
      <c r="C29" s="21">
        <f>'14b'!C29/'14b'!$B29*100</f>
        <v>95.104895104895107</v>
      </c>
      <c r="D29" s="21">
        <f>'14b'!D29/'14b'!$B29*100</f>
        <v>85.314685314685306</v>
      </c>
      <c r="E29" s="21">
        <f>'14b'!E29/'14b'!$B29*100</f>
        <v>95.104895104895107</v>
      </c>
      <c r="F29" s="21">
        <f>'14b'!F29/'14b'!$B29*100</f>
        <v>93.706293706293707</v>
      </c>
      <c r="G29" s="21">
        <f>'14b'!G29/'14b'!$B29*100</f>
        <v>97.902097902097893</v>
      </c>
      <c r="H29" s="21">
        <f>'14b'!H29/'14b'!$B29*100</f>
        <v>100.46620046620048</v>
      </c>
      <c r="I29" s="21">
        <f>'14b'!I29/'14b'!$B29*100</f>
        <v>95.337995337995324</v>
      </c>
      <c r="J29" s="21">
        <f>'14b'!J29/'14b'!$B29*100</f>
        <v>100</v>
      </c>
      <c r="K29" s="21">
        <f>'14b'!K29/'14b'!$B29*100</f>
        <v>96.736596736596738</v>
      </c>
      <c r="L29" s="21">
        <f>'14b'!L29/'14b'!$B29*100</f>
        <v>100.69930069930071</v>
      </c>
      <c r="N29" s="6"/>
      <c r="O29" s="6"/>
      <c r="P29" s="6"/>
      <c r="Q29" s="6"/>
      <c r="R29" s="6"/>
      <c r="S29" s="6"/>
      <c r="T29" s="6"/>
      <c r="U29" s="6"/>
      <c r="V29" s="6"/>
      <c r="W29" s="6"/>
      <c r="X29" s="6"/>
    </row>
    <row r="30" spans="1:24">
      <c r="A30" s="2">
        <v>2006</v>
      </c>
      <c r="B30" s="19">
        <f>'14b'!B30/'14b'!$B30*100</f>
        <v>100</v>
      </c>
      <c r="C30" s="21">
        <f>'14b'!C30/'14b'!$B30*100</f>
        <v>95.09345794392523</v>
      </c>
      <c r="D30" s="21">
        <f>'14b'!D30/'14b'!$B30*100</f>
        <v>87.383177570093466</v>
      </c>
      <c r="E30" s="21">
        <f>'14b'!E30/'14b'!$B30*100</f>
        <v>95.560747663551396</v>
      </c>
      <c r="F30" s="21">
        <f>'14b'!F30/'14b'!$B30*100</f>
        <v>93.691588785046733</v>
      </c>
      <c r="G30" s="21">
        <f>'14b'!G30/'14b'!$B30*100</f>
        <v>97.196261682242991</v>
      </c>
      <c r="H30" s="21">
        <f>'14b'!H30/'14b'!$B30*100</f>
        <v>99.766355140186917</v>
      </c>
      <c r="I30" s="21">
        <f>'14b'!I30/'14b'!$B30*100</f>
        <v>96.261682242990659</v>
      </c>
      <c r="J30" s="21">
        <f>'14b'!J30/'14b'!$B30*100</f>
        <v>100.23364485981307</v>
      </c>
      <c r="K30" s="21">
        <f>'14b'!K30/'14b'!$B30*100</f>
        <v>98.598130841121488</v>
      </c>
      <c r="L30" s="21">
        <f>'14b'!L30/'14b'!$B30*100</f>
        <v>101.16822429906543</v>
      </c>
      <c r="N30" s="6"/>
      <c r="O30" s="6"/>
      <c r="P30" s="6"/>
      <c r="Q30" s="6"/>
      <c r="R30" s="6"/>
      <c r="S30" s="6"/>
      <c r="T30" s="6"/>
      <c r="U30" s="6"/>
      <c r="V30" s="6"/>
      <c r="W30" s="6"/>
      <c r="X30" s="6"/>
    </row>
    <row r="31" spans="1:24" s="972" customFormat="1">
      <c r="A31" s="2">
        <v>2007</v>
      </c>
      <c r="B31" s="19">
        <f>'14b'!B31/'14b'!$B31*100</f>
        <v>100</v>
      </c>
      <c r="C31" s="21">
        <f>'14b'!C31/'14b'!$B31*100</f>
        <v>96.037296037296045</v>
      </c>
      <c r="D31" s="21">
        <f>'14b'!D31/'14b'!$B31*100</f>
        <v>84.149184149184151</v>
      </c>
      <c r="E31" s="21">
        <f>'14b'!E31/'14b'!$B31*100</f>
        <v>95.104895104895107</v>
      </c>
      <c r="F31" s="21">
        <f>'14b'!F31/'14b'!$B31*100</f>
        <v>93.706293706293707</v>
      </c>
      <c r="G31" s="21">
        <f>'14b'!G31/'14b'!$B31*100</f>
        <v>96.969696969696969</v>
      </c>
      <c r="H31" s="21">
        <f>'14b'!H31/'14b'!$B31*100</f>
        <v>100.23310023310023</v>
      </c>
      <c r="I31" s="21">
        <f>'14b'!I31/'14b'!$B31*100</f>
        <v>97.435897435897431</v>
      </c>
      <c r="J31" s="21">
        <f>'14b'!J31/'14b'!$B31*100</f>
        <v>98.368298368298369</v>
      </c>
      <c r="K31" s="21">
        <f>'14b'!K31/'14b'!$B31*100</f>
        <v>99.300699300699307</v>
      </c>
      <c r="L31" s="21">
        <f>'14b'!L31/'14b'!$B31*100</f>
        <v>100.23310023310023</v>
      </c>
      <c r="N31" s="6"/>
      <c r="O31" s="6"/>
      <c r="P31" s="6"/>
      <c r="Q31" s="6"/>
      <c r="R31" s="6"/>
      <c r="S31" s="6"/>
      <c r="T31" s="6"/>
      <c r="U31" s="6"/>
      <c r="V31" s="6"/>
      <c r="W31" s="6"/>
      <c r="X31" s="6"/>
    </row>
    <row r="32" spans="1:24" s="114" customFormat="1">
      <c r="A32" s="431"/>
      <c r="D32" s="644" t="s">
        <v>655</v>
      </c>
    </row>
    <row r="33" spans="1:36" s="114" customFormat="1">
      <c r="A33" s="431" t="s">
        <v>603</v>
      </c>
      <c r="B33" s="10" t="s">
        <v>744</v>
      </c>
      <c r="C33" s="10">
        <f>C13-C5</f>
        <v>-4.2704354469060206</v>
      </c>
      <c r="D33" s="10">
        <f t="shared" ref="D33:J33" si="0">D13-D5</f>
        <v>1.3827349121466739</v>
      </c>
      <c r="E33" s="10">
        <f t="shared" si="0"/>
        <v>1.8640183346065839</v>
      </c>
      <c r="F33" s="10">
        <f t="shared" si="0"/>
        <v>-5.7524828113063506</v>
      </c>
      <c r="G33" s="10">
        <f t="shared" si="0"/>
        <v>-1.2987012987013031</v>
      </c>
      <c r="H33" s="10">
        <f t="shared" si="0"/>
        <v>2.681436210847977</v>
      </c>
      <c r="I33" s="10">
        <f t="shared" si="0"/>
        <v>-3.4606569900687703</v>
      </c>
      <c r="J33" s="10">
        <f t="shared" si="0"/>
        <v>-7.50954927425515</v>
      </c>
      <c r="K33" s="10">
        <f>K13-K5</f>
        <v>0.54239877769290956</v>
      </c>
      <c r="L33" s="10">
        <f>L13-L5</f>
        <v>-4.4385026737968047</v>
      </c>
    </row>
    <row r="34" spans="1:36" s="114" customFormat="1">
      <c r="A34" s="431" t="s">
        <v>604</v>
      </c>
      <c r="B34" s="10" t="s">
        <v>744</v>
      </c>
      <c r="C34" s="10">
        <f t="shared" ref="C34:J34" si="1">C24-C13</f>
        <v>4.4782595594660535</v>
      </c>
      <c r="D34" s="10">
        <f t="shared" si="1"/>
        <v>-5.402115286105996</v>
      </c>
      <c r="E34" s="10">
        <f t="shared" si="1"/>
        <v>-5.1321300509235641</v>
      </c>
      <c r="F34" s="10">
        <f t="shared" si="1"/>
        <v>-2.0809353059933073</v>
      </c>
      <c r="G34" s="10">
        <f t="shared" si="1"/>
        <v>-0.7894657546629702</v>
      </c>
      <c r="H34" s="10">
        <f t="shared" si="1"/>
        <v>1.8838701901346724</v>
      </c>
      <c r="I34" s="10">
        <f t="shared" si="1"/>
        <v>-6.44107632506703</v>
      </c>
      <c r="J34" s="10">
        <f t="shared" si="1"/>
        <v>-6.3476662548588507</v>
      </c>
      <c r="K34" s="10">
        <f>K24-K13</f>
        <v>-2.0604453551089392</v>
      </c>
      <c r="L34" s="10">
        <f>L24-L13</f>
        <v>2.4762708289390503</v>
      </c>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row>
    <row r="35" spans="1:36" s="114" customFormat="1">
      <c r="A35" s="431" t="s">
        <v>447</v>
      </c>
      <c r="B35" s="25" t="s">
        <v>744</v>
      </c>
      <c r="C35" s="25">
        <f>C31-C5</f>
        <v>1.1175099410393727</v>
      </c>
      <c r="D35" s="25">
        <f>D31-D5</f>
        <v>-12.909639380227617</v>
      </c>
      <c r="E35" s="25">
        <f t="shared" ref="E35:L35" si="2">E31-E5</f>
        <v>-3.2908268202385784</v>
      </c>
      <c r="F35" s="25">
        <f t="shared" si="2"/>
        <v>-7.6306046894282247</v>
      </c>
      <c r="G35" s="25">
        <f t="shared" si="2"/>
        <v>-3.0303030303030312</v>
      </c>
      <c r="H35" s="25">
        <f t="shared" si="2"/>
        <v>3.1742767036884629</v>
      </c>
      <c r="I35" s="25">
        <f t="shared" si="2"/>
        <v>-5.5052790346908154</v>
      </c>
      <c r="J35" s="25">
        <f t="shared" si="2"/>
        <v>-9.9204716851775743</v>
      </c>
      <c r="K35" s="25">
        <f t="shared" si="2"/>
        <v>0.10283833813247156</v>
      </c>
      <c r="L35" s="25">
        <f t="shared" si="2"/>
        <v>-0.56903880433293352</v>
      </c>
    </row>
    <row r="36" spans="1:36" s="114" customFormat="1">
      <c r="A36" s="431" t="s">
        <v>449</v>
      </c>
      <c r="B36" s="10" t="s">
        <v>744</v>
      </c>
      <c r="C36" s="10">
        <f>C31-C24</f>
        <v>0.90968582847933988</v>
      </c>
      <c r="D36" s="10">
        <f t="shared" ref="D36:L36" si="3">D31-D24</f>
        <v>-8.8902590062682947</v>
      </c>
      <c r="E36" s="10">
        <f t="shared" si="3"/>
        <v>-2.2715103921598256E-2</v>
      </c>
      <c r="F36" s="10">
        <f t="shared" si="3"/>
        <v>0.2028134278714333</v>
      </c>
      <c r="G36" s="10">
        <f t="shared" si="3"/>
        <v>-0.94213597693875784</v>
      </c>
      <c r="H36" s="10">
        <f t="shared" si="3"/>
        <v>-1.3910296972941865</v>
      </c>
      <c r="I36" s="10">
        <f t="shared" si="3"/>
        <v>4.3964542804449849</v>
      </c>
      <c r="J36" s="10">
        <f t="shared" si="3"/>
        <v>3.9367438439364264</v>
      </c>
      <c r="K36" s="10">
        <f t="shared" si="3"/>
        <v>1.6208849155485012</v>
      </c>
      <c r="L36" s="10">
        <f t="shared" si="3"/>
        <v>1.393193040524821</v>
      </c>
    </row>
    <row r="37" spans="1:36">
      <c r="A37" s="4"/>
      <c r="B37" s="4"/>
    </row>
    <row r="38" spans="1:36">
      <c r="A38" s="9" t="s">
        <v>212</v>
      </c>
    </row>
    <row r="39" spans="1:36" ht="39.75" customHeight="1">
      <c r="A39" s="1168" t="s">
        <v>233</v>
      </c>
      <c r="B39" s="1169"/>
      <c r="C39" s="1169"/>
      <c r="D39" s="1169"/>
      <c r="E39" s="1169"/>
      <c r="F39" s="1169"/>
      <c r="G39" s="1169"/>
      <c r="H39" s="1169"/>
      <c r="I39" s="1169"/>
      <c r="J39" s="1169"/>
      <c r="K39" s="1169"/>
      <c r="L39" s="1169"/>
    </row>
    <row r="40" spans="1:36" ht="15.75">
      <c r="A40" s="1168" t="s">
        <v>934</v>
      </c>
      <c r="B40" s="1169"/>
      <c r="C40" s="1169"/>
      <c r="D40" s="1169"/>
      <c r="E40" s="1169"/>
      <c r="F40" s="1169"/>
      <c r="G40" s="1169"/>
      <c r="H40" s="1169"/>
      <c r="I40" s="1169"/>
      <c r="J40" s="1169"/>
      <c r="K40" s="1169"/>
      <c r="L40" s="1169"/>
    </row>
    <row r="41" spans="1:36">
      <c r="A41" s="1"/>
      <c r="B41" s="4"/>
    </row>
  </sheetData>
  <mergeCells count="14">
    <mergeCell ref="B1:M1"/>
    <mergeCell ref="A40:L40"/>
    <mergeCell ref="A39:L39"/>
    <mergeCell ref="H3:H4"/>
    <mergeCell ref="I3:I4"/>
    <mergeCell ref="B3:B4"/>
    <mergeCell ref="C3:C4"/>
    <mergeCell ref="D3:D4"/>
    <mergeCell ref="E3:E4"/>
    <mergeCell ref="J3:J4"/>
    <mergeCell ref="K3:K4"/>
    <mergeCell ref="L3:L4"/>
    <mergeCell ref="F3:F4"/>
    <mergeCell ref="G3:G4"/>
  </mergeCells>
  <phoneticPr fontId="35" type="noConversion"/>
  <pageMargins left="0.75" right="0.75" top="1" bottom="1" header="0.5" footer="0.5"/>
  <pageSetup scale="82"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sheetPr codeName="Sheet6">
    <pageSetUpPr fitToPage="1"/>
  </sheetPr>
  <dimension ref="A1:AJ41"/>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2" width="9.28515625" style="1" bestFit="1" customWidth="1"/>
    <col min="13" max="16384" width="8.85546875" style="1"/>
  </cols>
  <sheetData>
    <row r="1" spans="1:24" ht="34.5" customHeight="1">
      <c r="A1" s="4"/>
      <c r="B1" s="1181" t="s">
        <v>2150</v>
      </c>
      <c r="C1" s="1181"/>
      <c r="D1" s="1181"/>
      <c r="E1" s="1181"/>
      <c r="F1" s="1181"/>
      <c r="G1" s="1181"/>
      <c r="H1" s="1181"/>
      <c r="I1" s="1181"/>
      <c r="J1" s="1181"/>
      <c r="K1" s="1181"/>
      <c r="L1" s="1181"/>
      <c r="M1" s="1181"/>
    </row>
    <row r="2" spans="1:24">
      <c r="A2" s="4"/>
      <c r="B2" s="4"/>
    </row>
    <row r="3" spans="1:24">
      <c r="B3" s="1164" t="s">
        <v>375</v>
      </c>
      <c r="C3" s="1164" t="s">
        <v>377</v>
      </c>
      <c r="D3" s="1164" t="s">
        <v>386</v>
      </c>
      <c r="E3" s="1164" t="s">
        <v>378</v>
      </c>
      <c r="F3" s="1164" t="s">
        <v>379</v>
      </c>
      <c r="G3" s="1164" t="s">
        <v>380</v>
      </c>
      <c r="H3" s="1164" t="s">
        <v>381</v>
      </c>
      <c r="I3" s="1164" t="s">
        <v>382</v>
      </c>
      <c r="J3" s="1164" t="s">
        <v>383</v>
      </c>
      <c r="K3" s="1164" t="s">
        <v>384</v>
      </c>
      <c r="L3" s="1164" t="s">
        <v>385</v>
      </c>
    </row>
    <row r="4" spans="1:24" s="4" customFormat="1">
      <c r="A4" s="7"/>
      <c r="B4" s="1165"/>
      <c r="C4" s="1165"/>
      <c r="D4" s="1165"/>
      <c r="E4" s="1165"/>
      <c r="F4" s="1165"/>
      <c r="G4" s="1165"/>
      <c r="H4" s="1165"/>
      <c r="I4" s="1165"/>
      <c r="J4" s="1165"/>
      <c r="K4" s="1165"/>
      <c r="L4" s="1165"/>
    </row>
    <row r="5" spans="1:24">
      <c r="A5" s="2">
        <v>1981</v>
      </c>
      <c r="B5" s="19">
        <f>'14c'!B5/'14c'!$B5*100</f>
        <v>100</v>
      </c>
      <c r="C5" s="21">
        <f>'14c'!C5/'14c'!$B5*100</f>
        <v>93.965517241379331</v>
      </c>
      <c r="D5" s="21">
        <f>'14c'!D5/'14c'!$B5*100</f>
        <v>97.413793103448285</v>
      </c>
      <c r="E5" s="21">
        <f>'14c'!E5/'14c'!$B5*100</f>
        <v>98.275862068965537</v>
      </c>
      <c r="F5" s="21">
        <f>'14c'!F5/'14c'!$B5*100</f>
        <v>101.14942528735634</v>
      </c>
      <c r="G5" s="21">
        <f>'14c'!G5/'14c'!$B5*100</f>
        <v>99.137931034482762</v>
      </c>
      <c r="H5" s="21">
        <f>'14c'!H5/'14c'!$B5*100</f>
        <v>97.1264367816092</v>
      </c>
      <c r="I5" s="21">
        <f>'14c'!I5/'14c'!$B5*100</f>
        <v>102.87356321839081</v>
      </c>
      <c r="J5" s="21">
        <f>'14c'!J5/'14c'!$B5*100</f>
        <v>108.04597701149426</v>
      </c>
      <c r="K5" s="21">
        <f>'14c'!K5/'14c'!$B5*100</f>
        <v>99.425287356321832</v>
      </c>
      <c r="L5" s="21">
        <f>'14c'!L5/'14c'!$B5*100</f>
        <v>101.72413793103448</v>
      </c>
      <c r="N5" s="6"/>
      <c r="O5" s="6"/>
      <c r="P5" s="6"/>
      <c r="Q5" s="6"/>
      <c r="R5" s="6"/>
      <c r="S5" s="6"/>
      <c r="T5" s="6"/>
      <c r="U5" s="6"/>
      <c r="V5" s="6"/>
      <c r="W5" s="6"/>
      <c r="X5" s="6"/>
    </row>
    <row r="6" spans="1:24">
      <c r="A6" s="2">
        <v>1982</v>
      </c>
      <c r="B6" s="19">
        <f>'14c'!B6/'14c'!$B6*100</f>
        <v>100</v>
      </c>
      <c r="C6" s="21">
        <f>'14c'!C6/'14c'!$B6*100</f>
        <v>92.592592592592609</v>
      </c>
      <c r="D6" s="21">
        <f>'14c'!D6/'14c'!$B6*100</f>
        <v>95.441595441595453</v>
      </c>
      <c r="E6" s="21">
        <f>'14c'!E6/'14c'!$B6*100</f>
        <v>98.86039886039886</v>
      </c>
      <c r="F6" s="21">
        <f>'14c'!F6/'14c'!$B6*100</f>
        <v>100</v>
      </c>
      <c r="G6" s="21">
        <f>'14c'!G6/'14c'!$B6*100</f>
        <v>98.005698005698008</v>
      </c>
      <c r="H6" s="21">
        <f>'14c'!H6/'14c'!$B6*100</f>
        <v>97.720797720797734</v>
      </c>
      <c r="I6" s="21">
        <f>'14c'!I6/'14c'!$B6*100</f>
        <v>102.27920227920228</v>
      </c>
      <c r="J6" s="21">
        <f>'14c'!J6/'14c'!$B6*100</f>
        <v>103.41880341880344</v>
      </c>
      <c r="K6" s="21">
        <f>'14c'!K6/'14c'!$B6*100</f>
        <v>101.99430199430199</v>
      </c>
      <c r="L6" s="21">
        <f>'14c'!L6/'14c'!$B6*100</f>
        <v>101.99430199430199</v>
      </c>
      <c r="N6" s="6"/>
      <c r="O6" s="6"/>
      <c r="P6" s="6"/>
      <c r="Q6" s="6"/>
      <c r="R6" s="6"/>
      <c r="S6" s="6"/>
      <c r="T6" s="6"/>
      <c r="U6" s="6"/>
      <c r="V6" s="6"/>
      <c r="W6" s="6"/>
      <c r="X6" s="6"/>
    </row>
    <row r="7" spans="1:24">
      <c r="A7" s="2">
        <v>1983</v>
      </c>
      <c r="B7" s="19">
        <f>'14c'!B7/'14c'!$B7*100</f>
        <v>100</v>
      </c>
      <c r="C7" s="21">
        <f>'14c'!C7/'14c'!$B7*100</f>
        <v>93.351800554016634</v>
      </c>
      <c r="D7" s="21">
        <f>'14c'!D7/'14c'!$B7*100</f>
        <v>98.61495844875347</v>
      </c>
      <c r="E7" s="21">
        <f>'14c'!E7/'14c'!$B7*100</f>
        <v>99.445983379501385</v>
      </c>
      <c r="F7" s="21">
        <f>'14c'!F7/'14c'!$B7*100</f>
        <v>101.66204986149584</v>
      </c>
      <c r="G7" s="21">
        <f>'14c'!G7/'14c'!$B7*100</f>
        <v>95.84487534626038</v>
      </c>
      <c r="H7" s="21">
        <f>'14c'!H7/'14c'!$B7*100</f>
        <v>100.83102493074792</v>
      </c>
      <c r="I7" s="21">
        <f>'14c'!I7/'14c'!$B7*100</f>
        <v>98.89196675900277</v>
      </c>
      <c r="J7" s="21">
        <f>'14c'!J7/'14c'!$B7*100</f>
        <v>104.70914127423822</v>
      </c>
      <c r="K7" s="21">
        <f>'14c'!K7/'14c'!$B7*100</f>
        <v>100.55401662049861</v>
      </c>
      <c r="L7" s="21">
        <f>'14c'!L7/'14c'!$B7*100</f>
        <v>99.16897506925207</v>
      </c>
      <c r="N7" s="6"/>
      <c r="O7" s="6"/>
      <c r="P7" s="6"/>
      <c r="Q7" s="6"/>
      <c r="R7" s="6"/>
      <c r="S7" s="6"/>
      <c r="T7" s="6"/>
      <c r="U7" s="6"/>
      <c r="V7" s="6"/>
      <c r="W7" s="6"/>
      <c r="X7" s="6"/>
    </row>
    <row r="8" spans="1:24">
      <c r="A8" s="2">
        <v>1984</v>
      </c>
      <c r="B8" s="19">
        <f>'14c'!B8/'14c'!$B8*100</f>
        <v>100</v>
      </c>
      <c r="C8" s="21">
        <f>'14c'!C8/'14c'!$B8*100</f>
        <v>92.436974789915965</v>
      </c>
      <c r="D8" s="21">
        <f>'14c'!D8/'14c'!$B8*100</f>
        <v>97.47899159663865</v>
      </c>
      <c r="E8" s="21">
        <f>'14c'!E8/'14c'!$B8*100</f>
        <v>98.599439775910355</v>
      </c>
      <c r="F8" s="21">
        <f>'14c'!F8/'14c'!$B8*100</f>
        <v>98.039215686274503</v>
      </c>
      <c r="G8" s="21">
        <f>'14c'!G8/'14c'!$B8*100</f>
        <v>99.719887955182074</v>
      </c>
      <c r="H8" s="21">
        <f>'14c'!H8/'14c'!$B8*100</f>
        <v>98.879551820728295</v>
      </c>
      <c r="I8" s="21">
        <f>'14c'!I8/'14c'!$B8*100</f>
        <v>98.319327731092429</v>
      </c>
      <c r="J8" s="21">
        <f>'14c'!J8/'14c'!$B8*100</f>
        <v>102.24089635854341</v>
      </c>
      <c r="K8" s="21">
        <f>'14c'!K8/'14c'!$B8*100</f>
        <v>100</v>
      </c>
      <c r="L8" s="21">
        <f>'14c'!L8/'14c'!$B8*100</f>
        <v>101.68067226890756</v>
      </c>
      <c r="N8" s="6"/>
      <c r="O8" s="6"/>
      <c r="P8" s="6"/>
      <c r="Q8" s="6"/>
      <c r="R8" s="6"/>
      <c r="S8" s="6"/>
      <c r="T8" s="6"/>
      <c r="U8" s="6"/>
      <c r="V8" s="6"/>
      <c r="W8" s="6"/>
      <c r="X8" s="6"/>
    </row>
    <row r="9" spans="1:24">
      <c r="A9" s="2">
        <v>1985</v>
      </c>
      <c r="B9" s="19">
        <f>'14c'!B9/'14c'!$B9*100</f>
        <v>100</v>
      </c>
      <c r="C9" s="21">
        <f>'14c'!C9/'14c'!$B9*100</f>
        <v>96.918767507002798</v>
      </c>
      <c r="D9" s="21">
        <f>'14c'!D9/'14c'!$B9*100</f>
        <v>95.518207282913181</v>
      </c>
      <c r="E9" s="21">
        <f>'14c'!E9/'14c'!$B9*100</f>
        <v>102.80112044817929</v>
      </c>
      <c r="F9" s="21">
        <f>'14c'!F9/'14c'!$B9*100</f>
        <v>95.798319327731107</v>
      </c>
      <c r="G9" s="21">
        <f>'14c'!G9/'14c'!$B9*100</f>
        <v>97.198879551820724</v>
      </c>
      <c r="H9" s="21">
        <f>'14c'!H9/'14c'!$B9*100</f>
        <v>98.319327731092429</v>
      </c>
      <c r="I9" s="21">
        <f>'14c'!I9/'14c'!$B9*100</f>
        <v>98.039215686274503</v>
      </c>
      <c r="J9" s="21">
        <f>'14c'!J9/'14c'!$B9*100</f>
        <v>104.20168067226892</v>
      </c>
      <c r="K9" s="21">
        <f>'14c'!K9/'14c'!$B9*100</f>
        <v>98.599439775910355</v>
      </c>
      <c r="L9" s="21">
        <f>'14c'!L9/'14c'!$B9*100</f>
        <v>105.0420168067227</v>
      </c>
      <c r="N9" s="6"/>
      <c r="O9" s="6"/>
      <c r="P9" s="6"/>
      <c r="Q9" s="6"/>
      <c r="R9" s="6"/>
      <c r="S9" s="6"/>
      <c r="T9" s="6"/>
      <c r="U9" s="6"/>
      <c r="V9" s="6"/>
      <c r="W9" s="6"/>
      <c r="X9" s="6"/>
    </row>
    <row r="10" spans="1:24">
      <c r="A10" s="2">
        <v>1986</v>
      </c>
      <c r="B10" s="19">
        <f>'14c'!B10/'14c'!$B10*100</f>
        <v>100</v>
      </c>
      <c r="C10" s="21">
        <f>'14c'!C10/'14c'!$B10*100</f>
        <v>91.899441340782133</v>
      </c>
      <c r="D10" s="21">
        <f>'14c'!D10/'14c'!$B10*100</f>
        <v>92.458100558659225</v>
      </c>
      <c r="E10" s="21">
        <f>'14c'!E10/'14c'!$B10*100</f>
        <v>98.603351955307261</v>
      </c>
      <c r="F10" s="21">
        <f>'14c'!F10/'14c'!$B10*100</f>
        <v>92.178770949720672</v>
      </c>
      <c r="G10" s="21">
        <f>'14c'!G10/'14c'!$B10*100</f>
        <v>99.162011173184368</v>
      </c>
      <c r="H10" s="21">
        <f>'14c'!H10/'14c'!$B10*100</f>
        <v>98.324022346368707</v>
      </c>
      <c r="I10" s="21">
        <f>'14c'!I10/'14c'!$B10*100</f>
        <v>96.089385474860336</v>
      </c>
      <c r="J10" s="21">
        <f>'14c'!J10/'14c'!$B10*100</f>
        <v>104.46927374301676</v>
      </c>
      <c r="K10" s="21">
        <f>'14c'!K10/'14c'!$B10*100</f>
        <v>100.55865921787711</v>
      </c>
      <c r="L10" s="21">
        <f>'14c'!L10/'14c'!$B10*100</f>
        <v>100.83798882681565</v>
      </c>
      <c r="N10" s="6"/>
      <c r="O10" s="6"/>
      <c r="P10" s="6"/>
      <c r="Q10" s="6"/>
      <c r="R10" s="6"/>
      <c r="S10" s="6"/>
      <c r="T10" s="6"/>
      <c r="U10" s="6"/>
      <c r="V10" s="6"/>
      <c r="W10" s="6"/>
      <c r="X10" s="6"/>
    </row>
    <row r="11" spans="1:24">
      <c r="A11" s="2">
        <v>1987</v>
      </c>
      <c r="B11" s="19">
        <f>'14c'!B11/'14c'!$B11*100</f>
        <v>100</v>
      </c>
      <c r="C11" s="21">
        <f>'14c'!C11/'14c'!$B11*100</f>
        <v>93.521126760563391</v>
      </c>
      <c r="D11" s="21">
        <f>'14c'!D11/'14c'!$B11*100</f>
        <v>94.929577464788736</v>
      </c>
      <c r="E11" s="21">
        <f>'14c'!E11/'14c'!$B11*100</f>
        <v>96.619718309859167</v>
      </c>
      <c r="F11" s="21">
        <f>'14c'!F11/'14c'!$B11*100</f>
        <v>96.901408450704224</v>
      </c>
      <c r="G11" s="21">
        <f>'14c'!G11/'14c'!$B11*100</f>
        <v>99.154929577464785</v>
      </c>
      <c r="H11" s="21">
        <f>'14c'!H11/'14c'!$B11*100</f>
        <v>98.309859154929583</v>
      </c>
      <c r="I11" s="21">
        <f>'14c'!I11/'14c'!$B11*100</f>
        <v>98.309859154929583</v>
      </c>
      <c r="J11" s="21">
        <f>'14c'!J11/'14c'!$B11*100</f>
        <v>100</v>
      </c>
      <c r="K11" s="21">
        <f>'14c'!K11/'14c'!$B11*100</f>
        <v>100.84507042253522</v>
      </c>
      <c r="L11" s="21">
        <f>'14c'!L11/'14c'!$B11*100</f>
        <v>102.25352112676056</v>
      </c>
      <c r="N11" s="6"/>
      <c r="O11" s="6"/>
      <c r="P11" s="6"/>
      <c r="Q11" s="6"/>
      <c r="R11" s="6"/>
      <c r="S11" s="6"/>
      <c r="T11" s="6"/>
      <c r="U11" s="6"/>
      <c r="V11" s="6"/>
      <c r="W11" s="6"/>
      <c r="X11" s="6"/>
    </row>
    <row r="12" spans="1:24">
      <c r="A12" s="2">
        <v>1988</v>
      </c>
      <c r="B12" s="19">
        <f>'14c'!B12/'14c'!$B12*100</f>
        <v>100</v>
      </c>
      <c r="C12" s="21">
        <f>'14c'!C12/'14c'!$B12*100</f>
        <v>89.265536723163848</v>
      </c>
      <c r="D12" s="21">
        <f>'14c'!D12/'14c'!$B12*100</f>
        <v>92.655367231638436</v>
      </c>
      <c r="E12" s="21">
        <f>'14c'!E12/'14c'!$B12*100</f>
        <v>96.892655367231654</v>
      </c>
      <c r="F12" s="21">
        <f>'14c'!F12/'14c'!$B12*100</f>
        <v>93.220338983050851</v>
      </c>
      <c r="G12" s="21">
        <f>'14c'!G12/'14c'!$B12*100</f>
        <v>98.587570621468927</v>
      </c>
      <c r="H12" s="21">
        <f>'14c'!H12/'14c'!$B12*100</f>
        <v>99.152542372881356</v>
      </c>
      <c r="I12" s="21">
        <f>'14c'!I12/'14c'!$B12*100</f>
        <v>98.870056497175142</v>
      </c>
      <c r="J12" s="21">
        <f>'14c'!J12/'14c'!$B12*100</f>
        <v>100</v>
      </c>
      <c r="K12" s="21">
        <f>'14c'!K12/'14c'!$B12*100</f>
        <v>99.152542372881356</v>
      </c>
      <c r="L12" s="21">
        <f>'14c'!L12/'14c'!$B12*100</f>
        <v>98.022598870056498</v>
      </c>
      <c r="N12" s="6"/>
      <c r="O12" s="6"/>
      <c r="P12" s="6"/>
      <c r="Q12" s="6"/>
      <c r="R12" s="6"/>
      <c r="S12" s="6"/>
      <c r="T12" s="6"/>
      <c r="U12" s="6"/>
      <c r="V12" s="6"/>
      <c r="W12" s="6"/>
      <c r="X12" s="6"/>
    </row>
    <row r="13" spans="1:24">
      <c r="A13" s="2">
        <v>1989</v>
      </c>
      <c r="B13" s="19">
        <f>'14c'!B13/'14c'!$B13*100</f>
        <v>100</v>
      </c>
      <c r="C13" s="21">
        <f>'14c'!C13/'14c'!$B13*100</f>
        <v>89.743589743589752</v>
      </c>
      <c r="D13" s="21">
        <f>'14c'!D13/'14c'!$B13*100</f>
        <v>98.575498575498571</v>
      </c>
      <c r="E13" s="21">
        <f>'14c'!E13/'14c'!$B13*100</f>
        <v>99.715099715099726</v>
      </c>
      <c r="F13" s="21">
        <f>'14c'!F13/'14c'!$B13*100</f>
        <v>95.441595441595453</v>
      </c>
      <c r="G13" s="21">
        <f>'14c'!G13/'14c'!$B13*100</f>
        <v>97.435897435897445</v>
      </c>
      <c r="H13" s="21">
        <f>'14c'!H13/'14c'!$B13*100</f>
        <v>100</v>
      </c>
      <c r="I13" s="21">
        <f>'14c'!I13/'14c'!$B13*100</f>
        <v>97.720797720797734</v>
      </c>
      <c r="J13" s="21">
        <f>'14c'!J13/'14c'!$B13*100</f>
        <v>100</v>
      </c>
      <c r="K13" s="21">
        <f>'14c'!K13/'14c'!$B13*100</f>
        <v>100.28490028490029</v>
      </c>
      <c r="L13" s="21">
        <f>'14c'!L13/'14c'!$B13*100</f>
        <v>97.150997150997171</v>
      </c>
      <c r="N13" s="6"/>
      <c r="O13" s="6"/>
      <c r="P13" s="6"/>
      <c r="Q13" s="6"/>
      <c r="R13" s="6"/>
      <c r="S13" s="6"/>
      <c r="T13" s="6"/>
      <c r="U13" s="6"/>
      <c r="V13" s="6"/>
      <c r="W13" s="6"/>
      <c r="X13" s="6"/>
    </row>
    <row r="14" spans="1:24">
      <c r="A14" s="2">
        <v>1990</v>
      </c>
      <c r="B14" s="19">
        <f>'14c'!B14/'14c'!$B14*100</f>
        <v>100</v>
      </c>
      <c r="C14" s="21">
        <f>'14c'!C14/'14c'!$B14*100</f>
        <v>92.436974789915965</v>
      </c>
      <c r="D14" s="21">
        <f>'14c'!D14/'14c'!$B14*100</f>
        <v>92.436974789915965</v>
      </c>
      <c r="E14" s="21">
        <f>'14c'!E14/'14c'!$B14*100</f>
        <v>94.677871148459388</v>
      </c>
      <c r="F14" s="21">
        <f>'14c'!F14/'14c'!$B14*100</f>
        <v>93.557422969187684</v>
      </c>
      <c r="G14" s="21">
        <f>'14c'!G14/'14c'!$B14*100</f>
        <v>98.599439775910355</v>
      </c>
      <c r="H14" s="21">
        <f>'14c'!H14/'14c'!$B14*100</f>
        <v>98.599439775910355</v>
      </c>
      <c r="I14" s="21">
        <f>'14c'!I14/'14c'!$B14*100</f>
        <v>95.798319327731107</v>
      </c>
      <c r="J14" s="21">
        <f>'14c'!J14/'14c'!$B14*100</f>
        <v>101.40056022408963</v>
      </c>
      <c r="K14" s="21">
        <f>'14c'!K14/'14c'!$B14*100</f>
        <v>99.719887955182074</v>
      </c>
      <c r="L14" s="21">
        <f>'14c'!L14/'14c'!$B14*100</f>
        <v>102.80112044817929</v>
      </c>
      <c r="N14" s="6"/>
      <c r="O14" s="6"/>
      <c r="P14" s="6"/>
      <c r="Q14" s="6"/>
      <c r="R14" s="6"/>
      <c r="S14" s="6"/>
      <c r="T14" s="6"/>
      <c r="U14" s="6"/>
      <c r="V14" s="6"/>
      <c r="W14" s="6"/>
      <c r="X14" s="6"/>
    </row>
    <row r="15" spans="1:24">
      <c r="A15" s="2">
        <v>1991</v>
      </c>
      <c r="B15" s="19">
        <f>'14c'!B15/'14c'!$B15*100</f>
        <v>100</v>
      </c>
      <c r="C15" s="21">
        <f>'14c'!C15/'14c'!$B15*100</f>
        <v>95.054945054945051</v>
      </c>
      <c r="D15" s="21">
        <f>'14c'!D15/'14c'!$B15*100</f>
        <v>94.505494505494497</v>
      </c>
      <c r="E15" s="21">
        <f>'14c'!E15/'14c'!$B15*100</f>
        <v>92.307692307692307</v>
      </c>
      <c r="F15" s="21">
        <f>'14c'!F15/'14c'!$B15*100</f>
        <v>93.95604395604397</v>
      </c>
      <c r="G15" s="21">
        <f>'14c'!G15/'14c'!$B15*100</f>
        <v>98.076923076923066</v>
      </c>
      <c r="H15" s="21">
        <f>'14c'!H15/'14c'!$B15*100</f>
        <v>99.45054945054946</v>
      </c>
      <c r="I15" s="21">
        <f>'14c'!I15/'14c'!$B15*100</f>
        <v>94.505494505494497</v>
      </c>
      <c r="J15" s="21">
        <f>'14c'!J15/'14c'!$B15*100</f>
        <v>98.076923076923066</v>
      </c>
      <c r="K15" s="21">
        <f>'14c'!K15/'14c'!$B15*100</f>
        <v>100.54945054945054</v>
      </c>
      <c r="L15" s="21">
        <f>'14c'!L15/'14c'!$B15*100</f>
        <v>100.82417582417582</v>
      </c>
      <c r="N15" s="6"/>
      <c r="O15" s="6"/>
      <c r="P15" s="6"/>
      <c r="Q15" s="6"/>
      <c r="R15" s="6"/>
      <c r="S15" s="6"/>
      <c r="T15" s="6"/>
      <c r="U15" s="6"/>
      <c r="V15" s="6"/>
      <c r="W15" s="6"/>
      <c r="X15" s="6"/>
    </row>
    <row r="16" spans="1:24">
      <c r="A16" s="2">
        <v>1992</v>
      </c>
      <c r="B16" s="19">
        <f>'14c'!B16/'14c'!$B16*100</f>
        <v>100</v>
      </c>
      <c r="C16" s="21">
        <f>'14c'!C16/'14c'!$B16*100</f>
        <v>94.230769230769241</v>
      </c>
      <c r="D16" s="21">
        <f>'14c'!D16/'14c'!$B16*100</f>
        <v>89.835164835164832</v>
      </c>
      <c r="E16" s="21">
        <f>'14c'!E16/'14c'!$B16*100</f>
        <v>96.703296703296701</v>
      </c>
      <c r="F16" s="21">
        <f>'14c'!F16/'14c'!$B16*100</f>
        <v>95.604395604395592</v>
      </c>
      <c r="G16" s="21">
        <f>'14c'!G16/'14c'!$B16*100</f>
        <v>96.978021978021971</v>
      </c>
      <c r="H16" s="21">
        <f>'14c'!H16/'14c'!$B16*100</f>
        <v>98.076923076923066</v>
      </c>
      <c r="I16" s="21">
        <f>'14c'!I16/'14c'!$B16*100</f>
        <v>99.175824175824175</v>
      </c>
      <c r="J16" s="21">
        <f>'14c'!J16/'14c'!$B16*100</f>
        <v>102.47252747252746</v>
      </c>
      <c r="K16" s="21">
        <f>'14c'!K16/'14c'!$B16*100</f>
        <v>103.84615384615385</v>
      </c>
      <c r="L16" s="21">
        <f>'14c'!L16/'14c'!$B16*100</f>
        <v>102.74725274725276</v>
      </c>
      <c r="N16" s="6"/>
      <c r="O16" s="6"/>
      <c r="P16" s="6"/>
      <c r="Q16" s="6"/>
      <c r="R16" s="6"/>
      <c r="S16" s="6"/>
      <c r="T16" s="6"/>
      <c r="U16" s="6"/>
      <c r="V16" s="6"/>
      <c r="W16" s="6"/>
      <c r="X16" s="6"/>
    </row>
    <row r="17" spans="1:24">
      <c r="A17" s="2">
        <v>1993</v>
      </c>
      <c r="B17" s="19">
        <f>'14c'!B17/'14c'!$B17*100</f>
        <v>100</v>
      </c>
      <c r="C17" s="21">
        <f>'14c'!C17/'14c'!$B17*100</f>
        <v>91.96675900277009</v>
      </c>
      <c r="D17" s="21">
        <f>'14c'!D17/'14c'!$B17*100</f>
        <v>89.196675900277015</v>
      </c>
      <c r="E17" s="21">
        <f>'14c'!E17/'14c'!$B17*100</f>
        <v>93.905817174515249</v>
      </c>
      <c r="F17" s="21">
        <f>'14c'!F17/'14c'!$B17*100</f>
        <v>94.459833795013864</v>
      </c>
      <c r="G17" s="21">
        <f>'14c'!G17/'14c'!$B17*100</f>
        <v>96.39889196675901</v>
      </c>
      <c r="H17" s="21">
        <f>'14c'!H17/'14c'!$B17*100</f>
        <v>100</v>
      </c>
      <c r="I17" s="21">
        <f>'14c'!I17/'14c'!$B17*100</f>
        <v>95.29085872576178</v>
      </c>
      <c r="J17" s="21">
        <f>'14c'!J17/'14c'!$B17*100</f>
        <v>98.89196675900277</v>
      </c>
      <c r="K17" s="21">
        <f>'14c'!K17/'14c'!$B17*100</f>
        <v>100.2770083102493</v>
      </c>
      <c r="L17" s="21">
        <f>'14c'!L17/'14c'!$B17*100</f>
        <v>101.66204986149584</v>
      </c>
      <c r="N17" s="6"/>
      <c r="O17" s="6"/>
      <c r="P17" s="6"/>
      <c r="Q17" s="6"/>
      <c r="R17" s="6"/>
      <c r="S17" s="6"/>
      <c r="T17" s="6"/>
      <c r="U17" s="6"/>
      <c r="V17" s="6"/>
      <c r="W17" s="6"/>
      <c r="X17" s="6"/>
    </row>
    <row r="18" spans="1:24">
      <c r="A18" s="2">
        <v>1994</v>
      </c>
      <c r="B18" s="19">
        <f>'14c'!B18/'14c'!$B18*100</f>
        <v>100</v>
      </c>
      <c r="C18" s="21">
        <f>'14c'!C18/'14c'!$B18*100</f>
        <v>92.817679558011051</v>
      </c>
      <c r="D18" s="21">
        <f>'14c'!D18/'14c'!$B18*100</f>
        <v>88.39779005524862</v>
      </c>
      <c r="E18" s="21">
        <f>'14c'!E18/'14c'!$B18*100</f>
        <v>98.06629834254143</v>
      </c>
      <c r="F18" s="21">
        <f>'14c'!F18/'14c'!$B18*100</f>
        <v>93.646408839779014</v>
      </c>
      <c r="G18" s="21">
        <f>'14c'!G18/'14c'!$B18*100</f>
        <v>97.237569060773481</v>
      </c>
      <c r="H18" s="21">
        <f>'14c'!H18/'14c'!$B18*100</f>
        <v>100.27624309392264</v>
      </c>
      <c r="I18" s="21">
        <f>'14c'!I18/'14c'!$B18*100</f>
        <v>98.06629834254143</v>
      </c>
      <c r="J18" s="21">
        <f>'14c'!J18/'14c'!$B18*100</f>
        <v>96.961325966850836</v>
      </c>
      <c r="K18" s="21">
        <f>'14c'!K18/'14c'!$B18*100</f>
        <v>98.618784530386733</v>
      </c>
      <c r="L18" s="21">
        <f>'14c'!L18/'14c'!$B18*100</f>
        <v>100.82872928176796</v>
      </c>
      <c r="N18" s="6"/>
      <c r="O18" s="6"/>
      <c r="P18" s="6"/>
      <c r="Q18" s="6"/>
      <c r="R18" s="6"/>
      <c r="S18" s="6"/>
      <c r="T18" s="6"/>
      <c r="U18" s="6"/>
      <c r="V18" s="6"/>
      <c r="W18" s="6"/>
      <c r="X18" s="6"/>
    </row>
    <row r="19" spans="1:24">
      <c r="A19" s="2">
        <v>1995</v>
      </c>
      <c r="B19" s="19">
        <f>'14c'!B19/'14c'!$B19*100</f>
        <v>100</v>
      </c>
      <c r="C19" s="21">
        <f>'14c'!C19/'14c'!$B19*100</f>
        <v>91.184573002754831</v>
      </c>
      <c r="D19" s="21">
        <f>'14c'!D19/'14c'!$B19*100</f>
        <v>89.807162534435264</v>
      </c>
      <c r="E19" s="21">
        <f>'14c'!E19/'14c'!$B19*100</f>
        <v>95.867768595041312</v>
      </c>
      <c r="F19" s="21">
        <f>'14c'!F19/'14c'!$B19*100</f>
        <v>93.939393939393938</v>
      </c>
      <c r="G19" s="21">
        <f>'14c'!G19/'14c'!$B19*100</f>
        <v>97.796143250688701</v>
      </c>
      <c r="H19" s="21">
        <f>'14c'!H19/'14c'!$B19*100</f>
        <v>100</v>
      </c>
      <c r="I19" s="21">
        <f>'14c'!I19/'14c'!$B19*100</f>
        <v>95.592286501377416</v>
      </c>
      <c r="J19" s="21">
        <f>'14c'!J19/'14c'!$B19*100</f>
        <v>99.173553719008268</v>
      </c>
      <c r="K19" s="21">
        <f>'14c'!K19/'14c'!$B19*100</f>
        <v>98.898071625344357</v>
      </c>
      <c r="L19" s="21">
        <f>'14c'!L19/'14c'!$B19*100</f>
        <v>100</v>
      </c>
      <c r="N19" s="6"/>
      <c r="O19" s="6"/>
      <c r="P19" s="6"/>
      <c r="Q19" s="6"/>
      <c r="R19" s="6"/>
      <c r="S19" s="6"/>
      <c r="T19" s="6"/>
      <c r="U19" s="6"/>
      <c r="V19" s="6"/>
      <c r="W19" s="6"/>
      <c r="X19" s="6"/>
    </row>
    <row r="20" spans="1:24">
      <c r="A20" s="2">
        <v>1996</v>
      </c>
      <c r="B20" s="19">
        <f>'14c'!B20/'14c'!$B20*100</f>
        <v>100</v>
      </c>
      <c r="C20" s="21">
        <f>'14c'!C20/'14c'!$B20*100</f>
        <v>90.860215053763454</v>
      </c>
      <c r="D20" s="21">
        <f>'14c'!D20/'14c'!$B20*100</f>
        <v>87.365591397849457</v>
      </c>
      <c r="E20" s="21">
        <f>'14c'!E20/'14c'!$B20*100</f>
        <v>92.741935483870961</v>
      </c>
      <c r="F20" s="21">
        <f>'14c'!F20/'14c'!$B20*100</f>
        <v>93.548387096774192</v>
      </c>
      <c r="G20" s="21">
        <f>'14c'!G20/'14c'!$B20*100</f>
        <v>97.043010752688176</v>
      </c>
      <c r="H20" s="21">
        <f>'14c'!H20/'14c'!$B20*100</f>
        <v>101.0752688172043</v>
      </c>
      <c r="I20" s="21">
        <f>'14c'!I20/'14c'!$B20*100</f>
        <v>93.010752688172033</v>
      </c>
      <c r="J20" s="21">
        <f>'14c'!J20/'14c'!$B20*100</f>
        <v>95.161290322580641</v>
      </c>
      <c r="K20" s="21">
        <f>'14c'!K20/'14c'!$B20*100</f>
        <v>98.118279569892479</v>
      </c>
      <c r="L20" s="21">
        <f>'14c'!L20/'14c'!$B20*100</f>
        <v>101.61290322580645</v>
      </c>
      <c r="N20" s="6"/>
      <c r="O20" s="6"/>
      <c r="P20" s="6"/>
      <c r="Q20" s="6"/>
      <c r="R20" s="6"/>
      <c r="S20" s="6"/>
      <c r="T20" s="6"/>
      <c r="U20" s="6"/>
      <c r="V20" s="6"/>
      <c r="W20" s="6"/>
      <c r="X20" s="6"/>
    </row>
    <row r="21" spans="1:24">
      <c r="A21" s="2">
        <v>1997</v>
      </c>
      <c r="B21" s="19">
        <f>'14c'!B21/'14c'!$B21*100</f>
        <v>100</v>
      </c>
      <c r="C21" s="21">
        <f>'14c'!C21/'14c'!$B21*100</f>
        <v>88.063660477453581</v>
      </c>
      <c r="D21" s="21">
        <f>'14c'!D21/'14c'!$B21*100</f>
        <v>86.737400530503976</v>
      </c>
      <c r="E21" s="21">
        <f>'14c'!E21/'14c'!$B21*100</f>
        <v>94.694960212201579</v>
      </c>
      <c r="F21" s="21">
        <f>'14c'!F21/'14c'!$B21*100</f>
        <v>93.368700265251974</v>
      </c>
      <c r="G21" s="21">
        <f>'14c'!G21/'14c'!$B21*100</f>
        <v>97.08222811671088</v>
      </c>
      <c r="H21" s="21">
        <f>'14c'!H21/'14c'!$B21*100</f>
        <v>100.26525198938991</v>
      </c>
      <c r="I21" s="21">
        <f>'14c'!I21/'14c'!$B21*100</f>
        <v>93.899204244031822</v>
      </c>
      <c r="J21" s="21">
        <f>'14c'!J21/'14c'!$B21*100</f>
        <v>92.307692307692307</v>
      </c>
      <c r="K21" s="21">
        <f>'14c'!K21/'14c'!$B21*100</f>
        <v>100.53050397877985</v>
      </c>
      <c r="L21" s="21">
        <f>'14c'!L21/'14c'!$B21*100</f>
        <v>101.59151193633953</v>
      </c>
      <c r="N21" s="6"/>
      <c r="O21" s="6"/>
      <c r="P21" s="6"/>
      <c r="Q21" s="6"/>
      <c r="R21" s="6"/>
      <c r="S21" s="6"/>
      <c r="T21" s="6"/>
      <c r="U21" s="6"/>
      <c r="V21" s="6"/>
      <c r="W21" s="6"/>
      <c r="X21" s="6"/>
    </row>
    <row r="22" spans="1:24">
      <c r="A22" s="2">
        <v>1998</v>
      </c>
      <c r="B22" s="19">
        <f>'14c'!B22/'14c'!$B22*100</f>
        <v>100</v>
      </c>
      <c r="C22" s="21">
        <f>'14c'!C22/'14c'!$B22*100</f>
        <v>92.746113989637308</v>
      </c>
      <c r="D22" s="21">
        <f>'14c'!D22/'14c'!$B22*100</f>
        <v>90.673575129533674</v>
      </c>
      <c r="E22" s="21">
        <f>'14c'!E22/'14c'!$B22*100</f>
        <v>95.854922279792746</v>
      </c>
      <c r="F22" s="21">
        <f>'14c'!F22/'14c'!$B22*100</f>
        <v>93.523316062176164</v>
      </c>
      <c r="G22" s="21">
        <f>'14c'!G22/'14c'!$B22*100</f>
        <v>96.373056994818654</v>
      </c>
      <c r="H22" s="21">
        <f>'14c'!H22/'14c'!$B22*100</f>
        <v>99.481865284974091</v>
      </c>
      <c r="I22" s="21">
        <f>'14c'!I22/'14c'!$B22*100</f>
        <v>95.077720207253876</v>
      </c>
      <c r="J22" s="21">
        <f>'14c'!J22/'14c'!$B22*100</f>
        <v>95.595854922279784</v>
      </c>
      <c r="K22" s="21">
        <f>'14c'!K22/'14c'!$B22*100</f>
        <v>102.59067357512954</v>
      </c>
      <c r="L22" s="21">
        <f>'14c'!L22/'14c'!$B22*100</f>
        <v>101.03626943005182</v>
      </c>
      <c r="N22" s="6"/>
      <c r="O22" s="6"/>
      <c r="P22" s="6"/>
      <c r="Q22" s="6"/>
      <c r="R22" s="6"/>
      <c r="S22" s="6"/>
      <c r="T22" s="6"/>
      <c r="U22" s="6"/>
      <c r="V22" s="6"/>
      <c r="W22" s="6"/>
      <c r="X22" s="6"/>
    </row>
    <row r="23" spans="1:24">
      <c r="A23" s="2">
        <v>1999</v>
      </c>
      <c r="B23" s="19">
        <f>'14c'!B23/'14c'!$B23*100</f>
        <v>100</v>
      </c>
      <c r="C23" s="21">
        <f>'14c'!C23/'14c'!$B23*100</f>
        <v>93.523316062176164</v>
      </c>
      <c r="D23" s="21">
        <f>'14c'!D23/'14c'!$B23*100</f>
        <v>94.818652849740928</v>
      </c>
      <c r="E23" s="21">
        <f>'14c'!E23/'14c'!$B23*100</f>
        <v>96.113989637305693</v>
      </c>
      <c r="F23" s="21">
        <f>'14c'!F23/'14c'!$B23*100</f>
        <v>91.191709844559583</v>
      </c>
      <c r="G23" s="21">
        <f>'14c'!G23/'14c'!$B23*100</f>
        <v>94.30051813471502</v>
      </c>
      <c r="H23" s="21">
        <f>'14c'!H23/'14c'!$B23*100</f>
        <v>101.29533678756476</v>
      </c>
      <c r="I23" s="21">
        <f>'14c'!I23/'14c'!$B23*100</f>
        <v>92.746113989637308</v>
      </c>
      <c r="J23" s="21">
        <f>'14c'!J23/'14c'!$B23*100</f>
        <v>93.264248704663217</v>
      </c>
      <c r="K23" s="21">
        <f>'14c'!K23/'14c'!$B23*100</f>
        <v>98.186528497409313</v>
      </c>
      <c r="L23" s="21">
        <f>'14c'!L23/'14c'!$B23*100</f>
        <v>101.29533678756476</v>
      </c>
      <c r="N23" s="6"/>
      <c r="O23" s="6"/>
      <c r="P23" s="6"/>
      <c r="Q23" s="6"/>
      <c r="R23" s="6"/>
      <c r="S23" s="6"/>
      <c r="T23" s="6"/>
      <c r="U23" s="6"/>
      <c r="V23" s="6"/>
      <c r="W23" s="6"/>
      <c r="X23" s="6"/>
    </row>
    <row r="24" spans="1:24">
      <c r="A24" s="2">
        <v>2000</v>
      </c>
      <c r="B24" s="19">
        <f>'14c'!B24/'14c'!$B24*100</f>
        <v>100</v>
      </c>
      <c r="C24" s="21">
        <f>'14c'!C24/'14c'!$B24*100</f>
        <v>93.877551020408163</v>
      </c>
      <c r="D24" s="21">
        <f>'14c'!D24/'14c'!$B24*100</f>
        <v>92.346938775510196</v>
      </c>
      <c r="E24" s="21">
        <f>'14c'!E24/'14c'!$B24*100</f>
        <v>94.897959183673464</v>
      </c>
      <c r="F24" s="21">
        <f>'14c'!F24/'14c'!$B24*100</f>
        <v>93.112244897959172</v>
      </c>
      <c r="G24" s="21">
        <f>'14c'!G24/'14c'!$B24*100</f>
        <v>95.918367346938766</v>
      </c>
      <c r="H24" s="21">
        <f>'14c'!H24/'14c'!$B24*100</f>
        <v>101.0204081632653</v>
      </c>
      <c r="I24" s="21">
        <f>'14c'!I24/'14c'!$B24*100</f>
        <v>92.857142857142847</v>
      </c>
      <c r="J24" s="21">
        <f>'14c'!J24/'14c'!$B24*100</f>
        <v>94.132653061224474</v>
      </c>
      <c r="K24" s="21">
        <f>'14c'!K24/'14c'!$B24*100</f>
        <v>98.214285714285708</v>
      </c>
      <c r="L24" s="21">
        <f>'14c'!L24/'14c'!$B24*100</f>
        <v>99.489795918367349</v>
      </c>
      <c r="N24" s="6"/>
      <c r="O24" s="6"/>
      <c r="P24" s="6"/>
      <c r="Q24" s="6"/>
      <c r="R24" s="6"/>
      <c r="S24" s="6"/>
      <c r="T24" s="6"/>
      <c r="U24" s="6"/>
      <c r="V24" s="6"/>
      <c r="W24" s="6"/>
      <c r="X24" s="6"/>
    </row>
    <row r="25" spans="1:24">
      <c r="A25" s="2">
        <v>2001</v>
      </c>
      <c r="B25" s="19">
        <f>'14c'!B25/'14c'!$B25*100</f>
        <v>100</v>
      </c>
      <c r="C25" s="21">
        <f>'14c'!C25/'14c'!$B25*100</f>
        <v>91.836734693877546</v>
      </c>
      <c r="D25" s="21">
        <f>'14c'!D25/'14c'!$B25*100</f>
        <v>91.326530612244895</v>
      </c>
      <c r="E25" s="21">
        <f>'14c'!E25/'14c'!$B25*100</f>
        <v>95.918367346938766</v>
      </c>
      <c r="F25" s="21">
        <f>'14c'!F25/'14c'!$B25*100</f>
        <v>94.387755102040813</v>
      </c>
      <c r="G25" s="21">
        <f>'14c'!G25/'14c'!$B25*100</f>
        <v>96.428571428571431</v>
      </c>
      <c r="H25" s="21">
        <f>'14c'!H25/'14c'!$B25*100</f>
        <v>100</v>
      </c>
      <c r="I25" s="21">
        <f>'14c'!I25/'14c'!$B25*100</f>
        <v>92.346938775510196</v>
      </c>
      <c r="J25" s="21">
        <f>'14c'!J25/'14c'!$B25*100</f>
        <v>93.367346938775512</v>
      </c>
      <c r="K25" s="21">
        <f>'14c'!K25/'14c'!$B25*100</f>
        <v>97.959183673469383</v>
      </c>
      <c r="L25" s="21">
        <f>'14c'!L25/'14c'!$B25*100</f>
        <v>102.04081632653062</v>
      </c>
      <c r="N25" s="6"/>
      <c r="O25" s="6"/>
      <c r="P25" s="6"/>
      <c r="Q25" s="6"/>
      <c r="R25" s="6"/>
      <c r="S25" s="6"/>
      <c r="T25" s="6"/>
      <c r="U25" s="6"/>
      <c r="V25" s="6"/>
      <c r="W25" s="6"/>
      <c r="X25" s="6"/>
    </row>
    <row r="26" spans="1:24">
      <c r="A26" s="2">
        <v>2002</v>
      </c>
      <c r="B26" s="19">
        <f>'14c'!B26/'14c'!$B26*100</f>
        <v>100</v>
      </c>
      <c r="C26" s="21">
        <f>'14c'!C26/'14c'!$B26*100</f>
        <v>93.350383631713555</v>
      </c>
      <c r="D26" s="21">
        <f>'14c'!D26/'14c'!$B26*100</f>
        <v>91.815856777493593</v>
      </c>
      <c r="E26" s="21">
        <f>'14c'!E26/'14c'!$B26*100</f>
        <v>96.163682864450124</v>
      </c>
      <c r="F26" s="21">
        <f>'14c'!F26/'14c'!$B26*100</f>
        <v>94.629156010230176</v>
      </c>
      <c r="G26" s="21">
        <f>'14c'!G26/'14c'!$B26*100</f>
        <v>95.65217391304347</v>
      </c>
      <c r="H26" s="21">
        <f>'14c'!H26/'14c'!$B26*100</f>
        <v>100.25575447570331</v>
      </c>
      <c r="I26" s="21">
        <f>'14c'!I26/'14c'!$B26*100</f>
        <v>94.629156010230176</v>
      </c>
      <c r="J26" s="21">
        <f>'14c'!J26/'14c'!$B26*100</f>
        <v>93.861892583120195</v>
      </c>
      <c r="K26" s="21">
        <f>'14c'!K26/'14c'!$B26*100</f>
        <v>96.419437340153451</v>
      </c>
      <c r="L26" s="21">
        <f>'14c'!L26/'14c'!$B26*100</f>
        <v>104.34782608695652</v>
      </c>
      <c r="N26" s="6"/>
      <c r="O26" s="6"/>
      <c r="P26" s="6"/>
      <c r="Q26" s="6"/>
      <c r="R26" s="6"/>
      <c r="S26" s="6"/>
      <c r="T26" s="6"/>
      <c r="U26" s="6"/>
      <c r="V26" s="6"/>
      <c r="W26" s="6"/>
      <c r="X26" s="6"/>
    </row>
    <row r="27" spans="1:24">
      <c r="A27" s="2">
        <v>2003</v>
      </c>
      <c r="B27" s="19">
        <f>'14c'!B27/'14c'!$B27*100</f>
        <v>100</v>
      </c>
      <c r="C27" s="21">
        <f>'14c'!C27/'14c'!$B27*100</f>
        <v>93.573264781490991</v>
      </c>
      <c r="D27" s="21">
        <f>'14c'!D27/'14c'!$B27*100</f>
        <v>89.203084832904878</v>
      </c>
      <c r="E27" s="21">
        <f>'14c'!E27/'14c'!$B27*100</f>
        <v>95.115681233933159</v>
      </c>
      <c r="F27" s="21">
        <f>'14c'!F27/'14c'!$B27*100</f>
        <v>95.372750642673523</v>
      </c>
      <c r="G27" s="21">
        <f>'14c'!G27/'14c'!$B27*100</f>
        <v>95.115681233933159</v>
      </c>
      <c r="H27" s="21">
        <f>'14c'!H27/'14c'!$B27*100</f>
        <v>100.25706940874035</v>
      </c>
      <c r="I27" s="21">
        <f>'14c'!I27/'14c'!$B27*100</f>
        <v>91.773778920308473</v>
      </c>
      <c r="J27" s="21">
        <f>'14c'!J27/'14c'!$B27*100</f>
        <v>96.1439588688946</v>
      </c>
      <c r="K27" s="21">
        <f>'14c'!K27/'14c'!$B27*100</f>
        <v>101.2853470437018</v>
      </c>
      <c r="L27" s="21">
        <f>'14c'!L27/'14c'!$B27*100</f>
        <v>101.54241645244215</v>
      </c>
      <c r="N27" s="6"/>
      <c r="O27" s="6"/>
      <c r="P27" s="6"/>
      <c r="Q27" s="6"/>
      <c r="R27" s="6"/>
      <c r="S27" s="6"/>
      <c r="T27" s="6"/>
      <c r="U27" s="6"/>
      <c r="V27" s="6"/>
      <c r="W27" s="6"/>
      <c r="X27" s="6"/>
    </row>
    <row r="28" spans="1:24">
      <c r="A28" s="2">
        <v>2004</v>
      </c>
      <c r="B28" s="19">
        <f>'14c'!B28/'14c'!$B28*100</f>
        <v>100</v>
      </c>
      <c r="C28" s="21">
        <f>'14c'!C28/'14c'!$B28*100</f>
        <v>92.639593908629436</v>
      </c>
      <c r="D28" s="21">
        <f>'14c'!D28/'14c'!$B28*100</f>
        <v>86.802030456852791</v>
      </c>
      <c r="E28" s="21">
        <f>'14c'!E28/'14c'!$B28*100</f>
        <v>94.416243654822324</v>
      </c>
      <c r="F28" s="21">
        <f>'14c'!F28/'14c'!$B28*100</f>
        <v>94.162436548223354</v>
      </c>
      <c r="G28" s="21">
        <f>'14c'!G28/'14c'!$B28*100</f>
        <v>94.923857868020306</v>
      </c>
      <c r="H28" s="21">
        <f>'14c'!H28/'14c'!$B28*100</f>
        <v>101.5228426395939</v>
      </c>
      <c r="I28" s="21">
        <f>'14c'!I28/'14c'!$B28*100</f>
        <v>93.654822335025372</v>
      </c>
      <c r="J28" s="21">
        <f>'14c'!J28/'14c'!$B28*100</f>
        <v>96.700507614213194</v>
      </c>
      <c r="K28" s="21">
        <f>'14c'!K28/'14c'!$B28*100</f>
        <v>98.984771573604064</v>
      </c>
      <c r="L28" s="21">
        <f>'14c'!L28/'14c'!$B28*100</f>
        <v>100.253807106599</v>
      </c>
      <c r="N28" s="6"/>
      <c r="O28" s="6"/>
      <c r="P28" s="6"/>
      <c r="Q28" s="6"/>
      <c r="R28" s="6"/>
      <c r="S28" s="6"/>
      <c r="T28" s="6"/>
      <c r="U28" s="6"/>
      <c r="V28" s="6"/>
      <c r="W28" s="6"/>
      <c r="X28" s="6"/>
    </row>
    <row r="29" spans="1:24">
      <c r="A29" s="2">
        <v>2005</v>
      </c>
      <c r="B29" s="19">
        <f>'14c'!B29/'14c'!$B29*100</f>
        <v>100</v>
      </c>
      <c r="C29" s="21">
        <f>'14c'!C29/'14c'!$B29*100</f>
        <v>92.875318066157746</v>
      </c>
      <c r="D29" s="21">
        <f>'14c'!D29/'14c'!$B29*100</f>
        <v>85.496183206106863</v>
      </c>
      <c r="E29" s="21">
        <f>'14c'!E29/'14c'!$B29*100</f>
        <v>95.419847328244273</v>
      </c>
      <c r="F29" s="21">
        <f>'14c'!F29/'14c'!$B29*100</f>
        <v>93.89312977099236</v>
      </c>
      <c r="G29" s="21">
        <f>'14c'!G29/'14c'!$B29*100</f>
        <v>96.69211195928753</v>
      </c>
      <c r="H29" s="21">
        <f>'14c'!H29/'14c'!$B29*100</f>
        <v>100.25445292620864</v>
      </c>
      <c r="I29" s="21">
        <f>'14c'!I29/'14c'!$B29*100</f>
        <v>94.910941475826974</v>
      </c>
      <c r="J29" s="21">
        <f>'14c'!J29/'14c'!$B29*100</f>
        <v>100.76335877862594</v>
      </c>
      <c r="K29" s="21">
        <f>'14c'!K29/'14c'!$B29*100</f>
        <v>97.455470737913487</v>
      </c>
      <c r="L29" s="21">
        <f>'14c'!L29/'14c'!$B29*100</f>
        <v>101.27226463104326</v>
      </c>
      <c r="N29" s="6"/>
      <c r="O29" s="6"/>
      <c r="P29" s="6"/>
      <c r="Q29" s="6"/>
      <c r="R29" s="6"/>
      <c r="S29" s="6"/>
      <c r="T29" s="6"/>
      <c r="U29" s="6"/>
      <c r="V29" s="6"/>
      <c r="W29" s="6"/>
      <c r="X29" s="6"/>
    </row>
    <row r="30" spans="1:24">
      <c r="A30" s="2">
        <v>2006</v>
      </c>
      <c r="B30" s="19">
        <f>'14c'!B30/'14c'!$B30*100</f>
        <v>100</v>
      </c>
      <c r="C30" s="21">
        <f>'14c'!C30/'14c'!$B30*100</f>
        <v>92.857142857142847</v>
      </c>
      <c r="D30" s="21">
        <f>'14c'!D30/'14c'!$B30*100</f>
        <v>87.5</v>
      </c>
      <c r="E30" s="21">
        <f>'14c'!E30/'14c'!$B30*100</f>
        <v>95.408163265306129</v>
      </c>
      <c r="F30" s="21">
        <f>'14c'!F30/'14c'!$B30*100</f>
        <v>93.622448979591837</v>
      </c>
      <c r="G30" s="21">
        <f>'14c'!G30/'14c'!$B30*100</f>
        <v>95.66326530612244</v>
      </c>
      <c r="H30" s="21">
        <f>'14c'!H30/'14c'!$B30*100</f>
        <v>99.744897959183675</v>
      </c>
      <c r="I30" s="21">
        <f>'14c'!I30/'14c'!$B30*100</f>
        <v>95.918367346938766</v>
      </c>
      <c r="J30" s="21">
        <f>'14c'!J30/'14c'!$B30*100</f>
        <v>100.76530612244898</v>
      </c>
      <c r="K30" s="21">
        <f>'14c'!K30/'14c'!$B30*100</f>
        <v>99.234693877551024</v>
      </c>
      <c r="L30" s="21">
        <f>'14c'!L30/'14c'!$B30*100</f>
        <v>102.04081632653062</v>
      </c>
      <c r="N30" s="6"/>
      <c r="O30" s="6"/>
      <c r="P30" s="6"/>
      <c r="Q30" s="6"/>
      <c r="R30" s="6"/>
      <c r="S30" s="6"/>
      <c r="T30" s="6"/>
      <c r="U30" s="6"/>
      <c r="V30" s="6"/>
      <c r="W30" s="6"/>
      <c r="X30" s="6"/>
    </row>
    <row r="31" spans="1:24" s="972" customFormat="1">
      <c r="A31" s="2">
        <v>2007</v>
      </c>
      <c r="B31" s="19">
        <f>'14c'!B31/'14c'!$B31*100</f>
        <v>100</v>
      </c>
      <c r="C31" s="21">
        <f>'14c'!C31/'14c'!$B31*100</f>
        <v>94.147582697201017</v>
      </c>
      <c r="D31" s="21">
        <f>'14c'!D31/'14c'!$B31*100</f>
        <v>83.715012722646307</v>
      </c>
      <c r="E31" s="21">
        <f>'14c'!E31/'14c'!$B31*100</f>
        <v>94.656488549618317</v>
      </c>
      <c r="F31" s="21">
        <f>'14c'!F31/'14c'!$B31*100</f>
        <v>93.129770992366417</v>
      </c>
      <c r="G31" s="21">
        <f>'14c'!G31/'14c'!$B31*100</f>
        <v>95.67430025445293</v>
      </c>
      <c r="H31" s="21">
        <f>'14c'!H31/'14c'!$B31*100</f>
        <v>99.745547073791357</v>
      </c>
      <c r="I31" s="21">
        <f>'14c'!I31/'14c'!$B31*100</f>
        <v>96.437659033078887</v>
      </c>
      <c r="J31" s="21">
        <f>'14c'!J31/'14c'!$B31*100</f>
        <v>97.964376590330787</v>
      </c>
      <c r="K31" s="21">
        <f>'14c'!K31/'14c'!$B31*100</f>
        <v>100.25445292620864</v>
      </c>
      <c r="L31" s="21">
        <f>'14c'!L31/'14c'!$B31*100</f>
        <v>102.03562340966921</v>
      </c>
      <c r="N31" s="6"/>
      <c r="O31" s="6"/>
      <c r="P31" s="6"/>
      <c r="Q31" s="6"/>
      <c r="R31" s="6"/>
      <c r="S31" s="6"/>
      <c r="T31" s="6"/>
      <c r="U31" s="6"/>
      <c r="V31" s="6"/>
      <c r="W31" s="6"/>
      <c r="X31" s="6"/>
    </row>
    <row r="32" spans="1:24" s="114" customFormat="1">
      <c r="A32" s="431"/>
      <c r="D32" s="644" t="s">
        <v>655</v>
      </c>
    </row>
    <row r="33" spans="1:36" s="114" customFormat="1">
      <c r="A33" s="431" t="s">
        <v>603</v>
      </c>
      <c r="B33" s="10" t="s">
        <v>744</v>
      </c>
      <c r="C33" s="10">
        <f>C13-C5</f>
        <v>-4.2219274977895793</v>
      </c>
      <c r="D33" s="10">
        <f t="shared" ref="D33:J33" si="0">D13-D5</f>
        <v>1.1617054720502864</v>
      </c>
      <c r="E33" s="10">
        <f t="shared" si="0"/>
        <v>1.4392376461341883</v>
      </c>
      <c r="F33" s="10">
        <f t="shared" si="0"/>
        <v>-5.7078298457608838</v>
      </c>
      <c r="G33" s="10">
        <f t="shared" si="0"/>
        <v>-1.7020335985853166</v>
      </c>
      <c r="H33" s="10">
        <f t="shared" si="0"/>
        <v>2.8735632183907995</v>
      </c>
      <c r="I33" s="10">
        <f t="shared" si="0"/>
        <v>-5.1527654975930801</v>
      </c>
      <c r="J33" s="10">
        <f t="shared" si="0"/>
        <v>-8.0459770114942586</v>
      </c>
      <c r="K33" s="10">
        <f>K13-K5</f>
        <v>0.85961292857845706</v>
      </c>
      <c r="L33" s="10">
        <f>L13-L5</f>
        <v>-4.5731407800373063</v>
      </c>
    </row>
    <row r="34" spans="1:36" s="114" customFormat="1">
      <c r="A34" s="431" t="s">
        <v>604</v>
      </c>
      <c r="B34" s="10" t="s">
        <v>744</v>
      </c>
      <c r="C34" s="10">
        <f t="shared" ref="C34:J34" si="1">C24-C13</f>
        <v>4.1339612768184111</v>
      </c>
      <c r="D34" s="10">
        <f t="shared" si="1"/>
        <v>-6.2285597999883748</v>
      </c>
      <c r="E34" s="10">
        <f t="shared" si="1"/>
        <v>-4.8171405314262614</v>
      </c>
      <c r="F34" s="10">
        <f t="shared" si="1"/>
        <v>-2.3293505436362807</v>
      </c>
      <c r="G34" s="10">
        <f t="shared" si="1"/>
        <v>-1.5175300889586794</v>
      </c>
      <c r="H34" s="10">
        <f t="shared" si="1"/>
        <v>1.0204081632653015</v>
      </c>
      <c r="I34" s="10">
        <f t="shared" si="1"/>
        <v>-4.8636548636548866</v>
      </c>
      <c r="J34" s="10">
        <f t="shared" si="1"/>
        <v>-5.8673469387755262</v>
      </c>
      <c r="K34" s="10">
        <f>K24-K13</f>
        <v>-2.0706145706145804</v>
      </c>
      <c r="L34" s="10">
        <f>L24-L13</f>
        <v>2.3387987673701787</v>
      </c>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row>
    <row r="35" spans="1:36" s="114" customFormat="1">
      <c r="A35" s="431" t="s">
        <v>819</v>
      </c>
      <c r="B35" s="25" t="s">
        <v>744</v>
      </c>
      <c r="C35" s="25">
        <f>C31-C5</f>
        <v>0.18206545582168587</v>
      </c>
      <c r="D35" s="25">
        <f>D31-D5</f>
        <v>-13.698780380801978</v>
      </c>
      <c r="E35" s="25">
        <f t="shared" ref="E35:L35" si="2">E31-E5</f>
        <v>-3.6193735193472207</v>
      </c>
      <c r="F35" s="25">
        <f t="shared" si="2"/>
        <v>-8.0196542949899197</v>
      </c>
      <c r="G35" s="25">
        <f t="shared" si="2"/>
        <v>-3.4636307800298312</v>
      </c>
      <c r="H35" s="25">
        <f t="shared" si="2"/>
        <v>2.6191102921821567</v>
      </c>
      <c r="I35" s="25">
        <f t="shared" si="2"/>
        <v>-6.4359041853119265</v>
      </c>
      <c r="J35" s="25">
        <f t="shared" si="2"/>
        <v>-10.081600421163472</v>
      </c>
      <c r="K35" s="25">
        <f t="shared" si="2"/>
        <v>0.82916556988681123</v>
      </c>
      <c r="L35" s="25">
        <f t="shared" si="2"/>
        <v>0.31148547863473652</v>
      </c>
    </row>
    <row r="36" spans="1:36" s="114" customFormat="1">
      <c r="A36" s="431" t="s">
        <v>818</v>
      </c>
      <c r="B36" s="10" t="s">
        <v>744</v>
      </c>
      <c r="C36" s="10">
        <f>C31-C24</f>
        <v>0.27003167679285411</v>
      </c>
      <c r="D36" s="10">
        <f t="shared" ref="D36:L36" si="3">D31-D24</f>
        <v>-8.6319260528638893</v>
      </c>
      <c r="E36" s="10">
        <f t="shared" si="3"/>
        <v>-0.24147063405514757</v>
      </c>
      <c r="F36" s="10">
        <f t="shared" si="3"/>
        <v>1.7526094407244841E-2</v>
      </c>
      <c r="G36" s="10">
        <f t="shared" si="3"/>
        <v>-0.24406709248583525</v>
      </c>
      <c r="H36" s="10">
        <f t="shared" si="3"/>
        <v>-1.2748610894739443</v>
      </c>
      <c r="I36" s="10">
        <f t="shared" si="3"/>
        <v>3.5805161759360402</v>
      </c>
      <c r="J36" s="10">
        <f t="shared" si="3"/>
        <v>3.8317235291063128</v>
      </c>
      <c r="K36" s="10">
        <f t="shared" si="3"/>
        <v>2.0401672119229346</v>
      </c>
      <c r="L36" s="10">
        <f t="shared" si="3"/>
        <v>2.5458274913018641</v>
      </c>
    </row>
    <row r="37" spans="1:36">
      <c r="A37" s="4"/>
      <c r="B37" s="4"/>
    </row>
    <row r="38" spans="1:36">
      <c r="A38" s="9" t="s">
        <v>211</v>
      </c>
    </row>
    <row r="39" spans="1:36" ht="15.75" customHeight="1">
      <c r="A39" s="1168" t="s">
        <v>1161</v>
      </c>
      <c r="B39" s="1169"/>
      <c r="C39" s="1169"/>
      <c r="D39" s="1169"/>
      <c r="E39" s="1169"/>
      <c r="F39" s="1169"/>
      <c r="G39" s="1169"/>
      <c r="H39" s="1169"/>
      <c r="I39" s="1169"/>
      <c r="J39" s="1169"/>
      <c r="K39" s="1169"/>
      <c r="L39" s="1169"/>
    </row>
    <row r="40" spans="1:36">
      <c r="A40" s="1" t="s">
        <v>934</v>
      </c>
      <c r="B40" s="4"/>
    </row>
    <row r="41" spans="1:36">
      <c r="A41" s="1"/>
      <c r="B41" s="4"/>
    </row>
  </sheetData>
  <mergeCells count="13">
    <mergeCell ref="A39:L39"/>
    <mergeCell ref="B3:B4"/>
    <mergeCell ref="C3:C4"/>
    <mergeCell ref="D3:D4"/>
    <mergeCell ref="E3:E4"/>
    <mergeCell ref="J3:J4"/>
    <mergeCell ref="K3:K4"/>
    <mergeCell ref="L3:L4"/>
    <mergeCell ref="B1:M1"/>
    <mergeCell ref="F3:F4"/>
    <mergeCell ref="G3:G4"/>
    <mergeCell ref="H3:H4"/>
    <mergeCell ref="I3:I4"/>
  </mergeCells>
  <phoneticPr fontId="35" type="noConversion"/>
  <pageMargins left="0.75" right="0.75" top="1" bottom="1" header="0.5" footer="0.5"/>
  <pageSetup scale="86" orientation="landscape" horizontalDpi="300" verticalDpi="300" r:id="rId1"/>
  <headerFooter alignWithMargins="0"/>
</worksheet>
</file>

<file path=xl/worksheets/sheet67.xml><?xml version="1.0" encoding="utf-8"?>
<worksheet xmlns="http://schemas.openxmlformats.org/spreadsheetml/2006/main" xmlns:r="http://schemas.openxmlformats.org/officeDocument/2006/relationships">
  <sheetPr codeName="Sheet33">
    <pageSetUpPr fitToPage="1"/>
  </sheetPr>
  <dimension ref="A1:BJ102"/>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3" width="11" style="1" customWidth="1"/>
    <col min="14" max="36" width="9.140625" style="1" hidden="1" customWidth="1"/>
    <col min="37" max="16384" width="9.140625" style="1"/>
  </cols>
  <sheetData>
    <row r="1" spans="1:62" ht="15.75">
      <c r="A1" s="4"/>
      <c r="B1" s="3" t="s">
        <v>2151</v>
      </c>
    </row>
    <row r="2" spans="1:62">
      <c r="A2" s="4"/>
      <c r="B2" s="114"/>
      <c r="C2" s="114"/>
      <c r="D2" s="114"/>
      <c r="E2" s="114"/>
      <c r="F2" s="114"/>
      <c r="G2" s="114"/>
      <c r="H2" s="114"/>
      <c r="I2" s="114"/>
      <c r="J2" s="114"/>
      <c r="K2" s="114"/>
      <c r="L2" s="114"/>
    </row>
    <row r="3" spans="1:62">
      <c r="B3" s="1164" t="s">
        <v>375</v>
      </c>
      <c r="C3" s="1164" t="s">
        <v>377</v>
      </c>
      <c r="D3" s="1164" t="s">
        <v>386</v>
      </c>
      <c r="E3" s="1164" t="s">
        <v>378</v>
      </c>
      <c r="F3" s="1164" t="s">
        <v>379</v>
      </c>
      <c r="G3" s="1164" t="s">
        <v>380</v>
      </c>
      <c r="H3" s="1164" t="s">
        <v>381</v>
      </c>
      <c r="I3" s="1164" t="s">
        <v>382</v>
      </c>
      <c r="J3" s="1164" t="s">
        <v>383</v>
      </c>
      <c r="K3" s="1164" t="s">
        <v>384</v>
      </c>
      <c r="L3" s="1164" t="s">
        <v>385</v>
      </c>
    </row>
    <row r="4" spans="1:62" s="4" customFormat="1">
      <c r="A4" s="7"/>
      <c r="B4" s="1165"/>
      <c r="C4" s="1165"/>
      <c r="D4" s="1165"/>
      <c r="E4" s="1165"/>
      <c r="F4" s="1165"/>
      <c r="G4" s="1165"/>
      <c r="H4" s="1165"/>
      <c r="I4" s="1165"/>
      <c r="J4" s="1165"/>
      <c r="K4" s="1165"/>
      <c r="L4" s="1165"/>
      <c r="N4" s="420" t="s">
        <v>1321</v>
      </c>
      <c r="O4" s="420" t="s">
        <v>1322</v>
      </c>
      <c r="P4" s="420" t="s">
        <v>1323</v>
      </c>
      <c r="Q4" s="420" t="s">
        <v>1324</v>
      </c>
      <c r="R4" s="420" t="s">
        <v>1325</v>
      </c>
      <c r="S4" s="420" t="s">
        <v>1326</v>
      </c>
      <c r="T4" s="420" t="s">
        <v>1327</v>
      </c>
      <c r="U4" s="420" t="s">
        <v>1328</v>
      </c>
      <c r="V4" s="420" t="s">
        <v>1329</v>
      </c>
      <c r="W4" s="420" t="s">
        <v>1330</v>
      </c>
      <c r="X4" s="420" t="s">
        <v>1331</v>
      </c>
      <c r="Z4" s="421" t="s">
        <v>1310</v>
      </c>
      <c r="AA4" s="421" t="s">
        <v>1311</v>
      </c>
      <c r="AB4" s="421" t="s">
        <v>1312</v>
      </c>
      <c r="AC4" s="421" t="s">
        <v>1313</v>
      </c>
      <c r="AD4" s="421" t="s">
        <v>1314</v>
      </c>
      <c r="AE4" s="421" t="s">
        <v>1315</v>
      </c>
      <c r="AF4" s="421" t="s">
        <v>1316</v>
      </c>
      <c r="AG4" s="421" t="s">
        <v>1317</v>
      </c>
      <c r="AH4" s="421" t="s">
        <v>1318</v>
      </c>
      <c r="AI4" s="421" t="s">
        <v>1319</v>
      </c>
      <c r="AJ4" s="421" t="s">
        <v>1320</v>
      </c>
    </row>
    <row r="5" spans="1:62" s="986" customFormat="1">
      <c r="A5" s="984">
        <v>1981</v>
      </c>
      <c r="B5" s="985">
        <f t="shared" ref="B5:L28" si="0">AN5/AZ5</f>
        <v>7.8953488372093021</v>
      </c>
      <c r="C5" s="985">
        <f t="shared" si="0"/>
        <v>11.590909090909092</v>
      </c>
      <c r="D5" s="985">
        <f t="shared" si="0"/>
        <v>7.916666666666667</v>
      </c>
      <c r="E5" s="985">
        <f t="shared" si="0"/>
        <v>8.1875</v>
      </c>
      <c r="F5" s="985">
        <f t="shared" si="0"/>
        <v>11.191489361702128</v>
      </c>
      <c r="G5" s="985">
        <f t="shared" si="0"/>
        <v>8.3918918918918912</v>
      </c>
      <c r="H5" s="985">
        <f t="shared" si="0"/>
        <v>6.243243243243243</v>
      </c>
      <c r="I5" s="985">
        <f t="shared" si="0"/>
        <v>8.6756756756756754</v>
      </c>
      <c r="J5" s="985">
        <f t="shared" si="0"/>
        <v>10.318840579710145</v>
      </c>
      <c r="K5" s="985">
        <f t="shared" si="0"/>
        <v>6.579831932773109</v>
      </c>
      <c r="L5" s="985">
        <f>AX5/BJ5</f>
        <v>7.2549019607843137</v>
      </c>
      <c r="N5" s="987">
        <v>69500</v>
      </c>
      <c r="O5" s="987">
        <v>52800</v>
      </c>
      <c r="P5" s="987">
        <v>48700</v>
      </c>
      <c r="Q5" s="987">
        <v>53500</v>
      </c>
      <c r="R5" s="987">
        <v>53400</v>
      </c>
      <c r="S5" s="987">
        <v>63600</v>
      </c>
      <c r="T5" s="987">
        <v>70500</v>
      </c>
      <c r="U5" s="987">
        <v>65700</v>
      </c>
      <c r="V5" s="987">
        <v>72400</v>
      </c>
      <c r="W5" s="987">
        <v>79600</v>
      </c>
      <c r="X5" s="987">
        <v>75600</v>
      </c>
      <c r="Z5" s="988">
        <v>7700</v>
      </c>
      <c r="AA5" s="988">
        <v>4400</v>
      </c>
      <c r="AB5" s="988">
        <v>5400</v>
      </c>
      <c r="AC5" s="988">
        <v>5600</v>
      </c>
      <c r="AD5" s="988">
        <v>4400</v>
      </c>
      <c r="AE5" s="988">
        <v>6400</v>
      </c>
      <c r="AF5" s="988">
        <v>9800</v>
      </c>
      <c r="AG5" s="988">
        <v>6600</v>
      </c>
      <c r="AH5" s="988">
        <v>6400</v>
      </c>
      <c r="AI5" s="988">
        <v>10900</v>
      </c>
      <c r="AJ5" s="988">
        <v>9100</v>
      </c>
      <c r="AK5" s="988"/>
      <c r="AM5" s="986">
        <v>1981</v>
      </c>
      <c r="AN5" s="986">
        <v>67900</v>
      </c>
      <c r="AO5" s="986">
        <v>51000</v>
      </c>
      <c r="AP5" s="986">
        <v>47500</v>
      </c>
      <c r="AQ5" s="986">
        <v>52400</v>
      </c>
      <c r="AR5" s="986">
        <v>52600</v>
      </c>
      <c r="AS5" s="986">
        <v>62100</v>
      </c>
      <c r="AT5" s="986">
        <v>69300</v>
      </c>
      <c r="AU5" s="986">
        <v>64200</v>
      </c>
      <c r="AV5" s="986">
        <v>71200</v>
      </c>
      <c r="AW5" s="986">
        <v>78300</v>
      </c>
      <c r="AX5" s="986">
        <v>74000</v>
      </c>
      <c r="AY5" s="986">
        <v>1981</v>
      </c>
      <c r="AZ5" s="986">
        <v>8600</v>
      </c>
      <c r="BA5" s="986">
        <v>4400</v>
      </c>
      <c r="BB5" s="986">
        <v>6000</v>
      </c>
      <c r="BC5" s="986">
        <v>6400</v>
      </c>
      <c r="BD5" s="986">
        <v>4700</v>
      </c>
      <c r="BE5" s="986">
        <v>7400</v>
      </c>
      <c r="BF5" s="986">
        <v>11100</v>
      </c>
      <c r="BG5" s="986">
        <v>7400</v>
      </c>
      <c r="BH5" s="986">
        <v>6900</v>
      </c>
      <c r="BI5" s="986">
        <v>11900</v>
      </c>
      <c r="BJ5" s="986">
        <v>10200</v>
      </c>
    </row>
    <row r="6" spans="1:62" s="986" customFormat="1">
      <c r="A6" s="984">
        <v>1982</v>
      </c>
      <c r="B6" s="985">
        <f t="shared" si="0"/>
        <v>8.8289473684210531</v>
      </c>
      <c r="C6" s="985">
        <f t="shared" si="0"/>
        <v>12.675675675675675</v>
      </c>
      <c r="D6" s="985">
        <f t="shared" si="0"/>
        <v>9.52</v>
      </c>
      <c r="E6" s="985">
        <f t="shared" si="0"/>
        <v>8.7704918032786878</v>
      </c>
      <c r="F6" s="985">
        <f t="shared" si="0"/>
        <v>13.552631578947368</v>
      </c>
      <c r="G6" s="985">
        <f t="shared" si="0"/>
        <v>9.3076923076923084</v>
      </c>
      <c r="H6" s="985">
        <f t="shared" si="0"/>
        <v>7.15625</v>
      </c>
      <c r="I6" s="985">
        <f t="shared" si="0"/>
        <v>9.0833333333333339</v>
      </c>
      <c r="J6" s="985">
        <f t="shared" si="0"/>
        <v>8.9333333333333336</v>
      </c>
      <c r="K6" s="985">
        <f t="shared" si="0"/>
        <v>7.6698113207547172</v>
      </c>
      <c r="L6" s="985">
        <f t="shared" si="0"/>
        <v>9.7733333333333334</v>
      </c>
      <c r="N6" s="987">
        <v>69100</v>
      </c>
      <c r="O6" s="987">
        <v>48900</v>
      </c>
      <c r="P6" s="987">
        <v>48000</v>
      </c>
      <c r="Q6" s="987">
        <v>54700</v>
      </c>
      <c r="R6" s="987">
        <v>53000</v>
      </c>
      <c r="S6" s="987">
        <v>62100</v>
      </c>
      <c r="T6" s="987">
        <v>70700</v>
      </c>
      <c r="U6" s="987">
        <v>66400</v>
      </c>
      <c r="V6" s="987">
        <v>69700</v>
      </c>
      <c r="W6" s="987">
        <v>83300</v>
      </c>
      <c r="X6" s="987">
        <v>74700</v>
      </c>
      <c r="Z6" s="988">
        <v>6900</v>
      </c>
      <c r="AA6" s="988">
        <v>3800</v>
      </c>
      <c r="AB6" s="988">
        <v>4700</v>
      </c>
      <c r="AC6" s="988">
        <v>5600</v>
      </c>
      <c r="AD6" s="988">
        <v>3700</v>
      </c>
      <c r="AE6" s="988">
        <v>5800</v>
      </c>
      <c r="AF6" s="988">
        <v>8700</v>
      </c>
      <c r="AG6" s="988">
        <v>6600</v>
      </c>
      <c r="AH6" s="988">
        <v>6800</v>
      </c>
      <c r="AI6" s="988">
        <v>9900</v>
      </c>
      <c r="AJ6" s="988">
        <v>6800</v>
      </c>
      <c r="AK6" s="988"/>
      <c r="AM6" s="986">
        <v>1982</v>
      </c>
      <c r="AN6" s="986">
        <v>67100</v>
      </c>
      <c r="AO6" s="986">
        <v>46900</v>
      </c>
      <c r="AP6" s="986">
        <v>47600</v>
      </c>
      <c r="AQ6" s="986">
        <v>53500</v>
      </c>
      <c r="AR6" s="986">
        <v>51500</v>
      </c>
      <c r="AS6" s="986">
        <v>60500</v>
      </c>
      <c r="AT6" s="986">
        <v>68700</v>
      </c>
      <c r="AU6" s="986">
        <v>65400</v>
      </c>
      <c r="AV6" s="986">
        <v>67000</v>
      </c>
      <c r="AW6" s="986">
        <v>81300</v>
      </c>
      <c r="AX6" s="986">
        <v>73300</v>
      </c>
      <c r="AY6" s="986">
        <v>1982</v>
      </c>
      <c r="AZ6" s="986">
        <v>7600</v>
      </c>
      <c r="BA6" s="986">
        <v>3700</v>
      </c>
      <c r="BB6" s="986">
        <v>5000</v>
      </c>
      <c r="BC6" s="986">
        <v>6100</v>
      </c>
      <c r="BD6" s="986">
        <v>3800</v>
      </c>
      <c r="BE6" s="986">
        <v>6500</v>
      </c>
      <c r="BF6" s="986">
        <v>9600</v>
      </c>
      <c r="BG6" s="986">
        <v>7200</v>
      </c>
      <c r="BH6" s="986">
        <v>7500</v>
      </c>
      <c r="BI6" s="986">
        <v>10600</v>
      </c>
      <c r="BJ6" s="986">
        <v>7500</v>
      </c>
    </row>
    <row r="7" spans="1:62" s="986" customFormat="1">
      <c r="A7" s="984">
        <v>1983</v>
      </c>
      <c r="B7" s="985">
        <f t="shared" si="0"/>
        <v>9.1756756756756754</v>
      </c>
      <c r="C7" s="985">
        <f t="shared" si="0"/>
        <v>13.194444444444445</v>
      </c>
      <c r="D7" s="985">
        <f t="shared" si="0"/>
        <v>10.44</v>
      </c>
      <c r="E7" s="985">
        <f t="shared" si="0"/>
        <v>9.0967741935483879</v>
      </c>
      <c r="F7" s="985">
        <f t="shared" si="0"/>
        <v>14.888888888888889</v>
      </c>
      <c r="G7" s="985">
        <f t="shared" si="0"/>
        <v>9.453125</v>
      </c>
      <c r="H7" s="985">
        <f t="shared" si="0"/>
        <v>7.645833333333333</v>
      </c>
      <c r="I7" s="985">
        <f t="shared" si="0"/>
        <v>9.8208955223880601</v>
      </c>
      <c r="J7" s="985">
        <f t="shared" si="0"/>
        <v>8.7972972972972965</v>
      </c>
      <c r="K7" s="985">
        <f t="shared" si="0"/>
        <v>9.2911392405063289</v>
      </c>
      <c r="L7" s="985">
        <f t="shared" si="0"/>
        <v>9.3289473684210531</v>
      </c>
      <c r="N7" s="987">
        <v>69300</v>
      </c>
      <c r="O7" s="987">
        <v>49300</v>
      </c>
      <c r="P7" s="987">
        <v>51400</v>
      </c>
      <c r="Q7" s="987">
        <v>58700</v>
      </c>
      <c r="R7" s="987">
        <v>55100</v>
      </c>
      <c r="S7" s="987">
        <v>62400</v>
      </c>
      <c r="T7" s="987">
        <v>74100</v>
      </c>
      <c r="U7" s="987">
        <v>67900</v>
      </c>
      <c r="V7" s="987">
        <v>65600</v>
      </c>
      <c r="W7" s="987">
        <v>75900</v>
      </c>
      <c r="X7" s="987">
        <v>72800</v>
      </c>
      <c r="Z7" s="988">
        <v>6700</v>
      </c>
      <c r="AA7" s="988">
        <v>3500</v>
      </c>
      <c r="AB7" s="988">
        <v>5300</v>
      </c>
      <c r="AC7" s="988">
        <v>5700</v>
      </c>
      <c r="AD7" s="988">
        <v>3400</v>
      </c>
      <c r="AE7" s="988">
        <v>5700</v>
      </c>
      <c r="AF7" s="988">
        <v>8600</v>
      </c>
      <c r="AG7" s="988">
        <v>6600</v>
      </c>
      <c r="AH7" s="988">
        <v>6800</v>
      </c>
      <c r="AI7" s="988">
        <v>7700</v>
      </c>
      <c r="AJ7" s="988">
        <v>6800</v>
      </c>
      <c r="AK7" s="988"/>
      <c r="AM7" s="986">
        <v>1983</v>
      </c>
      <c r="AN7" s="986">
        <v>67900</v>
      </c>
      <c r="AO7" s="986">
        <v>47500</v>
      </c>
      <c r="AP7" s="986">
        <v>52200</v>
      </c>
      <c r="AQ7" s="986">
        <v>56400</v>
      </c>
      <c r="AR7" s="986">
        <v>53600</v>
      </c>
      <c r="AS7" s="986">
        <v>60500</v>
      </c>
      <c r="AT7" s="986">
        <v>73400</v>
      </c>
      <c r="AU7" s="986">
        <v>65800</v>
      </c>
      <c r="AV7" s="986">
        <v>65100</v>
      </c>
      <c r="AW7" s="986">
        <v>73400</v>
      </c>
      <c r="AX7" s="986">
        <v>70900</v>
      </c>
      <c r="AY7" s="986">
        <v>1983</v>
      </c>
      <c r="AZ7" s="986">
        <v>7400</v>
      </c>
      <c r="BA7" s="986">
        <v>3600</v>
      </c>
      <c r="BB7" s="986">
        <v>5000</v>
      </c>
      <c r="BC7" s="986">
        <v>6200</v>
      </c>
      <c r="BD7" s="986">
        <v>3600</v>
      </c>
      <c r="BE7" s="986">
        <v>6400</v>
      </c>
      <c r="BF7" s="986">
        <v>9600</v>
      </c>
      <c r="BG7" s="986">
        <v>6700</v>
      </c>
      <c r="BH7" s="986">
        <v>7400</v>
      </c>
      <c r="BI7" s="986">
        <v>7900</v>
      </c>
      <c r="BJ7" s="986">
        <v>7600</v>
      </c>
    </row>
    <row r="8" spans="1:62" s="986" customFormat="1">
      <c r="A8" s="984">
        <v>1984</v>
      </c>
      <c r="B8" s="985">
        <f t="shared" si="0"/>
        <v>9.5492957746478879</v>
      </c>
      <c r="C8" s="985">
        <f t="shared" si="0"/>
        <v>12.888888888888889</v>
      </c>
      <c r="D8" s="985">
        <f t="shared" si="0"/>
        <v>7.7704918032786887</v>
      </c>
      <c r="E8" s="985">
        <f t="shared" si="0"/>
        <v>9.4</v>
      </c>
      <c r="F8" s="985">
        <f t="shared" si="0"/>
        <v>13.073170731707316</v>
      </c>
      <c r="G8" s="985">
        <f t="shared" si="0"/>
        <v>11.175438596491228</v>
      </c>
      <c r="H8" s="985">
        <f t="shared" si="0"/>
        <v>7.625</v>
      </c>
      <c r="I8" s="985">
        <f t="shared" si="0"/>
        <v>8.4533333333333331</v>
      </c>
      <c r="J8" s="985">
        <f t="shared" si="0"/>
        <v>11.428571428571429</v>
      </c>
      <c r="K8" s="985">
        <f t="shared" si="0"/>
        <v>9.075949367088608</v>
      </c>
      <c r="L8" s="985">
        <f t="shared" si="0"/>
        <v>10.454545454545455</v>
      </c>
      <c r="N8" s="987">
        <v>69100</v>
      </c>
      <c r="O8" s="987">
        <v>48100</v>
      </c>
      <c r="P8" s="987">
        <v>48700</v>
      </c>
      <c r="Q8" s="987">
        <v>57000</v>
      </c>
      <c r="R8" s="987">
        <v>54500</v>
      </c>
      <c r="S8" s="987">
        <v>65000</v>
      </c>
      <c r="T8" s="987">
        <v>73800</v>
      </c>
      <c r="U8" s="987">
        <v>64600</v>
      </c>
      <c r="V8" s="987">
        <v>65100</v>
      </c>
      <c r="W8" s="987">
        <v>73300</v>
      </c>
      <c r="X8" s="987">
        <v>70600</v>
      </c>
      <c r="Z8" s="988">
        <v>6400</v>
      </c>
      <c r="AA8" s="988">
        <v>3500</v>
      </c>
      <c r="AB8" s="988">
        <v>5500</v>
      </c>
      <c r="AC8" s="988">
        <v>5300</v>
      </c>
      <c r="AD8" s="988">
        <v>3900</v>
      </c>
      <c r="AE8" s="988">
        <v>5200</v>
      </c>
      <c r="AF8" s="988">
        <v>8600</v>
      </c>
      <c r="AG8" s="988">
        <v>7100</v>
      </c>
      <c r="AH8" s="988">
        <v>5600</v>
      </c>
      <c r="AI8" s="988">
        <v>7400</v>
      </c>
      <c r="AJ8" s="988">
        <v>6100</v>
      </c>
      <c r="AK8" s="988"/>
      <c r="AM8" s="986">
        <v>1984</v>
      </c>
      <c r="AN8" s="986">
        <v>67800</v>
      </c>
      <c r="AO8" s="986">
        <v>46400</v>
      </c>
      <c r="AP8" s="986">
        <v>47400</v>
      </c>
      <c r="AQ8" s="986">
        <v>56400</v>
      </c>
      <c r="AR8" s="986">
        <v>53600</v>
      </c>
      <c r="AS8" s="986">
        <v>63700</v>
      </c>
      <c r="AT8" s="986">
        <v>73200</v>
      </c>
      <c r="AU8" s="986">
        <v>63400</v>
      </c>
      <c r="AV8" s="986">
        <v>64000</v>
      </c>
      <c r="AW8" s="986">
        <v>71700</v>
      </c>
      <c r="AX8" s="986">
        <v>69000</v>
      </c>
      <c r="AY8" s="986">
        <v>1984</v>
      </c>
      <c r="AZ8" s="986">
        <v>7100</v>
      </c>
      <c r="BA8" s="986">
        <v>3600</v>
      </c>
      <c r="BB8" s="986">
        <v>6100</v>
      </c>
      <c r="BC8" s="986">
        <v>6000</v>
      </c>
      <c r="BD8" s="986">
        <v>4100</v>
      </c>
      <c r="BE8" s="986">
        <v>5700</v>
      </c>
      <c r="BF8" s="986">
        <v>9600</v>
      </c>
      <c r="BG8" s="986">
        <v>7500</v>
      </c>
      <c r="BH8" s="986">
        <v>5600</v>
      </c>
      <c r="BI8" s="986">
        <v>7900</v>
      </c>
      <c r="BJ8" s="986">
        <v>6600</v>
      </c>
    </row>
    <row r="9" spans="1:62" s="986" customFormat="1">
      <c r="A9" s="984">
        <v>1985</v>
      </c>
      <c r="B9" s="985">
        <f t="shared" si="0"/>
        <v>8.7721518987341778</v>
      </c>
      <c r="C9" s="985">
        <f t="shared" si="0"/>
        <v>14.882352941176471</v>
      </c>
      <c r="D9" s="985">
        <f t="shared" si="0"/>
        <v>6.8857142857142861</v>
      </c>
      <c r="E9" s="985">
        <f t="shared" si="0"/>
        <v>9.2318840579710137</v>
      </c>
      <c r="F9" s="985">
        <f t="shared" si="0"/>
        <v>10.549019607843137</v>
      </c>
      <c r="G9" s="985">
        <f t="shared" si="0"/>
        <v>9.6461538461538456</v>
      </c>
      <c r="H9" s="985">
        <f t="shared" si="0"/>
        <v>7.0754716981132075</v>
      </c>
      <c r="I9" s="985">
        <f t="shared" si="0"/>
        <v>7.9259259259259256</v>
      </c>
      <c r="J9" s="985">
        <f t="shared" si="0"/>
        <v>11.909090909090908</v>
      </c>
      <c r="K9" s="985">
        <f t="shared" si="0"/>
        <v>7.7894736842105265</v>
      </c>
      <c r="L9" s="985">
        <f t="shared" si="0"/>
        <v>9.513513513513514</v>
      </c>
      <c r="N9" s="987">
        <v>70600</v>
      </c>
      <c r="O9" s="987">
        <v>51000</v>
      </c>
      <c r="P9" s="987">
        <v>51500</v>
      </c>
      <c r="Q9" s="987">
        <v>64800</v>
      </c>
      <c r="R9" s="987">
        <v>55000</v>
      </c>
      <c r="S9" s="987">
        <v>64200</v>
      </c>
      <c r="T9" s="987">
        <v>76200</v>
      </c>
      <c r="U9" s="987">
        <v>64100</v>
      </c>
      <c r="V9" s="987">
        <v>67000</v>
      </c>
      <c r="W9" s="987">
        <v>75400</v>
      </c>
      <c r="X9" s="987">
        <v>72400</v>
      </c>
      <c r="Z9" s="988">
        <v>7200</v>
      </c>
      <c r="AA9" s="988">
        <v>3400</v>
      </c>
      <c r="AB9" s="988">
        <v>6300</v>
      </c>
      <c r="AC9" s="988">
        <v>6400</v>
      </c>
      <c r="AD9" s="988">
        <v>4700</v>
      </c>
      <c r="AE9" s="988">
        <v>5900</v>
      </c>
      <c r="AF9" s="988">
        <v>9500</v>
      </c>
      <c r="AG9" s="988">
        <v>7800</v>
      </c>
      <c r="AH9" s="988">
        <v>5500</v>
      </c>
      <c r="AI9" s="988">
        <v>9000</v>
      </c>
      <c r="AJ9" s="988">
        <v>6600</v>
      </c>
      <c r="AK9" s="988"/>
      <c r="AM9" s="986">
        <v>1985</v>
      </c>
      <c r="AN9" s="986">
        <v>69300</v>
      </c>
      <c r="AO9" s="986">
        <v>50600</v>
      </c>
      <c r="AP9" s="986">
        <v>48200</v>
      </c>
      <c r="AQ9" s="986">
        <v>63700</v>
      </c>
      <c r="AR9" s="986">
        <v>53800</v>
      </c>
      <c r="AS9" s="986">
        <v>62700</v>
      </c>
      <c r="AT9" s="986">
        <v>75000</v>
      </c>
      <c r="AU9" s="986">
        <v>64200</v>
      </c>
      <c r="AV9" s="986">
        <v>65500</v>
      </c>
      <c r="AW9" s="986">
        <v>74000</v>
      </c>
      <c r="AX9" s="986">
        <v>70400</v>
      </c>
      <c r="AY9" s="986">
        <v>1985</v>
      </c>
      <c r="AZ9" s="986">
        <v>7900</v>
      </c>
      <c r="BA9" s="986">
        <v>3400</v>
      </c>
      <c r="BB9" s="986">
        <v>7000</v>
      </c>
      <c r="BC9" s="986">
        <v>6900</v>
      </c>
      <c r="BD9" s="986">
        <v>5100</v>
      </c>
      <c r="BE9" s="986">
        <v>6500</v>
      </c>
      <c r="BF9" s="986">
        <v>10600</v>
      </c>
      <c r="BG9" s="986">
        <v>8100</v>
      </c>
      <c r="BH9" s="986">
        <v>5500</v>
      </c>
      <c r="BI9" s="986">
        <v>9500</v>
      </c>
      <c r="BJ9" s="986">
        <v>7400</v>
      </c>
    </row>
    <row r="10" spans="1:62" s="986" customFormat="1">
      <c r="A10" s="984">
        <v>1986</v>
      </c>
      <c r="B10" s="985">
        <f t="shared" si="0"/>
        <v>8.6707317073170724</v>
      </c>
      <c r="C10" s="985">
        <f t="shared" si="0"/>
        <v>11.973684210526315</v>
      </c>
      <c r="D10" s="985">
        <f t="shared" si="0"/>
        <v>6.5194805194805197</v>
      </c>
      <c r="E10" s="985">
        <f t="shared" si="0"/>
        <v>10.1</v>
      </c>
      <c r="F10" s="985">
        <f t="shared" si="0"/>
        <v>9.6111111111111107</v>
      </c>
      <c r="G10" s="985">
        <f t="shared" si="0"/>
        <v>9.4705882352941178</v>
      </c>
      <c r="H10" s="985">
        <f t="shared" si="0"/>
        <v>6.8508771929824563</v>
      </c>
      <c r="I10" s="985">
        <f t="shared" si="0"/>
        <v>8.4285714285714288</v>
      </c>
      <c r="J10" s="985">
        <f t="shared" si="0"/>
        <v>12.314814814814815</v>
      </c>
      <c r="K10" s="985">
        <f t="shared" si="0"/>
        <v>7.6391752577319592</v>
      </c>
      <c r="L10" s="985">
        <f t="shared" si="0"/>
        <v>9.2564102564102573</v>
      </c>
      <c r="N10" s="987">
        <v>72200</v>
      </c>
      <c r="O10" s="987">
        <v>46900</v>
      </c>
      <c r="P10" s="987">
        <v>52800</v>
      </c>
      <c r="Q10" s="987">
        <v>61200</v>
      </c>
      <c r="R10" s="987">
        <v>53500</v>
      </c>
      <c r="S10" s="987">
        <v>65600</v>
      </c>
      <c r="T10" s="987">
        <v>79500</v>
      </c>
      <c r="U10" s="987">
        <v>65900</v>
      </c>
      <c r="V10" s="987">
        <v>68200</v>
      </c>
      <c r="W10" s="987">
        <v>74800</v>
      </c>
      <c r="X10" s="987">
        <v>71700</v>
      </c>
      <c r="Z10" s="988">
        <v>7400</v>
      </c>
      <c r="AA10" s="988">
        <v>3700</v>
      </c>
      <c r="AB10" s="988">
        <v>7300</v>
      </c>
      <c r="AC10" s="988">
        <v>5300</v>
      </c>
      <c r="AD10" s="988">
        <v>4900</v>
      </c>
      <c r="AE10" s="988">
        <v>6000</v>
      </c>
      <c r="AF10" s="988">
        <v>10100</v>
      </c>
      <c r="AG10" s="988">
        <v>7400</v>
      </c>
      <c r="AH10" s="988">
        <v>5600</v>
      </c>
      <c r="AI10" s="988">
        <v>9000</v>
      </c>
      <c r="AJ10" s="988">
        <v>7200</v>
      </c>
      <c r="AK10" s="988"/>
      <c r="AM10" s="986">
        <v>1986</v>
      </c>
      <c r="AN10" s="986">
        <v>71100</v>
      </c>
      <c r="AO10" s="986">
        <v>45500</v>
      </c>
      <c r="AP10" s="986">
        <v>50200</v>
      </c>
      <c r="AQ10" s="986">
        <v>60600</v>
      </c>
      <c r="AR10" s="986">
        <v>51900</v>
      </c>
      <c r="AS10" s="986">
        <v>64400</v>
      </c>
      <c r="AT10" s="986">
        <v>78100</v>
      </c>
      <c r="AU10" s="986">
        <v>64900</v>
      </c>
      <c r="AV10" s="986">
        <v>66500</v>
      </c>
      <c r="AW10" s="986">
        <v>74100</v>
      </c>
      <c r="AX10" s="986">
        <v>72200</v>
      </c>
      <c r="AY10" s="986">
        <v>1986</v>
      </c>
      <c r="AZ10" s="986">
        <v>8200</v>
      </c>
      <c r="BA10" s="986">
        <v>3800</v>
      </c>
      <c r="BB10" s="986">
        <v>7700</v>
      </c>
      <c r="BC10" s="986">
        <v>6000</v>
      </c>
      <c r="BD10" s="986">
        <v>5400</v>
      </c>
      <c r="BE10" s="986">
        <v>6800</v>
      </c>
      <c r="BF10" s="986">
        <v>11400</v>
      </c>
      <c r="BG10" s="986">
        <v>7700</v>
      </c>
      <c r="BH10" s="986">
        <v>5400</v>
      </c>
      <c r="BI10" s="986">
        <v>9700</v>
      </c>
      <c r="BJ10" s="986">
        <v>7800</v>
      </c>
    </row>
    <row r="11" spans="1:62" s="986" customFormat="1">
      <c r="A11" s="984">
        <v>1987</v>
      </c>
      <c r="B11" s="985">
        <f t="shared" si="0"/>
        <v>8.2988505747126435</v>
      </c>
      <c r="C11" s="985">
        <f t="shared" si="0"/>
        <v>12.125</v>
      </c>
      <c r="D11" s="985">
        <f t="shared" si="0"/>
        <v>7.5285714285714285</v>
      </c>
      <c r="E11" s="985">
        <f t="shared" si="0"/>
        <v>8.352112676056338</v>
      </c>
      <c r="F11" s="985">
        <f t="shared" si="0"/>
        <v>10.6</v>
      </c>
      <c r="G11" s="985">
        <f t="shared" si="0"/>
        <v>9.25</v>
      </c>
      <c r="H11" s="985">
        <f t="shared" si="0"/>
        <v>6.6722689075630255</v>
      </c>
      <c r="I11" s="985">
        <f t="shared" si="0"/>
        <v>7.4</v>
      </c>
      <c r="J11" s="985">
        <f t="shared" si="0"/>
        <v>8.7260273972602747</v>
      </c>
      <c r="K11" s="985">
        <f t="shared" si="0"/>
        <v>7.572916666666667</v>
      </c>
      <c r="L11" s="985">
        <f t="shared" si="0"/>
        <v>9.1728395061728403</v>
      </c>
      <c r="N11" s="987">
        <v>73400</v>
      </c>
      <c r="O11" s="987">
        <v>49300</v>
      </c>
      <c r="P11" s="987">
        <v>53000</v>
      </c>
      <c r="Q11" s="987">
        <v>60000</v>
      </c>
      <c r="R11" s="987">
        <v>53700</v>
      </c>
      <c r="S11" s="987">
        <v>67700</v>
      </c>
      <c r="T11" s="987">
        <v>80400</v>
      </c>
      <c r="U11" s="987">
        <v>63400</v>
      </c>
      <c r="V11" s="987">
        <v>65300</v>
      </c>
      <c r="W11" s="987">
        <v>75400</v>
      </c>
      <c r="X11" s="987">
        <v>76400</v>
      </c>
      <c r="Z11" s="988">
        <v>7800</v>
      </c>
      <c r="AA11" s="988">
        <v>3900</v>
      </c>
      <c r="AB11" s="988">
        <v>6400</v>
      </c>
      <c r="AC11" s="988">
        <v>6500</v>
      </c>
      <c r="AD11" s="988">
        <v>4500</v>
      </c>
      <c r="AE11" s="988">
        <v>6500</v>
      </c>
      <c r="AF11" s="988">
        <v>10500</v>
      </c>
      <c r="AG11" s="988">
        <v>8000</v>
      </c>
      <c r="AH11" s="988">
        <v>6800</v>
      </c>
      <c r="AI11" s="988">
        <v>9000</v>
      </c>
      <c r="AJ11" s="988">
        <v>7200</v>
      </c>
      <c r="AK11" s="988"/>
      <c r="AM11" s="986">
        <v>1987</v>
      </c>
      <c r="AN11" s="986">
        <v>72200</v>
      </c>
      <c r="AO11" s="986">
        <v>48500</v>
      </c>
      <c r="AP11" s="986">
        <v>52700</v>
      </c>
      <c r="AQ11" s="986">
        <v>59300</v>
      </c>
      <c r="AR11" s="986">
        <v>53000</v>
      </c>
      <c r="AS11" s="986">
        <v>66600</v>
      </c>
      <c r="AT11" s="986">
        <v>79400</v>
      </c>
      <c r="AU11" s="986">
        <v>62900</v>
      </c>
      <c r="AV11" s="986">
        <v>63700</v>
      </c>
      <c r="AW11" s="986">
        <v>72700</v>
      </c>
      <c r="AX11" s="986">
        <v>74300</v>
      </c>
      <c r="AY11" s="986">
        <v>1987</v>
      </c>
      <c r="AZ11" s="986">
        <v>8700</v>
      </c>
      <c r="BA11" s="986">
        <v>4000</v>
      </c>
      <c r="BB11" s="986">
        <v>7000</v>
      </c>
      <c r="BC11" s="986">
        <v>7100</v>
      </c>
      <c r="BD11" s="986">
        <v>5000</v>
      </c>
      <c r="BE11" s="986">
        <v>7200</v>
      </c>
      <c r="BF11" s="986">
        <v>11900</v>
      </c>
      <c r="BG11" s="986">
        <v>8500</v>
      </c>
      <c r="BH11" s="986">
        <v>7300</v>
      </c>
      <c r="BI11" s="986">
        <v>9600</v>
      </c>
      <c r="BJ11" s="986">
        <v>8100</v>
      </c>
    </row>
    <row r="12" spans="1:62" s="986" customFormat="1">
      <c r="A12" s="984">
        <v>1988</v>
      </c>
      <c r="B12" s="985">
        <f t="shared" si="0"/>
        <v>8.4090909090909083</v>
      </c>
      <c r="C12" s="985">
        <f t="shared" si="0"/>
        <v>10.777777777777779</v>
      </c>
      <c r="D12" s="985">
        <f t="shared" si="0"/>
        <v>6.943661971830986</v>
      </c>
      <c r="E12" s="985">
        <f t="shared" si="0"/>
        <v>8.2972972972972965</v>
      </c>
      <c r="F12" s="985">
        <f t="shared" si="0"/>
        <v>9.5535714285714288</v>
      </c>
      <c r="G12" s="985">
        <f t="shared" si="0"/>
        <v>9.225352112676056</v>
      </c>
      <c r="H12" s="985">
        <f t="shared" si="0"/>
        <v>6.8442622950819674</v>
      </c>
      <c r="I12" s="985">
        <f t="shared" si="0"/>
        <v>8.2530120481927707</v>
      </c>
      <c r="J12" s="985">
        <f t="shared" si="0"/>
        <v>9.632352941176471</v>
      </c>
      <c r="K12" s="985">
        <f t="shared" si="0"/>
        <v>7.7684210526315791</v>
      </c>
      <c r="L12" s="985">
        <f t="shared" si="0"/>
        <v>7.489583333333333</v>
      </c>
      <c r="N12" s="987">
        <v>75400</v>
      </c>
      <c r="O12" s="987">
        <v>49300</v>
      </c>
      <c r="P12" s="987">
        <v>48900</v>
      </c>
      <c r="Q12" s="987">
        <v>61400</v>
      </c>
      <c r="R12" s="987">
        <v>54200</v>
      </c>
      <c r="S12" s="987">
        <v>66600</v>
      </c>
      <c r="T12" s="987">
        <v>85200</v>
      </c>
      <c r="U12" s="987">
        <v>70700</v>
      </c>
      <c r="V12" s="987">
        <v>67000</v>
      </c>
      <c r="W12" s="987">
        <v>74700</v>
      </c>
      <c r="X12" s="987">
        <v>74900</v>
      </c>
      <c r="Z12" s="988">
        <v>7700</v>
      </c>
      <c r="AA12" s="988">
        <v>4300</v>
      </c>
      <c r="AB12" s="988">
        <v>6300</v>
      </c>
      <c r="AC12" s="988">
        <v>6300</v>
      </c>
      <c r="AD12" s="988">
        <v>5100</v>
      </c>
      <c r="AE12" s="988">
        <v>6100</v>
      </c>
      <c r="AF12" s="988">
        <v>10800</v>
      </c>
      <c r="AG12" s="988">
        <v>7900</v>
      </c>
      <c r="AH12" s="988">
        <v>6900</v>
      </c>
      <c r="AI12" s="988">
        <v>8700</v>
      </c>
      <c r="AJ12" s="988">
        <v>8100</v>
      </c>
      <c r="AK12" s="988"/>
      <c r="AM12" s="986">
        <v>1988</v>
      </c>
      <c r="AN12" s="986">
        <v>74000</v>
      </c>
      <c r="AO12" s="986">
        <v>48500</v>
      </c>
      <c r="AP12" s="986">
        <v>49300</v>
      </c>
      <c r="AQ12" s="986">
        <v>61400</v>
      </c>
      <c r="AR12" s="986">
        <v>53500</v>
      </c>
      <c r="AS12" s="986">
        <v>65500</v>
      </c>
      <c r="AT12" s="986">
        <v>83500</v>
      </c>
      <c r="AU12" s="986">
        <v>68500</v>
      </c>
      <c r="AV12" s="986">
        <v>65500</v>
      </c>
      <c r="AW12" s="986">
        <v>73800</v>
      </c>
      <c r="AX12" s="986">
        <v>71900</v>
      </c>
      <c r="AY12" s="986">
        <v>1988</v>
      </c>
      <c r="AZ12" s="986">
        <v>8800</v>
      </c>
      <c r="BA12" s="986">
        <v>4500</v>
      </c>
      <c r="BB12" s="986">
        <v>7100</v>
      </c>
      <c r="BC12" s="986">
        <v>7400</v>
      </c>
      <c r="BD12" s="986">
        <v>5600</v>
      </c>
      <c r="BE12" s="986">
        <v>7100</v>
      </c>
      <c r="BF12" s="986">
        <v>12200</v>
      </c>
      <c r="BG12" s="986">
        <v>8300</v>
      </c>
      <c r="BH12" s="986">
        <v>6800</v>
      </c>
      <c r="BI12" s="986">
        <v>9500</v>
      </c>
      <c r="BJ12" s="986">
        <v>9600</v>
      </c>
    </row>
    <row r="13" spans="1:62" s="986" customFormat="1">
      <c r="A13" s="984">
        <v>1989</v>
      </c>
      <c r="B13" s="985">
        <f t="shared" si="0"/>
        <v>8.1827956989247319</v>
      </c>
      <c r="C13" s="985">
        <f t="shared" si="0"/>
        <v>11.212765957446809</v>
      </c>
      <c r="D13" s="985">
        <f t="shared" si="0"/>
        <v>7.577464788732394</v>
      </c>
      <c r="E13" s="985">
        <f t="shared" si="0"/>
        <v>9.0142857142857142</v>
      </c>
      <c r="F13" s="985">
        <f t="shared" si="0"/>
        <v>9.442622950819672</v>
      </c>
      <c r="G13" s="985">
        <f t="shared" si="0"/>
        <v>8.7692307692307701</v>
      </c>
      <c r="H13" s="985">
        <f t="shared" si="0"/>
        <v>6.976</v>
      </c>
      <c r="I13" s="985">
        <f t="shared" si="0"/>
        <v>8.2891566265060241</v>
      </c>
      <c r="J13" s="985">
        <f t="shared" si="0"/>
        <v>9.1285714285714281</v>
      </c>
      <c r="K13" s="985">
        <f t="shared" si="0"/>
        <v>9.0121951219512191</v>
      </c>
      <c r="L13" s="985">
        <f t="shared" si="0"/>
        <v>6.6203703703703702</v>
      </c>
      <c r="N13" s="987">
        <v>76900</v>
      </c>
      <c r="O13" s="987">
        <v>53500</v>
      </c>
      <c r="P13" s="987">
        <v>53300</v>
      </c>
      <c r="Q13" s="987">
        <v>64200</v>
      </c>
      <c r="R13" s="987">
        <v>57900</v>
      </c>
      <c r="S13" s="987">
        <v>69000</v>
      </c>
      <c r="T13" s="987">
        <v>87600</v>
      </c>
      <c r="U13" s="987">
        <v>70600</v>
      </c>
      <c r="V13" s="987">
        <v>66200</v>
      </c>
      <c r="W13" s="987">
        <v>76000</v>
      </c>
      <c r="X13" s="987">
        <v>72600</v>
      </c>
      <c r="Z13" s="988">
        <v>8400</v>
      </c>
      <c r="AA13" s="988">
        <v>4500</v>
      </c>
      <c r="AB13" s="988">
        <v>5900</v>
      </c>
      <c r="AC13" s="988">
        <v>6000</v>
      </c>
      <c r="AD13" s="988">
        <v>5400</v>
      </c>
      <c r="AE13" s="988">
        <v>6900</v>
      </c>
      <c r="AF13" s="988">
        <v>11100</v>
      </c>
      <c r="AG13" s="988">
        <v>7900</v>
      </c>
      <c r="AH13" s="988">
        <v>6900</v>
      </c>
      <c r="AI13" s="988">
        <v>7800</v>
      </c>
      <c r="AJ13" s="988">
        <v>9700</v>
      </c>
      <c r="AK13" s="988"/>
      <c r="AM13" s="986">
        <v>1989</v>
      </c>
      <c r="AN13" s="986">
        <v>76100</v>
      </c>
      <c r="AO13" s="986">
        <v>52700</v>
      </c>
      <c r="AP13" s="986">
        <v>53800</v>
      </c>
      <c r="AQ13" s="986">
        <v>63100</v>
      </c>
      <c r="AR13" s="986">
        <v>57600</v>
      </c>
      <c r="AS13" s="986">
        <v>68400</v>
      </c>
      <c r="AT13" s="986">
        <v>87200</v>
      </c>
      <c r="AU13" s="986">
        <v>68800</v>
      </c>
      <c r="AV13" s="986">
        <v>63900</v>
      </c>
      <c r="AW13" s="986">
        <v>73900</v>
      </c>
      <c r="AX13" s="986">
        <v>71500</v>
      </c>
      <c r="AY13" s="986">
        <v>1989</v>
      </c>
      <c r="AZ13" s="986">
        <v>9300</v>
      </c>
      <c r="BA13" s="986">
        <v>4700</v>
      </c>
      <c r="BB13" s="986">
        <v>7100</v>
      </c>
      <c r="BC13" s="986">
        <v>7000</v>
      </c>
      <c r="BD13" s="986">
        <v>6100</v>
      </c>
      <c r="BE13" s="986">
        <v>7800</v>
      </c>
      <c r="BF13" s="986">
        <v>12500</v>
      </c>
      <c r="BG13" s="986">
        <v>8300</v>
      </c>
      <c r="BH13" s="986">
        <v>7000</v>
      </c>
      <c r="BI13" s="986">
        <v>8200</v>
      </c>
      <c r="BJ13" s="986">
        <v>10800</v>
      </c>
    </row>
    <row r="14" spans="1:62" s="986" customFormat="1">
      <c r="A14" s="984">
        <v>1990</v>
      </c>
      <c r="B14" s="985">
        <f t="shared" si="0"/>
        <v>9.0609756097560972</v>
      </c>
      <c r="C14" s="985">
        <f t="shared" si="0"/>
        <v>13.025</v>
      </c>
      <c r="D14" s="985">
        <f t="shared" si="0"/>
        <v>8.1875</v>
      </c>
      <c r="E14" s="985">
        <f t="shared" si="0"/>
        <v>9.117647058823529</v>
      </c>
      <c r="F14" s="985">
        <f t="shared" si="0"/>
        <v>9.0317460317460316</v>
      </c>
      <c r="G14" s="985">
        <f t="shared" si="0"/>
        <v>9.5072463768115938</v>
      </c>
      <c r="H14" s="985">
        <f t="shared" si="0"/>
        <v>7.4017857142857144</v>
      </c>
      <c r="I14" s="985">
        <f t="shared" si="0"/>
        <v>8.8767123287671232</v>
      </c>
      <c r="J14" s="985">
        <f t="shared" si="0"/>
        <v>10.580645161290322</v>
      </c>
      <c r="K14" s="985">
        <f t="shared" si="0"/>
        <v>8.5</v>
      </c>
      <c r="L14" s="985">
        <f t="shared" si="0"/>
        <v>9.2771084337349397</v>
      </c>
      <c r="N14" s="987">
        <v>75100</v>
      </c>
      <c r="O14" s="987">
        <v>52500</v>
      </c>
      <c r="P14" s="987">
        <v>52700</v>
      </c>
      <c r="Q14" s="987">
        <v>62500</v>
      </c>
      <c r="R14" s="987">
        <v>57100</v>
      </c>
      <c r="S14" s="987">
        <v>65500</v>
      </c>
      <c r="T14" s="987">
        <v>84600</v>
      </c>
      <c r="U14" s="987">
        <v>66200</v>
      </c>
      <c r="V14" s="987">
        <v>66700</v>
      </c>
      <c r="W14" s="987">
        <v>76600</v>
      </c>
      <c r="X14" s="987">
        <v>77200</v>
      </c>
      <c r="Z14" s="988">
        <v>7400</v>
      </c>
      <c r="AA14" s="988">
        <v>3900</v>
      </c>
      <c r="AB14" s="988">
        <v>5800</v>
      </c>
      <c r="AC14" s="988">
        <v>6100</v>
      </c>
      <c r="AD14" s="988">
        <v>5900</v>
      </c>
      <c r="AE14" s="988">
        <v>6000</v>
      </c>
      <c r="AF14" s="988">
        <v>10100</v>
      </c>
      <c r="AG14" s="988">
        <v>7100</v>
      </c>
      <c r="AH14" s="988">
        <v>6300</v>
      </c>
      <c r="AI14" s="988">
        <v>8500</v>
      </c>
      <c r="AJ14" s="988">
        <v>7200</v>
      </c>
      <c r="AK14" s="988"/>
      <c r="AM14" s="986">
        <v>1990</v>
      </c>
      <c r="AN14" s="986">
        <v>74300</v>
      </c>
      <c r="AO14" s="986">
        <v>52100</v>
      </c>
      <c r="AP14" s="986">
        <v>52400</v>
      </c>
      <c r="AQ14" s="986">
        <v>62000</v>
      </c>
      <c r="AR14" s="986">
        <v>56900</v>
      </c>
      <c r="AS14" s="986">
        <v>65600</v>
      </c>
      <c r="AT14" s="986">
        <v>82900</v>
      </c>
      <c r="AU14" s="986">
        <v>64800</v>
      </c>
      <c r="AV14" s="986">
        <v>65600</v>
      </c>
      <c r="AW14" s="986">
        <v>74800</v>
      </c>
      <c r="AX14" s="986">
        <v>77000</v>
      </c>
      <c r="AY14" s="986">
        <v>1990</v>
      </c>
      <c r="AZ14" s="986">
        <v>8200</v>
      </c>
      <c r="BA14" s="986">
        <v>4000</v>
      </c>
      <c r="BB14" s="986">
        <v>6400</v>
      </c>
      <c r="BC14" s="986">
        <v>6800</v>
      </c>
      <c r="BD14" s="986">
        <v>6300</v>
      </c>
      <c r="BE14" s="986">
        <v>6900</v>
      </c>
      <c r="BF14" s="986">
        <v>11200</v>
      </c>
      <c r="BG14" s="986">
        <v>7300</v>
      </c>
      <c r="BH14" s="986">
        <v>6200</v>
      </c>
      <c r="BI14" s="986">
        <v>8800</v>
      </c>
      <c r="BJ14" s="986">
        <v>8300</v>
      </c>
    </row>
    <row r="15" spans="1:62" s="986" customFormat="1">
      <c r="A15" s="984">
        <v>1991</v>
      </c>
      <c r="B15" s="985">
        <f t="shared" si="0"/>
        <v>9.9729729729729737</v>
      </c>
      <c r="C15" s="985">
        <f t="shared" si="0"/>
        <v>14.666666666666666</v>
      </c>
      <c r="D15" s="985">
        <f t="shared" si="0"/>
        <v>9.192982456140351</v>
      </c>
      <c r="E15" s="985">
        <f t="shared" si="0"/>
        <v>9.721311475409836</v>
      </c>
      <c r="F15" s="985">
        <f t="shared" si="0"/>
        <v>11.510204081632653</v>
      </c>
      <c r="G15" s="985">
        <f t="shared" si="0"/>
        <v>11.101694915254237</v>
      </c>
      <c r="H15" s="985">
        <f t="shared" si="0"/>
        <v>9.3146067415730336</v>
      </c>
      <c r="I15" s="985">
        <f t="shared" si="0"/>
        <v>10.03125</v>
      </c>
      <c r="J15" s="985">
        <f t="shared" si="0"/>
        <v>9.3134328358208958</v>
      </c>
      <c r="K15" s="985">
        <f t="shared" si="0"/>
        <v>8.9886363636363633</v>
      </c>
      <c r="L15" s="985">
        <f t="shared" si="0"/>
        <v>7.8369565217391308</v>
      </c>
      <c r="N15" s="987">
        <v>74800</v>
      </c>
      <c r="O15" s="987">
        <v>53500</v>
      </c>
      <c r="P15" s="987">
        <v>53100</v>
      </c>
      <c r="Q15" s="987">
        <v>60500</v>
      </c>
      <c r="R15" s="987">
        <v>56900</v>
      </c>
      <c r="S15" s="987">
        <v>66100</v>
      </c>
      <c r="T15" s="987">
        <v>84000</v>
      </c>
      <c r="U15" s="987">
        <v>65300</v>
      </c>
      <c r="V15" s="987">
        <v>62700</v>
      </c>
      <c r="W15" s="987">
        <v>81300</v>
      </c>
      <c r="X15" s="987">
        <v>72400</v>
      </c>
      <c r="Z15" s="988">
        <v>6700</v>
      </c>
      <c r="AA15" s="988">
        <v>3300</v>
      </c>
      <c r="AB15" s="988">
        <v>5200</v>
      </c>
      <c r="AC15" s="988">
        <v>5600</v>
      </c>
      <c r="AD15" s="988">
        <v>4500</v>
      </c>
      <c r="AE15" s="988">
        <v>5200</v>
      </c>
      <c r="AF15" s="988">
        <v>8000</v>
      </c>
      <c r="AG15" s="988">
        <v>6600</v>
      </c>
      <c r="AH15" s="988">
        <v>6900</v>
      </c>
      <c r="AI15" s="988">
        <v>8500</v>
      </c>
      <c r="AJ15" s="988">
        <v>8100</v>
      </c>
      <c r="AK15" s="988"/>
      <c r="AM15" s="986">
        <v>1991</v>
      </c>
      <c r="AN15" s="986">
        <v>73800</v>
      </c>
      <c r="AO15" s="986">
        <v>52800</v>
      </c>
      <c r="AP15" s="986">
        <v>52400</v>
      </c>
      <c r="AQ15" s="986">
        <v>59300</v>
      </c>
      <c r="AR15" s="986">
        <v>56400</v>
      </c>
      <c r="AS15" s="986">
        <v>65500</v>
      </c>
      <c r="AT15" s="986">
        <v>82900</v>
      </c>
      <c r="AU15" s="986">
        <v>64200</v>
      </c>
      <c r="AV15" s="986">
        <v>62400</v>
      </c>
      <c r="AW15" s="986">
        <v>79100</v>
      </c>
      <c r="AX15" s="986">
        <v>72100</v>
      </c>
      <c r="AY15" s="986">
        <v>1991</v>
      </c>
      <c r="AZ15" s="986">
        <v>7400</v>
      </c>
      <c r="BA15" s="986">
        <v>3600</v>
      </c>
      <c r="BB15" s="986">
        <v>5700</v>
      </c>
      <c r="BC15" s="986">
        <v>6100</v>
      </c>
      <c r="BD15" s="986">
        <v>4900</v>
      </c>
      <c r="BE15" s="986">
        <v>5900</v>
      </c>
      <c r="BF15" s="986">
        <v>8900</v>
      </c>
      <c r="BG15" s="986">
        <v>6400</v>
      </c>
      <c r="BH15" s="986">
        <v>6700</v>
      </c>
      <c r="BI15" s="986">
        <v>8800</v>
      </c>
      <c r="BJ15" s="986">
        <v>9200</v>
      </c>
    </row>
    <row r="16" spans="1:62" s="986" customFormat="1">
      <c r="A16" s="984">
        <v>1992</v>
      </c>
      <c r="B16" s="985">
        <f t="shared" si="0"/>
        <v>10.808823529411764</v>
      </c>
      <c r="C16" s="985">
        <f t="shared" si="0"/>
        <v>17.655172413793103</v>
      </c>
      <c r="D16" s="985">
        <f t="shared" si="0"/>
        <v>7.25</v>
      </c>
      <c r="E16" s="985">
        <f t="shared" si="0"/>
        <v>9.82258064516129</v>
      </c>
      <c r="F16" s="985">
        <f t="shared" si="0"/>
        <v>10.436363636363636</v>
      </c>
      <c r="G16" s="985">
        <f t="shared" si="0"/>
        <v>10.491803278688524</v>
      </c>
      <c r="H16" s="985">
        <f t="shared" si="0"/>
        <v>10.891891891891891</v>
      </c>
      <c r="I16" s="985">
        <f t="shared" si="0"/>
        <v>9.8970588235294112</v>
      </c>
      <c r="J16" s="985">
        <f t="shared" si="0"/>
        <v>10.21875</v>
      </c>
      <c r="K16" s="985">
        <f t="shared" si="0"/>
        <v>10.364864864864865</v>
      </c>
      <c r="L16" s="985">
        <f t="shared" si="0"/>
        <v>9.1744186046511622</v>
      </c>
      <c r="N16" s="987">
        <v>74900</v>
      </c>
      <c r="O16" s="987">
        <v>51300</v>
      </c>
      <c r="P16" s="987">
        <v>52200</v>
      </c>
      <c r="Q16" s="987">
        <v>59900</v>
      </c>
      <c r="R16" s="987">
        <v>57700</v>
      </c>
      <c r="S16" s="987">
        <v>64200</v>
      </c>
      <c r="T16" s="987">
        <v>82100</v>
      </c>
      <c r="U16" s="987">
        <v>67600</v>
      </c>
      <c r="V16" s="987">
        <v>65700</v>
      </c>
      <c r="W16" s="987">
        <v>79100</v>
      </c>
      <c r="X16" s="987">
        <v>82800</v>
      </c>
      <c r="Y16" s="989"/>
      <c r="Z16" s="988">
        <v>6300</v>
      </c>
      <c r="AA16" s="988">
        <v>2700</v>
      </c>
      <c r="AB16" s="988">
        <v>7200</v>
      </c>
      <c r="AC16" s="988">
        <v>5600</v>
      </c>
      <c r="AD16" s="988">
        <v>4700</v>
      </c>
      <c r="AE16" s="988">
        <v>5300</v>
      </c>
      <c r="AF16" s="988">
        <v>7000</v>
      </c>
      <c r="AG16" s="988">
        <v>6600</v>
      </c>
      <c r="AH16" s="988">
        <v>6200</v>
      </c>
      <c r="AI16" s="988">
        <v>7500</v>
      </c>
      <c r="AJ16" s="988">
        <v>7500</v>
      </c>
      <c r="AK16" s="988"/>
      <c r="AM16" s="986">
        <v>1992</v>
      </c>
      <c r="AN16" s="986">
        <v>73500</v>
      </c>
      <c r="AO16" s="986">
        <v>51200</v>
      </c>
      <c r="AP16" s="986">
        <v>52200</v>
      </c>
      <c r="AQ16" s="986">
        <v>60900</v>
      </c>
      <c r="AR16" s="986">
        <v>57400</v>
      </c>
      <c r="AS16" s="986">
        <v>64000</v>
      </c>
      <c r="AT16" s="986">
        <v>80600</v>
      </c>
      <c r="AU16" s="986">
        <v>67300</v>
      </c>
      <c r="AV16" s="986">
        <v>65400</v>
      </c>
      <c r="AW16" s="986">
        <v>76700</v>
      </c>
      <c r="AX16" s="986">
        <v>78900</v>
      </c>
      <c r="AY16" s="986">
        <v>1992</v>
      </c>
      <c r="AZ16" s="986">
        <v>6800</v>
      </c>
      <c r="BA16" s="986">
        <v>2900</v>
      </c>
      <c r="BB16" s="986">
        <v>7200</v>
      </c>
      <c r="BC16" s="986">
        <v>6200</v>
      </c>
      <c r="BD16" s="986">
        <v>5500</v>
      </c>
      <c r="BE16" s="986">
        <v>6100</v>
      </c>
      <c r="BF16" s="986">
        <v>7400</v>
      </c>
      <c r="BG16" s="986">
        <v>6800</v>
      </c>
      <c r="BH16" s="986">
        <v>6400</v>
      </c>
      <c r="BI16" s="986">
        <v>7400</v>
      </c>
      <c r="BJ16" s="986">
        <v>8600</v>
      </c>
    </row>
    <row r="17" spans="1:62" s="986" customFormat="1">
      <c r="A17" s="984">
        <v>1993</v>
      </c>
      <c r="B17" s="985">
        <f t="shared" si="0"/>
        <v>10.76923076923077</v>
      </c>
      <c r="C17" s="985">
        <f t="shared" si="0"/>
        <v>15.290322580645162</v>
      </c>
      <c r="D17" s="985">
        <f t="shared" si="0"/>
        <v>6.8194444444444446</v>
      </c>
      <c r="E17" s="985">
        <f t="shared" si="0"/>
        <v>11.313725490196079</v>
      </c>
      <c r="F17" s="985">
        <f t="shared" si="0"/>
        <v>10.056603773584905</v>
      </c>
      <c r="G17" s="985">
        <f t="shared" si="0"/>
        <v>11.69811320754717</v>
      </c>
      <c r="H17" s="985">
        <f t="shared" si="0"/>
        <v>10.753424657534246</v>
      </c>
      <c r="I17" s="985">
        <f t="shared" si="0"/>
        <v>9.5079365079365079</v>
      </c>
      <c r="J17" s="985">
        <f t="shared" si="0"/>
        <v>10.050847457627119</v>
      </c>
      <c r="K17" s="985">
        <f t="shared" si="0"/>
        <v>8.6144578313253017</v>
      </c>
      <c r="L17" s="985">
        <f t="shared" si="0"/>
        <v>8.6097560975609753</v>
      </c>
      <c r="N17" s="987">
        <v>73500</v>
      </c>
      <c r="O17" s="987">
        <v>53100</v>
      </c>
      <c r="P17" s="987">
        <v>53100</v>
      </c>
      <c r="Q17" s="987">
        <v>60500</v>
      </c>
      <c r="R17" s="987">
        <v>56200</v>
      </c>
      <c r="S17" s="987">
        <v>62100</v>
      </c>
      <c r="T17" s="987">
        <v>81000</v>
      </c>
      <c r="U17" s="987">
        <v>67300</v>
      </c>
      <c r="V17" s="987">
        <v>62000</v>
      </c>
      <c r="W17" s="987">
        <v>88600</v>
      </c>
      <c r="X17" s="987">
        <v>74400</v>
      </c>
      <c r="Z17" s="988">
        <v>5800</v>
      </c>
      <c r="AA17" s="988">
        <v>2700</v>
      </c>
      <c r="AB17" s="988">
        <v>6500</v>
      </c>
      <c r="AC17" s="988">
        <v>4400</v>
      </c>
      <c r="AD17" s="988">
        <v>4700</v>
      </c>
      <c r="AE17" s="988">
        <v>4900</v>
      </c>
      <c r="AF17" s="988">
        <v>6500</v>
      </c>
      <c r="AG17" s="988">
        <v>6000</v>
      </c>
      <c r="AH17" s="988">
        <v>5700</v>
      </c>
      <c r="AI17" s="988">
        <v>8000</v>
      </c>
      <c r="AJ17" s="988">
        <v>7000</v>
      </c>
      <c r="AK17" s="988"/>
      <c r="AM17" s="986">
        <v>1993</v>
      </c>
      <c r="AN17" s="986">
        <v>70000</v>
      </c>
      <c r="AO17" s="986">
        <v>47400</v>
      </c>
      <c r="AP17" s="986">
        <v>49100</v>
      </c>
      <c r="AQ17" s="986">
        <v>57700</v>
      </c>
      <c r="AR17" s="986">
        <v>53300</v>
      </c>
      <c r="AS17" s="986">
        <v>62000</v>
      </c>
      <c r="AT17" s="986">
        <v>78500</v>
      </c>
      <c r="AU17" s="986">
        <v>59900</v>
      </c>
      <c r="AV17" s="986">
        <v>59300</v>
      </c>
      <c r="AW17" s="986">
        <v>71500</v>
      </c>
      <c r="AX17" s="986">
        <v>70600</v>
      </c>
      <c r="AY17" s="986">
        <v>1993</v>
      </c>
      <c r="AZ17" s="986">
        <v>6500</v>
      </c>
      <c r="BA17" s="986">
        <v>3100</v>
      </c>
      <c r="BB17" s="986">
        <v>7200</v>
      </c>
      <c r="BC17" s="986">
        <v>5100</v>
      </c>
      <c r="BD17" s="986">
        <v>5300</v>
      </c>
      <c r="BE17" s="986">
        <v>5300</v>
      </c>
      <c r="BF17" s="986">
        <v>7300</v>
      </c>
      <c r="BG17" s="986">
        <v>6300</v>
      </c>
      <c r="BH17" s="986">
        <v>5900</v>
      </c>
      <c r="BI17" s="986">
        <v>8300</v>
      </c>
      <c r="BJ17" s="986">
        <v>8200</v>
      </c>
    </row>
    <row r="18" spans="1:62" s="986" customFormat="1">
      <c r="A18" s="984">
        <v>1994</v>
      </c>
      <c r="B18" s="985">
        <f t="shared" si="0"/>
        <v>10.701492537313433</v>
      </c>
      <c r="C18" s="985">
        <f t="shared" si="0"/>
        <v>14.911764705882353</v>
      </c>
      <c r="D18" s="985">
        <f t="shared" si="0"/>
        <v>6.2857142857142856</v>
      </c>
      <c r="E18" s="985">
        <f t="shared" si="0"/>
        <v>10.298245614035087</v>
      </c>
      <c r="F18" s="985">
        <f t="shared" si="0"/>
        <v>10.9</v>
      </c>
      <c r="G18" s="985">
        <f t="shared" si="0"/>
        <v>11.818181818181818</v>
      </c>
      <c r="H18" s="985">
        <f t="shared" si="0"/>
        <v>10.486842105263158</v>
      </c>
      <c r="I18" s="985">
        <f t="shared" si="0"/>
        <v>9.2142857142857135</v>
      </c>
      <c r="J18" s="985">
        <f t="shared" si="0"/>
        <v>9.8852459016393439</v>
      </c>
      <c r="K18" s="985">
        <f t="shared" si="0"/>
        <v>8.1573033707865168</v>
      </c>
      <c r="L18" s="985">
        <f t="shared" si="0"/>
        <v>9.6533333333333342</v>
      </c>
      <c r="N18" s="987">
        <v>73000</v>
      </c>
      <c r="O18" s="987">
        <v>54100</v>
      </c>
      <c r="P18" s="987">
        <v>54000</v>
      </c>
      <c r="Q18" s="987">
        <v>60500</v>
      </c>
      <c r="R18" s="987">
        <v>59800</v>
      </c>
      <c r="S18" s="987">
        <v>66600</v>
      </c>
      <c r="T18" s="987">
        <v>78700</v>
      </c>
      <c r="U18" s="987">
        <v>66200</v>
      </c>
      <c r="V18" s="987">
        <v>64200</v>
      </c>
      <c r="W18" s="987">
        <v>75700</v>
      </c>
      <c r="X18" s="987">
        <v>76800</v>
      </c>
      <c r="Z18" s="988">
        <v>6200</v>
      </c>
      <c r="AA18" s="988">
        <v>3100</v>
      </c>
      <c r="AB18" s="988">
        <v>7200</v>
      </c>
      <c r="AC18" s="988">
        <v>5100</v>
      </c>
      <c r="AD18" s="988">
        <v>4500</v>
      </c>
      <c r="AE18" s="988">
        <v>5200</v>
      </c>
      <c r="AF18" s="988">
        <v>6900</v>
      </c>
      <c r="AG18" s="988">
        <v>7300</v>
      </c>
      <c r="AH18" s="988">
        <v>6200</v>
      </c>
      <c r="AI18" s="988">
        <v>8800</v>
      </c>
      <c r="AJ18" s="988">
        <v>6900</v>
      </c>
      <c r="AK18" s="988"/>
      <c r="AM18" s="986">
        <v>1994</v>
      </c>
      <c r="AN18" s="986">
        <v>71700</v>
      </c>
      <c r="AO18" s="986">
        <v>50700</v>
      </c>
      <c r="AP18" s="986">
        <v>48400</v>
      </c>
      <c r="AQ18" s="986">
        <v>58700</v>
      </c>
      <c r="AR18" s="986">
        <v>54500</v>
      </c>
      <c r="AS18" s="986">
        <v>65000</v>
      </c>
      <c r="AT18" s="986">
        <v>79700</v>
      </c>
      <c r="AU18" s="986">
        <v>64500</v>
      </c>
      <c r="AV18" s="986">
        <v>60300</v>
      </c>
      <c r="AW18" s="986">
        <v>72600</v>
      </c>
      <c r="AX18" s="986">
        <v>72400</v>
      </c>
      <c r="AY18" s="986">
        <v>1994</v>
      </c>
      <c r="AZ18" s="986">
        <v>6700</v>
      </c>
      <c r="BA18" s="986">
        <v>3400</v>
      </c>
      <c r="BB18" s="986">
        <v>7700</v>
      </c>
      <c r="BC18" s="986">
        <v>5700</v>
      </c>
      <c r="BD18" s="986">
        <v>5000</v>
      </c>
      <c r="BE18" s="986">
        <v>5500</v>
      </c>
      <c r="BF18" s="986">
        <v>7600</v>
      </c>
      <c r="BG18" s="986">
        <v>7000</v>
      </c>
      <c r="BH18" s="986">
        <v>6100</v>
      </c>
      <c r="BI18" s="986">
        <v>8900</v>
      </c>
      <c r="BJ18" s="986">
        <v>7500</v>
      </c>
    </row>
    <row r="19" spans="1:62" s="986" customFormat="1">
      <c r="A19" s="984">
        <v>1995</v>
      </c>
      <c r="B19" s="985">
        <f t="shared" si="0"/>
        <v>10.521739130434783</v>
      </c>
      <c r="C19" s="985">
        <f t="shared" si="0"/>
        <v>15.3125</v>
      </c>
      <c r="D19" s="985">
        <f t="shared" si="0"/>
        <v>6.9411764705882355</v>
      </c>
      <c r="E19" s="985">
        <f t="shared" si="0"/>
        <v>9.9827586206896548</v>
      </c>
      <c r="F19" s="985">
        <f t="shared" si="0"/>
        <v>12.173913043478262</v>
      </c>
      <c r="G19" s="985">
        <f t="shared" si="0"/>
        <v>11.678571428571429</v>
      </c>
      <c r="H19" s="985">
        <f t="shared" si="0"/>
        <v>10.423076923076923</v>
      </c>
      <c r="I19" s="985">
        <f t="shared" si="0"/>
        <v>8.4605263157894743</v>
      </c>
      <c r="J19" s="985">
        <f t="shared" si="0"/>
        <v>10.633333333333333</v>
      </c>
      <c r="K19" s="985">
        <f t="shared" si="0"/>
        <v>8.3333333333333339</v>
      </c>
      <c r="L19" s="985">
        <f t="shared" si="0"/>
        <v>9.1645569620253173</v>
      </c>
      <c r="N19" s="987">
        <v>75400</v>
      </c>
      <c r="O19" s="987">
        <v>53700</v>
      </c>
      <c r="P19" s="987">
        <v>51700</v>
      </c>
      <c r="Q19" s="987">
        <v>60400</v>
      </c>
      <c r="R19" s="987">
        <v>60300</v>
      </c>
      <c r="S19" s="987">
        <v>66700</v>
      </c>
      <c r="T19" s="987">
        <v>82900</v>
      </c>
      <c r="U19" s="987">
        <v>69200</v>
      </c>
      <c r="V19" s="987">
        <v>68300</v>
      </c>
      <c r="W19" s="987">
        <v>76500</v>
      </c>
      <c r="X19" s="987">
        <v>80700</v>
      </c>
      <c r="Z19" s="988">
        <v>6400</v>
      </c>
      <c r="AA19" s="988">
        <v>2500</v>
      </c>
      <c r="AB19" s="988">
        <v>5800</v>
      </c>
      <c r="AC19" s="988">
        <v>5300</v>
      </c>
      <c r="AD19" s="988">
        <v>4300</v>
      </c>
      <c r="AE19" s="988">
        <v>5300</v>
      </c>
      <c r="AF19" s="988">
        <v>7100</v>
      </c>
      <c r="AG19" s="988">
        <v>7500</v>
      </c>
      <c r="AH19" s="988">
        <v>6500</v>
      </c>
      <c r="AI19" s="988">
        <v>8800</v>
      </c>
      <c r="AJ19" s="988">
        <v>7400</v>
      </c>
      <c r="AK19" s="988"/>
      <c r="AM19" s="986">
        <v>1995</v>
      </c>
      <c r="AN19" s="986">
        <v>72600</v>
      </c>
      <c r="AO19" s="986">
        <v>49000</v>
      </c>
      <c r="AP19" s="986">
        <v>47200</v>
      </c>
      <c r="AQ19" s="986">
        <v>57900</v>
      </c>
      <c r="AR19" s="986">
        <v>56000</v>
      </c>
      <c r="AS19" s="986">
        <v>65400</v>
      </c>
      <c r="AT19" s="986">
        <v>81300</v>
      </c>
      <c r="AU19" s="986">
        <v>64300</v>
      </c>
      <c r="AV19" s="986">
        <v>63800</v>
      </c>
      <c r="AW19" s="986">
        <v>72500</v>
      </c>
      <c r="AX19" s="986">
        <v>72400</v>
      </c>
      <c r="AY19" s="986">
        <v>1995</v>
      </c>
      <c r="AZ19" s="986">
        <v>6900</v>
      </c>
      <c r="BA19" s="986">
        <v>3200</v>
      </c>
      <c r="BB19" s="986">
        <v>6800</v>
      </c>
      <c r="BC19" s="986">
        <v>5800</v>
      </c>
      <c r="BD19" s="986">
        <v>4600</v>
      </c>
      <c r="BE19" s="986">
        <v>5600</v>
      </c>
      <c r="BF19" s="986">
        <v>7800</v>
      </c>
      <c r="BG19" s="986">
        <v>7600</v>
      </c>
      <c r="BH19" s="986">
        <v>6000</v>
      </c>
      <c r="BI19" s="986">
        <v>8700</v>
      </c>
      <c r="BJ19" s="986">
        <v>7900</v>
      </c>
    </row>
    <row r="20" spans="1:62" s="986" customFormat="1">
      <c r="A20" s="984">
        <v>1996</v>
      </c>
      <c r="B20" s="985">
        <f t="shared" si="0"/>
        <v>11.318181818181818</v>
      </c>
      <c r="C20" s="985">
        <f t="shared" si="0"/>
        <v>15.96774193548387</v>
      </c>
      <c r="D20" s="985">
        <f t="shared" si="0"/>
        <v>7.1857142857142859</v>
      </c>
      <c r="E20" s="985">
        <f t="shared" si="0"/>
        <v>11.469387755102041</v>
      </c>
      <c r="F20" s="985">
        <f t="shared" si="0"/>
        <v>10.357142857142858</v>
      </c>
      <c r="G20" s="985">
        <f t="shared" si="0"/>
        <v>11.947368421052632</v>
      </c>
      <c r="H20" s="985">
        <f t="shared" si="0"/>
        <v>11.774647887323944</v>
      </c>
      <c r="I20" s="985">
        <f t="shared" si="0"/>
        <v>9.2173913043478262</v>
      </c>
      <c r="J20" s="985">
        <f t="shared" si="0"/>
        <v>10.45</v>
      </c>
      <c r="K20" s="985">
        <f t="shared" si="0"/>
        <v>8.0105263157894733</v>
      </c>
      <c r="L20" s="985">
        <f t="shared" si="0"/>
        <v>10.507042253521126</v>
      </c>
      <c r="N20" s="987">
        <v>76700</v>
      </c>
      <c r="O20" s="987">
        <v>53400</v>
      </c>
      <c r="P20" s="987">
        <v>56500</v>
      </c>
      <c r="Q20" s="987">
        <v>60800</v>
      </c>
      <c r="R20" s="987">
        <v>61900</v>
      </c>
      <c r="S20" s="987">
        <v>68600</v>
      </c>
      <c r="T20" s="987">
        <v>85300</v>
      </c>
      <c r="U20" s="987">
        <v>68400</v>
      </c>
      <c r="V20" s="987">
        <v>62600</v>
      </c>
      <c r="W20" s="987">
        <v>82300</v>
      </c>
      <c r="X20" s="987">
        <v>77000</v>
      </c>
      <c r="Z20" s="988">
        <v>6100</v>
      </c>
      <c r="AA20" s="988">
        <v>3300</v>
      </c>
      <c r="AB20" s="988">
        <v>6400</v>
      </c>
      <c r="AC20" s="988">
        <v>4700</v>
      </c>
      <c r="AD20" s="988">
        <v>4300</v>
      </c>
      <c r="AE20" s="988">
        <v>5300</v>
      </c>
      <c r="AF20" s="988">
        <v>6600</v>
      </c>
      <c r="AG20" s="988">
        <v>6100</v>
      </c>
      <c r="AH20" s="988">
        <v>5300</v>
      </c>
      <c r="AI20" s="988">
        <v>8900</v>
      </c>
      <c r="AJ20" s="988">
        <v>7000</v>
      </c>
      <c r="AK20" s="988"/>
      <c r="AM20" s="986">
        <v>1996</v>
      </c>
      <c r="AN20" s="986">
        <v>74700</v>
      </c>
      <c r="AO20" s="986">
        <v>49500</v>
      </c>
      <c r="AP20" s="986">
        <v>50300</v>
      </c>
      <c r="AQ20" s="986">
        <v>56200</v>
      </c>
      <c r="AR20" s="986">
        <v>58000</v>
      </c>
      <c r="AS20" s="986">
        <v>68100</v>
      </c>
      <c r="AT20" s="986">
        <v>83600</v>
      </c>
      <c r="AU20" s="986">
        <v>63600</v>
      </c>
      <c r="AV20" s="986">
        <v>62700</v>
      </c>
      <c r="AW20" s="986">
        <v>76100</v>
      </c>
      <c r="AX20" s="986">
        <v>74600</v>
      </c>
      <c r="AY20" s="986">
        <v>1996</v>
      </c>
      <c r="AZ20" s="986">
        <v>6600</v>
      </c>
      <c r="BA20" s="986">
        <v>3100</v>
      </c>
      <c r="BB20" s="986">
        <v>7000</v>
      </c>
      <c r="BC20" s="986">
        <v>4900</v>
      </c>
      <c r="BD20" s="986">
        <v>5600</v>
      </c>
      <c r="BE20" s="986">
        <v>5700</v>
      </c>
      <c r="BF20" s="986">
        <v>7100</v>
      </c>
      <c r="BG20" s="986">
        <v>6900</v>
      </c>
      <c r="BH20" s="986">
        <v>6000</v>
      </c>
      <c r="BI20" s="986">
        <v>9500</v>
      </c>
      <c r="BJ20" s="986">
        <v>7100</v>
      </c>
    </row>
    <row r="21" spans="1:62" s="986" customFormat="1">
      <c r="A21" s="984">
        <v>1997</v>
      </c>
      <c r="B21" s="985">
        <f t="shared" si="0"/>
        <v>10.857142857142858</v>
      </c>
      <c r="C21" s="985">
        <f t="shared" si="0"/>
        <v>12.789473684210526</v>
      </c>
      <c r="D21" s="985">
        <f t="shared" si="0"/>
        <v>7</v>
      </c>
      <c r="E21" s="985">
        <f t="shared" si="0"/>
        <v>11.442307692307692</v>
      </c>
      <c r="F21" s="985">
        <f t="shared" si="0"/>
        <v>10.923076923076923</v>
      </c>
      <c r="G21" s="985">
        <f t="shared" si="0"/>
        <v>11.706896551724139</v>
      </c>
      <c r="H21" s="985">
        <f t="shared" si="0"/>
        <v>10.425000000000001</v>
      </c>
      <c r="I21" s="985">
        <f t="shared" si="0"/>
        <v>8.3376623376623371</v>
      </c>
      <c r="J21" s="985">
        <f t="shared" si="0"/>
        <v>8.875</v>
      </c>
      <c r="K21" s="985">
        <f t="shared" si="0"/>
        <v>8.3786407766990294</v>
      </c>
      <c r="L21" s="985">
        <f t="shared" si="0"/>
        <v>10.857142857142858</v>
      </c>
      <c r="N21" s="987">
        <v>79900</v>
      </c>
      <c r="O21" s="987">
        <v>53900</v>
      </c>
      <c r="P21" s="987">
        <v>58400</v>
      </c>
      <c r="Q21" s="987">
        <v>62500</v>
      </c>
      <c r="R21" s="987">
        <v>59900</v>
      </c>
      <c r="S21" s="987">
        <v>71200</v>
      </c>
      <c r="T21" s="987">
        <v>88700</v>
      </c>
      <c r="U21" s="987">
        <v>69400</v>
      </c>
      <c r="V21" s="987">
        <v>64600</v>
      </c>
      <c r="W21" s="987">
        <v>90700</v>
      </c>
      <c r="X21" s="987">
        <v>79300</v>
      </c>
      <c r="Z21" s="988">
        <v>6400</v>
      </c>
      <c r="AA21" s="988">
        <v>3600</v>
      </c>
      <c r="AB21" s="988">
        <v>6200</v>
      </c>
      <c r="AC21" s="988">
        <v>4800</v>
      </c>
      <c r="AD21" s="988">
        <v>4100</v>
      </c>
      <c r="AE21" s="988">
        <v>5500</v>
      </c>
      <c r="AF21" s="988">
        <v>6800</v>
      </c>
      <c r="AG21" s="988">
        <v>6900</v>
      </c>
      <c r="AH21" s="988">
        <v>6700</v>
      </c>
      <c r="AI21" s="988">
        <v>9000</v>
      </c>
      <c r="AJ21" s="988">
        <v>7100</v>
      </c>
      <c r="AK21" s="988"/>
      <c r="AM21" s="986">
        <v>1997</v>
      </c>
      <c r="AN21" s="986">
        <v>76000</v>
      </c>
      <c r="AO21" s="986">
        <v>48600</v>
      </c>
      <c r="AP21" s="986">
        <v>50400</v>
      </c>
      <c r="AQ21" s="986">
        <v>59500</v>
      </c>
      <c r="AR21" s="986">
        <v>56800</v>
      </c>
      <c r="AS21" s="986">
        <v>67900</v>
      </c>
      <c r="AT21" s="986">
        <v>83400</v>
      </c>
      <c r="AU21" s="986">
        <v>64200</v>
      </c>
      <c r="AV21" s="986">
        <v>63900</v>
      </c>
      <c r="AW21" s="986">
        <v>86300</v>
      </c>
      <c r="AX21" s="986">
        <v>76000</v>
      </c>
      <c r="AY21" s="986">
        <v>1997</v>
      </c>
      <c r="AZ21" s="986">
        <v>7000</v>
      </c>
      <c r="BA21" s="986">
        <v>3800</v>
      </c>
      <c r="BB21" s="986">
        <v>7200</v>
      </c>
      <c r="BC21" s="986">
        <v>5200</v>
      </c>
      <c r="BD21" s="986">
        <v>5200</v>
      </c>
      <c r="BE21" s="986">
        <v>5800</v>
      </c>
      <c r="BF21" s="986">
        <v>8000</v>
      </c>
      <c r="BG21" s="986">
        <v>7700</v>
      </c>
      <c r="BH21" s="986">
        <v>7200</v>
      </c>
      <c r="BI21" s="986">
        <v>10300</v>
      </c>
      <c r="BJ21" s="986">
        <v>7000</v>
      </c>
    </row>
    <row r="22" spans="1:62" s="986" customFormat="1">
      <c r="A22" s="984">
        <v>1998</v>
      </c>
      <c r="B22" s="985">
        <f t="shared" si="0"/>
        <v>11.714285714285714</v>
      </c>
      <c r="C22" s="985">
        <f t="shared" si="0"/>
        <v>15.236842105263158</v>
      </c>
      <c r="D22" s="985">
        <f t="shared" si="0"/>
        <v>8.4027777777777786</v>
      </c>
      <c r="E22" s="985">
        <f t="shared" si="0"/>
        <v>13.416666666666666</v>
      </c>
      <c r="F22" s="985">
        <f t="shared" si="0"/>
        <v>12.09433962264151</v>
      </c>
      <c r="G22" s="985">
        <f t="shared" si="0"/>
        <v>12.423728813559322</v>
      </c>
      <c r="H22" s="985">
        <f t="shared" si="0"/>
        <v>11.271604938271604</v>
      </c>
      <c r="I22" s="985">
        <f t="shared" si="0"/>
        <v>9.4025974025974026</v>
      </c>
      <c r="J22" s="985">
        <f t="shared" si="0"/>
        <v>10.951612903225806</v>
      </c>
      <c r="K22" s="985">
        <f t="shared" si="0"/>
        <v>10.32967032967033</v>
      </c>
      <c r="L22" s="985">
        <f t="shared" si="0"/>
        <v>10.039473684210526</v>
      </c>
      <c r="N22" s="987">
        <v>83500</v>
      </c>
      <c r="O22" s="987">
        <v>57400</v>
      </c>
      <c r="P22" s="987">
        <v>60500</v>
      </c>
      <c r="Q22" s="987">
        <v>65300</v>
      </c>
      <c r="R22" s="987">
        <v>62600</v>
      </c>
      <c r="S22" s="987">
        <v>73700</v>
      </c>
      <c r="T22" s="987">
        <v>94000</v>
      </c>
      <c r="U22" s="987">
        <v>74300</v>
      </c>
      <c r="V22" s="987">
        <v>67100</v>
      </c>
      <c r="W22" s="987">
        <v>95400</v>
      </c>
      <c r="X22" s="987">
        <v>78000</v>
      </c>
      <c r="Z22" s="988">
        <v>6400</v>
      </c>
      <c r="AA22" s="988">
        <v>3800</v>
      </c>
      <c r="AB22" s="988">
        <v>6000</v>
      </c>
      <c r="AC22" s="988">
        <v>3900</v>
      </c>
      <c r="AD22" s="988">
        <v>4200</v>
      </c>
      <c r="AE22" s="988">
        <v>5700</v>
      </c>
      <c r="AF22" s="988">
        <v>7600</v>
      </c>
      <c r="AG22" s="988">
        <v>7100</v>
      </c>
      <c r="AH22" s="988">
        <v>6100</v>
      </c>
      <c r="AI22" s="988">
        <v>8500</v>
      </c>
      <c r="AJ22" s="988">
        <v>6700</v>
      </c>
      <c r="AK22" s="988"/>
      <c r="AM22" s="986">
        <v>1998</v>
      </c>
      <c r="AN22" s="986">
        <v>82000</v>
      </c>
      <c r="AO22" s="986">
        <v>57900</v>
      </c>
      <c r="AP22" s="986">
        <v>60500</v>
      </c>
      <c r="AQ22" s="986">
        <v>64400</v>
      </c>
      <c r="AR22" s="986">
        <v>64100</v>
      </c>
      <c r="AS22" s="986">
        <v>73300</v>
      </c>
      <c r="AT22" s="986">
        <v>91300</v>
      </c>
      <c r="AU22" s="986">
        <v>72400</v>
      </c>
      <c r="AV22" s="986">
        <v>67900</v>
      </c>
      <c r="AW22" s="986">
        <v>94000</v>
      </c>
      <c r="AX22" s="986">
        <v>76300</v>
      </c>
      <c r="AY22" s="986">
        <v>1998</v>
      </c>
      <c r="AZ22" s="986">
        <v>7000</v>
      </c>
      <c r="BA22" s="986">
        <v>3800</v>
      </c>
      <c r="BB22" s="986">
        <v>7200</v>
      </c>
      <c r="BC22" s="986">
        <v>4800</v>
      </c>
      <c r="BD22" s="986">
        <v>5300</v>
      </c>
      <c r="BE22" s="986">
        <v>5900</v>
      </c>
      <c r="BF22" s="986">
        <v>8100</v>
      </c>
      <c r="BG22" s="986">
        <v>7700</v>
      </c>
      <c r="BH22" s="986">
        <v>6200</v>
      </c>
      <c r="BI22" s="986">
        <v>9100</v>
      </c>
      <c r="BJ22" s="986">
        <v>7600</v>
      </c>
    </row>
    <row r="23" spans="1:62" s="986" customFormat="1">
      <c r="A23" s="984">
        <v>1999</v>
      </c>
      <c r="B23" s="985">
        <f t="shared" si="0"/>
        <v>10.569620253164556</v>
      </c>
      <c r="C23" s="985">
        <f t="shared" si="0"/>
        <v>20.06451612903226</v>
      </c>
      <c r="D23" s="985">
        <f t="shared" si="0"/>
        <v>9.1617647058823533</v>
      </c>
      <c r="E23" s="985">
        <f t="shared" si="0"/>
        <v>10.53968253968254</v>
      </c>
      <c r="F23" s="985">
        <f t="shared" si="0"/>
        <v>10.816666666666666</v>
      </c>
      <c r="G23" s="985">
        <f t="shared" si="0"/>
        <v>11.348484848484848</v>
      </c>
      <c r="H23" s="985">
        <f t="shared" si="0"/>
        <v>10.282608695652174</v>
      </c>
      <c r="I23" s="985">
        <f t="shared" si="0"/>
        <v>8.6923076923076916</v>
      </c>
      <c r="J23" s="985">
        <f t="shared" si="0"/>
        <v>8.1951219512195124</v>
      </c>
      <c r="K23" s="985">
        <f t="shared" si="0"/>
        <v>7.8918918918918921</v>
      </c>
      <c r="L23" s="985">
        <f t="shared" si="0"/>
        <v>10.684931506849315</v>
      </c>
      <c r="N23" s="987">
        <v>84300</v>
      </c>
      <c r="O23" s="987">
        <v>62100</v>
      </c>
      <c r="P23" s="987">
        <v>62800</v>
      </c>
      <c r="Q23" s="987">
        <v>67200</v>
      </c>
      <c r="R23" s="987">
        <v>64800</v>
      </c>
      <c r="S23" s="987">
        <v>74900</v>
      </c>
      <c r="T23" s="987">
        <v>95500</v>
      </c>
      <c r="U23" s="987">
        <v>68700</v>
      </c>
      <c r="V23" s="987">
        <v>66700</v>
      </c>
      <c r="W23" s="987">
        <v>90000</v>
      </c>
      <c r="X23" s="987">
        <v>80400</v>
      </c>
      <c r="Z23" s="988">
        <v>7300</v>
      </c>
      <c r="AA23" s="988">
        <v>3200</v>
      </c>
      <c r="AB23" s="988">
        <v>6000</v>
      </c>
      <c r="AC23" s="988">
        <v>5300</v>
      </c>
      <c r="AD23" s="988">
        <v>5300</v>
      </c>
      <c r="AE23" s="988">
        <v>6000</v>
      </c>
      <c r="AF23" s="988">
        <v>8500</v>
      </c>
      <c r="AG23" s="988">
        <v>7700</v>
      </c>
      <c r="AH23" s="988">
        <v>7500</v>
      </c>
      <c r="AI23" s="988">
        <v>10800</v>
      </c>
      <c r="AJ23" s="988">
        <v>6600</v>
      </c>
      <c r="AK23" s="988"/>
      <c r="AM23" s="986">
        <v>1999</v>
      </c>
      <c r="AN23" s="986">
        <v>83500</v>
      </c>
      <c r="AO23" s="986">
        <v>62200</v>
      </c>
      <c r="AP23" s="986">
        <v>62300</v>
      </c>
      <c r="AQ23" s="986">
        <v>66400</v>
      </c>
      <c r="AR23" s="986">
        <v>64900</v>
      </c>
      <c r="AS23" s="986">
        <v>74900</v>
      </c>
      <c r="AT23" s="986">
        <v>94600</v>
      </c>
      <c r="AU23" s="986">
        <v>67800</v>
      </c>
      <c r="AV23" s="986">
        <v>67200</v>
      </c>
      <c r="AW23" s="986">
        <v>87600</v>
      </c>
      <c r="AX23" s="986">
        <v>78000</v>
      </c>
      <c r="AY23" s="986">
        <v>1999</v>
      </c>
      <c r="AZ23" s="986">
        <v>7900</v>
      </c>
      <c r="BA23" s="986">
        <v>3100</v>
      </c>
      <c r="BB23" s="986">
        <v>6800</v>
      </c>
      <c r="BC23" s="986">
        <v>6300</v>
      </c>
      <c r="BD23" s="986">
        <v>6000</v>
      </c>
      <c r="BE23" s="986">
        <v>6600</v>
      </c>
      <c r="BF23" s="986">
        <v>9200</v>
      </c>
      <c r="BG23" s="986">
        <v>7800</v>
      </c>
      <c r="BH23" s="986">
        <v>8200</v>
      </c>
      <c r="BI23" s="986">
        <v>11100</v>
      </c>
      <c r="BJ23" s="986">
        <v>7300</v>
      </c>
    </row>
    <row r="24" spans="1:62" s="986" customFormat="1">
      <c r="A24" s="984">
        <v>2000</v>
      </c>
      <c r="B24" s="985">
        <f t="shared" si="0"/>
        <v>10.36046511627907</v>
      </c>
      <c r="C24" s="985">
        <f t="shared" si="0"/>
        <v>18.111111111111111</v>
      </c>
      <c r="D24" s="985">
        <f t="shared" si="0"/>
        <v>8.8108108108108105</v>
      </c>
      <c r="E24" s="985">
        <f t="shared" si="0"/>
        <v>9.9718309859154921</v>
      </c>
      <c r="F24" s="985">
        <f t="shared" si="0"/>
        <v>9.6527777777777786</v>
      </c>
      <c r="G24" s="985">
        <f t="shared" si="0"/>
        <v>11.285714285714286</v>
      </c>
      <c r="H24" s="985">
        <f t="shared" si="0"/>
        <v>9.6886792452830193</v>
      </c>
      <c r="I24" s="985">
        <f t="shared" si="0"/>
        <v>8.9480519480519476</v>
      </c>
      <c r="J24" s="985">
        <f t="shared" si="0"/>
        <v>9.1558441558441555</v>
      </c>
      <c r="K24" s="985">
        <f t="shared" si="0"/>
        <v>8.4144144144144146</v>
      </c>
      <c r="L24" s="985">
        <f t="shared" si="0"/>
        <v>9.5119047619047628</v>
      </c>
      <c r="N24" s="987">
        <v>88400</v>
      </c>
      <c r="O24" s="987">
        <v>65100</v>
      </c>
      <c r="P24" s="987">
        <v>66700</v>
      </c>
      <c r="Q24" s="987">
        <v>72100</v>
      </c>
      <c r="R24" s="987">
        <v>69800</v>
      </c>
      <c r="S24" s="987">
        <v>79200</v>
      </c>
      <c r="T24" s="987">
        <v>101300</v>
      </c>
      <c r="U24" s="987">
        <v>70500</v>
      </c>
      <c r="V24" s="987">
        <v>70000</v>
      </c>
      <c r="W24" s="987">
        <v>94500</v>
      </c>
      <c r="X24" s="987">
        <v>80100</v>
      </c>
      <c r="Z24" s="988">
        <v>8100</v>
      </c>
      <c r="AA24" s="988">
        <v>3500</v>
      </c>
      <c r="AB24" s="988">
        <v>6800</v>
      </c>
      <c r="AC24" s="988">
        <v>6500</v>
      </c>
      <c r="AD24" s="988">
        <v>6400</v>
      </c>
      <c r="AE24" s="988">
        <v>6500</v>
      </c>
      <c r="AF24" s="988">
        <v>9900</v>
      </c>
      <c r="AG24" s="988">
        <v>7500</v>
      </c>
      <c r="AH24" s="988">
        <v>6900</v>
      </c>
      <c r="AI24" s="988">
        <v>10700</v>
      </c>
      <c r="AJ24" s="988">
        <v>8100</v>
      </c>
      <c r="AK24" s="988"/>
      <c r="AM24" s="986">
        <v>2000</v>
      </c>
      <c r="AN24" s="986">
        <v>89100</v>
      </c>
      <c r="AO24" s="986">
        <v>65200</v>
      </c>
      <c r="AP24" s="986">
        <v>65200</v>
      </c>
      <c r="AQ24" s="986">
        <v>70800</v>
      </c>
      <c r="AR24" s="986">
        <v>69500</v>
      </c>
      <c r="AS24" s="986">
        <v>79000</v>
      </c>
      <c r="AT24" s="986">
        <v>102700</v>
      </c>
      <c r="AU24" s="986">
        <v>68900</v>
      </c>
      <c r="AV24" s="986">
        <v>70500</v>
      </c>
      <c r="AW24" s="986">
        <v>93400</v>
      </c>
      <c r="AX24" s="986">
        <v>79900</v>
      </c>
      <c r="AY24" s="986">
        <v>2000</v>
      </c>
      <c r="AZ24" s="986">
        <v>8600</v>
      </c>
      <c r="BA24" s="986">
        <v>3600</v>
      </c>
      <c r="BB24" s="986">
        <v>7400</v>
      </c>
      <c r="BC24" s="986">
        <v>7100</v>
      </c>
      <c r="BD24" s="986">
        <v>7200</v>
      </c>
      <c r="BE24" s="986">
        <v>7000</v>
      </c>
      <c r="BF24" s="986">
        <v>10600</v>
      </c>
      <c r="BG24" s="986">
        <v>7700</v>
      </c>
      <c r="BH24" s="986">
        <v>7700</v>
      </c>
      <c r="BI24" s="986">
        <v>11100</v>
      </c>
      <c r="BJ24" s="986">
        <v>8400</v>
      </c>
    </row>
    <row r="25" spans="1:62" s="986" customFormat="1">
      <c r="A25" s="984">
        <v>2001</v>
      </c>
      <c r="B25" s="985">
        <f t="shared" si="0"/>
        <v>10.785714285714286</v>
      </c>
      <c r="C25" s="985">
        <f t="shared" si="0"/>
        <v>16.631578947368421</v>
      </c>
      <c r="D25" s="985">
        <f t="shared" si="0"/>
        <v>9.1159420289855078</v>
      </c>
      <c r="E25" s="985">
        <f t="shared" si="0"/>
        <v>10.681159420289855</v>
      </c>
      <c r="F25" s="985">
        <f t="shared" si="0"/>
        <v>10.515151515151516</v>
      </c>
      <c r="G25" s="985">
        <f t="shared" si="0"/>
        <v>11.450704225352112</v>
      </c>
      <c r="H25" s="985">
        <f t="shared" si="0"/>
        <v>10</v>
      </c>
      <c r="I25" s="985">
        <f t="shared" si="0"/>
        <v>8.6547619047619051</v>
      </c>
      <c r="J25" s="985">
        <f t="shared" si="0"/>
        <v>9.9866666666666664</v>
      </c>
      <c r="K25" s="985">
        <f t="shared" si="0"/>
        <v>8.8090909090909086</v>
      </c>
      <c r="L25" s="985">
        <f t="shared" si="0"/>
        <v>11.418918918918919</v>
      </c>
      <c r="N25" s="987">
        <v>91000</v>
      </c>
      <c r="O25" s="987">
        <v>62700</v>
      </c>
      <c r="P25" s="987">
        <v>66100</v>
      </c>
      <c r="Q25" s="987">
        <v>76900</v>
      </c>
      <c r="R25" s="987">
        <v>69300</v>
      </c>
      <c r="S25" s="987">
        <v>82500</v>
      </c>
      <c r="T25" s="987">
        <v>102400</v>
      </c>
      <c r="U25" s="987">
        <v>75100</v>
      </c>
      <c r="V25" s="987">
        <v>75200</v>
      </c>
      <c r="W25" s="987">
        <v>98900</v>
      </c>
      <c r="X25" s="987">
        <v>83700</v>
      </c>
      <c r="Z25" s="988">
        <v>7800</v>
      </c>
      <c r="AA25" s="988">
        <v>3600</v>
      </c>
      <c r="AB25" s="988">
        <v>6100</v>
      </c>
      <c r="AC25" s="988">
        <v>6300</v>
      </c>
      <c r="AD25" s="988">
        <v>5600</v>
      </c>
      <c r="AE25" s="988">
        <v>6700</v>
      </c>
      <c r="AF25" s="988">
        <v>9500</v>
      </c>
      <c r="AG25" s="988">
        <v>8200</v>
      </c>
      <c r="AH25" s="988">
        <v>7100</v>
      </c>
      <c r="AI25" s="988">
        <v>10500</v>
      </c>
      <c r="AJ25" s="988">
        <v>6500</v>
      </c>
      <c r="AK25" s="988"/>
      <c r="AM25" s="986">
        <v>2001</v>
      </c>
      <c r="AN25" s="986">
        <v>90600</v>
      </c>
      <c r="AO25" s="986">
        <v>63200</v>
      </c>
      <c r="AP25" s="986">
        <v>62900</v>
      </c>
      <c r="AQ25" s="986">
        <v>73700</v>
      </c>
      <c r="AR25" s="986">
        <v>69400</v>
      </c>
      <c r="AS25" s="986">
        <v>81300</v>
      </c>
      <c r="AT25" s="986">
        <v>102000</v>
      </c>
      <c r="AU25" s="986">
        <v>72700</v>
      </c>
      <c r="AV25" s="986">
        <v>74900</v>
      </c>
      <c r="AW25" s="986">
        <v>96900</v>
      </c>
      <c r="AX25" s="986">
        <v>84500</v>
      </c>
      <c r="AY25" s="986">
        <v>2001</v>
      </c>
      <c r="AZ25" s="986">
        <v>8400</v>
      </c>
      <c r="BA25" s="986">
        <v>3800</v>
      </c>
      <c r="BB25" s="986">
        <v>6900</v>
      </c>
      <c r="BC25" s="986">
        <v>6900</v>
      </c>
      <c r="BD25" s="986">
        <v>6600</v>
      </c>
      <c r="BE25" s="986">
        <v>7100</v>
      </c>
      <c r="BF25" s="986">
        <v>10200</v>
      </c>
      <c r="BG25" s="986">
        <v>8400</v>
      </c>
      <c r="BH25" s="986">
        <v>7500</v>
      </c>
      <c r="BI25" s="986">
        <v>11000</v>
      </c>
      <c r="BJ25" s="986">
        <v>7400</v>
      </c>
    </row>
    <row r="26" spans="1:62" s="986" customFormat="1">
      <c r="A26" s="984">
        <v>2002</v>
      </c>
      <c r="B26" s="985">
        <f t="shared" si="0"/>
        <v>10.68235294117647</v>
      </c>
      <c r="C26" s="985">
        <f t="shared" si="0"/>
        <v>16.274999999999999</v>
      </c>
      <c r="D26" s="985">
        <f t="shared" si="0"/>
        <v>9.5428571428571427</v>
      </c>
      <c r="E26" s="985">
        <f t="shared" si="0"/>
        <v>11.014285714285714</v>
      </c>
      <c r="F26" s="985">
        <f t="shared" si="0"/>
        <v>11.459016393442623</v>
      </c>
      <c r="G26" s="985">
        <f t="shared" si="0"/>
        <v>10.531645569620252</v>
      </c>
      <c r="H26" s="985">
        <f t="shared" si="0"/>
        <v>10.01</v>
      </c>
      <c r="I26" s="985">
        <f t="shared" si="0"/>
        <v>9.3975903614457827</v>
      </c>
      <c r="J26" s="985">
        <f t="shared" si="0"/>
        <v>10.542857142857143</v>
      </c>
      <c r="K26" s="985">
        <f t="shared" si="0"/>
        <v>7.8879310344827589</v>
      </c>
      <c r="L26" s="985">
        <f t="shared" si="0"/>
        <v>13.159420289855072</v>
      </c>
      <c r="N26" s="987">
        <v>91500</v>
      </c>
      <c r="O26" s="987">
        <v>64700</v>
      </c>
      <c r="P26" s="987">
        <v>67000</v>
      </c>
      <c r="Q26" s="987">
        <v>78300</v>
      </c>
      <c r="R26" s="987">
        <v>70700</v>
      </c>
      <c r="S26" s="987">
        <v>83000</v>
      </c>
      <c r="T26" s="987">
        <v>100800</v>
      </c>
      <c r="U26" s="987">
        <v>77900</v>
      </c>
      <c r="V26" s="987">
        <v>73900</v>
      </c>
      <c r="W26" s="987">
        <v>94600</v>
      </c>
      <c r="X26" s="987">
        <v>92800</v>
      </c>
      <c r="Z26" s="988">
        <v>7900</v>
      </c>
      <c r="AA26" s="988">
        <v>4000</v>
      </c>
      <c r="AB26" s="988">
        <v>6300</v>
      </c>
      <c r="AC26" s="988">
        <v>6600</v>
      </c>
      <c r="AD26" s="988">
        <v>5200</v>
      </c>
      <c r="AE26" s="988">
        <v>7200</v>
      </c>
      <c r="AF26" s="988">
        <v>9200</v>
      </c>
      <c r="AG26" s="988">
        <v>8400</v>
      </c>
      <c r="AH26" s="988">
        <v>7100</v>
      </c>
      <c r="AI26" s="988">
        <v>10800</v>
      </c>
      <c r="AJ26" s="988">
        <v>6800</v>
      </c>
      <c r="AK26" s="988"/>
      <c r="AM26" s="986">
        <v>2002</v>
      </c>
      <c r="AN26" s="986">
        <v>90800</v>
      </c>
      <c r="AO26" s="986">
        <v>65100</v>
      </c>
      <c r="AP26" s="986">
        <v>66800</v>
      </c>
      <c r="AQ26" s="986">
        <v>77100</v>
      </c>
      <c r="AR26" s="986">
        <v>69900</v>
      </c>
      <c r="AS26" s="986">
        <v>83200</v>
      </c>
      <c r="AT26" s="986">
        <v>100100</v>
      </c>
      <c r="AU26" s="986">
        <v>78000</v>
      </c>
      <c r="AV26" s="986">
        <v>73800</v>
      </c>
      <c r="AW26" s="986">
        <v>91500</v>
      </c>
      <c r="AX26" s="986">
        <v>90800</v>
      </c>
      <c r="AY26" s="986">
        <v>2002</v>
      </c>
      <c r="AZ26" s="986">
        <v>8500</v>
      </c>
      <c r="BA26" s="986">
        <v>4000</v>
      </c>
      <c r="BB26" s="986">
        <v>7000</v>
      </c>
      <c r="BC26" s="986">
        <v>7000</v>
      </c>
      <c r="BD26" s="986">
        <v>6100</v>
      </c>
      <c r="BE26" s="986">
        <v>7900</v>
      </c>
      <c r="BF26" s="986">
        <v>10000</v>
      </c>
      <c r="BG26" s="986">
        <v>8300</v>
      </c>
      <c r="BH26" s="986">
        <v>7000</v>
      </c>
      <c r="BI26" s="986">
        <v>11600</v>
      </c>
      <c r="BJ26" s="986">
        <v>6900</v>
      </c>
    </row>
    <row r="27" spans="1:62" s="986" customFormat="1">
      <c r="A27" s="984">
        <v>2003</v>
      </c>
      <c r="B27" s="985">
        <f t="shared" si="0"/>
        <v>10.383720930232558</v>
      </c>
      <c r="C27" s="985">
        <f t="shared" si="0"/>
        <v>17.210526315789473</v>
      </c>
      <c r="D27" s="985">
        <f t="shared" si="0"/>
        <v>8.7534246575342465</v>
      </c>
      <c r="E27" s="985">
        <f t="shared" si="0"/>
        <v>9.9714285714285715</v>
      </c>
      <c r="F27" s="985">
        <f t="shared" si="0"/>
        <v>12.033333333333333</v>
      </c>
      <c r="G27" s="985">
        <f t="shared" si="0"/>
        <v>9.6506024096385534</v>
      </c>
      <c r="H27" s="985">
        <f t="shared" si="0"/>
        <v>10.020202020202021</v>
      </c>
      <c r="I27" s="985">
        <f t="shared" si="0"/>
        <v>9.5555555555555554</v>
      </c>
      <c r="J27" s="985">
        <f t="shared" si="0"/>
        <v>9.8311688311688314</v>
      </c>
      <c r="K27" s="985">
        <f t="shared" si="0"/>
        <v>8.4</v>
      </c>
      <c r="L27" s="985">
        <f t="shared" si="0"/>
        <v>11.378378378378379</v>
      </c>
      <c r="N27" s="987">
        <v>89400</v>
      </c>
      <c r="O27" s="987">
        <v>64500</v>
      </c>
      <c r="P27" s="987">
        <v>66500</v>
      </c>
      <c r="Q27" s="987">
        <v>69800</v>
      </c>
      <c r="R27" s="987">
        <v>72200</v>
      </c>
      <c r="S27" s="987">
        <v>80100</v>
      </c>
      <c r="T27" s="987">
        <v>98800</v>
      </c>
      <c r="U27" s="987">
        <v>77800</v>
      </c>
      <c r="V27" s="987">
        <v>74900</v>
      </c>
      <c r="W27" s="987">
        <v>100300</v>
      </c>
      <c r="X27" s="987">
        <v>84800</v>
      </c>
      <c r="Z27" s="988">
        <v>8000</v>
      </c>
      <c r="AA27" s="988">
        <v>3500</v>
      </c>
      <c r="AB27" s="988">
        <v>6600</v>
      </c>
      <c r="AC27" s="988">
        <v>6500</v>
      </c>
      <c r="AD27" s="988">
        <v>5100</v>
      </c>
      <c r="AE27" s="988">
        <v>7400</v>
      </c>
      <c r="AF27" s="988">
        <v>9200</v>
      </c>
      <c r="AG27" s="988">
        <v>8400</v>
      </c>
      <c r="AH27" s="988">
        <v>7400</v>
      </c>
      <c r="AI27" s="988">
        <v>11000</v>
      </c>
      <c r="AJ27" s="988">
        <v>7500</v>
      </c>
      <c r="AK27" s="988"/>
      <c r="AM27" s="986">
        <v>2003</v>
      </c>
      <c r="AN27" s="986">
        <v>89300</v>
      </c>
      <c r="AO27" s="986">
        <v>65400</v>
      </c>
      <c r="AP27" s="986">
        <v>63900</v>
      </c>
      <c r="AQ27" s="986">
        <v>69800</v>
      </c>
      <c r="AR27" s="986">
        <v>72200</v>
      </c>
      <c r="AS27" s="986">
        <v>80100</v>
      </c>
      <c r="AT27" s="986">
        <v>99200</v>
      </c>
      <c r="AU27" s="986">
        <v>77400</v>
      </c>
      <c r="AV27" s="986">
        <v>75700</v>
      </c>
      <c r="AW27" s="986">
        <v>96600</v>
      </c>
      <c r="AX27" s="986">
        <v>84200</v>
      </c>
      <c r="AY27" s="986">
        <v>2003</v>
      </c>
      <c r="AZ27" s="986">
        <v>8600</v>
      </c>
      <c r="BA27" s="986">
        <v>3800</v>
      </c>
      <c r="BB27" s="986">
        <v>7300</v>
      </c>
      <c r="BC27" s="986">
        <v>7000</v>
      </c>
      <c r="BD27" s="986">
        <v>6000</v>
      </c>
      <c r="BE27" s="986">
        <v>8300</v>
      </c>
      <c r="BF27" s="986">
        <v>9900</v>
      </c>
      <c r="BG27" s="986">
        <v>8100</v>
      </c>
      <c r="BH27" s="986">
        <v>7700</v>
      </c>
      <c r="BI27" s="986">
        <v>11500</v>
      </c>
      <c r="BJ27" s="986">
        <v>7400</v>
      </c>
    </row>
    <row r="28" spans="1:62" s="986" customFormat="1">
      <c r="A28" s="984">
        <v>2004</v>
      </c>
      <c r="B28" s="985">
        <f t="shared" si="0"/>
        <v>10.579545454545455</v>
      </c>
      <c r="C28" s="985">
        <f t="shared" si="0"/>
        <v>18.388888888888889</v>
      </c>
      <c r="D28" s="985">
        <f t="shared" si="0"/>
        <v>9.28169014084507</v>
      </c>
      <c r="E28" s="985">
        <f t="shared" ref="E28:L31" si="1">AQ28/BC28</f>
        <v>8.8395061728395063</v>
      </c>
      <c r="F28" s="985">
        <f t="shared" si="1"/>
        <v>10.623188405797102</v>
      </c>
      <c r="G28" s="985">
        <f t="shared" si="1"/>
        <v>9.6590909090909083</v>
      </c>
      <c r="H28" s="985">
        <f t="shared" si="1"/>
        <v>11.021276595744681</v>
      </c>
      <c r="I28" s="985">
        <f t="shared" si="1"/>
        <v>8.9662921348314608</v>
      </c>
      <c r="J28" s="985">
        <f t="shared" si="1"/>
        <v>10.283783783783784</v>
      </c>
      <c r="K28" s="985">
        <f t="shared" si="1"/>
        <v>8.5739130434782602</v>
      </c>
      <c r="L28" s="985">
        <f t="shared" si="1"/>
        <v>11.139240506329115</v>
      </c>
      <c r="N28" s="987">
        <v>92100</v>
      </c>
      <c r="O28" s="987">
        <v>65400</v>
      </c>
      <c r="P28" s="987">
        <v>67200</v>
      </c>
      <c r="Q28" s="987">
        <v>71800</v>
      </c>
      <c r="R28" s="987">
        <v>72400</v>
      </c>
      <c r="S28" s="987">
        <v>84400</v>
      </c>
      <c r="T28" s="987">
        <v>100800</v>
      </c>
      <c r="U28" s="987">
        <v>79900</v>
      </c>
      <c r="V28" s="987">
        <v>75400</v>
      </c>
      <c r="W28" s="987">
        <v>102700</v>
      </c>
      <c r="X28" s="987">
        <v>88900</v>
      </c>
      <c r="Z28" s="988">
        <v>8200</v>
      </c>
      <c r="AA28" s="988">
        <v>3500</v>
      </c>
      <c r="AB28" s="988">
        <v>6500</v>
      </c>
      <c r="AC28" s="988">
        <v>7400</v>
      </c>
      <c r="AD28" s="988">
        <v>5900</v>
      </c>
      <c r="AE28" s="988">
        <v>7900</v>
      </c>
      <c r="AF28" s="988">
        <v>8700</v>
      </c>
      <c r="AG28" s="988">
        <v>9000</v>
      </c>
      <c r="AH28" s="988">
        <v>7200</v>
      </c>
      <c r="AI28" s="988">
        <v>11200</v>
      </c>
      <c r="AJ28" s="988">
        <v>8000</v>
      </c>
      <c r="AK28" s="988"/>
      <c r="AM28" s="986">
        <v>2004</v>
      </c>
      <c r="AN28" s="986">
        <v>93100</v>
      </c>
      <c r="AO28" s="986">
        <v>66200</v>
      </c>
      <c r="AP28" s="986">
        <v>65900</v>
      </c>
      <c r="AQ28" s="986">
        <v>71600</v>
      </c>
      <c r="AR28" s="986">
        <v>73300</v>
      </c>
      <c r="AS28" s="986">
        <v>85000</v>
      </c>
      <c r="AT28" s="986">
        <v>103600</v>
      </c>
      <c r="AU28" s="986">
        <v>79800</v>
      </c>
      <c r="AV28" s="986">
        <v>76100</v>
      </c>
      <c r="AW28" s="986">
        <v>98600</v>
      </c>
      <c r="AX28" s="986">
        <v>88000</v>
      </c>
      <c r="AY28" s="986">
        <v>2004</v>
      </c>
      <c r="AZ28" s="986">
        <v>8800</v>
      </c>
      <c r="BA28" s="986">
        <v>3600</v>
      </c>
      <c r="BB28" s="986">
        <v>7100</v>
      </c>
      <c r="BC28" s="986">
        <v>8100</v>
      </c>
      <c r="BD28" s="986">
        <v>6900</v>
      </c>
      <c r="BE28" s="986">
        <v>8800</v>
      </c>
      <c r="BF28" s="986">
        <v>9400</v>
      </c>
      <c r="BG28" s="986">
        <v>8900</v>
      </c>
      <c r="BH28" s="986">
        <v>7400</v>
      </c>
      <c r="BI28" s="986">
        <v>11500</v>
      </c>
      <c r="BJ28" s="986">
        <v>7900</v>
      </c>
    </row>
    <row r="29" spans="1:62" s="986" customFormat="1">
      <c r="A29" s="984">
        <v>2005</v>
      </c>
      <c r="B29" s="985">
        <f t="shared" ref="B29:D31" si="2">AN29/AZ29</f>
        <v>10.097826086956522</v>
      </c>
      <c r="C29" s="985">
        <f t="shared" si="2"/>
        <v>15.347826086956522</v>
      </c>
      <c r="D29" s="985">
        <f t="shared" si="2"/>
        <v>7.5454545454545459</v>
      </c>
      <c r="E29" s="985">
        <f t="shared" si="1"/>
        <v>8.5730337078651679</v>
      </c>
      <c r="F29" s="985">
        <f t="shared" si="1"/>
        <v>10.567164179104477</v>
      </c>
      <c r="G29" s="985">
        <f t="shared" si="1"/>
        <v>10.615384615384615</v>
      </c>
      <c r="H29" s="985">
        <f t="shared" si="1"/>
        <v>10.222222222222221</v>
      </c>
      <c r="I29" s="985">
        <f t="shared" si="1"/>
        <v>8.9444444444444446</v>
      </c>
      <c r="J29" s="985">
        <f t="shared" si="1"/>
        <v>11.971428571428572</v>
      </c>
      <c r="K29" s="985">
        <f t="shared" si="1"/>
        <v>7.5746268656716422</v>
      </c>
      <c r="L29" s="985">
        <f t="shared" si="1"/>
        <v>9.4432989690721651</v>
      </c>
      <c r="N29" s="987">
        <v>92800</v>
      </c>
      <c r="O29" s="987">
        <v>70300</v>
      </c>
      <c r="P29" s="987">
        <v>65900</v>
      </c>
      <c r="Q29" s="987">
        <v>76200</v>
      </c>
      <c r="R29" s="987">
        <v>69800</v>
      </c>
      <c r="S29" s="987">
        <v>82500</v>
      </c>
      <c r="T29" s="987">
        <v>100100</v>
      </c>
      <c r="U29" s="987">
        <v>80000</v>
      </c>
      <c r="V29" s="987">
        <v>84100</v>
      </c>
      <c r="W29" s="987">
        <v>104300</v>
      </c>
      <c r="X29" s="987">
        <v>93700</v>
      </c>
      <c r="Z29" s="988">
        <v>8400</v>
      </c>
      <c r="AA29" s="988">
        <v>4200</v>
      </c>
      <c r="AB29" s="988">
        <v>8100</v>
      </c>
      <c r="AC29" s="988">
        <v>8400</v>
      </c>
      <c r="AD29" s="988">
        <v>6000</v>
      </c>
      <c r="AE29" s="988">
        <v>7200</v>
      </c>
      <c r="AF29" s="988">
        <v>9000</v>
      </c>
      <c r="AG29" s="988">
        <v>8800</v>
      </c>
      <c r="AH29" s="988">
        <v>6600</v>
      </c>
      <c r="AI29" s="988">
        <v>12700</v>
      </c>
      <c r="AJ29" s="988">
        <v>9400</v>
      </c>
      <c r="AK29" s="988"/>
      <c r="AM29" s="986">
        <v>2005</v>
      </c>
      <c r="AN29" s="986">
        <v>92900</v>
      </c>
      <c r="AO29" s="986">
        <v>70600</v>
      </c>
      <c r="AP29" s="986">
        <v>66400</v>
      </c>
      <c r="AQ29" s="986">
        <v>76300</v>
      </c>
      <c r="AR29" s="986">
        <v>70800</v>
      </c>
      <c r="AS29" s="986">
        <v>82800</v>
      </c>
      <c r="AT29" s="986">
        <v>101200</v>
      </c>
      <c r="AU29" s="986">
        <v>80500</v>
      </c>
      <c r="AV29" s="986">
        <v>83800</v>
      </c>
      <c r="AW29" s="986">
        <v>101500</v>
      </c>
      <c r="AX29" s="986">
        <v>91600</v>
      </c>
      <c r="AY29" s="986">
        <v>2005</v>
      </c>
      <c r="AZ29" s="986">
        <v>9200</v>
      </c>
      <c r="BA29" s="986">
        <v>4600</v>
      </c>
      <c r="BB29" s="986">
        <v>8800</v>
      </c>
      <c r="BC29" s="986">
        <v>8900</v>
      </c>
      <c r="BD29" s="986">
        <v>6700</v>
      </c>
      <c r="BE29" s="986">
        <v>7800</v>
      </c>
      <c r="BF29" s="986">
        <v>9900</v>
      </c>
      <c r="BG29" s="986">
        <v>9000</v>
      </c>
      <c r="BH29" s="986">
        <v>7000</v>
      </c>
      <c r="BI29" s="986">
        <v>13400</v>
      </c>
      <c r="BJ29" s="986">
        <v>9700</v>
      </c>
    </row>
    <row r="30" spans="1:62" s="986" customFormat="1">
      <c r="A30" s="984">
        <v>2006</v>
      </c>
      <c r="B30" s="985">
        <f t="shared" si="2"/>
        <v>9.8958333333333339</v>
      </c>
      <c r="C30" s="985">
        <f t="shared" si="2"/>
        <v>15.26530612244898</v>
      </c>
      <c r="D30" s="985">
        <f t="shared" si="2"/>
        <v>7.3723404255319149</v>
      </c>
      <c r="E30" s="985">
        <f t="shared" si="1"/>
        <v>8.34375</v>
      </c>
      <c r="F30" s="985">
        <f t="shared" si="1"/>
        <v>11.338461538461539</v>
      </c>
      <c r="G30" s="985">
        <f t="shared" si="1"/>
        <v>10.168674698795181</v>
      </c>
      <c r="H30" s="985">
        <f t="shared" si="1"/>
        <v>9.7307692307692299</v>
      </c>
      <c r="I30" s="985">
        <f t="shared" si="1"/>
        <v>8.8947368421052637</v>
      </c>
      <c r="J30" s="985">
        <f t="shared" si="1"/>
        <v>12.295774647887324</v>
      </c>
      <c r="K30" s="985">
        <f t="shared" si="1"/>
        <v>8.1897810218978098</v>
      </c>
      <c r="L30" s="985">
        <f t="shared" si="1"/>
        <v>9.4329896907216497</v>
      </c>
      <c r="N30" s="987">
        <v>94900</v>
      </c>
      <c r="O30" s="987">
        <v>73200</v>
      </c>
      <c r="P30" s="987">
        <v>68000</v>
      </c>
      <c r="Q30" s="987">
        <v>77600</v>
      </c>
      <c r="R30" s="987">
        <v>73100</v>
      </c>
      <c r="S30" s="987">
        <v>84100</v>
      </c>
      <c r="T30" s="987">
        <v>100500</v>
      </c>
      <c r="U30" s="987">
        <v>86100</v>
      </c>
      <c r="V30" s="987">
        <v>87900</v>
      </c>
      <c r="W30" s="987">
        <v>113200</v>
      </c>
      <c r="X30" s="987">
        <v>94700</v>
      </c>
      <c r="Z30" s="988">
        <v>9000</v>
      </c>
      <c r="AA30" s="988">
        <v>4400</v>
      </c>
      <c r="AB30" s="988">
        <v>8800</v>
      </c>
      <c r="AC30" s="988">
        <v>8800</v>
      </c>
      <c r="AD30" s="988">
        <v>6200</v>
      </c>
      <c r="AE30" s="988">
        <v>7800</v>
      </c>
      <c r="AF30" s="988">
        <v>9600</v>
      </c>
      <c r="AG30" s="988">
        <v>9600</v>
      </c>
      <c r="AH30" s="988">
        <v>7100</v>
      </c>
      <c r="AI30" s="988">
        <v>13200</v>
      </c>
      <c r="AJ30" s="988">
        <v>9800</v>
      </c>
      <c r="AK30" s="988"/>
      <c r="AM30" s="986">
        <v>2006</v>
      </c>
      <c r="AN30" s="986">
        <v>95000</v>
      </c>
      <c r="AO30" s="986">
        <v>74800</v>
      </c>
      <c r="AP30" s="986">
        <v>69300</v>
      </c>
      <c r="AQ30" s="986">
        <v>80100</v>
      </c>
      <c r="AR30" s="986">
        <v>73700</v>
      </c>
      <c r="AS30" s="986">
        <v>84400</v>
      </c>
      <c r="AT30" s="986">
        <v>101200</v>
      </c>
      <c r="AU30" s="986">
        <v>84500</v>
      </c>
      <c r="AV30" s="986">
        <v>87300</v>
      </c>
      <c r="AW30" s="986">
        <v>112200</v>
      </c>
      <c r="AX30" s="986">
        <v>91500</v>
      </c>
      <c r="AY30" s="986">
        <v>2006</v>
      </c>
      <c r="AZ30" s="986">
        <v>9600</v>
      </c>
      <c r="BA30" s="986">
        <v>4900</v>
      </c>
      <c r="BB30" s="986">
        <v>9400</v>
      </c>
      <c r="BC30" s="986">
        <v>9600</v>
      </c>
      <c r="BD30" s="986">
        <v>6500</v>
      </c>
      <c r="BE30" s="986">
        <v>8300</v>
      </c>
      <c r="BF30" s="986">
        <v>10400</v>
      </c>
      <c r="BG30" s="986">
        <v>9500</v>
      </c>
      <c r="BH30" s="986">
        <v>7100</v>
      </c>
      <c r="BI30" s="986">
        <v>13700</v>
      </c>
      <c r="BJ30" s="986">
        <v>9700</v>
      </c>
    </row>
    <row r="31" spans="1:62" s="986" customFormat="1">
      <c r="A31" s="984">
        <v>2007</v>
      </c>
      <c r="B31" s="985">
        <f t="shared" si="2"/>
        <v>9.85</v>
      </c>
      <c r="C31" s="985">
        <f t="shared" si="2"/>
        <v>14.851851851851851</v>
      </c>
      <c r="D31" s="985">
        <f t="shared" si="2"/>
        <v>6.6764705882352944</v>
      </c>
      <c r="E31" s="985">
        <f t="shared" si="1"/>
        <v>9.2613636363636367</v>
      </c>
      <c r="F31" s="985">
        <f t="shared" si="1"/>
        <v>11.646153846153846</v>
      </c>
      <c r="G31" s="985">
        <f t="shared" si="1"/>
        <v>10.725</v>
      </c>
      <c r="H31" s="985">
        <f t="shared" si="1"/>
        <v>9.2321428571428577</v>
      </c>
      <c r="I31" s="985">
        <f t="shared" si="1"/>
        <v>9.7659574468085104</v>
      </c>
      <c r="J31" s="985">
        <f t="shared" si="1"/>
        <v>11.154761904761905</v>
      </c>
      <c r="K31" s="985">
        <f t="shared" si="1"/>
        <v>8.5177304964539005</v>
      </c>
      <c r="L31" s="985">
        <f t="shared" si="1"/>
        <v>8.6936936936936942</v>
      </c>
      <c r="N31" s="987"/>
      <c r="O31" s="987"/>
      <c r="P31" s="987"/>
      <c r="Q31" s="987"/>
      <c r="R31" s="987"/>
      <c r="S31" s="987"/>
      <c r="T31" s="987"/>
      <c r="U31" s="987"/>
      <c r="V31" s="987"/>
      <c r="W31" s="987"/>
      <c r="X31" s="987"/>
      <c r="Z31" s="988"/>
      <c r="AA31" s="988"/>
      <c r="AB31" s="988"/>
      <c r="AC31" s="988"/>
      <c r="AD31" s="988"/>
      <c r="AE31" s="988"/>
      <c r="AF31" s="988"/>
      <c r="AG31" s="988"/>
      <c r="AH31" s="988"/>
      <c r="AI31" s="988"/>
      <c r="AJ31" s="988"/>
      <c r="AK31" s="988"/>
      <c r="AM31" s="986">
        <v>2007</v>
      </c>
      <c r="AN31" s="986">
        <v>98500</v>
      </c>
      <c r="AO31" s="986">
        <v>80200</v>
      </c>
      <c r="AP31" s="986">
        <v>68100</v>
      </c>
      <c r="AQ31" s="986">
        <v>81500</v>
      </c>
      <c r="AR31" s="986">
        <v>75700</v>
      </c>
      <c r="AS31" s="986">
        <v>85800</v>
      </c>
      <c r="AT31" s="986">
        <v>103400</v>
      </c>
      <c r="AU31" s="986">
        <v>91800</v>
      </c>
      <c r="AV31" s="986">
        <v>93700</v>
      </c>
      <c r="AW31" s="986">
        <v>120100</v>
      </c>
      <c r="AX31" s="986">
        <v>96500</v>
      </c>
      <c r="AY31" s="986">
        <v>2007</v>
      </c>
      <c r="AZ31" s="986">
        <v>10000</v>
      </c>
      <c r="BA31" s="986">
        <v>5400</v>
      </c>
      <c r="BB31" s="986">
        <v>10200</v>
      </c>
      <c r="BC31" s="986">
        <v>8800</v>
      </c>
      <c r="BD31" s="986">
        <v>6500</v>
      </c>
      <c r="BE31" s="986">
        <v>8000</v>
      </c>
      <c r="BF31" s="986">
        <v>11200</v>
      </c>
      <c r="BG31" s="986">
        <v>9400</v>
      </c>
      <c r="BH31" s="986">
        <v>8400</v>
      </c>
      <c r="BI31" s="986">
        <v>14100</v>
      </c>
      <c r="BJ31" s="986">
        <v>11100</v>
      </c>
    </row>
    <row r="32" spans="1:62" s="991" customFormat="1">
      <c r="A32" s="1009"/>
      <c r="D32" s="985" t="s">
        <v>655</v>
      </c>
    </row>
    <row r="33" spans="1:37" s="991" customFormat="1">
      <c r="A33" s="1009" t="s">
        <v>603</v>
      </c>
      <c r="B33" s="992">
        <f>B13-B5</f>
        <v>0.28744686171542977</v>
      </c>
      <c r="C33" s="992">
        <f t="shared" ref="C33:L33" si="3">C13-C5</f>
        <v>-0.37814313346228268</v>
      </c>
      <c r="D33" s="992">
        <f t="shared" si="3"/>
        <v>-0.33920187793427292</v>
      </c>
      <c r="E33" s="992">
        <f t="shared" si="3"/>
        <v>0.82678571428571423</v>
      </c>
      <c r="F33" s="992">
        <f t="shared" si="3"/>
        <v>-1.7488664108824565</v>
      </c>
      <c r="G33" s="992">
        <f t="shared" si="3"/>
        <v>0.37733887733887883</v>
      </c>
      <c r="H33" s="992">
        <f t="shared" si="3"/>
        <v>0.732756756756757</v>
      </c>
      <c r="I33" s="992">
        <f t="shared" si="3"/>
        <v>-0.3865190491696513</v>
      </c>
      <c r="J33" s="992">
        <f t="shared" si="3"/>
        <v>-1.1902691511387165</v>
      </c>
      <c r="K33" s="992">
        <f t="shared" si="3"/>
        <v>2.4323631891781101</v>
      </c>
      <c r="L33" s="992">
        <f t="shared" si="3"/>
        <v>-0.63453159041394347</v>
      </c>
    </row>
    <row r="34" spans="1:37" s="991" customFormat="1">
      <c r="A34" s="1009" t="s">
        <v>604</v>
      </c>
      <c r="B34" s="992">
        <f>B24-B13</f>
        <v>2.1776694173543376</v>
      </c>
      <c r="C34" s="992">
        <f t="shared" ref="C34:L34" si="4">C24-C13</f>
        <v>6.8983451536643017</v>
      </c>
      <c r="D34" s="992">
        <f t="shared" si="4"/>
        <v>1.2333460220784165</v>
      </c>
      <c r="E34" s="992">
        <f t="shared" si="4"/>
        <v>0.95754527162977787</v>
      </c>
      <c r="F34" s="992">
        <f t="shared" si="4"/>
        <v>0.21015482695810661</v>
      </c>
      <c r="G34" s="992">
        <f t="shared" si="4"/>
        <v>2.5164835164835164</v>
      </c>
      <c r="H34" s="992">
        <f t="shared" si="4"/>
        <v>2.7126792452830193</v>
      </c>
      <c r="I34" s="992">
        <f t="shared" si="4"/>
        <v>0.65889532154592345</v>
      </c>
      <c r="J34" s="992">
        <f t="shared" si="4"/>
        <v>2.7272727272727337E-2</v>
      </c>
      <c r="K34" s="992">
        <f t="shared" si="4"/>
        <v>-0.59778070753680446</v>
      </c>
      <c r="L34" s="992">
        <f t="shared" si="4"/>
        <v>2.8915343915343925</v>
      </c>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row>
    <row r="35" spans="1:37" s="991" customFormat="1">
      <c r="A35" s="1009" t="s">
        <v>447</v>
      </c>
      <c r="B35" s="993">
        <f>B31-B5</f>
        <v>1.9546511627906975</v>
      </c>
      <c r="C35" s="993">
        <f t="shared" ref="C35:L35" si="5">C31-C5</f>
        <v>3.2609427609427595</v>
      </c>
      <c r="D35" s="993">
        <f t="shared" si="5"/>
        <v>-1.2401960784313726</v>
      </c>
      <c r="E35" s="993">
        <f t="shared" si="5"/>
        <v>1.0738636363636367</v>
      </c>
      <c r="F35" s="993">
        <f t="shared" si="5"/>
        <v>0.45466448445171714</v>
      </c>
      <c r="G35" s="993">
        <f t="shared" si="5"/>
        <v>2.3331081081081084</v>
      </c>
      <c r="H35" s="993">
        <f t="shared" si="5"/>
        <v>2.9888996138996147</v>
      </c>
      <c r="I35" s="993">
        <f t="shared" si="5"/>
        <v>1.090281771132835</v>
      </c>
      <c r="J35" s="993">
        <f t="shared" si="5"/>
        <v>0.83592132505176053</v>
      </c>
      <c r="K35" s="993">
        <f t="shared" si="5"/>
        <v>1.9378985636807915</v>
      </c>
      <c r="L35" s="993">
        <f t="shared" si="5"/>
        <v>1.4387917329093804</v>
      </c>
    </row>
    <row r="36" spans="1:37" s="991" customFormat="1">
      <c r="A36" s="1009" t="s">
        <v>449</v>
      </c>
      <c r="B36" s="992">
        <f>B31-B24</f>
        <v>-0.51046511627906987</v>
      </c>
      <c r="C36" s="992">
        <f t="shared" ref="C36:L36" si="6">C31-C24</f>
        <v>-3.2592592592592595</v>
      </c>
      <c r="D36" s="992">
        <f t="shared" si="6"/>
        <v>-2.1343402225755161</v>
      </c>
      <c r="E36" s="992">
        <f t="shared" si="6"/>
        <v>-0.71046734955185542</v>
      </c>
      <c r="F36" s="992">
        <f t="shared" si="6"/>
        <v>1.9933760683760671</v>
      </c>
      <c r="G36" s="992">
        <f t="shared" si="6"/>
        <v>-0.56071428571428683</v>
      </c>
      <c r="H36" s="992">
        <f t="shared" si="6"/>
        <v>-0.45653638814016162</v>
      </c>
      <c r="I36" s="992">
        <f t="shared" si="6"/>
        <v>0.81790549875656282</v>
      </c>
      <c r="J36" s="992">
        <f t="shared" si="6"/>
        <v>1.9989177489177496</v>
      </c>
      <c r="K36" s="992">
        <f t="shared" si="6"/>
        <v>0.10331608203948583</v>
      </c>
      <c r="L36" s="992">
        <f t="shared" si="6"/>
        <v>-0.81821106821106859</v>
      </c>
    </row>
    <row r="37" spans="1:37" s="991" customFormat="1">
      <c r="A37" s="1009"/>
      <c r="D37" s="985" t="s">
        <v>276</v>
      </c>
    </row>
    <row r="38" spans="1:37" s="991" customFormat="1">
      <c r="A38" s="1009" t="s">
        <v>447</v>
      </c>
      <c r="B38" s="992">
        <f>(B31/B5-1)*100</f>
        <v>24.756995581737851</v>
      </c>
      <c r="C38" s="992">
        <f t="shared" ref="C38:L38" si="7">(C31/C5-1)*100</f>
        <v>28.133623819898325</v>
      </c>
      <c r="D38" s="992">
        <f t="shared" si="7"/>
        <v>-15.665634674922602</v>
      </c>
      <c r="E38" s="992">
        <f t="shared" si="7"/>
        <v>13.115891741845953</v>
      </c>
      <c r="F38" s="992">
        <f t="shared" si="7"/>
        <v>4.0625914009944308</v>
      </c>
      <c r="G38" s="992">
        <f t="shared" si="7"/>
        <v>27.80193236714976</v>
      </c>
      <c r="H38" s="992">
        <f t="shared" si="7"/>
        <v>47.87414965986396</v>
      </c>
      <c r="I38" s="992">
        <f t="shared" si="7"/>
        <v>12.567110757605882</v>
      </c>
      <c r="J38" s="992">
        <f t="shared" si="7"/>
        <v>8.1009229534510396</v>
      </c>
      <c r="K38" s="992">
        <f t="shared" si="7"/>
        <v>29.452098221968615</v>
      </c>
      <c r="L38" s="992">
        <f t="shared" si="7"/>
        <v>19.831994156318487</v>
      </c>
    </row>
    <row r="39" spans="1:37" s="986" customFormat="1">
      <c r="A39" s="990"/>
      <c r="B39" s="994"/>
    </row>
    <row r="40" spans="1:37" s="986" customFormat="1" ht="40.5" customHeight="1">
      <c r="A40" s="1182" t="s">
        <v>1043</v>
      </c>
      <c r="B40" s="1182"/>
      <c r="C40" s="1182"/>
      <c r="D40" s="1182"/>
      <c r="E40" s="1182"/>
      <c r="F40" s="1182"/>
      <c r="G40" s="1182"/>
      <c r="H40" s="1182"/>
      <c r="I40" s="1182"/>
      <c r="J40" s="1182"/>
      <c r="K40" s="1182"/>
      <c r="L40" s="1182"/>
    </row>
    <row r="41" spans="1:37" s="986" customFormat="1" ht="12.75" customHeight="1">
      <c r="A41" s="995" t="s">
        <v>1051</v>
      </c>
      <c r="B41" s="996"/>
      <c r="C41" s="996"/>
      <c r="D41" s="996"/>
      <c r="E41" s="996"/>
      <c r="F41" s="996"/>
      <c r="G41" s="996"/>
      <c r="H41" s="996"/>
      <c r="I41" s="996"/>
      <c r="J41" s="996"/>
      <c r="K41" s="996"/>
      <c r="L41" s="996"/>
    </row>
    <row r="42" spans="1:37" s="986" customFormat="1">
      <c r="A42" s="990" t="s">
        <v>1868</v>
      </c>
    </row>
    <row r="43" spans="1:37" s="986" customFormat="1">
      <c r="A43" s="995" t="s">
        <v>388</v>
      </c>
    </row>
    <row r="44" spans="1:37" s="986" customFormat="1" ht="39.75" customHeight="1">
      <c r="A44" s="1183" t="s">
        <v>330</v>
      </c>
      <c r="B44" s="1184"/>
      <c r="C44" s="1184"/>
      <c r="D44" s="1184"/>
      <c r="E44" s="1184"/>
      <c r="F44" s="1184"/>
      <c r="G44" s="1184"/>
      <c r="H44" s="1184"/>
      <c r="I44" s="1184"/>
      <c r="J44" s="1184"/>
      <c r="K44" s="1184"/>
      <c r="L44" s="1184"/>
    </row>
    <row r="45" spans="1:37" s="986" customFormat="1" ht="25.5" customHeight="1">
      <c r="A45" s="1183" t="s">
        <v>537</v>
      </c>
      <c r="B45" s="1184"/>
      <c r="C45" s="1184"/>
      <c r="D45" s="1184"/>
      <c r="E45" s="1184"/>
      <c r="F45" s="1184"/>
      <c r="G45" s="1184"/>
      <c r="H45" s="1184"/>
      <c r="I45" s="1184"/>
      <c r="J45" s="1184"/>
      <c r="K45" s="1184"/>
      <c r="L45" s="1184"/>
    </row>
    <row r="46" spans="1:37" s="986" customFormat="1" ht="40.5" customHeight="1">
      <c r="A46" s="1183" t="s">
        <v>538</v>
      </c>
      <c r="B46" s="1184"/>
      <c r="C46" s="1184"/>
      <c r="D46" s="1184"/>
      <c r="E46" s="1184"/>
      <c r="F46" s="1184"/>
      <c r="G46" s="1184"/>
      <c r="H46" s="1184"/>
      <c r="I46" s="1184"/>
      <c r="J46" s="1184"/>
      <c r="K46" s="1184"/>
      <c r="L46" s="1184"/>
    </row>
    <row r="47" spans="1:37" s="986" customFormat="1">
      <c r="B47" s="990"/>
      <c r="F47" s="994"/>
      <c r="M47" s="990"/>
      <c r="N47" s="990"/>
    </row>
    <row r="48" spans="1:37" s="986" customFormat="1">
      <c r="A48" s="990"/>
      <c r="B48" s="990"/>
      <c r="F48" s="994">
        <f>((((B27/B5))^(1/22))-1)*100</f>
        <v>1.2530836311215099</v>
      </c>
      <c r="M48" s="990"/>
      <c r="N48" s="990"/>
    </row>
    <row r="49" spans="1:14" s="986" customFormat="1">
      <c r="A49" s="990"/>
      <c r="B49" s="997"/>
      <c r="C49" s="998">
        <f>B5</f>
        <v>7.8953488372093021</v>
      </c>
      <c r="D49" s="990"/>
      <c r="E49" s="990"/>
      <c r="F49" s="994">
        <f>((((B13/B5))^(1/8))-1)*100</f>
        <v>0.44800095465313827</v>
      </c>
      <c r="G49" s="990"/>
      <c r="H49" s="990"/>
      <c r="I49" s="990"/>
      <c r="J49" s="990"/>
      <c r="K49" s="990"/>
      <c r="L49" s="990"/>
      <c r="M49" s="990"/>
      <c r="N49" s="990"/>
    </row>
    <row r="50" spans="1:14" s="986" customFormat="1">
      <c r="A50" s="990"/>
      <c r="B50" s="997"/>
      <c r="C50" s="998">
        <f>B13</f>
        <v>8.1827956989247319</v>
      </c>
      <c r="D50" s="990"/>
      <c r="E50" s="990"/>
      <c r="F50" s="994">
        <f>((((B24/B13))^(1/11))-1)*100</f>
        <v>2.1682937171153105</v>
      </c>
      <c r="G50" s="990"/>
      <c r="H50" s="990"/>
      <c r="I50" s="990"/>
      <c r="J50" s="990"/>
      <c r="K50" s="990"/>
      <c r="L50" s="990"/>
      <c r="M50" s="990"/>
      <c r="N50" s="990"/>
    </row>
    <row r="51" spans="1:14" s="986" customFormat="1">
      <c r="A51" s="990"/>
      <c r="B51" s="997"/>
      <c r="C51" s="998">
        <f>B24</f>
        <v>10.36046511627907</v>
      </c>
      <c r="D51" s="990"/>
      <c r="E51" s="990"/>
      <c r="F51" s="994">
        <f>((((B27/B24))^(1/3))-1)*100</f>
        <v>7.4766382992752511E-2</v>
      </c>
      <c r="G51" s="990"/>
      <c r="H51" s="990"/>
      <c r="I51" s="990"/>
      <c r="J51" s="990"/>
      <c r="K51" s="990"/>
      <c r="L51" s="990"/>
      <c r="M51" s="990"/>
      <c r="N51" s="990"/>
    </row>
    <row r="52" spans="1:14" s="986" customFormat="1">
      <c r="A52" s="37"/>
      <c r="B52" s="997"/>
      <c r="C52" s="998">
        <f>B27</f>
        <v>10.383720930232558</v>
      </c>
      <c r="D52" s="37"/>
      <c r="E52" s="37"/>
      <c r="F52" s="37"/>
      <c r="G52" s="37"/>
      <c r="H52" s="37"/>
      <c r="I52" s="29"/>
      <c r="J52" s="37"/>
      <c r="K52" s="37"/>
      <c r="L52" s="37"/>
      <c r="M52" s="990"/>
      <c r="N52" s="990"/>
    </row>
    <row r="53" spans="1:14">
      <c r="A53" s="30"/>
      <c r="B53" s="1164"/>
      <c r="C53" s="1164"/>
      <c r="D53" s="1164"/>
      <c r="E53" s="1164"/>
      <c r="F53" s="1164"/>
      <c r="G53" s="1164"/>
      <c r="H53" s="1164"/>
      <c r="I53" s="1164"/>
      <c r="J53" s="1164"/>
      <c r="K53" s="1164"/>
      <c r="L53" s="1164"/>
      <c r="M53" s="4"/>
      <c r="N53" s="4"/>
    </row>
    <row r="54" spans="1:14">
      <c r="A54" s="38"/>
      <c r="B54" s="1164"/>
      <c r="C54" s="1164"/>
      <c r="D54" s="1164"/>
      <c r="E54" s="1164"/>
      <c r="F54" s="1164"/>
      <c r="G54" s="1164"/>
      <c r="H54" s="1164"/>
      <c r="I54" s="1164"/>
      <c r="J54" s="1164"/>
      <c r="K54" s="1164"/>
      <c r="L54" s="1164"/>
      <c r="M54" s="4"/>
      <c r="N54" s="4"/>
    </row>
    <row r="55" spans="1:14">
      <c r="A55" s="30"/>
      <c r="B55" s="31"/>
      <c r="C55" s="31"/>
      <c r="D55" s="31"/>
      <c r="E55" s="31"/>
      <c r="F55" s="31"/>
      <c r="G55" s="31"/>
      <c r="H55" s="31"/>
      <c r="I55" s="31"/>
      <c r="J55" s="31"/>
      <c r="K55" s="31"/>
      <c r="L55" s="31"/>
      <c r="M55" s="4"/>
      <c r="N55" s="4"/>
    </row>
    <row r="56" spans="1:14">
      <c r="A56" s="30"/>
      <c r="B56" s="31"/>
      <c r="C56" s="31"/>
      <c r="D56" s="31"/>
      <c r="E56" s="31"/>
      <c r="F56" s="31"/>
      <c r="G56" s="31"/>
      <c r="H56" s="31"/>
      <c r="I56" s="31"/>
      <c r="J56" s="31"/>
      <c r="K56" s="31"/>
      <c r="L56" s="31"/>
      <c r="M56" s="4"/>
      <c r="N56" s="4"/>
    </row>
    <row r="57" spans="1:14">
      <c r="A57" s="30"/>
      <c r="B57" s="31"/>
      <c r="C57" s="31"/>
      <c r="D57" s="31"/>
      <c r="E57" s="31"/>
      <c r="F57" s="31"/>
      <c r="G57" s="31"/>
      <c r="H57" s="31"/>
      <c r="I57" s="31"/>
      <c r="J57" s="31"/>
      <c r="K57" s="31"/>
      <c r="L57" s="31"/>
      <c r="M57" s="4"/>
      <c r="N57" s="4"/>
    </row>
    <row r="58" spans="1:14">
      <c r="A58" s="30"/>
      <c r="B58" s="31"/>
      <c r="C58" s="31"/>
      <c r="D58" s="31"/>
      <c r="E58" s="31"/>
      <c r="F58" s="31"/>
      <c r="G58" s="31"/>
      <c r="H58" s="31"/>
      <c r="I58" s="31"/>
      <c r="J58" s="31"/>
      <c r="K58" s="31"/>
      <c r="L58" s="31"/>
      <c r="M58" s="4"/>
      <c r="N58" s="4"/>
    </row>
    <row r="59" spans="1:14">
      <c r="A59" s="30"/>
      <c r="B59" s="31"/>
      <c r="C59" s="31"/>
      <c r="D59" s="31"/>
      <c r="E59" s="31"/>
      <c r="F59" s="31"/>
      <c r="G59" s="31"/>
      <c r="H59" s="31"/>
      <c r="I59" s="31"/>
      <c r="J59" s="31"/>
      <c r="K59" s="31"/>
      <c r="L59" s="31"/>
      <c r="M59" s="4"/>
      <c r="N59" s="4"/>
    </row>
    <row r="60" spans="1:14">
      <c r="A60" s="30"/>
      <c r="B60" s="31"/>
      <c r="C60" s="31"/>
      <c r="D60" s="31"/>
      <c r="E60" s="31"/>
      <c r="F60" s="31"/>
      <c r="G60" s="31"/>
      <c r="H60" s="31"/>
      <c r="I60" s="31"/>
      <c r="J60" s="31"/>
      <c r="K60" s="31"/>
      <c r="L60" s="31"/>
      <c r="M60" s="4"/>
      <c r="N60" s="4"/>
    </row>
    <row r="61" spans="1:14">
      <c r="A61" s="30"/>
      <c r="B61" s="31"/>
      <c r="C61" s="31"/>
      <c r="D61" s="31"/>
      <c r="E61" s="31"/>
      <c r="F61" s="31"/>
      <c r="G61" s="31"/>
      <c r="H61" s="31"/>
      <c r="I61" s="31"/>
      <c r="J61" s="31"/>
      <c r="K61" s="31"/>
      <c r="L61" s="31"/>
      <c r="M61" s="4"/>
      <c r="N61" s="4"/>
    </row>
    <row r="62" spans="1:14">
      <c r="A62" s="30"/>
      <c r="B62" s="31"/>
      <c r="C62" s="31"/>
      <c r="D62" s="31"/>
      <c r="E62" s="31"/>
      <c r="F62" s="31"/>
      <c r="G62" s="31"/>
      <c r="H62" s="31"/>
      <c r="I62" s="31"/>
      <c r="J62" s="31"/>
      <c r="K62" s="31"/>
      <c r="L62" s="31"/>
      <c r="M62" s="4"/>
      <c r="N62" s="4"/>
    </row>
    <row r="63" spans="1:14">
      <c r="A63" s="30"/>
      <c r="B63" s="31"/>
      <c r="C63" s="31"/>
      <c r="D63" s="31"/>
      <c r="E63" s="31"/>
      <c r="F63" s="31"/>
      <c r="G63" s="31"/>
      <c r="H63" s="31"/>
      <c r="I63" s="31"/>
      <c r="J63" s="31"/>
      <c r="K63" s="31"/>
      <c r="L63" s="31"/>
      <c r="M63" s="4"/>
      <c r="N63" s="4"/>
    </row>
    <row r="64" spans="1:14">
      <c r="A64" s="30"/>
      <c r="B64" s="31"/>
      <c r="C64" s="31"/>
      <c r="D64" s="31"/>
      <c r="E64" s="31"/>
      <c r="F64" s="31"/>
      <c r="G64" s="31"/>
      <c r="H64" s="31"/>
      <c r="I64" s="31"/>
      <c r="J64" s="31"/>
      <c r="K64" s="31"/>
      <c r="L64" s="31"/>
      <c r="M64" s="4"/>
      <c r="N64" s="4"/>
    </row>
    <row r="65" spans="1:14">
      <c r="A65" s="30"/>
      <c r="B65" s="31"/>
      <c r="C65" s="31"/>
      <c r="D65" s="31"/>
      <c r="E65" s="31"/>
      <c r="F65" s="31"/>
      <c r="G65" s="31"/>
      <c r="H65" s="31"/>
      <c r="I65" s="31"/>
      <c r="J65" s="31"/>
      <c r="K65" s="31"/>
      <c r="L65" s="31"/>
      <c r="M65" s="4"/>
      <c r="N65" s="4"/>
    </row>
    <row r="66" spans="1:14">
      <c r="A66" s="30"/>
      <c r="B66" s="31"/>
      <c r="C66" s="31"/>
      <c r="D66" s="31"/>
      <c r="E66" s="31"/>
      <c r="F66" s="31"/>
      <c r="G66" s="31"/>
      <c r="H66" s="31"/>
      <c r="I66" s="31"/>
      <c r="J66" s="31"/>
      <c r="K66" s="31"/>
      <c r="L66" s="31"/>
      <c r="M66" s="4"/>
      <c r="N66" s="4"/>
    </row>
    <row r="67" spans="1:14">
      <c r="A67" s="30"/>
      <c r="B67" s="31"/>
      <c r="C67" s="31"/>
      <c r="D67" s="31"/>
      <c r="E67" s="31"/>
      <c r="F67" s="31"/>
      <c r="G67" s="31"/>
      <c r="H67" s="31"/>
      <c r="I67" s="31"/>
      <c r="J67" s="31"/>
      <c r="K67" s="31"/>
      <c r="L67" s="31"/>
      <c r="M67" s="4"/>
      <c r="N67" s="4"/>
    </row>
    <row r="68" spans="1:14">
      <c r="A68" s="30"/>
      <c r="B68" s="31"/>
      <c r="C68" s="31"/>
      <c r="D68" s="31"/>
      <c r="E68" s="31"/>
      <c r="F68" s="31"/>
      <c r="G68" s="31"/>
      <c r="H68" s="31"/>
      <c r="I68" s="31"/>
      <c r="J68" s="31"/>
      <c r="K68" s="31"/>
      <c r="L68" s="31"/>
      <c r="M68" s="4"/>
      <c r="N68" s="4"/>
    </row>
    <row r="69" spans="1:14">
      <c r="A69" s="30"/>
      <c r="B69" s="31"/>
      <c r="C69" s="31"/>
      <c r="D69" s="31"/>
      <c r="E69" s="31"/>
      <c r="F69" s="31"/>
      <c r="G69" s="31"/>
      <c r="H69" s="31"/>
      <c r="I69" s="31"/>
      <c r="J69" s="31"/>
      <c r="K69" s="31"/>
      <c r="L69" s="31"/>
      <c r="M69" s="4"/>
      <c r="N69" s="4"/>
    </row>
    <row r="70" spans="1:14">
      <c r="A70" s="30"/>
      <c r="B70" s="31"/>
      <c r="C70" s="31"/>
      <c r="D70" s="31"/>
      <c r="E70" s="31"/>
      <c r="F70" s="31"/>
      <c r="G70" s="31"/>
      <c r="H70" s="31"/>
      <c r="I70" s="31"/>
      <c r="J70" s="31"/>
      <c r="K70" s="31"/>
      <c r="L70" s="31"/>
      <c r="M70" s="4"/>
      <c r="N70" s="4"/>
    </row>
    <row r="71" spans="1:14">
      <c r="A71" s="30"/>
      <c r="B71" s="31"/>
      <c r="C71" s="31"/>
      <c r="D71" s="31"/>
      <c r="E71" s="31"/>
      <c r="F71" s="31"/>
      <c r="G71" s="31"/>
      <c r="H71" s="31"/>
      <c r="I71" s="31"/>
      <c r="J71" s="31"/>
      <c r="K71" s="31"/>
      <c r="L71" s="31"/>
      <c r="M71" s="4"/>
      <c r="N71" s="4"/>
    </row>
    <row r="72" spans="1:14">
      <c r="A72" s="30"/>
      <c r="B72" s="31"/>
      <c r="C72" s="31"/>
      <c r="D72" s="31"/>
      <c r="E72" s="31"/>
      <c r="F72" s="31"/>
      <c r="G72" s="31"/>
      <c r="H72" s="31"/>
      <c r="I72" s="31"/>
      <c r="J72" s="31"/>
      <c r="K72" s="31"/>
      <c r="L72" s="31"/>
      <c r="M72" s="4"/>
      <c r="N72" s="4"/>
    </row>
    <row r="73" spans="1:14">
      <c r="A73" s="30"/>
      <c r="B73" s="31"/>
      <c r="C73" s="31"/>
      <c r="D73" s="31"/>
      <c r="E73" s="31"/>
      <c r="F73" s="31"/>
      <c r="G73" s="31"/>
      <c r="H73" s="31"/>
      <c r="I73" s="31"/>
      <c r="J73" s="31"/>
      <c r="K73" s="31"/>
      <c r="L73" s="31"/>
      <c r="M73" s="4"/>
      <c r="N73" s="4"/>
    </row>
    <row r="74" spans="1:14">
      <c r="A74" s="30"/>
      <c r="B74" s="31"/>
      <c r="C74" s="31"/>
      <c r="D74" s="31"/>
      <c r="E74" s="31"/>
      <c r="F74" s="31"/>
      <c r="G74" s="31"/>
      <c r="H74" s="31"/>
      <c r="I74" s="31"/>
      <c r="J74" s="31"/>
      <c r="K74" s="31"/>
      <c r="L74" s="31"/>
      <c r="M74" s="4"/>
      <c r="N74" s="4"/>
    </row>
    <row r="75" spans="1:14">
      <c r="A75" s="30"/>
      <c r="B75" s="31"/>
      <c r="C75" s="31"/>
      <c r="D75" s="31"/>
      <c r="E75" s="31"/>
      <c r="F75" s="31"/>
      <c r="G75" s="31"/>
      <c r="H75" s="31"/>
      <c r="I75" s="31"/>
      <c r="J75" s="31"/>
      <c r="K75" s="31"/>
      <c r="L75" s="31"/>
      <c r="M75" s="4"/>
      <c r="N75" s="4"/>
    </row>
    <row r="76" spans="1:14">
      <c r="A76" s="30"/>
      <c r="B76" s="31"/>
      <c r="C76" s="31"/>
      <c r="D76" s="31"/>
      <c r="E76" s="31"/>
      <c r="F76" s="31"/>
      <c r="G76" s="31"/>
      <c r="H76" s="31"/>
      <c r="I76" s="31"/>
      <c r="J76" s="31"/>
      <c r="K76" s="31"/>
      <c r="L76" s="31"/>
      <c r="M76" s="4"/>
      <c r="N76" s="4"/>
    </row>
    <row r="77" spans="1:14">
      <c r="A77" s="30"/>
      <c r="B77" s="32"/>
      <c r="C77" s="32"/>
      <c r="D77" s="32"/>
      <c r="E77" s="32"/>
      <c r="F77" s="32"/>
      <c r="G77" s="32"/>
      <c r="H77" s="32"/>
      <c r="I77" s="32"/>
      <c r="J77" s="32"/>
      <c r="K77" s="32"/>
      <c r="L77" s="32"/>
      <c r="M77" s="4"/>
      <c r="N77" s="4"/>
    </row>
    <row r="78" spans="1:14">
      <c r="A78" s="30"/>
      <c r="B78" s="31"/>
      <c r="C78" s="31"/>
      <c r="D78" s="31"/>
      <c r="E78" s="31"/>
      <c r="F78" s="31"/>
      <c r="G78" s="31"/>
      <c r="H78" s="31"/>
      <c r="I78" s="31"/>
      <c r="J78" s="31"/>
      <c r="K78" s="31"/>
      <c r="L78" s="31"/>
      <c r="M78" s="4"/>
      <c r="N78" s="4"/>
    </row>
    <row r="79" spans="1:14">
      <c r="A79" s="5"/>
      <c r="B79" s="33"/>
      <c r="C79" s="33"/>
      <c r="D79" s="33"/>
      <c r="E79" s="33"/>
      <c r="F79" s="33"/>
      <c r="G79" s="33"/>
      <c r="H79" s="33"/>
      <c r="I79" s="33"/>
      <c r="J79" s="33"/>
      <c r="K79" s="33"/>
      <c r="L79" s="33"/>
      <c r="M79" s="4"/>
      <c r="N79" s="4"/>
    </row>
    <row r="80" spans="1:14">
      <c r="A80" s="5"/>
      <c r="B80" s="33"/>
      <c r="C80" s="33"/>
      <c r="D80" s="33"/>
      <c r="E80" s="33"/>
      <c r="F80" s="33"/>
      <c r="G80" s="33"/>
      <c r="H80" s="33"/>
      <c r="I80" s="33"/>
      <c r="J80" s="33"/>
      <c r="K80" s="33"/>
      <c r="L80" s="33"/>
      <c r="M80" s="4"/>
      <c r="N80" s="4"/>
    </row>
    <row r="81" spans="1:14">
      <c r="A81" s="4"/>
      <c r="B81" s="4"/>
      <c r="C81" s="30"/>
      <c r="D81" s="30"/>
      <c r="E81" s="30"/>
      <c r="F81" s="30"/>
      <c r="G81" s="30"/>
      <c r="H81" s="30"/>
      <c r="I81" s="30"/>
      <c r="J81" s="30"/>
      <c r="K81" s="30"/>
      <c r="L81" s="30"/>
      <c r="M81" s="4"/>
      <c r="N81" s="4"/>
    </row>
    <row r="82" spans="1:14">
      <c r="A82" s="4"/>
      <c r="B82" s="4"/>
      <c r="C82" s="30"/>
      <c r="D82" s="30"/>
      <c r="E82" s="30"/>
      <c r="F82" s="30"/>
      <c r="G82" s="30"/>
      <c r="H82" s="30"/>
      <c r="I82" s="30"/>
      <c r="J82" s="30"/>
      <c r="K82" s="30"/>
      <c r="L82" s="30"/>
      <c r="M82" s="4"/>
      <c r="N82" s="4"/>
    </row>
    <row r="83" spans="1:14">
      <c r="A83" s="34"/>
      <c r="B83" s="4"/>
      <c r="C83" s="30"/>
      <c r="D83" s="30"/>
      <c r="E83" s="30"/>
      <c r="F83" s="30"/>
      <c r="G83" s="30"/>
      <c r="H83" s="30"/>
      <c r="I83" s="30"/>
      <c r="J83" s="30"/>
      <c r="K83" s="30"/>
      <c r="L83" s="30"/>
      <c r="M83" s="4"/>
      <c r="N83" s="4"/>
    </row>
    <row r="84" spans="1:14">
      <c r="A84" s="34"/>
      <c r="B84" s="4"/>
      <c r="C84" s="30"/>
      <c r="D84" s="30"/>
      <c r="E84" s="30"/>
      <c r="F84" s="30"/>
      <c r="G84" s="30"/>
      <c r="H84" s="30"/>
      <c r="I84" s="30"/>
      <c r="J84" s="30"/>
      <c r="K84" s="30"/>
      <c r="L84" s="30"/>
      <c r="M84" s="4"/>
      <c r="N84" s="4"/>
    </row>
    <row r="85" spans="1:14">
      <c r="A85" s="30"/>
      <c r="B85" s="4"/>
      <c r="C85" s="30"/>
      <c r="D85" s="30"/>
      <c r="E85" s="30"/>
      <c r="F85" s="30"/>
      <c r="G85" s="30"/>
      <c r="H85" s="30"/>
      <c r="I85" s="30"/>
      <c r="J85" s="30"/>
      <c r="K85" s="30"/>
      <c r="L85" s="30"/>
      <c r="M85" s="4"/>
      <c r="N85" s="4"/>
    </row>
    <row r="86" spans="1:14">
      <c r="A86" s="30"/>
      <c r="B86" s="4"/>
      <c r="C86" s="31"/>
      <c r="D86" s="30"/>
      <c r="E86" s="30"/>
      <c r="F86" s="30"/>
      <c r="G86" s="30"/>
      <c r="H86" s="30"/>
      <c r="I86" s="30"/>
      <c r="J86" s="30"/>
      <c r="K86" s="30"/>
      <c r="L86" s="30"/>
      <c r="M86" s="4"/>
      <c r="N86" s="4"/>
    </row>
    <row r="87" spans="1:14">
      <c r="A87" s="30"/>
      <c r="B87" s="4"/>
      <c r="C87" s="4"/>
      <c r="D87" s="4"/>
      <c r="E87" s="4"/>
      <c r="F87" s="4"/>
      <c r="G87" s="4"/>
      <c r="H87" s="4"/>
      <c r="I87" s="4"/>
      <c r="J87" s="4"/>
      <c r="K87" s="4"/>
      <c r="L87" s="4"/>
      <c r="M87" s="4"/>
      <c r="N87" s="4"/>
    </row>
    <row r="88" spans="1:14">
      <c r="A88" s="30"/>
      <c r="B88" s="4"/>
      <c r="C88" s="4"/>
      <c r="D88" s="4"/>
      <c r="E88" s="4"/>
      <c r="F88" s="4"/>
      <c r="G88" s="4"/>
      <c r="H88" s="4"/>
      <c r="I88" s="4"/>
      <c r="J88" s="4"/>
      <c r="K88" s="4"/>
      <c r="L88" s="4"/>
      <c r="M88" s="4"/>
      <c r="N88" s="4"/>
    </row>
    <row r="89" spans="1:14">
      <c r="A89" s="35"/>
      <c r="B89" s="4"/>
      <c r="C89" s="4"/>
      <c r="D89" s="4"/>
      <c r="E89" s="4"/>
      <c r="F89" s="4"/>
      <c r="G89" s="4"/>
      <c r="H89" s="4"/>
      <c r="I89" s="4"/>
      <c r="J89" s="4"/>
      <c r="K89" s="4"/>
      <c r="L89" s="4"/>
      <c r="M89" s="4"/>
      <c r="N89" s="4"/>
    </row>
    <row r="90" spans="1:14">
      <c r="A90" s="35"/>
      <c r="B90" s="4"/>
      <c r="C90" s="4"/>
      <c r="D90" s="4"/>
      <c r="E90" s="4"/>
      <c r="F90" s="4"/>
      <c r="G90" s="4"/>
      <c r="H90" s="4"/>
      <c r="I90" s="4"/>
      <c r="J90" s="4"/>
      <c r="K90" s="4"/>
      <c r="L90" s="4"/>
      <c r="M90" s="4"/>
      <c r="N90" s="4"/>
    </row>
    <row r="91" spans="1:14">
      <c r="A91" s="4"/>
      <c r="B91" s="4"/>
      <c r="C91" s="4"/>
      <c r="D91" s="4"/>
      <c r="E91" s="4"/>
      <c r="F91" s="4"/>
      <c r="G91" s="4"/>
      <c r="H91" s="4"/>
      <c r="I91" s="4"/>
      <c r="J91" s="4"/>
      <c r="K91" s="4"/>
      <c r="L91" s="4"/>
      <c r="M91" s="4"/>
      <c r="N91" s="4"/>
    </row>
    <row r="92" spans="1:14">
      <c r="A92" s="4"/>
      <c r="B92" s="4"/>
      <c r="C92" s="4"/>
      <c r="D92" s="4"/>
      <c r="E92" s="4"/>
      <c r="F92" s="4"/>
      <c r="G92" s="4"/>
      <c r="H92" s="4"/>
      <c r="I92" s="4"/>
      <c r="J92" s="4"/>
      <c r="K92" s="4"/>
      <c r="L92" s="4"/>
      <c r="M92" s="4"/>
      <c r="N92" s="4"/>
    </row>
    <row r="93" spans="1:14">
      <c r="A93" s="4"/>
      <c r="B93" s="4"/>
      <c r="C93" s="4"/>
      <c r="D93" s="4"/>
      <c r="E93" s="4"/>
      <c r="F93" s="4"/>
      <c r="G93" s="4"/>
      <c r="H93" s="4"/>
      <c r="I93" s="4"/>
      <c r="J93" s="4"/>
      <c r="K93" s="4"/>
      <c r="L93" s="4"/>
      <c r="M93" s="4"/>
      <c r="N93" s="4"/>
    </row>
    <row r="94" spans="1:14">
      <c r="A94" s="4"/>
      <c r="B94" s="4"/>
      <c r="C94" s="4"/>
      <c r="D94" s="4"/>
      <c r="E94" s="4"/>
      <c r="F94" s="4"/>
      <c r="G94" s="4"/>
      <c r="H94" s="4"/>
      <c r="I94" s="4"/>
      <c r="J94" s="4"/>
      <c r="K94" s="4"/>
      <c r="L94" s="4"/>
      <c r="M94" s="4"/>
      <c r="N94" s="4"/>
    </row>
    <row r="95" spans="1:14">
      <c r="A95" s="4"/>
      <c r="B95" s="4"/>
      <c r="C95" s="4"/>
      <c r="D95" s="4"/>
      <c r="E95" s="4"/>
      <c r="F95" s="4"/>
      <c r="G95" s="4"/>
      <c r="H95" s="4"/>
      <c r="I95" s="4"/>
      <c r="J95" s="4"/>
      <c r="K95" s="4"/>
      <c r="L95" s="4"/>
      <c r="M95" s="4"/>
      <c r="N95" s="4"/>
    </row>
    <row r="96" spans="1:14">
      <c r="A96" s="4"/>
      <c r="B96" s="4"/>
      <c r="C96" s="4"/>
      <c r="D96" s="4"/>
      <c r="E96" s="4"/>
      <c r="F96" s="4"/>
      <c r="G96" s="4"/>
      <c r="H96" s="4"/>
      <c r="I96" s="4"/>
      <c r="J96" s="4"/>
      <c r="K96" s="4"/>
      <c r="L96" s="4"/>
      <c r="M96" s="4"/>
      <c r="N96" s="4"/>
    </row>
    <row r="97" spans="1:14">
      <c r="A97" s="4"/>
      <c r="B97" s="4"/>
      <c r="C97" s="4"/>
      <c r="D97" s="4"/>
      <c r="E97" s="4"/>
      <c r="F97" s="4"/>
      <c r="G97" s="4"/>
      <c r="H97" s="4"/>
      <c r="I97" s="4"/>
      <c r="J97" s="4"/>
      <c r="K97" s="4"/>
      <c r="L97" s="4"/>
      <c r="M97" s="4"/>
      <c r="N97" s="4"/>
    </row>
    <row r="98" spans="1:14">
      <c r="A98" s="4"/>
      <c r="B98" s="4"/>
      <c r="C98" s="4"/>
      <c r="D98" s="4"/>
      <c r="E98" s="4"/>
      <c r="F98" s="4"/>
      <c r="G98" s="4"/>
      <c r="H98" s="4"/>
      <c r="I98" s="4"/>
      <c r="J98" s="4"/>
      <c r="K98" s="4"/>
      <c r="L98" s="4"/>
      <c r="M98" s="4"/>
      <c r="N98" s="4"/>
    </row>
    <row r="99" spans="1:14">
      <c r="A99" s="4"/>
      <c r="B99" s="4"/>
      <c r="C99" s="4"/>
      <c r="D99" s="4"/>
      <c r="E99" s="4"/>
      <c r="F99" s="4"/>
      <c r="G99" s="4"/>
      <c r="H99" s="4"/>
      <c r="I99" s="4"/>
      <c r="J99" s="4"/>
      <c r="K99" s="4"/>
      <c r="L99" s="4"/>
      <c r="M99" s="4"/>
      <c r="N99" s="4"/>
    </row>
    <row r="100" spans="1:14">
      <c r="A100" s="4"/>
      <c r="B100" s="4"/>
      <c r="C100" s="4"/>
      <c r="D100" s="4"/>
      <c r="E100" s="4"/>
      <c r="F100" s="4"/>
      <c r="G100" s="4"/>
      <c r="H100" s="4"/>
      <c r="I100" s="4"/>
      <c r="J100" s="4"/>
      <c r="K100" s="4"/>
      <c r="L100" s="4"/>
      <c r="M100" s="4"/>
      <c r="N100" s="4"/>
    </row>
    <row r="101" spans="1:14">
      <c r="A101" s="4"/>
      <c r="B101" s="4"/>
      <c r="C101" s="4"/>
      <c r="D101" s="4"/>
      <c r="E101" s="4"/>
      <c r="F101" s="4"/>
      <c r="G101" s="4"/>
      <c r="H101" s="4"/>
      <c r="I101" s="4"/>
      <c r="J101" s="4"/>
      <c r="K101" s="4"/>
      <c r="L101" s="4"/>
    </row>
    <row r="102" spans="1:14">
      <c r="A102" s="4"/>
      <c r="B102" s="4"/>
      <c r="C102" s="4"/>
      <c r="D102" s="4"/>
      <c r="E102" s="4"/>
      <c r="F102" s="4"/>
      <c r="G102" s="4"/>
      <c r="H102" s="4"/>
      <c r="I102" s="4"/>
      <c r="J102" s="4"/>
      <c r="K102" s="4"/>
      <c r="L102" s="4"/>
    </row>
  </sheetData>
  <mergeCells count="26">
    <mergeCell ref="F53:F54"/>
    <mergeCell ref="I53:I54"/>
    <mergeCell ref="A45:L45"/>
    <mergeCell ref="J3:J4"/>
    <mergeCell ref="K3:K4"/>
    <mergeCell ref="L3:L4"/>
    <mergeCell ref="F3:F4"/>
    <mergeCell ref="G3:G4"/>
    <mergeCell ref="H3:H4"/>
    <mergeCell ref="I3:I4"/>
    <mergeCell ref="B3:B4"/>
    <mergeCell ref="C3:C4"/>
    <mergeCell ref="D3:D4"/>
    <mergeCell ref="E3:E4"/>
    <mergeCell ref="D53:D54"/>
    <mergeCell ref="E53:E54"/>
    <mergeCell ref="A40:L40"/>
    <mergeCell ref="J53:J54"/>
    <mergeCell ref="K53:K54"/>
    <mergeCell ref="L53:L54"/>
    <mergeCell ref="B53:B54"/>
    <mergeCell ref="A44:L44"/>
    <mergeCell ref="A46:L46"/>
    <mergeCell ref="G53:G54"/>
    <mergeCell ref="H53:H54"/>
    <mergeCell ref="C53:C54"/>
  </mergeCells>
  <phoneticPr fontId="35" type="noConversion"/>
  <pageMargins left="0.75" right="0.75" top="1" bottom="1" header="0.5" footer="0.5"/>
  <pageSetup scale="68" orientation="landscape" horizontalDpi="300" verticalDpi="300" r:id="rId1"/>
  <headerFooter alignWithMargins="0"/>
</worksheet>
</file>

<file path=xl/worksheets/sheet68.xml><?xml version="1.0" encoding="utf-8"?>
<worksheet xmlns="http://schemas.openxmlformats.org/spreadsheetml/2006/main" xmlns:r="http://schemas.openxmlformats.org/officeDocument/2006/relationships">
  <sheetPr codeName="Sheet32"/>
  <dimension ref="A1:BJ100"/>
  <sheetViews>
    <sheetView view="pageBreakPreview" zoomScale="90" zoomScaleSheetLayoutView="9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3" width="9.140625" style="1"/>
    <col min="14" max="36" width="0" style="1" hidden="1" customWidth="1"/>
    <col min="37" max="16384" width="9.140625" style="1"/>
  </cols>
  <sheetData>
    <row r="1" spans="1:62" ht="15.75">
      <c r="A1" s="4"/>
      <c r="B1" s="3" t="s">
        <v>2152</v>
      </c>
    </row>
    <row r="2" spans="1:62">
      <c r="A2" s="4"/>
      <c r="B2" s="4"/>
    </row>
    <row r="3" spans="1:62">
      <c r="B3" s="1164" t="s">
        <v>375</v>
      </c>
      <c r="C3" s="1164" t="s">
        <v>377</v>
      </c>
      <c r="D3" s="1164" t="s">
        <v>386</v>
      </c>
      <c r="E3" s="1164" t="s">
        <v>378</v>
      </c>
      <c r="F3" s="1164" t="s">
        <v>379</v>
      </c>
      <c r="G3" s="1164" t="s">
        <v>380</v>
      </c>
      <c r="H3" s="1164" t="s">
        <v>381</v>
      </c>
      <c r="I3" s="1164" t="s">
        <v>382</v>
      </c>
      <c r="J3" s="1164" t="s">
        <v>383</v>
      </c>
      <c r="K3" s="1164" t="s">
        <v>384</v>
      </c>
      <c r="L3" s="1164" t="s">
        <v>385</v>
      </c>
    </row>
    <row r="4" spans="1:62" s="4" customFormat="1" ht="15">
      <c r="A4" s="7"/>
      <c r="B4" s="1165"/>
      <c r="C4" s="1165"/>
      <c r="D4" s="1165"/>
      <c r="E4" s="1165"/>
      <c r="F4" s="1165"/>
      <c r="G4" s="1165"/>
      <c r="H4" s="1165"/>
      <c r="I4" s="1165"/>
      <c r="J4" s="1165"/>
      <c r="K4" s="1165"/>
      <c r="L4" s="1165"/>
      <c r="N4" s="422" t="s">
        <v>1345</v>
      </c>
      <c r="O4" s="422" t="s">
        <v>1347</v>
      </c>
      <c r="P4" s="422" t="s">
        <v>1349</v>
      </c>
      <c r="Q4" s="422" t="s">
        <v>1351</v>
      </c>
      <c r="R4" s="422" t="s">
        <v>1353</v>
      </c>
      <c r="S4" s="422" t="s">
        <v>1333</v>
      </c>
      <c r="T4" s="422" t="s">
        <v>1335</v>
      </c>
      <c r="U4" s="422" t="s">
        <v>1337</v>
      </c>
      <c r="V4" s="422" t="s">
        <v>1339</v>
      </c>
      <c r="W4" s="422" t="s">
        <v>1341</v>
      </c>
      <c r="X4" s="422" t="s">
        <v>1343</v>
      </c>
      <c r="Z4" s="423" t="s">
        <v>1344</v>
      </c>
      <c r="AA4" s="423" t="s">
        <v>1346</v>
      </c>
      <c r="AB4" s="423" t="s">
        <v>1348</v>
      </c>
      <c r="AC4" s="423" t="s">
        <v>1350</v>
      </c>
      <c r="AD4" s="423" t="s">
        <v>1352</v>
      </c>
      <c r="AE4" s="423" t="s">
        <v>1354</v>
      </c>
      <c r="AF4" s="423" t="s">
        <v>1334</v>
      </c>
      <c r="AG4" s="423" t="s">
        <v>1336</v>
      </c>
      <c r="AH4" s="423" t="s">
        <v>1338</v>
      </c>
      <c r="AI4" s="423" t="s">
        <v>1340</v>
      </c>
      <c r="AJ4" s="423" t="s">
        <v>1342</v>
      </c>
    </row>
    <row r="5" spans="1:62" s="986" customFormat="1" ht="15">
      <c r="A5" s="984">
        <v>1981</v>
      </c>
      <c r="B5" s="985">
        <f t="shared" ref="B5:L28" si="0">AN5/AZ5</f>
        <v>5.1940298507462686</v>
      </c>
      <c r="C5" s="985">
        <f t="shared" si="0"/>
        <v>5.36</v>
      </c>
      <c r="D5" s="985">
        <f t="shared" si="0"/>
        <v>4.7196261682242993</v>
      </c>
      <c r="E5" s="985">
        <f t="shared" si="0"/>
        <v>4.7241379310344831</v>
      </c>
      <c r="F5" s="985">
        <f t="shared" si="0"/>
        <v>5.4653465346534658</v>
      </c>
      <c r="G5" s="985">
        <f t="shared" si="0"/>
        <v>5.0393700787401574</v>
      </c>
      <c r="H5" s="985">
        <f t="shared" si="0"/>
        <v>4.6710526315789478</v>
      </c>
      <c r="I5" s="985">
        <f t="shared" si="0"/>
        <v>5.6982758620689653</v>
      </c>
      <c r="J5" s="985">
        <f t="shared" si="0"/>
        <v>6.4690265486725664</v>
      </c>
      <c r="K5" s="985">
        <f t="shared" si="0"/>
        <v>5.1830065359477127</v>
      </c>
      <c r="L5" s="985">
        <f>AX5/BJ5</f>
        <v>5.1148648648648649</v>
      </c>
      <c r="N5" s="999">
        <v>71200</v>
      </c>
      <c r="O5" s="999">
        <v>55200</v>
      </c>
      <c r="P5" s="999">
        <v>51900</v>
      </c>
      <c r="Q5" s="999">
        <v>56000</v>
      </c>
      <c r="R5" s="999">
        <v>56000</v>
      </c>
      <c r="S5" s="999">
        <v>65400</v>
      </c>
      <c r="T5" s="999">
        <v>72400</v>
      </c>
      <c r="U5" s="999">
        <v>67800</v>
      </c>
      <c r="V5" s="999">
        <v>74300</v>
      </c>
      <c r="W5" s="999">
        <v>80600</v>
      </c>
      <c r="X5" s="999">
        <v>77300</v>
      </c>
      <c r="Z5" s="1000">
        <v>13100</v>
      </c>
      <c r="AA5" s="1000">
        <v>10200</v>
      </c>
      <c r="AB5" s="1000">
        <v>10900</v>
      </c>
      <c r="AC5" s="1000">
        <v>11000</v>
      </c>
      <c r="AD5" s="1000">
        <v>10000</v>
      </c>
      <c r="AE5" s="1000">
        <v>12400</v>
      </c>
      <c r="AF5" s="1000">
        <v>14800</v>
      </c>
      <c r="AG5" s="1000">
        <v>11400</v>
      </c>
      <c r="AH5" s="1000">
        <v>11300</v>
      </c>
      <c r="AI5" s="1000">
        <v>15000</v>
      </c>
      <c r="AJ5" s="1000">
        <v>14300</v>
      </c>
      <c r="AK5" s="1000"/>
      <c r="AM5" s="986">
        <v>1981</v>
      </c>
      <c r="AN5" s="986">
        <v>69600</v>
      </c>
      <c r="AO5" s="986">
        <v>53600</v>
      </c>
      <c r="AP5" s="986">
        <v>50500</v>
      </c>
      <c r="AQ5" s="986">
        <v>54800</v>
      </c>
      <c r="AR5" s="986">
        <v>55200</v>
      </c>
      <c r="AS5" s="986">
        <v>64000</v>
      </c>
      <c r="AT5" s="986">
        <v>71000</v>
      </c>
      <c r="AU5" s="986">
        <v>66100</v>
      </c>
      <c r="AV5" s="986">
        <v>73100</v>
      </c>
      <c r="AW5" s="986">
        <v>79300</v>
      </c>
      <c r="AX5" s="986">
        <v>75700</v>
      </c>
      <c r="AY5" s="986">
        <v>1981</v>
      </c>
      <c r="AZ5" s="986">
        <v>13400</v>
      </c>
      <c r="BA5" s="986">
        <v>10000</v>
      </c>
      <c r="BB5" s="986">
        <v>10700</v>
      </c>
      <c r="BC5" s="986">
        <v>11600</v>
      </c>
      <c r="BD5" s="986">
        <v>10100</v>
      </c>
      <c r="BE5" s="986">
        <v>12700</v>
      </c>
      <c r="BF5" s="986">
        <v>15200</v>
      </c>
      <c r="BG5" s="986">
        <v>11600</v>
      </c>
      <c r="BH5" s="986">
        <v>11300</v>
      </c>
      <c r="BI5" s="986">
        <v>15300</v>
      </c>
      <c r="BJ5" s="986">
        <v>14800</v>
      </c>
    </row>
    <row r="6" spans="1:62" s="986" customFormat="1" ht="15">
      <c r="A6" s="984">
        <v>1982</v>
      </c>
      <c r="B6" s="985">
        <f t="shared" si="0"/>
        <v>5.4140625</v>
      </c>
      <c r="C6" s="985">
        <f t="shared" si="0"/>
        <v>5.3829787234042552</v>
      </c>
      <c r="D6" s="985">
        <f t="shared" si="0"/>
        <v>4.5585585585585582</v>
      </c>
      <c r="E6" s="985">
        <f t="shared" si="0"/>
        <v>5.0178571428571432</v>
      </c>
      <c r="F6" s="985">
        <f t="shared" si="0"/>
        <v>5.47</v>
      </c>
      <c r="G6" s="985">
        <f t="shared" si="0"/>
        <v>5.048</v>
      </c>
      <c r="H6" s="985">
        <f t="shared" si="0"/>
        <v>4.9510489510489508</v>
      </c>
      <c r="I6" s="985">
        <f t="shared" si="0"/>
        <v>5.8608695652173912</v>
      </c>
      <c r="J6" s="985">
        <f t="shared" si="0"/>
        <v>6</v>
      </c>
      <c r="K6" s="985">
        <f t="shared" si="0"/>
        <v>5.6258503401360542</v>
      </c>
      <c r="L6" s="985">
        <f t="shared" si="0"/>
        <v>5.8527131782945734</v>
      </c>
      <c r="N6" s="999">
        <v>71200</v>
      </c>
      <c r="O6" s="999">
        <v>52600</v>
      </c>
      <c r="P6" s="999">
        <v>50900</v>
      </c>
      <c r="Q6" s="999">
        <v>57300</v>
      </c>
      <c r="R6" s="999">
        <v>56000</v>
      </c>
      <c r="S6" s="999">
        <v>64500</v>
      </c>
      <c r="T6" s="999">
        <v>73000</v>
      </c>
      <c r="U6" s="999">
        <v>68600</v>
      </c>
      <c r="V6" s="999">
        <v>72000</v>
      </c>
      <c r="W6" s="999">
        <v>84700</v>
      </c>
      <c r="X6" s="999">
        <v>77000</v>
      </c>
      <c r="Z6" s="1000">
        <v>12700</v>
      </c>
      <c r="AA6" s="1000">
        <v>9600</v>
      </c>
      <c r="AB6" s="1000">
        <v>11100</v>
      </c>
      <c r="AC6" s="1000">
        <v>11200</v>
      </c>
      <c r="AD6" s="1000">
        <v>10000</v>
      </c>
      <c r="AE6" s="1000">
        <v>12200</v>
      </c>
      <c r="AF6" s="1000">
        <v>14000</v>
      </c>
      <c r="AG6" s="1000">
        <v>11700</v>
      </c>
      <c r="AH6" s="1000">
        <v>11600</v>
      </c>
      <c r="AI6" s="1000">
        <v>14500</v>
      </c>
      <c r="AJ6" s="1000">
        <v>12800</v>
      </c>
      <c r="AK6" s="1000"/>
      <c r="AM6" s="986">
        <v>1982</v>
      </c>
      <c r="AN6" s="986">
        <v>69300</v>
      </c>
      <c r="AO6" s="986">
        <v>50600</v>
      </c>
      <c r="AP6" s="986">
        <v>50600</v>
      </c>
      <c r="AQ6" s="986">
        <v>56200</v>
      </c>
      <c r="AR6" s="986">
        <v>54700</v>
      </c>
      <c r="AS6" s="986">
        <v>63100</v>
      </c>
      <c r="AT6" s="986">
        <v>70800</v>
      </c>
      <c r="AU6" s="986">
        <v>67400</v>
      </c>
      <c r="AV6" s="986">
        <v>69000</v>
      </c>
      <c r="AW6" s="986">
        <v>82700</v>
      </c>
      <c r="AX6" s="986">
        <v>75500</v>
      </c>
      <c r="AY6" s="986">
        <v>1982</v>
      </c>
      <c r="AZ6" s="986">
        <v>12800</v>
      </c>
      <c r="BA6" s="986">
        <v>9400</v>
      </c>
      <c r="BB6" s="986">
        <v>11100</v>
      </c>
      <c r="BC6" s="986">
        <v>11200</v>
      </c>
      <c r="BD6" s="986">
        <v>10000</v>
      </c>
      <c r="BE6" s="986">
        <v>12500</v>
      </c>
      <c r="BF6" s="986">
        <v>14300</v>
      </c>
      <c r="BG6" s="986">
        <v>11500</v>
      </c>
      <c r="BH6" s="986">
        <v>11500</v>
      </c>
      <c r="BI6" s="986">
        <v>14700</v>
      </c>
      <c r="BJ6" s="986">
        <v>12900</v>
      </c>
    </row>
    <row r="7" spans="1:62" s="986" customFormat="1" ht="15">
      <c r="A7" s="984">
        <v>1983</v>
      </c>
      <c r="B7" s="985">
        <f t="shared" si="0"/>
        <v>5.5919999999999996</v>
      </c>
      <c r="C7" s="985">
        <f t="shared" si="0"/>
        <v>5.6292134831460672</v>
      </c>
      <c r="D7" s="985">
        <f t="shared" si="0"/>
        <v>5.1545454545454543</v>
      </c>
      <c r="E7" s="985">
        <f t="shared" si="0"/>
        <v>5.017094017094017</v>
      </c>
      <c r="F7" s="985">
        <f t="shared" si="0"/>
        <v>5.9680851063829783</v>
      </c>
      <c r="G7" s="985">
        <f t="shared" si="0"/>
        <v>5.064516129032258</v>
      </c>
      <c r="H7" s="985">
        <f t="shared" si="0"/>
        <v>5.3857142857142861</v>
      </c>
      <c r="I7" s="985">
        <f t="shared" si="0"/>
        <v>5.8290598290598288</v>
      </c>
      <c r="J7" s="985">
        <f t="shared" si="0"/>
        <v>5.8434782608695652</v>
      </c>
      <c r="K7" s="985">
        <f t="shared" si="0"/>
        <v>6.3277310924369745</v>
      </c>
      <c r="L7" s="985">
        <f t="shared" si="0"/>
        <v>5.6434108527131785</v>
      </c>
      <c r="N7" s="999">
        <v>71400</v>
      </c>
      <c r="O7" s="999">
        <v>52000</v>
      </c>
      <c r="P7" s="999">
        <v>56200</v>
      </c>
      <c r="Q7" s="999">
        <v>61100</v>
      </c>
      <c r="R7" s="999">
        <v>57400</v>
      </c>
      <c r="S7" s="999">
        <v>64500</v>
      </c>
      <c r="T7" s="999">
        <v>76000</v>
      </c>
      <c r="U7" s="999">
        <v>70300</v>
      </c>
      <c r="V7" s="999">
        <v>68000</v>
      </c>
      <c r="W7" s="999">
        <v>77900</v>
      </c>
      <c r="X7" s="999">
        <v>74700</v>
      </c>
      <c r="Z7" s="1000">
        <v>12200</v>
      </c>
      <c r="AA7" s="1000">
        <v>8900</v>
      </c>
      <c r="AB7" s="1000">
        <v>11700</v>
      </c>
      <c r="AC7" s="1000">
        <v>11300</v>
      </c>
      <c r="AD7" s="1000">
        <v>9400</v>
      </c>
      <c r="AE7" s="1000">
        <v>11900</v>
      </c>
      <c r="AF7" s="1000">
        <v>13600</v>
      </c>
      <c r="AG7" s="1000">
        <v>11800</v>
      </c>
      <c r="AH7" s="1000">
        <v>11400</v>
      </c>
      <c r="AI7" s="1000">
        <v>12000</v>
      </c>
      <c r="AJ7" s="1000">
        <v>12700</v>
      </c>
      <c r="AK7" s="1000"/>
      <c r="AM7" s="986">
        <v>1983</v>
      </c>
      <c r="AN7" s="986">
        <v>69900</v>
      </c>
      <c r="AO7" s="986">
        <v>50100</v>
      </c>
      <c r="AP7" s="986">
        <v>56700</v>
      </c>
      <c r="AQ7" s="986">
        <v>58700</v>
      </c>
      <c r="AR7" s="986">
        <v>56100</v>
      </c>
      <c r="AS7" s="986">
        <v>62800</v>
      </c>
      <c r="AT7" s="986">
        <v>75400</v>
      </c>
      <c r="AU7" s="986">
        <v>68200</v>
      </c>
      <c r="AV7" s="986">
        <v>67200</v>
      </c>
      <c r="AW7" s="986">
        <v>75300</v>
      </c>
      <c r="AX7" s="986">
        <v>72800</v>
      </c>
      <c r="AY7" s="986">
        <v>1983</v>
      </c>
      <c r="AZ7" s="986">
        <v>12500</v>
      </c>
      <c r="BA7" s="986">
        <v>8900</v>
      </c>
      <c r="BB7" s="986">
        <v>11000</v>
      </c>
      <c r="BC7" s="986">
        <v>11700</v>
      </c>
      <c r="BD7" s="986">
        <v>9400</v>
      </c>
      <c r="BE7" s="986">
        <v>12400</v>
      </c>
      <c r="BF7" s="986">
        <v>14000</v>
      </c>
      <c r="BG7" s="986">
        <v>11700</v>
      </c>
      <c r="BH7" s="986">
        <v>11500</v>
      </c>
      <c r="BI7" s="986">
        <v>11900</v>
      </c>
      <c r="BJ7" s="986">
        <v>12900</v>
      </c>
    </row>
    <row r="8" spans="1:62" s="986" customFormat="1" ht="15">
      <c r="A8" s="984">
        <v>1984</v>
      </c>
      <c r="B8" s="985">
        <f t="shared" si="0"/>
        <v>5.653225806451613</v>
      </c>
      <c r="C8" s="985">
        <f t="shared" si="0"/>
        <v>5.4835164835164836</v>
      </c>
      <c r="D8" s="985">
        <f t="shared" si="0"/>
        <v>4.333333333333333</v>
      </c>
      <c r="E8" s="985">
        <f t="shared" si="0"/>
        <v>5.221238938053097</v>
      </c>
      <c r="F8" s="985">
        <f t="shared" si="0"/>
        <v>5.6336633663366333</v>
      </c>
      <c r="G8" s="985">
        <f t="shared" si="0"/>
        <v>5.5041322314049586</v>
      </c>
      <c r="H8" s="985">
        <f t="shared" si="0"/>
        <v>5.1655172413793107</v>
      </c>
      <c r="I8" s="985">
        <f t="shared" si="0"/>
        <v>5.4749999999999996</v>
      </c>
      <c r="J8" s="985">
        <f t="shared" si="0"/>
        <v>6.7653061224489797</v>
      </c>
      <c r="K8" s="985">
        <f t="shared" si="0"/>
        <v>6.1848739495798322</v>
      </c>
      <c r="L8" s="985">
        <f t="shared" si="0"/>
        <v>5.8292682926829267</v>
      </c>
      <c r="N8" s="999">
        <v>71400</v>
      </c>
      <c r="O8" s="999">
        <v>51400</v>
      </c>
      <c r="P8" s="999">
        <v>52400</v>
      </c>
      <c r="Q8" s="999">
        <v>59900</v>
      </c>
      <c r="R8" s="999">
        <v>57600</v>
      </c>
      <c r="S8" s="999">
        <v>68000</v>
      </c>
      <c r="T8" s="999">
        <v>75700</v>
      </c>
      <c r="U8" s="999">
        <v>67100</v>
      </c>
      <c r="V8" s="999">
        <v>67600</v>
      </c>
      <c r="W8" s="999">
        <v>75100</v>
      </c>
      <c r="X8" s="999">
        <v>73500</v>
      </c>
      <c r="Z8" s="1000">
        <v>12300</v>
      </c>
      <c r="AA8" s="1000">
        <v>9200</v>
      </c>
      <c r="AB8" s="1000">
        <v>11500</v>
      </c>
      <c r="AC8" s="1000">
        <v>11000</v>
      </c>
      <c r="AD8" s="1000">
        <v>10000</v>
      </c>
      <c r="AE8" s="1000">
        <v>11800</v>
      </c>
      <c r="AF8" s="1000">
        <v>14100</v>
      </c>
      <c r="AG8" s="1000">
        <v>12400</v>
      </c>
      <c r="AH8" s="1000">
        <v>10200</v>
      </c>
      <c r="AI8" s="1000">
        <v>11800</v>
      </c>
      <c r="AJ8" s="1000">
        <v>12200</v>
      </c>
      <c r="AK8" s="1000"/>
      <c r="AM8" s="986">
        <v>1984</v>
      </c>
      <c r="AN8" s="986">
        <v>70100</v>
      </c>
      <c r="AO8" s="986">
        <v>49900</v>
      </c>
      <c r="AP8" s="986">
        <v>50700</v>
      </c>
      <c r="AQ8" s="986">
        <v>59000</v>
      </c>
      <c r="AR8" s="986">
        <v>56900</v>
      </c>
      <c r="AS8" s="986">
        <v>66600</v>
      </c>
      <c r="AT8" s="986">
        <v>74900</v>
      </c>
      <c r="AU8" s="986">
        <v>65700</v>
      </c>
      <c r="AV8" s="986">
        <v>66300</v>
      </c>
      <c r="AW8" s="986">
        <v>73600</v>
      </c>
      <c r="AX8" s="986">
        <v>71700</v>
      </c>
      <c r="AY8" s="986">
        <v>1984</v>
      </c>
      <c r="AZ8" s="986">
        <v>12400</v>
      </c>
      <c r="BA8" s="986">
        <v>9100</v>
      </c>
      <c r="BB8" s="986">
        <v>11700</v>
      </c>
      <c r="BC8" s="986">
        <v>11300</v>
      </c>
      <c r="BD8" s="986">
        <v>10100</v>
      </c>
      <c r="BE8" s="986">
        <v>12100</v>
      </c>
      <c r="BF8" s="986">
        <v>14500</v>
      </c>
      <c r="BG8" s="986">
        <v>12000</v>
      </c>
      <c r="BH8" s="986">
        <v>9800</v>
      </c>
      <c r="BI8" s="986">
        <v>11900</v>
      </c>
      <c r="BJ8" s="986">
        <v>12300</v>
      </c>
    </row>
    <row r="9" spans="1:62" s="986" customFormat="1" ht="15">
      <c r="A9" s="984">
        <v>1985</v>
      </c>
      <c r="B9" s="985">
        <f t="shared" si="0"/>
        <v>5.416666666666667</v>
      </c>
      <c r="C9" s="985">
        <f t="shared" si="0"/>
        <v>5.8478260869565215</v>
      </c>
      <c r="D9" s="985">
        <f t="shared" si="0"/>
        <v>4.2520325203252032</v>
      </c>
      <c r="E9" s="985">
        <f t="shared" si="0"/>
        <v>5.442622950819672</v>
      </c>
      <c r="F9" s="985">
        <f t="shared" si="0"/>
        <v>5.0353982300884956</v>
      </c>
      <c r="G9" s="985">
        <f t="shared" si="0"/>
        <v>5.0465116279069768</v>
      </c>
      <c r="H9" s="985">
        <f t="shared" si="0"/>
        <v>5.0457516339869279</v>
      </c>
      <c r="I9" s="985">
        <f t="shared" si="0"/>
        <v>5.2857142857142856</v>
      </c>
      <c r="J9" s="985">
        <f t="shared" si="0"/>
        <v>6.9793814432989691</v>
      </c>
      <c r="K9" s="985">
        <f t="shared" si="0"/>
        <v>5.5</v>
      </c>
      <c r="L9" s="985">
        <f t="shared" si="0"/>
        <v>5.8015873015873014</v>
      </c>
      <c r="N9" s="999">
        <v>73000</v>
      </c>
      <c r="O9" s="999">
        <v>54200</v>
      </c>
      <c r="P9" s="999">
        <v>55500</v>
      </c>
      <c r="Q9" s="999">
        <v>67800</v>
      </c>
      <c r="R9" s="999">
        <v>58300</v>
      </c>
      <c r="S9" s="999">
        <v>66500</v>
      </c>
      <c r="T9" s="999">
        <v>78500</v>
      </c>
      <c r="U9" s="999">
        <v>66600</v>
      </c>
      <c r="V9" s="999">
        <v>69500</v>
      </c>
      <c r="W9" s="999">
        <v>77300</v>
      </c>
      <c r="X9" s="999">
        <v>75200</v>
      </c>
      <c r="Z9" s="1000">
        <v>13000</v>
      </c>
      <c r="AA9" s="1000">
        <v>9100</v>
      </c>
      <c r="AB9" s="1000">
        <v>12200</v>
      </c>
      <c r="AC9" s="1000">
        <v>11900</v>
      </c>
      <c r="AD9" s="1000">
        <v>11200</v>
      </c>
      <c r="AE9" s="1000">
        <v>12500</v>
      </c>
      <c r="AF9" s="1000">
        <v>15000</v>
      </c>
      <c r="AG9" s="1000">
        <v>12700</v>
      </c>
      <c r="AH9" s="1000">
        <v>10100</v>
      </c>
      <c r="AI9" s="1000">
        <v>13700</v>
      </c>
      <c r="AJ9" s="1000">
        <v>12100</v>
      </c>
      <c r="AK9" s="1000"/>
      <c r="AM9" s="986">
        <v>1985</v>
      </c>
      <c r="AN9" s="986">
        <v>71500</v>
      </c>
      <c r="AO9" s="986">
        <v>53800</v>
      </c>
      <c r="AP9" s="986">
        <v>52300</v>
      </c>
      <c r="AQ9" s="986">
        <v>66400</v>
      </c>
      <c r="AR9" s="986">
        <v>56900</v>
      </c>
      <c r="AS9" s="986">
        <v>65100</v>
      </c>
      <c r="AT9" s="986">
        <v>77200</v>
      </c>
      <c r="AU9" s="986">
        <v>66600</v>
      </c>
      <c r="AV9" s="986">
        <v>67700</v>
      </c>
      <c r="AW9" s="986">
        <v>75900</v>
      </c>
      <c r="AX9" s="986">
        <v>73100</v>
      </c>
      <c r="AY9" s="986">
        <v>1985</v>
      </c>
      <c r="AZ9" s="986">
        <v>13200</v>
      </c>
      <c r="BA9" s="986">
        <v>9200</v>
      </c>
      <c r="BB9" s="986">
        <v>12300</v>
      </c>
      <c r="BC9" s="986">
        <v>12200</v>
      </c>
      <c r="BD9" s="986">
        <v>11300</v>
      </c>
      <c r="BE9" s="986">
        <v>12900</v>
      </c>
      <c r="BF9" s="986">
        <v>15300</v>
      </c>
      <c r="BG9" s="986">
        <v>12600</v>
      </c>
      <c r="BH9" s="986">
        <v>9700</v>
      </c>
      <c r="BI9" s="986">
        <v>13800</v>
      </c>
      <c r="BJ9" s="986">
        <v>12600</v>
      </c>
    </row>
    <row r="10" spans="1:62" s="986" customFormat="1" ht="15">
      <c r="A10" s="984">
        <v>1986</v>
      </c>
      <c r="B10" s="985">
        <f t="shared" si="0"/>
        <v>5.3503649635036492</v>
      </c>
      <c r="C10" s="985">
        <f t="shared" si="0"/>
        <v>4.9595959595959593</v>
      </c>
      <c r="D10" s="985">
        <f t="shared" si="0"/>
        <v>4.106870229007634</v>
      </c>
      <c r="E10" s="985">
        <f t="shared" si="0"/>
        <v>5.2479338842975203</v>
      </c>
      <c r="F10" s="985">
        <f t="shared" si="0"/>
        <v>4.7179487179487181</v>
      </c>
      <c r="G10" s="985">
        <f t="shared" si="0"/>
        <v>5.0909090909090908</v>
      </c>
      <c r="H10" s="985">
        <f t="shared" si="0"/>
        <v>4.8780487804878048</v>
      </c>
      <c r="I10" s="985">
        <f t="shared" si="0"/>
        <v>5.4715447154471546</v>
      </c>
      <c r="J10" s="985">
        <f t="shared" si="0"/>
        <v>7.3191489361702127</v>
      </c>
      <c r="K10" s="985">
        <f t="shared" si="0"/>
        <v>5.4042553191489358</v>
      </c>
      <c r="L10" s="985">
        <f t="shared" si="0"/>
        <v>5.5481481481481483</v>
      </c>
      <c r="N10" s="999">
        <v>74600</v>
      </c>
      <c r="O10" s="999">
        <v>50600</v>
      </c>
      <c r="P10" s="999">
        <v>56200</v>
      </c>
      <c r="Q10" s="999">
        <v>64100</v>
      </c>
      <c r="R10" s="999">
        <v>56700</v>
      </c>
      <c r="S10" s="999">
        <v>68600</v>
      </c>
      <c r="T10" s="999">
        <v>81500</v>
      </c>
      <c r="U10" s="999">
        <v>68300</v>
      </c>
      <c r="V10" s="999">
        <v>70700</v>
      </c>
      <c r="W10" s="999">
        <v>77000</v>
      </c>
      <c r="X10" s="999">
        <v>74800</v>
      </c>
      <c r="Z10" s="1000">
        <v>13400</v>
      </c>
      <c r="AA10" s="1000">
        <v>9800</v>
      </c>
      <c r="AB10" s="1000">
        <v>13100</v>
      </c>
      <c r="AC10" s="1000">
        <v>11700</v>
      </c>
      <c r="AD10" s="1000">
        <v>11500</v>
      </c>
      <c r="AE10" s="1000">
        <v>12700</v>
      </c>
      <c r="AF10" s="1000">
        <v>15800</v>
      </c>
      <c r="AG10" s="1000">
        <v>12500</v>
      </c>
      <c r="AH10" s="1000">
        <v>10000</v>
      </c>
      <c r="AI10" s="1000">
        <v>14000</v>
      </c>
      <c r="AJ10" s="1000">
        <v>13300</v>
      </c>
      <c r="AK10" s="1000"/>
      <c r="AM10" s="986">
        <v>1986</v>
      </c>
      <c r="AN10" s="986">
        <v>73300</v>
      </c>
      <c r="AO10" s="986">
        <v>49100</v>
      </c>
      <c r="AP10" s="986">
        <v>53800</v>
      </c>
      <c r="AQ10" s="986">
        <v>63500</v>
      </c>
      <c r="AR10" s="986">
        <v>55200</v>
      </c>
      <c r="AS10" s="986">
        <v>67200</v>
      </c>
      <c r="AT10" s="986">
        <v>80000</v>
      </c>
      <c r="AU10" s="986">
        <v>67300</v>
      </c>
      <c r="AV10" s="986">
        <v>68800</v>
      </c>
      <c r="AW10" s="986">
        <v>76200</v>
      </c>
      <c r="AX10" s="986">
        <v>74900</v>
      </c>
      <c r="AY10" s="986">
        <v>1986</v>
      </c>
      <c r="AZ10" s="986">
        <v>13700</v>
      </c>
      <c r="BA10" s="986">
        <v>9900</v>
      </c>
      <c r="BB10" s="986">
        <v>13100</v>
      </c>
      <c r="BC10" s="986">
        <v>12100</v>
      </c>
      <c r="BD10" s="986">
        <v>11700</v>
      </c>
      <c r="BE10" s="986">
        <v>13200</v>
      </c>
      <c r="BF10" s="986">
        <v>16400</v>
      </c>
      <c r="BG10" s="986">
        <v>12300</v>
      </c>
      <c r="BH10" s="986">
        <v>9400</v>
      </c>
      <c r="BI10" s="986">
        <v>14100</v>
      </c>
      <c r="BJ10" s="986">
        <v>13500</v>
      </c>
    </row>
    <row r="11" spans="1:62" s="986" customFormat="1" ht="15">
      <c r="A11" s="984">
        <v>1987</v>
      </c>
      <c r="B11" s="985">
        <f t="shared" si="0"/>
        <v>5.2765957446808507</v>
      </c>
      <c r="C11" s="985">
        <f t="shared" si="0"/>
        <v>5.24</v>
      </c>
      <c r="D11" s="985">
        <f t="shared" si="0"/>
        <v>4.4341085271317828</v>
      </c>
      <c r="E11" s="985">
        <f t="shared" si="0"/>
        <v>4.8984375</v>
      </c>
      <c r="F11" s="985">
        <f t="shared" si="0"/>
        <v>4.8620689655172411</v>
      </c>
      <c r="G11" s="985">
        <f t="shared" si="0"/>
        <v>5.2748091603053435</v>
      </c>
      <c r="H11" s="985">
        <f t="shared" si="0"/>
        <v>4.7602339181286553</v>
      </c>
      <c r="I11" s="985">
        <f t="shared" si="0"/>
        <v>5.0229007633587788</v>
      </c>
      <c r="J11" s="985">
        <f t="shared" si="0"/>
        <v>5.6186440677966099</v>
      </c>
      <c r="K11" s="985">
        <f t="shared" si="0"/>
        <v>5.4275362318840576</v>
      </c>
      <c r="L11" s="985">
        <f t="shared" si="0"/>
        <v>5.6518518518518519</v>
      </c>
      <c r="N11" s="999">
        <v>75700</v>
      </c>
      <c r="O11" s="999">
        <v>53200</v>
      </c>
      <c r="P11" s="999">
        <v>57700</v>
      </c>
      <c r="Q11" s="999">
        <v>63400</v>
      </c>
      <c r="R11" s="999">
        <v>57100</v>
      </c>
      <c r="S11" s="999">
        <v>70000</v>
      </c>
      <c r="T11" s="999">
        <v>82500</v>
      </c>
      <c r="U11" s="999">
        <v>66300</v>
      </c>
      <c r="V11" s="999">
        <v>68300</v>
      </c>
      <c r="W11" s="999">
        <v>77700</v>
      </c>
      <c r="X11" s="999">
        <v>78700</v>
      </c>
      <c r="Z11" s="1000">
        <v>13800</v>
      </c>
      <c r="AA11" s="1000">
        <v>9800</v>
      </c>
      <c r="AB11" s="1000">
        <v>12800</v>
      </c>
      <c r="AC11" s="1000">
        <v>12500</v>
      </c>
      <c r="AD11" s="1000">
        <v>11200</v>
      </c>
      <c r="AE11" s="1000">
        <v>12700</v>
      </c>
      <c r="AF11" s="1000">
        <v>16500</v>
      </c>
      <c r="AG11" s="1000">
        <v>13200</v>
      </c>
      <c r="AH11" s="1000">
        <v>11700</v>
      </c>
      <c r="AI11" s="1000">
        <v>13500</v>
      </c>
      <c r="AJ11" s="1000">
        <v>13100</v>
      </c>
      <c r="AK11" s="1000"/>
      <c r="AM11" s="986">
        <v>1987</v>
      </c>
      <c r="AN11" s="986">
        <v>74400</v>
      </c>
      <c r="AO11" s="986">
        <v>52400</v>
      </c>
      <c r="AP11" s="986">
        <v>57200</v>
      </c>
      <c r="AQ11" s="986">
        <v>62700</v>
      </c>
      <c r="AR11" s="986">
        <v>56400</v>
      </c>
      <c r="AS11" s="986">
        <v>69100</v>
      </c>
      <c r="AT11" s="986">
        <v>81400</v>
      </c>
      <c r="AU11" s="986">
        <v>65800</v>
      </c>
      <c r="AV11" s="986">
        <v>66300</v>
      </c>
      <c r="AW11" s="986">
        <v>74900</v>
      </c>
      <c r="AX11" s="986">
        <v>76300</v>
      </c>
      <c r="AY11" s="986">
        <v>1987</v>
      </c>
      <c r="AZ11" s="986">
        <v>14100</v>
      </c>
      <c r="BA11" s="986">
        <v>10000</v>
      </c>
      <c r="BB11" s="986">
        <v>12900</v>
      </c>
      <c r="BC11" s="986">
        <v>12800</v>
      </c>
      <c r="BD11" s="986">
        <v>11600</v>
      </c>
      <c r="BE11" s="986">
        <v>13100</v>
      </c>
      <c r="BF11" s="986">
        <v>17100</v>
      </c>
      <c r="BG11" s="986">
        <v>13100</v>
      </c>
      <c r="BH11" s="986">
        <v>11800</v>
      </c>
      <c r="BI11" s="986">
        <v>13800</v>
      </c>
      <c r="BJ11" s="986">
        <v>13500</v>
      </c>
    </row>
    <row r="12" spans="1:62" s="986" customFormat="1" ht="15">
      <c r="A12" s="984">
        <v>1988</v>
      </c>
      <c r="B12" s="985">
        <f t="shared" si="0"/>
        <v>5.1486486486486482</v>
      </c>
      <c r="C12" s="985">
        <f t="shared" si="0"/>
        <v>4.7818181818181822</v>
      </c>
      <c r="D12" s="985">
        <f t="shared" si="0"/>
        <v>4.0150375939849621</v>
      </c>
      <c r="E12" s="985">
        <f t="shared" si="0"/>
        <v>4.7611940298507465</v>
      </c>
      <c r="F12" s="985">
        <f t="shared" si="0"/>
        <v>4.653225806451613</v>
      </c>
      <c r="G12" s="985">
        <f t="shared" si="0"/>
        <v>4.9202898550724639</v>
      </c>
      <c r="H12" s="985">
        <f t="shared" si="0"/>
        <v>4.797752808988764</v>
      </c>
      <c r="I12" s="985">
        <f t="shared" si="0"/>
        <v>5.2205882352941178</v>
      </c>
      <c r="J12" s="985">
        <f t="shared" si="0"/>
        <v>6.0353982300884956</v>
      </c>
      <c r="K12" s="985">
        <f t="shared" si="0"/>
        <v>5.2569444444444446</v>
      </c>
      <c r="L12" s="985">
        <f t="shared" si="0"/>
        <v>4.8496732026143787</v>
      </c>
      <c r="N12" s="999">
        <v>77600</v>
      </c>
      <c r="O12" s="999">
        <v>53200</v>
      </c>
      <c r="P12" s="999">
        <v>53100</v>
      </c>
      <c r="Q12" s="999">
        <v>63900</v>
      </c>
      <c r="R12" s="999">
        <v>58200</v>
      </c>
      <c r="S12" s="999">
        <v>69000</v>
      </c>
      <c r="T12" s="999">
        <v>87100</v>
      </c>
      <c r="U12" s="999">
        <v>73500</v>
      </c>
      <c r="V12" s="999">
        <v>69900</v>
      </c>
      <c r="W12" s="999">
        <v>76700</v>
      </c>
      <c r="X12" s="999">
        <v>77200</v>
      </c>
      <c r="Z12" s="1000">
        <v>14300</v>
      </c>
      <c r="AA12" s="1000">
        <v>10900</v>
      </c>
      <c r="AB12" s="1000">
        <v>12900</v>
      </c>
      <c r="AC12" s="1000">
        <v>12900</v>
      </c>
      <c r="AD12" s="1000">
        <v>12000</v>
      </c>
      <c r="AE12" s="1000">
        <v>13200</v>
      </c>
      <c r="AF12" s="1000">
        <v>17000</v>
      </c>
      <c r="AG12" s="1000">
        <v>13600</v>
      </c>
      <c r="AH12" s="1000">
        <v>11600</v>
      </c>
      <c r="AI12" s="1000">
        <v>14100</v>
      </c>
      <c r="AJ12" s="1000">
        <v>14600</v>
      </c>
      <c r="AK12" s="1000"/>
      <c r="AM12" s="986">
        <v>1988</v>
      </c>
      <c r="AN12" s="986">
        <v>76200</v>
      </c>
      <c r="AO12" s="986">
        <v>52600</v>
      </c>
      <c r="AP12" s="986">
        <v>53400</v>
      </c>
      <c r="AQ12" s="986">
        <v>63800</v>
      </c>
      <c r="AR12" s="986">
        <v>57700</v>
      </c>
      <c r="AS12" s="986">
        <v>67900</v>
      </c>
      <c r="AT12" s="986">
        <v>85400</v>
      </c>
      <c r="AU12" s="986">
        <v>71000</v>
      </c>
      <c r="AV12" s="986">
        <v>68200</v>
      </c>
      <c r="AW12" s="986">
        <v>75700</v>
      </c>
      <c r="AX12" s="986">
        <v>74200</v>
      </c>
      <c r="AY12" s="986">
        <v>1988</v>
      </c>
      <c r="AZ12" s="986">
        <v>14800</v>
      </c>
      <c r="BA12" s="986">
        <v>11000</v>
      </c>
      <c r="BB12" s="986">
        <v>13300</v>
      </c>
      <c r="BC12" s="986">
        <v>13400</v>
      </c>
      <c r="BD12" s="986">
        <v>12400</v>
      </c>
      <c r="BE12" s="986">
        <v>13800</v>
      </c>
      <c r="BF12" s="986">
        <v>17800</v>
      </c>
      <c r="BG12" s="986">
        <v>13600</v>
      </c>
      <c r="BH12" s="986">
        <v>11300</v>
      </c>
      <c r="BI12" s="986">
        <v>14400</v>
      </c>
      <c r="BJ12" s="986">
        <v>15300</v>
      </c>
    </row>
    <row r="13" spans="1:62" s="986" customFormat="1" ht="15">
      <c r="A13" s="984">
        <v>1989</v>
      </c>
      <c r="B13" s="985">
        <f t="shared" si="0"/>
        <v>5.143790849673203</v>
      </c>
      <c r="C13" s="985">
        <f t="shared" si="0"/>
        <v>4.7731092436974789</v>
      </c>
      <c r="D13" s="985">
        <f t="shared" si="0"/>
        <v>4.1942446043165464</v>
      </c>
      <c r="E13" s="985">
        <f t="shared" si="0"/>
        <v>4.8602941176470589</v>
      </c>
      <c r="F13" s="985">
        <f t="shared" si="0"/>
        <v>4.7</v>
      </c>
      <c r="G13" s="985">
        <f t="shared" si="0"/>
        <v>4.8299319727891152</v>
      </c>
      <c r="H13" s="985">
        <f t="shared" si="0"/>
        <v>5.005586592178771</v>
      </c>
      <c r="I13" s="985">
        <f t="shared" si="0"/>
        <v>5.0999999999999996</v>
      </c>
      <c r="J13" s="985">
        <f t="shared" si="0"/>
        <v>5.8596491228070171</v>
      </c>
      <c r="K13" s="985">
        <f t="shared" si="0"/>
        <v>5.7727272727272725</v>
      </c>
      <c r="L13" s="985">
        <f t="shared" si="0"/>
        <v>4.5212121212121215</v>
      </c>
      <c r="N13" s="999">
        <v>79700</v>
      </c>
      <c r="O13" s="999">
        <v>57200</v>
      </c>
      <c r="P13" s="999">
        <v>57500</v>
      </c>
      <c r="Q13" s="999">
        <v>67400</v>
      </c>
      <c r="R13" s="999">
        <v>61400</v>
      </c>
      <c r="S13" s="999">
        <v>71500</v>
      </c>
      <c r="T13" s="999">
        <v>90300</v>
      </c>
      <c r="U13" s="999">
        <v>73500</v>
      </c>
      <c r="V13" s="999">
        <v>69400</v>
      </c>
      <c r="W13" s="999">
        <v>78500</v>
      </c>
      <c r="X13" s="999">
        <v>75900</v>
      </c>
      <c r="Z13" s="1000">
        <v>14900</v>
      </c>
      <c r="AA13" s="1000">
        <v>11700</v>
      </c>
      <c r="AB13" s="1000">
        <v>13300</v>
      </c>
      <c r="AC13" s="1000">
        <v>13000</v>
      </c>
      <c r="AD13" s="1000">
        <v>12500</v>
      </c>
      <c r="AE13" s="1000">
        <v>14200</v>
      </c>
      <c r="AF13" s="1000">
        <v>17200</v>
      </c>
      <c r="AG13" s="1000">
        <v>14500</v>
      </c>
      <c r="AH13" s="1000">
        <v>11600</v>
      </c>
      <c r="AI13" s="1000">
        <v>13300</v>
      </c>
      <c r="AJ13" s="1000">
        <v>16100</v>
      </c>
      <c r="AK13" s="1000"/>
      <c r="AM13" s="986">
        <v>1989</v>
      </c>
      <c r="AN13" s="986">
        <v>78700</v>
      </c>
      <c r="AO13" s="986">
        <v>56800</v>
      </c>
      <c r="AP13" s="986">
        <v>58300</v>
      </c>
      <c r="AQ13" s="986">
        <v>66100</v>
      </c>
      <c r="AR13" s="986">
        <v>61100</v>
      </c>
      <c r="AS13" s="986">
        <v>71000</v>
      </c>
      <c r="AT13" s="986">
        <v>89600</v>
      </c>
      <c r="AU13" s="986">
        <v>71400</v>
      </c>
      <c r="AV13" s="986">
        <v>66800</v>
      </c>
      <c r="AW13" s="986">
        <v>76200</v>
      </c>
      <c r="AX13" s="986">
        <v>74600</v>
      </c>
      <c r="AY13" s="986">
        <v>1989</v>
      </c>
      <c r="AZ13" s="986">
        <v>15300</v>
      </c>
      <c r="BA13" s="986">
        <v>11900</v>
      </c>
      <c r="BB13" s="986">
        <v>13900</v>
      </c>
      <c r="BC13" s="986">
        <v>13600</v>
      </c>
      <c r="BD13" s="986">
        <v>13000</v>
      </c>
      <c r="BE13" s="986">
        <v>14700</v>
      </c>
      <c r="BF13" s="986">
        <v>17900</v>
      </c>
      <c r="BG13" s="986">
        <v>14000</v>
      </c>
      <c r="BH13" s="986">
        <v>11400</v>
      </c>
      <c r="BI13" s="986">
        <v>13200</v>
      </c>
      <c r="BJ13" s="986">
        <v>16500</v>
      </c>
    </row>
    <row r="14" spans="1:62" s="986" customFormat="1" ht="15">
      <c r="A14" s="984">
        <v>1990</v>
      </c>
      <c r="B14" s="985">
        <f t="shared" si="0"/>
        <v>5.4680851063829783</v>
      </c>
      <c r="C14" s="985">
        <f t="shared" si="0"/>
        <v>5.2129629629629628</v>
      </c>
      <c r="D14" s="985">
        <f t="shared" si="0"/>
        <v>4.1970802919708028</v>
      </c>
      <c r="E14" s="985">
        <f t="shared" si="0"/>
        <v>4.9847328244274811</v>
      </c>
      <c r="F14" s="985">
        <f t="shared" si="0"/>
        <v>4.7578125</v>
      </c>
      <c r="G14" s="985">
        <f t="shared" si="0"/>
        <v>4.9708029197080288</v>
      </c>
      <c r="H14" s="985">
        <f t="shared" si="0"/>
        <v>5.1506024096385543</v>
      </c>
      <c r="I14" s="985">
        <f t="shared" si="0"/>
        <v>5.5609756097560972</v>
      </c>
      <c r="J14" s="985">
        <f t="shared" si="0"/>
        <v>6.615384615384615</v>
      </c>
      <c r="K14" s="985">
        <f t="shared" si="0"/>
        <v>5.7333333333333334</v>
      </c>
      <c r="L14" s="985">
        <f t="shared" si="0"/>
        <v>5.9626865671641793</v>
      </c>
      <c r="N14" s="999">
        <v>78100</v>
      </c>
      <c r="O14" s="999">
        <v>56600</v>
      </c>
      <c r="P14" s="999">
        <v>58100</v>
      </c>
      <c r="Q14" s="999">
        <v>66000</v>
      </c>
      <c r="R14" s="999">
        <v>61600</v>
      </c>
      <c r="S14" s="999">
        <v>68100</v>
      </c>
      <c r="T14" s="999">
        <v>87400</v>
      </c>
      <c r="U14" s="999">
        <v>69900</v>
      </c>
      <c r="V14" s="999">
        <v>70500</v>
      </c>
      <c r="W14" s="999">
        <v>79200</v>
      </c>
      <c r="X14" s="999">
        <v>80300</v>
      </c>
      <c r="Z14" s="1000">
        <v>13700</v>
      </c>
      <c r="AA14" s="1000">
        <v>10500</v>
      </c>
      <c r="AB14" s="1000">
        <v>13300</v>
      </c>
      <c r="AC14" s="1000">
        <v>12700</v>
      </c>
      <c r="AD14" s="1000">
        <v>12600</v>
      </c>
      <c r="AE14" s="1000">
        <v>13100</v>
      </c>
      <c r="AF14" s="1000">
        <v>16100</v>
      </c>
      <c r="AG14" s="1000">
        <v>12400</v>
      </c>
      <c r="AH14" s="1000">
        <v>10800</v>
      </c>
      <c r="AI14" s="1000">
        <v>13600</v>
      </c>
      <c r="AJ14" s="1000">
        <v>12700</v>
      </c>
      <c r="AK14" s="1000"/>
      <c r="AM14" s="986">
        <v>1990</v>
      </c>
      <c r="AN14" s="986">
        <v>77100</v>
      </c>
      <c r="AO14" s="986">
        <v>56300</v>
      </c>
      <c r="AP14" s="986">
        <v>57500</v>
      </c>
      <c r="AQ14" s="986">
        <v>65300</v>
      </c>
      <c r="AR14" s="986">
        <v>60900</v>
      </c>
      <c r="AS14" s="986">
        <v>68100</v>
      </c>
      <c r="AT14" s="986">
        <v>85500</v>
      </c>
      <c r="AU14" s="986">
        <v>68400</v>
      </c>
      <c r="AV14" s="986">
        <v>68800</v>
      </c>
      <c r="AW14" s="986">
        <v>77400</v>
      </c>
      <c r="AX14" s="986">
        <v>79900</v>
      </c>
      <c r="AY14" s="986">
        <v>1990</v>
      </c>
      <c r="AZ14" s="986">
        <v>14100</v>
      </c>
      <c r="BA14" s="986">
        <v>10800</v>
      </c>
      <c r="BB14" s="986">
        <v>13700</v>
      </c>
      <c r="BC14" s="986">
        <v>13100</v>
      </c>
      <c r="BD14" s="986">
        <v>12800</v>
      </c>
      <c r="BE14" s="986">
        <v>13700</v>
      </c>
      <c r="BF14" s="986">
        <v>16600</v>
      </c>
      <c r="BG14" s="986">
        <v>12300</v>
      </c>
      <c r="BH14" s="986">
        <v>10400</v>
      </c>
      <c r="BI14" s="986">
        <v>13500</v>
      </c>
      <c r="BJ14" s="986">
        <v>13400</v>
      </c>
    </row>
    <row r="15" spans="1:62" s="986" customFormat="1" ht="15">
      <c r="A15" s="984">
        <v>1991</v>
      </c>
      <c r="B15" s="985">
        <f t="shared" si="0"/>
        <v>5.6888888888888891</v>
      </c>
      <c r="C15" s="985">
        <f t="shared" si="0"/>
        <v>5.3773584905660377</v>
      </c>
      <c r="D15" s="985">
        <f t="shared" si="0"/>
        <v>4.4609375</v>
      </c>
      <c r="E15" s="985">
        <f t="shared" si="0"/>
        <v>4.9370078740157481</v>
      </c>
      <c r="F15" s="985">
        <f t="shared" si="0"/>
        <v>5.1025641025641022</v>
      </c>
      <c r="G15" s="985">
        <f t="shared" si="0"/>
        <v>5.390625</v>
      </c>
      <c r="H15" s="985">
        <f t="shared" si="0"/>
        <v>5.706666666666667</v>
      </c>
      <c r="I15" s="985">
        <f t="shared" si="0"/>
        <v>5.7264957264957266</v>
      </c>
      <c r="J15" s="985">
        <f t="shared" si="0"/>
        <v>6.1308411214953269</v>
      </c>
      <c r="K15" s="985">
        <f t="shared" si="0"/>
        <v>6.0666666666666664</v>
      </c>
      <c r="L15" s="985">
        <f t="shared" si="0"/>
        <v>5.0536912751677852</v>
      </c>
      <c r="N15" s="999">
        <v>77800</v>
      </c>
      <c r="O15" s="999">
        <v>57300</v>
      </c>
      <c r="P15" s="999">
        <v>58100</v>
      </c>
      <c r="Q15" s="999">
        <v>63900</v>
      </c>
      <c r="R15" s="999">
        <v>60200</v>
      </c>
      <c r="S15" s="999">
        <v>69500</v>
      </c>
      <c r="T15" s="999">
        <v>86800</v>
      </c>
      <c r="U15" s="999">
        <v>68500</v>
      </c>
      <c r="V15" s="999">
        <v>66100</v>
      </c>
      <c r="W15" s="999">
        <v>84400</v>
      </c>
      <c r="X15" s="999">
        <v>75900</v>
      </c>
      <c r="Z15" s="1000">
        <v>13200</v>
      </c>
      <c r="AA15" s="1000">
        <v>10200</v>
      </c>
      <c r="AB15" s="1000">
        <v>12500</v>
      </c>
      <c r="AC15" s="1000">
        <v>12400</v>
      </c>
      <c r="AD15" s="1000">
        <v>11400</v>
      </c>
      <c r="AE15" s="1000">
        <v>12300</v>
      </c>
      <c r="AF15" s="1000">
        <v>14600</v>
      </c>
      <c r="AG15" s="1000">
        <v>12000</v>
      </c>
      <c r="AH15" s="1000">
        <v>11000</v>
      </c>
      <c r="AI15" s="1000">
        <v>13500</v>
      </c>
      <c r="AJ15" s="1000">
        <v>14400</v>
      </c>
      <c r="AK15" s="1000"/>
      <c r="AM15" s="986">
        <v>1991</v>
      </c>
      <c r="AN15" s="986">
        <v>76800</v>
      </c>
      <c r="AO15" s="986">
        <v>57000</v>
      </c>
      <c r="AP15" s="986">
        <v>57100</v>
      </c>
      <c r="AQ15" s="986">
        <v>62700</v>
      </c>
      <c r="AR15" s="986">
        <v>59700</v>
      </c>
      <c r="AS15" s="986">
        <v>69000</v>
      </c>
      <c r="AT15" s="986">
        <v>85600</v>
      </c>
      <c r="AU15" s="986">
        <v>67000</v>
      </c>
      <c r="AV15" s="986">
        <v>65600</v>
      </c>
      <c r="AW15" s="986">
        <v>81900</v>
      </c>
      <c r="AX15" s="986">
        <v>75300</v>
      </c>
      <c r="AY15" s="986">
        <v>1991</v>
      </c>
      <c r="AZ15" s="986">
        <v>13500</v>
      </c>
      <c r="BA15" s="986">
        <v>10600</v>
      </c>
      <c r="BB15" s="986">
        <v>12800</v>
      </c>
      <c r="BC15" s="986">
        <v>12700</v>
      </c>
      <c r="BD15" s="986">
        <v>11700</v>
      </c>
      <c r="BE15" s="986">
        <v>12800</v>
      </c>
      <c r="BF15" s="986">
        <v>15000</v>
      </c>
      <c r="BG15" s="986">
        <v>11700</v>
      </c>
      <c r="BH15" s="986">
        <v>10700</v>
      </c>
      <c r="BI15" s="986">
        <v>13500</v>
      </c>
      <c r="BJ15" s="986">
        <v>14900</v>
      </c>
    </row>
    <row r="16" spans="1:62" s="986" customFormat="1" ht="15">
      <c r="A16" s="984">
        <v>1992</v>
      </c>
      <c r="B16" s="985">
        <f t="shared" si="0"/>
        <v>5.7878787878787881</v>
      </c>
      <c r="C16" s="985">
        <f t="shared" si="0"/>
        <v>5.7628865979381443</v>
      </c>
      <c r="D16" s="985">
        <f t="shared" si="0"/>
        <v>4.1739130434782608</v>
      </c>
      <c r="E16" s="985">
        <f t="shared" si="0"/>
        <v>5.0775193798449614</v>
      </c>
      <c r="F16" s="985">
        <f t="shared" si="0"/>
        <v>5.0327868852459012</v>
      </c>
      <c r="G16" s="985">
        <f t="shared" si="0"/>
        <v>5.0149253731343286</v>
      </c>
      <c r="H16" s="985">
        <f t="shared" si="0"/>
        <v>5.880281690140845</v>
      </c>
      <c r="I16" s="985">
        <f t="shared" si="0"/>
        <v>5.8016528925619832</v>
      </c>
      <c r="J16" s="985">
        <f t="shared" si="0"/>
        <v>6.3888888888888893</v>
      </c>
      <c r="K16" s="985">
        <f t="shared" si="0"/>
        <v>6.5371900826446279</v>
      </c>
      <c r="L16" s="985">
        <f t="shared" si="0"/>
        <v>5.8357142857142854</v>
      </c>
      <c r="N16" s="999">
        <v>78000</v>
      </c>
      <c r="O16" s="999">
        <v>55900</v>
      </c>
      <c r="P16" s="999">
        <v>57700</v>
      </c>
      <c r="Q16" s="999">
        <v>64700</v>
      </c>
      <c r="R16" s="999">
        <v>61700</v>
      </c>
      <c r="S16" s="999">
        <v>67600</v>
      </c>
      <c r="T16" s="999">
        <v>85200</v>
      </c>
      <c r="U16" s="999">
        <v>70900</v>
      </c>
      <c r="V16" s="999">
        <v>69900</v>
      </c>
      <c r="W16" s="999">
        <v>81400</v>
      </c>
      <c r="X16" s="999">
        <v>86000</v>
      </c>
      <c r="Z16" s="1000">
        <v>13100</v>
      </c>
      <c r="AA16" s="1000">
        <v>9400</v>
      </c>
      <c r="AB16" s="1000">
        <v>14000</v>
      </c>
      <c r="AC16" s="1000">
        <v>12500</v>
      </c>
      <c r="AD16" s="1000">
        <v>11700</v>
      </c>
      <c r="AE16" s="1000">
        <v>12700</v>
      </c>
      <c r="AF16" s="1000">
        <v>14300</v>
      </c>
      <c r="AG16" s="1000">
        <v>12700</v>
      </c>
      <c r="AH16" s="1000">
        <v>10900</v>
      </c>
      <c r="AI16" s="1000">
        <v>12300</v>
      </c>
      <c r="AJ16" s="1000">
        <v>13600</v>
      </c>
      <c r="AK16" s="1000"/>
      <c r="AM16" s="986">
        <v>1992</v>
      </c>
      <c r="AN16" s="986">
        <v>76400</v>
      </c>
      <c r="AO16" s="986">
        <v>55900</v>
      </c>
      <c r="AP16" s="986">
        <v>57600</v>
      </c>
      <c r="AQ16" s="986">
        <v>65500</v>
      </c>
      <c r="AR16" s="986">
        <v>61400</v>
      </c>
      <c r="AS16" s="986">
        <v>67200</v>
      </c>
      <c r="AT16" s="986">
        <v>83500</v>
      </c>
      <c r="AU16" s="986">
        <v>70200</v>
      </c>
      <c r="AV16" s="986">
        <v>69000</v>
      </c>
      <c r="AW16" s="986">
        <v>79100</v>
      </c>
      <c r="AX16" s="986">
        <v>81700</v>
      </c>
      <c r="AY16" s="986">
        <v>1992</v>
      </c>
      <c r="AZ16" s="986">
        <v>13200</v>
      </c>
      <c r="BA16" s="986">
        <v>9700</v>
      </c>
      <c r="BB16" s="986">
        <v>13800</v>
      </c>
      <c r="BC16" s="986">
        <v>12900</v>
      </c>
      <c r="BD16" s="986">
        <v>12200</v>
      </c>
      <c r="BE16" s="986">
        <v>13400</v>
      </c>
      <c r="BF16" s="986">
        <v>14200</v>
      </c>
      <c r="BG16" s="986">
        <v>12100</v>
      </c>
      <c r="BH16" s="986">
        <v>10800</v>
      </c>
      <c r="BI16" s="986">
        <v>12100</v>
      </c>
      <c r="BJ16" s="986">
        <v>14000</v>
      </c>
    </row>
    <row r="17" spans="1:62" s="986" customFormat="1" ht="15">
      <c r="A17" s="984">
        <v>1993</v>
      </c>
      <c r="B17" s="985">
        <f t="shared" si="0"/>
        <v>5.5378787878787881</v>
      </c>
      <c r="C17" s="985">
        <f t="shared" si="0"/>
        <v>5.0476190476190474</v>
      </c>
      <c r="D17" s="985">
        <f t="shared" si="0"/>
        <v>3.8181818181818183</v>
      </c>
      <c r="E17" s="985">
        <f t="shared" si="0"/>
        <v>5.1416666666666666</v>
      </c>
      <c r="F17" s="985">
        <f t="shared" si="0"/>
        <v>4.7685950413223139</v>
      </c>
      <c r="G17" s="985">
        <f t="shared" si="0"/>
        <v>5.258064516129032</v>
      </c>
      <c r="H17" s="985">
        <f t="shared" si="0"/>
        <v>5.5753424657534243</v>
      </c>
      <c r="I17" s="985">
        <f t="shared" si="0"/>
        <v>5.2857142857142856</v>
      </c>
      <c r="J17" s="985">
        <f t="shared" si="0"/>
        <v>5.6936936936936933</v>
      </c>
      <c r="K17" s="985">
        <f t="shared" si="0"/>
        <v>5.5639097744360901</v>
      </c>
      <c r="L17" s="985">
        <f t="shared" si="0"/>
        <v>5.4264705882352944</v>
      </c>
      <c r="N17" s="999">
        <v>76900</v>
      </c>
      <c r="O17" s="999">
        <v>58300</v>
      </c>
      <c r="P17" s="999">
        <v>57900</v>
      </c>
      <c r="Q17" s="999">
        <v>64700</v>
      </c>
      <c r="R17" s="999">
        <v>60500</v>
      </c>
      <c r="S17" s="999">
        <v>65600</v>
      </c>
      <c r="T17" s="999">
        <v>84200</v>
      </c>
      <c r="U17" s="999">
        <v>71200</v>
      </c>
      <c r="V17" s="999">
        <v>66400</v>
      </c>
      <c r="W17" s="999">
        <v>91100</v>
      </c>
      <c r="X17" s="999">
        <v>78000</v>
      </c>
      <c r="Z17" s="1000">
        <v>12700</v>
      </c>
      <c r="AA17" s="1000">
        <v>9800</v>
      </c>
      <c r="AB17" s="1000">
        <v>13900</v>
      </c>
      <c r="AC17" s="1000">
        <v>11300</v>
      </c>
      <c r="AD17" s="1000">
        <v>11700</v>
      </c>
      <c r="AE17" s="1000">
        <v>12100</v>
      </c>
      <c r="AF17" s="1000">
        <v>13900</v>
      </c>
      <c r="AG17" s="1000">
        <v>12000</v>
      </c>
      <c r="AH17" s="1000">
        <v>11000</v>
      </c>
      <c r="AI17" s="1000">
        <v>13000</v>
      </c>
      <c r="AJ17" s="1000">
        <v>12900</v>
      </c>
      <c r="AK17" s="1000"/>
      <c r="AM17" s="986">
        <v>1993</v>
      </c>
      <c r="AN17" s="986">
        <v>73100</v>
      </c>
      <c r="AO17" s="986">
        <v>53000</v>
      </c>
      <c r="AP17" s="986">
        <v>54600</v>
      </c>
      <c r="AQ17" s="986">
        <v>61700</v>
      </c>
      <c r="AR17" s="986">
        <v>57700</v>
      </c>
      <c r="AS17" s="986">
        <v>65200</v>
      </c>
      <c r="AT17" s="986">
        <v>81400</v>
      </c>
      <c r="AU17" s="986">
        <v>62900</v>
      </c>
      <c r="AV17" s="986">
        <v>63200</v>
      </c>
      <c r="AW17" s="986">
        <v>74000</v>
      </c>
      <c r="AX17" s="986">
        <v>73800</v>
      </c>
      <c r="AY17" s="986">
        <v>1993</v>
      </c>
      <c r="AZ17" s="986">
        <v>13200</v>
      </c>
      <c r="BA17" s="986">
        <v>10500</v>
      </c>
      <c r="BB17" s="986">
        <v>14300</v>
      </c>
      <c r="BC17" s="986">
        <v>12000</v>
      </c>
      <c r="BD17" s="986">
        <v>12100</v>
      </c>
      <c r="BE17" s="986">
        <v>12400</v>
      </c>
      <c r="BF17" s="986">
        <v>14600</v>
      </c>
      <c r="BG17" s="986">
        <v>11900</v>
      </c>
      <c r="BH17" s="986">
        <v>11100</v>
      </c>
      <c r="BI17" s="986">
        <v>13300</v>
      </c>
      <c r="BJ17" s="986">
        <v>13600</v>
      </c>
    </row>
    <row r="18" spans="1:62" s="986" customFormat="1" ht="15">
      <c r="A18" s="984">
        <v>1994</v>
      </c>
      <c r="B18" s="985">
        <f t="shared" si="0"/>
        <v>5.6590909090909092</v>
      </c>
      <c r="C18" s="985">
        <f t="shared" si="0"/>
        <v>5.2884615384615383</v>
      </c>
      <c r="D18" s="985">
        <f t="shared" si="0"/>
        <v>3.7278911564625852</v>
      </c>
      <c r="E18" s="985">
        <f t="shared" si="0"/>
        <v>5.0894308943089435</v>
      </c>
      <c r="F18" s="985">
        <f t="shared" si="0"/>
        <v>4.9745762711864403</v>
      </c>
      <c r="G18" s="985">
        <f t="shared" si="0"/>
        <v>5.4047619047619051</v>
      </c>
      <c r="H18" s="985">
        <f t="shared" si="0"/>
        <v>5.703448275862069</v>
      </c>
      <c r="I18" s="985">
        <f t="shared" si="0"/>
        <v>5.4</v>
      </c>
      <c r="J18" s="985">
        <f t="shared" si="0"/>
        <v>5.5217391304347823</v>
      </c>
      <c r="K18" s="985">
        <f t="shared" si="0"/>
        <v>5.7692307692307692</v>
      </c>
      <c r="L18" s="985">
        <f t="shared" si="0"/>
        <v>5.5220588235294121</v>
      </c>
      <c r="N18" s="999">
        <v>76200</v>
      </c>
      <c r="O18" s="999">
        <v>58300</v>
      </c>
      <c r="P18" s="999">
        <v>60300</v>
      </c>
      <c r="Q18" s="999">
        <v>64800</v>
      </c>
      <c r="R18" s="999">
        <v>64300</v>
      </c>
      <c r="S18" s="999">
        <v>70000</v>
      </c>
      <c r="T18" s="999">
        <v>82000</v>
      </c>
      <c r="U18" s="999">
        <v>69500</v>
      </c>
      <c r="V18" s="999">
        <v>67400</v>
      </c>
      <c r="W18" s="999">
        <v>78100</v>
      </c>
      <c r="X18" s="999">
        <v>79400</v>
      </c>
      <c r="Z18" s="1000">
        <v>13000</v>
      </c>
      <c r="AA18" s="1000">
        <v>9900</v>
      </c>
      <c r="AB18" s="1000">
        <v>14500</v>
      </c>
      <c r="AC18" s="1000">
        <v>11700</v>
      </c>
      <c r="AD18" s="1000">
        <v>11600</v>
      </c>
      <c r="AE18" s="1000">
        <v>12400</v>
      </c>
      <c r="AF18" s="1000">
        <v>14300</v>
      </c>
      <c r="AG18" s="1000">
        <v>13000</v>
      </c>
      <c r="AH18" s="1000">
        <v>11600</v>
      </c>
      <c r="AI18" s="1000">
        <v>13000</v>
      </c>
      <c r="AJ18" s="1000">
        <v>13500</v>
      </c>
      <c r="AK18" s="1000"/>
      <c r="AM18" s="986">
        <v>1994</v>
      </c>
      <c r="AN18" s="986">
        <v>74700</v>
      </c>
      <c r="AO18" s="986">
        <v>55000</v>
      </c>
      <c r="AP18" s="986">
        <v>54800</v>
      </c>
      <c r="AQ18" s="986">
        <v>62600</v>
      </c>
      <c r="AR18" s="986">
        <v>58700</v>
      </c>
      <c r="AS18" s="986">
        <v>68100</v>
      </c>
      <c r="AT18" s="986">
        <v>82700</v>
      </c>
      <c r="AU18" s="986">
        <v>67500</v>
      </c>
      <c r="AV18" s="986">
        <v>63500</v>
      </c>
      <c r="AW18" s="986">
        <v>75000</v>
      </c>
      <c r="AX18" s="986">
        <v>75100</v>
      </c>
      <c r="AY18" s="986">
        <v>1994</v>
      </c>
      <c r="AZ18" s="986">
        <v>13200</v>
      </c>
      <c r="BA18" s="986">
        <v>10400</v>
      </c>
      <c r="BB18" s="986">
        <v>14700</v>
      </c>
      <c r="BC18" s="986">
        <v>12300</v>
      </c>
      <c r="BD18" s="986">
        <v>11800</v>
      </c>
      <c r="BE18" s="986">
        <v>12600</v>
      </c>
      <c r="BF18" s="986">
        <v>14500</v>
      </c>
      <c r="BG18" s="986">
        <v>12500</v>
      </c>
      <c r="BH18" s="986">
        <v>11500</v>
      </c>
      <c r="BI18" s="986">
        <v>13000</v>
      </c>
      <c r="BJ18" s="986">
        <v>13600</v>
      </c>
    </row>
    <row r="19" spans="1:62" s="986" customFormat="1" ht="15">
      <c r="A19" s="984">
        <v>1995</v>
      </c>
      <c r="B19" s="985">
        <f t="shared" si="0"/>
        <v>5.7272727272727275</v>
      </c>
      <c r="C19" s="985">
        <f t="shared" si="0"/>
        <v>5.3039215686274508</v>
      </c>
      <c r="D19" s="985">
        <f t="shared" si="0"/>
        <v>3.8273381294964031</v>
      </c>
      <c r="E19" s="985">
        <f t="shared" si="0"/>
        <v>5.0409836065573774</v>
      </c>
      <c r="F19" s="985">
        <f t="shared" si="0"/>
        <v>5.2</v>
      </c>
      <c r="G19" s="985">
        <f t="shared" si="0"/>
        <v>5.508064516129032</v>
      </c>
      <c r="H19" s="985">
        <f t="shared" si="0"/>
        <v>5.7739726027397262</v>
      </c>
      <c r="I19" s="985">
        <f t="shared" si="0"/>
        <v>5.0751879699248121</v>
      </c>
      <c r="J19" s="985">
        <f t="shared" si="0"/>
        <v>6.1834862385321099</v>
      </c>
      <c r="K19" s="985">
        <f t="shared" si="0"/>
        <v>5.829457364341085</v>
      </c>
      <c r="L19" s="985">
        <f t="shared" si="0"/>
        <v>5.6417910447761193</v>
      </c>
      <c r="N19" s="999">
        <v>78600</v>
      </c>
      <c r="O19" s="999">
        <v>58500</v>
      </c>
      <c r="P19" s="999">
        <v>57600</v>
      </c>
      <c r="Q19" s="999">
        <v>63900</v>
      </c>
      <c r="R19" s="999">
        <v>63900</v>
      </c>
      <c r="S19" s="999">
        <v>69900</v>
      </c>
      <c r="T19" s="999">
        <v>86100</v>
      </c>
      <c r="U19" s="999">
        <v>72700</v>
      </c>
      <c r="V19" s="999">
        <v>72300</v>
      </c>
      <c r="W19" s="999">
        <v>79500</v>
      </c>
      <c r="X19" s="999">
        <v>83500</v>
      </c>
      <c r="Z19" s="1000">
        <v>13000</v>
      </c>
      <c r="AA19" s="1000">
        <v>9400</v>
      </c>
      <c r="AB19" s="1000">
        <v>13300</v>
      </c>
      <c r="AC19" s="1000">
        <v>11600</v>
      </c>
      <c r="AD19" s="1000">
        <v>11200</v>
      </c>
      <c r="AE19" s="1000">
        <v>12400</v>
      </c>
      <c r="AF19" s="1000">
        <v>14200</v>
      </c>
      <c r="AG19" s="1000">
        <v>13500</v>
      </c>
      <c r="AH19" s="1000">
        <v>11300</v>
      </c>
      <c r="AI19" s="1000">
        <v>12900</v>
      </c>
      <c r="AJ19" s="1000">
        <v>13200</v>
      </c>
      <c r="AK19" s="1000"/>
      <c r="AM19" s="986">
        <v>1995</v>
      </c>
      <c r="AN19" s="986">
        <v>75600</v>
      </c>
      <c r="AO19" s="986">
        <v>54100</v>
      </c>
      <c r="AP19" s="986">
        <v>53200</v>
      </c>
      <c r="AQ19" s="986">
        <v>61500</v>
      </c>
      <c r="AR19" s="986">
        <v>59800</v>
      </c>
      <c r="AS19" s="986">
        <v>68300</v>
      </c>
      <c r="AT19" s="986">
        <v>84300</v>
      </c>
      <c r="AU19" s="986">
        <v>67500</v>
      </c>
      <c r="AV19" s="986">
        <v>67400</v>
      </c>
      <c r="AW19" s="986">
        <v>75200</v>
      </c>
      <c r="AX19" s="986">
        <v>75600</v>
      </c>
      <c r="AY19" s="986">
        <v>1995</v>
      </c>
      <c r="AZ19" s="986">
        <v>13200</v>
      </c>
      <c r="BA19" s="986">
        <v>10200</v>
      </c>
      <c r="BB19" s="986">
        <v>13900</v>
      </c>
      <c r="BC19" s="986">
        <v>12200</v>
      </c>
      <c r="BD19" s="986">
        <v>11500</v>
      </c>
      <c r="BE19" s="986">
        <v>12400</v>
      </c>
      <c r="BF19" s="986">
        <v>14600</v>
      </c>
      <c r="BG19" s="986">
        <v>13300</v>
      </c>
      <c r="BH19" s="986">
        <v>10900</v>
      </c>
      <c r="BI19" s="986">
        <v>12900</v>
      </c>
      <c r="BJ19" s="986">
        <v>13400</v>
      </c>
    </row>
    <row r="20" spans="1:62" s="986" customFormat="1" ht="15">
      <c r="A20" s="984">
        <v>1996</v>
      </c>
      <c r="B20" s="985">
        <f t="shared" si="0"/>
        <v>6.0859375</v>
      </c>
      <c r="C20" s="985">
        <f t="shared" si="0"/>
        <v>5.2233009708737868</v>
      </c>
      <c r="D20" s="985">
        <f t="shared" si="0"/>
        <v>4.0808823529411766</v>
      </c>
      <c r="E20" s="985">
        <f t="shared" si="0"/>
        <v>5.2543859649122808</v>
      </c>
      <c r="F20" s="985">
        <f t="shared" si="0"/>
        <v>5.0737704918032787</v>
      </c>
      <c r="G20" s="985">
        <f t="shared" si="0"/>
        <v>5.6879999999999997</v>
      </c>
      <c r="H20" s="985">
        <f t="shared" si="0"/>
        <v>6.4148148148148145</v>
      </c>
      <c r="I20" s="985">
        <f t="shared" si="0"/>
        <v>5.4146341463414638</v>
      </c>
      <c r="J20" s="985">
        <f t="shared" si="0"/>
        <v>5.7130434782608699</v>
      </c>
      <c r="K20" s="985">
        <f t="shared" si="0"/>
        <v>5.8872180451127818</v>
      </c>
      <c r="L20" s="985">
        <f t="shared" si="0"/>
        <v>5.9770992366412212</v>
      </c>
      <c r="N20" s="999">
        <v>80100</v>
      </c>
      <c r="O20" s="999">
        <v>57700</v>
      </c>
      <c r="P20" s="999">
        <v>60600</v>
      </c>
      <c r="Q20" s="999">
        <v>64900</v>
      </c>
      <c r="R20" s="999">
        <v>65700</v>
      </c>
      <c r="S20" s="999">
        <v>71800</v>
      </c>
      <c r="T20" s="999">
        <v>88600</v>
      </c>
      <c r="U20" s="999">
        <v>71400</v>
      </c>
      <c r="V20" s="999">
        <v>66000</v>
      </c>
      <c r="W20" s="999">
        <v>85000</v>
      </c>
      <c r="X20" s="999">
        <v>80800</v>
      </c>
      <c r="Z20" s="1000">
        <v>12600</v>
      </c>
      <c r="AA20" s="1000">
        <v>10100</v>
      </c>
      <c r="AB20" s="1000">
        <v>13300</v>
      </c>
      <c r="AC20" s="1000">
        <v>11200</v>
      </c>
      <c r="AD20" s="1000">
        <v>11800</v>
      </c>
      <c r="AE20" s="1000">
        <v>11900</v>
      </c>
      <c r="AF20" s="1000">
        <v>13500</v>
      </c>
      <c r="AG20" s="1000">
        <v>12200</v>
      </c>
      <c r="AH20" s="1000">
        <v>11100</v>
      </c>
      <c r="AI20" s="1000">
        <v>13000</v>
      </c>
      <c r="AJ20" s="1000">
        <v>13000</v>
      </c>
      <c r="AK20" s="1000"/>
      <c r="AM20" s="986">
        <v>1996</v>
      </c>
      <c r="AN20" s="986">
        <v>77900</v>
      </c>
      <c r="AO20" s="986">
        <v>53800</v>
      </c>
      <c r="AP20" s="986">
        <v>55500</v>
      </c>
      <c r="AQ20" s="986">
        <v>59900</v>
      </c>
      <c r="AR20" s="986">
        <v>61900</v>
      </c>
      <c r="AS20" s="986">
        <v>71100</v>
      </c>
      <c r="AT20" s="986">
        <v>86600</v>
      </c>
      <c r="AU20" s="986">
        <v>66600</v>
      </c>
      <c r="AV20" s="986">
        <v>65700</v>
      </c>
      <c r="AW20" s="986">
        <v>78300</v>
      </c>
      <c r="AX20" s="986">
        <v>78300</v>
      </c>
      <c r="AY20" s="986">
        <v>1996</v>
      </c>
      <c r="AZ20" s="986">
        <v>12800</v>
      </c>
      <c r="BA20" s="986">
        <v>10300</v>
      </c>
      <c r="BB20" s="986">
        <v>13600</v>
      </c>
      <c r="BC20" s="986">
        <v>11400</v>
      </c>
      <c r="BD20" s="986">
        <v>12200</v>
      </c>
      <c r="BE20" s="986">
        <v>12500</v>
      </c>
      <c r="BF20" s="986">
        <v>13500</v>
      </c>
      <c r="BG20" s="986">
        <v>12300</v>
      </c>
      <c r="BH20" s="986">
        <v>11500</v>
      </c>
      <c r="BI20" s="986">
        <v>13300</v>
      </c>
      <c r="BJ20" s="986">
        <v>13100</v>
      </c>
    </row>
    <row r="21" spans="1:62" s="986" customFormat="1" ht="15">
      <c r="A21" s="984">
        <v>1997</v>
      </c>
      <c r="B21" s="985">
        <f t="shared" si="0"/>
        <v>6.0229007633587788</v>
      </c>
      <c r="C21" s="985">
        <f t="shared" si="0"/>
        <v>4.9074074074074074</v>
      </c>
      <c r="D21" s="985">
        <f t="shared" si="0"/>
        <v>3.9784172661870505</v>
      </c>
      <c r="E21" s="985">
        <f t="shared" si="0"/>
        <v>5.5438596491228074</v>
      </c>
      <c r="F21" s="985">
        <f t="shared" si="0"/>
        <v>5.1092436974789912</v>
      </c>
      <c r="G21" s="985">
        <f t="shared" si="0"/>
        <v>5.709677419354839</v>
      </c>
      <c r="H21" s="985">
        <f t="shared" si="0"/>
        <v>6.2086330935251794</v>
      </c>
      <c r="I21" s="985">
        <f t="shared" si="0"/>
        <v>5.2677165354330713</v>
      </c>
      <c r="J21" s="985">
        <f t="shared" si="0"/>
        <v>5.3360000000000003</v>
      </c>
      <c r="K21" s="985">
        <f t="shared" si="0"/>
        <v>6.1527777777777777</v>
      </c>
      <c r="L21" s="985">
        <f t="shared" si="0"/>
        <v>6.171875</v>
      </c>
      <c r="N21" s="999">
        <v>83200</v>
      </c>
      <c r="O21" s="999">
        <v>58200</v>
      </c>
      <c r="P21" s="999">
        <v>62100</v>
      </c>
      <c r="Q21" s="999">
        <v>66200</v>
      </c>
      <c r="R21" s="999">
        <v>63400</v>
      </c>
      <c r="S21" s="999">
        <v>74300</v>
      </c>
      <c r="T21" s="999">
        <v>92300</v>
      </c>
      <c r="U21" s="999">
        <v>72100</v>
      </c>
      <c r="V21" s="999">
        <v>67600</v>
      </c>
      <c r="W21" s="999">
        <v>93100</v>
      </c>
      <c r="X21" s="999">
        <v>83000</v>
      </c>
      <c r="Z21" s="1000">
        <v>12900</v>
      </c>
      <c r="AA21" s="1000">
        <v>10700</v>
      </c>
      <c r="AB21" s="1000">
        <v>13200</v>
      </c>
      <c r="AC21" s="1000">
        <v>11200</v>
      </c>
      <c r="AD21" s="1000">
        <v>11300</v>
      </c>
      <c r="AE21" s="1000">
        <v>12200</v>
      </c>
      <c r="AF21" s="1000">
        <v>13800</v>
      </c>
      <c r="AG21" s="1000">
        <v>12700</v>
      </c>
      <c r="AH21" s="1000">
        <v>12200</v>
      </c>
      <c r="AI21" s="1000">
        <v>13600</v>
      </c>
      <c r="AJ21" s="1000">
        <v>13300</v>
      </c>
      <c r="AK21" s="1000"/>
      <c r="AM21" s="986">
        <v>1997</v>
      </c>
      <c r="AN21" s="986">
        <v>78900</v>
      </c>
      <c r="AO21" s="986">
        <v>53000</v>
      </c>
      <c r="AP21" s="986">
        <v>55300</v>
      </c>
      <c r="AQ21" s="986">
        <v>63200</v>
      </c>
      <c r="AR21" s="986">
        <v>60800</v>
      </c>
      <c r="AS21" s="986">
        <v>70800</v>
      </c>
      <c r="AT21" s="986">
        <v>86300</v>
      </c>
      <c r="AU21" s="986">
        <v>66900</v>
      </c>
      <c r="AV21" s="986">
        <v>66700</v>
      </c>
      <c r="AW21" s="986">
        <v>88600</v>
      </c>
      <c r="AX21" s="986">
        <v>79000</v>
      </c>
      <c r="AY21" s="986">
        <v>1997</v>
      </c>
      <c r="AZ21" s="986">
        <v>13100</v>
      </c>
      <c r="BA21" s="986">
        <v>10800</v>
      </c>
      <c r="BB21" s="986">
        <v>13900</v>
      </c>
      <c r="BC21" s="986">
        <v>11400</v>
      </c>
      <c r="BD21" s="986">
        <v>11900</v>
      </c>
      <c r="BE21" s="986">
        <v>12400</v>
      </c>
      <c r="BF21" s="986">
        <v>13900</v>
      </c>
      <c r="BG21" s="986">
        <v>12700</v>
      </c>
      <c r="BH21" s="986">
        <v>12500</v>
      </c>
      <c r="BI21" s="986">
        <v>14400</v>
      </c>
      <c r="BJ21" s="986">
        <v>12800</v>
      </c>
    </row>
    <row r="22" spans="1:62" s="986" customFormat="1" ht="15">
      <c r="A22" s="984">
        <v>1998</v>
      </c>
      <c r="B22" s="985">
        <f t="shared" si="0"/>
        <v>6.2888888888888888</v>
      </c>
      <c r="C22" s="985">
        <f t="shared" si="0"/>
        <v>5.6330275229357802</v>
      </c>
      <c r="D22" s="985">
        <f t="shared" si="0"/>
        <v>4.4755244755244759</v>
      </c>
      <c r="E22" s="985">
        <f t="shared" si="0"/>
        <v>6.0176991150442474</v>
      </c>
      <c r="F22" s="985">
        <f t="shared" si="0"/>
        <v>5.3809523809523814</v>
      </c>
      <c r="G22" s="985">
        <f t="shared" si="0"/>
        <v>5.8307692307692305</v>
      </c>
      <c r="H22" s="985">
        <f t="shared" si="0"/>
        <v>6.3581081081081079</v>
      </c>
      <c r="I22" s="985">
        <f t="shared" si="0"/>
        <v>5.7022900763358777</v>
      </c>
      <c r="J22" s="985">
        <f t="shared" si="0"/>
        <v>5.5234375</v>
      </c>
      <c r="K22" s="985">
        <f t="shared" si="0"/>
        <v>7.007299270072993</v>
      </c>
      <c r="L22" s="985">
        <f t="shared" si="0"/>
        <v>6.0150375939849621</v>
      </c>
      <c r="N22" s="999">
        <v>86600</v>
      </c>
      <c r="O22" s="999">
        <v>61100</v>
      </c>
      <c r="P22" s="999">
        <v>64500</v>
      </c>
      <c r="Q22" s="999">
        <v>69400</v>
      </c>
      <c r="R22" s="999">
        <v>66700</v>
      </c>
      <c r="S22" s="999">
        <v>76500</v>
      </c>
      <c r="T22" s="999">
        <v>97000</v>
      </c>
      <c r="U22" s="999">
        <v>76900</v>
      </c>
      <c r="V22" s="999">
        <v>70500</v>
      </c>
      <c r="W22" s="999">
        <v>97500</v>
      </c>
      <c r="X22" s="999">
        <v>82000</v>
      </c>
      <c r="Z22" s="1000">
        <v>13100</v>
      </c>
      <c r="AA22" s="1000">
        <v>11000</v>
      </c>
      <c r="AB22" s="1000">
        <v>13600</v>
      </c>
      <c r="AC22" s="1000">
        <v>10400</v>
      </c>
      <c r="AD22" s="1000">
        <v>11700</v>
      </c>
      <c r="AE22" s="1000">
        <v>12800</v>
      </c>
      <c r="AF22" s="1000">
        <v>14500</v>
      </c>
      <c r="AG22" s="1000">
        <v>13400</v>
      </c>
      <c r="AH22" s="1000">
        <v>12400</v>
      </c>
      <c r="AI22" s="1000">
        <v>13300</v>
      </c>
      <c r="AJ22" s="1000">
        <v>12600</v>
      </c>
      <c r="AK22" s="1000"/>
      <c r="AM22" s="986">
        <v>1998</v>
      </c>
      <c r="AN22" s="986">
        <v>84900</v>
      </c>
      <c r="AO22" s="986">
        <v>61400</v>
      </c>
      <c r="AP22" s="986">
        <v>64000</v>
      </c>
      <c r="AQ22" s="986">
        <v>68000</v>
      </c>
      <c r="AR22" s="986">
        <v>67800</v>
      </c>
      <c r="AS22" s="986">
        <v>75800</v>
      </c>
      <c r="AT22" s="986">
        <v>94100</v>
      </c>
      <c r="AU22" s="986">
        <v>74700</v>
      </c>
      <c r="AV22" s="986">
        <v>70700</v>
      </c>
      <c r="AW22" s="986">
        <v>96000</v>
      </c>
      <c r="AX22" s="986">
        <v>80000</v>
      </c>
      <c r="AY22" s="986">
        <v>1998</v>
      </c>
      <c r="AZ22" s="986">
        <v>13500</v>
      </c>
      <c r="BA22" s="986">
        <v>10900</v>
      </c>
      <c r="BB22" s="986">
        <v>14300</v>
      </c>
      <c r="BC22" s="986">
        <v>11300</v>
      </c>
      <c r="BD22" s="986">
        <v>12600</v>
      </c>
      <c r="BE22" s="986">
        <v>13000</v>
      </c>
      <c r="BF22" s="986">
        <v>14800</v>
      </c>
      <c r="BG22" s="986">
        <v>13100</v>
      </c>
      <c r="BH22" s="986">
        <v>12800</v>
      </c>
      <c r="BI22" s="986">
        <v>13700</v>
      </c>
      <c r="BJ22" s="986">
        <v>13300</v>
      </c>
    </row>
    <row r="23" spans="1:62" s="986" customFormat="1" ht="15">
      <c r="A23" s="984">
        <v>1999</v>
      </c>
      <c r="B23" s="985">
        <f t="shared" si="0"/>
        <v>6.15</v>
      </c>
      <c r="C23" s="985">
        <f t="shared" si="0"/>
        <v>6.1308411214953269</v>
      </c>
      <c r="D23" s="985">
        <f t="shared" si="0"/>
        <v>4.8455882352941178</v>
      </c>
      <c r="E23" s="985">
        <f t="shared" si="0"/>
        <v>5.4375</v>
      </c>
      <c r="F23" s="985">
        <f t="shared" si="0"/>
        <v>5.2384615384615385</v>
      </c>
      <c r="G23" s="985">
        <f t="shared" si="0"/>
        <v>5.5942028985507246</v>
      </c>
      <c r="H23" s="985">
        <f t="shared" si="0"/>
        <v>6.3947368421052628</v>
      </c>
      <c r="I23" s="985">
        <f t="shared" si="0"/>
        <v>5.7016129032258061</v>
      </c>
      <c r="J23" s="985">
        <f t="shared" si="0"/>
        <v>5.0948905109489049</v>
      </c>
      <c r="K23" s="985">
        <f t="shared" si="0"/>
        <v>5.875</v>
      </c>
      <c r="L23" s="985">
        <f t="shared" si="0"/>
        <v>6.2945736434108523</v>
      </c>
      <c r="N23" s="999">
        <v>87100</v>
      </c>
      <c r="O23" s="999">
        <v>65500</v>
      </c>
      <c r="P23" s="999">
        <v>66400</v>
      </c>
      <c r="Q23" s="999">
        <v>70800</v>
      </c>
      <c r="R23" s="999">
        <v>68300</v>
      </c>
      <c r="S23" s="999">
        <v>77400</v>
      </c>
      <c r="T23" s="999">
        <v>98300</v>
      </c>
      <c r="U23" s="999">
        <v>72000</v>
      </c>
      <c r="V23" s="999">
        <v>69700</v>
      </c>
      <c r="W23" s="999">
        <v>92000</v>
      </c>
      <c r="X23" s="999">
        <v>83900</v>
      </c>
      <c r="Z23" s="1000">
        <v>13700</v>
      </c>
      <c r="AA23" s="1000">
        <v>10700</v>
      </c>
      <c r="AB23" s="1000">
        <v>13100</v>
      </c>
      <c r="AC23" s="1000">
        <v>12000</v>
      </c>
      <c r="AD23" s="1000">
        <v>12400</v>
      </c>
      <c r="AE23" s="1000">
        <v>13400</v>
      </c>
      <c r="AF23" s="1000">
        <v>14900</v>
      </c>
      <c r="AG23" s="1000">
        <v>12800</v>
      </c>
      <c r="AH23" s="1000">
        <v>13300</v>
      </c>
      <c r="AI23" s="1000">
        <v>15200</v>
      </c>
      <c r="AJ23" s="1000">
        <v>12400</v>
      </c>
      <c r="AK23" s="1000"/>
      <c r="AM23" s="986">
        <v>1999</v>
      </c>
      <c r="AN23" s="986">
        <v>86100</v>
      </c>
      <c r="AO23" s="986">
        <v>65600</v>
      </c>
      <c r="AP23" s="986">
        <v>65900</v>
      </c>
      <c r="AQ23" s="986">
        <v>69600</v>
      </c>
      <c r="AR23" s="986">
        <v>68100</v>
      </c>
      <c r="AS23" s="986">
        <v>77200</v>
      </c>
      <c r="AT23" s="986">
        <v>97200</v>
      </c>
      <c r="AU23" s="986">
        <v>70700</v>
      </c>
      <c r="AV23" s="986">
        <v>69800</v>
      </c>
      <c r="AW23" s="986">
        <v>89300</v>
      </c>
      <c r="AX23" s="986">
        <v>81200</v>
      </c>
      <c r="AY23" s="986">
        <v>1999</v>
      </c>
      <c r="AZ23" s="986">
        <v>14000</v>
      </c>
      <c r="BA23" s="986">
        <v>10700</v>
      </c>
      <c r="BB23" s="986">
        <v>13600</v>
      </c>
      <c r="BC23" s="986">
        <v>12800</v>
      </c>
      <c r="BD23" s="986">
        <v>13000</v>
      </c>
      <c r="BE23" s="986">
        <v>13800</v>
      </c>
      <c r="BF23" s="986">
        <v>15200</v>
      </c>
      <c r="BG23" s="986">
        <v>12400</v>
      </c>
      <c r="BH23" s="986">
        <v>13700</v>
      </c>
      <c r="BI23" s="986">
        <v>15200</v>
      </c>
      <c r="BJ23" s="986">
        <v>12900</v>
      </c>
    </row>
    <row r="24" spans="1:62" s="986" customFormat="1" ht="15">
      <c r="A24" s="984">
        <v>2000</v>
      </c>
      <c r="B24" s="985">
        <f t="shared" si="0"/>
        <v>6.2244897959183669</v>
      </c>
      <c r="C24" s="985">
        <f t="shared" si="0"/>
        <v>5.9130434782608692</v>
      </c>
      <c r="D24" s="985">
        <f t="shared" si="0"/>
        <v>5.1111111111111107</v>
      </c>
      <c r="E24" s="985">
        <f t="shared" si="0"/>
        <v>5.4666666666666668</v>
      </c>
      <c r="F24" s="985">
        <f t="shared" si="0"/>
        <v>5.3211678832116789</v>
      </c>
      <c r="G24" s="985">
        <f t="shared" si="0"/>
        <v>5.8</v>
      </c>
      <c r="H24" s="985">
        <f t="shared" si="0"/>
        <v>6.4146341463414638</v>
      </c>
      <c r="I24" s="985">
        <f t="shared" si="0"/>
        <v>5.6904761904761907</v>
      </c>
      <c r="J24" s="985">
        <f t="shared" si="0"/>
        <v>5.6076923076923073</v>
      </c>
      <c r="K24" s="985">
        <f t="shared" si="0"/>
        <v>6.1089743589743586</v>
      </c>
      <c r="L24" s="985">
        <f t="shared" si="0"/>
        <v>6.0072463768115938</v>
      </c>
      <c r="N24" s="999">
        <v>91100</v>
      </c>
      <c r="O24" s="999">
        <v>68100</v>
      </c>
      <c r="P24" s="999">
        <v>70800</v>
      </c>
      <c r="Q24" s="999">
        <v>75200</v>
      </c>
      <c r="R24" s="999">
        <v>73300</v>
      </c>
      <c r="S24" s="999">
        <v>81600</v>
      </c>
      <c r="T24" s="999">
        <v>103900</v>
      </c>
      <c r="U24" s="999">
        <v>73500</v>
      </c>
      <c r="V24" s="999">
        <v>72600</v>
      </c>
      <c r="W24" s="999">
        <v>96500</v>
      </c>
      <c r="X24" s="999">
        <v>83300</v>
      </c>
      <c r="Z24" s="1000">
        <v>14400</v>
      </c>
      <c r="AA24" s="1000">
        <v>11200</v>
      </c>
      <c r="AB24" s="1000">
        <v>13200</v>
      </c>
      <c r="AC24" s="1000">
        <v>13200</v>
      </c>
      <c r="AD24" s="1000">
        <v>13100</v>
      </c>
      <c r="AE24" s="1000">
        <v>13700</v>
      </c>
      <c r="AF24" s="1000">
        <v>16200</v>
      </c>
      <c r="AG24" s="1000">
        <v>13000</v>
      </c>
      <c r="AH24" s="1000">
        <v>12400</v>
      </c>
      <c r="AI24" s="1000">
        <v>15500</v>
      </c>
      <c r="AJ24" s="1000">
        <v>13500</v>
      </c>
      <c r="AK24" s="1000"/>
      <c r="AM24" s="986">
        <v>2000</v>
      </c>
      <c r="AN24" s="986">
        <v>91500</v>
      </c>
      <c r="AO24" s="986">
        <v>68000</v>
      </c>
      <c r="AP24" s="986">
        <v>69000</v>
      </c>
      <c r="AQ24" s="986">
        <v>73800</v>
      </c>
      <c r="AR24" s="986">
        <v>72900</v>
      </c>
      <c r="AS24" s="986">
        <v>81200</v>
      </c>
      <c r="AT24" s="986">
        <v>105200</v>
      </c>
      <c r="AU24" s="986">
        <v>71700</v>
      </c>
      <c r="AV24" s="986">
        <v>72900</v>
      </c>
      <c r="AW24" s="986">
        <v>95300</v>
      </c>
      <c r="AX24" s="986">
        <v>82900</v>
      </c>
      <c r="AY24" s="986">
        <v>2000</v>
      </c>
      <c r="AZ24" s="986">
        <v>14700</v>
      </c>
      <c r="BA24" s="986">
        <v>11500</v>
      </c>
      <c r="BB24" s="986">
        <v>13500</v>
      </c>
      <c r="BC24" s="986">
        <v>13500</v>
      </c>
      <c r="BD24" s="986">
        <v>13700</v>
      </c>
      <c r="BE24" s="986">
        <v>14000</v>
      </c>
      <c r="BF24" s="986">
        <v>16400</v>
      </c>
      <c r="BG24" s="986">
        <v>12600</v>
      </c>
      <c r="BH24" s="986">
        <v>13000</v>
      </c>
      <c r="BI24" s="986">
        <v>15600</v>
      </c>
      <c r="BJ24" s="986">
        <v>13800</v>
      </c>
    </row>
    <row r="25" spans="1:62" s="986" customFormat="1" ht="15">
      <c r="A25" s="984">
        <v>2001</v>
      </c>
      <c r="B25" s="985">
        <f t="shared" si="0"/>
        <v>6.2905405405405403</v>
      </c>
      <c r="C25" s="985">
        <f t="shared" si="0"/>
        <v>5.4308943089430892</v>
      </c>
      <c r="D25" s="985">
        <f t="shared" si="0"/>
        <v>4.8695652173913047</v>
      </c>
      <c r="E25" s="985">
        <f t="shared" si="0"/>
        <v>5.6617647058823533</v>
      </c>
      <c r="F25" s="985">
        <f t="shared" si="0"/>
        <v>5.1560283687943258</v>
      </c>
      <c r="G25" s="985">
        <f t="shared" si="0"/>
        <v>5.7862068965517244</v>
      </c>
      <c r="H25" s="985">
        <f t="shared" si="0"/>
        <v>6.3597560975609753</v>
      </c>
      <c r="I25" s="985">
        <f t="shared" si="0"/>
        <v>5.4637681159420293</v>
      </c>
      <c r="J25" s="985">
        <f t="shared" si="0"/>
        <v>5.6350364963503647</v>
      </c>
      <c r="K25" s="985">
        <f t="shared" si="0"/>
        <v>6.1366459627329188</v>
      </c>
      <c r="L25" s="985">
        <f t="shared" si="0"/>
        <v>7.024</v>
      </c>
      <c r="N25" s="999">
        <v>93800</v>
      </c>
      <c r="O25" s="999">
        <v>66400</v>
      </c>
      <c r="P25" s="999">
        <v>70600</v>
      </c>
      <c r="Q25" s="999">
        <v>80500</v>
      </c>
      <c r="R25" s="999">
        <v>72900</v>
      </c>
      <c r="S25" s="999">
        <v>85300</v>
      </c>
      <c r="T25" s="999">
        <v>105000</v>
      </c>
      <c r="U25" s="999">
        <v>77800</v>
      </c>
      <c r="V25" s="999">
        <v>78000</v>
      </c>
      <c r="W25" s="999">
        <v>101100</v>
      </c>
      <c r="X25" s="999">
        <v>87100</v>
      </c>
      <c r="Z25" s="1000">
        <v>14500</v>
      </c>
      <c r="AA25" s="1000">
        <v>11800</v>
      </c>
      <c r="AB25" s="1000">
        <v>13400</v>
      </c>
      <c r="AC25" s="1000">
        <v>13300</v>
      </c>
      <c r="AD25" s="1000">
        <v>13200</v>
      </c>
      <c r="AE25" s="1000">
        <v>14300</v>
      </c>
      <c r="AF25" s="1000">
        <v>16100</v>
      </c>
      <c r="AG25" s="1000">
        <v>14100</v>
      </c>
      <c r="AH25" s="1000">
        <v>13500</v>
      </c>
      <c r="AI25" s="1000">
        <v>16200</v>
      </c>
      <c r="AJ25" s="1000">
        <v>11700</v>
      </c>
      <c r="AK25" s="1000"/>
      <c r="AM25" s="986">
        <v>2001</v>
      </c>
      <c r="AN25" s="986">
        <v>93100</v>
      </c>
      <c r="AO25" s="986">
        <v>66800</v>
      </c>
      <c r="AP25" s="986">
        <v>67200</v>
      </c>
      <c r="AQ25" s="986">
        <v>77000</v>
      </c>
      <c r="AR25" s="986">
        <v>72700</v>
      </c>
      <c r="AS25" s="986">
        <v>83900</v>
      </c>
      <c r="AT25" s="986">
        <v>104300</v>
      </c>
      <c r="AU25" s="986">
        <v>75400</v>
      </c>
      <c r="AV25" s="986">
        <v>77200</v>
      </c>
      <c r="AW25" s="986">
        <v>98800</v>
      </c>
      <c r="AX25" s="986">
        <v>87800</v>
      </c>
      <c r="AY25" s="986">
        <v>2001</v>
      </c>
      <c r="AZ25" s="986">
        <v>14800</v>
      </c>
      <c r="BA25" s="986">
        <v>12300</v>
      </c>
      <c r="BB25" s="986">
        <v>13800</v>
      </c>
      <c r="BC25" s="986">
        <v>13600</v>
      </c>
      <c r="BD25" s="986">
        <v>14100</v>
      </c>
      <c r="BE25" s="986">
        <v>14500</v>
      </c>
      <c r="BF25" s="986">
        <v>16400</v>
      </c>
      <c r="BG25" s="986">
        <v>13800</v>
      </c>
      <c r="BH25" s="986">
        <v>13700</v>
      </c>
      <c r="BI25" s="986">
        <v>16100</v>
      </c>
      <c r="BJ25" s="986">
        <v>12500</v>
      </c>
    </row>
    <row r="26" spans="1:62" s="986" customFormat="1" ht="15">
      <c r="A26" s="984">
        <v>2002</v>
      </c>
      <c r="B26" s="985">
        <f t="shared" si="0"/>
        <v>6.3537414965986398</v>
      </c>
      <c r="C26" s="985">
        <f t="shared" si="0"/>
        <v>5.6721311475409832</v>
      </c>
      <c r="D26" s="985">
        <f t="shared" si="0"/>
        <v>4.904109589041096</v>
      </c>
      <c r="E26" s="985">
        <f t="shared" si="0"/>
        <v>5.882352941176471</v>
      </c>
      <c r="F26" s="985">
        <f t="shared" si="0"/>
        <v>5.367647058823529</v>
      </c>
      <c r="G26" s="985">
        <f t="shared" si="0"/>
        <v>5.7382550335570466</v>
      </c>
      <c r="H26" s="985">
        <f t="shared" si="0"/>
        <v>6.4465408805031448</v>
      </c>
      <c r="I26" s="985">
        <f t="shared" si="0"/>
        <v>5.7971014492753623</v>
      </c>
      <c r="J26" s="985">
        <f t="shared" si="0"/>
        <v>5.6814814814814811</v>
      </c>
      <c r="K26" s="985">
        <f t="shared" si="0"/>
        <v>5.5207100591715976</v>
      </c>
      <c r="L26" s="985">
        <f t="shared" si="0"/>
        <v>7.637096774193548</v>
      </c>
      <c r="N26" s="999">
        <v>94300</v>
      </c>
      <c r="O26" s="999">
        <v>69100</v>
      </c>
      <c r="P26" s="999">
        <v>71900</v>
      </c>
      <c r="Q26" s="999">
        <v>81400</v>
      </c>
      <c r="R26" s="999">
        <v>74100</v>
      </c>
      <c r="S26" s="999">
        <v>85500</v>
      </c>
      <c r="T26" s="999">
        <v>103500</v>
      </c>
      <c r="U26" s="999">
        <v>79900</v>
      </c>
      <c r="V26" s="999">
        <v>76900</v>
      </c>
      <c r="W26" s="999">
        <v>96600</v>
      </c>
      <c r="X26" s="999">
        <v>96600</v>
      </c>
      <c r="Z26" s="1000">
        <v>14300</v>
      </c>
      <c r="AA26" s="1000">
        <v>12000</v>
      </c>
      <c r="AB26" s="1000">
        <v>14100</v>
      </c>
      <c r="AC26" s="1000">
        <v>13300</v>
      </c>
      <c r="AD26" s="1000">
        <v>12900</v>
      </c>
      <c r="AE26" s="1000">
        <v>14300</v>
      </c>
      <c r="AF26" s="1000">
        <v>15500</v>
      </c>
      <c r="AG26" s="1000">
        <v>14200</v>
      </c>
      <c r="AH26" s="1000">
        <v>13600</v>
      </c>
      <c r="AI26" s="1000">
        <v>16700</v>
      </c>
      <c r="AJ26" s="1000">
        <v>12200</v>
      </c>
      <c r="AK26" s="1000"/>
      <c r="AM26" s="986">
        <v>2002</v>
      </c>
      <c r="AN26" s="986">
        <v>93400</v>
      </c>
      <c r="AO26" s="986">
        <v>69200</v>
      </c>
      <c r="AP26" s="986">
        <v>71600</v>
      </c>
      <c r="AQ26" s="986">
        <v>80000</v>
      </c>
      <c r="AR26" s="986">
        <v>73000</v>
      </c>
      <c r="AS26" s="986">
        <v>85500</v>
      </c>
      <c r="AT26" s="986">
        <v>102500</v>
      </c>
      <c r="AU26" s="986">
        <v>80000</v>
      </c>
      <c r="AV26" s="986">
        <v>76700</v>
      </c>
      <c r="AW26" s="986">
        <v>93300</v>
      </c>
      <c r="AX26" s="986">
        <v>94700</v>
      </c>
      <c r="AY26" s="986">
        <v>2002</v>
      </c>
      <c r="AZ26" s="986">
        <v>14700</v>
      </c>
      <c r="BA26" s="986">
        <v>12200</v>
      </c>
      <c r="BB26" s="986">
        <v>14600</v>
      </c>
      <c r="BC26" s="986">
        <v>13600</v>
      </c>
      <c r="BD26" s="986">
        <v>13600</v>
      </c>
      <c r="BE26" s="986">
        <v>14900</v>
      </c>
      <c r="BF26" s="986">
        <v>15900</v>
      </c>
      <c r="BG26" s="986">
        <v>13800</v>
      </c>
      <c r="BH26" s="986">
        <v>13500</v>
      </c>
      <c r="BI26" s="986">
        <v>16900</v>
      </c>
      <c r="BJ26" s="986">
        <v>12400</v>
      </c>
    </row>
    <row r="27" spans="1:62" s="986" customFormat="1" ht="15">
      <c r="A27" s="984">
        <v>2003</v>
      </c>
      <c r="B27" s="985">
        <f t="shared" si="0"/>
        <v>6.2162162162162158</v>
      </c>
      <c r="C27" s="985">
        <f t="shared" si="0"/>
        <v>5.580645161290323</v>
      </c>
      <c r="D27" s="985">
        <f t="shared" si="0"/>
        <v>4.3184713375796182</v>
      </c>
      <c r="E27" s="985">
        <f t="shared" si="0"/>
        <v>5.5454545454545459</v>
      </c>
      <c r="F27" s="985">
        <f t="shared" si="0"/>
        <v>5.6044776119402986</v>
      </c>
      <c r="G27" s="985">
        <f t="shared" si="0"/>
        <v>5.5066666666666668</v>
      </c>
      <c r="H27" s="985">
        <f t="shared" si="0"/>
        <v>6.4493670886075947</v>
      </c>
      <c r="I27" s="985">
        <f t="shared" si="0"/>
        <v>5.8740740740740742</v>
      </c>
      <c r="J27" s="985">
        <f t="shared" si="0"/>
        <v>5.75</v>
      </c>
      <c r="K27" s="985">
        <f t="shared" si="0"/>
        <v>5.9636363636363638</v>
      </c>
      <c r="L27" s="985">
        <f t="shared" si="0"/>
        <v>6.7829457364341081</v>
      </c>
      <c r="N27" s="999">
        <v>92300</v>
      </c>
      <c r="O27" s="999">
        <v>68500</v>
      </c>
      <c r="P27" s="999">
        <v>70600</v>
      </c>
      <c r="Q27" s="999">
        <v>73500</v>
      </c>
      <c r="R27" s="999">
        <v>75500</v>
      </c>
      <c r="S27" s="999">
        <v>82700</v>
      </c>
      <c r="T27" s="999">
        <v>101700</v>
      </c>
      <c r="U27" s="999">
        <v>79800</v>
      </c>
      <c r="V27" s="999">
        <v>77900</v>
      </c>
      <c r="W27" s="999">
        <v>102300</v>
      </c>
      <c r="X27" s="999">
        <v>88600</v>
      </c>
      <c r="Z27" s="1000">
        <v>14500</v>
      </c>
      <c r="AA27" s="1000">
        <v>12100</v>
      </c>
      <c r="AB27" s="1000">
        <v>15300</v>
      </c>
      <c r="AC27" s="1000">
        <v>12900</v>
      </c>
      <c r="AD27" s="1000">
        <v>12800</v>
      </c>
      <c r="AE27" s="1000">
        <v>14500</v>
      </c>
      <c r="AF27" s="1000">
        <v>15500</v>
      </c>
      <c r="AG27" s="1000">
        <v>14000</v>
      </c>
      <c r="AH27" s="1000">
        <v>13500</v>
      </c>
      <c r="AI27" s="1000">
        <v>16500</v>
      </c>
      <c r="AJ27" s="1000">
        <v>12900</v>
      </c>
      <c r="AK27" s="1000"/>
      <c r="AM27" s="986">
        <v>2003</v>
      </c>
      <c r="AN27" s="986">
        <v>92000</v>
      </c>
      <c r="AO27" s="986">
        <v>69200</v>
      </c>
      <c r="AP27" s="986">
        <v>67800</v>
      </c>
      <c r="AQ27" s="986">
        <v>73200</v>
      </c>
      <c r="AR27" s="986">
        <v>75100</v>
      </c>
      <c r="AS27" s="986">
        <v>82600</v>
      </c>
      <c r="AT27" s="986">
        <v>101900</v>
      </c>
      <c r="AU27" s="986">
        <v>79300</v>
      </c>
      <c r="AV27" s="986">
        <v>78200</v>
      </c>
      <c r="AW27" s="986">
        <v>98400</v>
      </c>
      <c r="AX27" s="986">
        <v>87500</v>
      </c>
      <c r="AY27" s="986">
        <v>2003</v>
      </c>
      <c r="AZ27" s="986">
        <v>14800</v>
      </c>
      <c r="BA27" s="986">
        <v>12400</v>
      </c>
      <c r="BB27" s="986">
        <v>15700</v>
      </c>
      <c r="BC27" s="986">
        <v>13200</v>
      </c>
      <c r="BD27" s="986">
        <v>13400</v>
      </c>
      <c r="BE27" s="986">
        <v>15000</v>
      </c>
      <c r="BF27" s="986">
        <v>15800</v>
      </c>
      <c r="BG27" s="986">
        <v>13500</v>
      </c>
      <c r="BH27" s="986">
        <v>13600</v>
      </c>
      <c r="BI27" s="986">
        <v>16500</v>
      </c>
      <c r="BJ27" s="986">
        <v>12900</v>
      </c>
    </row>
    <row r="28" spans="1:62" s="986" customFormat="1" ht="15">
      <c r="A28" s="984">
        <v>2004</v>
      </c>
      <c r="B28" s="985">
        <f t="shared" si="0"/>
        <v>6.3866666666666667</v>
      </c>
      <c r="C28" s="985">
        <f t="shared" si="0"/>
        <v>5.6829268292682924</v>
      </c>
      <c r="D28" s="985">
        <f t="shared" si="0"/>
        <v>4.4551282051282053</v>
      </c>
      <c r="E28" s="985">
        <f t="shared" ref="E28:L31" si="1">AQ28/BC28</f>
        <v>5.1875</v>
      </c>
      <c r="F28" s="985">
        <f t="shared" si="1"/>
        <v>5.5579710144927539</v>
      </c>
      <c r="G28" s="985">
        <f t="shared" si="1"/>
        <v>5.518987341772152</v>
      </c>
      <c r="H28" s="985">
        <f t="shared" si="1"/>
        <v>6.9090909090909092</v>
      </c>
      <c r="I28" s="985">
        <f t="shared" si="1"/>
        <v>5.6620689655172418</v>
      </c>
      <c r="J28" s="985">
        <f t="shared" si="1"/>
        <v>5.9621212121212119</v>
      </c>
      <c r="K28" s="985">
        <f t="shared" si="1"/>
        <v>6.0969696969696967</v>
      </c>
      <c r="L28" s="985">
        <f t="shared" si="1"/>
        <v>6.916666666666667</v>
      </c>
      <c r="N28" s="999">
        <v>95000</v>
      </c>
      <c r="O28" s="999">
        <v>69000</v>
      </c>
      <c r="P28" s="999">
        <v>71400</v>
      </c>
      <c r="Q28" s="999">
        <v>75200</v>
      </c>
      <c r="R28" s="999">
        <v>76100</v>
      </c>
      <c r="S28" s="999">
        <v>86800</v>
      </c>
      <c r="T28" s="999">
        <v>103900</v>
      </c>
      <c r="U28" s="999">
        <v>82400</v>
      </c>
      <c r="V28" s="999">
        <v>78500</v>
      </c>
      <c r="W28" s="999">
        <v>104700</v>
      </c>
      <c r="X28" s="999">
        <v>92700</v>
      </c>
      <c r="Z28" s="1000">
        <v>14800</v>
      </c>
      <c r="AA28" s="1000">
        <v>12100</v>
      </c>
      <c r="AB28" s="1000">
        <v>15500</v>
      </c>
      <c r="AC28" s="1000">
        <v>14100</v>
      </c>
      <c r="AD28" s="1000">
        <v>13100</v>
      </c>
      <c r="AE28" s="1000">
        <v>15400</v>
      </c>
      <c r="AF28" s="1000">
        <v>15200</v>
      </c>
      <c r="AG28" s="1000">
        <v>14700</v>
      </c>
      <c r="AH28" s="1000">
        <v>13200</v>
      </c>
      <c r="AI28" s="1000">
        <v>16500</v>
      </c>
      <c r="AJ28" s="1000">
        <v>13600</v>
      </c>
      <c r="AK28" s="1000"/>
      <c r="AM28" s="986">
        <v>2004</v>
      </c>
      <c r="AN28" s="986">
        <v>95800</v>
      </c>
      <c r="AO28" s="986">
        <v>69900</v>
      </c>
      <c r="AP28" s="986">
        <v>69500</v>
      </c>
      <c r="AQ28" s="986">
        <v>74700</v>
      </c>
      <c r="AR28" s="986">
        <v>76700</v>
      </c>
      <c r="AS28" s="986">
        <v>87200</v>
      </c>
      <c r="AT28" s="986">
        <v>106400</v>
      </c>
      <c r="AU28" s="986">
        <v>82100</v>
      </c>
      <c r="AV28" s="986">
        <v>78700</v>
      </c>
      <c r="AW28" s="986">
        <v>100600</v>
      </c>
      <c r="AX28" s="986">
        <v>91300</v>
      </c>
      <c r="AY28" s="986">
        <v>2004</v>
      </c>
      <c r="AZ28" s="986">
        <v>15000</v>
      </c>
      <c r="BA28" s="986">
        <v>12300</v>
      </c>
      <c r="BB28" s="986">
        <v>15600</v>
      </c>
      <c r="BC28" s="986">
        <v>14400</v>
      </c>
      <c r="BD28" s="986">
        <v>13800</v>
      </c>
      <c r="BE28" s="986">
        <v>15800</v>
      </c>
      <c r="BF28" s="986">
        <v>15400</v>
      </c>
      <c r="BG28" s="986">
        <v>14500</v>
      </c>
      <c r="BH28" s="986">
        <v>13200</v>
      </c>
      <c r="BI28" s="986">
        <v>16500</v>
      </c>
      <c r="BJ28" s="986">
        <v>13200</v>
      </c>
    </row>
    <row r="29" spans="1:62" s="986" customFormat="1" ht="15">
      <c r="A29" s="984">
        <v>2005</v>
      </c>
      <c r="B29" s="985">
        <f t="shared" ref="B29:D31" si="2">AN29/AZ29</f>
        <v>6.1548387096774198</v>
      </c>
      <c r="C29" s="985">
        <f t="shared" si="2"/>
        <v>5.6515151515151514</v>
      </c>
      <c r="D29" s="985">
        <f t="shared" si="2"/>
        <v>4.0994152046783627</v>
      </c>
      <c r="E29" s="985">
        <f t="shared" si="1"/>
        <v>5.1089743589743586</v>
      </c>
      <c r="F29" s="985">
        <f t="shared" si="1"/>
        <v>5.1619718309859151</v>
      </c>
      <c r="G29" s="985">
        <f t="shared" si="1"/>
        <v>5.4615384615384617</v>
      </c>
      <c r="H29" s="985">
        <f t="shared" si="1"/>
        <v>6.46875</v>
      </c>
      <c r="I29" s="985">
        <f t="shared" si="1"/>
        <v>5.7172413793103445</v>
      </c>
      <c r="J29" s="985">
        <f t="shared" si="1"/>
        <v>6.8174603174603172</v>
      </c>
      <c r="K29" s="985">
        <f t="shared" si="1"/>
        <v>5.7016574585635356</v>
      </c>
      <c r="L29" s="985">
        <f t="shared" si="1"/>
        <v>6.5763888888888893</v>
      </c>
      <c r="N29" s="999">
        <v>95400</v>
      </c>
      <c r="O29" s="999">
        <v>74400</v>
      </c>
      <c r="P29" s="999">
        <v>70100</v>
      </c>
      <c r="Q29" s="999">
        <v>79900</v>
      </c>
      <c r="R29" s="999">
        <v>72400</v>
      </c>
      <c r="S29" s="999">
        <v>84900</v>
      </c>
      <c r="T29" s="999">
        <v>102700</v>
      </c>
      <c r="U29" s="999">
        <v>82600</v>
      </c>
      <c r="V29" s="999">
        <v>86700</v>
      </c>
      <c r="W29" s="999">
        <v>106200</v>
      </c>
      <c r="X29" s="999">
        <v>96900</v>
      </c>
      <c r="Z29" s="1000">
        <v>15100</v>
      </c>
      <c r="AA29" s="1000">
        <v>12700</v>
      </c>
      <c r="AB29" s="1000">
        <v>16600</v>
      </c>
      <c r="AC29" s="1000">
        <v>15500</v>
      </c>
      <c r="AD29" s="1000">
        <v>13600</v>
      </c>
      <c r="AE29" s="1000">
        <v>15000</v>
      </c>
      <c r="AF29" s="1000">
        <v>15500</v>
      </c>
      <c r="AG29" s="1000">
        <v>14600</v>
      </c>
      <c r="AH29" s="1000">
        <v>12600</v>
      </c>
      <c r="AI29" s="1000">
        <v>18000</v>
      </c>
      <c r="AJ29" s="1000">
        <v>14400</v>
      </c>
      <c r="AK29" s="1000"/>
      <c r="AM29" s="986">
        <v>2005</v>
      </c>
      <c r="AN29" s="986">
        <v>95400</v>
      </c>
      <c r="AO29" s="986">
        <v>74600</v>
      </c>
      <c r="AP29" s="986">
        <v>70100</v>
      </c>
      <c r="AQ29" s="986">
        <v>79700</v>
      </c>
      <c r="AR29" s="986">
        <v>73300</v>
      </c>
      <c r="AS29" s="986">
        <v>85200</v>
      </c>
      <c r="AT29" s="986">
        <v>103500</v>
      </c>
      <c r="AU29" s="986">
        <v>82900</v>
      </c>
      <c r="AV29" s="986">
        <v>85900</v>
      </c>
      <c r="AW29" s="986">
        <v>103200</v>
      </c>
      <c r="AX29" s="986">
        <v>94700</v>
      </c>
      <c r="AY29" s="986">
        <v>2005</v>
      </c>
      <c r="AZ29" s="986">
        <v>15500</v>
      </c>
      <c r="BA29" s="986">
        <v>13200</v>
      </c>
      <c r="BB29" s="986">
        <v>17100</v>
      </c>
      <c r="BC29" s="986">
        <v>15600</v>
      </c>
      <c r="BD29" s="986">
        <v>14200</v>
      </c>
      <c r="BE29" s="986">
        <v>15600</v>
      </c>
      <c r="BF29" s="986">
        <v>16000</v>
      </c>
      <c r="BG29" s="986">
        <v>14500</v>
      </c>
      <c r="BH29" s="986">
        <v>12600</v>
      </c>
      <c r="BI29" s="986">
        <v>18100</v>
      </c>
      <c r="BJ29" s="986">
        <v>14400</v>
      </c>
    </row>
    <row r="30" spans="1:62" s="986" customFormat="1" ht="15">
      <c r="A30" s="984">
        <v>2006</v>
      </c>
      <c r="B30" s="985">
        <f t="shared" si="2"/>
        <v>6.0308641975308639</v>
      </c>
      <c r="C30" s="985">
        <f t="shared" si="2"/>
        <v>5.458333333333333</v>
      </c>
      <c r="D30" s="985">
        <f t="shared" si="2"/>
        <v>4.3294117647058821</v>
      </c>
      <c r="E30" s="985">
        <f t="shared" si="1"/>
        <v>5.042424242424242</v>
      </c>
      <c r="F30" s="985">
        <f t="shared" si="1"/>
        <v>5.380281690140845</v>
      </c>
      <c r="G30" s="985">
        <f t="shared" si="1"/>
        <v>5.3703703703703702</v>
      </c>
      <c r="H30" s="985">
        <f t="shared" si="1"/>
        <v>6.2590361445783129</v>
      </c>
      <c r="I30" s="985">
        <f t="shared" si="1"/>
        <v>5.8851351351351351</v>
      </c>
      <c r="J30" s="985">
        <f t="shared" si="1"/>
        <v>6.6791044776119399</v>
      </c>
      <c r="K30" s="985">
        <f t="shared" si="1"/>
        <v>5.7350000000000003</v>
      </c>
      <c r="L30" s="985">
        <f t="shared" si="1"/>
        <v>6.3581081081081079</v>
      </c>
      <c r="N30" s="999">
        <v>97800</v>
      </c>
      <c r="O30" s="999">
        <v>76900</v>
      </c>
      <c r="P30" s="999">
        <v>72600</v>
      </c>
      <c r="Q30" s="999">
        <v>81200</v>
      </c>
      <c r="R30" s="999">
        <v>76000</v>
      </c>
      <c r="S30" s="999">
        <v>86900</v>
      </c>
      <c r="T30" s="999">
        <v>103500</v>
      </c>
      <c r="U30" s="999">
        <v>89000</v>
      </c>
      <c r="V30" s="999">
        <v>90400</v>
      </c>
      <c r="W30" s="999">
        <v>115600</v>
      </c>
      <c r="X30" s="999">
        <v>97600</v>
      </c>
      <c r="Z30" s="1000">
        <v>15900</v>
      </c>
      <c r="AA30" s="1000">
        <v>13800</v>
      </c>
      <c r="AB30" s="1000">
        <v>16600</v>
      </c>
      <c r="AC30" s="1000">
        <v>16100</v>
      </c>
      <c r="AD30" s="1000">
        <v>13900</v>
      </c>
      <c r="AE30" s="1000">
        <v>15700</v>
      </c>
      <c r="AF30" s="1000">
        <v>16100</v>
      </c>
      <c r="AG30" s="1000">
        <v>15000</v>
      </c>
      <c r="AH30" s="1000">
        <v>13900</v>
      </c>
      <c r="AI30" s="1000">
        <v>20000</v>
      </c>
      <c r="AJ30" s="1000">
        <v>15100</v>
      </c>
      <c r="AK30" s="1000"/>
      <c r="AM30" s="986">
        <v>2006</v>
      </c>
      <c r="AN30" s="986">
        <v>97700</v>
      </c>
      <c r="AO30" s="986">
        <v>78600</v>
      </c>
      <c r="AP30" s="986">
        <v>73600</v>
      </c>
      <c r="AQ30" s="986">
        <v>83200</v>
      </c>
      <c r="AR30" s="986">
        <v>76400</v>
      </c>
      <c r="AS30" s="986">
        <v>87000</v>
      </c>
      <c r="AT30" s="986">
        <v>103900</v>
      </c>
      <c r="AU30" s="986">
        <v>87100</v>
      </c>
      <c r="AV30" s="986">
        <v>89500</v>
      </c>
      <c r="AW30" s="986">
        <v>114700</v>
      </c>
      <c r="AX30" s="986">
        <v>94100</v>
      </c>
      <c r="AY30" s="986">
        <v>2006</v>
      </c>
      <c r="AZ30" s="986">
        <v>16200</v>
      </c>
      <c r="BA30" s="986">
        <v>14400</v>
      </c>
      <c r="BB30" s="986">
        <v>17000</v>
      </c>
      <c r="BC30" s="986">
        <v>16500</v>
      </c>
      <c r="BD30" s="986">
        <v>14200</v>
      </c>
      <c r="BE30" s="986">
        <v>16200</v>
      </c>
      <c r="BF30" s="986">
        <v>16600</v>
      </c>
      <c r="BG30" s="986">
        <v>14800</v>
      </c>
      <c r="BH30" s="986">
        <v>13400</v>
      </c>
      <c r="BI30" s="986">
        <v>20000</v>
      </c>
      <c r="BJ30" s="986">
        <v>14800</v>
      </c>
    </row>
    <row r="31" spans="1:62" s="986" customFormat="1" ht="15">
      <c r="A31" s="984">
        <v>2007</v>
      </c>
      <c r="B31" s="985">
        <f t="shared" si="2"/>
        <v>5.9529411764705884</v>
      </c>
      <c r="C31" s="985">
        <f t="shared" si="2"/>
        <v>5.3164556962025316</v>
      </c>
      <c r="D31" s="985">
        <f t="shared" si="2"/>
        <v>4.0730337078651688</v>
      </c>
      <c r="E31" s="985">
        <f t="shared" si="1"/>
        <v>5.4140127388535033</v>
      </c>
      <c r="F31" s="985">
        <f t="shared" si="1"/>
        <v>5.479166666666667</v>
      </c>
      <c r="G31" s="985">
        <f t="shared" si="1"/>
        <v>5.3902439024390247</v>
      </c>
      <c r="H31" s="985">
        <f t="shared" si="1"/>
        <v>5.9497206703910619</v>
      </c>
      <c r="I31" s="985">
        <f t="shared" si="1"/>
        <v>6.1298701298701301</v>
      </c>
      <c r="J31" s="985">
        <f t="shared" si="1"/>
        <v>6.4797297297297298</v>
      </c>
      <c r="K31" s="985">
        <f t="shared" si="1"/>
        <v>5.985221674876847</v>
      </c>
      <c r="L31" s="985">
        <f t="shared" si="1"/>
        <v>6.0304878048780486</v>
      </c>
      <c r="N31" s="999"/>
      <c r="O31" s="999"/>
      <c r="P31" s="999"/>
      <c r="Q31" s="999"/>
      <c r="R31" s="999"/>
      <c r="S31" s="999"/>
      <c r="T31" s="999"/>
      <c r="U31" s="999"/>
      <c r="V31" s="999"/>
      <c r="W31" s="999"/>
      <c r="X31" s="999"/>
      <c r="Z31" s="1000"/>
      <c r="AA31" s="1000"/>
      <c r="AB31" s="1000"/>
      <c r="AC31" s="1000"/>
      <c r="AD31" s="1000"/>
      <c r="AE31" s="1000"/>
      <c r="AF31" s="1000"/>
      <c r="AG31" s="1000"/>
      <c r="AH31" s="1000"/>
      <c r="AI31" s="1000"/>
      <c r="AJ31" s="1000"/>
      <c r="AK31" s="1000"/>
      <c r="AM31" s="986">
        <v>2007</v>
      </c>
      <c r="AN31" s="986">
        <v>101200</v>
      </c>
      <c r="AO31" s="986">
        <v>84000</v>
      </c>
      <c r="AP31" s="986">
        <v>72500</v>
      </c>
      <c r="AQ31" s="986">
        <v>85000</v>
      </c>
      <c r="AR31" s="986">
        <v>78900</v>
      </c>
      <c r="AS31" s="986">
        <v>88400</v>
      </c>
      <c r="AT31" s="986">
        <v>106500</v>
      </c>
      <c r="AU31" s="986">
        <v>94400</v>
      </c>
      <c r="AV31" s="986">
        <v>95900</v>
      </c>
      <c r="AW31" s="986">
        <v>121500</v>
      </c>
      <c r="AX31" s="986">
        <v>98900</v>
      </c>
      <c r="AY31" s="986">
        <v>2007</v>
      </c>
      <c r="AZ31" s="986">
        <v>17000</v>
      </c>
      <c r="BA31" s="986">
        <v>15800</v>
      </c>
      <c r="BB31" s="986">
        <v>17800</v>
      </c>
      <c r="BC31" s="986">
        <v>15700</v>
      </c>
      <c r="BD31" s="986">
        <v>14400</v>
      </c>
      <c r="BE31" s="986">
        <v>16400</v>
      </c>
      <c r="BF31" s="986">
        <v>17900</v>
      </c>
      <c r="BG31" s="986">
        <v>15400</v>
      </c>
      <c r="BH31" s="986">
        <v>14800</v>
      </c>
      <c r="BI31" s="986">
        <v>20300</v>
      </c>
      <c r="BJ31" s="986">
        <v>16400</v>
      </c>
    </row>
    <row r="32" spans="1:62" s="991" customFormat="1">
      <c r="A32" s="1009"/>
      <c r="D32" s="985" t="s">
        <v>655</v>
      </c>
    </row>
    <row r="33" spans="1:37" s="991" customFormat="1">
      <c r="A33" s="1009" t="s">
        <v>603</v>
      </c>
      <c r="B33" s="992">
        <f>B13-B5</f>
        <v>-5.0239001073065559E-2</v>
      </c>
      <c r="C33" s="992">
        <f t="shared" ref="C33:L33" si="3">C13-C5</f>
        <v>-0.58689075630252141</v>
      </c>
      <c r="D33" s="992">
        <f t="shared" si="3"/>
        <v>-0.52538156390775281</v>
      </c>
      <c r="E33" s="992">
        <f t="shared" si="3"/>
        <v>0.13615618661257578</v>
      </c>
      <c r="F33" s="992">
        <f t="shared" si="3"/>
        <v>-0.76534653465346558</v>
      </c>
      <c r="G33" s="992">
        <f t="shared" si="3"/>
        <v>-0.20943810595104217</v>
      </c>
      <c r="H33" s="992">
        <f t="shared" si="3"/>
        <v>0.33453396059982321</v>
      </c>
      <c r="I33" s="992">
        <f t="shared" si="3"/>
        <v>-0.59827586206896566</v>
      </c>
      <c r="J33" s="992">
        <f t="shared" si="3"/>
        <v>-0.60937742586554933</v>
      </c>
      <c r="K33" s="992">
        <f t="shared" si="3"/>
        <v>0.58972073677955983</v>
      </c>
      <c r="L33" s="992">
        <f t="shared" si="3"/>
        <v>-0.59365274365274345</v>
      </c>
    </row>
    <row r="34" spans="1:37" s="991" customFormat="1">
      <c r="A34" s="1009" t="s">
        <v>604</v>
      </c>
      <c r="B34" s="992">
        <f>B24-B13</f>
        <v>1.0806989462451639</v>
      </c>
      <c r="C34" s="992">
        <f t="shared" ref="C34:L34" si="4">C24-C13</f>
        <v>1.1399342345633903</v>
      </c>
      <c r="D34" s="992">
        <f t="shared" si="4"/>
        <v>0.91686650679456427</v>
      </c>
      <c r="E34" s="992">
        <f t="shared" si="4"/>
        <v>0.60637254901960791</v>
      </c>
      <c r="F34" s="992">
        <f t="shared" si="4"/>
        <v>0.62116788321167871</v>
      </c>
      <c r="G34" s="992">
        <f t="shared" si="4"/>
        <v>0.97006802721088459</v>
      </c>
      <c r="H34" s="992">
        <f t="shared" si="4"/>
        <v>1.4090475541626928</v>
      </c>
      <c r="I34" s="992">
        <f t="shared" si="4"/>
        <v>0.59047619047619104</v>
      </c>
      <c r="J34" s="992">
        <f t="shared" si="4"/>
        <v>-0.2519568151147098</v>
      </c>
      <c r="K34" s="992">
        <f t="shared" si="4"/>
        <v>0.3362470862470861</v>
      </c>
      <c r="L34" s="992">
        <f t="shared" si="4"/>
        <v>1.4860342555994723</v>
      </c>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row>
    <row r="35" spans="1:37" s="991" customFormat="1">
      <c r="A35" s="1009" t="s">
        <v>447</v>
      </c>
      <c r="B35" s="993">
        <f>B31-B5</f>
        <v>0.75891132572431985</v>
      </c>
      <c r="C35" s="993">
        <f t="shared" ref="C35:L35" si="5">C31-C5</f>
        <v>-4.3544303797468764E-2</v>
      </c>
      <c r="D35" s="993">
        <f t="shared" si="5"/>
        <v>-0.64659246035913043</v>
      </c>
      <c r="E35" s="993">
        <f t="shared" si="5"/>
        <v>0.68987480781902022</v>
      </c>
      <c r="F35" s="993">
        <f t="shared" si="5"/>
        <v>1.3820132013201203E-2</v>
      </c>
      <c r="G35" s="993">
        <f t="shared" si="5"/>
        <v>0.35087382369886733</v>
      </c>
      <c r="H35" s="993">
        <f t="shared" si="5"/>
        <v>1.2786680388121141</v>
      </c>
      <c r="I35" s="993">
        <f t="shared" si="5"/>
        <v>0.43159426780116483</v>
      </c>
      <c r="J35" s="993">
        <f t="shared" si="5"/>
        <v>1.0703181057163391E-2</v>
      </c>
      <c r="K35" s="993">
        <f t="shared" si="5"/>
        <v>0.80221513892913432</v>
      </c>
      <c r="L35" s="993">
        <f t="shared" si="5"/>
        <v>0.91562294001318367</v>
      </c>
    </row>
    <row r="36" spans="1:37" s="991" customFormat="1">
      <c r="A36" s="1009" t="s">
        <v>449</v>
      </c>
      <c r="B36" s="992">
        <f>B31-B24</f>
        <v>-0.27154861944777853</v>
      </c>
      <c r="C36" s="992">
        <f t="shared" ref="C36:L36" si="6">C31-C24</f>
        <v>-0.59658778205833762</v>
      </c>
      <c r="D36" s="992">
        <f t="shared" si="6"/>
        <v>-1.0380774032459419</v>
      </c>
      <c r="E36" s="992">
        <f t="shared" si="6"/>
        <v>-5.265392781316347E-2</v>
      </c>
      <c r="F36" s="992">
        <f t="shared" si="6"/>
        <v>0.15799878345498808</v>
      </c>
      <c r="G36" s="992">
        <f t="shared" si="6"/>
        <v>-0.40975609756097509</v>
      </c>
      <c r="H36" s="992">
        <f t="shared" si="6"/>
        <v>-0.46491347595040189</v>
      </c>
      <c r="I36" s="992">
        <f t="shared" si="6"/>
        <v>0.43939393939393945</v>
      </c>
      <c r="J36" s="992">
        <f t="shared" si="6"/>
        <v>0.87203742203742252</v>
      </c>
      <c r="K36" s="992">
        <f t="shared" si="6"/>
        <v>-0.12375268409751161</v>
      </c>
      <c r="L36" s="992">
        <f t="shared" si="6"/>
        <v>2.3241428066454795E-2</v>
      </c>
    </row>
    <row r="37" spans="1:37" s="991" customFormat="1">
      <c r="A37" s="1009"/>
      <c r="D37" s="985" t="s">
        <v>276</v>
      </c>
    </row>
    <row r="38" spans="1:37" s="991" customFormat="1">
      <c r="A38" s="1009" t="s">
        <v>447</v>
      </c>
      <c r="B38" s="992">
        <f>(B31/B5-1)*100</f>
        <v>14.611223799864771</v>
      </c>
      <c r="C38" s="992">
        <f t="shared" ref="C38:L38" si="7">(C31/C5-1)*100</f>
        <v>-0.81239372756471973</v>
      </c>
      <c r="D38" s="992">
        <f t="shared" si="7"/>
        <v>-13.700077872955829</v>
      </c>
      <c r="E38" s="992">
        <f t="shared" si="7"/>
        <v>14.603189362592396</v>
      </c>
      <c r="F38" s="992">
        <f t="shared" si="7"/>
        <v>0.25286835748792313</v>
      </c>
      <c r="G38" s="992">
        <f t="shared" si="7"/>
        <v>6.9626524390244082</v>
      </c>
      <c r="H38" s="992">
        <f t="shared" si="7"/>
        <v>27.374301675977652</v>
      </c>
      <c r="I38" s="992">
        <f t="shared" si="7"/>
        <v>7.5741202821384412</v>
      </c>
      <c r="J38" s="992">
        <f t="shared" si="7"/>
        <v>0.16545273043220288</v>
      </c>
      <c r="K38" s="992">
        <f t="shared" si="7"/>
        <v>15.477795240372959</v>
      </c>
      <c r="L38" s="992">
        <f t="shared" si="7"/>
        <v>17.901214679253783</v>
      </c>
    </row>
    <row r="39" spans="1:37" s="986" customFormat="1">
      <c r="A39" s="990"/>
      <c r="B39" s="994"/>
    </row>
    <row r="40" spans="1:37" s="986" customFormat="1" ht="40.5" customHeight="1">
      <c r="A40" s="1182" t="s">
        <v>36</v>
      </c>
      <c r="B40" s="1182"/>
      <c r="C40" s="1182"/>
      <c r="D40" s="1182"/>
      <c r="E40" s="1182"/>
      <c r="F40" s="1182"/>
      <c r="G40" s="1182"/>
      <c r="H40" s="1182"/>
      <c r="I40" s="1182"/>
      <c r="J40" s="1182"/>
      <c r="K40" s="1182"/>
      <c r="L40" s="1182"/>
    </row>
    <row r="41" spans="1:37" s="986" customFormat="1" ht="12.75" customHeight="1">
      <c r="A41" s="995" t="s">
        <v>1051</v>
      </c>
      <c r="B41" s="996"/>
      <c r="C41" s="996"/>
      <c r="D41" s="996"/>
      <c r="E41" s="996"/>
      <c r="F41" s="996"/>
      <c r="G41" s="996"/>
      <c r="H41" s="996"/>
      <c r="I41" s="996"/>
      <c r="J41" s="996"/>
      <c r="K41" s="996"/>
      <c r="L41" s="996"/>
    </row>
    <row r="42" spans="1:37" s="986" customFormat="1" ht="14.25" customHeight="1">
      <c r="A42" s="995" t="s">
        <v>1868</v>
      </c>
      <c r="B42" s="996"/>
      <c r="C42" s="996"/>
      <c r="D42" s="996"/>
      <c r="E42" s="996"/>
      <c r="F42" s="996"/>
      <c r="G42" s="996"/>
      <c r="H42" s="996"/>
      <c r="I42" s="996"/>
      <c r="J42" s="996"/>
      <c r="K42" s="996"/>
      <c r="L42" s="996"/>
    </row>
    <row r="43" spans="1:37" s="986" customFormat="1" ht="39" customHeight="1">
      <c r="A43" s="1183" t="s">
        <v>233</v>
      </c>
      <c r="B43" s="1184"/>
      <c r="C43" s="1184"/>
      <c r="D43" s="1184"/>
      <c r="E43" s="1184"/>
      <c r="F43" s="1184"/>
      <c r="G43" s="1184"/>
      <c r="H43" s="1184"/>
      <c r="I43" s="1184"/>
      <c r="J43" s="1184"/>
      <c r="K43" s="1184"/>
      <c r="L43" s="1184"/>
    </row>
    <row r="44" spans="1:37" s="986" customFormat="1" ht="25.5" customHeight="1">
      <c r="A44" s="1183" t="s">
        <v>539</v>
      </c>
      <c r="B44" s="1184"/>
      <c r="C44" s="1184"/>
      <c r="D44" s="1184"/>
      <c r="E44" s="1184"/>
      <c r="F44" s="1184"/>
      <c r="G44" s="1184"/>
      <c r="H44" s="1184"/>
      <c r="I44" s="1184"/>
      <c r="J44" s="1184"/>
      <c r="K44" s="1184"/>
      <c r="L44" s="1184"/>
    </row>
    <row r="45" spans="1:37" s="986" customFormat="1" ht="38.25" customHeight="1">
      <c r="A45" s="1183" t="s">
        <v>1214</v>
      </c>
      <c r="B45" s="1184"/>
      <c r="C45" s="1184"/>
      <c r="D45" s="1184"/>
      <c r="E45" s="1184"/>
      <c r="F45" s="1184"/>
      <c r="G45" s="1184"/>
      <c r="H45" s="1184"/>
      <c r="I45" s="1184"/>
      <c r="J45" s="1184"/>
      <c r="K45" s="1184"/>
      <c r="L45" s="1184"/>
    </row>
    <row r="46" spans="1:37" s="986" customFormat="1">
      <c r="B46" s="990"/>
      <c r="M46" s="990"/>
      <c r="N46" s="990"/>
    </row>
    <row r="47" spans="1:37" s="986" customFormat="1">
      <c r="A47" s="990"/>
      <c r="B47" s="990"/>
      <c r="C47" s="990"/>
      <c r="D47" s="990"/>
      <c r="E47" s="990"/>
      <c r="F47" s="994">
        <f>((((B27/B5))^(1/22))-1)*100</f>
        <v>0.81994114512686789</v>
      </c>
      <c r="G47" s="990"/>
      <c r="H47" s="990"/>
      <c r="I47" s="990"/>
      <c r="J47" s="990"/>
      <c r="K47" s="990"/>
      <c r="L47" s="990"/>
      <c r="M47" s="990"/>
      <c r="N47" s="990"/>
    </row>
    <row r="48" spans="1:37" s="986" customFormat="1">
      <c r="A48" s="990"/>
      <c r="B48" s="997"/>
      <c r="C48" s="998">
        <f>B5</f>
        <v>5.1940298507462686</v>
      </c>
      <c r="D48" s="990"/>
      <c r="E48" s="990"/>
      <c r="F48" s="994">
        <f>((((B13/B5))^(1/8))-1)*100</f>
        <v>-0.12142039269887883</v>
      </c>
      <c r="G48" s="990"/>
      <c r="H48" s="990"/>
      <c r="I48" s="990"/>
      <c r="J48" s="990"/>
      <c r="K48" s="990"/>
      <c r="L48" s="990"/>
      <c r="M48" s="990"/>
      <c r="N48" s="990"/>
    </row>
    <row r="49" spans="1:14" s="986" customFormat="1">
      <c r="A49" s="990"/>
      <c r="B49" s="997"/>
      <c r="C49" s="998">
        <f>B13</f>
        <v>5.143790849673203</v>
      </c>
      <c r="D49" s="990"/>
      <c r="E49" s="990"/>
      <c r="F49" s="994">
        <f>((((B24/B13))^(1/11))-1)*100</f>
        <v>1.7487617081024753</v>
      </c>
      <c r="G49" s="990"/>
      <c r="H49" s="990"/>
      <c r="I49" s="990"/>
      <c r="J49" s="990"/>
      <c r="K49" s="990"/>
      <c r="L49" s="990"/>
      <c r="M49" s="990"/>
      <c r="N49" s="990"/>
    </row>
    <row r="50" spans="1:14" s="986" customFormat="1">
      <c r="A50" s="37"/>
      <c r="B50" s="997"/>
      <c r="C50" s="998">
        <f>B24</f>
        <v>6.2244897959183669</v>
      </c>
      <c r="D50" s="37"/>
      <c r="E50" s="37"/>
      <c r="F50" s="994">
        <f>((((B27/B24))^(1/3))-1)*100</f>
        <v>-4.4326246942238967E-2</v>
      </c>
      <c r="G50" s="37"/>
      <c r="H50" s="37"/>
      <c r="I50" s="29"/>
      <c r="J50" s="37"/>
      <c r="K50" s="37"/>
      <c r="L50" s="37"/>
      <c r="M50" s="990"/>
      <c r="N50" s="990"/>
    </row>
    <row r="51" spans="1:14" s="986" customFormat="1">
      <c r="A51" s="30"/>
      <c r="B51" s="997"/>
      <c r="C51" s="998">
        <f>B27</f>
        <v>6.2162162162162158</v>
      </c>
      <c r="D51" s="1001"/>
      <c r="E51" s="1185"/>
      <c r="F51" s="1185"/>
      <c r="G51" s="1185"/>
      <c r="H51" s="1185"/>
      <c r="I51" s="1185"/>
      <c r="J51" s="1185"/>
      <c r="K51" s="1185"/>
      <c r="L51" s="1185"/>
      <c r="M51" s="990"/>
      <c r="N51" s="990"/>
    </row>
    <row r="52" spans="1:14" s="986" customFormat="1">
      <c r="A52" s="38"/>
      <c r="B52" s="1001"/>
      <c r="C52" s="1001"/>
      <c r="D52" s="1001"/>
      <c r="E52" s="1185"/>
      <c r="F52" s="1185"/>
      <c r="G52" s="1185"/>
      <c r="H52" s="1185"/>
      <c r="I52" s="1185"/>
      <c r="J52" s="1185"/>
      <c r="K52" s="1185"/>
      <c r="L52" s="1185"/>
      <c r="M52" s="990"/>
      <c r="N52" s="990"/>
    </row>
    <row r="53" spans="1:14">
      <c r="A53" s="30"/>
      <c r="B53" s="31"/>
      <c r="C53" s="31"/>
      <c r="D53" s="31"/>
      <c r="E53" s="31"/>
      <c r="F53" s="31"/>
      <c r="G53" s="31"/>
      <c r="H53" s="31"/>
      <c r="I53" s="31"/>
      <c r="J53" s="31"/>
      <c r="K53" s="31"/>
      <c r="L53" s="31"/>
      <c r="M53" s="4"/>
      <c r="N53" s="4"/>
    </row>
    <row r="54" spans="1:14">
      <c r="A54" s="30"/>
      <c r="B54" s="31"/>
      <c r="C54" s="31"/>
      <c r="D54" s="31"/>
      <c r="E54" s="31"/>
      <c r="F54" s="31"/>
      <c r="G54" s="31"/>
      <c r="H54" s="31"/>
      <c r="I54" s="31"/>
      <c r="J54" s="31"/>
      <c r="K54" s="31"/>
      <c r="L54" s="31"/>
      <c r="M54" s="4"/>
      <c r="N54" s="4"/>
    </row>
    <row r="55" spans="1:14">
      <c r="A55" s="30"/>
      <c r="B55" s="31"/>
      <c r="C55" s="31"/>
      <c r="D55" s="31"/>
      <c r="E55" s="31"/>
      <c r="F55" s="31"/>
      <c r="G55" s="31"/>
      <c r="H55" s="31"/>
      <c r="I55" s="31"/>
      <c r="J55" s="31"/>
      <c r="K55" s="31"/>
      <c r="L55" s="31"/>
      <c r="M55" s="4"/>
      <c r="N55" s="4"/>
    </row>
    <row r="56" spans="1:14">
      <c r="A56" s="30"/>
      <c r="B56" s="31"/>
      <c r="C56" s="31"/>
      <c r="D56" s="31"/>
      <c r="E56" s="31"/>
      <c r="F56" s="31"/>
      <c r="G56" s="31"/>
      <c r="H56" s="31"/>
      <c r="I56" s="31"/>
      <c r="J56" s="31"/>
      <c r="K56" s="31"/>
      <c r="L56" s="31"/>
      <c r="M56" s="4"/>
      <c r="N56" s="4"/>
    </row>
    <row r="57" spans="1:14">
      <c r="A57" s="30"/>
      <c r="B57" s="31"/>
      <c r="C57" s="31"/>
      <c r="D57" s="31"/>
      <c r="E57" s="31"/>
      <c r="F57" s="31"/>
      <c r="G57" s="31"/>
      <c r="H57" s="31"/>
      <c r="I57" s="31"/>
      <c r="J57" s="31"/>
      <c r="K57" s="31"/>
      <c r="L57" s="31"/>
      <c r="M57" s="4"/>
      <c r="N57" s="4"/>
    </row>
    <row r="58" spans="1:14">
      <c r="A58" s="30"/>
      <c r="B58" s="31"/>
      <c r="C58" s="31"/>
      <c r="D58" s="31"/>
      <c r="E58" s="31"/>
      <c r="F58" s="31"/>
      <c r="G58" s="31"/>
      <c r="H58" s="31"/>
      <c r="I58" s="31"/>
      <c r="J58" s="31"/>
      <c r="K58" s="31"/>
      <c r="L58" s="31"/>
      <c r="M58" s="4"/>
      <c r="N58" s="4"/>
    </row>
    <row r="59" spans="1:14">
      <c r="A59" s="30"/>
      <c r="B59" s="31"/>
      <c r="C59" s="31"/>
      <c r="D59" s="31"/>
      <c r="E59" s="31"/>
      <c r="F59" s="31"/>
      <c r="G59" s="31"/>
      <c r="H59" s="31"/>
      <c r="I59" s="31"/>
      <c r="J59" s="31"/>
      <c r="K59" s="31"/>
      <c r="L59" s="31"/>
      <c r="M59" s="4"/>
      <c r="N59" s="4"/>
    </row>
    <row r="60" spans="1:14">
      <c r="A60" s="30"/>
      <c r="B60" s="31"/>
      <c r="C60" s="31"/>
      <c r="D60" s="31"/>
      <c r="E60" s="31"/>
      <c r="F60" s="31"/>
      <c r="G60" s="31"/>
      <c r="H60" s="31"/>
      <c r="I60" s="31"/>
      <c r="J60" s="31"/>
      <c r="K60" s="31"/>
      <c r="L60" s="31"/>
      <c r="M60" s="4"/>
      <c r="N60" s="4"/>
    </row>
    <row r="61" spans="1:14">
      <c r="A61" s="30"/>
      <c r="B61" s="31"/>
      <c r="C61" s="31"/>
      <c r="D61" s="31"/>
      <c r="E61" s="31"/>
      <c r="F61" s="31"/>
      <c r="G61" s="31"/>
      <c r="H61" s="31"/>
      <c r="I61" s="31"/>
      <c r="J61" s="31"/>
      <c r="K61" s="31"/>
      <c r="L61" s="31"/>
      <c r="M61" s="4"/>
      <c r="N61" s="4"/>
    </row>
    <row r="62" spans="1:14">
      <c r="A62" s="30"/>
      <c r="B62" s="31"/>
      <c r="C62" s="31"/>
      <c r="D62" s="31"/>
      <c r="E62" s="31"/>
      <c r="F62" s="31"/>
      <c r="G62" s="31"/>
      <c r="H62" s="31"/>
      <c r="I62" s="31"/>
      <c r="J62" s="31"/>
      <c r="K62" s="31"/>
      <c r="L62" s="31"/>
      <c r="M62" s="4"/>
      <c r="N62" s="4"/>
    </row>
    <row r="63" spans="1:14">
      <c r="A63" s="30"/>
      <c r="B63" s="31"/>
      <c r="C63" s="31"/>
      <c r="D63" s="31"/>
      <c r="E63" s="31"/>
      <c r="F63" s="31"/>
      <c r="G63" s="31"/>
      <c r="H63" s="31"/>
      <c r="I63" s="31"/>
      <c r="J63" s="31"/>
      <c r="K63" s="31"/>
      <c r="L63" s="31"/>
      <c r="M63" s="4"/>
      <c r="N63" s="4"/>
    </row>
    <row r="64" spans="1:14">
      <c r="A64" s="30"/>
      <c r="B64" s="31"/>
      <c r="C64" s="31"/>
      <c r="D64" s="31"/>
      <c r="E64" s="31"/>
      <c r="F64" s="31"/>
      <c r="G64" s="31"/>
      <c r="H64" s="31"/>
      <c r="I64" s="31"/>
      <c r="J64" s="31"/>
      <c r="K64" s="31"/>
      <c r="L64" s="31"/>
      <c r="M64" s="4"/>
      <c r="N64" s="4"/>
    </row>
    <row r="65" spans="1:14">
      <c r="A65" s="30"/>
      <c r="B65" s="31"/>
      <c r="C65" s="31"/>
      <c r="D65" s="31"/>
      <c r="E65" s="31"/>
      <c r="F65" s="31"/>
      <c r="G65" s="31"/>
      <c r="H65" s="31"/>
      <c r="I65" s="31"/>
      <c r="J65" s="31"/>
      <c r="K65" s="31"/>
      <c r="L65" s="31"/>
      <c r="M65" s="4"/>
      <c r="N65" s="4"/>
    </row>
    <row r="66" spans="1:14">
      <c r="A66" s="30"/>
      <c r="B66" s="31"/>
      <c r="C66" s="31"/>
      <c r="D66" s="31"/>
      <c r="E66" s="31"/>
      <c r="F66" s="31"/>
      <c r="G66" s="31"/>
      <c r="H66" s="31"/>
      <c r="I66" s="31"/>
      <c r="J66" s="31"/>
      <c r="K66" s="31"/>
      <c r="L66" s="31"/>
      <c r="M66" s="4"/>
      <c r="N66" s="4"/>
    </row>
    <row r="67" spans="1:14">
      <c r="A67" s="30"/>
      <c r="B67" s="31"/>
      <c r="C67" s="31"/>
      <c r="D67" s="31"/>
      <c r="E67" s="31"/>
      <c r="F67" s="31"/>
      <c r="G67" s="31"/>
      <c r="H67" s="31"/>
      <c r="I67" s="31"/>
      <c r="J67" s="31"/>
      <c r="K67" s="31"/>
      <c r="L67" s="31"/>
      <c r="M67" s="4"/>
      <c r="N67" s="4"/>
    </row>
    <row r="68" spans="1:14">
      <c r="A68" s="30"/>
      <c r="B68" s="31"/>
      <c r="C68" s="31"/>
      <c r="D68" s="31"/>
      <c r="E68" s="31"/>
      <c r="F68" s="31"/>
      <c r="G68" s="31"/>
      <c r="H68" s="31"/>
      <c r="I68" s="31"/>
      <c r="J68" s="31"/>
      <c r="K68" s="31"/>
      <c r="L68" s="31"/>
      <c r="M68" s="4"/>
      <c r="N68" s="4"/>
    </row>
    <row r="69" spans="1:14">
      <c r="A69" s="30"/>
      <c r="B69" s="31"/>
      <c r="C69" s="31"/>
      <c r="D69" s="31"/>
      <c r="E69" s="31"/>
      <c r="F69" s="31"/>
      <c r="G69" s="31"/>
      <c r="H69" s="31"/>
      <c r="I69" s="31"/>
      <c r="J69" s="31"/>
      <c r="K69" s="31"/>
      <c r="L69" s="31"/>
      <c r="M69" s="4"/>
      <c r="N69" s="4"/>
    </row>
    <row r="70" spans="1:14">
      <c r="A70" s="30"/>
      <c r="B70" s="31"/>
      <c r="C70" s="31"/>
      <c r="D70" s="31"/>
      <c r="E70" s="31"/>
      <c r="F70" s="31"/>
      <c r="G70" s="31"/>
      <c r="H70" s="31"/>
      <c r="I70" s="31"/>
      <c r="J70" s="31"/>
      <c r="K70" s="31"/>
      <c r="L70" s="31"/>
      <c r="M70" s="4"/>
      <c r="N70" s="4"/>
    </row>
    <row r="71" spans="1:14">
      <c r="A71" s="30"/>
      <c r="B71" s="31"/>
      <c r="C71" s="31"/>
      <c r="D71" s="31"/>
      <c r="E71" s="31"/>
      <c r="F71" s="31"/>
      <c r="G71" s="31"/>
      <c r="H71" s="31"/>
      <c r="I71" s="31"/>
      <c r="J71" s="31"/>
      <c r="K71" s="31"/>
      <c r="L71" s="31"/>
      <c r="M71" s="4"/>
      <c r="N71" s="4"/>
    </row>
    <row r="72" spans="1:14">
      <c r="A72" s="30"/>
      <c r="B72" s="31"/>
      <c r="C72" s="31"/>
      <c r="D72" s="31"/>
      <c r="E72" s="31"/>
      <c r="F72" s="31"/>
      <c r="G72" s="31"/>
      <c r="H72" s="31"/>
      <c r="I72" s="31"/>
      <c r="J72" s="31"/>
      <c r="K72" s="31"/>
      <c r="L72" s="31"/>
      <c r="M72" s="4"/>
      <c r="N72" s="4"/>
    </row>
    <row r="73" spans="1:14">
      <c r="A73" s="30"/>
      <c r="B73" s="31"/>
      <c r="C73" s="31"/>
      <c r="D73" s="31"/>
      <c r="E73" s="31"/>
      <c r="F73" s="31"/>
      <c r="G73" s="31"/>
      <c r="H73" s="31"/>
      <c r="I73" s="31"/>
      <c r="J73" s="31"/>
      <c r="K73" s="31"/>
      <c r="L73" s="31"/>
      <c r="M73" s="4"/>
      <c r="N73" s="4"/>
    </row>
    <row r="74" spans="1:14">
      <c r="A74" s="30"/>
      <c r="B74" s="31"/>
      <c r="C74" s="31"/>
      <c r="D74" s="31"/>
      <c r="E74" s="31"/>
      <c r="F74" s="31"/>
      <c r="G74" s="31"/>
      <c r="H74" s="31"/>
      <c r="I74" s="31"/>
      <c r="J74" s="31"/>
      <c r="K74" s="31"/>
      <c r="L74" s="31"/>
      <c r="M74" s="4"/>
      <c r="N74" s="4"/>
    </row>
    <row r="75" spans="1:14">
      <c r="A75" s="30"/>
      <c r="B75" s="32"/>
      <c r="C75" s="32"/>
      <c r="D75" s="32"/>
      <c r="E75" s="32"/>
      <c r="F75" s="32"/>
      <c r="G75" s="32"/>
      <c r="H75" s="32"/>
      <c r="I75" s="32"/>
      <c r="J75" s="32"/>
      <c r="K75" s="32"/>
      <c r="L75" s="32"/>
      <c r="M75" s="4"/>
      <c r="N75" s="4"/>
    </row>
    <row r="76" spans="1:14">
      <c r="A76" s="30"/>
      <c r="B76" s="31"/>
      <c r="C76" s="31"/>
      <c r="D76" s="31"/>
      <c r="E76" s="31"/>
      <c r="F76" s="31"/>
      <c r="G76" s="31"/>
      <c r="H76" s="31"/>
      <c r="I76" s="31"/>
      <c r="J76" s="31"/>
      <c r="K76" s="31"/>
      <c r="L76" s="31"/>
      <c r="M76" s="4"/>
      <c r="N76" s="4"/>
    </row>
    <row r="77" spans="1:14">
      <c r="A77" s="5"/>
      <c r="B77" s="33"/>
      <c r="C77" s="33"/>
      <c r="D77" s="33"/>
      <c r="E77" s="33"/>
      <c r="F77" s="33"/>
      <c r="G77" s="33"/>
      <c r="H77" s="33"/>
      <c r="I77" s="33"/>
      <c r="J77" s="33"/>
      <c r="K77" s="33"/>
      <c r="L77" s="33"/>
      <c r="M77" s="4"/>
      <c r="N77" s="4"/>
    </row>
    <row r="78" spans="1:14">
      <c r="A78" s="5"/>
      <c r="B78" s="33"/>
      <c r="C78" s="33"/>
      <c r="D78" s="33"/>
      <c r="E78" s="33"/>
      <c r="F78" s="33"/>
      <c r="G78" s="33"/>
      <c r="H78" s="33"/>
      <c r="I78" s="33"/>
      <c r="J78" s="33"/>
      <c r="K78" s="33"/>
      <c r="L78" s="33"/>
      <c r="M78" s="4"/>
      <c r="N78" s="4"/>
    </row>
    <row r="79" spans="1:14">
      <c r="A79" s="4"/>
      <c r="B79" s="4"/>
      <c r="C79" s="30"/>
      <c r="D79" s="30"/>
      <c r="E79" s="30"/>
      <c r="F79" s="30"/>
      <c r="G79" s="30"/>
      <c r="H79" s="30"/>
      <c r="I79" s="30"/>
      <c r="J79" s="30"/>
      <c r="K79" s="30"/>
      <c r="L79" s="30"/>
      <c r="M79" s="4"/>
      <c r="N79" s="4"/>
    </row>
    <row r="80" spans="1:14">
      <c r="A80" s="4"/>
      <c r="B80" s="4"/>
      <c r="C80" s="30"/>
      <c r="D80" s="30"/>
      <c r="E80" s="30"/>
      <c r="F80" s="30"/>
      <c r="G80" s="30"/>
      <c r="H80" s="30"/>
      <c r="I80" s="30"/>
      <c r="J80" s="30"/>
      <c r="K80" s="30"/>
      <c r="L80" s="30"/>
      <c r="M80" s="4"/>
      <c r="N80" s="4"/>
    </row>
    <row r="81" spans="1:14">
      <c r="A81" s="34"/>
      <c r="B81" s="4"/>
      <c r="C81" s="30"/>
      <c r="D81" s="30"/>
      <c r="E81" s="30"/>
      <c r="F81" s="30"/>
      <c r="G81" s="30"/>
      <c r="H81" s="30"/>
      <c r="I81" s="30"/>
      <c r="J81" s="30"/>
      <c r="K81" s="30"/>
      <c r="L81" s="30"/>
      <c r="M81" s="4"/>
      <c r="N81" s="4"/>
    </row>
    <row r="82" spans="1:14">
      <c r="A82" s="34"/>
      <c r="B82" s="4"/>
      <c r="C82" s="30"/>
      <c r="D82" s="30"/>
      <c r="E82" s="30"/>
      <c r="F82" s="30"/>
      <c r="G82" s="30"/>
      <c r="H82" s="30"/>
      <c r="I82" s="30"/>
      <c r="J82" s="30"/>
      <c r="K82" s="30"/>
      <c r="L82" s="30"/>
      <c r="M82" s="4"/>
      <c r="N82" s="4"/>
    </row>
    <row r="83" spans="1:14">
      <c r="A83" s="30"/>
      <c r="B83" s="4"/>
      <c r="C83" s="30"/>
      <c r="D83" s="30"/>
      <c r="E83" s="30"/>
      <c r="F83" s="30"/>
      <c r="G83" s="30"/>
      <c r="H83" s="30"/>
      <c r="I83" s="30"/>
      <c r="J83" s="30"/>
      <c r="K83" s="30"/>
      <c r="L83" s="30"/>
      <c r="M83" s="4"/>
      <c r="N83" s="4"/>
    </row>
    <row r="84" spans="1:14">
      <c r="A84" s="30"/>
      <c r="B84" s="4"/>
      <c r="C84" s="31"/>
      <c r="D84" s="30"/>
      <c r="E84" s="30"/>
      <c r="F84" s="30"/>
      <c r="G84" s="30"/>
      <c r="H84" s="30"/>
      <c r="I84" s="30"/>
      <c r="J84" s="30"/>
      <c r="K84" s="30"/>
      <c r="L84" s="30"/>
      <c r="M84" s="4"/>
      <c r="N84" s="4"/>
    </row>
    <row r="85" spans="1:14">
      <c r="A85" s="30"/>
      <c r="B85" s="4"/>
      <c r="C85" s="4"/>
      <c r="D85" s="4"/>
      <c r="E85" s="4"/>
      <c r="F85" s="4"/>
      <c r="G85" s="4"/>
      <c r="H85" s="4"/>
      <c r="I85" s="4"/>
      <c r="J85" s="4"/>
      <c r="K85" s="4"/>
      <c r="L85" s="4"/>
      <c r="M85" s="4"/>
      <c r="N85" s="4"/>
    </row>
    <row r="86" spans="1:14">
      <c r="A86" s="30"/>
      <c r="B86" s="4"/>
      <c r="C86" s="4"/>
      <c r="D86" s="4"/>
      <c r="E86" s="4"/>
      <c r="F86" s="4"/>
      <c r="G86" s="4"/>
      <c r="H86" s="4"/>
      <c r="I86" s="4"/>
      <c r="J86" s="4"/>
      <c r="K86" s="4"/>
      <c r="L86" s="4"/>
      <c r="M86" s="4"/>
      <c r="N86" s="4"/>
    </row>
    <row r="87" spans="1:14">
      <c r="A87" s="35"/>
      <c r="B87" s="4"/>
      <c r="C87" s="4"/>
      <c r="D87" s="4"/>
      <c r="E87" s="4"/>
      <c r="F87" s="4"/>
      <c r="G87" s="4"/>
      <c r="H87" s="4"/>
      <c r="I87" s="4"/>
      <c r="J87" s="4"/>
      <c r="K87" s="4"/>
      <c r="L87" s="4"/>
      <c r="M87" s="4"/>
      <c r="N87" s="4"/>
    </row>
    <row r="88" spans="1:14">
      <c r="A88" s="35"/>
      <c r="B88" s="4"/>
      <c r="C88" s="4"/>
      <c r="D88" s="4"/>
      <c r="E88" s="4"/>
      <c r="F88" s="4"/>
      <c r="G88" s="4"/>
      <c r="H88" s="4"/>
      <c r="I88" s="4"/>
      <c r="J88" s="4"/>
      <c r="K88" s="4"/>
      <c r="L88" s="4"/>
      <c r="M88" s="4"/>
      <c r="N88" s="4"/>
    </row>
    <row r="89" spans="1:14">
      <c r="A89" s="4"/>
      <c r="B89" s="4"/>
      <c r="C89" s="4"/>
      <c r="D89" s="4"/>
      <c r="E89" s="4"/>
      <c r="F89" s="4"/>
      <c r="G89" s="4"/>
      <c r="H89" s="4"/>
      <c r="I89" s="4"/>
      <c r="J89" s="4"/>
      <c r="K89" s="4"/>
      <c r="L89" s="4"/>
      <c r="M89" s="4"/>
      <c r="N89" s="4"/>
    </row>
    <row r="90" spans="1:14">
      <c r="A90" s="4"/>
      <c r="B90" s="4"/>
      <c r="C90" s="4"/>
      <c r="D90" s="4"/>
      <c r="E90" s="4"/>
      <c r="F90" s="4"/>
      <c r="G90" s="4"/>
      <c r="H90" s="4"/>
      <c r="I90" s="4"/>
      <c r="J90" s="4"/>
      <c r="K90" s="4"/>
      <c r="L90" s="4"/>
      <c r="M90" s="4"/>
      <c r="N90" s="4"/>
    </row>
    <row r="91" spans="1:14">
      <c r="A91" s="4"/>
      <c r="B91" s="4"/>
      <c r="C91" s="4"/>
      <c r="D91" s="4"/>
      <c r="E91" s="4"/>
      <c r="F91" s="4"/>
      <c r="G91" s="4"/>
      <c r="H91" s="4"/>
      <c r="I91" s="4"/>
      <c r="J91" s="4"/>
      <c r="K91" s="4"/>
      <c r="L91" s="4"/>
      <c r="M91" s="4"/>
      <c r="N91" s="4"/>
    </row>
    <row r="92" spans="1:14">
      <c r="A92" s="4"/>
      <c r="B92" s="4"/>
      <c r="C92" s="4"/>
      <c r="D92" s="4"/>
      <c r="E92" s="4"/>
      <c r="F92" s="4"/>
      <c r="G92" s="4"/>
      <c r="H92" s="4"/>
      <c r="I92" s="4"/>
      <c r="J92" s="4"/>
      <c r="K92" s="4"/>
      <c r="L92" s="4"/>
      <c r="M92" s="4"/>
      <c r="N92" s="4"/>
    </row>
    <row r="93" spans="1:14">
      <c r="A93" s="4"/>
      <c r="B93" s="4"/>
      <c r="C93" s="4"/>
      <c r="D93" s="4"/>
      <c r="E93" s="4"/>
      <c r="F93" s="4"/>
      <c r="G93" s="4"/>
      <c r="H93" s="4"/>
      <c r="I93" s="4"/>
      <c r="J93" s="4"/>
      <c r="K93" s="4"/>
      <c r="L93" s="4"/>
      <c r="M93" s="4"/>
      <c r="N93" s="4"/>
    </row>
    <row r="94" spans="1:14">
      <c r="A94" s="4"/>
      <c r="B94" s="4"/>
      <c r="C94" s="4"/>
      <c r="D94" s="4"/>
      <c r="E94" s="4"/>
      <c r="F94" s="4"/>
      <c r="G94" s="4"/>
      <c r="H94" s="4"/>
      <c r="I94" s="4"/>
      <c r="J94" s="4"/>
      <c r="K94" s="4"/>
      <c r="L94" s="4"/>
      <c r="M94" s="4"/>
      <c r="N94" s="4"/>
    </row>
    <row r="95" spans="1:14">
      <c r="A95" s="4"/>
      <c r="B95" s="4"/>
      <c r="C95" s="4"/>
      <c r="D95" s="4"/>
      <c r="E95" s="4"/>
      <c r="F95" s="4"/>
      <c r="G95" s="4"/>
      <c r="H95" s="4"/>
      <c r="I95" s="4"/>
      <c r="J95" s="4"/>
      <c r="K95" s="4"/>
      <c r="L95" s="4"/>
      <c r="M95" s="4"/>
      <c r="N95" s="4"/>
    </row>
    <row r="96" spans="1:14">
      <c r="A96" s="4"/>
      <c r="B96" s="4"/>
      <c r="C96" s="4"/>
      <c r="D96" s="4"/>
      <c r="E96" s="4"/>
      <c r="F96" s="4"/>
      <c r="G96" s="4"/>
      <c r="H96" s="4"/>
      <c r="I96" s="4"/>
      <c r="J96" s="4"/>
      <c r="K96" s="4"/>
      <c r="L96" s="4"/>
      <c r="M96" s="4"/>
      <c r="N96" s="4"/>
    </row>
    <row r="97" spans="1:14">
      <c r="A97" s="4"/>
      <c r="B97" s="4"/>
      <c r="C97" s="4"/>
      <c r="D97" s="4"/>
      <c r="E97" s="4"/>
      <c r="F97" s="4"/>
      <c r="G97" s="4"/>
      <c r="H97" s="4"/>
      <c r="I97" s="4"/>
      <c r="J97" s="4"/>
      <c r="K97" s="4"/>
      <c r="L97" s="4"/>
      <c r="M97" s="4"/>
      <c r="N97" s="4"/>
    </row>
    <row r="98" spans="1:14">
      <c r="A98" s="4"/>
      <c r="B98" s="4"/>
      <c r="C98" s="4"/>
      <c r="D98" s="4"/>
      <c r="E98" s="4"/>
      <c r="F98" s="4"/>
      <c r="G98" s="4"/>
      <c r="H98" s="4"/>
      <c r="I98" s="4"/>
      <c r="J98" s="4"/>
      <c r="K98" s="4"/>
      <c r="L98" s="4"/>
      <c r="M98" s="4"/>
      <c r="N98" s="4"/>
    </row>
    <row r="99" spans="1:14">
      <c r="A99" s="4"/>
      <c r="B99" s="4"/>
      <c r="C99" s="4"/>
      <c r="D99" s="4"/>
      <c r="E99" s="4"/>
      <c r="F99" s="4"/>
      <c r="G99" s="4"/>
      <c r="H99" s="4"/>
      <c r="I99" s="4"/>
      <c r="J99" s="4"/>
      <c r="K99" s="4"/>
      <c r="L99" s="4"/>
      <c r="M99" s="4"/>
      <c r="N99" s="4"/>
    </row>
    <row r="100" spans="1:14">
      <c r="A100" s="4"/>
      <c r="B100" s="4"/>
      <c r="C100" s="4"/>
      <c r="D100" s="4"/>
      <c r="E100" s="4"/>
      <c r="F100" s="4"/>
      <c r="G100" s="4"/>
      <c r="H100" s="4"/>
      <c r="I100" s="4"/>
      <c r="J100" s="4"/>
      <c r="K100" s="4"/>
      <c r="L100" s="4"/>
    </row>
  </sheetData>
  <mergeCells count="23">
    <mergeCell ref="B3:B4"/>
    <mergeCell ref="C3:C4"/>
    <mergeCell ref="D3:D4"/>
    <mergeCell ref="F3:F4"/>
    <mergeCell ref="G3:G4"/>
    <mergeCell ref="E3:E4"/>
    <mergeCell ref="H3:H4"/>
    <mergeCell ref="I3:I4"/>
    <mergeCell ref="K3:K4"/>
    <mergeCell ref="L3:L4"/>
    <mergeCell ref="J3:J4"/>
    <mergeCell ref="A40:L40"/>
    <mergeCell ref="L51:L52"/>
    <mergeCell ref="A43:L43"/>
    <mergeCell ref="A45:L45"/>
    <mergeCell ref="G51:G52"/>
    <mergeCell ref="H51:H52"/>
    <mergeCell ref="E51:E52"/>
    <mergeCell ref="F51:F52"/>
    <mergeCell ref="I51:I52"/>
    <mergeCell ref="J51:J52"/>
    <mergeCell ref="K51:K52"/>
    <mergeCell ref="A44:L44"/>
  </mergeCells>
  <phoneticPr fontId="35" type="noConversion"/>
  <pageMargins left="0.74803149606299213" right="0.74803149606299213" top="0.98425196850393704" bottom="0.98425196850393704" header="0.51181102362204722" footer="0.51181102362204722"/>
  <pageSetup scale="64"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sheetPr codeName="Sheet4">
    <pageSetUpPr fitToPage="1"/>
  </sheetPr>
  <dimension ref="A1:BJ101"/>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3" width="9.140625" style="1"/>
    <col min="14" max="36" width="0" style="1" hidden="1" customWidth="1"/>
    <col min="37" max="16384" width="9.140625" style="1"/>
  </cols>
  <sheetData>
    <row r="1" spans="1:62" ht="15.75">
      <c r="A1" s="4"/>
      <c r="B1" s="3" t="s">
        <v>2153</v>
      </c>
    </row>
    <row r="2" spans="1:62">
      <c r="A2" s="4"/>
      <c r="B2" s="4"/>
    </row>
    <row r="3" spans="1:62">
      <c r="B3" s="1164" t="s">
        <v>375</v>
      </c>
      <c r="C3" s="1164" t="s">
        <v>377</v>
      </c>
      <c r="D3" s="1164" t="s">
        <v>386</v>
      </c>
      <c r="E3" s="1164" t="s">
        <v>378</v>
      </c>
      <c r="F3" s="1164" t="s">
        <v>379</v>
      </c>
      <c r="G3" s="1164" t="s">
        <v>380</v>
      </c>
      <c r="H3" s="1164" t="s">
        <v>381</v>
      </c>
      <c r="I3" s="1164" t="s">
        <v>382</v>
      </c>
      <c r="J3" s="1164" t="s">
        <v>383</v>
      </c>
      <c r="K3" s="1164" t="s">
        <v>384</v>
      </c>
      <c r="L3" s="1164" t="s">
        <v>385</v>
      </c>
    </row>
    <row r="4" spans="1:62" s="4" customFormat="1" ht="15">
      <c r="A4" s="7"/>
      <c r="B4" s="1165"/>
      <c r="C4" s="1165"/>
      <c r="D4" s="1165"/>
      <c r="E4" s="1165"/>
      <c r="F4" s="1165"/>
      <c r="G4" s="1165"/>
      <c r="H4" s="1165"/>
      <c r="I4" s="1165"/>
      <c r="J4" s="1165"/>
      <c r="K4" s="1165"/>
      <c r="L4" s="1165"/>
      <c r="N4" s="789" t="s">
        <v>1356</v>
      </c>
      <c r="O4" s="789" t="s">
        <v>1357</v>
      </c>
      <c r="P4" s="789" t="s">
        <v>1358</v>
      </c>
      <c r="Q4" s="789" t="s">
        <v>1359</v>
      </c>
      <c r="R4" s="789" t="s">
        <v>1360</v>
      </c>
      <c r="S4" s="789" t="s">
        <v>1361</v>
      </c>
      <c r="T4" s="789" t="s">
        <v>1362</v>
      </c>
      <c r="U4" s="789" t="s">
        <v>1363</v>
      </c>
      <c r="V4" s="789" t="s">
        <v>1364</v>
      </c>
      <c r="W4" s="789" t="s">
        <v>1365</v>
      </c>
      <c r="X4" s="789" t="s">
        <v>1366</v>
      </c>
      <c r="Z4" s="790" t="s">
        <v>1367</v>
      </c>
      <c r="AA4" s="790" t="s">
        <v>1368</v>
      </c>
      <c r="AB4" s="790" t="s">
        <v>1369</v>
      </c>
      <c r="AC4" s="790" t="s">
        <v>1370</v>
      </c>
      <c r="AD4" s="790" t="s">
        <v>1371</v>
      </c>
      <c r="AE4" s="790" t="s">
        <v>1372</v>
      </c>
      <c r="AF4" s="790" t="s">
        <v>1373</v>
      </c>
      <c r="AG4" s="790" t="s">
        <v>1374</v>
      </c>
      <c r="AH4" s="790" t="s">
        <v>1375</v>
      </c>
      <c r="AI4" s="790" t="s">
        <v>1376</v>
      </c>
      <c r="AJ4" s="790" t="s">
        <v>1377</v>
      </c>
    </row>
    <row r="5" spans="1:62" s="986" customFormat="1" ht="15">
      <c r="A5" s="984">
        <v>1981</v>
      </c>
      <c r="B5" s="985">
        <f t="shared" ref="B5:L28" si="0">AN5/AZ5</f>
        <v>4.40625</v>
      </c>
      <c r="C5" s="985">
        <f t="shared" si="0"/>
        <v>4.5154639175257731</v>
      </c>
      <c r="D5" s="985">
        <f t="shared" si="0"/>
        <v>4.134615384615385</v>
      </c>
      <c r="E5" s="985">
        <f t="shared" si="0"/>
        <v>4.0176991150442474</v>
      </c>
      <c r="F5" s="985">
        <f t="shared" si="0"/>
        <v>4.6734693877551017</v>
      </c>
      <c r="G5" s="985">
        <f t="shared" si="0"/>
        <v>4.2396694214876032</v>
      </c>
      <c r="H5" s="985">
        <f t="shared" si="0"/>
        <v>4.034965034965035</v>
      </c>
      <c r="I5" s="985">
        <f t="shared" si="0"/>
        <v>4.8738738738738743</v>
      </c>
      <c r="J5" s="985">
        <f t="shared" si="0"/>
        <v>5.431192660550459</v>
      </c>
      <c r="K5" s="985">
        <f t="shared" si="0"/>
        <v>4.4265734265734267</v>
      </c>
      <c r="L5" s="985">
        <f>AX5/BJ5</f>
        <v>4.3928571428571432</v>
      </c>
      <c r="N5" s="1002">
        <v>57500</v>
      </c>
      <c r="O5" s="1002">
        <v>44900</v>
      </c>
      <c r="P5" s="1002">
        <v>43800</v>
      </c>
      <c r="Q5" s="1002">
        <v>46300</v>
      </c>
      <c r="R5" s="1002">
        <v>46400</v>
      </c>
      <c r="S5" s="1002">
        <v>52400</v>
      </c>
      <c r="T5" s="1002">
        <v>58900</v>
      </c>
      <c r="U5" s="1002">
        <v>55100</v>
      </c>
      <c r="V5" s="1002">
        <v>60000</v>
      </c>
      <c r="W5" s="1002">
        <v>64200</v>
      </c>
      <c r="X5" s="1002">
        <v>62800</v>
      </c>
      <c r="Z5" s="1003">
        <v>12600</v>
      </c>
      <c r="AA5" s="1003">
        <v>9900</v>
      </c>
      <c r="AB5" s="1003">
        <v>10600</v>
      </c>
      <c r="AC5" s="1003">
        <v>10700</v>
      </c>
      <c r="AD5" s="1003">
        <v>9800</v>
      </c>
      <c r="AE5" s="1003">
        <v>11800</v>
      </c>
      <c r="AF5" s="1003">
        <v>14000</v>
      </c>
      <c r="AG5" s="1003">
        <v>11000</v>
      </c>
      <c r="AH5" s="1003">
        <v>10900</v>
      </c>
      <c r="AI5" s="1003">
        <v>14200</v>
      </c>
      <c r="AJ5" s="1003">
        <v>13700</v>
      </c>
      <c r="AK5" s="1003"/>
      <c r="AM5" s="986">
        <v>1981</v>
      </c>
      <c r="AN5" s="986">
        <v>56400</v>
      </c>
      <c r="AO5" s="986">
        <v>43800</v>
      </c>
      <c r="AP5" s="986">
        <v>43000</v>
      </c>
      <c r="AQ5" s="986">
        <v>45400</v>
      </c>
      <c r="AR5" s="986">
        <v>45800</v>
      </c>
      <c r="AS5" s="986">
        <v>51300</v>
      </c>
      <c r="AT5" s="986">
        <v>57700</v>
      </c>
      <c r="AU5" s="986">
        <v>54100</v>
      </c>
      <c r="AV5" s="986">
        <v>59200</v>
      </c>
      <c r="AW5" s="986">
        <v>63300</v>
      </c>
      <c r="AX5" s="986">
        <v>61500</v>
      </c>
      <c r="AY5" s="986">
        <v>1981</v>
      </c>
      <c r="AZ5" s="986">
        <v>12800</v>
      </c>
      <c r="BA5" s="986">
        <v>9700</v>
      </c>
      <c r="BB5" s="986">
        <v>10400</v>
      </c>
      <c r="BC5" s="986">
        <v>11300</v>
      </c>
      <c r="BD5" s="986">
        <v>9800</v>
      </c>
      <c r="BE5" s="986">
        <v>12100</v>
      </c>
      <c r="BF5" s="986">
        <v>14300</v>
      </c>
      <c r="BG5" s="986">
        <v>11100</v>
      </c>
      <c r="BH5" s="986">
        <v>10900</v>
      </c>
      <c r="BI5" s="986">
        <v>14300</v>
      </c>
      <c r="BJ5" s="986">
        <v>14000</v>
      </c>
    </row>
    <row r="6" spans="1:62" s="986" customFormat="1" ht="15">
      <c r="A6" s="984">
        <v>1982</v>
      </c>
      <c r="B6" s="985">
        <f t="shared" si="0"/>
        <v>4.5284552845528454</v>
      </c>
      <c r="C6" s="985">
        <f t="shared" si="0"/>
        <v>4.5326086956521738</v>
      </c>
      <c r="D6" s="985">
        <f t="shared" si="0"/>
        <v>3.9074074074074074</v>
      </c>
      <c r="E6" s="985">
        <f t="shared" si="0"/>
        <v>4.2685185185185182</v>
      </c>
      <c r="F6" s="985">
        <f t="shared" si="0"/>
        <v>4.591836734693878</v>
      </c>
      <c r="G6" s="985">
        <f t="shared" si="0"/>
        <v>4.0999999999999996</v>
      </c>
      <c r="H6" s="985">
        <f t="shared" si="0"/>
        <v>4.2132352941176467</v>
      </c>
      <c r="I6" s="985">
        <f t="shared" si="0"/>
        <v>4.875</v>
      </c>
      <c r="J6" s="985">
        <f t="shared" si="0"/>
        <v>5.0089285714285712</v>
      </c>
      <c r="K6" s="985">
        <f t="shared" si="0"/>
        <v>4.882352941176471</v>
      </c>
      <c r="L6" s="985">
        <f t="shared" si="0"/>
        <v>4.9512195121951219</v>
      </c>
      <c r="N6" s="1002">
        <v>57100</v>
      </c>
      <c r="O6" s="1002">
        <v>43000</v>
      </c>
      <c r="P6" s="1002">
        <v>42600</v>
      </c>
      <c r="Q6" s="1002">
        <v>46900</v>
      </c>
      <c r="R6" s="1002">
        <v>46000</v>
      </c>
      <c r="S6" s="1002">
        <v>50300</v>
      </c>
      <c r="T6" s="1002">
        <v>58800</v>
      </c>
      <c r="U6" s="1002">
        <v>55600</v>
      </c>
      <c r="V6" s="1002">
        <v>58200</v>
      </c>
      <c r="W6" s="1002">
        <v>67800</v>
      </c>
      <c r="X6" s="1002">
        <v>62000</v>
      </c>
      <c r="Z6" s="1003">
        <v>12200</v>
      </c>
      <c r="AA6" s="1003">
        <v>9400</v>
      </c>
      <c r="AB6" s="1003">
        <v>10800</v>
      </c>
      <c r="AC6" s="1003">
        <v>10900</v>
      </c>
      <c r="AD6" s="1003">
        <v>9800</v>
      </c>
      <c r="AE6" s="1003">
        <v>11800</v>
      </c>
      <c r="AF6" s="1003">
        <v>13400</v>
      </c>
      <c r="AG6" s="1003">
        <v>11400</v>
      </c>
      <c r="AH6" s="1003">
        <v>11300</v>
      </c>
      <c r="AI6" s="1003">
        <v>13600</v>
      </c>
      <c r="AJ6" s="1003">
        <v>12400</v>
      </c>
      <c r="AK6" s="1003"/>
      <c r="AM6" s="986">
        <v>1982</v>
      </c>
      <c r="AN6" s="986">
        <v>55700</v>
      </c>
      <c r="AO6" s="986">
        <v>41700</v>
      </c>
      <c r="AP6" s="986">
        <v>42200</v>
      </c>
      <c r="AQ6" s="986">
        <v>46100</v>
      </c>
      <c r="AR6" s="986">
        <v>45000</v>
      </c>
      <c r="AS6" s="986">
        <v>49200</v>
      </c>
      <c r="AT6" s="986">
        <v>57300</v>
      </c>
      <c r="AU6" s="986">
        <v>54600</v>
      </c>
      <c r="AV6" s="986">
        <v>56100</v>
      </c>
      <c r="AW6" s="986">
        <v>66400</v>
      </c>
      <c r="AX6" s="986">
        <v>60900</v>
      </c>
      <c r="AY6" s="986">
        <v>1982</v>
      </c>
      <c r="AZ6" s="986">
        <v>12300</v>
      </c>
      <c r="BA6" s="986">
        <v>9200</v>
      </c>
      <c r="BB6" s="986">
        <v>10800</v>
      </c>
      <c r="BC6" s="986">
        <v>10800</v>
      </c>
      <c r="BD6" s="986">
        <v>9800</v>
      </c>
      <c r="BE6" s="986">
        <v>12000</v>
      </c>
      <c r="BF6" s="986">
        <v>13600</v>
      </c>
      <c r="BG6" s="986">
        <v>11200</v>
      </c>
      <c r="BH6" s="986">
        <v>11200</v>
      </c>
      <c r="BI6" s="986">
        <v>13600</v>
      </c>
      <c r="BJ6" s="986">
        <v>12300</v>
      </c>
    </row>
    <row r="7" spans="1:62" s="986" customFormat="1" ht="15">
      <c r="A7" s="984">
        <v>1983</v>
      </c>
      <c r="B7" s="985">
        <f t="shared" si="0"/>
        <v>4.6806722689075633</v>
      </c>
      <c r="C7" s="985">
        <f t="shared" si="0"/>
        <v>4.6551724137931032</v>
      </c>
      <c r="D7" s="985">
        <f t="shared" si="0"/>
        <v>4.333333333333333</v>
      </c>
      <c r="E7" s="985">
        <f t="shared" si="0"/>
        <v>4.3303571428571432</v>
      </c>
      <c r="F7" s="985">
        <f t="shared" si="0"/>
        <v>4.9347826086956523</v>
      </c>
      <c r="G7" s="985">
        <f t="shared" si="0"/>
        <v>4.0924369747899156</v>
      </c>
      <c r="H7" s="985">
        <f t="shared" si="0"/>
        <v>4.511278195488722</v>
      </c>
      <c r="I7" s="985">
        <f t="shared" si="0"/>
        <v>4.8938053097345131</v>
      </c>
      <c r="J7" s="985">
        <f t="shared" si="0"/>
        <v>4.9732142857142856</v>
      </c>
      <c r="K7" s="985">
        <f t="shared" si="0"/>
        <v>5.3928571428571432</v>
      </c>
      <c r="L7" s="985">
        <f t="shared" si="0"/>
        <v>4.7704918032786887</v>
      </c>
      <c r="N7" s="1002">
        <v>56800</v>
      </c>
      <c r="O7" s="1002">
        <v>42000</v>
      </c>
      <c r="P7" s="1002">
        <v>46500</v>
      </c>
      <c r="Q7" s="1002">
        <v>50200</v>
      </c>
      <c r="R7" s="1002">
        <v>46300</v>
      </c>
      <c r="S7" s="1002">
        <v>49800</v>
      </c>
      <c r="T7" s="1002">
        <v>60600</v>
      </c>
      <c r="U7" s="1002">
        <v>56800</v>
      </c>
      <c r="V7" s="1002">
        <v>55800</v>
      </c>
      <c r="W7" s="1002">
        <v>62300</v>
      </c>
      <c r="X7" s="1002">
        <v>59700</v>
      </c>
      <c r="Z7" s="1003">
        <v>11700</v>
      </c>
      <c r="AA7" s="1003">
        <v>8700</v>
      </c>
      <c r="AB7" s="1003">
        <v>11500</v>
      </c>
      <c r="AC7" s="1003">
        <v>10900</v>
      </c>
      <c r="AD7" s="1003">
        <v>9200</v>
      </c>
      <c r="AE7" s="1003">
        <v>11500</v>
      </c>
      <c r="AF7" s="1003">
        <v>13000</v>
      </c>
      <c r="AG7" s="1003">
        <v>11500</v>
      </c>
      <c r="AH7" s="1003">
        <v>11100</v>
      </c>
      <c r="AI7" s="1003">
        <v>11300</v>
      </c>
      <c r="AJ7" s="1003">
        <v>12100</v>
      </c>
      <c r="AK7" s="1003"/>
      <c r="AM7" s="986">
        <v>1983</v>
      </c>
      <c r="AN7" s="986">
        <v>55700</v>
      </c>
      <c r="AO7" s="986">
        <v>40500</v>
      </c>
      <c r="AP7" s="986">
        <v>46800</v>
      </c>
      <c r="AQ7" s="986">
        <v>48500</v>
      </c>
      <c r="AR7" s="986">
        <v>45400</v>
      </c>
      <c r="AS7" s="986">
        <v>48700</v>
      </c>
      <c r="AT7" s="986">
        <v>60000</v>
      </c>
      <c r="AU7" s="986">
        <v>55300</v>
      </c>
      <c r="AV7" s="986">
        <v>55700</v>
      </c>
      <c r="AW7" s="986">
        <v>60400</v>
      </c>
      <c r="AX7" s="986">
        <v>58200</v>
      </c>
      <c r="AY7" s="986">
        <v>1983</v>
      </c>
      <c r="AZ7" s="986">
        <v>11900</v>
      </c>
      <c r="BA7" s="986">
        <v>8700</v>
      </c>
      <c r="BB7" s="986">
        <v>10800</v>
      </c>
      <c r="BC7" s="986">
        <v>11200</v>
      </c>
      <c r="BD7" s="986">
        <v>9200</v>
      </c>
      <c r="BE7" s="986">
        <v>11900</v>
      </c>
      <c r="BF7" s="986">
        <v>13300</v>
      </c>
      <c r="BG7" s="986">
        <v>11300</v>
      </c>
      <c r="BH7" s="986">
        <v>11200</v>
      </c>
      <c r="BI7" s="986">
        <v>11200</v>
      </c>
      <c r="BJ7" s="986">
        <v>12200</v>
      </c>
    </row>
    <row r="8" spans="1:62" s="986" customFormat="1" ht="15">
      <c r="A8" s="984">
        <v>1984</v>
      </c>
      <c r="B8" s="985">
        <f t="shared" si="0"/>
        <v>4.6974789915966388</v>
      </c>
      <c r="C8" s="985">
        <f t="shared" si="0"/>
        <v>4.5730337078651688</v>
      </c>
      <c r="D8" s="985">
        <f t="shared" si="0"/>
        <v>3.7017543859649122</v>
      </c>
      <c r="E8" s="985">
        <f t="shared" si="0"/>
        <v>4.3909090909090907</v>
      </c>
      <c r="F8" s="985">
        <f t="shared" si="0"/>
        <v>4.6767676767676765</v>
      </c>
      <c r="G8" s="985">
        <f t="shared" si="0"/>
        <v>4.431034482758621</v>
      </c>
      <c r="H8" s="985">
        <f t="shared" si="0"/>
        <v>4.3970588235294121</v>
      </c>
      <c r="I8" s="985">
        <f t="shared" si="0"/>
        <v>4.6293103448275863</v>
      </c>
      <c r="J8" s="985">
        <f t="shared" si="0"/>
        <v>5.6494845360824746</v>
      </c>
      <c r="K8" s="985">
        <f t="shared" si="0"/>
        <v>5.3944954128440363</v>
      </c>
      <c r="L8" s="985">
        <f t="shared" si="0"/>
        <v>4.8571428571428568</v>
      </c>
      <c r="N8" s="1002">
        <v>56900</v>
      </c>
      <c r="O8" s="1002">
        <v>41900</v>
      </c>
      <c r="P8" s="1002">
        <v>43500</v>
      </c>
      <c r="Q8" s="1002">
        <v>49000</v>
      </c>
      <c r="R8" s="1002">
        <v>46800</v>
      </c>
      <c r="S8" s="1002">
        <v>52400</v>
      </c>
      <c r="T8" s="1002">
        <v>60500</v>
      </c>
      <c r="U8" s="1002">
        <v>54500</v>
      </c>
      <c r="V8" s="1002">
        <v>55700</v>
      </c>
      <c r="W8" s="1002">
        <v>59900</v>
      </c>
      <c r="X8" s="1002">
        <v>59100</v>
      </c>
      <c r="Z8" s="1003">
        <v>11800</v>
      </c>
      <c r="AA8" s="1003">
        <v>9000</v>
      </c>
      <c r="AB8" s="1003">
        <v>11200</v>
      </c>
      <c r="AC8" s="1003">
        <v>10700</v>
      </c>
      <c r="AD8" s="1003">
        <v>9800</v>
      </c>
      <c r="AE8" s="1003">
        <v>11300</v>
      </c>
      <c r="AF8" s="1003">
        <v>13400</v>
      </c>
      <c r="AG8" s="1003">
        <v>11900</v>
      </c>
      <c r="AH8" s="1003">
        <v>10000</v>
      </c>
      <c r="AI8" s="1003">
        <v>11000</v>
      </c>
      <c r="AJ8" s="1003">
        <v>11900</v>
      </c>
      <c r="AK8" s="1003"/>
      <c r="AM8" s="986">
        <v>1984</v>
      </c>
      <c r="AN8" s="986">
        <v>55900</v>
      </c>
      <c r="AO8" s="986">
        <v>40700</v>
      </c>
      <c r="AP8" s="986">
        <v>42200</v>
      </c>
      <c r="AQ8" s="986">
        <v>48300</v>
      </c>
      <c r="AR8" s="986">
        <v>46300</v>
      </c>
      <c r="AS8" s="986">
        <v>51400</v>
      </c>
      <c r="AT8" s="986">
        <v>59800</v>
      </c>
      <c r="AU8" s="986">
        <v>53700</v>
      </c>
      <c r="AV8" s="986">
        <v>54800</v>
      </c>
      <c r="AW8" s="986">
        <v>58800</v>
      </c>
      <c r="AX8" s="986">
        <v>57800</v>
      </c>
      <c r="AY8" s="986">
        <v>1984</v>
      </c>
      <c r="AZ8" s="986">
        <v>11900</v>
      </c>
      <c r="BA8" s="986">
        <v>8900</v>
      </c>
      <c r="BB8" s="986">
        <v>11400</v>
      </c>
      <c r="BC8" s="986">
        <v>11000</v>
      </c>
      <c r="BD8" s="986">
        <v>9900</v>
      </c>
      <c r="BE8" s="986">
        <v>11600</v>
      </c>
      <c r="BF8" s="986">
        <v>13600</v>
      </c>
      <c r="BG8" s="986">
        <v>11600</v>
      </c>
      <c r="BH8" s="986">
        <v>9700</v>
      </c>
      <c r="BI8" s="986">
        <v>10900</v>
      </c>
      <c r="BJ8" s="986">
        <v>11900</v>
      </c>
    </row>
    <row r="9" spans="1:62" s="986" customFormat="1" ht="15">
      <c r="A9" s="984">
        <v>1985</v>
      </c>
      <c r="B9" s="985">
        <f t="shared" si="0"/>
        <v>4.5439999999999996</v>
      </c>
      <c r="C9" s="985">
        <f t="shared" si="0"/>
        <v>4.8666666666666663</v>
      </c>
      <c r="D9" s="985">
        <f t="shared" si="0"/>
        <v>3.7033898305084745</v>
      </c>
      <c r="E9" s="985">
        <f t="shared" si="0"/>
        <v>4.7105263157894735</v>
      </c>
      <c r="F9" s="985">
        <f t="shared" si="0"/>
        <v>4.3055555555555554</v>
      </c>
      <c r="G9" s="985">
        <f t="shared" si="0"/>
        <v>4.1382113821138216</v>
      </c>
      <c r="H9" s="985">
        <f t="shared" si="0"/>
        <v>4.244755244755245</v>
      </c>
      <c r="I9" s="985">
        <f t="shared" si="0"/>
        <v>4.5041322314049586</v>
      </c>
      <c r="J9" s="985">
        <f t="shared" si="0"/>
        <v>5.8829787234042552</v>
      </c>
      <c r="K9" s="985">
        <f t="shared" si="0"/>
        <v>4.7286821705426361</v>
      </c>
      <c r="L9" s="985">
        <f t="shared" si="0"/>
        <v>4.8833333333333337</v>
      </c>
      <c r="N9" s="1002">
        <v>57900</v>
      </c>
      <c r="O9" s="1002">
        <v>43800</v>
      </c>
      <c r="P9" s="1002">
        <v>46100</v>
      </c>
      <c r="Q9" s="1002">
        <v>54700</v>
      </c>
      <c r="R9" s="1002">
        <v>47600</v>
      </c>
      <c r="S9" s="1002">
        <v>51900</v>
      </c>
      <c r="T9" s="1002">
        <v>61600</v>
      </c>
      <c r="U9" s="1002">
        <v>54500</v>
      </c>
      <c r="V9" s="1002">
        <v>56700</v>
      </c>
      <c r="W9" s="1002">
        <v>62100</v>
      </c>
      <c r="X9" s="1002">
        <v>60400</v>
      </c>
      <c r="Z9" s="1003">
        <v>12400</v>
      </c>
      <c r="AA9" s="1003">
        <v>9000</v>
      </c>
      <c r="AB9" s="1003">
        <v>11700</v>
      </c>
      <c r="AC9" s="1003">
        <v>11200</v>
      </c>
      <c r="AD9" s="1003">
        <v>10800</v>
      </c>
      <c r="AE9" s="1003">
        <v>12000</v>
      </c>
      <c r="AF9" s="1003">
        <v>14100</v>
      </c>
      <c r="AG9" s="1003">
        <v>12300</v>
      </c>
      <c r="AH9" s="1003">
        <v>9800</v>
      </c>
      <c r="AI9" s="1003">
        <v>13000</v>
      </c>
      <c r="AJ9" s="1003">
        <v>11600</v>
      </c>
      <c r="AK9" s="1003"/>
      <c r="AM9" s="986">
        <v>1985</v>
      </c>
      <c r="AN9" s="986">
        <v>56800</v>
      </c>
      <c r="AO9" s="986">
        <v>43800</v>
      </c>
      <c r="AP9" s="986">
        <v>43700</v>
      </c>
      <c r="AQ9" s="986">
        <v>53700</v>
      </c>
      <c r="AR9" s="986">
        <v>46500</v>
      </c>
      <c r="AS9" s="986">
        <v>50900</v>
      </c>
      <c r="AT9" s="986">
        <v>60700</v>
      </c>
      <c r="AU9" s="986">
        <v>54500</v>
      </c>
      <c r="AV9" s="986">
        <v>55300</v>
      </c>
      <c r="AW9" s="986">
        <v>61000</v>
      </c>
      <c r="AX9" s="986">
        <v>58600</v>
      </c>
      <c r="AY9" s="986">
        <v>1985</v>
      </c>
      <c r="AZ9" s="986">
        <v>12500</v>
      </c>
      <c r="BA9" s="986">
        <v>9000</v>
      </c>
      <c r="BB9" s="986">
        <v>11800</v>
      </c>
      <c r="BC9" s="986">
        <v>11400</v>
      </c>
      <c r="BD9" s="986">
        <v>10800</v>
      </c>
      <c r="BE9" s="986">
        <v>12300</v>
      </c>
      <c r="BF9" s="986">
        <v>14300</v>
      </c>
      <c r="BG9" s="986">
        <v>12100</v>
      </c>
      <c r="BH9" s="986">
        <v>9400</v>
      </c>
      <c r="BI9" s="986">
        <v>12900</v>
      </c>
      <c r="BJ9" s="986">
        <v>12000</v>
      </c>
    </row>
    <row r="10" spans="1:62" s="986" customFormat="1" ht="15">
      <c r="A10" s="984">
        <v>1986</v>
      </c>
      <c r="B10" s="985">
        <f t="shared" si="0"/>
        <v>4.430769230769231</v>
      </c>
      <c r="C10" s="985">
        <f t="shared" si="0"/>
        <v>4.0618556701030926</v>
      </c>
      <c r="D10" s="985">
        <f t="shared" si="0"/>
        <v>3.528</v>
      </c>
      <c r="E10" s="985">
        <f t="shared" si="0"/>
        <v>4.3103448275862073</v>
      </c>
      <c r="F10" s="985">
        <f t="shared" si="0"/>
        <v>4.0267857142857144</v>
      </c>
      <c r="G10" s="985">
        <f t="shared" si="0"/>
        <v>4.1840000000000002</v>
      </c>
      <c r="H10" s="985">
        <f t="shared" si="0"/>
        <v>4.112582781456954</v>
      </c>
      <c r="I10" s="985">
        <f t="shared" si="0"/>
        <v>4.5423728813559325</v>
      </c>
      <c r="J10" s="985">
        <f t="shared" si="0"/>
        <v>6</v>
      </c>
      <c r="K10" s="985">
        <f t="shared" si="0"/>
        <v>4.5864661654135341</v>
      </c>
      <c r="L10" s="985">
        <f t="shared" si="0"/>
        <v>4.671875</v>
      </c>
      <c r="N10" s="1002">
        <v>58500</v>
      </c>
      <c r="O10" s="1002">
        <v>40500</v>
      </c>
      <c r="P10" s="1002">
        <v>45400</v>
      </c>
      <c r="Q10" s="1002">
        <v>50700</v>
      </c>
      <c r="R10" s="1002">
        <v>46200</v>
      </c>
      <c r="S10" s="1002">
        <v>53200</v>
      </c>
      <c r="T10" s="1002">
        <v>63400</v>
      </c>
      <c r="U10" s="1002">
        <v>54500</v>
      </c>
      <c r="V10" s="1002">
        <v>55900</v>
      </c>
      <c r="W10" s="1002">
        <v>61600</v>
      </c>
      <c r="X10" s="1002">
        <v>59700</v>
      </c>
      <c r="Z10" s="1003">
        <v>12800</v>
      </c>
      <c r="AA10" s="1003">
        <v>9500</v>
      </c>
      <c r="AB10" s="1003">
        <v>12600</v>
      </c>
      <c r="AC10" s="1003">
        <v>11300</v>
      </c>
      <c r="AD10" s="1003">
        <v>11100</v>
      </c>
      <c r="AE10" s="1003">
        <v>12100</v>
      </c>
      <c r="AF10" s="1003">
        <v>14700</v>
      </c>
      <c r="AG10" s="1003">
        <v>12000</v>
      </c>
      <c r="AH10" s="1003">
        <v>9700</v>
      </c>
      <c r="AI10" s="1003">
        <v>13200</v>
      </c>
      <c r="AJ10" s="1003">
        <v>12600</v>
      </c>
      <c r="AK10" s="1003"/>
      <c r="AM10" s="986">
        <v>1986</v>
      </c>
      <c r="AN10" s="986">
        <v>57600</v>
      </c>
      <c r="AO10" s="986">
        <v>39400</v>
      </c>
      <c r="AP10" s="986">
        <v>44100</v>
      </c>
      <c r="AQ10" s="986">
        <v>50000</v>
      </c>
      <c r="AR10" s="986">
        <v>45100</v>
      </c>
      <c r="AS10" s="986">
        <v>52300</v>
      </c>
      <c r="AT10" s="986">
        <v>62100</v>
      </c>
      <c r="AU10" s="986">
        <v>53600</v>
      </c>
      <c r="AV10" s="986">
        <v>54600</v>
      </c>
      <c r="AW10" s="986">
        <v>61000</v>
      </c>
      <c r="AX10" s="986">
        <v>59800</v>
      </c>
      <c r="AY10" s="986">
        <v>1986</v>
      </c>
      <c r="AZ10" s="986">
        <v>13000</v>
      </c>
      <c r="BA10" s="986">
        <v>9700</v>
      </c>
      <c r="BB10" s="986">
        <v>12500</v>
      </c>
      <c r="BC10" s="986">
        <v>11600</v>
      </c>
      <c r="BD10" s="986">
        <v>11200</v>
      </c>
      <c r="BE10" s="986">
        <v>12500</v>
      </c>
      <c r="BF10" s="986">
        <v>15100</v>
      </c>
      <c r="BG10" s="986">
        <v>11800</v>
      </c>
      <c r="BH10" s="986">
        <v>9100</v>
      </c>
      <c r="BI10" s="986">
        <v>13300</v>
      </c>
      <c r="BJ10" s="986">
        <v>12800</v>
      </c>
    </row>
    <row r="11" spans="1:62" s="986" customFormat="1" ht="15">
      <c r="A11" s="984">
        <v>1987</v>
      </c>
      <c r="B11" s="985">
        <f t="shared" si="0"/>
        <v>4.3409090909090908</v>
      </c>
      <c r="C11" s="985">
        <f t="shared" si="0"/>
        <v>4.322916666666667</v>
      </c>
      <c r="D11" s="985">
        <f t="shared" si="0"/>
        <v>3.7479674796747968</v>
      </c>
      <c r="E11" s="985">
        <f t="shared" si="0"/>
        <v>4.0578512396694215</v>
      </c>
      <c r="F11" s="985">
        <f t="shared" si="0"/>
        <v>4.0540540540540544</v>
      </c>
      <c r="G11" s="985">
        <f t="shared" si="0"/>
        <v>4.2338709677419351</v>
      </c>
      <c r="H11" s="985">
        <f t="shared" si="0"/>
        <v>3.9745222929936306</v>
      </c>
      <c r="I11" s="985">
        <f t="shared" si="0"/>
        <v>4.161290322580645</v>
      </c>
      <c r="J11" s="985">
        <f t="shared" si="0"/>
        <v>4.6140350877192979</v>
      </c>
      <c r="K11" s="985">
        <f t="shared" si="0"/>
        <v>4.7235772357723578</v>
      </c>
      <c r="L11" s="985">
        <f t="shared" si="0"/>
        <v>4.609375</v>
      </c>
      <c r="N11" s="1002">
        <v>58300</v>
      </c>
      <c r="O11" s="1002">
        <v>42000</v>
      </c>
      <c r="P11" s="1002">
        <v>46600</v>
      </c>
      <c r="Q11" s="1002">
        <v>49800</v>
      </c>
      <c r="R11" s="1002">
        <v>45600</v>
      </c>
      <c r="S11" s="1002">
        <v>52900</v>
      </c>
      <c r="T11" s="1002">
        <v>63200</v>
      </c>
      <c r="U11" s="1002">
        <v>52000</v>
      </c>
      <c r="V11" s="1002">
        <v>54200</v>
      </c>
      <c r="W11" s="1002">
        <v>60200</v>
      </c>
      <c r="X11" s="1002">
        <v>60700</v>
      </c>
      <c r="Z11" s="1003">
        <v>13000</v>
      </c>
      <c r="AA11" s="1003">
        <v>9500</v>
      </c>
      <c r="AB11" s="1003">
        <v>12200</v>
      </c>
      <c r="AC11" s="1003">
        <v>11900</v>
      </c>
      <c r="AD11" s="1003">
        <v>10800</v>
      </c>
      <c r="AE11" s="1003">
        <v>12000</v>
      </c>
      <c r="AF11" s="1003">
        <v>15400</v>
      </c>
      <c r="AG11" s="1003">
        <v>12500</v>
      </c>
      <c r="AH11" s="1003">
        <v>11300</v>
      </c>
      <c r="AI11" s="1003">
        <v>12300</v>
      </c>
      <c r="AJ11" s="1003">
        <v>12500</v>
      </c>
      <c r="AK11" s="1003"/>
      <c r="AM11" s="986">
        <v>1987</v>
      </c>
      <c r="AN11" s="986">
        <v>57300</v>
      </c>
      <c r="AO11" s="986">
        <v>41500</v>
      </c>
      <c r="AP11" s="986">
        <v>46100</v>
      </c>
      <c r="AQ11" s="986">
        <v>49100</v>
      </c>
      <c r="AR11" s="986">
        <v>45000</v>
      </c>
      <c r="AS11" s="986">
        <v>52500</v>
      </c>
      <c r="AT11" s="986">
        <v>62400</v>
      </c>
      <c r="AU11" s="986">
        <v>51600</v>
      </c>
      <c r="AV11" s="986">
        <v>52600</v>
      </c>
      <c r="AW11" s="986">
        <v>58100</v>
      </c>
      <c r="AX11" s="986">
        <v>59000</v>
      </c>
      <c r="AY11" s="986">
        <v>1987</v>
      </c>
      <c r="AZ11" s="986">
        <v>13200</v>
      </c>
      <c r="BA11" s="986">
        <v>9600</v>
      </c>
      <c r="BB11" s="986">
        <v>12300</v>
      </c>
      <c r="BC11" s="986">
        <v>12100</v>
      </c>
      <c r="BD11" s="986">
        <v>11100</v>
      </c>
      <c r="BE11" s="986">
        <v>12400</v>
      </c>
      <c r="BF11" s="986">
        <v>15700</v>
      </c>
      <c r="BG11" s="986">
        <v>12400</v>
      </c>
      <c r="BH11" s="986">
        <v>11400</v>
      </c>
      <c r="BI11" s="986">
        <v>12300</v>
      </c>
      <c r="BJ11" s="986">
        <v>12800</v>
      </c>
    </row>
    <row r="12" spans="1:62" s="986" customFormat="1" ht="15">
      <c r="A12" s="984">
        <v>1988</v>
      </c>
      <c r="B12" s="985">
        <f t="shared" si="0"/>
        <v>4.1642857142857146</v>
      </c>
      <c r="C12" s="985">
        <f t="shared" si="0"/>
        <v>4</v>
      </c>
      <c r="D12" s="985">
        <f t="shared" si="0"/>
        <v>3.4603174603174605</v>
      </c>
      <c r="E12" s="985">
        <f t="shared" si="0"/>
        <v>3.859375</v>
      </c>
      <c r="F12" s="985">
        <f t="shared" si="0"/>
        <v>3.865546218487395</v>
      </c>
      <c r="G12" s="985">
        <f t="shared" si="0"/>
        <v>3.8636363636363638</v>
      </c>
      <c r="H12" s="985">
        <f t="shared" si="0"/>
        <v>3.9938650306748467</v>
      </c>
      <c r="I12" s="985">
        <f t="shared" si="0"/>
        <v>4.1846153846153848</v>
      </c>
      <c r="J12" s="985">
        <f t="shared" si="0"/>
        <v>4.8532110091743119</v>
      </c>
      <c r="K12" s="985">
        <f t="shared" si="0"/>
        <v>4.340740740740741</v>
      </c>
      <c r="L12" s="985">
        <f t="shared" si="0"/>
        <v>4.034965034965035</v>
      </c>
      <c r="N12" s="1002">
        <v>59300</v>
      </c>
      <c r="O12" s="1002">
        <v>42800</v>
      </c>
      <c r="P12" s="1002">
        <v>43300</v>
      </c>
      <c r="Q12" s="1002">
        <v>49700</v>
      </c>
      <c r="R12" s="1002">
        <v>46300</v>
      </c>
      <c r="S12" s="1002">
        <v>51800</v>
      </c>
      <c r="T12" s="1002">
        <v>66100</v>
      </c>
      <c r="U12" s="1002">
        <v>56100</v>
      </c>
      <c r="V12" s="1002">
        <v>54300</v>
      </c>
      <c r="W12" s="1002">
        <v>59300</v>
      </c>
      <c r="X12" s="1002">
        <v>59700</v>
      </c>
      <c r="Z12" s="1003">
        <v>13600</v>
      </c>
      <c r="AA12" s="1003">
        <v>10600</v>
      </c>
      <c r="AB12" s="1003">
        <v>12400</v>
      </c>
      <c r="AC12" s="1003">
        <v>12500</v>
      </c>
      <c r="AD12" s="1003">
        <v>11600</v>
      </c>
      <c r="AE12" s="1003">
        <v>12700</v>
      </c>
      <c r="AF12" s="1003">
        <v>15800</v>
      </c>
      <c r="AG12" s="1003">
        <v>13100</v>
      </c>
      <c r="AH12" s="1003">
        <v>11200</v>
      </c>
      <c r="AI12" s="1003">
        <v>13400</v>
      </c>
      <c r="AJ12" s="1003">
        <v>13900</v>
      </c>
      <c r="AK12" s="1003"/>
      <c r="AM12" s="986">
        <v>1988</v>
      </c>
      <c r="AN12" s="986">
        <v>58300</v>
      </c>
      <c r="AO12" s="986">
        <v>42400</v>
      </c>
      <c r="AP12" s="986">
        <v>43600</v>
      </c>
      <c r="AQ12" s="986">
        <v>49400</v>
      </c>
      <c r="AR12" s="986">
        <v>46000</v>
      </c>
      <c r="AS12" s="986">
        <v>51000</v>
      </c>
      <c r="AT12" s="986">
        <v>65100</v>
      </c>
      <c r="AU12" s="986">
        <v>54400</v>
      </c>
      <c r="AV12" s="986">
        <v>52900</v>
      </c>
      <c r="AW12" s="986">
        <v>58600</v>
      </c>
      <c r="AX12" s="986">
        <v>57700</v>
      </c>
      <c r="AY12" s="986">
        <v>1988</v>
      </c>
      <c r="AZ12" s="986">
        <v>14000</v>
      </c>
      <c r="BA12" s="986">
        <v>10600</v>
      </c>
      <c r="BB12" s="986">
        <v>12600</v>
      </c>
      <c r="BC12" s="986">
        <v>12800</v>
      </c>
      <c r="BD12" s="986">
        <v>11900</v>
      </c>
      <c r="BE12" s="986">
        <v>13200</v>
      </c>
      <c r="BF12" s="986">
        <v>16300</v>
      </c>
      <c r="BG12" s="986">
        <v>13000</v>
      </c>
      <c r="BH12" s="986">
        <v>10900</v>
      </c>
      <c r="BI12" s="986">
        <v>13500</v>
      </c>
      <c r="BJ12" s="986">
        <v>14300</v>
      </c>
    </row>
    <row r="13" spans="1:62" s="986" customFormat="1" ht="15">
      <c r="A13" s="984">
        <v>1989</v>
      </c>
      <c r="B13" s="985">
        <f t="shared" si="0"/>
        <v>4.2340425531914896</v>
      </c>
      <c r="C13" s="985">
        <f t="shared" si="0"/>
        <v>3.9122807017543861</v>
      </c>
      <c r="D13" s="985">
        <f t="shared" si="0"/>
        <v>3.5190839694656488</v>
      </c>
      <c r="E13" s="985">
        <f t="shared" si="0"/>
        <v>3.9689922480620154</v>
      </c>
      <c r="F13" s="985">
        <f t="shared" si="0"/>
        <v>3.870967741935484</v>
      </c>
      <c r="G13" s="985">
        <f t="shared" si="0"/>
        <v>3.7785714285714285</v>
      </c>
      <c r="H13" s="985">
        <f t="shared" si="0"/>
        <v>4.1036585365853657</v>
      </c>
      <c r="I13" s="985">
        <f t="shared" si="0"/>
        <v>4.234375</v>
      </c>
      <c r="J13" s="985">
        <f t="shared" si="0"/>
        <v>4.7431192660550456</v>
      </c>
      <c r="K13" s="985">
        <f t="shared" si="0"/>
        <v>4.741935483870968</v>
      </c>
      <c r="L13" s="985">
        <f t="shared" si="0"/>
        <v>4.218978102189781</v>
      </c>
      <c r="N13" s="1002">
        <v>60400</v>
      </c>
      <c r="O13" s="1002">
        <v>44800</v>
      </c>
      <c r="P13" s="1002">
        <v>45500</v>
      </c>
      <c r="Q13" s="1002">
        <v>52200</v>
      </c>
      <c r="R13" s="1002">
        <v>48300</v>
      </c>
      <c r="S13" s="1002">
        <v>53300</v>
      </c>
      <c r="T13" s="1002">
        <v>67700</v>
      </c>
      <c r="U13" s="1002">
        <v>55800</v>
      </c>
      <c r="V13" s="1002">
        <v>53600</v>
      </c>
      <c r="W13" s="1002">
        <v>60400</v>
      </c>
      <c r="X13" s="1002">
        <v>58900</v>
      </c>
      <c r="Z13" s="1003">
        <v>13800</v>
      </c>
      <c r="AA13" s="1003">
        <v>11300</v>
      </c>
      <c r="AB13" s="1003">
        <v>12700</v>
      </c>
      <c r="AC13" s="1003">
        <v>12500</v>
      </c>
      <c r="AD13" s="1003">
        <v>12000</v>
      </c>
      <c r="AE13" s="1003">
        <v>13500</v>
      </c>
      <c r="AF13" s="1003">
        <v>15900</v>
      </c>
      <c r="AG13" s="1003">
        <v>13000</v>
      </c>
      <c r="AH13" s="1003">
        <v>11100</v>
      </c>
      <c r="AI13" s="1003">
        <v>12600</v>
      </c>
      <c r="AJ13" s="1003">
        <v>12700</v>
      </c>
      <c r="AK13" s="1003"/>
      <c r="AM13" s="986">
        <v>1989</v>
      </c>
      <c r="AN13" s="986">
        <v>59700</v>
      </c>
      <c r="AO13" s="986">
        <v>44600</v>
      </c>
      <c r="AP13" s="986">
        <v>46100</v>
      </c>
      <c r="AQ13" s="986">
        <v>51200</v>
      </c>
      <c r="AR13" s="986">
        <v>48000</v>
      </c>
      <c r="AS13" s="986">
        <v>52900</v>
      </c>
      <c r="AT13" s="986">
        <v>67300</v>
      </c>
      <c r="AU13" s="986">
        <v>54200</v>
      </c>
      <c r="AV13" s="986">
        <v>51700</v>
      </c>
      <c r="AW13" s="986">
        <v>58800</v>
      </c>
      <c r="AX13" s="986">
        <v>57800</v>
      </c>
      <c r="AY13" s="986">
        <v>1989</v>
      </c>
      <c r="AZ13" s="986">
        <v>14100</v>
      </c>
      <c r="BA13" s="986">
        <v>11400</v>
      </c>
      <c r="BB13" s="986">
        <v>13100</v>
      </c>
      <c r="BC13" s="986">
        <v>12900</v>
      </c>
      <c r="BD13" s="986">
        <v>12400</v>
      </c>
      <c r="BE13" s="986">
        <v>14000</v>
      </c>
      <c r="BF13" s="986">
        <v>16400</v>
      </c>
      <c r="BG13" s="986">
        <v>12800</v>
      </c>
      <c r="BH13" s="986">
        <v>10900</v>
      </c>
      <c r="BI13" s="986">
        <v>12400</v>
      </c>
      <c r="BJ13" s="986">
        <v>13700</v>
      </c>
    </row>
    <row r="14" spans="1:62" s="986" customFormat="1" ht="15">
      <c r="A14" s="984">
        <v>1990</v>
      </c>
      <c r="B14" s="985">
        <f t="shared" si="0"/>
        <v>4.3787878787878789</v>
      </c>
      <c r="C14" s="985">
        <f t="shared" si="0"/>
        <v>4.1904761904761907</v>
      </c>
      <c r="D14" s="985">
        <f t="shared" si="0"/>
        <v>3.523076923076923</v>
      </c>
      <c r="E14" s="985">
        <f t="shared" si="0"/>
        <v>4.024</v>
      </c>
      <c r="F14" s="985">
        <f t="shared" si="0"/>
        <v>3.9583333333333335</v>
      </c>
      <c r="G14" s="985">
        <f t="shared" si="0"/>
        <v>3.8923076923076922</v>
      </c>
      <c r="H14" s="985">
        <f t="shared" si="0"/>
        <v>4.1986754966887414</v>
      </c>
      <c r="I14" s="985">
        <f t="shared" si="0"/>
        <v>4.3949579831932777</v>
      </c>
      <c r="J14" s="985">
        <f t="shared" si="0"/>
        <v>5.1584158415841586</v>
      </c>
      <c r="K14" s="985">
        <f t="shared" si="0"/>
        <v>4.6614173228346454</v>
      </c>
      <c r="L14" s="985">
        <f t="shared" si="0"/>
        <v>4.879032258064516</v>
      </c>
      <c r="N14" s="1002">
        <v>58500</v>
      </c>
      <c r="O14" s="1002">
        <v>44100</v>
      </c>
      <c r="P14" s="1002">
        <v>46200</v>
      </c>
      <c r="Q14" s="1002">
        <v>50900</v>
      </c>
      <c r="R14" s="1002">
        <v>48100</v>
      </c>
      <c r="S14" s="1002">
        <v>50400</v>
      </c>
      <c r="T14" s="1002">
        <v>64600</v>
      </c>
      <c r="U14" s="1002">
        <v>53400</v>
      </c>
      <c r="V14" s="1002">
        <v>53200</v>
      </c>
      <c r="W14" s="1002">
        <v>60400</v>
      </c>
      <c r="X14" s="1002">
        <v>60800</v>
      </c>
      <c r="Z14" s="1003">
        <v>12900</v>
      </c>
      <c r="AA14" s="1003">
        <v>10300</v>
      </c>
      <c r="AB14" s="1003">
        <v>12700</v>
      </c>
      <c r="AC14" s="1003">
        <v>12200</v>
      </c>
      <c r="AD14" s="1003">
        <v>11800</v>
      </c>
      <c r="AE14" s="1003">
        <v>12500</v>
      </c>
      <c r="AF14" s="1003">
        <v>14800</v>
      </c>
      <c r="AG14" s="1003">
        <v>12000</v>
      </c>
      <c r="AH14" s="1003">
        <v>10300</v>
      </c>
      <c r="AI14" s="1003">
        <v>12900</v>
      </c>
      <c r="AJ14" s="1003">
        <v>11900</v>
      </c>
      <c r="AK14" s="1003"/>
      <c r="AM14" s="986">
        <v>1990</v>
      </c>
      <c r="AN14" s="986">
        <v>57800</v>
      </c>
      <c r="AO14" s="986">
        <v>44000</v>
      </c>
      <c r="AP14" s="986">
        <v>45800</v>
      </c>
      <c r="AQ14" s="986">
        <v>50300</v>
      </c>
      <c r="AR14" s="986">
        <v>47500</v>
      </c>
      <c r="AS14" s="986">
        <v>50600</v>
      </c>
      <c r="AT14" s="986">
        <v>63400</v>
      </c>
      <c r="AU14" s="986">
        <v>52300</v>
      </c>
      <c r="AV14" s="986">
        <v>52100</v>
      </c>
      <c r="AW14" s="986">
        <v>59200</v>
      </c>
      <c r="AX14" s="986">
        <v>60500</v>
      </c>
      <c r="AY14" s="986">
        <v>1990</v>
      </c>
      <c r="AZ14" s="986">
        <v>13200</v>
      </c>
      <c r="BA14" s="986">
        <v>10500</v>
      </c>
      <c r="BB14" s="986">
        <v>13000</v>
      </c>
      <c r="BC14" s="986">
        <v>12500</v>
      </c>
      <c r="BD14" s="986">
        <v>12000</v>
      </c>
      <c r="BE14" s="986">
        <v>13000</v>
      </c>
      <c r="BF14" s="986">
        <v>15100</v>
      </c>
      <c r="BG14" s="986">
        <v>11900</v>
      </c>
      <c r="BH14" s="986">
        <v>10100</v>
      </c>
      <c r="BI14" s="986">
        <v>12700</v>
      </c>
      <c r="BJ14" s="986">
        <v>12400</v>
      </c>
    </row>
    <row r="15" spans="1:62" s="986" customFormat="1" ht="15">
      <c r="A15" s="984">
        <v>1991</v>
      </c>
      <c r="B15" s="985">
        <f t="shared" si="0"/>
        <v>4.484375</v>
      </c>
      <c r="C15" s="985">
        <f t="shared" si="0"/>
        <v>4.3137254901960782</v>
      </c>
      <c r="D15" s="985">
        <f t="shared" si="0"/>
        <v>3.6885245901639343</v>
      </c>
      <c r="E15" s="985">
        <f t="shared" si="0"/>
        <v>4.0083333333333337</v>
      </c>
      <c r="F15" s="985">
        <f t="shared" si="0"/>
        <v>4.0884955752212386</v>
      </c>
      <c r="G15" s="985">
        <f t="shared" si="0"/>
        <v>4.1056910569105689</v>
      </c>
      <c r="H15" s="985">
        <f t="shared" si="0"/>
        <v>4.5214285714285714</v>
      </c>
      <c r="I15" s="985">
        <f t="shared" si="0"/>
        <v>4.5309734513274336</v>
      </c>
      <c r="J15" s="985">
        <f t="shared" si="0"/>
        <v>4.9108910891089108</v>
      </c>
      <c r="K15" s="985">
        <f t="shared" si="0"/>
        <v>4.7890625</v>
      </c>
      <c r="L15" s="985">
        <f t="shared" si="0"/>
        <v>4.1897810218978107</v>
      </c>
      <c r="N15" s="1002">
        <v>58100</v>
      </c>
      <c r="O15" s="1002">
        <v>44200</v>
      </c>
      <c r="P15" s="1002">
        <v>45600</v>
      </c>
      <c r="Q15" s="1002">
        <v>49000</v>
      </c>
      <c r="R15" s="1002">
        <v>46500</v>
      </c>
      <c r="S15" s="1002">
        <v>50800</v>
      </c>
      <c r="T15" s="1002">
        <v>64100</v>
      </c>
      <c r="U15" s="1002">
        <v>52100</v>
      </c>
      <c r="V15" s="1002">
        <v>50200</v>
      </c>
      <c r="W15" s="1002">
        <v>62900</v>
      </c>
      <c r="X15" s="1002">
        <v>57800</v>
      </c>
      <c r="Z15" s="1003">
        <v>12600</v>
      </c>
      <c r="AA15" s="1003">
        <v>9900</v>
      </c>
      <c r="AB15" s="1003">
        <v>12100</v>
      </c>
      <c r="AC15" s="1003">
        <v>11900</v>
      </c>
      <c r="AD15" s="1003">
        <v>11100</v>
      </c>
      <c r="AE15" s="1003">
        <v>11800</v>
      </c>
      <c r="AF15" s="1003">
        <v>13800</v>
      </c>
      <c r="AG15" s="1003">
        <v>11600</v>
      </c>
      <c r="AH15" s="1003">
        <v>10400</v>
      </c>
      <c r="AI15" s="1003">
        <v>12800</v>
      </c>
      <c r="AJ15" s="1003">
        <v>13500</v>
      </c>
      <c r="AK15" s="1003"/>
      <c r="AM15" s="986">
        <v>1991</v>
      </c>
      <c r="AN15" s="986">
        <v>57400</v>
      </c>
      <c r="AO15" s="986">
        <v>44000</v>
      </c>
      <c r="AP15" s="986">
        <v>45000</v>
      </c>
      <c r="AQ15" s="986">
        <v>48100</v>
      </c>
      <c r="AR15" s="986">
        <v>46200</v>
      </c>
      <c r="AS15" s="986">
        <v>50500</v>
      </c>
      <c r="AT15" s="986">
        <v>63300</v>
      </c>
      <c r="AU15" s="986">
        <v>51200</v>
      </c>
      <c r="AV15" s="986">
        <v>49600</v>
      </c>
      <c r="AW15" s="986">
        <v>61300</v>
      </c>
      <c r="AX15" s="986">
        <v>57400</v>
      </c>
      <c r="AY15" s="986">
        <v>1991</v>
      </c>
      <c r="AZ15" s="986">
        <v>12800</v>
      </c>
      <c r="BA15" s="986">
        <v>10200</v>
      </c>
      <c r="BB15" s="986">
        <v>12200</v>
      </c>
      <c r="BC15" s="986">
        <v>12000</v>
      </c>
      <c r="BD15" s="986">
        <v>11300</v>
      </c>
      <c r="BE15" s="986">
        <v>12300</v>
      </c>
      <c r="BF15" s="986">
        <v>14000</v>
      </c>
      <c r="BG15" s="986">
        <v>11300</v>
      </c>
      <c r="BH15" s="986">
        <v>10100</v>
      </c>
      <c r="BI15" s="986">
        <v>12800</v>
      </c>
      <c r="BJ15" s="986">
        <v>13700</v>
      </c>
    </row>
    <row r="16" spans="1:62" s="986" customFormat="1" ht="15">
      <c r="A16" s="984">
        <v>1992</v>
      </c>
      <c r="B16" s="985">
        <f t="shared" si="0"/>
        <v>4.5919999999999996</v>
      </c>
      <c r="C16" s="985">
        <f t="shared" si="0"/>
        <v>4.6105263157894738</v>
      </c>
      <c r="D16" s="985">
        <f t="shared" si="0"/>
        <v>3.4923076923076923</v>
      </c>
      <c r="E16" s="985">
        <f t="shared" si="0"/>
        <v>4.0731707317073171</v>
      </c>
      <c r="F16" s="985">
        <f t="shared" si="0"/>
        <v>4.0940170940170937</v>
      </c>
      <c r="G16" s="985">
        <f t="shared" si="0"/>
        <v>3.8837209302325579</v>
      </c>
      <c r="H16" s="985">
        <f t="shared" si="0"/>
        <v>4.6893939393939394</v>
      </c>
      <c r="I16" s="985">
        <f t="shared" si="0"/>
        <v>4.5384615384615383</v>
      </c>
      <c r="J16" s="985">
        <f t="shared" si="0"/>
        <v>5.1047619047619044</v>
      </c>
      <c r="K16" s="985">
        <f t="shared" si="0"/>
        <v>5.2782608695652176</v>
      </c>
      <c r="L16" s="985">
        <f t="shared" si="0"/>
        <v>4.6870229007633588</v>
      </c>
      <c r="N16" s="1002">
        <v>58500</v>
      </c>
      <c r="O16" s="1002">
        <v>43800</v>
      </c>
      <c r="P16" s="1002">
        <v>45500</v>
      </c>
      <c r="Q16" s="1002">
        <v>49900</v>
      </c>
      <c r="R16" s="1002">
        <v>48200</v>
      </c>
      <c r="S16" s="1002">
        <v>50200</v>
      </c>
      <c r="T16" s="1002">
        <v>63300</v>
      </c>
      <c r="U16" s="1002">
        <v>53800</v>
      </c>
      <c r="V16" s="1002">
        <v>54400</v>
      </c>
      <c r="W16" s="1002">
        <v>62400</v>
      </c>
      <c r="X16" s="1002">
        <v>64000</v>
      </c>
      <c r="Z16" s="1003">
        <v>12500</v>
      </c>
      <c r="AA16" s="1003">
        <v>9300</v>
      </c>
      <c r="AB16" s="1003">
        <v>13200</v>
      </c>
      <c r="AC16" s="1003">
        <v>11900</v>
      </c>
      <c r="AD16" s="1003">
        <v>11300</v>
      </c>
      <c r="AE16" s="1003">
        <v>12300</v>
      </c>
      <c r="AF16" s="1003">
        <v>13500</v>
      </c>
      <c r="AG16" s="1003">
        <v>12200</v>
      </c>
      <c r="AH16" s="1003">
        <v>10600</v>
      </c>
      <c r="AI16" s="1003">
        <v>11700</v>
      </c>
      <c r="AJ16" s="1003">
        <v>13000</v>
      </c>
      <c r="AK16" s="1003"/>
      <c r="AM16" s="986">
        <v>1992</v>
      </c>
      <c r="AN16" s="986">
        <v>57400</v>
      </c>
      <c r="AO16" s="986">
        <v>43800</v>
      </c>
      <c r="AP16" s="986">
        <v>45400</v>
      </c>
      <c r="AQ16" s="986">
        <v>50100</v>
      </c>
      <c r="AR16" s="986">
        <v>47900</v>
      </c>
      <c r="AS16" s="986">
        <v>50100</v>
      </c>
      <c r="AT16" s="986">
        <v>61900</v>
      </c>
      <c r="AU16" s="986">
        <v>53100</v>
      </c>
      <c r="AV16" s="986">
        <v>53600</v>
      </c>
      <c r="AW16" s="986">
        <v>60700</v>
      </c>
      <c r="AX16" s="986">
        <v>61400</v>
      </c>
      <c r="AY16" s="986">
        <v>1992</v>
      </c>
      <c r="AZ16" s="986">
        <v>12500</v>
      </c>
      <c r="BA16" s="986">
        <v>9500</v>
      </c>
      <c r="BB16" s="986">
        <v>13000</v>
      </c>
      <c r="BC16" s="986">
        <v>12300</v>
      </c>
      <c r="BD16" s="986">
        <v>11700</v>
      </c>
      <c r="BE16" s="986">
        <v>12900</v>
      </c>
      <c r="BF16" s="986">
        <v>13200</v>
      </c>
      <c r="BG16" s="986">
        <v>11700</v>
      </c>
      <c r="BH16" s="986">
        <v>10500</v>
      </c>
      <c r="BI16" s="986">
        <v>11500</v>
      </c>
      <c r="BJ16" s="986">
        <v>13100</v>
      </c>
    </row>
    <row r="17" spans="1:62" s="986" customFormat="1" ht="15">
      <c r="A17" s="984">
        <v>1993</v>
      </c>
      <c r="B17" s="985">
        <f t="shared" si="0"/>
        <v>4.4400000000000004</v>
      </c>
      <c r="C17" s="985">
        <f t="shared" si="0"/>
        <v>4.1274509803921573</v>
      </c>
      <c r="D17" s="985">
        <f t="shared" si="0"/>
        <v>3.3007518796992481</v>
      </c>
      <c r="E17" s="985">
        <f t="shared" si="0"/>
        <v>4.2280701754385968</v>
      </c>
      <c r="F17" s="985">
        <f t="shared" si="0"/>
        <v>4.0087719298245617</v>
      </c>
      <c r="G17" s="985">
        <f t="shared" si="0"/>
        <v>4.0420168067226889</v>
      </c>
      <c r="H17" s="985">
        <f t="shared" si="0"/>
        <v>4.4275362318840576</v>
      </c>
      <c r="I17" s="985">
        <f t="shared" si="0"/>
        <v>4.2807017543859649</v>
      </c>
      <c r="J17" s="985">
        <f t="shared" si="0"/>
        <v>4.6132075471698117</v>
      </c>
      <c r="K17" s="985">
        <f t="shared" si="0"/>
        <v>4.6239999999999997</v>
      </c>
      <c r="L17" s="985">
        <f t="shared" si="0"/>
        <v>4.4609375</v>
      </c>
      <c r="N17" s="1002">
        <v>57700</v>
      </c>
      <c r="O17" s="1002">
        <v>45600</v>
      </c>
      <c r="P17" s="1002">
        <v>45900</v>
      </c>
      <c r="Q17" s="1002">
        <v>49800</v>
      </c>
      <c r="R17" s="1002">
        <v>47400</v>
      </c>
      <c r="S17" s="1002">
        <v>48300</v>
      </c>
      <c r="T17" s="1002">
        <v>62500</v>
      </c>
      <c r="U17" s="1002">
        <v>53700</v>
      </c>
      <c r="V17" s="1002">
        <v>50900</v>
      </c>
      <c r="W17" s="1002">
        <v>68100</v>
      </c>
      <c r="X17" s="1002">
        <v>59500</v>
      </c>
      <c r="Z17" s="1003">
        <v>12200</v>
      </c>
      <c r="AA17" s="1003">
        <v>9500</v>
      </c>
      <c r="AB17" s="1003">
        <v>13000</v>
      </c>
      <c r="AC17" s="1003">
        <v>10900</v>
      </c>
      <c r="AD17" s="1003">
        <v>11300</v>
      </c>
      <c r="AE17" s="1003">
        <v>11700</v>
      </c>
      <c r="AF17" s="1003">
        <v>13300</v>
      </c>
      <c r="AG17" s="1003">
        <v>11600</v>
      </c>
      <c r="AH17" s="1003">
        <v>10700</v>
      </c>
      <c r="AI17" s="1003">
        <v>12400</v>
      </c>
      <c r="AJ17" s="1003">
        <v>12300</v>
      </c>
      <c r="AK17" s="1003"/>
      <c r="AM17" s="986">
        <v>1993</v>
      </c>
      <c r="AN17" s="986">
        <v>55500</v>
      </c>
      <c r="AO17" s="986">
        <v>42100</v>
      </c>
      <c r="AP17" s="986">
        <v>43900</v>
      </c>
      <c r="AQ17" s="986">
        <v>48200</v>
      </c>
      <c r="AR17" s="986">
        <v>45700</v>
      </c>
      <c r="AS17" s="986">
        <v>48100</v>
      </c>
      <c r="AT17" s="986">
        <v>61100</v>
      </c>
      <c r="AU17" s="986">
        <v>48800</v>
      </c>
      <c r="AV17" s="986">
        <v>48900</v>
      </c>
      <c r="AW17" s="986">
        <v>57800</v>
      </c>
      <c r="AX17" s="986">
        <v>57100</v>
      </c>
      <c r="AY17" s="986">
        <v>1993</v>
      </c>
      <c r="AZ17" s="986">
        <v>12500</v>
      </c>
      <c r="BA17" s="986">
        <v>10200</v>
      </c>
      <c r="BB17" s="986">
        <v>13300</v>
      </c>
      <c r="BC17" s="986">
        <v>11400</v>
      </c>
      <c r="BD17" s="986">
        <v>11400</v>
      </c>
      <c r="BE17" s="986">
        <v>11900</v>
      </c>
      <c r="BF17" s="986">
        <v>13800</v>
      </c>
      <c r="BG17" s="986">
        <v>11400</v>
      </c>
      <c r="BH17" s="986">
        <v>10600</v>
      </c>
      <c r="BI17" s="986">
        <v>12500</v>
      </c>
      <c r="BJ17" s="986">
        <v>12800</v>
      </c>
    </row>
    <row r="18" spans="1:62" s="986" customFormat="1" ht="15">
      <c r="A18" s="984">
        <v>1994</v>
      </c>
      <c r="B18" s="985">
        <f t="shared" si="0"/>
        <v>4.4603174603174605</v>
      </c>
      <c r="C18" s="985">
        <f t="shared" si="0"/>
        <v>4.2574257425742577</v>
      </c>
      <c r="D18" s="985">
        <f t="shared" si="0"/>
        <v>3.2426470588235294</v>
      </c>
      <c r="E18" s="985">
        <f t="shared" si="0"/>
        <v>4.2241379310344831</v>
      </c>
      <c r="F18" s="985">
        <f t="shared" si="0"/>
        <v>4.1071428571428568</v>
      </c>
      <c r="G18" s="985">
        <f t="shared" si="0"/>
        <v>4.0909090909090908</v>
      </c>
      <c r="H18" s="985">
        <f t="shared" si="0"/>
        <v>4.5147058823529411</v>
      </c>
      <c r="I18" s="985">
        <f t="shared" si="0"/>
        <v>4.3</v>
      </c>
      <c r="J18" s="985">
        <f t="shared" si="0"/>
        <v>4.4678899082568808</v>
      </c>
      <c r="K18" s="985">
        <f t="shared" si="0"/>
        <v>4.7459016393442619</v>
      </c>
      <c r="L18" s="985">
        <f t="shared" si="0"/>
        <v>4.4921875</v>
      </c>
      <c r="N18" s="1002">
        <v>56900</v>
      </c>
      <c r="O18" s="1002">
        <v>44900</v>
      </c>
      <c r="P18" s="1002">
        <v>47700</v>
      </c>
      <c r="Q18" s="1002">
        <v>50200</v>
      </c>
      <c r="R18" s="1002">
        <v>49300</v>
      </c>
      <c r="S18" s="1002">
        <v>50400</v>
      </c>
      <c r="T18" s="1002">
        <v>61000</v>
      </c>
      <c r="U18" s="1002">
        <v>52500</v>
      </c>
      <c r="V18" s="1002">
        <v>50800</v>
      </c>
      <c r="W18" s="1002">
        <v>59800</v>
      </c>
      <c r="X18" s="1002">
        <v>59900</v>
      </c>
      <c r="Z18" s="1003">
        <v>12500</v>
      </c>
      <c r="AA18" s="1003">
        <v>9700</v>
      </c>
      <c r="AB18" s="1003">
        <v>13600</v>
      </c>
      <c r="AC18" s="1003">
        <v>11100</v>
      </c>
      <c r="AD18" s="1003">
        <v>11100</v>
      </c>
      <c r="AE18" s="1003">
        <v>12100</v>
      </c>
      <c r="AF18" s="1003">
        <v>13600</v>
      </c>
      <c r="AG18" s="1003">
        <v>12400</v>
      </c>
      <c r="AH18" s="1003">
        <v>11100</v>
      </c>
      <c r="AI18" s="1003">
        <v>12300</v>
      </c>
      <c r="AJ18" s="1003">
        <v>12700</v>
      </c>
      <c r="AK18" s="1003"/>
      <c r="AM18" s="986">
        <v>1994</v>
      </c>
      <c r="AN18" s="986">
        <v>56200</v>
      </c>
      <c r="AO18" s="986">
        <v>43000</v>
      </c>
      <c r="AP18" s="986">
        <v>44100</v>
      </c>
      <c r="AQ18" s="986">
        <v>49000</v>
      </c>
      <c r="AR18" s="986">
        <v>46000</v>
      </c>
      <c r="AS18" s="986">
        <v>49500</v>
      </c>
      <c r="AT18" s="986">
        <v>61400</v>
      </c>
      <c r="AU18" s="986">
        <v>51600</v>
      </c>
      <c r="AV18" s="986">
        <v>48700</v>
      </c>
      <c r="AW18" s="986">
        <v>57900</v>
      </c>
      <c r="AX18" s="986">
        <v>57500</v>
      </c>
      <c r="AY18" s="986">
        <v>1994</v>
      </c>
      <c r="AZ18" s="986">
        <v>12600</v>
      </c>
      <c r="BA18" s="986">
        <v>10100</v>
      </c>
      <c r="BB18" s="986">
        <v>13600</v>
      </c>
      <c r="BC18" s="986">
        <v>11600</v>
      </c>
      <c r="BD18" s="986">
        <v>11200</v>
      </c>
      <c r="BE18" s="986">
        <v>12100</v>
      </c>
      <c r="BF18" s="986">
        <v>13600</v>
      </c>
      <c r="BG18" s="986">
        <v>12000</v>
      </c>
      <c r="BH18" s="986">
        <v>10900</v>
      </c>
      <c r="BI18" s="986">
        <v>12200</v>
      </c>
      <c r="BJ18" s="986">
        <v>12800</v>
      </c>
    </row>
    <row r="19" spans="1:62" s="986" customFormat="1" ht="15">
      <c r="A19" s="984">
        <v>1995</v>
      </c>
      <c r="B19" s="985">
        <f t="shared" si="0"/>
        <v>4.5279999999999996</v>
      </c>
      <c r="C19" s="985">
        <f t="shared" si="0"/>
        <v>4.3061224489795915</v>
      </c>
      <c r="D19" s="985">
        <f t="shared" si="0"/>
        <v>3.25</v>
      </c>
      <c r="E19" s="985">
        <f t="shared" si="0"/>
        <v>4.1293103448275863</v>
      </c>
      <c r="F19" s="985">
        <f t="shared" si="0"/>
        <v>4.2162162162162158</v>
      </c>
      <c r="G19" s="985">
        <f t="shared" si="0"/>
        <v>4.1680672268907566</v>
      </c>
      <c r="H19" s="985">
        <f t="shared" si="0"/>
        <v>4.5144927536231885</v>
      </c>
      <c r="I19" s="985">
        <f t="shared" si="0"/>
        <v>4.0866141732283463</v>
      </c>
      <c r="J19" s="985">
        <f t="shared" si="0"/>
        <v>4.8543689320388346</v>
      </c>
      <c r="K19" s="985">
        <f t="shared" si="0"/>
        <v>4.7540983606557381</v>
      </c>
      <c r="L19" s="985">
        <f t="shared" si="0"/>
        <v>4.693548387096774</v>
      </c>
      <c r="N19" s="1002">
        <v>58400</v>
      </c>
      <c r="O19" s="1002">
        <v>44600</v>
      </c>
      <c r="P19" s="1002">
        <v>45700</v>
      </c>
      <c r="Q19" s="1002">
        <v>49300</v>
      </c>
      <c r="R19" s="1002">
        <v>49100</v>
      </c>
      <c r="S19" s="1002">
        <v>50600</v>
      </c>
      <c r="T19" s="1002">
        <v>63500</v>
      </c>
      <c r="U19" s="1002">
        <v>55200</v>
      </c>
      <c r="V19" s="1002">
        <v>52100</v>
      </c>
      <c r="W19" s="1002">
        <v>61000</v>
      </c>
      <c r="X19" s="1002">
        <v>62600</v>
      </c>
      <c r="Z19" s="1003">
        <v>12400</v>
      </c>
      <c r="AA19" s="1003">
        <v>9200</v>
      </c>
      <c r="AB19" s="1003">
        <v>12800</v>
      </c>
      <c r="AC19" s="1003">
        <v>11200</v>
      </c>
      <c r="AD19" s="1003">
        <v>10800</v>
      </c>
      <c r="AE19" s="1003">
        <v>12000</v>
      </c>
      <c r="AF19" s="1003">
        <v>13500</v>
      </c>
      <c r="AG19" s="1003">
        <v>12900</v>
      </c>
      <c r="AH19" s="1003">
        <v>10700</v>
      </c>
      <c r="AI19" s="1003">
        <v>12200</v>
      </c>
      <c r="AJ19" s="1003">
        <v>12500</v>
      </c>
      <c r="AK19" s="1003"/>
      <c r="AM19" s="986">
        <v>1995</v>
      </c>
      <c r="AN19" s="986">
        <v>56600</v>
      </c>
      <c r="AO19" s="986">
        <v>42200</v>
      </c>
      <c r="AP19" s="986">
        <v>42900</v>
      </c>
      <c r="AQ19" s="986">
        <v>47900</v>
      </c>
      <c r="AR19" s="986">
        <v>46800</v>
      </c>
      <c r="AS19" s="986">
        <v>49600</v>
      </c>
      <c r="AT19" s="986">
        <v>62300</v>
      </c>
      <c r="AU19" s="986">
        <v>51900</v>
      </c>
      <c r="AV19" s="986">
        <v>50000</v>
      </c>
      <c r="AW19" s="986">
        <v>58000</v>
      </c>
      <c r="AX19" s="986">
        <v>58200</v>
      </c>
      <c r="AY19" s="986">
        <v>1995</v>
      </c>
      <c r="AZ19" s="986">
        <v>12500</v>
      </c>
      <c r="BA19" s="986">
        <v>9800</v>
      </c>
      <c r="BB19" s="986">
        <v>13200</v>
      </c>
      <c r="BC19" s="986">
        <v>11600</v>
      </c>
      <c r="BD19" s="986">
        <v>11100</v>
      </c>
      <c r="BE19" s="986">
        <v>11900</v>
      </c>
      <c r="BF19" s="986">
        <v>13800</v>
      </c>
      <c r="BG19" s="986">
        <v>12700</v>
      </c>
      <c r="BH19" s="986">
        <v>10300</v>
      </c>
      <c r="BI19" s="986">
        <v>12200</v>
      </c>
      <c r="BJ19" s="986">
        <v>12400</v>
      </c>
    </row>
    <row r="20" spans="1:62" s="986" customFormat="1" ht="15">
      <c r="A20" s="984">
        <v>1996</v>
      </c>
      <c r="B20" s="985">
        <f t="shared" si="0"/>
        <v>4.7377049180327866</v>
      </c>
      <c r="C20" s="985">
        <f t="shared" si="0"/>
        <v>4.2300000000000004</v>
      </c>
      <c r="D20" s="985">
        <f t="shared" si="0"/>
        <v>3.46875</v>
      </c>
      <c r="E20" s="985">
        <f t="shared" si="0"/>
        <v>4.3119266055045875</v>
      </c>
      <c r="F20" s="985">
        <f t="shared" si="0"/>
        <v>4.1293103448275863</v>
      </c>
      <c r="G20" s="985">
        <f t="shared" si="0"/>
        <v>4.2666666666666666</v>
      </c>
      <c r="H20" s="985">
        <f t="shared" si="0"/>
        <v>4.96875</v>
      </c>
      <c r="I20" s="985">
        <f t="shared" si="0"/>
        <v>4.3389830508474576</v>
      </c>
      <c r="J20" s="985">
        <f t="shared" si="0"/>
        <v>4.4909090909090912</v>
      </c>
      <c r="K20" s="985">
        <f t="shared" si="0"/>
        <v>4.7983870967741939</v>
      </c>
      <c r="L20" s="985">
        <f t="shared" si="0"/>
        <v>4.884297520661157</v>
      </c>
      <c r="N20" s="1002">
        <v>59600</v>
      </c>
      <c r="O20" s="1002">
        <v>44800</v>
      </c>
      <c r="P20" s="1002">
        <v>47300</v>
      </c>
      <c r="Q20" s="1002">
        <v>50300</v>
      </c>
      <c r="R20" s="1002">
        <v>50500</v>
      </c>
      <c r="S20" s="1002">
        <v>52700</v>
      </c>
      <c r="T20" s="1002">
        <v>65100</v>
      </c>
      <c r="U20" s="1002">
        <v>54200</v>
      </c>
      <c r="V20" s="1002">
        <v>50500</v>
      </c>
      <c r="W20" s="1002">
        <v>64000</v>
      </c>
      <c r="X20" s="1002">
        <v>61000</v>
      </c>
      <c r="Z20" s="1003">
        <v>11800</v>
      </c>
      <c r="AA20" s="1003">
        <v>9800</v>
      </c>
      <c r="AB20" s="1003">
        <v>12600</v>
      </c>
      <c r="AC20" s="1003">
        <v>10800</v>
      </c>
      <c r="AD20" s="1003">
        <v>11400</v>
      </c>
      <c r="AE20" s="1003">
        <v>11400</v>
      </c>
      <c r="AF20" s="1003">
        <v>12800</v>
      </c>
      <c r="AG20" s="1003">
        <v>11700</v>
      </c>
      <c r="AH20" s="1003">
        <v>10700</v>
      </c>
      <c r="AI20" s="1003">
        <v>12400</v>
      </c>
      <c r="AJ20" s="1003">
        <v>11300</v>
      </c>
      <c r="AK20" s="1003"/>
      <c r="AM20" s="986">
        <v>1996</v>
      </c>
      <c r="AN20" s="986">
        <v>57800</v>
      </c>
      <c r="AO20" s="986">
        <v>42300</v>
      </c>
      <c r="AP20" s="986">
        <v>44400</v>
      </c>
      <c r="AQ20" s="986">
        <v>47000</v>
      </c>
      <c r="AR20" s="986">
        <v>47900</v>
      </c>
      <c r="AS20" s="986">
        <v>51200</v>
      </c>
      <c r="AT20" s="986">
        <v>63600</v>
      </c>
      <c r="AU20" s="986">
        <v>51200</v>
      </c>
      <c r="AV20" s="986">
        <v>49400</v>
      </c>
      <c r="AW20" s="986">
        <v>59500</v>
      </c>
      <c r="AX20" s="986">
        <v>59100</v>
      </c>
      <c r="AY20" s="986">
        <v>1996</v>
      </c>
      <c r="AZ20" s="986">
        <v>12200</v>
      </c>
      <c r="BA20" s="986">
        <v>10000</v>
      </c>
      <c r="BB20" s="986">
        <v>12800</v>
      </c>
      <c r="BC20" s="986">
        <v>10900</v>
      </c>
      <c r="BD20" s="986">
        <v>11600</v>
      </c>
      <c r="BE20" s="986">
        <v>12000</v>
      </c>
      <c r="BF20" s="986">
        <v>12800</v>
      </c>
      <c r="BG20" s="986">
        <v>11800</v>
      </c>
      <c r="BH20" s="986">
        <v>11000</v>
      </c>
      <c r="BI20" s="986">
        <v>12400</v>
      </c>
      <c r="BJ20" s="986">
        <v>12100</v>
      </c>
    </row>
    <row r="21" spans="1:62" s="986" customFormat="1" ht="15">
      <c r="A21" s="984">
        <v>1997</v>
      </c>
      <c r="B21" s="985">
        <f t="shared" si="0"/>
        <v>4.8595041322314048</v>
      </c>
      <c r="C21" s="985">
        <f t="shared" si="0"/>
        <v>4</v>
      </c>
      <c r="D21" s="985">
        <f t="shared" si="0"/>
        <v>3.4307692307692306</v>
      </c>
      <c r="E21" s="985">
        <f t="shared" si="0"/>
        <v>4.4454545454545453</v>
      </c>
      <c r="F21" s="985">
        <f t="shared" si="0"/>
        <v>4.166666666666667</v>
      </c>
      <c r="G21" s="985">
        <f t="shared" si="0"/>
        <v>4.5486725663716818</v>
      </c>
      <c r="H21" s="985">
        <f t="shared" si="0"/>
        <v>4.907692307692308</v>
      </c>
      <c r="I21" s="985">
        <f t="shared" si="0"/>
        <v>4.2583333333333337</v>
      </c>
      <c r="J21" s="985">
        <f t="shared" si="0"/>
        <v>4.2564102564102564</v>
      </c>
      <c r="K21" s="985">
        <f t="shared" si="0"/>
        <v>4.9847328244274811</v>
      </c>
      <c r="L21" s="985">
        <f t="shared" si="0"/>
        <v>5.0420168067226889</v>
      </c>
      <c r="N21" s="1002">
        <v>61800</v>
      </c>
      <c r="O21" s="1002">
        <v>45100</v>
      </c>
      <c r="P21" s="1002">
        <v>48200</v>
      </c>
      <c r="Q21" s="1002">
        <v>51200</v>
      </c>
      <c r="R21" s="1002">
        <v>48800</v>
      </c>
      <c r="S21" s="1002">
        <v>54500</v>
      </c>
      <c r="T21" s="1002">
        <v>67600</v>
      </c>
      <c r="U21" s="1002">
        <v>54400</v>
      </c>
      <c r="V21" s="1002">
        <v>51400</v>
      </c>
      <c r="W21" s="1002">
        <v>68800</v>
      </c>
      <c r="X21" s="1002">
        <v>62500</v>
      </c>
      <c r="Z21" s="1003">
        <v>11900</v>
      </c>
      <c r="AA21" s="1003">
        <v>10300</v>
      </c>
      <c r="AB21" s="1003">
        <v>12500</v>
      </c>
      <c r="AC21" s="1003">
        <v>10800</v>
      </c>
      <c r="AD21" s="1003">
        <v>10900</v>
      </c>
      <c r="AE21" s="1003">
        <v>11000</v>
      </c>
      <c r="AF21" s="1003">
        <v>13000</v>
      </c>
      <c r="AG21" s="1003">
        <v>12000</v>
      </c>
      <c r="AH21" s="1003">
        <v>11500</v>
      </c>
      <c r="AI21" s="1003">
        <v>12200</v>
      </c>
      <c r="AJ21" s="1003">
        <v>12100</v>
      </c>
      <c r="AK21" s="1003"/>
      <c r="AM21" s="986">
        <v>1997</v>
      </c>
      <c r="AN21" s="986">
        <v>58800</v>
      </c>
      <c r="AO21" s="986">
        <v>41600</v>
      </c>
      <c r="AP21" s="986">
        <v>44600</v>
      </c>
      <c r="AQ21" s="986">
        <v>48900</v>
      </c>
      <c r="AR21" s="986">
        <v>47500</v>
      </c>
      <c r="AS21" s="986">
        <v>51400</v>
      </c>
      <c r="AT21" s="986">
        <v>63800</v>
      </c>
      <c r="AU21" s="986">
        <v>51100</v>
      </c>
      <c r="AV21" s="986">
        <v>49800</v>
      </c>
      <c r="AW21" s="986">
        <v>65300</v>
      </c>
      <c r="AX21" s="986">
        <v>60000</v>
      </c>
      <c r="AY21" s="986">
        <v>1997</v>
      </c>
      <c r="AZ21" s="986">
        <v>12100</v>
      </c>
      <c r="BA21" s="986">
        <v>10400</v>
      </c>
      <c r="BB21" s="986">
        <v>13000</v>
      </c>
      <c r="BC21" s="986">
        <v>11000</v>
      </c>
      <c r="BD21" s="986">
        <v>11400</v>
      </c>
      <c r="BE21" s="986">
        <v>11300</v>
      </c>
      <c r="BF21" s="986">
        <v>13000</v>
      </c>
      <c r="BG21" s="986">
        <v>12000</v>
      </c>
      <c r="BH21" s="986">
        <v>11700</v>
      </c>
      <c r="BI21" s="986">
        <v>13100</v>
      </c>
      <c r="BJ21" s="986">
        <v>11900</v>
      </c>
    </row>
    <row r="22" spans="1:62" s="986" customFormat="1" ht="15">
      <c r="A22" s="984">
        <v>1998</v>
      </c>
      <c r="B22" s="985">
        <f t="shared" si="0"/>
        <v>4.9920634920634921</v>
      </c>
      <c r="C22" s="985">
        <f t="shared" si="0"/>
        <v>4.4433962264150946</v>
      </c>
      <c r="D22" s="985">
        <f t="shared" si="0"/>
        <v>3.6444444444444444</v>
      </c>
      <c r="E22" s="985">
        <f t="shared" si="0"/>
        <v>4.807339449541284</v>
      </c>
      <c r="F22" s="985">
        <f t="shared" si="0"/>
        <v>4.2727272727272725</v>
      </c>
      <c r="G22" s="985">
        <f t="shared" si="0"/>
        <v>4.3983739837398375</v>
      </c>
      <c r="H22" s="985">
        <f t="shared" si="0"/>
        <v>5.1333333333333337</v>
      </c>
      <c r="I22" s="985">
        <f t="shared" si="0"/>
        <v>4.4800000000000004</v>
      </c>
      <c r="J22" s="985">
        <f t="shared" si="0"/>
        <v>4.3360655737704921</v>
      </c>
      <c r="K22" s="985">
        <f t="shared" si="0"/>
        <v>5.6111111111111107</v>
      </c>
      <c r="L22" s="985">
        <f t="shared" si="0"/>
        <v>4.8879999999999999</v>
      </c>
      <c r="N22" s="1002">
        <v>64000</v>
      </c>
      <c r="O22" s="1002">
        <v>46900</v>
      </c>
      <c r="P22" s="1002">
        <v>49500</v>
      </c>
      <c r="Q22" s="1002">
        <v>53300</v>
      </c>
      <c r="R22" s="1002">
        <v>51000</v>
      </c>
      <c r="S22" s="1002">
        <v>54500</v>
      </c>
      <c r="T22" s="1002">
        <v>71300</v>
      </c>
      <c r="U22" s="1002">
        <v>57500</v>
      </c>
      <c r="V22" s="1002">
        <v>53100</v>
      </c>
      <c r="W22" s="1002">
        <v>71900</v>
      </c>
      <c r="X22" s="1002">
        <v>62300</v>
      </c>
      <c r="Z22" s="1003">
        <v>12300</v>
      </c>
      <c r="AA22" s="1003">
        <v>10600</v>
      </c>
      <c r="AB22" s="1003">
        <v>13000</v>
      </c>
      <c r="AC22" s="1003">
        <v>10000</v>
      </c>
      <c r="AD22" s="1003">
        <v>11400</v>
      </c>
      <c r="AE22" s="1003">
        <v>12200</v>
      </c>
      <c r="AF22" s="1003">
        <v>13400</v>
      </c>
      <c r="AG22" s="1003">
        <v>12800</v>
      </c>
      <c r="AH22" s="1003">
        <v>11900</v>
      </c>
      <c r="AI22" s="1003">
        <v>12100</v>
      </c>
      <c r="AJ22" s="1003">
        <v>11900</v>
      </c>
      <c r="AK22" s="1003"/>
      <c r="AM22" s="986">
        <v>1998</v>
      </c>
      <c r="AN22" s="986">
        <v>62900</v>
      </c>
      <c r="AO22" s="986">
        <v>47100</v>
      </c>
      <c r="AP22" s="986">
        <v>49200</v>
      </c>
      <c r="AQ22" s="986">
        <v>52400</v>
      </c>
      <c r="AR22" s="986">
        <v>51700</v>
      </c>
      <c r="AS22" s="986">
        <v>54100</v>
      </c>
      <c r="AT22" s="986">
        <v>69300</v>
      </c>
      <c r="AU22" s="986">
        <v>56000</v>
      </c>
      <c r="AV22" s="986">
        <v>52900</v>
      </c>
      <c r="AW22" s="986">
        <v>70700</v>
      </c>
      <c r="AX22" s="986">
        <v>61100</v>
      </c>
      <c r="AY22" s="986">
        <v>1998</v>
      </c>
      <c r="AZ22" s="986">
        <v>12600</v>
      </c>
      <c r="BA22" s="986">
        <v>10600</v>
      </c>
      <c r="BB22" s="986">
        <v>13500</v>
      </c>
      <c r="BC22" s="986">
        <v>10900</v>
      </c>
      <c r="BD22" s="986">
        <v>12100</v>
      </c>
      <c r="BE22" s="986">
        <v>12300</v>
      </c>
      <c r="BF22" s="986">
        <v>13500</v>
      </c>
      <c r="BG22" s="986">
        <v>12500</v>
      </c>
      <c r="BH22" s="986">
        <v>12200</v>
      </c>
      <c r="BI22" s="986">
        <v>12600</v>
      </c>
      <c r="BJ22" s="986">
        <v>12500</v>
      </c>
    </row>
    <row r="23" spans="1:62" s="986" customFormat="1" ht="15">
      <c r="A23" s="984">
        <v>1999</v>
      </c>
      <c r="B23" s="985">
        <f t="shared" si="0"/>
        <v>4.8636363636363633</v>
      </c>
      <c r="C23" s="985">
        <f t="shared" si="0"/>
        <v>4.7238095238095239</v>
      </c>
      <c r="D23" s="985">
        <f t="shared" si="0"/>
        <v>4.0546875</v>
      </c>
      <c r="E23" s="985">
        <f t="shared" si="0"/>
        <v>4.4297520661157028</v>
      </c>
      <c r="F23" s="985">
        <f t="shared" si="0"/>
        <v>4.1760000000000002</v>
      </c>
      <c r="G23" s="985">
        <f t="shared" si="0"/>
        <v>4.1503759398496243</v>
      </c>
      <c r="H23" s="985">
        <f t="shared" si="0"/>
        <v>5.084507042253521</v>
      </c>
      <c r="I23" s="985">
        <f t="shared" si="0"/>
        <v>4.593220338983051</v>
      </c>
      <c r="J23" s="985">
        <f t="shared" si="0"/>
        <v>4.1085271317829459</v>
      </c>
      <c r="K23" s="985">
        <f t="shared" si="0"/>
        <v>4.704225352112676</v>
      </c>
      <c r="L23" s="985">
        <f t="shared" si="0"/>
        <v>5.3103448275862073</v>
      </c>
      <c r="N23" s="1002">
        <v>64900</v>
      </c>
      <c r="O23" s="1002">
        <v>49600</v>
      </c>
      <c r="P23" s="1002">
        <v>52200</v>
      </c>
      <c r="Q23" s="1002">
        <v>54200</v>
      </c>
      <c r="R23" s="1002">
        <v>52300</v>
      </c>
      <c r="S23" s="1002">
        <v>55100</v>
      </c>
      <c r="T23" s="1002">
        <v>73100</v>
      </c>
      <c r="U23" s="1002">
        <v>54900</v>
      </c>
      <c r="V23" s="1002">
        <v>53100</v>
      </c>
      <c r="W23" s="1002">
        <v>68800</v>
      </c>
      <c r="X23" s="1002">
        <v>63400</v>
      </c>
      <c r="Z23" s="1003">
        <v>12900</v>
      </c>
      <c r="AA23" s="1003">
        <v>10500</v>
      </c>
      <c r="AB23" s="1003">
        <v>12500</v>
      </c>
      <c r="AC23" s="1003">
        <v>11400</v>
      </c>
      <c r="AD23" s="1003">
        <v>12000</v>
      </c>
      <c r="AE23" s="1003">
        <v>12800</v>
      </c>
      <c r="AF23" s="1003">
        <v>14000</v>
      </c>
      <c r="AG23" s="1003">
        <v>12100</v>
      </c>
      <c r="AH23" s="1003">
        <v>12700</v>
      </c>
      <c r="AI23" s="1003">
        <v>14200</v>
      </c>
      <c r="AJ23" s="1003">
        <v>11400</v>
      </c>
      <c r="AK23" s="1003"/>
      <c r="AM23" s="986">
        <v>1999</v>
      </c>
      <c r="AN23" s="986">
        <v>64200</v>
      </c>
      <c r="AO23" s="986">
        <v>49600</v>
      </c>
      <c r="AP23" s="986">
        <v>51900</v>
      </c>
      <c r="AQ23" s="986">
        <v>53600</v>
      </c>
      <c r="AR23" s="986">
        <v>52200</v>
      </c>
      <c r="AS23" s="986">
        <v>55200</v>
      </c>
      <c r="AT23" s="986">
        <v>72200</v>
      </c>
      <c r="AU23" s="986">
        <v>54200</v>
      </c>
      <c r="AV23" s="986">
        <v>53000</v>
      </c>
      <c r="AW23" s="986">
        <v>66800</v>
      </c>
      <c r="AX23" s="986">
        <v>61600</v>
      </c>
      <c r="AY23" s="986">
        <v>1999</v>
      </c>
      <c r="AZ23" s="986">
        <v>13200</v>
      </c>
      <c r="BA23" s="986">
        <v>10500</v>
      </c>
      <c r="BB23" s="986">
        <v>12800</v>
      </c>
      <c r="BC23" s="986">
        <v>12100</v>
      </c>
      <c r="BD23" s="986">
        <v>12500</v>
      </c>
      <c r="BE23" s="986">
        <v>13300</v>
      </c>
      <c r="BF23" s="986">
        <v>14200</v>
      </c>
      <c r="BG23" s="986">
        <v>11800</v>
      </c>
      <c r="BH23" s="986">
        <v>12900</v>
      </c>
      <c r="BI23" s="986">
        <v>14200</v>
      </c>
      <c r="BJ23" s="986">
        <v>11600</v>
      </c>
    </row>
    <row r="24" spans="1:62" s="986" customFormat="1" ht="15">
      <c r="A24" s="984">
        <v>2000</v>
      </c>
      <c r="B24" s="985">
        <f t="shared" si="0"/>
        <v>5.1127819548872182</v>
      </c>
      <c r="C24" s="985">
        <f t="shared" si="0"/>
        <v>4.7272727272727275</v>
      </c>
      <c r="D24" s="985">
        <f t="shared" si="0"/>
        <v>4.1640625</v>
      </c>
      <c r="E24" s="985">
        <f t="shared" si="0"/>
        <v>4.4108527131782944</v>
      </c>
      <c r="F24" s="985">
        <f t="shared" si="0"/>
        <v>4.2671755725190836</v>
      </c>
      <c r="G24" s="985">
        <f t="shared" si="0"/>
        <v>4.3909774436090228</v>
      </c>
      <c r="H24" s="985">
        <f t="shared" si="0"/>
        <v>5.201342281879195</v>
      </c>
      <c r="I24" s="985">
        <f t="shared" si="0"/>
        <v>4.5245901639344259</v>
      </c>
      <c r="J24" s="985">
        <f t="shared" si="0"/>
        <v>4.5284552845528454</v>
      </c>
      <c r="K24" s="985">
        <f t="shared" si="0"/>
        <v>4.9724137931034482</v>
      </c>
      <c r="L24" s="985">
        <f t="shared" si="0"/>
        <v>6.408163265306122</v>
      </c>
      <c r="N24" s="1002">
        <v>67800</v>
      </c>
      <c r="O24" s="1002">
        <v>52000</v>
      </c>
      <c r="P24" s="1002">
        <v>54500</v>
      </c>
      <c r="Q24" s="1002">
        <v>57700</v>
      </c>
      <c r="R24" s="1002">
        <v>56300</v>
      </c>
      <c r="S24" s="1002">
        <v>58400</v>
      </c>
      <c r="T24" s="1002">
        <v>76800</v>
      </c>
      <c r="U24" s="1002">
        <v>56200</v>
      </c>
      <c r="V24" s="1002">
        <v>55600</v>
      </c>
      <c r="W24" s="1002">
        <v>73300</v>
      </c>
      <c r="X24" s="1002">
        <v>63300</v>
      </c>
      <c r="Z24" s="1003">
        <v>13000</v>
      </c>
      <c r="AA24" s="1003">
        <v>10800</v>
      </c>
      <c r="AB24" s="1003">
        <v>12400</v>
      </c>
      <c r="AC24" s="1003">
        <v>12600</v>
      </c>
      <c r="AD24" s="1003">
        <v>12600</v>
      </c>
      <c r="AE24" s="1003">
        <v>12900</v>
      </c>
      <c r="AF24" s="1003">
        <v>14700</v>
      </c>
      <c r="AG24" s="1003">
        <v>12500</v>
      </c>
      <c r="AH24" s="1003">
        <v>11900</v>
      </c>
      <c r="AI24" s="1003">
        <v>14400</v>
      </c>
      <c r="AJ24" s="1003">
        <v>9400</v>
      </c>
      <c r="AK24" s="1003"/>
      <c r="AM24" s="986">
        <v>2000</v>
      </c>
      <c r="AN24" s="986">
        <v>68000</v>
      </c>
      <c r="AO24" s="986">
        <v>52000</v>
      </c>
      <c r="AP24" s="986">
        <v>53300</v>
      </c>
      <c r="AQ24" s="986">
        <v>56900</v>
      </c>
      <c r="AR24" s="986">
        <v>55900</v>
      </c>
      <c r="AS24" s="986">
        <v>58400</v>
      </c>
      <c r="AT24" s="986">
        <v>77500</v>
      </c>
      <c r="AU24" s="986">
        <v>55200</v>
      </c>
      <c r="AV24" s="986">
        <v>55700</v>
      </c>
      <c r="AW24" s="986">
        <v>72100</v>
      </c>
      <c r="AX24" s="986">
        <v>62800</v>
      </c>
      <c r="AY24" s="986">
        <v>2000</v>
      </c>
      <c r="AZ24" s="986">
        <v>13300</v>
      </c>
      <c r="BA24" s="986">
        <v>11000</v>
      </c>
      <c r="BB24" s="986">
        <v>12800</v>
      </c>
      <c r="BC24" s="986">
        <v>12900</v>
      </c>
      <c r="BD24" s="986">
        <v>13100</v>
      </c>
      <c r="BE24" s="986">
        <v>13300</v>
      </c>
      <c r="BF24" s="986">
        <v>14900</v>
      </c>
      <c r="BG24" s="986">
        <v>12200</v>
      </c>
      <c r="BH24" s="986">
        <v>12300</v>
      </c>
      <c r="BI24" s="986">
        <v>14500</v>
      </c>
      <c r="BJ24" s="986">
        <v>9800</v>
      </c>
    </row>
    <row r="25" spans="1:62" s="986" customFormat="1" ht="15">
      <c r="A25" s="984">
        <v>2001</v>
      </c>
      <c r="B25" s="985">
        <f t="shared" si="0"/>
        <v>4.9859154929577461</v>
      </c>
      <c r="C25" s="985">
        <f t="shared" si="0"/>
        <v>4.3499999999999996</v>
      </c>
      <c r="D25" s="985">
        <f t="shared" si="0"/>
        <v>4.022556390977444</v>
      </c>
      <c r="E25" s="985">
        <f t="shared" si="0"/>
        <v>4.5419847328244272</v>
      </c>
      <c r="F25" s="985">
        <f t="shared" si="0"/>
        <v>4.2074074074074073</v>
      </c>
      <c r="G25" s="985">
        <f t="shared" si="0"/>
        <v>4.4142857142857146</v>
      </c>
      <c r="H25" s="985">
        <f t="shared" si="0"/>
        <v>5.064516129032258</v>
      </c>
      <c r="I25" s="985">
        <f t="shared" si="0"/>
        <v>4.4621212121212119</v>
      </c>
      <c r="J25" s="985">
        <f t="shared" si="0"/>
        <v>4.5725190839694658</v>
      </c>
      <c r="K25" s="985">
        <f t="shared" si="0"/>
        <v>5.0789473684210522</v>
      </c>
      <c r="L25" s="985">
        <f t="shared" si="0"/>
        <v>5.6916666666666664</v>
      </c>
      <c r="N25" s="1002">
        <v>71400</v>
      </c>
      <c r="O25" s="1002">
        <v>52000</v>
      </c>
      <c r="P25" s="1002">
        <v>55800</v>
      </c>
      <c r="Q25" s="1002">
        <v>61900</v>
      </c>
      <c r="R25" s="1002">
        <v>57100</v>
      </c>
      <c r="S25" s="1002">
        <v>62600</v>
      </c>
      <c r="T25" s="1002">
        <v>79100</v>
      </c>
      <c r="U25" s="1002">
        <v>60400</v>
      </c>
      <c r="V25" s="1002">
        <v>60400</v>
      </c>
      <c r="W25" s="1002">
        <v>79100</v>
      </c>
      <c r="X25" s="1002">
        <v>68000</v>
      </c>
      <c r="Z25" s="1003">
        <v>13900</v>
      </c>
      <c r="AA25" s="1003">
        <v>11600</v>
      </c>
      <c r="AB25" s="1003">
        <v>12900</v>
      </c>
      <c r="AC25" s="1003">
        <v>12900</v>
      </c>
      <c r="AD25" s="1003">
        <v>12800</v>
      </c>
      <c r="AE25" s="1003">
        <v>13800</v>
      </c>
      <c r="AF25" s="1003">
        <v>15300</v>
      </c>
      <c r="AG25" s="1003">
        <v>13600</v>
      </c>
      <c r="AH25" s="1003">
        <v>13100</v>
      </c>
      <c r="AI25" s="1003">
        <v>15200</v>
      </c>
      <c r="AJ25" s="1003">
        <v>11200</v>
      </c>
      <c r="AK25" s="1003"/>
      <c r="AM25" s="986">
        <v>2001</v>
      </c>
      <c r="AN25" s="986">
        <v>70800</v>
      </c>
      <c r="AO25" s="986">
        <v>52200</v>
      </c>
      <c r="AP25" s="986">
        <v>53500</v>
      </c>
      <c r="AQ25" s="986">
        <v>59500</v>
      </c>
      <c r="AR25" s="986">
        <v>56800</v>
      </c>
      <c r="AS25" s="986">
        <v>61800</v>
      </c>
      <c r="AT25" s="986">
        <v>78500</v>
      </c>
      <c r="AU25" s="986">
        <v>58900</v>
      </c>
      <c r="AV25" s="986">
        <v>59900</v>
      </c>
      <c r="AW25" s="986">
        <v>77200</v>
      </c>
      <c r="AX25" s="986">
        <v>68300</v>
      </c>
      <c r="AY25" s="986">
        <v>2001</v>
      </c>
      <c r="AZ25" s="986">
        <v>14200</v>
      </c>
      <c r="BA25" s="986">
        <v>12000</v>
      </c>
      <c r="BB25" s="986">
        <v>13300</v>
      </c>
      <c r="BC25" s="986">
        <v>13100</v>
      </c>
      <c r="BD25" s="986">
        <v>13500</v>
      </c>
      <c r="BE25" s="986">
        <v>14000</v>
      </c>
      <c r="BF25" s="986">
        <v>15500</v>
      </c>
      <c r="BG25" s="986">
        <v>13200</v>
      </c>
      <c r="BH25" s="986">
        <v>13100</v>
      </c>
      <c r="BI25" s="986">
        <v>15200</v>
      </c>
      <c r="BJ25" s="986">
        <v>12000</v>
      </c>
    </row>
    <row r="26" spans="1:62" s="986" customFormat="1" ht="15">
      <c r="A26" s="984">
        <v>2002</v>
      </c>
      <c r="B26" s="985">
        <f t="shared" si="0"/>
        <v>5.0928571428571425</v>
      </c>
      <c r="C26" s="985">
        <f t="shared" si="0"/>
        <v>4.6101694915254239</v>
      </c>
      <c r="D26" s="985">
        <f t="shared" si="0"/>
        <v>4.049295774647887</v>
      </c>
      <c r="E26" s="985">
        <f t="shared" si="0"/>
        <v>4.7</v>
      </c>
      <c r="F26" s="985">
        <f t="shared" si="0"/>
        <v>4.3106060606060606</v>
      </c>
      <c r="G26" s="985">
        <f t="shared" si="0"/>
        <v>4.4680851063829783</v>
      </c>
      <c r="H26" s="985">
        <f t="shared" si="0"/>
        <v>5.1324503311258276</v>
      </c>
      <c r="I26" s="985">
        <f t="shared" si="0"/>
        <v>4.8560606060606064</v>
      </c>
      <c r="J26" s="985">
        <f t="shared" si="0"/>
        <v>4.5572519083969469</v>
      </c>
      <c r="K26" s="985">
        <f t="shared" si="0"/>
        <v>4.6037735849056602</v>
      </c>
      <c r="L26" s="985">
        <f t="shared" si="0"/>
        <v>6.5</v>
      </c>
      <c r="N26" s="1002">
        <v>72000</v>
      </c>
      <c r="O26" s="1002">
        <v>54400</v>
      </c>
      <c r="P26" s="1002">
        <v>57700</v>
      </c>
      <c r="Q26" s="1002">
        <v>61800</v>
      </c>
      <c r="R26" s="1002">
        <v>57800</v>
      </c>
      <c r="S26" s="1002">
        <v>63000</v>
      </c>
      <c r="T26" s="1002">
        <v>78300</v>
      </c>
      <c r="U26" s="1002">
        <v>64000</v>
      </c>
      <c r="V26" s="1002">
        <v>59900</v>
      </c>
      <c r="W26" s="1002">
        <v>75600</v>
      </c>
      <c r="X26" s="1002">
        <v>75500</v>
      </c>
      <c r="Z26" s="1003">
        <v>13600</v>
      </c>
      <c r="AA26" s="1003">
        <v>11600</v>
      </c>
      <c r="AB26" s="1003">
        <v>13800</v>
      </c>
      <c r="AC26" s="1003">
        <v>12700</v>
      </c>
      <c r="AD26" s="1003">
        <v>12600</v>
      </c>
      <c r="AE26" s="1003">
        <v>13600</v>
      </c>
      <c r="AF26" s="1003">
        <v>14800</v>
      </c>
      <c r="AG26" s="1003">
        <v>13500</v>
      </c>
      <c r="AH26" s="1003">
        <v>13100</v>
      </c>
      <c r="AI26" s="1003">
        <v>15700</v>
      </c>
      <c r="AJ26" s="1003">
        <v>10900</v>
      </c>
      <c r="AK26" s="1003"/>
      <c r="AM26" s="986">
        <v>2002</v>
      </c>
      <c r="AN26" s="986">
        <v>71300</v>
      </c>
      <c r="AO26" s="986">
        <v>54400</v>
      </c>
      <c r="AP26" s="986">
        <v>57500</v>
      </c>
      <c r="AQ26" s="986">
        <v>61100</v>
      </c>
      <c r="AR26" s="986">
        <v>56900</v>
      </c>
      <c r="AS26" s="986">
        <v>63000</v>
      </c>
      <c r="AT26" s="986">
        <v>77500</v>
      </c>
      <c r="AU26" s="986">
        <v>64100</v>
      </c>
      <c r="AV26" s="986">
        <v>59700</v>
      </c>
      <c r="AW26" s="986">
        <v>73200</v>
      </c>
      <c r="AX26" s="986">
        <v>74100</v>
      </c>
      <c r="AY26" s="986">
        <v>2002</v>
      </c>
      <c r="AZ26" s="986">
        <v>14000</v>
      </c>
      <c r="BA26" s="986">
        <v>11800</v>
      </c>
      <c r="BB26" s="986">
        <v>14200</v>
      </c>
      <c r="BC26" s="986">
        <v>13000</v>
      </c>
      <c r="BD26" s="986">
        <v>13200</v>
      </c>
      <c r="BE26" s="986">
        <v>14100</v>
      </c>
      <c r="BF26" s="986">
        <v>15100</v>
      </c>
      <c r="BG26" s="986">
        <v>13200</v>
      </c>
      <c r="BH26" s="986">
        <v>13100</v>
      </c>
      <c r="BI26" s="986">
        <v>15900</v>
      </c>
      <c r="BJ26" s="986">
        <v>11400</v>
      </c>
    </row>
    <row r="27" spans="1:62" s="986" customFormat="1" ht="15">
      <c r="A27" s="984">
        <v>2003</v>
      </c>
      <c r="B27" s="985">
        <f t="shared" si="0"/>
        <v>4.9787234042553195</v>
      </c>
      <c r="C27" s="985">
        <f t="shared" si="0"/>
        <v>4.4545454545454541</v>
      </c>
      <c r="D27" s="985">
        <f t="shared" si="0"/>
        <v>3.5933333333333333</v>
      </c>
      <c r="E27" s="985">
        <f t="shared" si="0"/>
        <v>4.5158730158730158</v>
      </c>
      <c r="F27" s="985">
        <f t="shared" si="0"/>
        <v>4.546875</v>
      </c>
      <c r="G27" s="985">
        <f t="shared" si="0"/>
        <v>4.2727272727272725</v>
      </c>
      <c r="H27" s="985">
        <f t="shared" si="0"/>
        <v>5.1059602649006619</v>
      </c>
      <c r="I27" s="985">
        <f t="shared" si="0"/>
        <v>4.6538461538461542</v>
      </c>
      <c r="J27" s="985">
        <f t="shared" si="0"/>
        <v>4.6717557251908399</v>
      </c>
      <c r="K27" s="985">
        <f t="shared" si="0"/>
        <v>4.9225806451612906</v>
      </c>
      <c r="L27" s="985">
        <f t="shared" si="0"/>
        <v>5.6859504132231402</v>
      </c>
      <c r="N27" s="1002">
        <v>70500</v>
      </c>
      <c r="O27" s="1002">
        <v>53400</v>
      </c>
      <c r="P27" s="1002">
        <v>55700</v>
      </c>
      <c r="Q27" s="1002">
        <v>57100</v>
      </c>
      <c r="R27" s="1002">
        <v>58600</v>
      </c>
      <c r="S27" s="1002">
        <v>61100</v>
      </c>
      <c r="T27" s="1002">
        <v>77200</v>
      </c>
      <c r="U27" s="1002">
        <v>60900</v>
      </c>
      <c r="V27" s="1002">
        <v>61000</v>
      </c>
      <c r="W27" s="1002">
        <v>79000</v>
      </c>
      <c r="X27" s="1002">
        <v>69600</v>
      </c>
      <c r="Z27" s="1003">
        <v>13800</v>
      </c>
      <c r="AA27" s="1003">
        <v>11800</v>
      </c>
      <c r="AB27" s="1003">
        <v>14800</v>
      </c>
      <c r="AC27" s="1003">
        <v>12300</v>
      </c>
      <c r="AD27" s="1003">
        <v>12300</v>
      </c>
      <c r="AE27" s="1003">
        <v>13900</v>
      </c>
      <c r="AF27" s="1003">
        <v>14800</v>
      </c>
      <c r="AG27" s="1003">
        <v>13400</v>
      </c>
      <c r="AH27" s="1003">
        <v>13000</v>
      </c>
      <c r="AI27" s="1003">
        <v>15500</v>
      </c>
      <c r="AJ27" s="1003">
        <v>11900</v>
      </c>
      <c r="AK27" s="1003"/>
      <c r="AM27" s="986">
        <v>2003</v>
      </c>
      <c r="AN27" s="986">
        <v>70200</v>
      </c>
      <c r="AO27" s="986">
        <v>53900</v>
      </c>
      <c r="AP27" s="986">
        <v>53900</v>
      </c>
      <c r="AQ27" s="986">
        <v>56900</v>
      </c>
      <c r="AR27" s="986">
        <v>58200</v>
      </c>
      <c r="AS27" s="986">
        <v>61100</v>
      </c>
      <c r="AT27" s="986">
        <v>77100</v>
      </c>
      <c r="AU27" s="986">
        <v>60500</v>
      </c>
      <c r="AV27" s="986">
        <v>61200</v>
      </c>
      <c r="AW27" s="986">
        <v>76300</v>
      </c>
      <c r="AX27" s="986">
        <v>68800</v>
      </c>
      <c r="AY27" s="986">
        <v>2003</v>
      </c>
      <c r="AZ27" s="986">
        <v>14100</v>
      </c>
      <c r="BA27" s="986">
        <v>12100</v>
      </c>
      <c r="BB27" s="986">
        <v>15000</v>
      </c>
      <c r="BC27" s="986">
        <v>12600</v>
      </c>
      <c r="BD27" s="986">
        <v>12800</v>
      </c>
      <c r="BE27" s="986">
        <v>14300</v>
      </c>
      <c r="BF27" s="986">
        <v>15100</v>
      </c>
      <c r="BG27" s="986">
        <v>13000</v>
      </c>
      <c r="BH27" s="986">
        <v>13100</v>
      </c>
      <c r="BI27" s="986">
        <v>15500</v>
      </c>
      <c r="BJ27" s="986">
        <v>12100</v>
      </c>
    </row>
    <row r="28" spans="1:62" s="986" customFormat="1" ht="15">
      <c r="A28" s="984">
        <v>2004</v>
      </c>
      <c r="B28" s="985">
        <f t="shared" si="0"/>
        <v>5.147887323943662</v>
      </c>
      <c r="C28" s="985">
        <f t="shared" si="0"/>
        <v>4.5250000000000004</v>
      </c>
      <c r="D28" s="985">
        <f t="shared" si="0"/>
        <v>3.7687074829931975</v>
      </c>
      <c r="E28" s="985">
        <f t="shared" ref="E28:L31" si="1">AQ28/BC28</f>
        <v>4.2481751824817522</v>
      </c>
      <c r="F28" s="985">
        <f t="shared" si="1"/>
        <v>4.5151515151515156</v>
      </c>
      <c r="G28" s="985">
        <f t="shared" si="1"/>
        <v>4.2733333333333334</v>
      </c>
      <c r="H28" s="985">
        <f t="shared" si="1"/>
        <v>5.4324324324324325</v>
      </c>
      <c r="I28" s="985">
        <f t="shared" si="1"/>
        <v>4.5142857142857142</v>
      </c>
      <c r="J28" s="985">
        <f t="shared" si="1"/>
        <v>4.8515625</v>
      </c>
      <c r="K28" s="985">
        <f t="shared" si="1"/>
        <v>5.0580645161290319</v>
      </c>
      <c r="L28" s="985">
        <f t="shared" si="1"/>
        <v>6.0336134453781511</v>
      </c>
      <c r="N28" s="1002">
        <v>72600</v>
      </c>
      <c r="O28" s="1002">
        <v>53700</v>
      </c>
      <c r="P28" s="1002">
        <v>56700</v>
      </c>
      <c r="Q28" s="1002">
        <v>58400</v>
      </c>
      <c r="R28" s="1002">
        <v>59500</v>
      </c>
      <c r="S28" s="1002">
        <v>63800</v>
      </c>
      <c r="T28" s="1002">
        <v>78900</v>
      </c>
      <c r="U28" s="1002">
        <v>63500</v>
      </c>
      <c r="V28" s="1002">
        <v>61800</v>
      </c>
      <c r="W28" s="1002">
        <v>81100</v>
      </c>
      <c r="X28" s="1002">
        <v>72700</v>
      </c>
      <c r="Z28" s="1003">
        <v>14000</v>
      </c>
      <c r="AA28" s="1003">
        <v>11900</v>
      </c>
      <c r="AB28" s="1003">
        <v>14700</v>
      </c>
      <c r="AC28" s="1003">
        <v>13500</v>
      </c>
      <c r="AD28" s="1003">
        <v>12700</v>
      </c>
      <c r="AE28" s="1003">
        <v>14700</v>
      </c>
      <c r="AF28" s="1003">
        <v>14500</v>
      </c>
      <c r="AG28" s="1003">
        <v>14100</v>
      </c>
      <c r="AH28" s="1003">
        <v>12900</v>
      </c>
      <c r="AI28" s="1003">
        <v>15500</v>
      </c>
      <c r="AJ28" s="1003">
        <v>11900</v>
      </c>
      <c r="AK28" s="1003"/>
      <c r="AM28" s="986">
        <v>2004</v>
      </c>
      <c r="AN28" s="986">
        <v>73100</v>
      </c>
      <c r="AO28" s="986">
        <v>54300</v>
      </c>
      <c r="AP28" s="986">
        <v>55400</v>
      </c>
      <c r="AQ28" s="986">
        <v>58200</v>
      </c>
      <c r="AR28" s="986">
        <v>59600</v>
      </c>
      <c r="AS28" s="986">
        <v>64100</v>
      </c>
      <c r="AT28" s="986">
        <v>80400</v>
      </c>
      <c r="AU28" s="986">
        <v>63200</v>
      </c>
      <c r="AV28" s="986">
        <v>62100</v>
      </c>
      <c r="AW28" s="986">
        <v>78400</v>
      </c>
      <c r="AX28" s="986">
        <v>71800</v>
      </c>
      <c r="AY28" s="986">
        <v>2004</v>
      </c>
      <c r="AZ28" s="986">
        <v>14200</v>
      </c>
      <c r="BA28" s="986">
        <v>12000</v>
      </c>
      <c r="BB28" s="986">
        <v>14700</v>
      </c>
      <c r="BC28" s="986">
        <v>13700</v>
      </c>
      <c r="BD28" s="986">
        <v>13200</v>
      </c>
      <c r="BE28" s="986">
        <v>15000</v>
      </c>
      <c r="BF28" s="986">
        <v>14800</v>
      </c>
      <c r="BG28" s="986">
        <v>14000</v>
      </c>
      <c r="BH28" s="986">
        <v>12800</v>
      </c>
      <c r="BI28" s="986">
        <v>15500</v>
      </c>
      <c r="BJ28" s="986">
        <v>11900</v>
      </c>
    </row>
    <row r="29" spans="1:62" s="986" customFormat="1" ht="15">
      <c r="A29" s="984">
        <v>2005</v>
      </c>
      <c r="B29" s="985">
        <f t="shared" ref="B29:D31" si="2">AN29/AZ29</f>
        <v>4.9727891156462585</v>
      </c>
      <c r="C29" s="985">
        <f t="shared" si="2"/>
        <v>4.4609375</v>
      </c>
      <c r="D29" s="985">
        <f t="shared" si="2"/>
        <v>3.4720496894409938</v>
      </c>
      <c r="E29" s="985">
        <f t="shared" si="1"/>
        <v>4.174496644295302</v>
      </c>
      <c r="F29" s="985">
        <f t="shared" si="1"/>
        <v>4.2647058823529411</v>
      </c>
      <c r="G29" s="985">
        <f t="shared" si="1"/>
        <v>4.275167785234899</v>
      </c>
      <c r="H29" s="985">
        <f t="shared" si="1"/>
        <v>5.2333333333333334</v>
      </c>
      <c r="I29" s="985">
        <f t="shared" si="1"/>
        <v>4.5899280575539567</v>
      </c>
      <c r="J29" s="985">
        <f t="shared" si="1"/>
        <v>5.5327868852459012</v>
      </c>
      <c r="K29" s="985">
        <f t="shared" si="1"/>
        <v>4.7692307692307692</v>
      </c>
      <c r="L29" s="985">
        <f t="shared" si="1"/>
        <v>5.4705882352941178</v>
      </c>
      <c r="N29" s="1002">
        <v>73300</v>
      </c>
      <c r="O29" s="1002">
        <v>57000</v>
      </c>
      <c r="P29" s="1002">
        <v>56000</v>
      </c>
      <c r="Q29" s="1002">
        <v>62000</v>
      </c>
      <c r="R29" s="1002">
        <v>57400</v>
      </c>
      <c r="S29" s="1002">
        <v>63400</v>
      </c>
      <c r="T29" s="1002">
        <v>78300</v>
      </c>
      <c r="U29" s="1002">
        <v>63700</v>
      </c>
      <c r="V29" s="1002">
        <v>68100</v>
      </c>
      <c r="W29" s="1002">
        <v>82900</v>
      </c>
      <c r="X29" s="1002">
        <v>76300</v>
      </c>
      <c r="Z29" s="1003">
        <v>14300</v>
      </c>
      <c r="AA29" s="1003">
        <v>12500</v>
      </c>
      <c r="AB29" s="1003">
        <v>15800</v>
      </c>
      <c r="AC29" s="1003">
        <v>14900</v>
      </c>
      <c r="AD29" s="1003">
        <v>13000</v>
      </c>
      <c r="AE29" s="1003">
        <v>14300</v>
      </c>
      <c r="AF29" s="1003">
        <v>14500</v>
      </c>
      <c r="AG29" s="1003">
        <v>14000</v>
      </c>
      <c r="AH29" s="1003">
        <v>12300</v>
      </c>
      <c r="AI29" s="1003">
        <v>16700</v>
      </c>
      <c r="AJ29" s="1003">
        <v>13700</v>
      </c>
      <c r="AK29" s="1003"/>
      <c r="AM29" s="986">
        <v>2005</v>
      </c>
      <c r="AN29" s="986">
        <v>73100</v>
      </c>
      <c r="AO29" s="986">
        <v>57100</v>
      </c>
      <c r="AP29" s="986">
        <v>55900</v>
      </c>
      <c r="AQ29" s="986">
        <v>62200</v>
      </c>
      <c r="AR29" s="986">
        <v>58000</v>
      </c>
      <c r="AS29" s="986">
        <v>63700</v>
      </c>
      <c r="AT29" s="986">
        <v>78500</v>
      </c>
      <c r="AU29" s="986">
        <v>63800</v>
      </c>
      <c r="AV29" s="986">
        <v>67500</v>
      </c>
      <c r="AW29" s="986">
        <v>80600</v>
      </c>
      <c r="AX29" s="986">
        <v>74400</v>
      </c>
      <c r="AY29" s="986">
        <v>2005</v>
      </c>
      <c r="AZ29" s="986">
        <v>14700</v>
      </c>
      <c r="BA29" s="986">
        <v>12800</v>
      </c>
      <c r="BB29" s="986">
        <v>16100</v>
      </c>
      <c r="BC29" s="986">
        <v>14900</v>
      </c>
      <c r="BD29" s="986">
        <v>13600</v>
      </c>
      <c r="BE29" s="986">
        <v>14900</v>
      </c>
      <c r="BF29" s="986">
        <v>15000</v>
      </c>
      <c r="BG29" s="986">
        <v>13900</v>
      </c>
      <c r="BH29" s="986">
        <v>12200</v>
      </c>
      <c r="BI29" s="986">
        <v>16900</v>
      </c>
      <c r="BJ29" s="986">
        <v>13600</v>
      </c>
    </row>
    <row r="30" spans="1:62" s="986" customFormat="1" ht="15">
      <c r="A30" s="984">
        <v>2006</v>
      </c>
      <c r="B30" s="985">
        <f t="shared" si="2"/>
        <v>4.883116883116883</v>
      </c>
      <c r="C30" s="985">
        <f t="shared" si="2"/>
        <v>4.3093525179856114</v>
      </c>
      <c r="D30" s="985">
        <f t="shared" si="2"/>
        <v>3.617283950617284</v>
      </c>
      <c r="E30" s="985">
        <f t="shared" si="1"/>
        <v>4.1483870967741936</v>
      </c>
      <c r="F30" s="985">
        <f t="shared" si="1"/>
        <v>4.3941605839416056</v>
      </c>
      <c r="G30" s="985">
        <f t="shared" si="1"/>
        <v>4.1337579617834397</v>
      </c>
      <c r="H30" s="985">
        <f t="shared" si="1"/>
        <v>5.1025641025641022</v>
      </c>
      <c r="I30" s="985">
        <f t="shared" si="1"/>
        <v>4.711267605633803</v>
      </c>
      <c r="J30" s="985">
        <f t="shared" si="1"/>
        <v>5.4375</v>
      </c>
      <c r="K30" s="985">
        <f t="shared" si="1"/>
        <v>4.78494623655914</v>
      </c>
      <c r="L30" s="985">
        <f t="shared" si="1"/>
        <v>5.3669064748201443</v>
      </c>
      <c r="N30" s="1002">
        <v>75400</v>
      </c>
      <c r="O30" s="1002">
        <v>58900</v>
      </c>
      <c r="P30" s="1002">
        <v>57800</v>
      </c>
      <c r="Q30" s="1002">
        <v>62900</v>
      </c>
      <c r="R30" s="1002">
        <v>59900</v>
      </c>
      <c r="S30" s="1002">
        <v>64900</v>
      </c>
      <c r="T30" s="1002">
        <v>79500</v>
      </c>
      <c r="U30" s="1002">
        <v>68300</v>
      </c>
      <c r="V30" s="1002">
        <v>70200</v>
      </c>
      <c r="W30" s="1002">
        <v>89900</v>
      </c>
      <c r="X30" s="1002">
        <v>76900</v>
      </c>
      <c r="Z30" s="1003">
        <v>15100</v>
      </c>
      <c r="AA30" s="1003">
        <v>13300</v>
      </c>
      <c r="AB30" s="1003">
        <v>15800</v>
      </c>
      <c r="AC30" s="1003">
        <v>15200</v>
      </c>
      <c r="AD30" s="1003">
        <v>13400</v>
      </c>
      <c r="AE30" s="1003">
        <v>15300</v>
      </c>
      <c r="AF30" s="1003">
        <v>15200</v>
      </c>
      <c r="AG30" s="1003">
        <v>14300</v>
      </c>
      <c r="AH30" s="1003">
        <v>13300</v>
      </c>
      <c r="AI30" s="1003">
        <v>18400</v>
      </c>
      <c r="AJ30" s="1003">
        <v>14100</v>
      </c>
      <c r="AK30" s="1003"/>
      <c r="AM30" s="986">
        <v>2006</v>
      </c>
      <c r="AN30" s="986">
        <v>75200</v>
      </c>
      <c r="AO30" s="986">
        <v>59900</v>
      </c>
      <c r="AP30" s="986">
        <v>58600</v>
      </c>
      <c r="AQ30" s="986">
        <v>64300</v>
      </c>
      <c r="AR30" s="986">
        <v>60200</v>
      </c>
      <c r="AS30" s="986">
        <v>64900</v>
      </c>
      <c r="AT30" s="986">
        <v>79600</v>
      </c>
      <c r="AU30" s="986">
        <v>66900</v>
      </c>
      <c r="AV30" s="986">
        <v>69600</v>
      </c>
      <c r="AW30" s="986">
        <v>89000</v>
      </c>
      <c r="AX30" s="986">
        <v>74600</v>
      </c>
      <c r="AY30" s="986">
        <v>2006</v>
      </c>
      <c r="AZ30" s="986">
        <v>15400</v>
      </c>
      <c r="BA30" s="986">
        <v>13900</v>
      </c>
      <c r="BB30" s="986">
        <v>16200</v>
      </c>
      <c r="BC30" s="986">
        <v>15500</v>
      </c>
      <c r="BD30" s="986">
        <v>13700</v>
      </c>
      <c r="BE30" s="986">
        <v>15700</v>
      </c>
      <c r="BF30" s="986">
        <v>15600</v>
      </c>
      <c r="BG30" s="986">
        <v>14200</v>
      </c>
      <c r="BH30" s="986">
        <v>12800</v>
      </c>
      <c r="BI30" s="986">
        <v>18600</v>
      </c>
      <c r="BJ30" s="986">
        <v>13900</v>
      </c>
    </row>
    <row r="31" spans="1:62" s="986" customFormat="1" ht="15">
      <c r="A31" s="984">
        <v>2007</v>
      </c>
      <c r="B31" s="985">
        <f t="shared" si="2"/>
        <v>4.8571428571428568</v>
      </c>
      <c r="C31" s="985">
        <f t="shared" si="2"/>
        <v>4.2012987012987013</v>
      </c>
      <c r="D31" s="985">
        <f t="shared" si="2"/>
        <v>3.4152046783625729</v>
      </c>
      <c r="E31" s="985">
        <f t="shared" si="1"/>
        <v>4.3600000000000003</v>
      </c>
      <c r="F31" s="985">
        <f t="shared" si="1"/>
        <v>4.4285714285714288</v>
      </c>
      <c r="G31" s="985">
        <f t="shared" si="1"/>
        <v>4.1886792452830193</v>
      </c>
      <c r="H31" s="985">
        <f t="shared" si="1"/>
        <v>4.9636363636363638</v>
      </c>
      <c r="I31" s="985">
        <f t="shared" si="1"/>
        <v>4.793333333333333</v>
      </c>
      <c r="J31" s="985">
        <f t="shared" si="1"/>
        <v>5.2714285714285714</v>
      </c>
      <c r="K31" s="985">
        <f t="shared" si="1"/>
        <v>4.9842105263157892</v>
      </c>
      <c r="L31" s="985">
        <f t="shared" si="1"/>
        <v>5.0382165605095546</v>
      </c>
      <c r="N31" s="1002"/>
      <c r="O31" s="1002"/>
      <c r="P31" s="1002"/>
      <c r="Q31" s="1002"/>
      <c r="R31" s="1002"/>
      <c r="S31" s="1002"/>
      <c r="T31" s="1002"/>
      <c r="U31" s="1002"/>
      <c r="V31" s="1002"/>
      <c r="W31" s="1002"/>
      <c r="X31" s="1002"/>
      <c r="Z31" s="1003"/>
      <c r="AA31" s="1003"/>
      <c r="AB31" s="1003"/>
      <c r="AC31" s="1003"/>
      <c r="AD31" s="1003"/>
      <c r="AE31" s="1003"/>
      <c r="AF31" s="1003"/>
      <c r="AG31" s="1003"/>
      <c r="AH31" s="1003"/>
      <c r="AI31" s="1003"/>
      <c r="AJ31" s="1003"/>
      <c r="AK31" s="1003"/>
      <c r="AM31" s="986">
        <v>2007</v>
      </c>
      <c r="AN31" s="986">
        <v>78200</v>
      </c>
      <c r="AO31" s="986">
        <v>64700</v>
      </c>
      <c r="AP31" s="986">
        <v>58400</v>
      </c>
      <c r="AQ31" s="986">
        <v>65400</v>
      </c>
      <c r="AR31" s="986">
        <v>62000</v>
      </c>
      <c r="AS31" s="986">
        <v>66600</v>
      </c>
      <c r="AT31" s="986">
        <v>81900</v>
      </c>
      <c r="AU31" s="986">
        <v>71900</v>
      </c>
      <c r="AV31" s="986">
        <v>73800</v>
      </c>
      <c r="AW31" s="986">
        <v>94700</v>
      </c>
      <c r="AX31" s="986">
        <v>79100</v>
      </c>
      <c r="AY31" s="986">
        <v>2007</v>
      </c>
      <c r="AZ31" s="986">
        <v>16100</v>
      </c>
      <c r="BA31" s="986">
        <v>15400</v>
      </c>
      <c r="BB31" s="986">
        <v>17100</v>
      </c>
      <c r="BC31" s="986">
        <v>15000</v>
      </c>
      <c r="BD31" s="986">
        <v>14000</v>
      </c>
      <c r="BE31" s="986">
        <v>15900</v>
      </c>
      <c r="BF31" s="986">
        <v>16500</v>
      </c>
      <c r="BG31" s="986">
        <v>15000</v>
      </c>
      <c r="BH31" s="986">
        <v>14000</v>
      </c>
      <c r="BI31" s="986">
        <v>19000</v>
      </c>
      <c r="BJ31" s="986">
        <v>15700</v>
      </c>
    </row>
    <row r="32" spans="1:62" s="991" customFormat="1">
      <c r="A32" s="1009"/>
      <c r="D32" s="985" t="s">
        <v>655</v>
      </c>
    </row>
    <row r="33" spans="1:37" s="991" customFormat="1">
      <c r="A33" s="1009" t="s">
        <v>603</v>
      </c>
      <c r="B33" s="992">
        <f>B13-B5</f>
        <v>-0.17220744680851041</v>
      </c>
      <c r="C33" s="992">
        <f t="shared" ref="C33:L33" si="3">C13-C5</f>
        <v>-0.603183215771387</v>
      </c>
      <c r="D33" s="992">
        <f t="shared" si="3"/>
        <v>-0.61553141514973619</v>
      </c>
      <c r="E33" s="992">
        <f t="shared" si="3"/>
        <v>-4.8706866982231922E-2</v>
      </c>
      <c r="F33" s="992">
        <f t="shared" si="3"/>
        <v>-0.80250164581961769</v>
      </c>
      <c r="G33" s="992">
        <f t="shared" si="3"/>
        <v>-0.4610979929161747</v>
      </c>
      <c r="H33" s="992">
        <f t="shared" si="3"/>
        <v>6.8693501620330721E-2</v>
      </c>
      <c r="I33" s="992">
        <f t="shared" si="3"/>
        <v>-0.63949887387387427</v>
      </c>
      <c r="J33" s="992">
        <f t="shared" si="3"/>
        <v>-0.68807339449541338</v>
      </c>
      <c r="K33" s="992">
        <f t="shared" si="3"/>
        <v>0.3153620572975413</v>
      </c>
      <c r="L33" s="992">
        <f t="shared" si="3"/>
        <v>-0.17387904066736226</v>
      </c>
    </row>
    <row r="34" spans="1:37" s="991" customFormat="1">
      <c r="A34" s="1009" t="s">
        <v>604</v>
      </c>
      <c r="B34" s="992">
        <f>B24-B13</f>
        <v>0.87873940169572862</v>
      </c>
      <c r="C34" s="992">
        <f t="shared" ref="C34:L34" si="4">C24-C13</f>
        <v>0.81499202551834138</v>
      </c>
      <c r="D34" s="992">
        <f t="shared" si="4"/>
        <v>0.64497853053435117</v>
      </c>
      <c r="E34" s="992">
        <f t="shared" si="4"/>
        <v>0.44186046511627897</v>
      </c>
      <c r="F34" s="992">
        <f t="shared" si="4"/>
        <v>0.39620783058359965</v>
      </c>
      <c r="G34" s="992">
        <f t="shared" si="4"/>
        <v>0.61240601503759429</v>
      </c>
      <c r="H34" s="992">
        <f t="shared" si="4"/>
        <v>1.0976837452938293</v>
      </c>
      <c r="I34" s="992">
        <f t="shared" si="4"/>
        <v>0.29021516393442592</v>
      </c>
      <c r="J34" s="992">
        <f t="shared" si="4"/>
        <v>-0.21466398150220023</v>
      </c>
      <c r="K34" s="992">
        <f t="shared" si="4"/>
        <v>0.23047830923248025</v>
      </c>
      <c r="L34" s="992">
        <f t="shared" si="4"/>
        <v>2.189185163116341</v>
      </c>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row>
    <row r="35" spans="1:37" s="991" customFormat="1">
      <c r="A35" s="1009" t="s">
        <v>447</v>
      </c>
      <c r="B35" s="993">
        <f>B31-B5</f>
        <v>0.45089285714285676</v>
      </c>
      <c r="C35" s="993">
        <f t="shared" ref="C35:L35" si="5">C31-C5</f>
        <v>-0.31416521622707183</v>
      </c>
      <c r="D35" s="993">
        <f t="shared" si="5"/>
        <v>-0.71941070625281212</v>
      </c>
      <c r="E35" s="993">
        <f t="shared" si="5"/>
        <v>0.34230088495575295</v>
      </c>
      <c r="F35" s="993">
        <f t="shared" si="5"/>
        <v>-0.24489795918367285</v>
      </c>
      <c r="G35" s="993">
        <f t="shared" si="5"/>
        <v>-5.0990176204583904E-2</v>
      </c>
      <c r="H35" s="993">
        <f t="shared" si="5"/>
        <v>0.92867132867132884</v>
      </c>
      <c r="I35" s="993">
        <f t="shared" si="5"/>
        <v>-8.0540540540541272E-2</v>
      </c>
      <c r="J35" s="993">
        <f t="shared" si="5"/>
        <v>-0.15976408912188766</v>
      </c>
      <c r="K35" s="993">
        <f t="shared" si="5"/>
        <v>0.55763709974236253</v>
      </c>
      <c r="L35" s="993">
        <f t="shared" si="5"/>
        <v>0.64535941765241134</v>
      </c>
    </row>
    <row r="36" spans="1:37" s="991" customFormat="1">
      <c r="A36" s="1009" t="s">
        <v>449</v>
      </c>
      <c r="B36" s="992">
        <f>B31-B24</f>
        <v>-0.25563909774436144</v>
      </c>
      <c r="C36" s="992">
        <f t="shared" ref="C36:L36" si="6">C31-C24</f>
        <v>-0.5259740259740262</v>
      </c>
      <c r="D36" s="992">
        <f t="shared" si="6"/>
        <v>-0.74885782163742709</v>
      </c>
      <c r="E36" s="992">
        <f t="shared" si="6"/>
        <v>-5.0852713178294096E-2</v>
      </c>
      <c r="F36" s="992">
        <f t="shared" si="6"/>
        <v>0.16139585605234519</v>
      </c>
      <c r="G36" s="992">
        <f t="shared" si="6"/>
        <v>-0.20229819832600349</v>
      </c>
      <c r="H36" s="992">
        <f t="shared" si="6"/>
        <v>-0.23770591824283116</v>
      </c>
      <c r="I36" s="992">
        <f t="shared" si="6"/>
        <v>0.26874316939890708</v>
      </c>
      <c r="J36" s="992">
        <f t="shared" si="6"/>
        <v>0.74297328687572595</v>
      </c>
      <c r="K36" s="992">
        <f t="shared" si="6"/>
        <v>1.1796733212340982E-2</v>
      </c>
      <c r="L36" s="992">
        <f t="shared" si="6"/>
        <v>-1.3699467047965674</v>
      </c>
    </row>
    <row r="37" spans="1:37" s="991" customFormat="1">
      <c r="A37" s="1009"/>
      <c r="D37" s="985" t="s">
        <v>276</v>
      </c>
    </row>
    <row r="38" spans="1:37" s="991" customFormat="1">
      <c r="A38" s="1009" t="s">
        <v>447</v>
      </c>
      <c r="B38" s="992">
        <f>(B31/B5-1)*100</f>
        <v>10.233029381965553</v>
      </c>
      <c r="C38" s="992">
        <f t="shared" ref="C38:L38" si="7">(C31/C5-1)*100</f>
        <v>-6.9575401767182576</v>
      </c>
      <c r="D38" s="992">
        <f t="shared" si="7"/>
        <v>-17.399700802393593</v>
      </c>
      <c r="E38" s="992">
        <f t="shared" si="7"/>
        <v>8.519823788546276</v>
      </c>
      <c r="F38" s="992">
        <f t="shared" si="7"/>
        <v>-5.240174672489073</v>
      </c>
      <c r="G38" s="992">
        <f t="shared" si="7"/>
        <v>-1.2026922652543237</v>
      </c>
      <c r="H38" s="992">
        <f t="shared" si="7"/>
        <v>23.015597920277298</v>
      </c>
      <c r="I38" s="992">
        <f t="shared" si="7"/>
        <v>-1.6524953789279206</v>
      </c>
      <c r="J38" s="992">
        <f t="shared" si="7"/>
        <v>-2.9416023166023209</v>
      </c>
      <c r="K38" s="992">
        <f t="shared" si="7"/>
        <v>12.597488983121297</v>
      </c>
      <c r="L38" s="992">
        <f t="shared" si="7"/>
        <v>14.691108694526434</v>
      </c>
    </row>
    <row r="39" spans="1:37" s="986" customFormat="1">
      <c r="A39" s="990"/>
      <c r="B39" s="994"/>
    </row>
    <row r="40" spans="1:37" s="986" customFormat="1" ht="40.5" customHeight="1">
      <c r="A40" s="1182" t="s">
        <v>616</v>
      </c>
      <c r="B40" s="1182"/>
      <c r="C40" s="1182"/>
      <c r="D40" s="1182"/>
      <c r="E40" s="1182"/>
      <c r="F40" s="1182"/>
      <c r="G40" s="1182"/>
      <c r="H40" s="1182"/>
      <c r="I40" s="1182"/>
      <c r="J40" s="1182"/>
      <c r="K40" s="1182"/>
      <c r="L40" s="1182"/>
    </row>
    <row r="41" spans="1:37" s="986" customFormat="1" ht="14.25" customHeight="1">
      <c r="A41" s="995" t="s">
        <v>1051</v>
      </c>
      <c r="B41" s="996"/>
      <c r="C41" s="996"/>
      <c r="D41" s="996"/>
      <c r="E41" s="996"/>
      <c r="F41" s="996"/>
      <c r="G41" s="996"/>
      <c r="H41" s="996"/>
      <c r="I41" s="996"/>
      <c r="J41" s="996"/>
      <c r="K41" s="996"/>
      <c r="L41" s="996"/>
    </row>
    <row r="42" spans="1:37" s="986" customFormat="1" ht="13.5" customHeight="1">
      <c r="A42" s="995" t="s">
        <v>1868</v>
      </c>
      <c r="B42" s="996"/>
      <c r="C42" s="996"/>
      <c r="D42" s="996"/>
      <c r="E42" s="996"/>
      <c r="F42" s="996"/>
      <c r="G42" s="996"/>
      <c r="H42" s="996"/>
      <c r="I42" s="996"/>
      <c r="J42" s="996"/>
      <c r="K42" s="996"/>
      <c r="L42" s="996"/>
    </row>
    <row r="43" spans="1:37" s="986" customFormat="1" ht="15.75" customHeight="1">
      <c r="A43" s="1183" t="s">
        <v>1161</v>
      </c>
      <c r="B43" s="1184"/>
      <c r="C43" s="1184"/>
      <c r="D43" s="1184"/>
      <c r="E43" s="1184"/>
      <c r="F43" s="1184"/>
      <c r="G43" s="1184"/>
      <c r="H43" s="1184"/>
      <c r="I43" s="1184"/>
      <c r="J43" s="1184"/>
      <c r="K43" s="1184"/>
      <c r="L43" s="1184"/>
    </row>
    <row r="44" spans="1:37" s="986" customFormat="1" ht="24.75" customHeight="1">
      <c r="A44" s="1183" t="s">
        <v>539</v>
      </c>
      <c r="B44" s="1184"/>
      <c r="C44" s="1184"/>
      <c r="D44" s="1184"/>
      <c r="E44" s="1184"/>
      <c r="F44" s="1184"/>
      <c r="G44" s="1184"/>
      <c r="H44" s="1184"/>
      <c r="I44" s="1184"/>
      <c r="J44" s="1184"/>
      <c r="K44" s="1184"/>
      <c r="L44" s="1184"/>
    </row>
    <row r="45" spans="1:37" s="986" customFormat="1" ht="41.25" customHeight="1">
      <c r="A45" s="1183" t="s">
        <v>1214</v>
      </c>
      <c r="B45" s="1184"/>
      <c r="C45" s="1184"/>
      <c r="D45" s="1184"/>
      <c r="E45" s="1184"/>
      <c r="F45" s="1184"/>
      <c r="G45" s="1184"/>
      <c r="H45" s="1184"/>
      <c r="I45" s="1184"/>
      <c r="J45" s="1184"/>
      <c r="K45" s="1184"/>
      <c r="L45" s="1184"/>
    </row>
    <row r="46" spans="1:37" s="986" customFormat="1">
      <c r="B46" s="990"/>
    </row>
    <row r="47" spans="1:37" s="986" customFormat="1">
      <c r="A47" s="990"/>
      <c r="B47" s="990"/>
      <c r="C47" s="990"/>
      <c r="D47" s="990"/>
      <c r="E47" s="990"/>
      <c r="F47" s="994">
        <f>((((B27/B5))^(1/22))-1)*100</f>
        <v>0.55676934982129556</v>
      </c>
      <c r="G47" s="990"/>
      <c r="H47" s="990"/>
      <c r="I47" s="990"/>
      <c r="J47" s="990"/>
      <c r="K47" s="990"/>
      <c r="L47" s="990"/>
      <c r="M47" s="990"/>
      <c r="N47" s="990"/>
    </row>
    <row r="48" spans="1:37" s="986" customFormat="1">
      <c r="A48" s="990"/>
      <c r="B48" s="990"/>
      <c r="C48" s="998">
        <f>B5</f>
        <v>4.40625</v>
      </c>
      <c r="D48" s="990"/>
      <c r="E48" s="990"/>
      <c r="F48" s="994">
        <f>((((B13/B5))^(1/8))-1)*100</f>
        <v>-0.49709493041382169</v>
      </c>
      <c r="G48" s="990"/>
      <c r="H48" s="990"/>
      <c r="I48" s="990"/>
      <c r="J48" s="990"/>
      <c r="K48" s="990"/>
      <c r="L48" s="990"/>
      <c r="M48" s="990"/>
      <c r="N48" s="990"/>
    </row>
    <row r="49" spans="1:14" s="986" customFormat="1" ht="15.75">
      <c r="A49" s="990"/>
      <c r="B49" s="28"/>
      <c r="C49" s="998">
        <f>B13</f>
        <v>4.2340425531914896</v>
      </c>
      <c r="D49" s="990"/>
      <c r="E49" s="990"/>
      <c r="F49" s="994">
        <f>((((B24/B13))^(1/11))-1)*100</f>
        <v>1.7292028093027989</v>
      </c>
      <c r="G49" s="990"/>
      <c r="H49" s="990"/>
      <c r="I49" s="990"/>
      <c r="J49" s="990"/>
      <c r="K49" s="990"/>
      <c r="L49" s="990"/>
      <c r="M49" s="990"/>
      <c r="N49" s="990"/>
    </row>
    <row r="50" spans="1:14" s="986" customFormat="1">
      <c r="A50" s="37"/>
      <c r="B50" s="990"/>
      <c r="C50" s="998">
        <f>B24</f>
        <v>5.1127819548872182</v>
      </c>
      <c r="D50" s="37"/>
      <c r="E50" s="37"/>
      <c r="F50" s="994">
        <f>((((B27/B24))^(1/3))-1)*100</f>
        <v>-0.88176135663388111</v>
      </c>
      <c r="G50" s="37"/>
      <c r="H50" s="37"/>
      <c r="I50" s="29"/>
      <c r="J50" s="37"/>
      <c r="K50" s="37"/>
      <c r="L50" s="37"/>
      <c r="M50" s="990"/>
      <c r="N50" s="990"/>
    </row>
    <row r="51" spans="1:14" s="986" customFormat="1">
      <c r="A51" s="30"/>
      <c r="B51" s="1001"/>
      <c r="C51" s="998">
        <f>B27</f>
        <v>4.9787234042553195</v>
      </c>
      <c r="D51" s="1001"/>
      <c r="E51" s="37"/>
      <c r="F51" s="27">
        <f>((((B27/B24))^(1/3))-1)*100</f>
        <v>-0.88176135663388111</v>
      </c>
      <c r="G51" s="37"/>
      <c r="H51" s="37"/>
      <c r="I51" s="29"/>
      <c r="J51" s="37"/>
      <c r="K51" s="37"/>
      <c r="L51" s="37"/>
      <c r="M51" s="990"/>
      <c r="N51" s="990"/>
    </row>
    <row r="52" spans="1:14">
      <c r="A52" s="30"/>
      <c r="B52" s="96"/>
      <c r="C52" s="229">
        <f>B27</f>
        <v>4.9787234042553195</v>
      </c>
      <c r="D52" s="96"/>
      <c r="E52" s="1164"/>
      <c r="F52" s="1164"/>
      <c r="G52" s="1164"/>
      <c r="H52" s="1164"/>
      <c r="I52" s="1164"/>
      <c r="J52" s="1164"/>
      <c r="K52" s="1164"/>
      <c r="L52" s="1164"/>
      <c r="M52" s="4"/>
      <c r="N52" s="4"/>
    </row>
    <row r="53" spans="1:14">
      <c r="A53" s="38"/>
      <c r="B53" s="96"/>
      <c r="C53" s="96"/>
      <c r="D53" s="96"/>
      <c r="E53" s="1164"/>
      <c r="F53" s="1164"/>
      <c r="G53" s="1164"/>
      <c r="H53" s="1164"/>
      <c r="I53" s="1164"/>
      <c r="J53" s="1164"/>
      <c r="K53" s="1164"/>
      <c r="L53" s="1164"/>
      <c r="M53" s="4"/>
      <c r="N53" s="4"/>
    </row>
    <row r="54" spans="1:14">
      <c r="A54" s="30"/>
      <c r="B54" s="31"/>
      <c r="C54" s="31"/>
      <c r="D54" s="31"/>
      <c r="E54" s="31"/>
      <c r="F54" s="31"/>
      <c r="G54" s="31"/>
      <c r="H54" s="31"/>
      <c r="I54" s="31"/>
      <c r="J54" s="31"/>
      <c r="K54" s="31"/>
      <c r="L54" s="31"/>
      <c r="M54" s="4"/>
      <c r="N54" s="4"/>
    </row>
    <row r="55" spans="1:14">
      <c r="A55" s="30"/>
      <c r="B55" s="31"/>
      <c r="C55" s="31"/>
      <c r="D55" s="31"/>
      <c r="E55" s="31"/>
      <c r="F55" s="31"/>
      <c r="G55" s="31"/>
      <c r="H55" s="31"/>
      <c r="I55" s="31"/>
      <c r="J55" s="31"/>
      <c r="K55" s="31"/>
      <c r="L55" s="31"/>
      <c r="M55" s="4"/>
      <c r="N55" s="4"/>
    </row>
    <row r="56" spans="1:14">
      <c r="A56" s="30"/>
      <c r="B56" s="31"/>
      <c r="C56" s="31"/>
      <c r="D56" s="31"/>
      <c r="E56" s="31"/>
      <c r="F56" s="31"/>
      <c r="G56" s="31"/>
      <c r="H56" s="31"/>
      <c r="I56" s="31"/>
      <c r="J56" s="31"/>
      <c r="K56" s="31"/>
      <c r="L56" s="31"/>
      <c r="M56" s="4"/>
      <c r="N56" s="4"/>
    </row>
    <row r="57" spans="1:14">
      <c r="A57" s="30"/>
      <c r="B57" s="31"/>
      <c r="C57" s="31"/>
      <c r="D57" s="31"/>
      <c r="E57" s="31"/>
      <c r="F57" s="31"/>
      <c r="G57" s="31"/>
      <c r="H57" s="31"/>
      <c r="I57" s="31"/>
      <c r="J57" s="31"/>
      <c r="K57" s="31"/>
      <c r="L57" s="31"/>
      <c r="M57" s="4"/>
      <c r="N57" s="4"/>
    </row>
    <row r="58" spans="1:14">
      <c r="A58" s="30"/>
      <c r="B58" s="31"/>
      <c r="C58" s="31"/>
      <c r="D58" s="31"/>
      <c r="E58" s="31"/>
      <c r="F58" s="31"/>
      <c r="G58" s="31"/>
      <c r="H58" s="31"/>
      <c r="I58" s="31"/>
      <c r="J58" s="31"/>
      <c r="K58" s="31"/>
      <c r="L58" s="31"/>
      <c r="M58" s="4"/>
      <c r="N58" s="4"/>
    </row>
    <row r="59" spans="1:14">
      <c r="A59" s="30"/>
      <c r="B59" s="31"/>
      <c r="C59" s="31"/>
      <c r="D59" s="31"/>
      <c r="E59" s="31"/>
      <c r="F59" s="31"/>
      <c r="G59" s="31"/>
      <c r="H59" s="31"/>
      <c r="I59" s="31"/>
      <c r="J59" s="31"/>
      <c r="K59" s="31"/>
      <c r="L59" s="31"/>
      <c r="M59" s="4"/>
      <c r="N59" s="4"/>
    </row>
    <row r="60" spans="1:14">
      <c r="A60" s="30"/>
      <c r="B60" s="31"/>
      <c r="C60" s="31"/>
      <c r="D60" s="31"/>
      <c r="E60" s="31"/>
      <c r="F60" s="31"/>
      <c r="G60" s="31"/>
      <c r="H60" s="31"/>
      <c r="I60" s="31"/>
      <c r="J60" s="31"/>
      <c r="K60" s="31"/>
      <c r="L60" s="31"/>
      <c r="M60" s="4"/>
      <c r="N60" s="4"/>
    </row>
    <row r="61" spans="1:14">
      <c r="A61" s="30"/>
      <c r="B61" s="31"/>
      <c r="C61" s="31"/>
      <c r="D61" s="31"/>
      <c r="E61" s="31"/>
      <c r="F61" s="31"/>
      <c r="G61" s="31"/>
      <c r="H61" s="31"/>
      <c r="I61" s="31"/>
      <c r="J61" s="31"/>
      <c r="K61" s="31"/>
      <c r="L61" s="31"/>
      <c r="M61" s="4"/>
      <c r="N61" s="4"/>
    </row>
    <row r="62" spans="1:14">
      <c r="A62" s="30"/>
      <c r="B62" s="31"/>
      <c r="C62" s="31"/>
      <c r="D62" s="31"/>
      <c r="E62" s="31"/>
      <c r="F62" s="31"/>
      <c r="G62" s="31"/>
      <c r="H62" s="31"/>
      <c r="I62" s="31"/>
      <c r="J62" s="31"/>
      <c r="K62" s="31"/>
      <c r="L62" s="31"/>
      <c r="M62" s="4"/>
      <c r="N62" s="4"/>
    </row>
    <row r="63" spans="1:14">
      <c r="A63" s="30"/>
      <c r="B63" s="31"/>
      <c r="C63" s="31"/>
      <c r="D63" s="31"/>
      <c r="E63" s="31"/>
      <c r="F63" s="31"/>
      <c r="G63" s="31"/>
      <c r="H63" s="31"/>
      <c r="I63" s="31"/>
      <c r="J63" s="31"/>
      <c r="K63" s="31"/>
      <c r="L63" s="31"/>
      <c r="M63" s="4"/>
      <c r="N63" s="4"/>
    </row>
    <row r="64" spans="1:14">
      <c r="A64" s="30"/>
      <c r="B64" s="31"/>
      <c r="C64" s="31"/>
      <c r="D64" s="31"/>
      <c r="E64" s="31"/>
      <c r="F64" s="31"/>
      <c r="G64" s="31"/>
      <c r="H64" s="31"/>
      <c r="I64" s="31"/>
      <c r="J64" s="31"/>
      <c r="K64" s="31"/>
      <c r="L64" s="31"/>
      <c r="M64" s="4"/>
      <c r="N64" s="4"/>
    </row>
    <row r="65" spans="1:14">
      <c r="A65" s="30"/>
      <c r="B65" s="31"/>
      <c r="C65" s="31"/>
      <c r="D65" s="31"/>
      <c r="E65" s="31"/>
      <c r="F65" s="31"/>
      <c r="G65" s="31"/>
      <c r="H65" s="31"/>
      <c r="I65" s="31"/>
      <c r="J65" s="31"/>
      <c r="K65" s="31"/>
      <c r="L65" s="31"/>
      <c r="M65" s="4"/>
      <c r="N65" s="4"/>
    </row>
    <row r="66" spans="1:14">
      <c r="A66" s="30"/>
      <c r="B66" s="31"/>
      <c r="C66" s="31"/>
      <c r="D66" s="31"/>
      <c r="E66" s="31"/>
      <c r="F66" s="31"/>
      <c r="G66" s="31"/>
      <c r="H66" s="31"/>
      <c r="I66" s="31"/>
      <c r="J66" s="31"/>
      <c r="K66" s="31"/>
      <c r="L66" s="31"/>
      <c r="M66" s="4"/>
      <c r="N66" s="4"/>
    </row>
    <row r="67" spans="1:14">
      <c r="A67" s="30"/>
      <c r="B67" s="31"/>
      <c r="C67" s="31"/>
      <c r="D67" s="31"/>
      <c r="E67" s="31"/>
      <c r="F67" s="31"/>
      <c r="G67" s="31"/>
      <c r="H67" s="31"/>
      <c r="I67" s="31"/>
      <c r="J67" s="31"/>
      <c r="K67" s="31"/>
      <c r="L67" s="31"/>
      <c r="M67" s="4"/>
      <c r="N67" s="4"/>
    </row>
    <row r="68" spans="1:14">
      <c r="A68" s="30"/>
      <c r="B68" s="31"/>
      <c r="C68" s="31"/>
      <c r="D68" s="31"/>
      <c r="E68" s="31"/>
      <c r="F68" s="31"/>
      <c r="G68" s="31"/>
      <c r="H68" s="31"/>
      <c r="I68" s="31"/>
      <c r="J68" s="31"/>
      <c r="K68" s="31"/>
      <c r="L68" s="31"/>
      <c r="M68" s="4"/>
      <c r="N68" s="4"/>
    </row>
    <row r="69" spans="1:14">
      <c r="A69" s="30"/>
      <c r="B69" s="31"/>
      <c r="C69" s="31"/>
      <c r="D69" s="31"/>
      <c r="E69" s="31"/>
      <c r="F69" s="31"/>
      <c r="G69" s="31"/>
      <c r="H69" s="31"/>
      <c r="I69" s="31"/>
      <c r="J69" s="31"/>
      <c r="K69" s="31"/>
      <c r="L69" s="31"/>
      <c r="M69" s="4"/>
      <c r="N69" s="4"/>
    </row>
    <row r="70" spans="1:14">
      <c r="A70" s="30"/>
      <c r="B70" s="31"/>
      <c r="C70" s="31"/>
      <c r="D70" s="31"/>
      <c r="E70" s="31"/>
      <c r="F70" s="31"/>
      <c r="G70" s="31"/>
      <c r="H70" s="31"/>
      <c r="I70" s="31"/>
      <c r="J70" s="31"/>
      <c r="K70" s="31"/>
      <c r="L70" s="31"/>
      <c r="M70" s="4"/>
      <c r="N70" s="4"/>
    </row>
    <row r="71" spans="1:14">
      <c r="A71" s="30"/>
      <c r="B71" s="31"/>
      <c r="C71" s="31"/>
      <c r="D71" s="31"/>
      <c r="E71" s="31"/>
      <c r="F71" s="31"/>
      <c r="G71" s="31"/>
      <c r="H71" s="31"/>
      <c r="I71" s="31"/>
      <c r="J71" s="31"/>
      <c r="K71" s="31"/>
      <c r="L71" s="31"/>
      <c r="M71" s="4"/>
      <c r="N71" s="4"/>
    </row>
    <row r="72" spans="1:14">
      <c r="A72" s="30"/>
      <c r="B72" s="31"/>
      <c r="C72" s="31"/>
      <c r="D72" s="31"/>
      <c r="E72" s="31"/>
      <c r="F72" s="31"/>
      <c r="G72" s="31"/>
      <c r="H72" s="31"/>
      <c r="I72" s="31"/>
      <c r="J72" s="31"/>
      <c r="K72" s="31"/>
      <c r="L72" s="31"/>
      <c r="M72" s="4"/>
      <c r="N72" s="4"/>
    </row>
    <row r="73" spans="1:14">
      <c r="A73" s="30"/>
      <c r="B73" s="31"/>
      <c r="C73" s="31"/>
      <c r="D73" s="31"/>
      <c r="E73" s="31"/>
      <c r="F73" s="31"/>
      <c r="G73" s="31"/>
      <c r="H73" s="31"/>
      <c r="I73" s="31"/>
      <c r="J73" s="31"/>
      <c r="K73" s="31"/>
      <c r="L73" s="31"/>
      <c r="M73" s="4"/>
      <c r="N73" s="4"/>
    </row>
    <row r="74" spans="1:14">
      <c r="A74" s="30"/>
      <c r="B74" s="31"/>
      <c r="C74" s="31"/>
      <c r="D74" s="31"/>
      <c r="E74" s="31"/>
      <c r="F74" s="31"/>
      <c r="G74" s="31"/>
      <c r="H74" s="31"/>
      <c r="I74" s="31"/>
      <c r="J74" s="31"/>
      <c r="K74" s="31"/>
      <c r="L74" s="31"/>
      <c r="M74" s="4"/>
      <c r="N74" s="4"/>
    </row>
    <row r="75" spans="1:14">
      <c r="A75" s="30"/>
      <c r="B75" s="31"/>
      <c r="C75" s="31"/>
      <c r="D75" s="31"/>
      <c r="E75" s="31"/>
      <c r="F75" s="31"/>
      <c r="G75" s="31"/>
      <c r="H75" s="31"/>
      <c r="I75" s="31"/>
      <c r="J75" s="31"/>
      <c r="K75" s="31"/>
      <c r="L75" s="31"/>
      <c r="M75" s="4"/>
      <c r="N75" s="4"/>
    </row>
    <row r="76" spans="1:14">
      <c r="A76" s="30"/>
      <c r="B76" s="32"/>
      <c r="C76" s="32"/>
      <c r="D76" s="32"/>
      <c r="E76" s="32"/>
      <c r="F76" s="32"/>
      <c r="G76" s="32"/>
      <c r="H76" s="32"/>
      <c r="I76" s="32"/>
      <c r="J76" s="32"/>
      <c r="K76" s="32"/>
      <c r="L76" s="32"/>
      <c r="M76" s="4"/>
      <c r="N76" s="4"/>
    </row>
    <row r="77" spans="1:14">
      <c r="A77" s="30"/>
      <c r="B77" s="31"/>
      <c r="C77" s="31"/>
      <c r="D77" s="31"/>
      <c r="E77" s="31"/>
      <c r="F77" s="31"/>
      <c r="G77" s="31"/>
      <c r="H77" s="31"/>
      <c r="I77" s="31"/>
      <c r="J77" s="31"/>
      <c r="K77" s="31"/>
      <c r="L77" s="31"/>
      <c r="M77" s="4"/>
      <c r="N77" s="4"/>
    </row>
    <row r="78" spans="1:14">
      <c r="A78" s="5"/>
      <c r="B78" s="33"/>
      <c r="C78" s="33"/>
      <c r="D78" s="33"/>
      <c r="E78" s="33"/>
      <c r="F78" s="33"/>
      <c r="G78" s="33"/>
      <c r="H78" s="33"/>
      <c r="I78" s="33"/>
      <c r="J78" s="33"/>
      <c r="K78" s="33"/>
      <c r="L78" s="33"/>
      <c r="M78" s="4"/>
      <c r="N78" s="4"/>
    </row>
    <row r="79" spans="1:14">
      <c r="A79" s="5"/>
      <c r="B79" s="33"/>
      <c r="C79" s="33"/>
      <c r="D79" s="33"/>
      <c r="E79" s="33"/>
      <c r="F79" s="33"/>
      <c r="G79" s="33"/>
      <c r="H79" s="33"/>
      <c r="I79" s="33"/>
      <c r="J79" s="33"/>
      <c r="K79" s="33"/>
      <c r="L79" s="33"/>
      <c r="M79" s="4"/>
      <c r="N79" s="4"/>
    </row>
    <row r="80" spans="1:14">
      <c r="A80" s="4"/>
      <c r="B80" s="4"/>
      <c r="C80" s="30"/>
      <c r="D80" s="30"/>
      <c r="E80" s="30"/>
      <c r="F80" s="30"/>
      <c r="G80" s="30"/>
      <c r="H80" s="30"/>
      <c r="I80" s="30"/>
      <c r="J80" s="30"/>
      <c r="K80" s="30"/>
      <c r="L80" s="30"/>
      <c r="M80" s="4"/>
      <c r="N80" s="4"/>
    </row>
    <row r="81" spans="1:14">
      <c r="A81" s="4"/>
      <c r="B81" s="4"/>
      <c r="C81" s="30"/>
      <c r="D81" s="30"/>
      <c r="E81" s="30"/>
      <c r="F81" s="30"/>
      <c r="G81" s="30"/>
      <c r="H81" s="30"/>
      <c r="I81" s="30"/>
      <c r="J81" s="30"/>
      <c r="K81" s="30"/>
      <c r="L81" s="30"/>
      <c r="M81" s="4"/>
      <c r="N81" s="4"/>
    </row>
    <row r="82" spans="1:14">
      <c r="A82" s="34"/>
      <c r="B82" s="4"/>
      <c r="C82" s="30"/>
      <c r="D82" s="30"/>
      <c r="E82" s="30"/>
      <c r="F82" s="30"/>
      <c r="G82" s="30"/>
      <c r="H82" s="30"/>
      <c r="I82" s="30"/>
      <c r="J82" s="30"/>
      <c r="K82" s="30"/>
      <c r="L82" s="30"/>
      <c r="M82" s="4"/>
      <c r="N82" s="4"/>
    </row>
    <row r="83" spans="1:14">
      <c r="A83" s="34"/>
      <c r="B83" s="4"/>
      <c r="C83" s="30"/>
      <c r="D83" s="30"/>
      <c r="E83" s="30"/>
      <c r="F83" s="30"/>
      <c r="G83" s="30"/>
      <c r="H83" s="30"/>
      <c r="I83" s="30"/>
      <c r="J83" s="30"/>
      <c r="K83" s="30"/>
      <c r="L83" s="30"/>
      <c r="M83" s="4"/>
      <c r="N83" s="4"/>
    </row>
    <row r="84" spans="1:14">
      <c r="A84" s="30"/>
      <c r="B84" s="4"/>
      <c r="C84" s="30"/>
      <c r="D84" s="30"/>
      <c r="E84" s="30"/>
      <c r="F84" s="30"/>
      <c r="G84" s="30"/>
      <c r="H84" s="30"/>
      <c r="I84" s="30"/>
      <c r="J84" s="30"/>
      <c r="K84" s="30"/>
      <c r="L84" s="30"/>
      <c r="M84" s="4"/>
      <c r="N84" s="4"/>
    </row>
    <row r="85" spans="1:14">
      <c r="A85" s="30"/>
      <c r="B85" s="4"/>
      <c r="C85" s="31"/>
      <c r="D85" s="30"/>
      <c r="E85" s="30"/>
      <c r="F85" s="30"/>
      <c r="G85" s="30"/>
      <c r="H85" s="30"/>
      <c r="I85" s="30"/>
      <c r="J85" s="30"/>
      <c r="K85" s="30"/>
      <c r="L85" s="30"/>
      <c r="M85" s="4"/>
      <c r="N85" s="4"/>
    </row>
    <row r="86" spans="1:14">
      <c r="A86" s="30"/>
      <c r="B86" s="4"/>
      <c r="C86" s="4"/>
      <c r="D86" s="4"/>
      <c r="E86" s="4"/>
      <c r="F86" s="4"/>
      <c r="G86" s="4"/>
      <c r="H86" s="4"/>
      <c r="I86" s="4"/>
      <c r="J86" s="4"/>
      <c r="K86" s="4"/>
      <c r="L86" s="4"/>
      <c r="M86" s="4"/>
      <c r="N86" s="4"/>
    </row>
    <row r="87" spans="1:14">
      <c r="A87" s="30"/>
      <c r="B87" s="4"/>
      <c r="C87" s="4"/>
      <c r="D87" s="4"/>
      <c r="E87" s="4"/>
      <c r="F87" s="4"/>
      <c r="G87" s="4"/>
      <c r="H87" s="4"/>
      <c r="I87" s="4"/>
      <c r="J87" s="4"/>
      <c r="K87" s="4"/>
      <c r="L87" s="4"/>
      <c r="M87" s="4"/>
      <c r="N87" s="4"/>
    </row>
    <row r="88" spans="1:14">
      <c r="A88" s="35"/>
      <c r="B88" s="4"/>
      <c r="C88" s="4"/>
      <c r="D88" s="4"/>
      <c r="E88" s="4"/>
      <c r="F88" s="4"/>
      <c r="G88" s="4"/>
      <c r="H88" s="4"/>
      <c r="I88" s="4"/>
      <c r="J88" s="4"/>
      <c r="K88" s="4"/>
      <c r="L88" s="4"/>
      <c r="M88" s="4"/>
      <c r="N88" s="4"/>
    </row>
    <row r="89" spans="1:14">
      <c r="A89" s="35"/>
      <c r="B89" s="4"/>
      <c r="C89" s="4"/>
      <c r="D89" s="4"/>
      <c r="E89" s="4"/>
      <c r="F89" s="4"/>
      <c r="G89" s="4"/>
      <c r="H89" s="4"/>
      <c r="I89" s="4"/>
      <c r="J89" s="4"/>
      <c r="K89" s="4"/>
      <c r="L89" s="4"/>
      <c r="M89" s="4"/>
      <c r="N89" s="4"/>
    </row>
    <row r="90" spans="1:14">
      <c r="A90" s="4"/>
      <c r="B90" s="4"/>
      <c r="C90" s="4"/>
      <c r="D90" s="4"/>
      <c r="E90" s="4"/>
      <c r="F90" s="4"/>
      <c r="G90" s="4"/>
      <c r="H90" s="4"/>
      <c r="I90" s="4"/>
      <c r="J90" s="4"/>
      <c r="K90" s="4"/>
      <c r="L90" s="4"/>
      <c r="M90" s="4"/>
      <c r="N90" s="4"/>
    </row>
    <row r="91" spans="1:14">
      <c r="A91" s="4"/>
      <c r="B91" s="4"/>
      <c r="C91" s="4"/>
      <c r="D91" s="4"/>
      <c r="E91" s="4"/>
      <c r="F91" s="4"/>
      <c r="G91" s="4"/>
      <c r="H91" s="4"/>
      <c r="I91" s="4"/>
      <c r="J91" s="4"/>
      <c r="K91" s="4"/>
      <c r="L91" s="4"/>
      <c r="M91" s="4"/>
      <c r="N91" s="4"/>
    </row>
    <row r="92" spans="1:14">
      <c r="A92" s="4"/>
      <c r="B92" s="4"/>
      <c r="C92" s="4"/>
      <c r="D92" s="4"/>
      <c r="E92" s="4"/>
      <c r="F92" s="4"/>
      <c r="G92" s="4"/>
      <c r="H92" s="4"/>
      <c r="I92" s="4"/>
      <c r="J92" s="4"/>
      <c r="K92" s="4"/>
      <c r="L92" s="4"/>
      <c r="M92" s="4"/>
      <c r="N92" s="4"/>
    </row>
    <row r="93" spans="1:14">
      <c r="A93" s="4"/>
      <c r="B93" s="4"/>
      <c r="C93" s="4"/>
      <c r="D93" s="4"/>
      <c r="E93" s="4"/>
      <c r="F93" s="4"/>
      <c r="G93" s="4"/>
      <c r="H93" s="4"/>
      <c r="I93" s="4"/>
      <c r="J93" s="4"/>
      <c r="K93" s="4"/>
      <c r="L93" s="4"/>
      <c r="M93" s="4"/>
      <c r="N93" s="4"/>
    </row>
    <row r="94" spans="1:14">
      <c r="A94" s="4"/>
      <c r="B94" s="4"/>
      <c r="C94" s="4"/>
      <c r="D94" s="4"/>
      <c r="E94" s="4"/>
      <c r="F94" s="4"/>
      <c r="G94" s="4"/>
      <c r="H94" s="4"/>
      <c r="I94" s="4"/>
      <c r="J94" s="4"/>
      <c r="K94" s="4"/>
      <c r="L94" s="4"/>
      <c r="M94" s="4"/>
      <c r="N94" s="4"/>
    </row>
    <row r="95" spans="1:14">
      <c r="A95" s="4"/>
      <c r="B95" s="4"/>
      <c r="C95" s="4"/>
      <c r="D95" s="4"/>
      <c r="E95" s="4"/>
      <c r="F95" s="4"/>
      <c r="G95" s="4"/>
      <c r="H95" s="4"/>
      <c r="I95" s="4"/>
      <c r="J95" s="4"/>
      <c r="K95" s="4"/>
      <c r="L95" s="4"/>
      <c r="M95" s="4"/>
      <c r="N95" s="4"/>
    </row>
    <row r="96" spans="1:14">
      <c r="A96" s="4"/>
      <c r="B96" s="4"/>
      <c r="C96" s="4"/>
      <c r="D96" s="4"/>
      <c r="E96" s="4"/>
      <c r="F96" s="4"/>
      <c r="G96" s="4"/>
      <c r="H96" s="4"/>
      <c r="I96" s="4"/>
      <c r="J96" s="4"/>
      <c r="K96" s="4"/>
      <c r="L96" s="4"/>
      <c r="M96" s="4"/>
      <c r="N96" s="4"/>
    </row>
    <row r="97" spans="1:14">
      <c r="A97" s="4"/>
      <c r="B97" s="4"/>
      <c r="C97" s="4"/>
      <c r="D97" s="4"/>
      <c r="E97" s="4"/>
      <c r="F97" s="4"/>
      <c r="G97" s="4"/>
      <c r="H97" s="4"/>
      <c r="I97" s="4"/>
      <c r="J97" s="4"/>
      <c r="K97" s="4"/>
      <c r="L97" s="4"/>
      <c r="M97" s="4"/>
      <c r="N97" s="4"/>
    </row>
    <row r="98" spans="1:14">
      <c r="A98" s="4"/>
      <c r="B98" s="4"/>
      <c r="C98" s="4"/>
      <c r="D98" s="4"/>
      <c r="E98" s="4"/>
      <c r="F98" s="4"/>
      <c r="G98" s="4"/>
      <c r="H98" s="4"/>
      <c r="I98" s="4"/>
      <c r="J98" s="4"/>
      <c r="K98" s="4"/>
      <c r="L98" s="4"/>
      <c r="M98" s="4"/>
      <c r="N98" s="4"/>
    </row>
    <row r="99" spans="1:14">
      <c r="A99" s="4"/>
      <c r="B99" s="4"/>
      <c r="C99" s="4"/>
      <c r="D99" s="4"/>
      <c r="E99" s="4"/>
      <c r="F99" s="4"/>
      <c r="G99" s="4"/>
      <c r="H99" s="4"/>
      <c r="I99" s="4"/>
      <c r="J99" s="4"/>
      <c r="K99" s="4"/>
      <c r="L99" s="4"/>
      <c r="M99" s="4"/>
      <c r="N99" s="4"/>
    </row>
    <row r="100" spans="1:14">
      <c r="A100" s="4"/>
      <c r="B100" s="4"/>
      <c r="C100" s="4"/>
      <c r="D100" s="4"/>
      <c r="E100" s="4"/>
      <c r="F100" s="4"/>
      <c r="G100" s="4"/>
      <c r="H100" s="4"/>
      <c r="I100" s="4"/>
      <c r="J100" s="4"/>
      <c r="K100" s="4"/>
      <c r="L100" s="4"/>
      <c r="M100" s="4"/>
      <c r="N100" s="4"/>
    </row>
    <row r="101" spans="1:14">
      <c r="A101" s="4"/>
      <c r="B101" s="4"/>
      <c r="C101" s="4"/>
      <c r="D101" s="4"/>
      <c r="E101" s="4"/>
      <c r="F101" s="4"/>
      <c r="G101" s="4"/>
      <c r="H101" s="4"/>
      <c r="I101" s="4"/>
      <c r="J101" s="4"/>
      <c r="K101" s="4"/>
      <c r="L101" s="4"/>
      <c r="M101" s="4"/>
      <c r="N101" s="4"/>
    </row>
  </sheetData>
  <mergeCells count="23">
    <mergeCell ref="K3:K4"/>
    <mergeCell ref="E52:E53"/>
    <mergeCell ref="F52:F53"/>
    <mergeCell ref="B3:B4"/>
    <mergeCell ref="C3:C4"/>
    <mergeCell ref="D3:D4"/>
    <mergeCell ref="E3:E4"/>
    <mergeCell ref="F3:F4"/>
    <mergeCell ref="H3:H4"/>
    <mergeCell ref="I3:I4"/>
    <mergeCell ref="I52:I53"/>
    <mergeCell ref="J3:J4"/>
    <mergeCell ref="G3:G4"/>
    <mergeCell ref="A45:L45"/>
    <mergeCell ref="L3:L4"/>
    <mergeCell ref="A40:L40"/>
    <mergeCell ref="A43:L43"/>
    <mergeCell ref="J52:J53"/>
    <mergeCell ref="K52:K53"/>
    <mergeCell ref="L52:L53"/>
    <mergeCell ref="A44:L44"/>
    <mergeCell ref="G52:G53"/>
    <mergeCell ref="H52:H53"/>
  </mergeCells>
  <phoneticPr fontId="35" type="noConversion"/>
  <pageMargins left="0.75" right="0.75" top="1" bottom="1" header="0.5" footer="0.5"/>
  <pageSetup scale="64"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sheetPr codeName="Sheet129">
    <pageSetUpPr fitToPage="1"/>
  </sheetPr>
  <dimension ref="A1:AL56"/>
  <sheetViews>
    <sheetView view="pageBreakPreview" topLeftCell="B1" zoomScale="70" zoomScaleSheetLayoutView="70" workbookViewId="0">
      <pane xSplit="7"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140625" style="1" customWidth="1"/>
    <col min="9" max="27" width="7.140625" style="1" customWidth="1"/>
    <col min="28" max="28" width="7.140625" style="961" customWidth="1"/>
    <col min="29" max="35" width="7.140625" style="1" customWidth="1"/>
    <col min="36" max="36" width="5.5703125" style="1" customWidth="1"/>
    <col min="37" max="16384" width="9.140625" style="1"/>
  </cols>
  <sheetData>
    <row r="1" spans="1:38" ht="15.75">
      <c r="A1" s="3" t="s">
        <v>2092</v>
      </c>
    </row>
    <row r="2" spans="1:38">
      <c r="A2" s="4"/>
      <c r="B2" s="4"/>
      <c r="I2" s="652"/>
      <c r="J2" s="652"/>
      <c r="K2" s="652"/>
      <c r="L2" s="652"/>
      <c r="M2" s="652"/>
      <c r="N2" s="652"/>
      <c r="O2" s="652"/>
      <c r="P2" s="652"/>
      <c r="Q2" s="652"/>
      <c r="R2" s="652"/>
      <c r="S2" s="652"/>
      <c r="T2" s="652"/>
      <c r="U2" s="652"/>
      <c r="V2" s="652"/>
      <c r="W2" s="652"/>
      <c r="X2" s="652"/>
      <c r="Y2" s="652"/>
      <c r="Z2" s="652"/>
    </row>
    <row r="3" spans="1:38">
      <c r="A3" s="9"/>
      <c r="B3" s="9"/>
      <c r="C3" s="9"/>
      <c r="D3" s="9"/>
      <c r="E3" s="9"/>
      <c r="F3" s="9"/>
      <c r="G3" s="9"/>
      <c r="H3" s="9"/>
      <c r="I3" s="665"/>
      <c r="J3" s="238"/>
      <c r="K3" s="666"/>
      <c r="L3" s="666"/>
      <c r="M3" s="666"/>
      <c r="N3" s="666"/>
      <c r="O3" s="666"/>
      <c r="P3" s="666"/>
      <c r="Q3" s="666"/>
      <c r="R3" s="666"/>
      <c r="S3" s="666"/>
      <c r="T3" s="666"/>
      <c r="U3" s="666"/>
      <c r="V3" s="666"/>
      <c r="W3" s="666"/>
      <c r="X3" s="666"/>
      <c r="Y3" s="666"/>
      <c r="Z3" s="666"/>
      <c r="AD3" s="1171" t="s">
        <v>802</v>
      </c>
      <c r="AE3" s="1171"/>
      <c r="AF3" s="1171"/>
      <c r="AG3" s="1171"/>
      <c r="AH3" s="9"/>
      <c r="AI3" s="644" t="s">
        <v>276</v>
      </c>
      <c r="AJ3" s="9"/>
    </row>
    <row r="4" spans="1:38" s="4" customFormat="1">
      <c r="A4" s="667"/>
      <c r="B4" s="667"/>
      <c r="C4" s="667"/>
      <c r="D4" s="667"/>
      <c r="E4" s="667"/>
      <c r="F4" s="667"/>
      <c r="G4" s="667"/>
      <c r="H4" s="667"/>
      <c r="I4" s="237">
        <v>1981</v>
      </c>
      <c r="J4" s="239">
        <v>1989</v>
      </c>
      <c r="K4" s="132">
        <v>1990</v>
      </c>
      <c r="L4" s="132">
        <v>1991</v>
      </c>
      <c r="M4" s="132">
        <v>1992</v>
      </c>
      <c r="N4" s="132">
        <v>1993</v>
      </c>
      <c r="O4" s="132">
        <v>1994</v>
      </c>
      <c r="P4" s="132">
        <v>1995</v>
      </c>
      <c r="Q4" s="132">
        <v>1996</v>
      </c>
      <c r="R4" s="132">
        <v>1997</v>
      </c>
      <c r="S4" s="132">
        <v>1998</v>
      </c>
      <c r="T4" s="132">
        <v>1999</v>
      </c>
      <c r="U4" s="132">
        <v>2000</v>
      </c>
      <c r="V4" s="132">
        <v>2001</v>
      </c>
      <c r="W4" s="132">
        <v>2002</v>
      </c>
      <c r="X4" s="132">
        <v>2003</v>
      </c>
      <c r="Y4" s="132">
        <v>2004</v>
      </c>
      <c r="Z4" s="132">
        <v>2005</v>
      </c>
      <c r="AA4" s="132">
        <v>2006</v>
      </c>
      <c r="AB4" s="132">
        <v>2007</v>
      </c>
      <c r="AC4" s="132"/>
      <c r="AD4" s="241" t="s">
        <v>603</v>
      </c>
      <c r="AE4" s="241" t="s">
        <v>604</v>
      </c>
      <c r="AF4" s="241" t="s">
        <v>447</v>
      </c>
      <c r="AG4" s="241" t="s">
        <v>449</v>
      </c>
      <c r="AH4" s="1007"/>
      <c r="AI4" s="241" t="s">
        <v>447</v>
      </c>
      <c r="AJ4" s="9"/>
    </row>
    <row r="5" spans="1:38">
      <c r="A5" s="128" t="s">
        <v>964</v>
      </c>
      <c r="I5" s="349">
        <v>24389</v>
      </c>
      <c r="J5" s="19">
        <v>26620</v>
      </c>
      <c r="K5" s="19">
        <v>27014</v>
      </c>
      <c r="L5" s="19">
        <v>27367</v>
      </c>
      <c r="M5" s="19">
        <v>27715</v>
      </c>
      <c r="N5" s="19">
        <v>28031</v>
      </c>
      <c r="O5" s="19">
        <v>28351</v>
      </c>
      <c r="P5" s="19">
        <v>28662</v>
      </c>
      <c r="Q5" s="19">
        <v>28967</v>
      </c>
      <c r="R5" s="19">
        <v>29227</v>
      </c>
      <c r="S5" s="19">
        <v>29443</v>
      </c>
      <c r="T5" s="19">
        <v>29694</v>
      </c>
      <c r="U5" s="19">
        <v>29988</v>
      </c>
      <c r="V5" s="19">
        <v>30321</v>
      </c>
      <c r="W5" s="19">
        <v>30611</v>
      </c>
      <c r="X5" s="19">
        <v>30893</v>
      </c>
      <c r="Y5" s="19">
        <v>31175</v>
      </c>
      <c r="Z5" s="19">
        <v>31516</v>
      </c>
      <c r="AA5" s="19">
        <v>31853</v>
      </c>
      <c r="AB5" s="19">
        <v>32194</v>
      </c>
      <c r="AC5" s="19"/>
      <c r="AD5" s="959">
        <f>((((J5/I5))^(1/8))-1)*100</f>
        <v>1.1001400448659826</v>
      </c>
      <c r="AE5" s="959">
        <f>((((U5/J5))^(1/11))-1)*100</f>
        <v>1.0889269235567323</v>
      </c>
      <c r="AF5" s="959">
        <f>((((AB5/I5))^(1/26))-1)*100</f>
        <v>1.0735986468223935</v>
      </c>
      <c r="AG5" s="959">
        <f>((((AB5/U5))^(1/7))-1)*100</f>
        <v>1.0191987815270309</v>
      </c>
      <c r="AH5" s="23"/>
      <c r="AI5" s="959">
        <f>((AB5/I5)-1)*100</f>
        <v>32.002132108737548</v>
      </c>
      <c r="AL5" s="114"/>
    </row>
    <row r="6" spans="1:38">
      <c r="I6" s="349"/>
      <c r="J6" s="19"/>
      <c r="K6" s="19"/>
      <c r="L6" s="19"/>
      <c r="M6" s="19"/>
      <c r="N6" s="19"/>
      <c r="O6" s="19"/>
      <c r="P6" s="19"/>
      <c r="Q6" s="19"/>
      <c r="R6" s="19"/>
      <c r="S6" s="19"/>
      <c r="T6" s="19"/>
      <c r="U6" s="19"/>
      <c r="V6" s="19"/>
      <c r="W6" s="19"/>
      <c r="X6" s="19"/>
      <c r="Y6" s="19"/>
      <c r="Z6" s="19"/>
      <c r="AA6" s="19"/>
      <c r="AB6" s="19"/>
      <c r="AC6" s="19"/>
      <c r="AD6" s="961"/>
      <c r="AE6" s="961"/>
      <c r="AF6" s="961"/>
      <c r="AG6" s="961"/>
      <c r="AH6" s="4"/>
      <c r="AI6" s="960"/>
    </row>
    <row r="7" spans="1:38">
      <c r="B7" s="128" t="s">
        <v>610</v>
      </c>
      <c r="I7" s="349">
        <v>21868</v>
      </c>
      <c r="J7" s="19">
        <v>23365</v>
      </c>
      <c r="K7" s="19">
        <v>23643</v>
      </c>
      <c r="L7" s="19">
        <v>23912</v>
      </c>
      <c r="M7" s="19">
        <v>24198</v>
      </c>
      <c r="N7" s="19">
        <v>24456</v>
      </c>
      <c r="O7" s="19">
        <v>24713</v>
      </c>
      <c r="P7" s="19">
        <v>24958</v>
      </c>
      <c r="Q7" s="19">
        <v>25188</v>
      </c>
      <c r="R7" s="19">
        <v>25371</v>
      </c>
      <c r="S7" s="19">
        <v>25516</v>
      </c>
      <c r="T7" s="19">
        <v>25689</v>
      </c>
      <c r="U7" s="19">
        <v>25896</v>
      </c>
      <c r="V7" s="19">
        <v>26136</v>
      </c>
      <c r="W7" s="19">
        <v>26336</v>
      </c>
      <c r="X7" s="19">
        <v>26528</v>
      </c>
      <c r="Y7" s="19">
        <v>26714</v>
      </c>
      <c r="Z7" s="19">
        <v>26948</v>
      </c>
      <c r="AA7" s="19">
        <v>27183</v>
      </c>
      <c r="AB7" s="19">
        <v>27425</v>
      </c>
      <c r="AC7" s="19"/>
      <c r="AD7" s="959">
        <f>((((J7/I7))^(1/8))-1)*100</f>
        <v>0.83111972063694139</v>
      </c>
      <c r="AE7" s="959">
        <f>((((U7/J7))^(1/11))-1)*100</f>
        <v>0.93937872820799573</v>
      </c>
      <c r="AF7" s="959">
        <f>((((AB7/I7))^(1/26))-1)*100</f>
        <v>0.87469027339432959</v>
      </c>
      <c r="AG7" s="959">
        <f>((((AB7/U7))^(1/7))-1)*100</f>
        <v>0.82288854694629876</v>
      </c>
      <c r="AH7" s="23"/>
      <c r="AI7" s="959">
        <f>((AB7/I7)-1)*100</f>
        <v>25.411560270715206</v>
      </c>
    </row>
    <row r="8" spans="1:38">
      <c r="B8" s="128"/>
      <c r="I8" s="349"/>
      <c r="J8" s="19"/>
      <c r="K8" s="19"/>
      <c r="L8" s="19"/>
      <c r="M8" s="19"/>
      <c r="N8" s="19"/>
      <c r="O8" s="19"/>
      <c r="P8" s="19"/>
      <c r="Q8" s="19"/>
      <c r="R8" s="19"/>
      <c r="S8" s="19"/>
      <c r="T8" s="19"/>
      <c r="U8" s="19"/>
      <c r="V8" s="19"/>
      <c r="W8" s="19"/>
      <c r="X8" s="19"/>
      <c r="Y8" s="19"/>
      <c r="Z8" s="19"/>
      <c r="AA8" s="19"/>
      <c r="AB8" s="19"/>
      <c r="AC8" s="19"/>
      <c r="AD8" s="961"/>
      <c r="AE8" s="961"/>
      <c r="AF8" s="961"/>
      <c r="AG8" s="961"/>
      <c r="AH8" s="4"/>
      <c r="AI8" s="960"/>
    </row>
    <row r="9" spans="1:38">
      <c r="C9" s="128" t="s">
        <v>921</v>
      </c>
      <c r="I9" s="349">
        <v>1897</v>
      </c>
      <c r="J9" s="19">
        <v>2402</v>
      </c>
      <c r="K9" s="19">
        <v>2420</v>
      </c>
      <c r="L9" s="19">
        <v>2484</v>
      </c>
      <c r="M9" s="19">
        <v>2638</v>
      </c>
      <c r="N9" s="19">
        <v>2640</v>
      </c>
      <c r="O9" s="19">
        <v>2655</v>
      </c>
      <c r="P9" s="19">
        <v>2750</v>
      </c>
      <c r="Q9" s="19">
        <v>2426</v>
      </c>
      <c r="R9" s="19">
        <v>2520</v>
      </c>
      <c r="S9" s="19">
        <v>2540</v>
      </c>
      <c r="T9" s="19">
        <v>2593</v>
      </c>
      <c r="U9" s="19">
        <v>2585</v>
      </c>
      <c r="V9" s="19">
        <v>2568</v>
      </c>
      <c r="W9" s="19">
        <v>2611</v>
      </c>
      <c r="X9" s="19">
        <v>2688</v>
      </c>
      <c r="Y9" s="19">
        <v>2809</v>
      </c>
      <c r="Z9" s="19">
        <v>2861</v>
      </c>
      <c r="AA9" s="19">
        <v>3002</v>
      </c>
      <c r="AB9" s="19">
        <v>2999</v>
      </c>
      <c r="AC9" s="19"/>
      <c r="AD9" s="959">
        <f>((((J9/I9))^(1/8))-1)*100</f>
        <v>2.9943044476749225</v>
      </c>
      <c r="AE9" s="959">
        <f>((((U9/J9))^(1/11))-1)*100</f>
        <v>0.66972162053460238</v>
      </c>
      <c r="AF9" s="959">
        <f>((((AB9/I9))^(1/26))-1)*100</f>
        <v>1.7771654442621854</v>
      </c>
      <c r="AG9" s="959">
        <f>((((AB9/U9))^(1/7))-1)*100</f>
        <v>2.1448699351449996</v>
      </c>
      <c r="AH9" s="23"/>
      <c r="AI9" s="959">
        <f>((AB9/I9)-1)*100</f>
        <v>58.091723774380611</v>
      </c>
    </row>
    <row r="10" spans="1:38">
      <c r="C10" s="1" t="s">
        <v>611</v>
      </c>
      <c r="I10" s="349">
        <v>1064</v>
      </c>
      <c r="J10" s="19">
        <v>1421</v>
      </c>
      <c r="K10" s="19">
        <v>1494</v>
      </c>
      <c r="L10" s="19">
        <v>1530</v>
      </c>
      <c r="M10" s="19">
        <v>1569</v>
      </c>
      <c r="N10" s="19">
        <v>1561</v>
      </c>
      <c r="O10" s="19">
        <v>1633</v>
      </c>
      <c r="P10" s="19">
        <v>1708</v>
      </c>
      <c r="Q10" s="19">
        <v>1705</v>
      </c>
      <c r="R10" s="19">
        <v>1732</v>
      </c>
      <c r="S10" s="19">
        <v>1782</v>
      </c>
      <c r="T10" s="19">
        <v>1844</v>
      </c>
      <c r="U10" s="19">
        <v>1852</v>
      </c>
      <c r="V10" s="19">
        <v>1882</v>
      </c>
      <c r="W10" s="19">
        <v>1893</v>
      </c>
      <c r="X10" s="19">
        <v>1972</v>
      </c>
      <c r="Y10" s="19">
        <v>2065</v>
      </c>
      <c r="Z10" s="19">
        <v>2059</v>
      </c>
      <c r="AA10" s="19">
        <v>2130</v>
      </c>
      <c r="AB10" s="19">
        <v>2129</v>
      </c>
      <c r="AC10" s="19"/>
      <c r="AD10" s="959">
        <f>((((J10/I10))^(1/8))-1)*100</f>
        <v>3.6827616218587433</v>
      </c>
      <c r="AE10" s="959">
        <f>((((U10/J10))^(1/11))-1)*100</f>
        <v>2.43746192523151</v>
      </c>
      <c r="AF10" s="959">
        <f>((((AB10/I10))^(1/26))-1)*100</f>
        <v>2.7036608872677226</v>
      </c>
      <c r="AG10" s="959">
        <f>((((AB10/U10))^(1/7))-1)*100</f>
        <v>2.0111894106431549</v>
      </c>
      <c r="AH10" s="23"/>
      <c r="AI10" s="959">
        <f>((AB10/I10)-1)*100</f>
        <v>100.09398496240603</v>
      </c>
    </row>
    <row r="11" spans="1:38">
      <c r="C11" s="1" t="s">
        <v>612</v>
      </c>
      <c r="I11" s="349">
        <v>833</v>
      </c>
      <c r="J11" s="19">
        <v>981</v>
      </c>
      <c r="K11" s="19">
        <v>926</v>
      </c>
      <c r="L11" s="19">
        <v>954</v>
      </c>
      <c r="M11" s="19">
        <v>1068</v>
      </c>
      <c r="N11" s="19">
        <v>1079</v>
      </c>
      <c r="O11" s="19">
        <v>1023</v>
      </c>
      <c r="P11" s="19">
        <v>1042</v>
      </c>
      <c r="Q11" s="19">
        <v>722</v>
      </c>
      <c r="R11" s="19">
        <v>788</v>
      </c>
      <c r="S11" s="19">
        <v>759</v>
      </c>
      <c r="T11" s="19">
        <v>748</v>
      </c>
      <c r="U11" s="19">
        <v>734</v>
      </c>
      <c r="V11" s="19">
        <v>686</v>
      </c>
      <c r="W11" s="19">
        <v>719</v>
      </c>
      <c r="X11" s="19">
        <v>716</v>
      </c>
      <c r="Y11" s="19">
        <v>743</v>
      </c>
      <c r="Z11" s="19">
        <v>803</v>
      </c>
      <c r="AA11" s="19">
        <v>872</v>
      </c>
      <c r="AB11" s="19">
        <v>869</v>
      </c>
      <c r="AC11" s="19"/>
      <c r="AD11" s="959">
        <f>((((J11/I11))^(1/8))-1)*100</f>
        <v>2.0652728137161569</v>
      </c>
      <c r="AE11" s="959">
        <f>((((U11/J11))^(1/11))-1)*100</f>
        <v>-2.6024766044914216</v>
      </c>
      <c r="AF11" s="959">
        <f>((((AB11/I11))^(1/26))-1)*100</f>
        <v>0.16286125627797965</v>
      </c>
      <c r="AG11" s="959">
        <f>((((AB11/U11))^(1/7))-1)*100</f>
        <v>2.4412376180174666</v>
      </c>
      <c r="AH11" s="23"/>
      <c r="AI11" s="959">
        <f>((AB11/I11)-1)*100</f>
        <v>4.3217286914766007</v>
      </c>
    </row>
    <row r="12" spans="1:38">
      <c r="I12" s="349"/>
      <c r="J12" s="19"/>
      <c r="K12" s="19"/>
      <c r="L12" s="19"/>
      <c r="M12" s="19"/>
      <c r="N12" s="19"/>
      <c r="O12" s="19"/>
      <c r="P12" s="19"/>
      <c r="Q12" s="19"/>
      <c r="R12" s="19"/>
      <c r="S12" s="19"/>
      <c r="T12" s="19"/>
      <c r="U12" s="19"/>
      <c r="V12" s="19"/>
      <c r="W12" s="19"/>
      <c r="X12" s="19"/>
      <c r="Y12" s="19"/>
      <c r="Z12" s="19"/>
      <c r="AA12" s="19"/>
      <c r="AB12" s="19"/>
      <c r="AC12" s="19"/>
      <c r="AD12" s="961"/>
      <c r="AE12" s="961"/>
      <c r="AF12" s="961"/>
      <c r="AG12" s="961"/>
      <c r="AH12" s="4"/>
      <c r="AI12" s="960"/>
    </row>
    <row r="13" spans="1:38">
      <c r="C13" s="128" t="s">
        <v>922</v>
      </c>
      <c r="I13" s="349">
        <v>19971</v>
      </c>
      <c r="J13" s="19">
        <v>20963</v>
      </c>
      <c r="K13" s="19">
        <v>21223</v>
      </c>
      <c r="L13" s="19">
        <v>21428</v>
      </c>
      <c r="M13" s="19">
        <v>21561</v>
      </c>
      <c r="N13" s="19">
        <v>21816</v>
      </c>
      <c r="O13" s="19">
        <v>22057</v>
      </c>
      <c r="P13" s="19">
        <v>22208</v>
      </c>
      <c r="Q13" s="19">
        <v>22762</v>
      </c>
      <c r="R13" s="19">
        <v>22851</v>
      </c>
      <c r="S13" s="19">
        <v>22975</v>
      </c>
      <c r="T13" s="19">
        <v>23096</v>
      </c>
      <c r="U13" s="19">
        <v>23310</v>
      </c>
      <c r="V13" s="19">
        <v>23568</v>
      </c>
      <c r="W13" s="19">
        <v>23724</v>
      </c>
      <c r="X13" s="19">
        <v>23840</v>
      </c>
      <c r="Y13" s="19">
        <v>23905</v>
      </c>
      <c r="Z13" s="19">
        <v>24087</v>
      </c>
      <c r="AA13" s="19">
        <v>24181</v>
      </c>
      <c r="AB13" s="19">
        <v>24426</v>
      </c>
      <c r="AC13" s="19"/>
      <c r="AD13" s="959">
        <f>((((J13/I13))^(1/8))-1)*100</f>
        <v>0.60781169553170145</v>
      </c>
      <c r="AE13" s="959">
        <f>((((U13/J13))^(1/11))-1)*100</f>
        <v>0.96942765553067467</v>
      </c>
      <c r="AF13" s="959">
        <f>((((AB13/I13))^(1/26))-1)*100</f>
        <v>0.77749506123834244</v>
      </c>
      <c r="AG13" s="959">
        <f>((((AB13/U13))^(1/7))-1)*100</f>
        <v>0.67031786499922585</v>
      </c>
      <c r="AH13" s="23"/>
      <c r="AI13" s="959">
        <f>((AB13/I13)-1)*100</f>
        <v>22.307345651194233</v>
      </c>
    </row>
    <row r="14" spans="1:38">
      <c r="C14" s="128"/>
      <c r="I14" s="349"/>
      <c r="J14" s="19"/>
      <c r="K14" s="19"/>
      <c r="L14" s="19"/>
      <c r="M14" s="19"/>
      <c r="N14" s="19"/>
      <c r="O14" s="19"/>
      <c r="P14" s="19"/>
      <c r="Q14" s="19"/>
      <c r="R14" s="19"/>
      <c r="S14" s="19"/>
      <c r="T14" s="19"/>
      <c r="U14" s="19"/>
      <c r="V14" s="19"/>
      <c r="W14" s="19"/>
      <c r="X14" s="19"/>
      <c r="Y14" s="19"/>
      <c r="Z14" s="19"/>
      <c r="AA14" s="19"/>
      <c r="AB14" s="19"/>
      <c r="AC14" s="19"/>
      <c r="AD14" s="961"/>
      <c r="AE14" s="961"/>
      <c r="AF14" s="961"/>
      <c r="AG14" s="961"/>
      <c r="AH14" s="4"/>
      <c r="AI14" s="960"/>
    </row>
    <row r="15" spans="1:38">
      <c r="D15" s="128" t="s">
        <v>923</v>
      </c>
      <c r="I15" s="349">
        <v>2708</v>
      </c>
      <c r="J15" s="19">
        <v>3241</v>
      </c>
      <c r="K15" s="19">
        <v>3250</v>
      </c>
      <c r="L15" s="19">
        <v>3262</v>
      </c>
      <c r="M15" s="19">
        <v>3271</v>
      </c>
      <c r="N15" s="19">
        <v>3288</v>
      </c>
      <c r="O15" s="19">
        <v>3394</v>
      </c>
      <c r="P15" s="19">
        <v>3397</v>
      </c>
      <c r="Q15" s="19">
        <v>3493</v>
      </c>
      <c r="R15" s="19">
        <v>3475</v>
      </c>
      <c r="S15" s="19">
        <v>3534</v>
      </c>
      <c r="T15" s="19">
        <v>3619</v>
      </c>
      <c r="U15" s="19">
        <v>3742</v>
      </c>
      <c r="V15" s="19">
        <v>3883</v>
      </c>
      <c r="W15" s="19">
        <v>4049</v>
      </c>
      <c r="X15" s="19">
        <v>4083</v>
      </c>
      <c r="Y15" s="19">
        <v>4171</v>
      </c>
      <c r="Z15" s="19">
        <v>4254</v>
      </c>
      <c r="AA15" s="19">
        <v>4338</v>
      </c>
      <c r="AB15" s="19">
        <v>4456</v>
      </c>
      <c r="AC15" s="19"/>
      <c r="AD15" s="959">
        <f>((((J15/I15))^(1/8))-1)*100</f>
        <v>2.2713046982975493</v>
      </c>
      <c r="AE15" s="959">
        <f>((((U15/J15))^(1/11))-1)*100</f>
        <v>1.3152866396178631</v>
      </c>
      <c r="AF15" s="959">
        <f>((((AB15/I15))^(1/26))-1)*100</f>
        <v>1.9340071061396236</v>
      </c>
      <c r="AG15" s="959">
        <f>((((AB15/U15))^(1/7))-1)*100</f>
        <v>2.5261113439643212</v>
      </c>
      <c r="AH15" s="23"/>
      <c r="AI15" s="959">
        <f>((AB15/I15)-1)*100</f>
        <v>64.549483013293951</v>
      </c>
    </row>
    <row r="16" spans="1:38">
      <c r="D16" s="1" t="s">
        <v>613</v>
      </c>
      <c r="I16" s="349">
        <v>129</v>
      </c>
      <c r="J16" s="19">
        <v>263</v>
      </c>
      <c r="K16" s="19">
        <v>295</v>
      </c>
      <c r="L16" s="19">
        <v>305</v>
      </c>
      <c r="M16" s="19">
        <v>309</v>
      </c>
      <c r="N16" s="19">
        <v>360</v>
      </c>
      <c r="O16" s="19">
        <v>393</v>
      </c>
      <c r="P16" s="19">
        <v>362</v>
      </c>
      <c r="Q16" s="19">
        <v>385</v>
      </c>
      <c r="R16" s="19">
        <v>352</v>
      </c>
      <c r="S16" s="19">
        <v>358</v>
      </c>
      <c r="T16" s="19">
        <v>396</v>
      </c>
      <c r="U16" s="19">
        <v>337</v>
      </c>
      <c r="V16" s="19">
        <v>346</v>
      </c>
      <c r="W16" s="19">
        <v>357</v>
      </c>
      <c r="X16" s="19">
        <v>317</v>
      </c>
      <c r="Y16" s="19">
        <v>317</v>
      </c>
      <c r="Z16" s="19">
        <v>347</v>
      </c>
      <c r="AA16" s="19">
        <v>308</v>
      </c>
      <c r="AB16" s="19">
        <v>287</v>
      </c>
      <c r="AC16" s="19"/>
      <c r="AD16" s="959">
        <f>((((J16/I16))^(1/8))-1)*100</f>
        <v>9.3127335667687383</v>
      </c>
      <c r="AE16" s="959">
        <f>((((U16/J16))^(1/11))-1)*100</f>
        <v>2.279491292072966</v>
      </c>
      <c r="AF16" s="959">
        <f>((((AB16/I16))^(1/26))-1)*100</f>
        <v>3.1234399925756717</v>
      </c>
      <c r="AG16" s="959">
        <f>((((AB16/U16))^(1/7))-1)*100</f>
        <v>-2.2681770829881653</v>
      </c>
      <c r="AH16" s="23"/>
      <c r="AI16" s="959">
        <f>((AB16/I16)-1)*100</f>
        <v>122.48062015503875</v>
      </c>
    </row>
    <row r="17" spans="1:36">
      <c r="D17" s="1" t="s">
        <v>614</v>
      </c>
      <c r="I17" s="349">
        <v>736</v>
      </c>
      <c r="J17" s="19">
        <v>685</v>
      </c>
      <c r="K17" s="19">
        <v>779</v>
      </c>
      <c r="L17" s="19">
        <v>767</v>
      </c>
      <c r="M17" s="19">
        <v>740</v>
      </c>
      <c r="N17" s="19">
        <v>811</v>
      </c>
      <c r="O17" s="19">
        <v>825</v>
      </c>
      <c r="P17" s="19">
        <v>818</v>
      </c>
      <c r="Q17" s="19">
        <v>895</v>
      </c>
      <c r="R17" s="19">
        <v>812</v>
      </c>
      <c r="S17" s="19">
        <v>920</v>
      </c>
      <c r="T17" s="19">
        <v>874</v>
      </c>
      <c r="U17" s="19">
        <v>893</v>
      </c>
      <c r="V17" s="19">
        <v>911</v>
      </c>
      <c r="W17" s="19">
        <v>948</v>
      </c>
      <c r="X17" s="19">
        <v>969</v>
      </c>
      <c r="Y17" s="19">
        <v>970</v>
      </c>
      <c r="Z17" s="19">
        <v>1015</v>
      </c>
      <c r="AA17" s="19">
        <v>1042</v>
      </c>
      <c r="AB17" s="19">
        <v>1014</v>
      </c>
      <c r="AC17" s="19"/>
      <c r="AD17" s="959">
        <f>((((J17/I17))^(1/8))-1)*100</f>
        <v>-0.89362423666379254</v>
      </c>
      <c r="AE17" s="959">
        <f>((((U17/J17))^(1/11))-1)*100</f>
        <v>2.439906070373743</v>
      </c>
      <c r="AF17" s="959">
        <f>((((AB17/I17))^(1/26))-1)*100</f>
        <v>1.2400411716398274</v>
      </c>
      <c r="AG17" s="959">
        <f>((((AB17/U17))^(1/7))-1)*100</f>
        <v>1.8318855003720991</v>
      </c>
      <c r="AH17" s="23"/>
      <c r="AI17" s="959">
        <f>((AB17/I17)-1)*100</f>
        <v>37.771739130434788</v>
      </c>
    </row>
    <row r="18" spans="1:36">
      <c r="D18" s="1" t="s">
        <v>615</v>
      </c>
      <c r="I18" s="349">
        <v>1843</v>
      </c>
      <c r="J18" s="19">
        <v>2294</v>
      </c>
      <c r="K18" s="19">
        <v>2176</v>
      </c>
      <c r="L18" s="19">
        <v>2191</v>
      </c>
      <c r="M18" s="19">
        <v>2221</v>
      </c>
      <c r="N18" s="19">
        <v>2118</v>
      </c>
      <c r="O18" s="19">
        <v>2177</v>
      </c>
      <c r="P18" s="19">
        <v>2217</v>
      </c>
      <c r="Q18" s="19">
        <v>2213</v>
      </c>
      <c r="R18" s="19">
        <v>2311</v>
      </c>
      <c r="S18" s="19">
        <v>2257</v>
      </c>
      <c r="T18" s="19">
        <v>2348</v>
      </c>
      <c r="U18" s="19">
        <v>2512</v>
      </c>
      <c r="V18" s="19">
        <v>2626</v>
      </c>
      <c r="W18" s="19">
        <v>2744</v>
      </c>
      <c r="X18" s="19">
        <v>2797</v>
      </c>
      <c r="Y18" s="19">
        <v>2884</v>
      </c>
      <c r="Z18" s="19">
        <v>2893</v>
      </c>
      <c r="AA18" s="19">
        <v>2987</v>
      </c>
      <c r="AB18" s="19">
        <v>3155</v>
      </c>
      <c r="AC18" s="19"/>
      <c r="AD18" s="959">
        <f>((((J18/I18))^(1/8))-1)*100</f>
        <v>2.7740591718006691</v>
      </c>
      <c r="AE18" s="959">
        <f>((((U18/J18))^(1/11))-1)*100</f>
        <v>0.82870792968130491</v>
      </c>
      <c r="AF18" s="959">
        <f>((((AB18/I18))^(1/26))-1)*100</f>
        <v>2.0891928886494826</v>
      </c>
      <c r="AG18" s="959">
        <f>((((AB18/U18))^(1/7))-1)*100</f>
        <v>3.3094290112574587</v>
      </c>
      <c r="AH18" s="23"/>
      <c r="AI18" s="959">
        <f>((AB18/I18)-1)*100</f>
        <v>71.188279978296265</v>
      </c>
    </row>
    <row r="19" spans="1:36">
      <c r="I19" s="349"/>
      <c r="J19" s="19"/>
      <c r="K19" s="19"/>
      <c r="L19" s="19"/>
      <c r="M19" s="19"/>
      <c r="N19" s="19"/>
      <c r="O19" s="19"/>
      <c r="P19" s="19"/>
      <c r="Q19" s="19"/>
      <c r="R19" s="19"/>
      <c r="S19" s="19"/>
      <c r="T19" s="19"/>
      <c r="U19" s="19"/>
      <c r="V19" s="19"/>
      <c r="W19" s="19"/>
      <c r="X19" s="19"/>
      <c r="Y19" s="19"/>
      <c r="Z19" s="19"/>
      <c r="AA19" s="19"/>
      <c r="AB19" s="19"/>
      <c r="AC19" s="19"/>
      <c r="AD19" s="961"/>
      <c r="AE19" s="961"/>
      <c r="AF19" s="961"/>
      <c r="AG19" s="961"/>
      <c r="AH19" s="4"/>
      <c r="AI19" s="960"/>
    </row>
    <row r="20" spans="1:36">
      <c r="D20" s="128" t="s">
        <v>619</v>
      </c>
      <c r="I20" s="349">
        <v>12971</v>
      </c>
      <c r="J20" s="19">
        <v>12427</v>
      </c>
      <c r="K20" s="19">
        <v>12409</v>
      </c>
      <c r="L20" s="19">
        <v>12436</v>
      </c>
      <c r="M20" s="19">
        <v>12424</v>
      </c>
      <c r="N20" s="19">
        <v>12353</v>
      </c>
      <c r="O20" s="19">
        <v>12583</v>
      </c>
      <c r="P20" s="19">
        <v>12740</v>
      </c>
      <c r="Q20" s="19">
        <v>12622</v>
      </c>
      <c r="R20" s="19">
        <v>12590</v>
      </c>
      <c r="S20" s="19">
        <v>12399</v>
      </c>
      <c r="T20" s="19">
        <v>12545</v>
      </c>
      <c r="U20" s="19">
        <v>12540</v>
      </c>
      <c r="V20" s="19">
        <v>12421</v>
      </c>
      <c r="W20" s="19">
        <v>12338</v>
      </c>
      <c r="X20" s="19">
        <v>12311</v>
      </c>
      <c r="Y20" s="19">
        <v>12202</v>
      </c>
      <c r="Z20" s="19">
        <v>12119</v>
      </c>
      <c r="AA20" s="19">
        <v>12039</v>
      </c>
      <c r="AB20" s="19">
        <v>11966</v>
      </c>
      <c r="AC20" s="19"/>
      <c r="AD20" s="959">
        <f>((((J20/I20))^(1/8))-1)*100</f>
        <v>-0.53412559364059975</v>
      </c>
      <c r="AE20" s="959">
        <f>((((U20/J20))^(1/11))-1)*100</f>
        <v>8.2324871798689081E-2</v>
      </c>
      <c r="AF20" s="959">
        <f>((((AB20/I20))^(1/26))-1)*100</f>
        <v>-0.30969944416687767</v>
      </c>
      <c r="AG20" s="959">
        <f>((((AB20/U20))^(1/7))-1)*100</f>
        <v>-0.66711115653145248</v>
      </c>
      <c r="AH20" s="23"/>
      <c r="AI20" s="959">
        <f>((AB20/I20)-1)*100</f>
        <v>-7.7480533497802817</v>
      </c>
    </row>
    <row r="21" spans="1:36">
      <c r="D21" s="1" t="s">
        <v>613</v>
      </c>
      <c r="I21" s="349">
        <v>161</v>
      </c>
      <c r="J21" s="19">
        <v>149</v>
      </c>
      <c r="K21" s="19">
        <v>168</v>
      </c>
      <c r="L21" s="19">
        <v>254</v>
      </c>
      <c r="M21" s="19">
        <v>256</v>
      </c>
      <c r="N21" s="19">
        <v>433</v>
      </c>
      <c r="O21" s="19">
        <v>434</v>
      </c>
      <c r="P21" s="19">
        <v>381</v>
      </c>
      <c r="Q21" s="19">
        <v>477</v>
      </c>
      <c r="R21" s="19">
        <v>391</v>
      </c>
      <c r="S21" s="19">
        <v>390</v>
      </c>
      <c r="T21" s="19">
        <v>291</v>
      </c>
      <c r="U21" s="19">
        <v>261</v>
      </c>
      <c r="V21" s="19">
        <v>275</v>
      </c>
      <c r="W21" s="19">
        <v>223</v>
      </c>
      <c r="X21" s="19">
        <v>218</v>
      </c>
      <c r="Y21" s="19">
        <v>182</v>
      </c>
      <c r="Z21" s="19">
        <v>200</v>
      </c>
      <c r="AA21" s="19">
        <v>184</v>
      </c>
      <c r="AB21" s="19">
        <v>118</v>
      </c>
      <c r="AC21" s="19"/>
      <c r="AD21" s="959">
        <f>((((J21/I21))^(1/8))-1)*100</f>
        <v>-0.96355352394087435</v>
      </c>
      <c r="AE21" s="959">
        <f>((((U21/J21))^(1/11))-1)*100</f>
        <v>5.2282150174596476</v>
      </c>
      <c r="AF21" s="959">
        <f>((((AB21/I21))^(1/26))-1)*100</f>
        <v>-1.1879632548704389</v>
      </c>
      <c r="AG21" s="959">
        <f>((((AB21/U21))^(1/7))-1)*100</f>
        <v>-10.721109250828786</v>
      </c>
      <c r="AH21" s="23"/>
      <c r="AI21" s="959">
        <f>((AB21/I21)-1)*100</f>
        <v>-26.708074534161486</v>
      </c>
    </row>
    <row r="22" spans="1:36">
      <c r="D22" s="1" t="s">
        <v>620</v>
      </c>
      <c r="I22" s="349">
        <v>3602</v>
      </c>
      <c r="J22" s="19">
        <v>2354</v>
      </c>
      <c r="K22" s="19">
        <v>2369</v>
      </c>
      <c r="L22" s="19">
        <v>2487</v>
      </c>
      <c r="M22" s="19">
        <v>2482</v>
      </c>
      <c r="N22" s="19">
        <v>2475</v>
      </c>
      <c r="O22" s="19">
        <v>2557</v>
      </c>
      <c r="P22" s="19">
        <v>2643</v>
      </c>
      <c r="Q22" s="19">
        <v>2588</v>
      </c>
      <c r="R22" s="19">
        <v>2368</v>
      </c>
      <c r="S22" s="19">
        <v>2189</v>
      </c>
      <c r="T22" s="19">
        <v>2186</v>
      </c>
      <c r="U22" s="19">
        <v>2133</v>
      </c>
      <c r="V22" s="19">
        <v>1978</v>
      </c>
      <c r="W22" s="19">
        <v>2023</v>
      </c>
      <c r="X22" s="19">
        <v>1875</v>
      </c>
      <c r="Y22" s="19">
        <v>1844</v>
      </c>
      <c r="Z22" s="19">
        <v>1969</v>
      </c>
      <c r="AA22" s="19">
        <v>1763</v>
      </c>
      <c r="AB22" s="19">
        <v>1741</v>
      </c>
      <c r="AC22" s="19"/>
      <c r="AD22" s="959">
        <f>((((J22/I22))^(1/8))-1)*100</f>
        <v>-5.178276747027855</v>
      </c>
      <c r="AE22" s="959">
        <f>((((U22/J22))^(1/11))-1)*100</f>
        <v>-0.89223726663081315</v>
      </c>
      <c r="AF22" s="959">
        <f>((((AB22/I22))^(1/26))-1)*100</f>
        <v>-2.7575339470836235</v>
      </c>
      <c r="AG22" s="959">
        <f>((((AB22/U22))^(1/7))-1)*100</f>
        <v>-2.8593218939576892</v>
      </c>
      <c r="AH22" s="23"/>
      <c r="AI22" s="959">
        <f>((AB22/I22)-1)*100</f>
        <v>-51.665741254858411</v>
      </c>
    </row>
    <row r="23" spans="1:36">
      <c r="D23" s="1" t="s">
        <v>615</v>
      </c>
      <c r="I23" s="349">
        <v>5956</v>
      </c>
      <c r="J23" s="19">
        <v>6927</v>
      </c>
      <c r="K23" s="19">
        <v>6906</v>
      </c>
      <c r="L23" s="19">
        <v>6827</v>
      </c>
      <c r="M23" s="19">
        <v>6807</v>
      </c>
      <c r="N23" s="19">
        <v>6756</v>
      </c>
      <c r="O23" s="19">
        <v>6905</v>
      </c>
      <c r="P23" s="19">
        <v>7026</v>
      </c>
      <c r="Q23" s="19">
        <v>7370</v>
      </c>
      <c r="R23" s="19">
        <v>7540</v>
      </c>
      <c r="S23" s="19">
        <v>7384</v>
      </c>
      <c r="T23" s="19">
        <v>7376</v>
      </c>
      <c r="U23" s="19">
        <v>7443</v>
      </c>
      <c r="V23" s="19">
        <v>7482</v>
      </c>
      <c r="W23" s="19">
        <v>7269</v>
      </c>
      <c r="X23" s="19">
        <v>7438</v>
      </c>
      <c r="Y23" s="19">
        <v>7346</v>
      </c>
      <c r="Z23" s="19">
        <v>7138</v>
      </c>
      <c r="AA23" s="19">
        <v>7251</v>
      </c>
      <c r="AB23" s="19">
        <v>7268</v>
      </c>
      <c r="AC23" s="19"/>
      <c r="AD23" s="959">
        <f>((((J23/I23))^(1/8))-1)*100</f>
        <v>1.9057787892223788</v>
      </c>
      <c r="AE23" s="959">
        <f>((((U23/J23))^(1/11))-1)*100</f>
        <v>0.65529384666618284</v>
      </c>
      <c r="AF23" s="959">
        <f>((((AB23/I23))^(1/26))-1)*100</f>
        <v>0.7686391173252094</v>
      </c>
      <c r="AG23" s="959">
        <f>((((AB23/U23))^(1/7))-1)*100</f>
        <v>-0.33932075641326387</v>
      </c>
      <c r="AH23" s="23"/>
      <c r="AI23" s="959">
        <f>((AB23/I23)-1)*100</f>
        <v>22.028206850235055</v>
      </c>
    </row>
    <row r="24" spans="1:36">
      <c r="D24" s="1" t="s">
        <v>621</v>
      </c>
      <c r="I24" s="349">
        <v>3252</v>
      </c>
      <c r="J24" s="19">
        <v>2998</v>
      </c>
      <c r="K24" s="19">
        <v>2966</v>
      </c>
      <c r="L24" s="19">
        <v>2867</v>
      </c>
      <c r="M24" s="19">
        <v>2879</v>
      </c>
      <c r="N24" s="19">
        <v>2690</v>
      </c>
      <c r="O24" s="19">
        <v>2687</v>
      </c>
      <c r="P24" s="19">
        <v>2689</v>
      </c>
      <c r="Q24" s="19">
        <v>2188</v>
      </c>
      <c r="R24" s="19">
        <v>2290</v>
      </c>
      <c r="S24" s="19">
        <v>2435</v>
      </c>
      <c r="T24" s="19">
        <v>2693</v>
      </c>
      <c r="U24" s="19">
        <v>2704</v>
      </c>
      <c r="V24" s="19">
        <v>2687</v>
      </c>
      <c r="W24" s="19">
        <v>2822</v>
      </c>
      <c r="X24" s="19">
        <v>2781</v>
      </c>
      <c r="Y24" s="19">
        <v>2830</v>
      </c>
      <c r="Z24" s="19">
        <v>2813</v>
      </c>
      <c r="AA24" s="19">
        <v>2842</v>
      </c>
      <c r="AB24" s="19">
        <v>2839</v>
      </c>
      <c r="AC24" s="19"/>
      <c r="AD24" s="959">
        <f>((((J24/I24))^(1/8))-1)*100</f>
        <v>-1.0114103939556029</v>
      </c>
      <c r="AE24" s="959">
        <f>((((U24/J24))^(1/11))-1)*100</f>
        <v>-0.93391387635852752</v>
      </c>
      <c r="AF24" s="959">
        <f>((((AB24/I24))^(1/26))-1)*100</f>
        <v>-0.52101610962363987</v>
      </c>
      <c r="AG24" s="959">
        <f>((((AB24/U24))^(1/7))-1)*100</f>
        <v>0.69842367115533488</v>
      </c>
      <c r="AH24" s="23"/>
      <c r="AI24" s="959">
        <f>((AB24/I24)-1)*100</f>
        <v>-12.699876998769987</v>
      </c>
    </row>
    <row r="25" spans="1:36">
      <c r="I25" s="349"/>
      <c r="J25" s="19"/>
      <c r="K25" s="19"/>
      <c r="L25" s="19"/>
      <c r="M25" s="19"/>
      <c r="N25" s="19"/>
      <c r="O25" s="19"/>
      <c r="P25" s="19"/>
      <c r="Q25" s="19"/>
      <c r="R25" s="19"/>
      <c r="S25" s="19"/>
      <c r="T25" s="19"/>
      <c r="U25" s="19"/>
      <c r="V25" s="19"/>
      <c r="W25" s="19"/>
      <c r="X25" s="19"/>
      <c r="Y25" s="19"/>
      <c r="Z25" s="19"/>
      <c r="AA25" s="19"/>
      <c r="AB25" s="19"/>
      <c r="AC25" s="19"/>
      <c r="AD25" s="961"/>
      <c r="AE25" s="961"/>
      <c r="AF25" s="961"/>
      <c r="AG25" s="961"/>
      <c r="AH25" s="4"/>
      <c r="AI25" s="960"/>
    </row>
    <row r="26" spans="1:36">
      <c r="D26" s="128" t="s">
        <v>622</v>
      </c>
      <c r="I26" s="349">
        <v>2284</v>
      </c>
      <c r="J26" s="19">
        <v>2952</v>
      </c>
      <c r="K26" s="19">
        <v>2970</v>
      </c>
      <c r="L26" s="19">
        <v>3102</v>
      </c>
      <c r="M26" s="19">
        <v>2981</v>
      </c>
      <c r="N26" s="19">
        <v>3145</v>
      </c>
      <c r="O26" s="19">
        <v>3204</v>
      </c>
      <c r="P26" s="19">
        <v>3184</v>
      </c>
      <c r="Q26" s="19">
        <v>2729</v>
      </c>
      <c r="R26" s="19">
        <v>2854</v>
      </c>
      <c r="S26" s="19">
        <v>2986</v>
      </c>
      <c r="T26" s="19">
        <v>2996</v>
      </c>
      <c r="U26" s="19">
        <v>3105</v>
      </c>
      <c r="V26" s="19">
        <v>3177</v>
      </c>
      <c r="W26" s="19">
        <v>3170</v>
      </c>
      <c r="X26" s="19">
        <v>3336</v>
      </c>
      <c r="Y26" s="19">
        <v>3323</v>
      </c>
      <c r="Z26" s="19">
        <v>3417</v>
      </c>
      <c r="AA26" s="19">
        <v>3456</v>
      </c>
      <c r="AB26" s="19">
        <v>3480</v>
      </c>
      <c r="AC26" s="19"/>
      <c r="AD26" s="959">
        <f>((((J26/I26))^(1/8))-1)*100</f>
        <v>3.2589088991283877</v>
      </c>
      <c r="AE26" s="959">
        <f>((((U26/J26))^(1/11))-1)*100</f>
        <v>0.46042771370160551</v>
      </c>
      <c r="AF26" s="959">
        <f>((((AB26/I26))^(1/26))-1)*100</f>
        <v>1.6328178941714677</v>
      </c>
      <c r="AG26" s="959">
        <f>((((AB26/U26))^(1/7))-1)*100</f>
        <v>1.6421747004184528</v>
      </c>
      <c r="AH26" s="23"/>
      <c r="AI26" s="959">
        <f>((AB26/I26)-1)*100</f>
        <v>52.364273204903689</v>
      </c>
    </row>
    <row r="27" spans="1:36">
      <c r="I27" s="349"/>
      <c r="J27" s="19"/>
      <c r="K27" s="19"/>
      <c r="L27" s="19"/>
      <c r="M27" s="19"/>
      <c r="N27" s="19"/>
      <c r="O27" s="19"/>
      <c r="P27" s="19"/>
      <c r="Q27" s="19"/>
      <c r="R27" s="19"/>
      <c r="S27" s="19"/>
      <c r="T27" s="19"/>
      <c r="U27" s="19"/>
      <c r="V27" s="19"/>
      <c r="W27" s="19"/>
      <c r="X27" s="19"/>
      <c r="Y27" s="19"/>
      <c r="Z27" s="19"/>
      <c r="AA27" s="19"/>
      <c r="AB27" s="19"/>
      <c r="AC27" s="19"/>
      <c r="AD27" s="114"/>
      <c r="AE27" s="114"/>
      <c r="AF27" s="114"/>
      <c r="AG27" s="114"/>
      <c r="AH27" s="116"/>
      <c r="AI27" s="959"/>
      <c r="AJ27" s="114"/>
    </row>
    <row r="28" spans="1:36" s="114" customFormat="1">
      <c r="A28" s="1"/>
      <c r="B28" s="1"/>
      <c r="C28" s="1"/>
      <c r="D28" s="128" t="s">
        <v>623</v>
      </c>
      <c r="E28" s="1"/>
      <c r="F28" s="1"/>
      <c r="G28" s="1"/>
      <c r="H28" s="1"/>
      <c r="I28" s="349">
        <v>1282</v>
      </c>
      <c r="J28" s="19">
        <v>1450</v>
      </c>
      <c r="K28" s="19">
        <v>1617</v>
      </c>
      <c r="L28" s="19">
        <v>1645</v>
      </c>
      <c r="M28" s="19">
        <v>1909</v>
      </c>
      <c r="N28" s="19">
        <v>1992</v>
      </c>
      <c r="O28" s="19">
        <v>1846</v>
      </c>
      <c r="P28" s="19">
        <v>1855</v>
      </c>
      <c r="Q28" s="19">
        <v>1893</v>
      </c>
      <c r="R28" s="19">
        <v>1864</v>
      </c>
      <c r="S28" s="19">
        <v>1977</v>
      </c>
      <c r="T28" s="19">
        <v>1928</v>
      </c>
      <c r="U28" s="19">
        <v>1936</v>
      </c>
      <c r="V28" s="19">
        <v>1907</v>
      </c>
      <c r="W28" s="19">
        <v>1965</v>
      </c>
      <c r="X28" s="19">
        <v>1922</v>
      </c>
      <c r="Y28" s="19">
        <v>1946</v>
      </c>
      <c r="Z28" s="19">
        <v>2057</v>
      </c>
      <c r="AA28" s="19">
        <v>2049</v>
      </c>
      <c r="AB28" s="19">
        <v>2018</v>
      </c>
      <c r="AC28" s="19"/>
      <c r="AD28" s="959">
        <f t="shared" ref="AD28:AD33" si="0">((((J28/I28))^(1/8))-1)*100</f>
        <v>1.5511853699534006</v>
      </c>
      <c r="AE28" s="959">
        <f t="shared" ref="AE28:AE33" si="1">((((U28/J28))^(1/11))-1)*100</f>
        <v>2.662653793780545</v>
      </c>
      <c r="AF28" s="959">
        <f t="shared" ref="AF28:AF33" si="2">((((AB28/I28))^(1/26))-1)*100</f>
        <v>1.7602575695088829</v>
      </c>
      <c r="AG28" s="959">
        <f t="shared" ref="AG28:AG33" si="3">((((AB28/U28))^(1/7))-1)*100</f>
        <v>0.59437275627955977</v>
      </c>
      <c r="AH28" s="23"/>
      <c r="AI28" s="959">
        <f t="shared" ref="AI28:AI33" si="4">((AB28/I28)-1)*100</f>
        <v>57.410296411856464</v>
      </c>
    </row>
    <row r="29" spans="1:36" s="114" customFormat="1">
      <c r="A29" s="1"/>
      <c r="B29" s="1"/>
      <c r="C29" s="1"/>
      <c r="D29" s="1" t="s">
        <v>624</v>
      </c>
      <c r="E29" s="1"/>
      <c r="F29" s="1"/>
      <c r="G29" s="1"/>
      <c r="H29" s="1"/>
      <c r="I29" s="349">
        <v>196</v>
      </c>
      <c r="J29" s="19">
        <v>164</v>
      </c>
      <c r="K29" s="19">
        <v>241</v>
      </c>
      <c r="L29" s="19">
        <v>198</v>
      </c>
      <c r="M29" s="19">
        <v>214</v>
      </c>
      <c r="N29" s="19">
        <v>265</v>
      </c>
      <c r="O29" s="19">
        <v>249</v>
      </c>
      <c r="P29" s="19">
        <v>240</v>
      </c>
      <c r="Q29" s="19">
        <v>259</v>
      </c>
      <c r="R29" s="19">
        <v>260</v>
      </c>
      <c r="S29" s="19">
        <v>294</v>
      </c>
      <c r="T29" s="19">
        <v>295</v>
      </c>
      <c r="U29" s="19">
        <v>306</v>
      </c>
      <c r="V29" s="19">
        <v>325</v>
      </c>
      <c r="W29" s="19">
        <v>362</v>
      </c>
      <c r="X29" s="19">
        <v>348</v>
      </c>
      <c r="Y29" s="19">
        <v>351</v>
      </c>
      <c r="Z29" s="19">
        <v>363</v>
      </c>
      <c r="AA29" s="19">
        <v>356</v>
      </c>
      <c r="AB29" s="19">
        <v>350</v>
      </c>
      <c r="AC29" s="19"/>
      <c r="AD29" s="959">
        <f t="shared" si="0"/>
        <v>-2.2034640125463967</v>
      </c>
      <c r="AE29" s="959">
        <f t="shared" si="1"/>
        <v>5.8340057974504589</v>
      </c>
      <c r="AF29" s="959">
        <f t="shared" si="2"/>
        <v>2.2551231008924644</v>
      </c>
      <c r="AG29" s="959">
        <f t="shared" si="3"/>
        <v>1.9377940432070861</v>
      </c>
      <c r="AH29" s="23"/>
      <c r="AI29" s="959">
        <f t="shared" si="4"/>
        <v>78.571428571428584</v>
      </c>
    </row>
    <row r="30" spans="1:36" s="114" customFormat="1">
      <c r="A30" s="1"/>
      <c r="B30" s="1"/>
      <c r="C30" s="1"/>
      <c r="D30" s="1" t="s">
        <v>625</v>
      </c>
      <c r="E30" s="1"/>
      <c r="F30" s="1"/>
      <c r="G30" s="1"/>
      <c r="H30" s="1"/>
      <c r="I30" s="349">
        <v>1086</v>
      </c>
      <c r="J30" s="19">
        <v>1286</v>
      </c>
      <c r="K30" s="19">
        <v>1376</v>
      </c>
      <c r="L30" s="19">
        <v>1447</v>
      </c>
      <c r="M30" s="19">
        <v>1696</v>
      </c>
      <c r="N30" s="19">
        <v>1727</v>
      </c>
      <c r="O30" s="19">
        <v>1597</v>
      </c>
      <c r="P30" s="19">
        <v>1615</v>
      </c>
      <c r="Q30" s="19">
        <v>1633</v>
      </c>
      <c r="R30" s="19">
        <v>1604</v>
      </c>
      <c r="S30" s="19">
        <v>1682</v>
      </c>
      <c r="T30" s="19">
        <v>1633</v>
      </c>
      <c r="U30" s="19">
        <v>1629</v>
      </c>
      <c r="V30" s="19">
        <v>1582</v>
      </c>
      <c r="W30" s="19">
        <v>1603</v>
      </c>
      <c r="X30" s="19">
        <v>1574</v>
      </c>
      <c r="Y30" s="19">
        <v>1595</v>
      </c>
      <c r="Z30" s="19">
        <v>1695</v>
      </c>
      <c r="AA30" s="19">
        <v>1693</v>
      </c>
      <c r="AB30" s="19">
        <v>1668</v>
      </c>
      <c r="AC30" s="19"/>
      <c r="AD30" s="959">
        <f t="shared" si="0"/>
        <v>2.1354232404537932</v>
      </c>
      <c r="AE30" s="959">
        <f t="shared" si="1"/>
        <v>2.1726260910245543</v>
      </c>
      <c r="AF30" s="959">
        <f t="shared" si="2"/>
        <v>1.6641728596433758</v>
      </c>
      <c r="AG30" s="959">
        <f t="shared" si="3"/>
        <v>0.33855716189081786</v>
      </c>
      <c r="AH30" s="23"/>
      <c r="AI30" s="959">
        <f t="shared" si="4"/>
        <v>53.591160220994482</v>
      </c>
    </row>
    <row r="31" spans="1:36" s="114" customFormat="1">
      <c r="A31" s="1"/>
      <c r="B31" s="1"/>
      <c r="C31" s="1"/>
      <c r="D31" s="1"/>
      <c r="E31" s="1" t="s">
        <v>613</v>
      </c>
      <c r="F31" s="1"/>
      <c r="G31" s="1"/>
      <c r="H31" s="1"/>
      <c r="I31" s="349">
        <v>279</v>
      </c>
      <c r="J31" s="19">
        <v>325</v>
      </c>
      <c r="K31" s="19">
        <v>376</v>
      </c>
      <c r="L31" s="19">
        <v>496</v>
      </c>
      <c r="M31" s="19">
        <v>605</v>
      </c>
      <c r="N31" s="19">
        <v>605</v>
      </c>
      <c r="O31" s="19">
        <v>556</v>
      </c>
      <c r="P31" s="19">
        <v>559</v>
      </c>
      <c r="Q31" s="19">
        <v>625</v>
      </c>
      <c r="R31" s="19">
        <v>545</v>
      </c>
      <c r="S31" s="19">
        <v>442</v>
      </c>
      <c r="T31" s="19">
        <v>404</v>
      </c>
      <c r="U31" s="19">
        <v>324</v>
      </c>
      <c r="V31" s="19">
        <v>316</v>
      </c>
      <c r="W31" s="19">
        <v>337</v>
      </c>
      <c r="X31" s="19">
        <v>276</v>
      </c>
      <c r="Y31" s="19">
        <v>262</v>
      </c>
      <c r="Z31" s="19">
        <v>271</v>
      </c>
      <c r="AA31" s="19">
        <v>288</v>
      </c>
      <c r="AB31" s="19">
        <v>267</v>
      </c>
      <c r="AC31" s="19"/>
      <c r="AD31" s="959">
        <f t="shared" si="0"/>
        <v>1.9259797431075532</v>
      </c>
      <c r="AE31" s="959">
        <f t="shared" si="1"/>
        <v>-2.8011226463264816E-2</v>
      </c>
      <c r="AF31" s="959">
        <f t="shared" si="2"/>
        <v>-0.1689460614331173</v>
      </c>
      <c r="AG31" s="959">
        <f t="shared" si="3"/>
        <v>-2.7263574988632855</v>
      </c>
      <c r="AH31" s="23"/>
      <c r="AI31" s="959">
        <f t="shared" si="4"/>
        <v>-4.3010752688172005</v>
      </c>
    </row>
    <row r="32" spans="1:36" s="114" customFormat="1">
      <c r="A32" s="1"/>
      <c r="B32" s="1"/>
      <c r="C32" s="1"/>
      <c r="D32" s="1"/>
      <c r="E32" s="1" t="s">
        <v>620</v>
      </c>
      <c r="F32" s="1"/>
      <c r="G32" s="1"/>
      <c r="H32" s="1"/>
      <c r="I32" s="349">
        <v>504</v>
      </c>
      <c r="J32" s="19">
        <v>634</v>
      </c>
      <c r="K32" s="19">
        <v>703</v>
      </c>
      <c r="L32" s="19">
        <v>668</v>
      </c>
      <c r="M32" s="19">
        <v>778</v>
      </c>
      <c r="N32" s="19">
        <v>838</v>
      </c>
      <c r="O32" s="19">
        <v>730</v>
      </c>
      <c r="P32" s="19">
        <v>772</v>
      </c>
      <c r="Q32" s="19">
        <v>800</v>
      </c>
      <c r="R32" s="19">
        <v>838</v>
      </c>
      <c r="S32" s="19">
        <v>987</v>
      </c>
      <c r="T32" s="19">
        <v>925</v>
      </c>
      <c r="U32" s="19">
        <v>956</v>
      </c>
      <c r="V32" s="19">
        <v>920</v>
      </c>
      <c r="W32" s="19">
        <v>889</v>
      </c>
      <c r="X32" s="19">
        <v>962</v>
      </c>
      <c r="Y32" s="19">
        <v>991</v>
      </c>
      <c r="Z32" s="19">
        <v>971</v>
      </c>
      <c r="AA32" s="19">
        <v>891</v>
      </c>
      <c r="AB32" s="19">
        <v>895</v>
      </c>
      <c r="AC32" s="19"/>
      <c r="AD32" s="959">
        <f t="shared" si="0"/>
        <v>2.909943598731024</v>
      </c>
      <c r="AE32" s="959">
        <f t="shared" si="1"/>
        <v>3.8042967147268625</v>
      </c>
      <c r="AF32" s="959">
        <f t="shared" si="2"/>
        <v>2.2332151443521964</v>
      </c>
      <c r="AG32" s="959">
        <f t="shared" si="3"/>
        <v>-0.93749492461907558</v>
      </c>
      <c r="AH32" s="23"/>
      <c r="AI32" s="959">
        <f t="shared" si="4"/>
        <v>77.579365079365076</v>
      </c>
    </row>
    <row r="33" spans="1:36" s="114" customFormat="1">
      <c r="A33" s="1"/>
      <c r="B33" s="1"/>
      <c r="C33" s="1"/>
      <c r="D33" s="1"/>
      <c r="E33" s="1" t="s">
        <v>626</v>
      </c>
      <c r="F33" s="1"/>
      <c r="G33" s="1"/>
      <c r="H33" s="1"/>
      <c r="I33" s="349">
        <v>302</v>
      </c>
      <c r="J33" s="19">
        <v>326</v>
      </c>
      <c r="K33" s="19">
        <v>298</v>
      </c>
      <c r="L33" s="19">
        <v>284</v>
      </c>
      <c r="M33" s="19">
        <v>313</v>
      </c>
      <c r="N33" s="19">
        <v>284</v>
      </c>
      <c r="O33" s="19">
        <v>311</v>
      </c>
      <c r="P33" s="19">
        <v>284</v>
      </c>
      <c r="Q33" s="19">
        <v>208</v>
      </c>
      <c r="R33" s="19">
        <v>221</v>
      </c>
      <c r="S33" s="19">
        <v>253</v>
      </c>
      <c r="T33" s="19">
        <v>303</v>
      </c>
      <c r="U33" s="19">
        <v>349</v>
      </c>
      <c r="V33" s="19">
        <v>346</v>
      </c>
      <c r="W33" s="19">
        <v>377</v>
      </c>
      <c r="X33" s="19">
        <v>336</v>
      </c>
      <c r="Y33" s="19">
        <v>342</v>
      </c>
      <c r="Z33" s="19">
        <v>452</v>
      </c>
      <c r="AA33" s="19">
        <v>515</v>
      </c>
      <c r="AB33" s="19">
        <v>507</v>
      </c>
      <c r="AC33" s="19"/>
      <c r="AD33" s="959">
        <f t="shared" si="0"/>
        <v>0.96046266986333784</v>
      </c>
      <c r="AE33" s="959">
        <f t="shared" si="1"/>
        <v>0.62169309219057833</v>
      </c>
      <c r="AF33" s="959">
        <f t="shared" si="2"/>
        <v>2.012616126494926</v>
      </c>
      <c r="AG33" s="959">
        <f t="shared" si="3"/>
        <v>5.4797114810981817</v>
      </c>
      <c r="AH33" s="23"/>
      <c r="AI33" s="959">
        <f t="shared" si="4"/>
        <v>67.880794701986758</v>
      </c>
    </row>
    <row r="34" spans="1:36" s="114" customFormat="1">
      <c r="A34" s="1"/>
      <c r="B34" s="1"/>
      <c r="C34" s="1"/>
      <c r="D34" s="1"/>
      <c r="E34" s="1"/>
      <c r="F34" s="1"/>
      <c r="G34" s="1"/>
      <c r="H34" s="1"/>
      <c r="I34" s="349"/>
      <c r="J34" s="19"/>
      <c r="K34" s="19"/>
      <c r="L34" s="19"/>
      <c r="M34" s="19"/>
      <c r="N34" s="19"/>
      <c r="O34" s="19"/>
      <c r="P34" s="19"/>
      <c r="Q34" s="19"/>
      <c r="R34" s="19"/>
      <c r="S34" s="19"/>
      <c r="T34" s="19"/>
      <c r="U34" s="19"/>
      <c r="V34" s="19"/>
      <c r="W34" s="19"/>
      <c r="X34" s="19"/>
      <c r="Y34" s="19"/>
      <c r="Z34" s="19"/>
      <c r="AA34" s="19"/>
      <c r="AB34" s="19"/>
      <c r="AC34" s="19"/>
      <c r="AH34" s="116"/>
      <c r="AI34" s="959"/>
    </row>
    <row r="35" spans="1:36">
      <c r="D35" s="128" t="s">
        <v>2</v>
      </c>
      <c r="I35" s="349">
        <v>725</v>
      </c>
      <c r="J35" s="19">
        <v>892</v>
      </c>
      <c r="K35" s="19">
        <v>977</v>
      </c>
      <c r="L35" s="19">
        <v>983</v>
      </c>
      <c r="M35" s="19">
        <v>976</v>
      </c>
      <c r="N35" s="19">
        <v>1037</v>
      </c>
      <c r="O35" s="19">
        <v>1030</v>
      </c>
      <c r="P35" s="19">
        <v>1031</v>
      </c>
      <c r="Q35" s="19">
        <v>2024</v>
      </c>
      <c r="R35" s="19">
        <v>2069</v>
      </c>
      <c r="S35" s="19">
        <v>2079</v>
      </c>
      <c r="T35" s="19">
        <v>2008</v>
      </c>
      <c r="U35" s="19">
        <v>1987</v>
      </c>
      <c r="V35" s="19">
        <v>2180</v>
      </c>
      <c r="W35" s="19">
        <v>2202</v>
      </c>
      <c r="X35" s="19">
        <v>2187</v>
      </c>
      <c r="Y35" s="19">
        <v>2263</v>
      </c>
      <c r="Z35" s="19">
        <v>2239</v>
      </c>
      <c r="AA35" s="19">
        <v>2300</v>
      </c>
      <c r="AB35" s="19">
        <v>2507</v>
      </c>
      <c r="AC35" s="19"/>
      <c r="AD35" s="959">
        <f>((((J35/I35))^(1/8))-1)*100</f>
        <v>2.625043916445291</v>
      </c>
      <c r="AE35" s="959">
        <f>((((U35/J35))^(1/11))-1)*100</f>
        <v>7.5526667156547989</v>
      </c>
      <c r="AF35" s="959">
        <f t="shared" ref="AF35:AF44" si="5">((((AB35/I35))^(1/26))-1)*100</f>
        <v>4.8874929479017171</v>
      </c>
      <c r="AG35" s="959">
        <f>((((AB35/U35))^(1/7))-1)*100</f>
        <v>3.3766257192839211</v>
      </c>
      <c r="AH35" s="23"/>
      <c r="AI35" s="959">
        <f>((AB35/I35)-1)*100</f>
        <v>245.79310344827587</v>
      </c>
      <c r="AJ35" s="114"/>
    </row>
    <row r="36" spans="1:36" ht="12.75" customHeight="1">
      <c r="I36" s="349"/>
      <c r="J36" s="19"/>
      <c r="K36" s="19"/>
      <c r="L36" s="19"/>
      <c r="M36" s="19"/>
      <c r="N36" s="19"/>
      <c r="O36" s="19"/>
      <c r="P36" s="19"/>
      <c r="Q36" s="19"/>
      <c r="R36" s="19"/>
      <c r="S36" s="19"/>
      <c r="T36" s="19"/>
      <c r="U36" s="19"/>
      <c r="V36" s="19"/>
      <c r="W36" s="19"/>
      <c r="X36" s="19"/>
      <c r="Y36" s="19"/>
      <c r="Z36" s="19"/>
      <c r="AA36" s="19"/>
      <c r="AB36" s="19"/>
      <c r="AC36" s="19"/>
      <c r="AD36" s="114"/>
      <c r="AE36" s="114"/>
      <c r="AF36" s="114"/>
      <c r="AG36" s="114"/>
      <c r="AH36" s="116"/>
      <c r="AI36" s="959"/>
      <c r="AJ36" s="114"/>
    </row>
    <row r="37" spans="1:36" ht="15.75" customHeight="1">
      <c r="B37" s="128" t="s">
        <v>3</v>
      </c>
      <c r="I37" s="349">
        <v>2521</v>
      </c>
      <c r="J37" s="19">
        <v>3256</v>
      </c>
      <c r="K37" s="19">
        <v>3370</v>
      </c>
      <c r="L37" s="19">
        <v>3455</v>
      </c>
      <c r="M37" s="19">
        <v>3517</v>
      </c>
      <c r="N37" s="19">
        <v>3575</v>
      </c>
      <c r="O37" s="19">
        <v>3639</v>
      </c>
      <c r="P37" s="19">
        <v>3705</v>
      </c>
      <c r="Q37" s="19">
        <v>3779</v>
      </c>
      <c r="R37" s="19">
        <v>3856</v>
      </c>
      <c r="S37" s="19">
        <v>3927</v>
      </c>
      <c r="T37" s="19">
        <v>4004</v>
      </c>
      <c r="U37" s="19">
        <v>4093</v>
      </c>
      <c r="V37" s="19">
        <v>4185</v>
      </c>
      <c r="W37" s="19">
        <v>4275</v>
      </c>
      <c r="X37" s="19">
        <v>4366</v>
      </c>
      <c r="Y37" s="19">
        <v>4461</v>
      </c>
      <c r="Z37" s="19">
        <v>4569</v>
      </c>
      <c r="AA37" s="19">
        <v>4670</v>
      </c>
      <c r="AB37" s="19">
        <v>4769</v>
      </c>
      <c r="AC37" s="19"/>
      <c r="AD37" s="959">
        <f>((((J37/I37))^(1/8))-1)*100</f>
        <v>3.2497345589185045</v>
      </c>
      <c r="AE37" s="959">
        <f>((((U37/J37))^(1/11))-1)*100</f>
        <v>2.1015855172903386</v>
      </c>
      <c r="AF37" s="959">
        <f t="shared" si="5"/>
        <v>2.4821549780106311</v>
      </c>
      <c r="AG37" s="959">
        <f>((((AB37/U37))^(1/7))-1)*100</f>
        <v>2.2077090810328492</v>
      </c>
      <c r="AH37" s="23"/>
      <c r="AI37" s="959">
        <f>((AB37/I37)-1)*100</f>
        <v>89.170963903213021</v>
      </c>
      <c r="AJ37" s="114"/>
    </row>
    <row r="38" spans="1:36">
      <c r="B38" s="128"/>
      <c r="I38" s="349"/>
      <c r="J38" s="19"/>
      <c r="K38" s="19"/>
      <c r="L38" s="19"/>
      <c r="M38" s="19"/>
      <c r="N38" s="19"/>
      <c r="O38" s="19"/>
      <c r="P38" s="19"/>
      <c r="Q38" s="19"/>
      <c r="R38" s="19"/>
      <c r="S38" s="19"/>
      <c r="T38" s="19"/>
      <c r="U38" s="19"/>
      <c r="V38" s="19"/>
      <c r="W38" s="19"/>
      <c r="X38" s="19"/>
      <c r="Y38" s="19"/>
      <c r="Z38" s="19"/>
      <c r="AA38" s="19"/>
      <c r="AB38" s="19"/>
      <c r="AC38" s="19"/>
      <c r="AD38" s="114"/>
      <c r="AE38" s="114"/>
      <c r="AF38" s="114"/>
      <c r="AG38" s="114"/>
      <c r="AH38" s="116"/>
      <c r="AI38" s="959"/>
      <c r="AJ38" s="114"/>
    </row>
    <row r="39" spans="1:36">
      <c r="C39" s="128" t="s">
        <v>4</v>
      </c>
      <c r="I39" s="349">
        <v>191</v>
      </c>
      <c r="J39" s="19">
        <v>216</v>
      </c>
      <c r="K39" s="19">
        <v>230</v>
      </c>
      <c r="L39" s="19">
        <v>230</v>
      </c>
      <c r="M39" s="19">
        <v>237</v>
      </c>
      <c r="N39" s="19">
        <v>261</v>
      </c>
      <c r="O39" s="19">
        <v>253</v>
      </c>
      <c r="P39" s="19">
        <v>261</v>
      </c>
      <c r="Q39" s="19">
        <v>261</v>
      </c>
      <c r="R39" s="19">
        <v>271</v>
      </c>
      <c r="S39" s="19">
        <v>275</v>
      </c>
      <c r="T39" s="19">
        <v>272</v>
      </c>
      <c r="U39" s="19">
        <v>290</v>
      </c>
      <c r="V39" s="19">
        <v>300</v>
      </c>
      <c r="W39" s="19">
        <v>315</v>
      </c>
      <c r="X39" s="19">
        <v>315</v>
      </c>
      <c r="Y39" s="19">
        <v>315</v>
      </c>
      <c r="Z39" s="19">
        <v>303</v>
      </c>
      <c r="AA39" s="19">
        <v>321</v>
      </c>
      <c r="AB39" s="19">
        <v>339</v>
      </c>
      <c r="AC39" s="19"/>
      <c r="AD39" s="959">
        <f t="shared" ref="AD39:AD44" si="6">((((J39/I39))^(1/8))-1)*100</f>
        <v>1.5494435498089265</v>
      </c>
      <c r="AE39" s="959">
        <f t="shared" ref="AE39:AE44" si="7">((((U39/J39))^(1/11))-1)*100</f>
        <v>2.7143909109708542</v>
      </c>
      <c r="AF39" s="959">
        <f t="shared" si="5"/>
        <v>2.2311674694609263</v>
      </c>
      <c r="AG39" s="959">
        <f t="shared" ref="AG39:AG44" si="8">((((AB39/U39))^(1/7))-1)*100</f>
        <v>2.2553306046306121</v>
      </c>
      <c r="AH39" s="23"/>
      <c r="AI39" s="959">
        <f t="shared" ref="AI39:AI44" si="9">((AB39/I39)-1)*100</f>
        <v>77.486910994764386</v>
      </c>
      <c r="AJ39" s="114"/>
    </row>
    <row r="40" spans="1:36">
      <c r="C40" s="1" t="s">
        <v>5</v>
      </c>
      <c r="I40" s="349">
        <v>162</v>
      </c>
      <c r="J40" s="19">
        <v>192</v>
      </c>
      <c r="K40" s="19">
        <v>204</v>
      </c>
      <c r="L40" s="19">
        <v>208</v>
      </c>
      <c r="M40" s="19">
        <v>218</v>
      </c>
      <c r="N40" s="19">
        <v>235</v>
      </c>
      <c r="O40" s="19">
        <v>228</v>
      </c>
      <c r="P40" s="19">
        <v>236</v>
      </c>
      <c r="Q40" s="19">
        <v>232</v>
      </c>
      <c r="R40" s="19">
        <v>233</v>
      </c>
      <c r="S40" s="19">
        <v>237</v>
      </c>
      <c r="T40" s="19">
        <v>236</v>
      </c>
      <c r="U40" s="19">
        <v>245</v>
      </c>
      <c r="V40" s="19">
        <v>257</v>
      </c>
      <c r="W40" s="19">
        <v>256</v>
      </c>
      <c r="X40" s="19">
        <v>245</v>
      </c>
      <c r="Y40" s="19">
        <v>250</v>
      </c>
      <c r="Z40" s="19">
        <v>242</v>
      </c>
      <c r="AA40" s="19">
        <v>252</v>
      </c>
      <c r="AB40" s="19">
        <v>265</v>
      </c>
      <c r="AC40" s="19"/>
      <c r="AD40" s="959">
        <f t="shared" si="6"/>
        <v>2.1464497693805429</v>
      </c>
      <c r="AE40" s="959">
        <f t="shared" si="7"/>
        <v>2.2407620390551886</v>
      </c>
      <c r="AF40" s="959">
        <f t="shared" si="5"/>
        <v>1.9108485398564357</v>
      </c>
      <c r="AG40" s="959">
        <f t="shared" si="8"/>
        <v>1.1273300870834557</v>
      </c>
      <c r="AH40" s="23"/>
      <c r="AI40" s="959">
        <f t="shared" si="9"/>
        <v>63.58024691358024</v>
      </c>
      <c r="AJ40" s="114"/>
    </row>
    <row r="41" spans="1:36">
      <c r="C41" s="1" t="s">
        <v>6</v>
      </c>
      <c r="I41" s="349">
        <v>29</v>
      </c>
      <c r="J41" s="19">
        <v>24</v>
      </c>
      <c r="K41" s="19">
        <v>26</v>
      </c>
      <c r="L41" s="19">
        <v>22</v>
      </c>
      <c r="M41" s="19">
        <v>19</v>
      </c>
      <c r="N41" s="19">
        <v>26</v>
      </c>
      <c r="O41" s="19">
        <v>26</v>
      </c>
      <c r="P41" s="19">
        <v>25</v>
      </c>
      <c r="Q41" s="19">
        <v>29</v>
      </c>
      <c r="R41" s="19">
        <v>38</v>
      </c>
      <c r="S41" s="19">
        <v>39</v>
      </c>
      <c r="T41" s="19">
        <v>35</v>
      </c>
      <c r="U41" s="19">
        <v>44</v>
      </c>
      <c r="V41" s="19">
        <v>43</v>
      </c>
      <c r="W41" s="19">
        <v>59</v>
      </c>
      <c r="X41" s="19">
        <v>70</v>
      </c>
      <c r="Y41" s="19">
        <v>65</v>
      </c>
      <c r="Z41" s="19">
        <v>61</v>
      </c>
      <c r="AA41" s="19">
        <v>69</v>
      </c>
      <c r="AB41" s="19">
        <v>75</v>
      </c>
      <c r="AC41" s="19"/>
      <c r="AD41" s="959">
        <f t="shared" si="6"/>
        <v>-2.3377657675827113</v>
      </c>
      <c r="AE41" s="959">
        <f t="shared" si="7"/>
        <v>5.6649713271726299</v>
      </c>
      <c r="AF41" s="959">
        <f t="shared" si="5"/>
        <v>3.7221866872171994</v>
      </c>
      <c r="AG41" s="959">
        <f t="shared" si="8"/>
        <v>7.9162737137417949</v>
      </c>
      <c r="AH41" s="23"/>
      <c r="AI41" s="959">
        <f t="shared" si="9"/>
        <v>158.62068965517241</v>
      </c>
      <c r="AJ41" s="114"/>
    </row>
    <row r="42" spans="1:36">
      <c r="C42" s="128" t="s">
        <v>7</v>
      </c>
      <c r="I42" s="349">
        <v>529</v>
      </c>
      <c r="J42" s="19">
        <v>685</v>
      </c>
      <c r="K42" s="19">
        <v>724</v>
      </c>
      <c r="L42" s="19">
        <v>724</v>
      </c>
      <c r="M42" s="19">
        <v>722</v>
      </c>
      <c r="N42" s="19">
        <v>760</v>
      </c>
      <c r="O42" s="19">
        <v>761</v>
      </c>
      <c r="P42" s="19">
        <v>777</v>
      </c>
      <c r="Q42" s="19">
        <v>781</v>
      </c>
      <c r="R42" s="19">
        <v>775</v>
      </c>
      <c r="S42" s="19">
        <v>779</v>
      </c>
      <c r="T42" s="19">
        <v>794</v>
      </c>
      <c r="U42" s="19">
        <v>793</v>
      </c>
      <c r="V42" s="19">
        <v>791</v>
      </c>
      <c r="W42" s="19">
        <v>830</v>
      </c>
      <c r="X42" s="19">
        <v>818</v>
      </c>
      <c r="Y42" s="19">
        <v>810</v>
      </c>
      <c r="Z42" s="19">
        <v>822</v>
      </c>
      <c r="AA42" s="19">
        <v>834</v>
      </c>
      <c r="AB42" s="19">
        <v>863</v>
      </c>
      <c r="AC42" s="19"/>
      <c r="AD42" s="959">
        <f t="shared" si="6"/>
        <v>3.283123260263987</v>
      </c>
      <c r="AE42" s="959">
        <f t="shared" si="7"/>
        <v>1.3398454908543744</v>
      </c>
      <c r="AF42" s="959">
        <f t="shared" si="5"/>
        <v>1.9002376975859825</v>
      </c>
      <c r="AG42" s="959">
        <f t="shared" si="8"/>
        <v>1.2157808170262019</v>
      </c>
      <c r="AH42" s="23"/>
      <c r="AI42" s="959">
        <f t="shared" si="9"/>
        <v>63.137996219281668</v>
      </c>
      <c r="AJ42" s="114"/>
    </row>
    <row r="43" spans="1:36">
      <c r="C43" s="1" t="s">
        <v>5</v>
      </c>
      <c r="I43" s="349">
        <v>485</v>
      </c>
      <c r="J43" s="19">
        <v>648</v>
      </c>
      <c r="K43" s="19">
        <v>693</v>
      </c>
      <c r="L43" s="19">
        <v>700</v>
      </c>
      <c r="M43" s="19">
        <v>681</v>
      </c>
      <c r="N43" s="19">
        <v>735</v>
      </c>
      <c r="O43" s="19">
        <v>735</v>
      </c>
      <c r="P43" s="19">
        <v>748</v>
      </c>
      <c r="Q43" s="19">
        <v>751</v>
      </c>
      <c r="R43" s="19">
        <v>724</v>
      </c>
      <c r="S43" s="19">
        <v>728</v>
      </c>
      <c r="T43" s="19">
        <v>745</v>
      </c>
      <c r="U43" s="19">
        <v>742</v>
      </c>
      <c r="V43" s="19">
        <v>735</v>
      </c>
      <c r="W43" s="19">
        <v>769</v>
      </c>
      <c r="X43" s="19">
        <v>732</v>
      </c>
      <c r="Y43" s="19">
        <v>727</v>
      </c>
      <c r="Z43" s="19">
        <v>740</v>
      </c>
      <c r="AA43" s="19">
        <v>749</v>
      </c>
      <c r="AB43" s="19">
        <v>763</v>
      </c>
      <c r="AC43" s="19"/>
      <c r="AD43" s="959">
        <f t="shared" si="6"/>
        <v>3.6881577659604314</v>
      </c>
      <c r="AE43" s="959">
        <f t="shared" si="7"/>
        <v>1.2390547931478979</v>
      </c>
      <c r="AF43" s="959">
        <f t="shared" si="5"/>
        <v>1.7580015575286767</v>
      </c>
      <c r="AG43" s="959">
        <f t="shared" si="8"/>
        <v>0.39949282681295273</v>
      </c>
      <c r="AH43" s="23"/>
      <c r="AI43" s="959">
        <f t="shared" si="9"/>
        <v>57.319587628865975</v>
      </c>
      <c r="AJ43" s="114"/>
    </row>
    <row r="44" spans="1:36">
      <c r="C44" s="1" t="s">
        <v>6</v>
      </c>
      <c r="I44" s="349">
        <v>44</v>
      </c>
      <c r="J44" s="19">
        <v>36</v>
      </c>
      <c r="K44" s="19">
        <v>31</v>
      </c>
      <c r="L44" s="19">
        <v>24</v>
      </c>
      <c r="M44" s="19">
        <v>42</v>
      </c>
      <c r="N44" s="19">
        <v>25</v>
      </c>
      <c r="O44" s="19">
        <v>26</v>
      </c>
      <c r="P44" s="19">
        <v>28</v>
      </c>
      <c r="Q44" s="19">
        <v>31</v>
      </c>
      <c r="R44" s="19">
        <v>51</v>
      </c>
      <c r="S44" s="19">
        <v>51</v>
      </c>
      <c r="T44" s="19">
        <v>48</v>
      </c>
      <c r="U44" s="19">
        <v>51</v>
      </c>
      <c r="V44" s="19">
        <v>55</v>
      </c>
      <c r="W44" s="19">
        <v>62</v>
      </c>
      <c r="X44" s="19">
        <v>86</v>
      </c>
      <c r="Y44" s="19">
        <v>84</v>
      </c>
      <c r="Z44" s="19">
        <v>82</v>
      </c>
      <c r="AA44" s="19">
        <v>85</v>
      </c>
      <c r="AB44" s="19">
        <v>101</v>
      </c>
      <c r="AC44" s="19"/>
      <c r="AD44" s="959">
        <f t="shared" si="6"/>
        <v>-2.4771851535739797</v>
      </c>
      <c r="AE44" s="959">
        <f t="shared" si="7"/>
        <v>3.2170890513528061</v>
      </c>
      <c r="AF44" s="959">
        <f t="shared" si="5"/>
        <v>3.2475049174280679</v>
      </c>
      <c r="AG44" s="959">
        <f t="shared" si="8"/>
        <v>10.253663286340764</v>
      </c>
      <c r="AH44" s="23"/>
      <c r="AI44" s="959">
        <f t="shared" si="9"/>
        <v>129.54545454545453</v>
      </c>
      <c r="AJ44" s="114"/>
    </row>
    <row r="45" spans="1:36">
      <c r="I45" s="349"/>
      <c r="J45" s="19"/>
      <c r="K45" s="19"/>
      <c r="L45" s="19"/>
      <c r="M45" s="19"/>
      <c r="N45" s="19"/>
      <c r="O45" s="19"/>
      <c r="P45" s="19"/>
      <c r="Q45" s="19"/>
      <c r="R45" s="19"/>
      <c r="S45" s="19"/>
      <c r="T45" s="19"/>
      <c r="U45" s="19"/>
      <c r="V45" s="19"/>
      <c r="W45" s="19"/>
      <c r="X45" s="19"/>
      <c r="Y45" s="19"/>
      <c r="Z45" s="19"/>
      <c r="AA45" s="19"/>
      <c r="AB45" s="19"/>
      <c r="AC45" s="19"/>
      <c r="AD45" s="114"/>
      <c r="AE45" s="114"/>
      <c r="AF45" s="114"/>
      <c r="AG45" s="114"/>
      <c r="AH45" s="116"/>
      <c r="AI45" s="959"/>
      <c r="AJ45" s="114"/>
    </row>
    <row r="46" spans="1:36">
      <c r="C46" s="128" t="s">
        <v>8</v>
      </c>
      <c r="I46" s="349">
        <v>965</v>
      </c>
      <c r="J46" s="19">
        <v>1305</v>
      </c>
      <c r="K46" s="19">
        <v>1382</v>
      </c>
      <c r="L46" s="19">
        <v>1409</v>
      </c>
      <c r="M46" s="19">
        <v>1489</v>
      </c>
      <c r="N46" s="19">
        <v>1503</v>
      </c>
      <c r="O46" s="19">
        <v>1523</v>
      </c>
      <c r="P46" s="19">
        <v>1519</v>
      </c>
      <c r="Q46" s="19">
        <v>1623</v>
      </c>
      <c r="R46" s="19">
        <v>1649</v>
      </c>
      <c r="S46" s="19">
        <v>1674</v>
      </c>
      <c r="T46" s="19">
        <v>1724</v>
      </c>
      <c r="U46" s="19">
        <v>1728</v>
      </c>
      <c r="V46" s="19">
        <v>1792</v>
      </c>
      <c r="W46" s="19">
        <v>1816</v>
      </c>
      <c r="X46" s="19">
        <v>1871</v>
      </c>
      <c r="Y46" s="19">
        <v>1959</v>
      </c>
      <c r="Z46" s="19">
        <v>2001</v>
      </c>
      <c r="AA46" s="19">
        <v>2029</v>
      </c>
      <c r="AB46" s="19">
        <v>2069</v>
      </c>
      <c r="AC46" s="19"/>
      <c r="AD46" s="959">
        <f t="shared" ref="AD46:AD51" si="10">((((J46/I46))^(1/8))-1)*100</f>
        <v>3.8449543593245039</v>
      </c>
      <c r="AE46" s="959">
        <f t="shared" ref="AE46:AE51" si="11">((((U46/J46))^(1/11))-1)*100</f>
        <v>2.5852305374438167</v>
      </c>
      <c r="AF46" s="959">
        <f t="shared" ref="AF46:AF51" si="12">((((AB46/I46))^(1/26))-1)*100</f>
        <v>2.9768819396654544</v>
      </c>
      <c r="AG46" s="959">
        <f t="shared" ref="AG46:AG51" si="13">((((AB46/U46))^(1/7))-1)*100</f>
        <v>2.6062514786050706</v>
      </c>
      <c r="AH46" s="23"/>
      <c r="AI46" s="959">
        <f t="shared" ref="AI46:AI51" si="14">((AB46/I46)-1)*100</f>
        <v>114.40414507772019</v>
      </c>
      <c r="AJ46" s="114"/>
    </row>
    <row r="47" spans="1:36">
      <c r="C47" s="1" t="s">
        <v>5</v>
      </c>
      <c r="I47" s="349">
        <v>102</v>
      </c>
      <c r="J47" s="19">
        <v>156</v>
      </c>
      <c r="K47" s="19">
        <v>181</v>
      </c>
      <c r="L47" s="19">
        <v>267</v>
      </c>
      <c r="M47" s="19">
        <v>277</v>
      </c>
      <c r="N47" s="19">
        <v>343</v>
      </c>
      <c r="O47" s="19">
        <v>315</v>
      </c>
      <c r="P47" s="19">
        <v>305</v>
      </c>
      <c r="Q47" s="19">
        <v>333</v>
      </c>
      <c r="R47" s="19">
        <v>370</v>
      </c>
      <c r="S47" s="19">
        <v>350</v>
      </c>
      <c r="T47" s="19">
        <v>295</v>
      </c>
      <c r="U47" s="19">
        <v>272</v>
      </c>
      <c r="V47" s="19">
        <v>288</v>
      </c>
      <c r="W47" s="19">
        <v>311</v>
      </c>
      <c r="X47" s="19">
        <v>326</v>
      </c>
      <c r="Y47" s="19">
        <v>317</v>
      </c>
      <c r="Z47" s="19">
        <v>358</v>
      </c>
      <c r="AA47" s="19">
        <v>297</v>
      </c>
      <c r="AB47" s="19">
        <v>329</v>
      </c>
      <c r="AC47" s="19"/>
      <c r="AD47" s="959">
        <f t="shared" si="10"/>
        <v>5.4546059782704104</v>
      </c>
      <c r="AE47" s="959">
        <f t="shared" si="11"/>
        <v>5.1839515447598794</v>
      </c>
      <c r="AF47" s="959">
        <f t="shared" si="12"/>
        <v>4.6071509851411285</v>
      </c>
      <c r="AG47" s="959">
        <f t="shared" si="13"/>
        <v>2.7552112121775885</v>
      </c>
      <c r="AH47" s="23"/>
      <c r="AI47" s="959">
        <f t="shared" si="14"/>
        <v>222.54901960784315</v>
      </c>
      <c r="AJ47" s="114"/>
    </row>
    <row r="48" spans="1:36">
      <c r="C48" s="1" t="s">
        <v>6</v>
      </c>
      <c r="I48" s="349">
        <v>864</v>
      </c>
      <c r="J48" s="19">
        <v>1149</v>
      </c>
      <c r="K48" s="19">
        <v>1201</v>
      </c>
      <c r="L48" s="19">
        <v>1142</v>
      </c>
      <c r="M48" s="19">
        <v>1211</v>
      </c>
      <c r="N48" s="19">
        <v>1160</v>
      </c>
      <c r="O48" s="19">
        <v>1208</v>
      </c>
      <c r="P48" s="19">
        <v>1214</v>
      </c>
      <c r="Q48" s="19">
        <v>1290</v>
      </c>
      <c r="R48" s="19">
        <v>1279</v>
      </c>
      <c r="S48" s="19">
        <v>1325</v>
      </c>
      <c r="T48" s="19">
        <v>1429</v>
      </c>
      <c r="U48" s="19">
        <v>1456</v>
      </c>
      <c r="V48" s="19">
        <v>1505</v>
      </c>
      <c r="W48" s="19">
        <v>1505</v>
      </c>
      <c r="X48" s="19">
        <v>1545</v>
      </c>
      <c r="Y48" s="19">
        <v>1642</v>
      </c>
      <c r="Z48" s="19">
        <v>1642</v>
      </c>
      <c r="AA48" s="19">
        <v>1733</v>
      </c>
      <c r="AB48" s="19">
        <v>1740</v>
      </c>
      <c r="AC48" s="19"/>
      <c r="AD48" s="959">
        <f t="shared" si="10"/>
        <v>3.627682488383166</v>
      </c>
      <c r="AE48" s="959">
        <f t="shared" si="11"/>
        <v>2.1760744484405015</v>
      </c>
      <c r="AF48" s="959">
        <f t="shared" si="12"/>
        <v>2.7291449389475586</v>
      </c>
      <c r="AG48" s="959">
        <f t="shared" si="13"/>
        <v>2.5782794787868157</v>
      </c>
      <c r="AH48" s="23"/>
      <c r="AI48" s="959">
        <f t="shared" si="14"/>
        <v>101.38888888888889</v>
      </c>
      <c r="AJ48" s="114"/>
    </row>
    <row r="49" spans="1:36">
      <c r="C49" s="128" t="s">
        <v>9</v>
      </c>
      <c r="I49" s="349">
        <v>837</v>
      </c>
      <c r="J49" s="19">
        <v>1050</v>
      </c>
      <c r="K49" s="19">
        <v>1034</v>
      </c>
      <c r="L49" s="19">
        <v>1092</v>
      </c>
      <c r="M49" s="19">
        <v>1069</v>
      </c>
      <c r="N49" s="19">
        <v>1051</v>
      </c>
      <c r="O49" s="19">
        <v>1101</v>
      </c>
      <c r="P49" s="19">
        <v>1148</v>
      </c>
      <c r="Q49" s="19">
        <v>1114</v>
      </c>
      <c r="R49" s="19">
        <v>1161</v>
      </c>
      <c r="S49" s="19">
        <v>1199</v>
      </c>
      <c r="T49" s="19">
        <v>1215</v>
      </c>
      <c r="U49" s="19">
        <v>1282</v>
      </c>
      <c r="V49" s="19">
        <v>1302</v>
      </c>
      <c r="W49" s="19">
        <v>1314</v>
      </c>
      <c r="X49" s="19">
        <v>1362</v>
      </c>
      <c r="Y49" s="19">
        <v>1376</v>
      </c>
      <c r="Z49" s="19">
        <v>1443</v>
      </c>
      <c r="AA49" s="19">
        <v>1485</v>
      </c>
      <c r="AB49" s="19">
        <v>1498</v>
      </c>
      <c r="AC49" s="19"/>
      <c r="AD49" s="959">
        <f t="shared" si="10"/>
        <v>2.8745574917127925</v>
      </c>
      <c r="AE49" s="959">
        <f t="shared" si="11"/>
        <v>1.8313971373536297</v>
      </c>
      <c r="AF49" s="959">
        <f t="shared" si="12"/>
        <v>2.2639473056136783</v>
      </c>
      <c r="AG49" s="959">
        <f t="shared" si="13"/>
        <v>2.2493465377166455</v>
      </c>
      <c r="AH49" s="23"/>
      <c r="AI49" s="959">
        <f t="shared" si="14"/>
        <v>78.972520908004768</v>
      </c>
      <c r="AJ49" s="114"/>
    </row>
    <row r="50" spans="1:36">
      <c r="C50" s="1" t="s">
        <v>5</v>
      </c>
      <c r="I50" s="349">
        <v>150</v>
      </c>
      <c r="J50" s="19">
        <v>205</v>
      </c>
      <c r="K50" s="19">
        <v>194</v>
      </c>
      <c r="L50" s="19">
        <v>257</v>
      </c>
      <c r="M50" s="19">
        <v>278</v>
      </c>
      <c r="N50" s="19">
        <v>263</v>
      </c>
      <c r="O50" s="19">
        <v>328</v>
      </c>
      <c r="P50" s="19">
        <v>299</v>
      </c>
      <c r="Q50" s="19">
        <v>314</v>
      </c>
      <c r="R50" s="19">
        <v>337</v>
      </c>
      <c r="S50" s="19">
        <v>345</v>
      </c>
      <c r="T50" s="19">
        <v>323</v>
      </c>
      <c r="U50" s="19">
        <v>323</v>
      </c>
      <c r="V50" s="19">
        <v>326</v>
      </c>
      <c r="W50" s="19">
        <v>309</v>
      </c>
      <c r="X50" s="19">
        <v>307</v>
      </c>
      <c r="Y50" s="19">
        <v>319</v>
      </c>
      <c r="Z50" s="19">
        <v>302</v>
      </c>
      <c r="AA50" s="19">
        <v>308</v>
      </c>
      <c r="AB50" s="19">
        <v>316</v>
      </c>
      <c r="AC50" s="19"/>
      <c r="AD50" s="959">
        <f t="shared" si="10"/>
        <v>3.9819183096520439</v>
      </c>
      <c r="AE50" s="959">
        <f t="shared" si="11"/>
        <v>4.2197143017408179</v>
      </c>
      <c r="AF50" s="959">
        <f t="shared" si="12"/>
        <v>2.9072548693515943</v>
      </c>
      <c r="AG50" s="959">
        <f t="shared" si="13"/>
        <v>-0.31251222700223735</v>
      </c>
      <c r="AH50" s="23"/>
      <c r="AI50" s="959">
        <f t="shared" si="14"/>
        <v>110.66666666666664</v>
      </c>
      <c r="AJ50" s="114"/>
    </row>
    <row r="51" spans="1:36">
      <c r="C51" s="1" t="s">
        <v>10</v>
      </c>
      <c r="I51" s="349">
        <v>686</v>
      </c>
      <c r="J51" s="19">
        <v>845</v>
      </c>
      <c r="K51" s="19">
        <v>840</v>
      </c>
      <c r="L51" s="19">
        <v>835</v>
      </c>
      <c r="M51" s="19">
        <v>791</v>
      </c>
      <c r="N51" s="19">
        <v>788</v>
      </c>
      <c r="O51" s="19">
        <v>772</v>
      </c>
      <c r="P51" s="19">
        <v>849</v>
      </c>
      <c r="Q51" s="19">
        <v>800</v>
      </c>
      <c r="R51" s="19">
        <v>824</v>
      </c>
      <c r="S51" s="19">
        <v>854</v>
      </c>
      <c r="T51" s="19">
        <v>892</v>
      </c>
      <c r="U51" s="19">
        <v>959</v>
      </c>
      <c r="V51" s="19">
        <v>976</v>
      </c>
      <c r="W51" s="19">
        <v>1006</v>
      </c>
      <c r="X51" s="19">
        <v>1055</v>
      </c>
      <c r="Y51" s="19">
        <v>1057</v>
      </c>
      <c r="Z51" s="19">
        <v>1141</v>
      </c>
      <c r="AA51" s="19">
        <v>1177</v>
      </c>
      <c r="AB51" s="19">
        <v>1182</v>
      </c>
      <c r="AC51" s="19"/>
      <c r="AD51" s="959">
        <f t="shared" si="10"/>
        <v>2.6399836427388523</v>
      </c>
      <c r="AE51" s="959">
        <f t="shared" si="11"/>
        <v>1.1571386248081295</v>
      </c>
      <c r="AF51" s="959">
        <f t="shared" si="12"/>
        <v>2.1146859871701729</v>
      </c>
      <c r="AG51" s="959">
        <f t="shared" si="13"/>
        <v>3.0317952295003225</v>
      </c>
      <c r="AH51" s="23"/>
      <c r="AI51" s="959">
        <f t="shared" si="14"/>
        <v>72.303206997084544</v>
      </c>
    </row>
    <row r="52" spans="1:36">
      <c r="I52" s="652"/>
      <c r="J52" s="652"/>
      <c r="K52" s="652"/>
      <c r="L52" s="652"/>
      <c r="M52" s="652"/>
      <c r="N52" s="652"/>
      <c r="O52" s="652"/>
      <c r="P52" s="652"/>
      <c r="Q52" s="652"/>
      <c r="R52" s="652"/>
      <c r="S52" s="652"/>
      <c r="T52" s="652"/>
      <c r="U52" s="652"/>
      <c r="V52" s="652"/>
      <c r="W52" s="652"/>
      <c r="X52" s="652"/>
      <c r="Y52" s="652"/>
      <c r="Z52" s="652"/>
    </row>
    <row r="53" spans="1:36" ht="16.5" customHeight="1">
      <c r="A53" s="1170" t="s">
        <v>1959</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row>
    <row r="54" spans="1:36" ht="16.5" customHeight="1">
      <c r="A54" s="13" t="s">
        <v>388</v>
      </c>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c r="AA54" s="643"/>
      <c r="AB54" s="958"/>
      <c r="AC54" s="643"/>
      <c r="AD54" s="643"/>
      <c r="AE54" s="643"/>
      <c r="AF54" s="643"/>
      <c r="AG54" s="643"/>
      <c r="AH54" s="643"/>
      <c r="AI54" s="643"/>
    </row>
    <row r="55" spans="1:36" ht="30" customHeight="1">
      <c r="A55" s="1168" t="s">
        <v>1031</v>
      </c>
      <c r="B55" s="1169"/>
      <c r="C55" s="1169"/>
      <c r="D55" s="1169"/>
      <c r="E55" s="1169"/>
      <c r="F55" s="1169"/>
      <c r="G55" s="1169"/>
      <c r="H55" s="1169"/>
      <c r="I55" s="1169"/>
      <c r="J55" s="1169"/>
      <c r="K55" s="1169"/>
      <c r="L55" s="1169"/>
      <c r="M55" s="1169"/>
      <c r="N55" s="1169"/>
      <c r="O55" s="1169"/>
      <c r="P55" s="1169"/>
      <c r="Q55" s="1169"/>
      <c r="R55" s="1169"/>
      <c r="S55" s="1169"/>
      <c r="T55" s="1169"/>
      <c r="U55" s="1169"/>
      <c r="V55" s="1169"/>
      <c r="W55" s="1169"/>
      <c r="X55" s="1169"/>
      <c r="Y55" s="1169"/>
      <c r="Z55" s="1169"/>
      <c r="AA55" s="1169"/>
      <c r="AB55" s="1169"/>
      <c r="AC55" s="1169"/>
      <c r="AD55" s="1169"/>
      <c r="AE55" s="1169"/>
      <c r="AF55" s="1169"/>
      <c r="AG55" s="1169"/>
      <c r="AH55" s="1169"/>
      <c r="AI55" s="1169"/>
    </row>
    <row r="56" spans="1:36">
      <c r="A56" s="1" t="s">
        <v>369</v>
      </c>
    </row>
  </sheetData>
  <mergeCells count="3">
    <mergeCell ref="AD3:AG3"/>
    <mergeCell ref="A55:AI55"/>
    <mergeCell ref="A53:AI53"/>
  </mergeCells>
  <phoneticPr fontId="35" type="noConversion"/>
  <pageMargins left="0.75" right="0.75" top="1" bottom="1" header="0.5" footer="0.5"/>
  <pageSetup scale="53"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sheetPr codeName="Sheet44">
    <pageSetUpPr fitToPage="1"/>
  </sheetPr>
  <dimension ref="A1:AJ99"/>
  <sheetViews>
    <sheetView view="pageBreakPreview" zoomScale="70" zoomScaleSheetLayoutView="7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2" width="9.28515625" style="1" bestFit="1" customWidth="1"/>
    <col min="13" max="16384" width="8.85546875" style="1"/>
  </cols>
  <sheetData>
    <row r="1" spans="1:24" ht="33.75" customHeight="1">
      <c r="A1" s="4"/>
      <c r="B1" s="1178" t="s">
        <v>2154</v>
      </c>
      <c r="C1" s="1178"/>
      <c r="D1" s="1178"/>
      <c r="E1" s="1178"/>
      <c r="F1" s="1178"/>
      <c r="G1" s="1178"/>
      <c r="H1" s="1178"/>
      <c r="I1" s="1178"/>
      <c r="J1" s="1178"/>
      <c r="K1" s="1178"/>
      <c r="L1" s="1178"/>
    </row>
    <row r="2" spans="1:24">
      <c r="A2" s="4"/>
      <c r="B2" s="4"/>
    </row>
    <row r="3" spans="1:24">
      <c r="B3" s="1164" t="s">
        <v>375</v>
      </c>
      <c r="C3" s="1164" t="s">
        <v>377</v>
      </c>
      <c r="D3" s="1164" t="s">
        <v>386</v>
      </c>
      <c r="E3" s="1164" t="s">
        <v>378</v>
      </c>
      <c r="F3" s="1164" t="s">
        <v>379</v>
      </c>
      <c r="G3" s="1164" t="s">
        <v>380</v>
      </c>
      <c r="H3" s="1164" t="s">
        <v>381</v>
      </c>
      <c r="I3" s="1164" t="s">
        <v>382</v>
      </c>
      <c r="J3" s="1164" t="s">
        <v>383</v>
      </c>
      <c r="K3" s="1164" t="s">
        <v>384</v>
      </c>
      <c r="L3" s="1164" t="s">
        <v>385</v>
      </c>
    </row>
    <row r="4" spans="1:24" s="4" customFormat="1">
      <c r="A4" s="7"/>
      <c r="B4" s="1165"/>
      <c r="C4" s="1165"/>
      <c r="D4" s="1165"/>
      <c r="E4" s="1165"/>
      <c r="F4" s="1165"/>
      <c r="G4" s="1165"/>
      <c r="H4" s="1165"/>
      <c r="I4" s="1165"/>
      <c r="J4" s="1165"/>
      <c r="K4" s="1165"/>
      <c r="L4" s="1165"/>
    </row>
    <row r="5" spans="1:24">
      <c r="A5" s="2">
        <v>1981</v>
      </c>
      <c r="B5" s="19">
        <f>'15a'!B5/'15a'!$B5*100</f>
        <v>100</v>
      </c>
      <c r="C5" s="21">
        <f>'15a'!C5/'15a'!$B5*100</f>
        <v>146.8068014459767</v>
      </c>
      <c r="D5" s="21">
        <f>'15a'!D5/'15a'!$B5*100</f>
        <v>100.27000490918016</v>
      </c>
      <c r="E5" s="21">
        <f>'15a'!E5/'15a'!$B5*100</f>
        <v>103.70029455081003</v>
      </c>
      <c r="F5" s="21">
        <f>'15a'!F5/'15a'!$B5*100</f>
        <v>141.74787704070445</v>
      </c>
      <c r="G5" s="21">
        <f>'15a'!G5/'15a'!$B5*100</f>
        <v>106.28905783544957</v>
      </c>
      <c r="H5" s="21">
        <f>'15a'!H5/'15a'!$B5*100</f>
        <v>79.07495123989969</v>
      </c>
      <c r="I5" s="21">
        <f>'15a'!I5/'15a'!$B5*100</f>
        <v>109.88337380089956</v>
      </c>
      <c r="J5" s="21">
        <f>'15a'!J5/'15a'!$B5*100</f>
        <v>130.69518260015795</v>
      </c>
      <c r="K5" s="21">
        <f>'15a'!K5/'15a'!$B5*100</f>
        <v>83.33807749904085</v>
      </c>
      <c r="L5" s="21">
        <f>'15a'!L5/'15a'!$B5*100</f>
        <v>91.888301712437553</v>
      </c>
      <c r="N5" s="6"/>
      <c r="O5" s="6"/>
      <c r="P5" s="6"/>
      <c r="Q5" s="6"/>
      <c r="R5" s="6"/>
      <c r="S5" s="6"/>
      <c r="T5" s="6"/>
      <c r="U5" s="6"/>
      <c r="V5" s="6"/>
      <c r="W5" s="6"/>
      <c r="X5" s="6"/>
    </row>
    <row r="6" spans="1:24">
      <c r="A6" s="2">
        <v>1982</v>
      </c>
      <c r="B6" s="19">
        <f>'15a'!B6/'15a'!$B6*100</f>
        <v>100</v>
      </c>
      <c r="C6" s="21">
        <f>'15a'!C6/'15a'!$B6*100</f>
        <v>143.56950094655014</v>
      </c>
      <c r="D6" s="21">
        <f>'15a'!D6/'15a'!$B6*100</f>
        <v>107.82712369597614</v>
      </c>
      <c r="E6" s="21">
        <f>'15a'!E6/'15a'!$B6*100</f>
        <v>99.33791014145757</v>
      </c>
      <c r="F6" s="21">
        <f>'15a'!F6/'15a'!$B6*100</f>
        <v>153.50223546944858</v>
      </c>
      <c r="G6" s="21">
        <f>'15a'!G6/'15a'!$B6*100</f>
        <v>105.42244640605296</v>
      </c>
      <c r="H6" s="21">
        <f>'15a'!H6/'15a'!$B6*100</f>
        <v>81.054396423248875</v>
      </c>
      <c r="I6" s="21">
        <f>'15a'!I6/'15a'!$B6*100</f>
        <v>102.88127173373076</v>
      </c>
      <c r="J6" s="21">
        <f>'15a'!J6/'15a'!$B6*100</f>
        <v>101.18231495280676</v>
      </c>
      <c r="K6" s="21">
        <f>'15a'!K6/'15a'!$B6*100</f>
        <v>86.871186345358936</v>
      </c>
      <c r="L6" s="21">
        <f>'15a'!L6/'15a'!$B6*100</f>
        <v>110.69647292598113</v>
      </c>
      <c r="N6" s="6"/>
      <c r="O6" s="6"/>
      <c r="P6" s="6"/>
      <c r="Q6" s="6"/>
      <c r="R6" s="6"/>
      <c r="S6" s="6"/>
      <c r="T6" s="6"/>
      <c r="U6" s="6"/>
      <c r="V6" s="6"/>
      <c r="W6" s="6"/>
      <c r="X6" s="6"/>
    </row>
    <row r="7" spans="1:24">
      <c r="A7" s="2">
        <v>1983</v>
      </c>
      <c r="B7" s="19">
        <f>'15a'!B7/'15a'!$B7*100</f>
        <v>100</v>
      </c>
      <c r="C7" s="21">
        <f>'15a'!C7/'15a'!$B7*100</f>
        <v>143.79806905580102</v>
      </c>
      <c r="D7" s="21">
        <f>'15a'!D7/'15a'!$B7*100</f>
        <v>113.77908689248895</v>
      </c>
      <c r="E7" s="21">
        <f>'15a'!E7/'15a'!$B7*100</f>
        <v>99.140101667537664</v>
      </c>
      <c r="F7" s="21">
        <f>'15a'!F7/'15a'!$B7*100</f>
        <v>162.26476845033545</v>
      </c>
      <c r="G7" s="21">
        <f>'15a'!G7/'15a'!$B7*100</f>
        <v>103.02374815905743</v>
      </c>
      <c r="H7" s="21">
        <f>'15a'!H7/'15a'!$B7*100</f>
        <v>83.327196858124694</v>
      </c>
      <c r="I7" s="21">
        <f>'15a'!I7/'15a'!$B7*100</f>
        <v>107.03185105400831</v>
      </c>
      <c r="J7" s="21">
        <f>'15a'!J7/'15a'!$B7*100</f>
        <v>95.876288659793801</v>
      </c>
      <c r="K7" s="21">
        <f>'15a'!K7/'15a'!$B7*100</f>
        <v>101.25836580227812</v>
      </c>
      <c r="L7" s="21">
        <f>'15a'!L7/'15a'!$B7*100</f>
        <v>101.67041314626775</v>
      </c>
      <c r="N7" s="6"/>
      <c r="O7" s="6"/>
      <c r="P7" s="6"/>
      <c r="Q7" s="6"/>
      <c r="R7" s="6"/>
      <c r="S7" s="6"/>
      <c r="T7" s="6"/>
      <c r="U7" s="6"/>
      <c r="V7" s="6"/>
      <c r="W7" s="6"/>
      <c r="X7" s="6"/>
    </row>
    <row r="8" spans="1:24">
      <c r="A8" s="2">
        <v>1984</v>
      </c>
      <c r="B8" s="19">
        <f>'15a'!B8/'15a'!$B8*100</f>
        <v>100</v>
      </c>
      <c r="C8" s="21">
        <f>'15a'!C8/'15a'!$B8*100</f>
        <v>134.97214028187477</v>
      </c>
      <c r="D8" s="21">
        <f>'15a'!D8/'15a'!$B8*100</f>
        <v>81.372406789496594</v>
      </c>
      <c r="E8" s="21">
        <f>'15a'!E8/'15a'!$B8*100</f>
        <v>98.43657817109144</v>
      </c>
      <c r="F8" s="21">
        <f>'15a'!F8/'15a'!$B8*100</f>
        <v>136.90193539103529</v>
      </c>
      <c r="G8" s="21">
        <f>'15a'!G8/'15a'!$B8*100</f>
        <v>117.0289292552916</v>
      </c>
      <c r="H8" s="21">
        <f>'15a'!H8/'15a'!$B8*100</f>
        <v>79.848820058997049</v>
      </c>
      <c r="I8" s="21">
        <f>'15a'!I8/'15a'!$B8*100</f>
        <v>88.523107177974424</v>
      </c>
      <c r="J8" s="21">
        <f>'15a'!J8/'15a'!$B8*100</f>
        <v>119.67973029919932</v>
      </c>
      <c r="K8" s="21">
        <f>'15a'!K8/'15a'!$B8*100</f>
        <v>95.043127590455924</v>
      </c>
      <c r="L8" s="21">
        <f>'15a'!L8/'15a'!$B8*100</f>
        <v>109.47975328506301</v>
      </c>
      <c r="N8" s="6"/>
      <c r="O8" s="6"/>
      <c r="P8" s="6"/>
      <c r="Q8" s="6"/>
      <c r="R8" s="6"/>
      <c r="S8" s="6"/>
      <c r="T8" s="6"/>
      <c r="U8" s="6"/>
      <c r="V8" s="6"/>
      <c r="W8" s="6"/>
      <c r="X8" s="6"/>
    </row>
    <row r="9" spans="1:24">
      <c r="A9" s="2">
        <v>1985</v>
      </c>
      <c r="B9" s="19">
        <f>'15a'!B9/'15a'!$B9*100</f>
        <v>100</v>
      </c>
      <c r="C9" s="21">
        <f>'15a'!C9/'15a'!$B9*100</f>
        <v>169.6545284780579</v>
      </c>
      <c r="D9" s="21">
        <f>'15a'!D9/'15a'!$B9*100</f>
        <v>78.495155638012776</v>
      </c>
      <c r="E9" s="21">
        <f>'15a'!E9/'15a'!$B9*100</f>
        <v>105.2408139364661</v>
      </c>
      <c r="F9" s="21">
        <f>'15a'!F9/'15a'!$B9*100</f>
        <v>120.2557790793085</v>
      </c>
      <c r="G9" s="21">
        <f>'15a'!G9/'15a'!$B9*100</f>
        <v>109.96336996336996</v>
      </c>
      <c r="H9" s="21">
        <f>'15a'!H9/'15a'!$B9*100</f>
        <v>80.658335375316497</v>
      </c>
      <c r="I9" s="21">
        <f>'15a'!I9/'15a'!$B9*100</f>
        <v>90.353268131045894</v>
      </c>
      <c r="J9" s="21">
        <f>'15a'!J9/'15a'!$B9*100</f>
        <v>135.760199396563</v>
      </c>
      <c r="K9" s="21">
        <f>'15a'!K9/'15a'!$B9*100</f>
        <v>88.797751955646689</v>
      </c>
      <c r="L9" s="21">
        <f>'15a'!L9/'15a'!$B9*100</f>
        <v>108.45130845130846</v>
      </c>
      <c r="N9" s="6"/>
      <c r="O9" s="6"/>
      <c r="P9" s="6"/>
      <c r="Q9" s="6"/>
      <c r="R9" s="6"/>
      <c r="S9" s="6"/>
      <c r="T9" s="6"/>
      <c r="U9" s="6"/>
      <c r="V9" s="6"/>
      <c r="W9" s="6"/>
      <c r="X9" s="6"/>
    </row>
    <row r="10" spans="1:24">
      <c r="A10" s="2">
        <v>1986</v>
      </c>
      <c r="B10" s="19">
        <f>'15a'!B10/'15a'!$B10*100</f>
        <v>100</v>
      </c>
      <c r="C10" s="21">
        <f>'15a'!C10/'15a'!$B10*100</f>
        <v>138.09312310311643</v>
      </c>
      <c r="D10" s="21">
        <f>'15a'!D10/'15a'!$B10*100</f>
        <v>75.189508100900511</v>
      </c>
      <c r="E10" s="21">
        <f>'15a'!E10/'15a'!$B10*100</f>
        <v>116.48382559774966</v>
      </c>
      <c r="F10" s="21">
        <f>'15a'!F10/'15a'!$B10*100</f>
        <v>110.84544460071885</v>
      </c>
      <c r="G10" s="21">
        <f>'15a'!G10/'15a'!$B10*100</f>
        <v>109.22478696119799</v>
      </c>
      <c r="H10" s="21">
        <f>'15a'!H10/'15a'!$B10*100</f>
        <v>79.011523182076161</v>
      </c>
      <c r="I10" s="21">
        <f>'15a'!I10/'15a'!$B10*100</f>
        <v>97.20715290335545</v>
      </c>
      <c r="J10" s="21">
        <f>'15a'!J10/'15a'!$B10*100</f>
        <v>142.02740011460125</v>
      </c>
      <c r="K10" s="21">
        <f>'15a'!K10/'15a'!$B10*100</f>
        <v>88.103005785375615</v>
      </c>
      <c r="L10" s="21">
        <f>'15a'!L10/'15a'!$B10*100</f>
        <v>106.75466118504096</v>
      </c>
      <c r="N10" s="6"/>
      <c r="O10" s="6"/>
      <c r="P10" s="6"/>
      <c r="Q10" s="6"/>
      <c r="R10" s="6"/>
      <c r="S10" s="6"/>
      <c r="T10" s="6"/>
      <c r="U10" s="6"/>
      <c r="V10" s="6"/>
      <c r="W10" s="6"/>
      <c r="X10" s="6"/>
    </row>
    <row r="11" spans="1:24">
      <c r="A11" s="2">
        <v>1987</v>
      </c>
      <c r="B11" s="19">
        <f>'15a'!B11/'15a'!$B11*100</f>
        <v>100</v>
      </c>
      <c r="C11" s="21">
        <f>'15a'!C11/'15a'!$B11*100</f>
        <v>146.10457063711914</v>
      </c>
      <c r="D11" s="21">
        <f>'15a'!D11/'15a'!$B11*100</f>
        <v>90.718242975860704</v>
      </c>
      <c r="E11" s="21">
        <f>'15a'!E11/'15a'!$B11*100</f>
        <v>100.64180094416916</v>
      </c>
      <c r="F11" s="21">
        <f>'15a'!F11/'15a'!$B11*100</f>
        <v>127.72853185595568</v>
      </c>
      <c r="G11" s="21">
        <f>'15a'!G11/'15a'!$B11*100</f>
        <v>111.4612188365651</v>
      </c>
      <c r="H11" s="21">
        <f>'15a'!H11/'15a'!$B11*100</f>
        <v>80.399916199166654</v>
      </c>
      <c r="I11" s="21">
        <f>'15a'!I11/'15a'!$B11*100</f>
        <v>89.168975069252085</v>
      </c>
      <c r="J11" s="21">
        <f>'15a'!J11/'15a'!$B11*100</f>
        <v>105.14742154593407</v>
      </c>
      <c r="K11" s="21">
        <f>'15a'!K11/'15a'!$B11*100</f>
        <v>91.25259695290859</v>
      </c>
      <c r="L11" s="21">
        <f>'15a'!L11/'15a'!$B11*100</f>
        <v>110.53144557299683</v>
      </c>
      <c r="N11" s="6"/>
      <c r="O11" s="6"/>
      <c r="P11" s="6"/>
      <c r="Q11" s="6"/>
      <c r="R11" s="6"/>
      <c r="S11" s="6"/>
      <c r="T11" s="6"/>
      <c r="U11" s="6"/>
      <c r="V11" s="6"/>
      <c r="W11" s="6"/>
      <c r="X11" s="6"/>
    </row>
    <row r="12" spans="1:24">
      <c r="A12" s="2">
        <v>1988</v>
      </c>
      <c r="B12" s="19">
        <f>'15a'!B12/'15a'!$B12*100</f>
        <v>100</v>
      </c>
      <c r="C12" s="21">
        <f>'15a'!C12/'15a'!$B12*100</f>
        <v>128.16816816816819</v>
      </c>
      <c r="D12" s="21">
        <f>'15a'!D12/'15a'!$B12*100</f>
        <v>82.573277502854978</v>
      </c>
      <c r="E12" s="21">
        <f>'15a'!E12/'15a'!$B12*100</f>
        <v>98.670562454346239</v>
      </c>
      <c r="F12" s="21">
        <f>'15a'!F12/'15a'!$B12*100</f>
        <v>113.61003861003863</v>
      </c>
      <c r="G12" s="21">
        <f>'15a'!G12/'15a'!$B12*100</f>
        <v>109.70688998858013</v>
      </c>
      <c r="H12" s="21">
        <f>'15a'!H12/'15a'!$B12*100</f>
        <v>81.391227292866645</v>
      </c>
      <c r="I12" s="21">
        <f>'15a'!I12/'15a'!$B12*100</f>
        <v>98.143927059589714</v>
      </c>
      <c r="J12" s="21">
        <f>'15a'!J12/'15a'!$B12*100</f>
        <v>114.54689984101751</v>
      </c>
      <c r="K12" s="21">
        <f>'15a'!K12/'15a'!$B12*100</f>
        <v>92.381223328591759</v>
      </c>
      <c r="L12" s="21">
        <f>'15a'!L12/'15a'!$B12*100</f>
        <v>89.065315315315317</v>
      </c>
      <c r="N12" s="6"/>
      <c r="O12" s="6"/>
      <c r="P12" s="6"/>
      <c r="Q12" s="6"/>
      <c r="R12" s="6"/>
      <c r="S12" s="6"/>
      <c r="T12" s="6"/>
      <c r="U12" s="6"/>
      <c r="V12" s="6"/>
      <c r="W12" s="6"/>
      <c r="X12" s="6"/>
    </row>
    <row r="13" spans="1:24">
      <c r="A13" s="2">
        <v>1989</v>
      </c>
      <c r="B13" s="19">
        <f>'15a'!B13/'15a'!$B13*100</f>
        <v>100</v>
      </c>
      <c r="C13" s="21">
        <f>'15a'!C13/'15a'!$B13*100</f>
        <v>137.02854586630133</v>
      </c>
      <c r="D13" s="21">
        <f>'15a'!D13/'15a'!$B13*100</f>
        <v>92.602394921433984</v>
      </c>
      <c r="E13" s="21">
        <f>'15a'!E13/'15a'!$B13*100</f>
        <v>110.16144171203304</v>
      </c>
      <c r="F13" s="21">
        <f>'15a'!F13/'15a'!$B13*100</f>
        <v>115.39604920186983</v>
      </c>
      <c r="G13" s="21">
        <f>'15a'!G13/'15a'!$B13*100</f>
        <v>107.16668351359546</v>
      </c>
      <c r="H13" s="21">
        <f>'15a'!H13/'15a'!$B13*100</f>
        <v>85.252036793692497</v>
      </c>
      <c r="I13" s="21">
        <f>'15a'!I13/'15a'!$B13*100</f>
        <v>101.29981159856246</v>
      </c>
      <c r="J13" s="21">
        <f>'15a'!J13/'15a'!$B13*100</f>
        <v>111.55810024403978</v>
      </c>
      <c r="K13" s="21">
        <f>'15a'!K13/'15a'!$B13*100</f>
        <v>110.13589308034997</v>
      </c>
      <c r="L13" s="21">
        <f>'15a'!L13/'15a'!$B13*100</f>
        <v>80.905971674697028</v>
      </c>
      <c r="N13" s="6"/>
      <c r="O13" s="6"/>
      <c r="P13" s="6"/>
      <c r="Q13" s="6"/>
      <c r="R13" s="6"/>
      <c r="S13" s="6"/>
      <c r="T13" s="6"/>
      <c r="U13" s="6"/>
      <c r="V13" s="6"/>
      <c r="W13" s="6"/>
      <c r="X13" s="6"/>
    </row>
    <row r="14" spans="1:24">
      <c r="A14" s="2">
        <v>1990</v>
      </c>
      <c r="B14" s="19">
        <f>'15a'!B14/'15a'!$B14*100</f>
        <v>100</v>
      </c>
      <c r="C14" s="21">
        <f>'15a'!C14/'15a'!$B14*100</f>
        <v>143.74831763122478</v>
      </c>
      <c r="D14" s="21">
        <f>'15a'!D14/'15a'!$B14*100</f>
        <v>90.360026917900399</v>
      </c>
      <c r="E14" s="21">
        <f>'15a'!E14/'15a'!$B14*100</f>
        <v>100.62544533291108</v>
      </c>
      <c r="F14" s="21">
        <f>'15a'!F14/'15a'!$B14*100</f>
        <v>99.677412463415166</v>
      </c>
      <c r="G14" s="21">
        <f>'15a'!G14/'15a'!$B14*100</f>
        <v>104.92519554489243</v>
      </c>
      <c r="H14" s="21">
        <f>'15a'!H14/'15a'!$B14*100</f>
        <v>81.688617573543553</v>
      </c>
      <c r="I14" s="21">
        <f>'15a'!I14/'15a'!$B14*100</f>
        <v>97.966407935249549</v>
      </c>
      <c r="J14" s="21">
        <f>'15a'!J14/'15a'!$B14*100</f>
        <v>116.77158859028351</v>
      </c>
      <c r="K14" s="21">
        <f>'15a'!K14/'15a'!$B14*100</f>
        <v>93.808882907133253</v>
      </c>
      <c r="L14" s="21">
        <f>'15a'!L14/'15a'!$B14*100</f>
        <v>102.38531515023756</v>
      </c>
      <c r="N14" s="6"/>
      <c r="O14" s="6"/>
      <c r="P14" s="6"/>
      <c r="Q14" s="6"/>
      <c r="R14" s="6"/>
      <c r="S14" s="6"/>
      <c r="T14" s="6"/>
      <c r="U14" s="6"/>
      <c r="V14" s="6"/>
      <c r="W14" s="6"/>
      <c r="X14" s="6"/>
    </row>
    <row r="15" spans="1:24">
      <c r="A15" s="2">
        <v>1991</v>
      </c>
      <c r="B15" s="19">
        <f>'15a'!B15/'15a'!$B15*100</f>
        <v>100</v>
      </c>
      <c r="C15" s="21">
        <f>'15a'!C15/'15a'!$B15*100</f>
        <v>147.06413730803973</v>
      </c>
      <c r="D15" s="21">
        <f>'15a'!D15/'15a'!$B15*100</f>
        <v>92.178956877288059</v>
      </c>
      <c r="E15" s="21">
        <f>'15a'!E15/'15a'!$B15*100</f>
        <v>97.476564929583702</v>
      </c>
      <c r="F15" s="21">
        <f>'15a'!F15/'15a'!$B15*100</f>
        <v>115.41397046623527</v>
      </c>
      <c r="G15" s="21">
        <f>'15a'!G15/'15a'!$B15*100</f>
        <v>111.31780809333516</v>
      </c>
      <c r="H15" s="21">
        <f>'15a'!H15/'15a'!$B15*100</f>
        <v>93.39849578271064</v>
      </c>
      <c r="I15" s="21">
        <f>'15a'!I15/'15a'!$B15*100</f>
        <v>100.58434959349594</v>
      </c>
      <c r="J15" s="21">
        <f>'15a'!J15/'15a'!$B15*100</f>
        <v>93.38672491202523</v>
      </c>
      <c r="K15" s="21">
        <f>'15a'!K15/'15a'!$B15*100</f>
        <v>90.129958117762982</v>
      </c>
      <c r="L15" s="21">
        <f>'15a'!L15/'15a'!$B15*100</f>
        <v>78.581948862966883</v>
      </c>
      <c r="N15" s="6"/>
      <c r="O15" s="6"/>
      <c r="P15" s="6"/>
      <c r="Q15" s="6"/>
      <c r="R15" s="6"/>
      <c r="S15" s="6"/>
      <c r="T15" s="6"/>
      <c r="U15" s="6"/>
      <c r="V15" s="6"/>
      <c r="W15" s="6"/>
      <c r="X15" s="6"/>
    </row>
    <row r="16" spans="1:24">
      <c r="A16" s="2">
        <v>1992</v>
      </c>
      <c r="B16" s="19">
        <f>'15a'!B16/'15a'!$B16*100</f>
        <v>100</v>
      </c>
      <c r="C16" s="21">
        <f>'15a'!C16/'15a'!$B16*100</f>
        <v>163.34037063101104</v>
      </c>
      <c r="D16" s="21">
        <f>'15a'!D16/'15a'!$B16*100</f>
        <v>67.074829931972786</v>
      </c>
      <c r="E16" s="21">
        <f>'15a'!E16/'15a'!$B16*100</f>
        <v>90.875576036866363</v>
      </c>
      <c r="F16" s="21">
        <f>'15a'!F16/'15a'!$B16*100</f>
        <v>96.55411255411255</v>
      </c>
      <c r="G16" s="21">
        <f>'15a'!G16/'15a'!$B16*100</f>
        <v>97.067023530723759</v>
      </c>
      <c r="H16" s="21">
        <f>'15a'!H16/'15a'!$B16*100</f>
        <v>100.76852362566649</v>
      </c>
      <c r="I16" s="21">
        <f>'15a'!I16/'15a'!$B16*100</f>
        <v>91.564625850340136</v>
      </c>
      <c r="J16" s="21">
        <f>'15a'!J16/'15a'!$B16*100</f>
        <v>94.540816326530617</v>
      </c>
      <c r="K16" s="21">
        <f>'15a'!K16/'15a'!$B16*100</f>
        <v>95.892627321198759</v>
      </c>
      <c r="L16" s="21">
        <f>'15a'!L16/'15a'!$B16*100</f>
        <v>84.878974845752253</v>
      </c>
      <c r="N16" s="6"/>
      <c r="O16" s="6"/>
      <c r="P16" s="6"/>
      <c r="Q16" s="6"/>
      <c r="R16" s="6"/>
      <c r="S16" s="6"/>
      <c r="T16" s="6"/>
      <c r="U16" s="6"/>
      <c r="V16" s="6"/>
      <c r="W16" s="6"/>
      <c r="X16" s="6"/>
    </row>
    <row r="17" spans="1:24">
      <c r="A17" s="2">
        <v>1993</v>
      </c>
      <c r="B17" s="19">
        <f>'15a'!B17/'15a'!$B17*100</f>
        <v>100</v>
      </c>
      <c r="C17" s="21">
        <f>'15a'!C17/'15a'!$B17*100</f>
        <v>141.9815668202765</v>
      </c>
      <c r="D17" s="21">
        <f>'15a'!D17/'15a'!$B17*100</f>
        <v>63.323412698412696</v>
      </c>
      <c r="E17" s="21">
        <f>'15a'!E17/'15a'!$B17*100</f>
        <v>105.05602240896359</v>
      </c>
      <c r="F17" s="21">
        <f>'15a'!F17/'15a'!$B17*100</f>
        <v>93.382749326145543</v>
      </c>
      <c r="G17" s="21">
        <f>'15a'!G17/'15a'!$B17*100</f>
        <v>108.62533692722371</v>
      </c>
      <c r="H17" s="21">
        <f>'15a'!H17/'15a'!$B17*100</f>
        <v>99.853228962817994</v>
      </c>
      <c r="I17" s="21">
        <f>'15a'!I17/'15a'!$B17*100</f>
        <v>88.287981859410422</v>
      </c>
      <c r="J17" s="21">
        <f>'15a'!J17/'15a'!$B17*100</f>
        <v>93.329297820823243</v>
      </c>
      <c r="K17" s="21">
        <f>'15a'!K17/'15a'!$B17*100</f>
        <v>79.99139414802066</v>
      </c>
      <c r="L17" s="21">
        <f>'15a'!L17/'15a'!$B17*100</f>
        <v>79.947735191637619</v>
      </c>
      <c r="N17" s="6"/>
      <c r="O17" s="6"/>
      <c r="P17" s="6"/>
      <c r="Q17" s="6"/>
      <c r="R17" s="6"/>
      <c r="S17" s="6"/>
      <c r="T17" s="6"/>
      <c r="U17" s="6"/>
      <c r="V17" s="6"/>
      <c r="W17" s="6"/>
      <c r="X17" s="6"/>
    </row>
    <row r="18" spans="1:24">
      <c r="A18" s="2">
        <v>1994</v>
      </c>
      <c r="B18" s="19">
        <f>'15a'!B18/'15a'!$B18*100</f>
        <v>100</v>
      </c>
      <c r="C18" s="21">
        <f>'15a'!C18/'15a'!$B18*100</f>
        <v>139.34285011075559</v>
      </c>
      <c r="D18" s="21">
        <f>'15a'!D18/'15a'!$B18*100</f>
        <v>58.736800159394299</v>
      </c>
      <c r="E18" s="21">
        <f>'15a'!E18/'15a'!$B18*100</f>
        <v>96.231862781081006</v>
      </c>
      <c r="F18" s="21">
        <f>'15a'!F18/'15a'!$B18*100</f>
        <v>101.85495118549512</v>
      </c>
      <c r="G18" s="21">
        <f>'15a'!G18/'15a'!$B18*100</f>
        <v>110.4348928616711</v>
      </c>
      <c r="H18" s="21">
        <f>'15a'!H18/'15a'!$B18*100</f>
        <v>97.99420098363062</v>
      </c>
      <c r="I18" s="21">
        <f>'15a'!I18/'15a'!$B18*100</f>
        <v>86.102809324566635</v>
      </c>
      <c r="J18" s="21">
        <f>'15a'!J18/'15a'!$B18*100</f>
        <v>92.372590712668895</v>
      </c>
      <c r="K18" s="21">
        <f>'15a'!K18/'15a'!$B18*100</f>
        <v>76.225847397865635</v>
      </c>
      <c r="L18" s="21">
        <f>'15a'!L18/'15a'!$B18*100</f>
        <v>90.205485820548589</v>
      </c>
      <c r="N18" s="6"/>
      <c r="O18" s="6"/>
      <c r="P18" s="6"/>
      <c r="Q18" s="6"/>
      <c r="R18" s="6"/>
      <c r="S18" s="6"/>
      <c r="T18" s="6"/>
      <c r="U18" s="6"/>
      <c r="V18" s="6"/>
      <c r="W18" s="6"/>
      <c r="X18" s="6"/>
    </row>
    <row r="19" spans="1:24">
      <c r="A19" s="2">
        <v>1995</v>
      </c>
      <c r="B19" s="19">
        <f>'15a'!B19/'15a'!$B19*100</f>
        <v>100</v>
      </c>
      <c r="C19" s="21">
        <f>'15a'!C19/'15a'!$B19*100</f>
        <v>145.53202479338842</v>
      </c>
      <c r="D19" s="21">
        <f>'15a'!D19/'15a'!$B19*100</f>
        <v>65.969859017987346</v>
      </c>
      <c r="E19" s="21">
        <f>'15a'!E19/'15a'!$B19*100</f>
        <v>94.877457965232253</v>
      </c>
      <c r="F19" s="21">
        <f>'15a'!F19/'15a'!$B19*100</f>
        <v>115.70247933884296</v>
      </c>
      <c r="G19" s="21">
        <f>'15a'!G19/'15a'!$B19*100</f>
        <v>110.99468713105077</v>
      </c>
      <c r="H19" s="21">
        <f>'15a'!H19/'15a'!$B19*100</f>
        <v>99.062301335028607</v>
      </c>
      <c r="I19" s="21">
        <f>'15a'!I19/'15a'!$B19*100</f>
        <v>80.409960852544586</v>
      </c>
      <c r="J19" s="21">
        <f>'15a'!J19/'15a'!$B19*100</f>
        <v>101.06060606060605</v>
      </c>
      <c r="K19" s="21">
        <f>'15a'!K19/'15a'!$B19*100</f>
        <v>79.201101928374669</v>
      </c>
      <c r="L19" s="21">
        <f>'15a'!L19/'15a'!$B19*100</f>
        <v>87.101161209331522</v>
      </c>
      <c r="N19" s="6"/>
      <c r="O19" s="6"/>
      <c r="P19" s="6"/>
      <c r="Q19" s="6"/>
      <c r="R19" s="6"/>
      <c r="S19" s="6"/>
      <c r="T19" s="6"/>
      <c r="U19" s="6"/>
      <c r="V19" s="6"/>
      <c r="W19" s="6"/>
      <c r="X19" s="6"/>
    </row>
    <row r="20" spans="1:24">
      <c r="A20" s="2">
        <v>1996</v>
      </c>
      <c r="B20" s="19">
        <f>'15a'!B20/'15a'!$B20*100</f>
        <v>100</v>
      </c>
      <c r="C20" s="21">
        <f>'15a'!C20/'15a'!$B20*100</f>
        <v>141.08045083560046</v>
      </c>
      <c r="D20" s="21">
        <f>'15a'!D20/'15a'!$B20*100</f>
        <v>63.488238668961557</v>
      </c>
      <c r="E20" s="21">
        <f>'15a'!E20/'15a'!$B20*100</f>
        <v>101.33595606917464</v>
      </c>
      <c r="F20" s="21">
        <f>'15a'!F20/'15a'!$B20*100</f>
        <v>91.508892713712001</v>
      </c>
      <c r="G20" s="21">
        <f>'15a'!G20/'15a'!$B20*100</f>
        <v>105.55907841893892</v>
      </c>
      <c r="H20" s="21">
        <f>'15a'!H20/'15a'!$B20*100</f>
        <v>104.03303354262118</v>
      </c>
      <c r="I20" s="21">
        <f>'15a'!I20/'15a'!$B20*100</f>
        <v>81.438798672952686</v>
      </c>
      <c r="J20" s="21">
        <f>'15a'!J20/'15a'!$B20*100</f>
        <v>92.329317269076299</v>
      </c>
      <c r="K20" s="21">
        <f>'15a'!K20/'15a'!$B20*100</f>
        <v>70.775734517015422</v>
      </c>
      <c r="L20" s="21">
        <f>'15a'!L20/'15a'!$B20*100</f>
        <v>92.833305051190678</v>
      </c>
      <c r="N20" s="6"/>
      <c r="O20" s="6"/>
      <c r="P20" s="6"/>
      <c r="Q20" s="6"/>
      <c r="R20" s="6"/>
      <c r="S20" s="6"/>
      <c r="T20" s="6"/>
      <c r="U20" s="6"/>
      <c r="V20" s="6"/>
      <c r="W20" s="6"/>
      <c r="X20" s="6"/>
    </row>
    <row r="21" spans="1:24">
      <c r="A21" s="2">
        <v>1997</v>
      </c>
      <c r="B21" s="19">
        <f>'15a'!B21/'15a'!$B21*100</f>
        <v>100</v>
      </c>
      <c r="C21" s="21">
        <f>'15a'!C21/'15a'!$B21*100</f>
        <v>117.79778393351799</v>
      </c>
      <c r="D21" s="21">
        <f>'15a'!D21/'15a'!$B21*100</f>
        <v>64.473684210526315</v>
      </c>
      <c r="E21" s="21">
        <f>'15a'!E21/'15a'!$B21*100</f>
        <v>105.38967611336032</v>
      </c>
      <c r="F21" s="21">
        <f>'15a'!F21/'15a'!$B21*100</f>
        <v>100.60728744939271</v>
      </c>
      <c r="G21" s="21">
        <f>'15a'!G21/'15a'!$B21*100</f>
        <v>107.82667876588022</v>
      </c>
      <c r="H21" s="21">
        <f>'15a'!H21/'15a'!$B21*100</f>
        <v>96.01973684210526</v>
      </c>
      <c r="I21" s="21">
        <f>'15a'!I21/'15a'!$B21*100</f>
        <v>76.794258373205736</v>
      </c>
      <c r="J21" s="21">
        <f>'15a'!J21/'15a'!$B21*100</f>
        <v>81.743421052631575</v>
      </c>
      <c r="K21" s="21">
        <f>'15a'!K21/'15a'!$B21*100</f>
        <v>77.171691364333157</v>
      </c>
      <c r="L21" s="21">
        <f>'15a'!L21/'15a'!$B21*100</f>
        <v>100</v>
      </c>
      <c r="N21" s="6"/>
      <c r="O21" s="6"/>
      <c r="P21" s="6"/>
      <c r="Q21" s="6"/>
      <c r="R21" s="6"/>
      <c r="S21" s="6"/>
      <c r="T21" s="6"/>
      <c r="U21" s="6"/>
      <c r="V21" s="6"/>
      <c r="W21" s="6"/>
      <c r="X21" s="6"/>
    </row>
    <row r="22" spans="1:24">
      <c r="A22" s="2">
        <v>1998</v>
      </c>
      <c r="B22" s="19">
        <f>'15a'!B22/'15a'!$B22*100</f>
        <v>100</v>
      </c>
      <c r="C22" s="21">
        <f>'15a'!C22/'15a'!$B22*100</f>
        <v>130.07060333761234</v>
      </c>
      <c r="D22" s="21">
        <f>'15a'!D22/'15a'!$B22*100</f>
        <v>71.731029810298125</v>
      </c>
      <c r="E22" s="21">
        <f>'15a'!E22/'15a'!$B22*100</f>
        <v>114.53252032520325</v>
      </c>
      <c r="F22" s="21">
        <f>'15a'!F22/'15a'!$B22*100</f>
        <v>103.24436263230558</v>
      </c>
      <c r="G22" s="21">
        <f>'15a'!G22/'15a'!$B22*100</f>
        <v>106.05622157916494</v>
      </c>
      <c r="H22" s="21">
        <f>'15a'!H22/'15a'!$B22*100</f>
        <v>96.221017765733222</v>
      </c>
      <c r="I22" s="21">
        <f>'15a'!I22/'15a'!$B22*100</f>
        <v>80.266075388026621</v>
      </c>
      <c r="J22" s="21">
        <f>'15a'!J22/'15a'!$B22*100</f>
        <v>93.489378442171528</v>
      </c>
      <c r="K22" s="21">
        <f>'15a'!K22/'15a'!$B22*100</f>
        <v>88.180112570356485</v>
      </c>
      <c r="L22" s="21">
        <f>'15a'!L22/'15a'!$B22*100</f>
        <v>85.702824133504492</v>
      </c>
      <c r="N22" s="6"/>
      <c r="O22" s="6"/>
      <c r="P22" s="6"/>
      <c r="Q22" s="6"/>
      <c r="R22" s="6"/>
      <c r="S22" s="6"/>
      <c r="T22" s="6"/>
      <c r="U22" s="6"/>
      <c r="V22" s="6"/>
      <c r="W22" s="6"/>
      <c r="X22" s="6"/>
    </row>
    <row r="23" spans="1:24">
      <c r="A23" s="2">
        <v>1999</v>
      </c>
      <c r="B23" s="19">
        <f>'15a'!B23/'15a'!$B23*100</f>
        <v>100</v>
      </c>
      <c r="C23" s="21">
        <f>'15a'!C23/'15a'!$B23*100</f>
        <v>189.83194900521539</v>
      </c>
      <c r="D23" s="21">
        <f>'15a'!D23/'15a'!$B23*100</f>
        <v>86.680169073617478</v>
      </c>
      <c r="E23" s="21">
        <f>'15a'!E23/'15a'!$B23*100</f>
        <v>99.716756962265947</v>
      </c>
      <c r="F23" s="21">
        <f>'15a'!F23/'15a'!$B23*100</f>
        <v>102.33732534930139</v>
      </c>
      <c r="G23" s="21">
        <f>'15a'!G23/'15a'!$B23*100</f>
        <v>107.36889856650336</v>
      </c>
      <c r="H23" s="21">
        <f>'15a'!H23/'15a'!$B23*100</f>
        <v>97.284561312158289</v>
      </c>
      <c r="I23" s="21">
        <f>'15a'!I23/'15a'!$B23*100</f>
        <v>82.238599723629662</v>
      </c>
      <c r="J23" s="21">
        <f>'15a'!J23/'15a'!$B23*100</f>
        <v>77.53468672411276</v>
      </c>
      <c r="K23" s="21">
        <f>'15a'!K23/'15a'!$B23*100</f>
        <v>74.665803528078982</v>
      </c>
      <c r="L23" s="21">
        <f>'15a'!L23/'15a'!$B23*100</f>
        <v>101.09096874743663</v>
      </c>
      <c r="N23" s="6"/>
      <c r="O23" s="6"/>
      <c r="P23" s="6"/>
      <c r="Q23" s="6"/>
      <c r="R23" s="6"/>
      <c r="S23" s="6"/>
      <c r="T23" s="6"/>
      <c r="U23" s="6"/>
      <c r="V23" s="6"/>
      <c r="W23" s="6"/>
      <c r="X23" s="6"/>
    </row>
    <row r="24" spans="1:24">
      <c r="A24" s="2">
        <v>2000</v>
      </c>
      <c r="B24" s="19">
        <f>'15a'!B24/'15a'!$B24*100</f>
        <v>100</v>
      </c>
      <c r="C24" s="21">
        <f>'15a'!C24/'15a'!$B24*100</f>
        <v>174.80982666167853</v>
      </c>
      <c r="D24" s="21">
        <f>'15a'!D24/'15a'!$B24*100</f>
        <v>85.042618375951704</v>
      </c>
      <c r="E24" s="21">
        <f>'15a'!E24/'15a'!$B24*100</f>
        <v>96.248873713662448</v>
      </c>
      <c r="F24" s="21">
        <f>'15a'!F24/'15a'!$B24*100</f>
        <v>93.169347798977441</v>
      </c>
      <c r="G24" s="21">
        <f>'15a'!G24/'15a'!$B24*100</f>
        <v>108.93057559724227</v>
      </c>
      <c r="H24" s="21">
        <f>'15a'!H24/'15a'!$B24*100</f>
        <v>93.515871503292885</v>
      </c>
      <c r="I24" s="21">
        <f>'15a'!I24/'15a'!$B24*100</f>
        <v>86.367280306674246</v>
      </c>
      <c r="J24" s="21">
        <f>'15a'!J24/'15a'!$B24*100</f>
        <v>88.372906554724736</v>
      </c>
      <c r="K24" s="21">
        <f>'15a'!K24/'15a'!$B24*100</f>
        <v>81.216570105458999</v>
      </c>
      <c r="L24" s="21">
        <f>'15a'!L24/'15a'!$B24*100</f>
        <v>91.809630698519598</v>
      </c>
      <c r="N24" s="6"/>
      <c r="O24" s="6"/>
      <c r="P24" s="6"/>
      <c r="Q24" s="6"/>
      <c r="R24" s="6"/>
      <c r="S24" s="6"/>
      <c r="T24" s="6"/>
      <c r="U24" s="6"/>
      <c r="V24" s="6"/>
      <c r="W24" s="6"/>
      <c r="X24" s="6"/>
    </row>
    <row r="25" spans="1:24">
      <c r="A25" s="2">
        <v>2001</v>
      </c>
      <c r="B25" s="19">
        <f>'15a'!B25/'15a'!$B25*100</f>
        <v>100</v>
      </c>
      <c r="C25" s="21">
        <f>'15a'!C25/'15a'!$B25*100</f>
        <v>154.2000697107006</v>
      </c>
      <c r="D25" s="21">
        <f>'15a'!D25/'15a'!$B25*100</f>
        <v>84.518667818408673</v>
      </c>
      <c r="E25" s="21">
        <f>'15a'!E25/'15a'!$B25*100</f>
        <v>99.030617141760246</v>
      </c>
      <c r="F25" s="21">
        <f>'15a'!F25/'15a'!$B25*100</f>
        <v>97.491471001404776</v>
      </c>
      <c r="G25" s="21">
        <f>'15a'!G25/'15a'!$B25*100</f>
        <v>106.1654696390262</v>
      </c>
      <c r="H25" s="21">
        <f>'15a'!H25/'15a'!$B25*100</f>
        <v>92.715231788079464</v>
      </c>
      <c r="I25" s="21">
        <f>'15a'!I25/'15a'!$B25*100</f>
        <v>80.24282560706402</v>
      </c>
      <c r="J25" s="21">
        <f>'15a'!J25/'15a'!$B25*100</f>
        <v>92.591611479028685</v>
      </c>
      <c r="K25" s="21">
        <f>'15a'!K25/'15a'!$B25*100</f>
        <v>81.673690547862719</v>
      </c>
      <c r="L25" s="21">
        <f>'15a'!L25/'15a'!$B25*100</f>
        <v>105.87077143368533</v>
      </c>
      <c r="N25" s="6"/>
      <c r="O25" s="6"/>
      <c r="P25" s="6"/>
      <c r="Q25" s="6"/>
      <c r="R25" s="6"/>
      <c r="S25" s="6"/>
      <c r="T25" s="6"/>
      <c r="U25" s="6"/>
      <c r="V25" s="6"/>
      <c r="W25" s="6"/>
      <c r="X25" s="6"/>
    </row>
    <row r="26" spans="1:24">
      <c r="A26" s="2">
        <v>2002</v>
      </c>
      <c r="B26" s="19">
        <f>'15a'!B26/'15a'!$B26*100</f>
        <v>100</v>
      </c>
      <c r="C26" s="21">
        <f>'15a'!C26/'15a'!$B26*100</f>
        <v>152.35407488986783</v>
      </c>
      <c r="D26" s="21">
        <f>'15a'!D26/'15a'!$B26*100</f>
        <v>89.332913782253002</v>
      </c>
      <c r="E26" s="21">
        <f>'15a'!E26/'15a'!$B26*100</f>
        <v>103.10730018879799</v>
      </c>
      <c r="F26" s="21">
        <f>'15a'!F26/'15a'!$B26*100</f>
        <v>107.27052791218314</v>
      </c>
      <c r="G26" s="21">
        <f>'15a'!G26/'15a'!$B26*100</f>
        <v>98.589193107678582</v>
      </c>
      <c r="H26" s="21">
        <f>'15a'!H26/'15a'!$B26*100</f>
        <v>93.705947136563879</v>
      </c>
      <c r="I26" s="21">
        <f>'15a'!I26/'15a'!$B26*100</f>
        <v>87.973037524547522</v>
      </c>
      <c r="J26" s="21">
        <f>'15a'!J26/'15a'!$B26*100</f>
        <v>98.694147262429212</v>
      </c>
      <c r="K26" s="21">
        <f>'15a'!K26/'15a'!$B26*100</f>
        <v>73.840764089320984</v>
      </c>
      <c r="L26" s="21">
        <f>'15a'!L26/'15a'!$B26*100</f>
        <v>123.18840579710147</v>
      </c>
      <c r="N26" s="6"/>
      <c r="O26" s="6"/>
      <c r="P26" s="6"/>
      <c r="Q26" s="6"/>
      <c r="R26" s="6"/>
      <c r="S26" s="6"/>
      <c r="T26" s="6"/>
      <c r="U26" s="6"/>
      <c r="V26" s="6"/>
      <c r="W26" s="6"/>
      <c r="X26" s="6"/>
    </row>
    <row r="27" spans="1:24">
      <c r="A27" s="2">
        <v>2003</v>
      </c>
      <c r="B27" s="19">
        <f>'15a'!B27/'15a'!$B27*100</f>
        <v>100</v>
      </c>
      <c r="C27" s="21">
        <f>'15a'!C27/'15a'!$B27*100</f>
        <v>165.74527023044735</v>
      </c>
      <c r="D27" s="21">
        <f>'15a'!D27/'15a'!$B27*100</f>
        <v>84.299498381628808</v>
      </c>
      <c r="E27" s="21">
        <f>'15a'!E27/'15a'!$B27*100</f>
        <v>96.029435290353547</v>
      </c>
      <c r="F27" s="21">
        <f>'15a'!F27/'15a'!$B27*100</f>
        <v>115.88652482269504</v>
      </c>
      <c r="G27" s="21">
        <f>'15a'!G27/'15a'!$B27*100</f>
        <v>92.939732052510152</v>
      </c>
      <c r="H27" s="21">
        <f>'15a'!H27/'15a'!$B27*100</f>
        <v>96.499145995226627</v>
      </c>
      <c r="I27" s="21">
        <f>'15a'!I27/'15a'!$B27*100</f>
        <v>92.024387209157638</v>
      </c>
      <c r="J27" s="21">
        <f>'15a'!J27/'15a'!$B27*100</f>
        <v>94.678669594683043</v>
      </c>
      <c r="K27" s="21">
        <f>'15a'!K27/'15a'!$B27*100</f>
        <v>80.895856662933937</v>
      </c>
      <c r="L27" s="21">
        <f>'15a'!L27/'15a'!$B27*100</f>
        <v>109.57900789927666</v>
      </c>
      <c r="N27" s="6"/>
      <c r="O27" s="6"/>
      <c r="P27" s="6"/>
      <c r="Q27" s="6"/>
      <c r="R27" s="6"/>
      <c r="S27" s="6"/>
      <c r="T27" s="6"/>
      <c r="U27" s="6"/>
      <c r="V27" s="6"/>
      <c r="W27" s="6"/>
      <c r="X27" s="6"/>
    </row>
    <row r="28" spans="1:24">
      <c r="A28" s="2">
        <v>2004</v>
      </c>
      <c r="B28" s="19">
        <f>'15a'!B28/'15a'!$B28*100</f>
        <v>100</v>
      </c>
      <c r="C28" s="21">
        <f>'15a'!C28/'15a'!$B28*100</f>
        <v>173.81549110872419</v>
      </c>
      <c r="D28" s="21">
        <f>'15a'!D28/'15a'!$B28*100</f>
        <v>87.732409494561352</v>
      </c>
      <c r="E28" s="21">
        <f>'15a'!E28/'15a'!$B28*100</f>
        <v>83.552797337258482</v>
      </c>
      <c r="F28" s="21">
        <f>'15a'!F28/'15a'!$B28*100</f>
        <v>100.41252198820033</v>
      </c>
      <c r="G28" s="21">
        <f>'15a'!G28/'15a'!$B28*100</f>
        <v>91.299677765843171</v>
      </c>
      <c r="H28" s="21">
        <f>'15a'!H28/'15a'!$B28*100</f>
        <v>104.17533194688848</v>
      </c>
      <c r="I28" s="21">
        <f>'15a'!I28/'15a'!$B28*100</f>
        <v>84.75120385232745</v>
      </c>
      <c r="J28" s="21">
        <f>'15a'!J28/'15a'!$B28*100</f>
        <v>97.204400963799458</v>
      </c>
      <c r="K28" s="21">
        <f>'15a'!K28/'15a'!$B28*100</f>
        <v>81.042357446411046</v>
      </c>
      <c r="L28" s="21">
        <f>'15a'!L28/'15a'!$B28*100</f>
        <v>105.29035065058669</v>
      </c>
      <c r="N28" s="6"/>
      <c r="O28" s="6"/>
      <c r="P28" s="6"/>
      <c r="Q28" s="6"/>
      <c r="R28" s="6"/>
      <c r="S28" s="6"/>
      <c r="T28" s="6"/>
      <c r="U28" s="6"/>
      <c r="V28" s="6"/>
      <c r="W28" s="6"/>
      <c r="X28" s="6"/>
    </row>
    <row r="29" spans="1:24">
      <c r="A29" s="2">
        <v>2005</v>
      </c>
      <c r="B29" s="19">
        <f>'15a'!B29/'15a'!$B29*100</f>
        <v>100</v>
      </c>
      <c r="C29" s="21">
        <f>'15a'!C29/'15a'!$B29*100</f>
        <v>151.99138858988158</v>
      </c>
      <c r="D29" s="21">
        <f>'15a'!D29/'15a'!$B29*100</f>
        <v>74.723554163812508</v>
      </c>
      <c r="E29" s="21">
        <f>'15a'!E29/'15a'!$B29*100</f>
        <v>84.899795599956448</v>
      </c>
      <c r="F29" s="21">
        <f>'15a'!F29/'15a'!$B29*100</f>
        <v>104.64791221502819</v>
      </c>
      <c r="G29" s="21">
        <f>'15a'!G29/'15a'!$B29*100</f>
        <v>105.12544506085948</v>
      </c>
      <c r="H29" s="21">
        <f>'15a'!H29/'15a'!$B29*100</f>
        <v>101.23191005860544</v>
      </c>
      <c r="I29" s="21">
        <f>'15a'!I29/'15a'!$B29*100</f>
        <v>88.577921301279758</v>
      </c>
      <c r="J29" s="21">
        <f>'15a'!J29/'15a'!$B29*100</f>
        <v>118.55451330155313</v>
      </c>
      <c r="K29" s="21">
        <f>'15a'!K29/'15a'!$B29*100</f>
        <v>75.01245119933165</v>
      </c>
      <c r="L29" s="21">
        <f>'15a'!L29/'15a'!$B29*100</f>
        <v>93.518138337420794</v>
      </c>
      <c r="N29" s="6"/>
      <c r="O29" s="6"/>
      <c r="P29" s="6"/>
      <c r="Q29" s="6"/>
      <c r="R29" s="6"/>
      <c r="S29" s="6"/>
      <c r="T29" s="6"/>
      <c r="U29" s="6"/>
      <c r="V29" s="6"/>
      <c r="W29" s="6"/>
      <c r="X29" s="6"/>
    </row>
    <row r="30" spans="1:24">
      <c r="A30" s="2">
        <v>2006</v>
      </c>
      <c r="B30" s="19">
        <f>'15a'!B30/'15a'!$B30*100</f>
        <v>100</v>
      </c>
      <c r="C30" s="21">
        <f>'15a'!C30/'15a'!$B30*100</f>
        <v>154.25993555316865</v>
      </c>
      <c r="D30" s="21">
        <f>'15a'!D30/'15a'!$B30*100</f>
        <v>74.499440089585661</v>
      </c>
      <c r="E30" s="21">
        <f>'15a'!E30/'15a'!$B30*100</f>
        <v>84.315789473684205</v>
      </c>
      <c r="F30" s="21">
        <f>'15a'!F30/'15a'!$B30*100</f>
        <v>114.57813765182185</v>
      </c>
      <c r="G30" s="21">
        <f>'15a'!G30/'15a'!$B30*100</f>
        <v>102.75713379835129</v>
      </c>
      <c r="H30" s="21">
        <f>'15a'!H30/'15a'!$B30*100</f>
        <v>98.331983805668003</v>
      </c>
      <c r="I30" s="21">
        <f>'15a'!I30/'15a'!$B30*100</f>
        <v>89.883656509695285</v>
      </c>
      <c r="J30" s="21">
        <f>'15a'!J30/'15a'!$B30*100</f>
        <v>124.25203854707189</v>
      </c>
      <c r="K30" s="21">
        <f>'15a'!K30/'15a'!$B30*100</f>
        <v>82.759892431809448</v>
      </c>
      <c r="L30" s="21">
        <f>'15a'!L30/'15a'!$B30*100</f>
        <v>95.322843190450342</v>
      </c>
      <c r="N30" s="6"/>
      <c r="O30" s="6"/>
      <c r="P30" s="6"/>
      <c r="Q30" s="6"/>
      <c r="R30" s="6"/>
      <c r="S30" s="6"/>
      <c r="T30" s="6"/>
      <c r="U30" s="6"/>
      <c r="V30" s="6"/>
      <c r="W30" s="6"/>
      <c r="X30" s="6"/>
    </row>
    <row r="31" spans="1:24" s="972" customFormat="1">
      <c r="A31" s="2">
        <v>2007</v>
      </c>
      <c r="B31" s="19">
        <f>'15a'!B31/'15a'!$B31*100</f>
        <v>100</v>
      </c>
      <c r="C31" s="21">
        <f>'15a'!C31/'15a'!$B31*100</f>
        <v>150.7802218462117</v>
      </c>
      <c r="D31" s="21">
        <f>'15a'!D31/'15a'!$B31*100</f>
        <v>67.781427291728875</v>
      </c>
      <c r="E31" s="21">
        <f>'15a'!E31/'15a'!$B31*100</f>
        <v>94.023996308260266</v>
      </c>
      <c r="F31" s="21">
        <f>'15a'!F31/'15a'!$B31*100</f>
        <v>118.23506442795784</v>
      </c>
      <c r="G31" s="21">
        <f>'15a'!G31/'15a'!$B31*100</f>
        <v>108.88324873096447</v>
      </c>
      <c r="H31" s="21">
        <f>'15a'!H31/'15a'!$B31*100</f>
        <v>93.727338651196519</v>
      </c>
      <c r="I31" s="21">
        <f>'15a'!I31/'15a'!$B31*100</f>
        <v>99.146776109731078</v>
      </c>
      <c r="J31" s="21">
        <f>'15a'!J31/'15a'!$B31*100</f>
        <v>113.24631375392798</v>
      </c>
      <c r="K31" s="21">
        <f>'15a'!K31/'15a'!$B31*100</f>
        <v>86.474421283795948</v>
      </c>
      <c r="L31" s="21">
        <f>'15a'!L31/'15a'!$B31*100</f>
        <v>88.260849682169479</v>
      </c>
      <c r="N31" s="6"/>
      <c r="O31" s="6"/>
      <c r="P31" s="6"/>
      <c r="Q31" s="6"/>
      <c r="R31" s="6"/>
      <c r="S31" s="6"/>
      <c r="T31" s="6"/>
      <c r="U31" s="6"/>
      <c r="V31" s="6"/>
      <c r="W31" s="6"/>
      <c r="X31" s="6"/>
    </row>
    <row r="32" spans="1:24" s="114" customFormat="1">
      <c r="A32" s="1009"/>
      <c r="B32" s="991"/>
      <c r="C32" s="991"/>
      <c r="D32" s="985" t="s">
        <v>655</v>
      </c>
      <c r="E32" s="991"/>
      <c r="F32" s="991"/>
      <c r="G32" s="991"/>
      <c r="H32" s="991"/>
      <c r="I32" s="991"/>
      <c r="J32" s="991"/>
      <c r="K32" s="991"/>
      <c r="L32" s="991"/>
    </row>
    <row r="33" spans="1:36" s="114" customFormat="1">
      <c r="A33" s="1009" t="s">
        <v>603</v>
      </c>
      <c r="B33" s="992">
        <f>B13-B5</f>
        <v>0</v>
      </c>
      <c r="C33" s="992">
        <f t="shared" ref="C33:L33" si="0">C13-C5</f>
        <v>-9.7782555796753741</v>
      </c>
      <c r="D33" s="992">
        <f t="shared" si="0"/>
        <v>-7.6676099877461752</v>
      </c>
      <c r="E33" s="992">
        <f t="shared" si="0"/>
        <v>6.4611471612230105</v>
      </c>
      <c r="F33" s="992">
        <f t="shared" si="0"/>
        <v>-26.351827838834623</v>
      </c>
      <c r="G33" s="992">
        <f t="shared" si="0"/>
        <v>0.87762567814588976</v>
      </c>
      <c r="H33" s="992">
        <f t="shared" si="0"/>
        <v>6.1770855537928071</v>
      </c>
      <c r="I33" s="992">
        <f t="shared" si="0"/>
        <v>-8.5835622023371059</v>
      </c>
      <c r="J33" s="992">
        <f t="shared" si="0"/>
        <v>-19.137082356118171</v>
      </c>
      <c r="K33" s="992">
        <f t="shared" si="0"/>
        <v>26.797815581309123</v>
      </c>
      <c r="L33" s="992">
        <f t="shared" si="0"/>
        <v>-10.982330037740525</v>
      </c>
    </row>
    <row r="34" spans="1:36" s="114" customFormat="1">
      <c r="A34" s="1009" t="s">
        <v>604</v>
      </c>
      <c r="B34" s="992">
        <f>B24-B13</f>
        <v>0</v>
      </c>
      <c r="C34" s="992">
        <f t="shared" ref="C34:L34" si="1">C24-C13</f>
        <v>37.781280795377199</v>
      </c>
      <c r="D34" s="992">
        <f t="shared" si="1"/>
        <v>-7.5597765454822792</v>
      </c>
      <c r="E34" s="992">
        <f t="shared" si="1"/>
        <v>-13.912567998370591</v>
      </c>
      <c r="F34" s="992">
        <f t="shared" si="1"/>
        <v>-22.226701402892388</v>
      </c>
      <c r="G34" s="992">
        <f t="shared" si="1"/>
        <v>1.7638920836468088</v>
      </c>
      <c r="H34" s="992">
        <f t="shared" si="1"/>
        <v>8.2638347096003884</v>
      </c>
      <c r="I34" s="992">
        <f t="shared" si="1"/>
        <v>-14.93253129188821</v>
      </c>
      <c r="J34" s="992">
        <f t="shared" si="1"/>
        <v>-23.185193689315042</v>
      </c>
      <c r="K34" s="992">
        <f t="shared" si="1"/>
        <v>-28.919322974890974</v>
      </c>
      <c r="L34" s="992">
        <f t="shared" si="1"/>
        <v>10.90365902382257</v>
      </c>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row>
    <row r="35" spans="1:36" s="114" customFormat="1">
      <c r="A35" s="1009" t="s">
        <v>447</v>
      </c>
      <c r="B35" s="993">
        <f>B31-B5</f>
        <v>0</v>
      </c>
      <c r="C35" s="993">
        <f t="shared" ref="C35:L35" si="2">C31-C5</f>
        <v>3.9734204002349998</v>
      </c>
      <c r="D35" s="993">
        <f t="shared" si="2"/>
        <v>-32.488577617451284</v>
      </c>
      <c r="E35" s="993">
        <f t="shared" si="2"/>
        <v>-9.6762982425497626</v>
      </c>
      <c r="F35" s="993">
        <f t="shared" si="2"/>
        <v>-23.512812612746615</v>
      </c>
      <c r="G35" s="993">
        <f t="shared" si="2"/>
        <v>2.5941908955148989</v>
      </c>
      <c r="H35" s="993">
        <f t="shared" si="2"/>
        <v>14.652387411296829</v>
      </c>
      <c r="I35" s="993">
        <f t="shared" si="2"/>
        <v>-10.736597691168484</v>
      </c>
      <c r="J35" s="993">
        <f t="shared" si="2"/>
        <v>-17.448868846229971</v>
      </c>
      <c r="K35" s="993">
        <f t="shared" si="2"/>
        <v>3.1363437847550983</v>
      </c>
      <c r="L35" s="993">
        <f t="shared" si="2"/>
        <v>-3.6274520302680742</v>
      </c>
    </row>
    <row r="36" spans="1:36" s="114" customFormat="1">
      <c r="A36" s="1009" t="s">
        <v>449</v>
      </c>
      <c r="B36" s="992">
        <f>B31-B24</f>
        <v>0</v>
      </c>
      <c r="C36" s="992">
        <f t="shared" ref="C36:L36" si="3">C31-C24</f>
        <v>-24.029604815466826</v>
      </c>
      <c r="D36" s="992">
        <f t="shared" si="3"/>
        <v>-17.26119108422283</v>
      </c>
      <c r="E36" s="992">
        <f t="shared" si="3"/>
        <v>-2.2248774054021823</v>
      </c>
      <c r="F36" s="992">
        <f t="shared" si="3"/>
        <v>25.065716628980397</v>
      </c>
      <c r="G36" s="992">
        <f t="shared" si="3"/>
        <v>-4.7326866277799695E-2</v>
      </c>
      <c r="H36" s="992">
        <f t="shared" si="3"/>
        <v>0.21146714790363319</v>
      </c>
      <c r="I36" s="992">
        <f t="shared" si="3"/>
        <v>12.779495803056832</v>
      </c>
      <c r="J36" s="992">
        <f t="shared" si="3"/>
        <v>24.873407199203243</v>
      </c>
      <c r="K36" s="992">
        <f t="shared" si="3"/>
        <v>5.2578511783369493</v>
      </c>
      <c r="L36" s="992">
        <f t="shared" si="3"/>
        <v>-3.5487810163501194</v>
      </c>
    </row>
    <row r="37" spans="1:36" s="114" customFormat="1">
      <c r="A37" s="1009"/>
      <c r="B37" s="991"/>
      <c r="C37" s="991"/>
      <c r="D37" s="985" t="s">
        <v>276</v>
      </c>
      <c r="E37" s="991"/>
      <c r="F37" s="991"/>
      <c r="G37" s="991"/>
      <c r="H37" s="991"/>
      <c r="I37" s="991"/>
      <c r="J37" s="991"/>
      <c r="K37" s="991"/>
      <c r="L37" s="991"/>
    </row>
    <row r="38" spans="1:36" s="114" customFormat="1">
      <c r="A38" s="1009" t="s">
        <v>447</v>
      </c>
      <c r="B38" s="992">
        <f>(B31/B5-1)*100</f>
        <v>0</v>
      </c>
      <c r="C38" s="992">
        <f t="shared" ref="C38:L38" si="4">(C31/C5-1)*100</f>
        <v>2.7065642470912143</v>
      </c>
      <c r="D38" s="992">
        <f t="shared" si="4"/>
        <v>-32.401093075519348</v>
      </c>
      <c r="E38" s="992">
        <f t="shared" si="4"/>
        <v>-9.3310229102663396</v>
      </c>
      <c r="F38" s="992">
        <f t="shared" si="4"/>
        <v>-16.58777055687025</v>
      </c>
      <c r="G38" s="992">
        <f t="shared" si="4"/>
        <v>2.4406942241703478</v>
      </c>
      <c r="H38" s="992">
        <f t="shared" si="4"/>
        <v>18.529745743179827</v>
      </c>
      <c r="I38" s="992">
        <f t="shared" si="4"/>
        <v>-9.770902839789386</v>
      </c>
      <c r="J38" s="992">
        <f t="shared" si="4"/>
        <v>-13.350812554133796</v>
      </c>
      <c r="K38" s="992">
        <f t="shared" si="4"/>
        <v>3.7633982914847097</v>
      </c>
      <c r="L38" s="992">
        <f t="shared" si="4"/>
        <v>-3.9476755611613235</v>
      </c>
    </row>
    <row r="39" spans="1:36">
      <c r="A39" s="114"/>
      <c r="B39" s="114"/>
      <c r="C39" s="114"/>
      <c r="D39" s="114"/>
      <c r="E39" s="114"/>
      <c r="F39" s="114"/>
      <c r="G39" s="114"/>
      <c r="H39" s="114"/>
      <c r="I39" s="114"/>
      <c r="J39" s="114"/>
      <c r="K39" s="114"/>
      <c r="L39" s="114"/>
    </row>
    <row r="40" spans="1:36">
      <c r="A40" s="9" t="s">
        <v>210</v>
      </c>
    </row>
    <row r="41" spans="1:36" ht="36.75" customHeight="1">
      <c r="A41" s="1168" t="s">
        <v>927</v>
      </c>
      <c r="B41" s="1169"/>
      <c r="C41" s="1169"/>
      <c r="D41" s="1169"/>
      <c r="E41" s="1169"/>
      <c r="F41" s="1169"/>
      <c r="G41" s="1169"/>
      <c r="H41" s="1169"/>
      <c r="I41" s="1169"/>
      <c r="J41" s="1169"/>
      <c r="K41" s="1169"/>
      <c r="L41" s="1169"/>
    </row>
    <row r="42" spans="1:36" ht="23.25" customHeight="1">
      <c r="A42" s="1168" t="s">
        <v>539</v>
      </c>
      <c r="B42" s="1169"/>
      <c r="C42" s="1169"/>
      <c r="D42" s="1169"/>
      <c r="E42" s="1169"/>
      <c r="F42" s="1169"/>
      <c r="G42" s="1169"/>
      <c r="H42" s="1169"/>
      <c r="I42" s="1169"/>
      <c r="J42" s="1169"/>
      <c r="K42" s="1169"/>
      <c r="L42" s="1169"/>
    </row>
    <row r="43" spans="1:36" ht="40.5" customHeight="1">
      <c r="A43" s="1168" t="s">
        <v>1214</v>
      </c>
      <c r="B43" s="1169"/>
      <c r="C43" s="1169"/>
      <c r="D43" s="1169"/>
      <c r="E43" s="1169"/>
      <c r="F43" s="1169"/>
      <c r="G43" s="1169"/>
      <c r="H43" s="1169"/>
      <c r="I43" s="1169"/>
      <c r="J43" s="1169"/>
      <c r="K43" s="1169"/>
      <c r="L43" s="1169"/>
    </row>
    <row r="44" spans="1:36">
      <c r="A44" s="1"/>
      <c r="B44" s="4"/>
      <c r="M44" s="4"/>
      <c r="N44" s="4"/>
    </row>
    <row r="45" spans="1:36">
      <c r="A45" s="4"/>
      <c r="B45" s="4"/>
      <c r="M45" s="4"/>
      <c r="N45" s="4"/>
    </row>
    <row r="46" spans="1:36">
      <c r="A46" s="4"/>
      <c r="B46" s="4"/>
      <c r="C46" s="4"/>
      <c r="D46" s="4"/>
      <c r="E46" s="4"/>
      <c r="F46" s="4"/>
      <c r="G46" s="4"/>
      <c r="H46" s="4"/>
      <c r="I46" s="4"/>
      <c r="J46" s="4"/>
      <c r="K46" s="4"/>
      <c r="L46" s="4"/>
      <c r="M46" s="4"/>
      <c r="N46" s="4"/>
    </row>
    <row r="47" spans="1:36">
      <c r="A47" s="4"/>
      <c r="B47" s="4"/>
      <c r="C47" s="4"/>
      <c r="D47" s="4"/>
      <c r="E47" s="4"/>
      <c r="F47" s="4"/>
      <c r="G47" s="4"/>
      <c r="H47" s="4"/>
      <c r="I47" s="4"/>
      <c r="J47" s="4"/>
      <c r="K47" s="4"/>
      <c r="L47" s="4"/>
      <c r="M47" s="4"/>
      <c r="N47" s="4"/>
    </row>
    <row r="48" spans="1:36" ht="15.75">
      <c r="A48" s="4"/>
      <c r="B48" s="28"/>
      <c r="C48" s="4"/>
      <c r="D48" s="4"/>
      <c r="E48" s="4"/>
      <c r="F48" s="4"/>
      <c r="G48" s="4"/>
      <c r="H48" s="4"/>
      <c r="I48" s="4"/>
      <c r="J48" s="4"/>
      <c r="K48" s="4"/>
      <c r="L48" s="4"/>
      <c r="M48" s="4"/>
      <c r="N48" s="4"/>
    </row>
    <row r="49" spans="1:14">
      <c r="A49" s="37"/>
      <c r="B49" s="4"/>
      <c r="C49" s="37"/>
      <c r="D49" s="37"/>
      <c r="E49" s="37"/>
      <c r="F49" s="37"/>
      <c r="G49" s="37"/>
      <c r="H49" s="37"/>
      <c r="I49" s="29"/>
      <c r="J49" s="37"/>
      <c r="K49" s="37"/>
      <c r="L49" s="37"/>
      <c r="M49" s="4"/>
      <c r="N49" s="4"/>
    </row>
    <row r="50" spans="1:14">
      <c r="A50" s="30"/>
      <c r="B50" s="1164"/>
      <c r="C50" s="1164"/>
      <c r="D50" s="1164"/>
      <c r="E50" s="1164"/>
      <c r="F50" s="1164"/>
      <c r="G50" s="1164"/>
      <c r="H50" s="1164"/>
      <c r="I50" s="1164"/>
      <c r="J50" s="1164"/>
      <c r="K50" s="1164"/>
      <c r="L50" s="1164"/>
      <c r="M50" s="4"/>
      <c r="N50" s="4"/>
    </row>
    <row r="51" spans="1:14">
      <c r="A51" s="38"/>
      <c r="B51" s="1164"/>
      <c r="C51" s="1164"/>
      <c r="D51" s="1164"/>
      <c r="E51" s="1164"/>
      <c r="F51" s="1164"/>
      <c r="G51" s="1164"/>
      <c r="H51" s="1164"/>
      <c r="I51" s="1164"/>
      <c r="J51" s="1164"/>
      <c r="K51" s="1164"/>
      <c r="L51" s="1164"/>
      <c r="M51" s="4"/>
      <c r="N51" s="4"/>
    </row>
    <row r="52" spans="1:14">
      <c r="A52" s="30"/>
      <c r="B52" s="31"/>
      <c r="C52" s="31"/>
      <c r="D52" s="31"/>
      <c r="E52" s="31"/>
      <c r="F52" s="31"/>
      <c r="G52" s="31"/>
      <c r="H52" s="31"/>
      <c r="I52" s="31"/>
      <c r="J52" s="31"/>
      <c r="K52" s="31"/>
      <c r="L52" s="31"/>
      <c r="M52" s="4"/>
      <c r="N52" s="4"/>
    </row>
    <row r="53" spans="1:14">
      <c r="A53" s="30"/>
      <c r="B53" s="31"/>
      <c r="C53" s="31"/>
      <c r="D53" s="31"/>
      <c r="E53" s="31"/>
      <c r="F53" s="31"/>
      <c r="G53" s="31"/>
      <c r="H53" s="31"/>
      <c r="I53" s="31"/>
      <c r="J53" s="31"/>
      <c r="K53" s="31"/>
      <c r="L53" s="31"/>
      <c r="M53" s="4"/>
      <c r="N53" s="4"/>
    </row>
    <row r="54" spans="1:14">
      <c r="A54" s="30"/>
      <c r="B54" s="31"/>
      <c r="C54" s="31"/>
      <c r="D54" s="31"/>
      <c r="E54" s="31"/>
      <c r="F54" s="31"/>
      <c r="G54" s="31"/>
      <c r="H54" s="31"/>
      <c r="I54" s="31"/>
      <c r="J54" s="31"/>
      <c r="K54" s="31"/>
      <c r="L54" s="31"/>
      <c r="M54" s="4"/>
      <c r="N54" s="4"/>
    </row>
    <row r="55" spans="1:14">
      <c r="A55" s="30"/>
      <c r="B55" s="31"/>
      <c r="C55" s="31"/>
      <c r="D55" s="31"/>
      <c r="E55" s="31"/>
      <c r="F55" s="31"/>
      <c r="G55" s="31"/>
      <c r="H55" s="31"/>
      <c r="I55" s="31"/>
      <c r="J55" s="31"/>
      <c r="K55" s="31"/>
      <c r="L55" s="31"/>
      <c r="M55" s="4"/>
      <c r="N55" s="4"/>
    </row>
    <row r="56" spans="1:14">
      <c r="A56" s="30"/>
      <c r="B56" s="31"/>
      <c r="C56" s="31"/>
      <c r="D56" s="31"/>
      <c r="E56" s="31"/>
      <c r="F56" s="31"/>
      <c r="G56" s="31"/>
      <c r="H56" s="31"/>
      <c r="I56" s="31"/>
      <c r="J56" s="31"/>
      <c r="K56" s="31"/>
      <c r="L56" s="31"/>
      <c r="M56" s="4"/>
      <c r="N56" s="4"/>
    </row>
    <row r="57" spans="1:14">
      <c r="A57" s="30"/>
      <c r="B57" s="31"/>
      <c r="C57" s="31"/>
      <c r="D57" s="31"/>
      <c r="E57" s="31"/>
      <c r="F57" s="31"/>
      <c r="G57" s="31"/>
      <c r="H57" s="31"/>
      <c r="I57" s="31"/>
      <c r="J57" s="31"/>
      <c r="K57" s="31"/>
      <c r="L57" s="31"/>
      <c r="M57" s="4"/>
      <c r="N57" s="4"/>
    </row>
    <row r="58" spans="1:14">
      <c r="A58" s="30"/>
      <c r="B58" s="31"/>
      <c r="C58" s="31"/>
      <c r="D58" s="31"/>
      <c r="E58" s="31"/>
      <c r="F58" s="31"/>
      <c r="G58" s="31"/>
      <c r="H58" s="31"/>
      <c r="I58" s="31"/>
      <c r="J58" s="31"/>
      <c r="K58" s="31"/>
      <c r="L58" s="31"/>
      <c r="M58" s="4"/>
      <c r="N58" s="4"/>
    </row>
    <row r="59" spans="1:14">
      <c r="A59" s="30"/>
      <c r="B59" s="31"/>
      <c r="C59" s="31"/>
      <c r="D59" s="31"/>
      <c r="E59" s="31"/>
      <c r="F59" s="31"/>
      <c r="G59" s="31"/>
      <c r="H59" s="31"/>
      <c r="I59" s="31"/>
      <c r="J59" s="31"/>
      <c r="K59" s="31"/>
      <c r="L59" s="31"/>
      <c r="M59" s="4"/>
      <c r="N59" s="4"/>
    </row>
    <row r="60" spans="1:14">
      <c r="A60" s="30"/>
      <c r="B60" s="31"/>
      <c r="C60" s="31"/>
      <c r="D60" s="31"/>
      <c r="E60" s="31"/>
      <c r="F60" s="31"/>
      <c r="G60" s="31"/>
      <c r="H60" s="31"/>
      <c r="I60" s="31"/>
      <c r="J60" s="31"/>
      <c r="K60" s="31"/>
      <c r="L60" s="31"/>
      <c r="M60" s="4"/>
      <c r="N60" s="4"/>
    </row>
    <row r="61" spans="1:14">
      <c r="A61" s="30"/>
      <c r="B61" s="31"/>
      <c r="C61" s="31"/>
      <c r="D61" s="31"/>
      <c r="E61" s="31"/>
      <c r="F61" s="31"/>
      <c r="G61" s="31"/>
      <c r="H61" s="31"/>
      <c r="I61" s="31"/>
      <c r="J61" s="31"/>
      <c r="K61" s="31"/>
      <c r="L61" s="31"/>
      <c r="M61" s="4"/>
      <c r="N61" s="4"/>
    </row>
    <row r="62" spans="1:14">
      <c r="A62" s="30"/>
      <c r="B62" s="31"/>
      <c r="C62" s="31"/>
      <c r="D62" s="31"/>
      <c r="E62" s="31"/>
      <c r="F62" s="31"/>
      <c r="G62" s="31"/>
      <c r="H62" s="31"/>
      <c r="I62" s="31"/>
      <c r="J62" s="31"/>
      <c r="K62" s="31"/>
      <c r="L62" s="31"/>
      <c r="M62" s="4"/>
      <c r="N62" s="4"/>
    </row>
    <row r="63" spans="1:14">
      <c r="A63" s="30"/>
      <c r="B63" s="31"/>
      <c r="C63" s="31"/>
      <c r="D63" s="31"/>
      <c r="E63" s="31"/>
      <c r="F63" s="31"/>
      <c r="G63" s="31"/>
      <c r="H63" s="31"/>
      <c r="I63" s="31"/>
      <c r="J63" s="31"/>
      <c r="K63" s="31"/>
      <c r="L63" s="31"/>
      <c r="M63" s="4"/>
      <c r="N63" s="4"/>
    </row>
    <row r="64" spans="1:14">
      <c r="A64" s="30"/>
      <c r="B64" s="31"/>
      <c r="C64" s="31"/>
      <c r="D64" s="31"/>
      <c r="E64" s="31"/>
      <c r="F64" s="31"/>
      <c r="G64" s="31"/>
      <c r="H64" s="31"/>
      <c r="I64" s="31"/>
      <c r="J64" s="31"/>
      <c r="K64" s="31"/>
      <c r="L64" s="31"/>
      <c r="M64" s="4"/>
      <c r="N64" s="4"/>
    </row>
    <row r="65" spans="1:14">
      <c r="A65" s="30"/>
      <c r="B65" s="31"/>
      <c r="C65" s="31"/>
      <c r="D65" s="31"/>
      <c r="E65" s="31"/>
      <c r="F65" s="31"/>
      <c r="G65" s="31"/>
      <c r="H65" s="31"/>
      <c r="I65" s="31"/>
      <c r="J65" s="31"/>
      <c r="K65" s="31"/>
      <c r="L65" s="31"/>
      <c r="M65" s="4"/>
      <c r="N65" s="4"/>
    </row>
    <row r="66" spans="1:14">
      <c r="A66" s="30"/>
      <c r="B66" s="31"/>
      <c r="C66" s="31"/>
      <c r="D66" s="31"/>
      <c r="E66" s="31"/>
      <c r="F66" s="31"/>
      <c r="G66" s="31"/>
      <c r="H66" s="31"/>
      <c r="I66" s="31"/>
      <c r="J66" s="31"/>
      <c r="K66" s="31"/>
      <c r="L66" s="31"/>
      <c r="M66" s="4"/>
      <c r="N66" s="4"/>
    </row>
    <row r="67" spans="1:14">
      <c r="A67" s="30"/>
      <c r="B67" s="31"/>
      <c r="C67" s="31"/>
      <c r="D67" s="31"/>
      <c r="E67" s="31"/>
      <c r="F67" s="31"/>
      <c r="G67" s="31"/>
      <c r="H67" s="31"/>
      <c r="I67" s="31"/>
      <c r="J67" s="31"/>
      <c r="K67" s="31"/>
      <c r="L67" s="31"/>
      <c r="M67" s="4"/>
      <c r="N67" s="4"/>
    </row>
    <row r="68" spans="1:14">
      <c r="A68" s="30"/>
      <c r="B68" s="31"/>
      <c r="C68" s="31"/>
      <c r="D68" s="31"/>
      <c r="E68" s="31"/>
      <c r="F68" s="31"/>
      <c r="G68" s="31"/>
      <c r="H68" s="31"/>
      <c r="I68" s="31"/>
      <c r="J68" s="31"/>
      <c r="K68" s="31"/>
      <c r="L68" s="31"/>
      <c r="M68" s="4"/>
      <c r="N68" s="4"/>
    </row>
    <row r="69" spans="1:14">
      <c r="A69" s="30"/>
      <c r="B69" s="31"/>
      <c r="C69" s="31"/>
      <c r="D69" s="31"/>
      <c r="E69" s="31"/>
      <c r="F69" s="31"/>
      <c r="G69" s="31"/>
      <c r="H69" s="31"/>
      <c r="I69" s="31"/>
      <c r="J69" s="31"/>
      <c r="K69" s="31"/>
      <c r="L69" s="31"/>
      <c r="M69" s="4"/>
      <c r="N69" s="4"/>
    </row>
    <row r="70" spans="1:14">
      <c r="A70" s="30"/>
      <c r="B70" s="31"/>
      <c r="C70" s="31"/>
      <c r="D70" s="31"/>
      <c r="E70" s="31"/>
      <c r="F70" s="31"/>
      <c r="G70" s="31"/>
      <c r="H70" s="31"/>
      <c r="I70" s="31"/>
      <c r="J70" s="31"/>
      <c r="K70" s="31"/>
      <c r="L70" s="31"/>
      <c r="M70" s="4"/>
      <c r="N70" s="4"/>
    </row>
    <row r="71" spans="1:14">
      <c r="A71" s="30"/>
      <c r="B71" s="31"/>
      <c r="C71" s="31"/>
      <c r="D71" s="31"/>
      <c r="E71" s="31"/>
      <c r="F71" s="31"/>
      <c r="G71" s="31"/>
      <c r="H71" s="31"/>
      <c r="I71" s="31"/>
      <c r="J71" s="31"/>
      <c r="K71" s="31"/>
      <c r="L71" s="31"/>
      <c r="M71" s="4"/>
      <c r="N71" s="4"/>
    </row>
    <row r="72" spans="1:14">
      <c r="A72" s="30"/>
      <c r="B72" s="31"/>
      <c r="C72" s="31"/>
      <c r="D72" s="31"/>
      <c r="E72" s="31"/>
      <c r="F72" s="31"/>
      <c r="G72" s="31"/>
      <c r="H72" s="31"/>
      <c r="I72" s="31"/>
      <c r="J72" s="31"/>
      <c r="K72" s="31"/>
      <c r="L72" s="31"/>
      <c r="M72" s="4"/>
      <c r="N72" s="4"/>
    </row>
    <row r="73" spans="1:14">
      <c r="A73" s="30"/>
      <c r="B73" s="31"/>
      <c r="C73" s="31"/>
      <c r="D73" s="31"/>
      <c r="E73" s="31"/>
      <c r="F73" s="31"/>
      <c r="G73" s="31"/>
      <c r="H73" s="31"/>
      <c r="I73" s="31"/>
      <c r="J73" s="31"/>
      <c r="K73" s="31"/>
      <c r="L73" s="31"/>
      <c r="M73" s="4"/>
      <c r="N73" s="4"/>
    </row>
    <row r="74" spans="1:14">
      <c r="A74" s="30"/>
      <c r="B74" s="32"/>
      <c r="C74" s="32"/>
      <c r="D74" s="32"/>
      <c r="E74" s="32"/>
      <c r="F74" s="32"/>
      <c r="G74" s="32"/>
      <c r="H74" s="32"/>
      <c r="I74" s="32"/>
      <c r="J74" s="32"/>
      <c r="K74" s="32"/>
      <c r="L74" s="32"/>
      <c r="M74" s="4"/>
      <c r="N74" s="4"/>
    </row>
    <row r="75" spans="1:14">
      <c r="A75" s="30"/>
      <c r="B75" s="31"/>
      <c r="C75" s="31"/>
      <c r="D75" s="31"/>
      <c r="E75" s="31"/>
      <c r="F75" s="31"/>
      <c r="G75" s="31"/>
      <c r="H75" s="31"/>
      <c r="I75" s="31"/>
      <c r="J75" s="31"/>
      <c r="K75" s="31"/>
      <c r="L75" s="31"/>
      <c r="M75" s="4"/>
      <c r="N75" s="4"/>
    </row>
    <row r="76" spans="1:14">
      <c r="A76" s="5"/>
      <c r="B76" s="33"/>
      <c r="C76" s="33"/>
      <c r="D76" s="33"/>
      <c r="E76" s="33"/>
      <c r="F76" s="33"/>
      <c r="G76" s="33"/>
      <c r="H76" s="33"/>
      <c r="I76" s="33"/>
      <c r="J76" s="33"/>
      <c r="K76" s="33"/>
      <c r="L76" s="33"/>
      <c r="M76" s="4"/>
      <c r="N76" s="4"/>
    </row>
    <row r="77" spans="1:14">
      <c r="A77" s="5"/>
      <c r="B77" s="33"/>
      <c r="C77" s="33"/>
      <c r="D77" s="33"/>
      <c r="E77" s="33"/>
      <c r="F77" s="33"/>
      <c r="G77" s="33"/>
      <c r="H77" s="33"/>
      <c r="I77" s="33"/>
      <c r="J77" s="33"/>
      <c r="K77" s="33"/>
      <c r="L77" s="33"/>
      <c r="M77" s="4"/>
      <c r="N77" s="4"/>
    </row>
    <row r="78" spans="1:14">
      <c r="A78" s="4"/>
      <c r="B78" s="4"/>
      <c r="C78" s="30"/>
      <c r="D78" s="30"/>
      <c r="E78" s="30"/>
      <c r="F78" s="30"/>
      <c r="G78" s="30"/>
      <c r="H78" s="30"/>
      <c r="I78" s="30"/>
      <c r="J78" s="30"/>
      <c r="K78" s="30"/>
      <c r="L78" s="30"/>
      <c r="M78" s="4"/>
      <c r="N78" s="4"/>
    </row>
    <row r="79" spans="1:14">
      <c r="A79" s="4"/>
      <c r="B79" s="4"/>
      <c r="C79" s="30"/>
      <c r="D79" s="30"/>
      <c r="E79" s="30"/>
      <c r="F79" s="30"/>
      <c r="G79" s="30"/>
      <c r="H79" s="30"/>
      <c r="I79" s="30"/>
      <c r="J79" s="30"/>
      <c r="K79" s="30"/>
      <c r="L79" s="30"/>
      <c r="M79" s="4"/>
      <c r="N79" s="4"/>
    </row>
    <row r="80" spans="1:14">
      <c r="A80" s="34"/>
      <c r="B80" s="4"/>
      <c r="C80" s="30"/>
      <c r="D80" s="30"/>
      <c r="E80" s="30"/>
      <c r="F80" s="30"/>
      <c r="G80" s="30"/>
      <c r="H80" s="30"/>
      <c r="I80" s="30"/>
      <c r="J80" s="30"/>
      <c r="K80" s="30"/>
      <c r="L80" s="30"/>
      <c r="M80" s="4"/>
      <c r="N80" s="4"/>
    </row>
    <row r="81" spans="1:14">
      <c r="A81" s="34"/>
      <c r="B81" s="4"/>
      <c r="C81" s="30"/>
      <c r="D81" s="30"/>
      <c r="E81" s="30"/>
      <c r="F81" s="30"/>
      <c r="G81" s="30"/>
      <c r="H81" s="30"/>
      <c r="I81" s="30"/>
      <c r="J81" s="30"/>
      <c r="K81" s="30"/>
      <c r="L81" s="30"/>
      <c r="M81" s="4"/>
      <c r="N81" s="4"/>
    </row>
    <row r="82" spans="1:14">
      <c r="A82" s="30"/>
      <c r="B82" s="4"/>
      <c r="C82" s="30"/>
      <c r="D82" s="30"/>
      <c r="E82" s="30"/>
      <c r="F82" s="30"/>
      <c r="G82" s="30"/>
      <c r="H82" s="30"/>
      <c r="I82" s="30"/>
      <c r="J82" s="30"/>
      <c r="K82" s="30"/>
      <c r="L82" s="30"/>
      <c r="M82" s="4"/>
      <c r="N82" s="4"/>
    </row>
    <row r="83" spans="1:14">
      <c r="A83" s="30"/>
      <c r="B83" s="4"/>
      <c r="C83" s="31"/>
      <c r="D83" s="30"/>
      <c r="E83" s="30"/>
      <c r="F83" s="30"/>
      <c r="G83" s="30"/>
      <c r="H83" s="30"/>
      <c r="I83" s="30"/>
      <c r="J83" s="30"/>
      <c r="K83" s="30"/>
      <c r="L83" s="30"/>
      <c r="M83" s="4"/>
      <c r="N83" s="4"/>
    </row>
    <row r="84" spans="1:14">
      <c r="A84" s="30"/>
      <c r="B84" s="4"/>
      <c r="C84" s="4"/>
      <c r="D84" s="4"/>
      <c r="E84" s="4"/>
      <c r="F84" s="4"/>
      <c r="G84" s="4"/>
      <c r="H84" s="4"/>
      <c r="I84" s="4"/>
      <c r="J84" s="4"/>
      <c r="K84" s="4"/>
      <c r="L84" s="4"/>
      <c r="M84" s="4"/>
      <c r="N84" s="4"/>
    </row>
    <row r="85" spans="1:14">
      <c r="A85" s="30"/>
      <c r="B85" s="4"/>
      <c r="C85" s="4"/>
      <c r="D85" s="4"/>
      <c r="E85" s="4"/>
      <c r="F85" s="4"/>
      <c r="G85" s="4"/>
      <c r="H85" s="4"/>
      <c r="I85" s="4"/>
      <c r="J85" s="4"/>
      <c r="K85" s="4"/>
      <c r="L85" s="4"/>
      <c r="M85" s="4"/>
      <c r="N85" s="4"/>
    </row>
    <row r="86" spans="1:14">
      <c r="A86" s="35"/>
      <c r="B86" s="4"/>
      <c r="C86" s="4"/>
      <c r="D86" s="4"/>
      <c r="E86" s="4"/>
      <c r="F86" s="4"/>
      <c r="G86" s="4"/>
      <c r="H86" s="4"/>
      <c r="I86" s="4"/>
      <c r="J86" s="4"/>
      <c r="K86" s="4"/>
      <c r="L86" s="4"/>
      <c r="M86" s="4"/>
      <c r="N86" s="4"/>
    </row>
    <row r="87" spans="1:14">
      <c r="A87" s="35"/>
      <c r="B87" s="4"/>
      <c r="C87" s="4"/>
      <c r="D87" s="4"/>
      <c r="E87" s="4"/>
      <c r="F87" s="4"/>
      <c r="G87" s="4"/>
      <c r="H87" s="4"/>
      <c r="I87" s="4"/>
      <c r="J87" s="4"/>
      <c r="K87" s="4"/>
      <c r="L87" s="4"/>
      <c r="M87" s="4"/>
      <c r="N87" s="4"/>
    </row>
    <row r="88" spans="1:14">
      <c r="A88" s="4"/>
      <c r="B88" s="4"/>
      <c r="C88" s="4"/>
      <c r="D88" s="4"/>
      <c r="E88" s="4"/>
      <c r="F88" s="4"/>
      <c r="G88" s="4"/>
      <c r="H88" s="4"/>
      <c r="I88" s="4"/>
      <c r="J88" s="4"/>
      <c r="K88" s="4"/>
      <c r="L88" s="4"/>
      <c r="M88" s="4"/>
      <c r="N88" s="4"/>
    </row>
    <row r="89" spans="1:14">
      <c r="A89" s="4"/>
      <c r="B89" s="4"/>
      <c r="C89" s="4"/>
      <c r="D89" s="4"/>
      <c r="E89" s="4"/>
      <c r="F89" s="4"/>
      <c r="G89" s="4"/>
      <c r="H89" s="4"/>
      <c r="I89" s="4"/>
      <c r="J89" s="4"/>
      <c r="K89" s="4"/>
      <c r="L89" s="4"/>
      <c r="M89" s="4"/>
      <c r="N89" s="4"/>
    </row>
    <row r="90" spans="1:14">
      <c r="A90" s="4"/>
      <c r="B90" s="4"/>
      <c r="C90" s="4"/>
      <c r="D90" s="4"/>
      <c r="E90" s="4"/>
      <c r="F90" s="4"/>
      <c r="G90" s="4"/>
      <c r="H90" s="4"/>
      <c r="I90" s="4"/>
      <c r="J90" s="4"/>
      <c r="K90" s="4"/>
      <c r="L90" s="4"/>
      <c r="M90" s="4"/>
      <c r="N90" s="4"/>
    </row>
    <row r="91" spans="1:14">
      <c r="A91" s="4"/>
      <c r="B91" s="4"/>
      <c r="C91" s="4"/>
      <c r="D91" s="4"/>
      <c r="E91" s="4"/>
      <c r="F91" s="4"/>
      <c r="G91" s="4"/>
      <c r="H91" s="4"/>
      <c r="I91" s="4"/>
      <c r="J91" s="4"/>
      <c r="K91" s="4"/>
      <c r="L91" s="4"/>
      <c r="M91" s="4"/>
      <c r="N91" s="4"/>
    </row>
    <row r="92" spans="1:14">
      <c r="A92" s="4"/>
      <c r="B92" s="4"/>
      <c r="C92" s="4"/>
      <c r="D92" s="4"/>
      <c r="E92" s="4"/>
      <c r="F92" s="4"/>
      <c r="G92" s="4"/>
      <c r="H92" s="4"/>
      <c r="I92" s="4"/>
      <c r="J92" s="4"/>
      <c r="K92" s="4"/>
      <c r="L92" s="4"/>
      <c r="M92" s="4"/>
      <c r="N92" s="4"/>
    </row>
    <row r="93" spans="1:14">
      <c r="A93" s="4"/>
      <c r="B93" s="4"/>
      <c r="C93" s="4"/>
      <c r="D93" s="4"/>
      <c r="E93" s="4"/>
      <c r="F93" s="4"/>
      <c r="G93" s="4"/>
      <c r="H93" s="4"/>
      <c r="I93" s="4"/>
      <c r="J93" s="4"/>
      <c r="K93" s="4"/>
      <c r="L93" s="4"/>
      <c r="M93" s="4"/>
      <c r="N93" s="4"/>
    </row>
    <row r="94" spans="1:14">
      <c r="A94" s="4"/>
      <c r="B94" s="4"/>
      <c r="C94" s="4"/>
      <c r="D94" s="4"/>
      <c r="E94" s="4"/>
      <c r="F94" s="4"/>
      <c r="G94" s="4"/>
      <c r="H94" s="4"/>
      <c r="I94" s="4"/>
      <c r="J94" s="4"/>
      <c r="K94" s="4"/>
      <c r="L94" s="4"/>
      <c r="M94" s="4"/>
      <c r="N94" s="4"/>
    </row>
    <row r="95" spans="1:14">
      <c r="A95" s="4"/>
      <c r="B95" s="4"/>
      <c r="C95" s="4"/>
      <c r="D95" s="4"/>
      <c r="E95" s="4"/>
      <c r="F95" s="4"/>
      <c r="G95" s="4"/>
      <c r="H95" s="4"/>
      <c r="I95" s="4"/>
      <c r="J95" s="4"/>
      <c r="K95" s="4"/>
      <c r="L95" s="4"/>
      <c r="M95" s="4"/>
      <c r="N95" s="4"/>
    </row>
    <row r="96" spans="1:14">
      <c r="A96" s="4"/>
      <c r="B96" s="4"/>
      <c r="C96" s="4"/>
      <c r="D96" s="4"/>
      <c r="E96" s="4"/>
      <c r="F96" s="4"/>
      <c r="G96" s="4"/>
      <c r="H96" s="4"/>
      <c r="I96" s="4"/>
      <c r="J96" s="4"/>
      <c r="K96" s="4"/>
      <c r="L96" s="4"/>
      <c r="M96" s="4"/>
      <c r="N96" s="4"/>
    </row>
    <row r="97" spans="1:14">
      <c r="A97" s="4"/>
      <c r="B97" s="4"/>
      <c r="C97" s="4"/>
      <c r="D97" s="4"/>
      <c r="E97" s="4"/>
      <c r="F97" s="4"/>
      <c r="G97" s="4"/>
      <c r="H97" s="4"/>
      <c r="I97" s="4"/>
      <c r="J97" s="4"/>
      <c r="K97" s="4"/>
      <c r="L97" s="4"/>
      <c r="M97" s="4"/>
      <c r="N97" s="4"/>
    </row>
    <row r="98" spans="1:14">
      <c r="A98" s="4"/>
      <c r="B98" s="4"/>
      <c r="C98" s="4"/>
      <c r="D98" s="4"/>
      <c r="E98" s="4"/>
      <c r="F98" s="4"/>
      <c r="G98" s="4"/>
      <c r="H98" s="4"/>
      <c r="I98" s="4"/>
      <c r="J98" s="4"/>
      <c r="K98" s="4"/>
      <c r="L98" s="4"/>
    </row>
    <row r="99" spans="1:14">
      <c r="A99" s="4"/>
      <c r="B99" s="4"/>
      <c r="C99" s="4"/>
      <c r="D99" s="4"/>
      <c r="E99" s="4"/>
      <c r="F99" s="4"/>
      <c r="G99" s="4"/>
      <c r="H99" s="4"/>
      <c r="I99" s="4"/>
      <c r="J99" s="4"/>
      <c r="K99" s="4"/>
      <c r="L99" s="4"/>
    </row>
  </sheetData>
  <mergeCells count="26">
    <mergeCell ref="B1:L1"/>
    <mergeCell ref="D50:D51"/>
    <mergeCell ref="E50:E51"/>
    <mergeCell ref="F50:F51"/>
    <mergeCell ref="I50:I51"/>
    <mergeCell ref="B3:B4"/>
    <mergeCell ref="C3:C4"/>
    <mergeCell ref="D3:D4"/>
    <mergeCell ref="E3:E4"/>
    <mergeCell ref="J50:J51"/>
    <mergeCell ref="K50:K51"/>
    <mergeCell ref="L50:L51"/>
    <mergeCell ref="B50:B51"/>
    <mergeCell ref="A41:L41"/>
    <mergeCell ref="A43:L43"/>
    <mergeCell ref="G50:G51"/>
    <mergeCell ref="H50:H51"/>
    <mergeCell ref="C50:C51"/>
    <mergeCell ref="J3:J4"/>
    <mergeCell ref="K3:K4"/>
    <mergeCell ref="L3:L4"/>
    <mergeCell ref="F3:F4"/>
    <mergeCell ref="G3:G4"/>
    <mergeCell ref="H3:H4"/>
    <mergeCell ref="I3:I4"/>
    <mergeCell ref="A42:L42"/>
  </mergeCells>
  <phoneticPr fontId="35" type="noConversion"/>
  <pageMargins left="0.75" right="0.75" top="1" bottom="1" header="0.5" footer="0.5"/>
  <pageSetup scale="74"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sheetPr codeName="Sheet45">
    <pageSetUpPr fitToPage="1"/>
  </sheetPr>
  <dimension ref="A1:AJ98"/>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2" width="9.28515625" style="1" bestFit="1" customWidth="1"/>
    <col min="13" max="16384" width="8.85546875" style="1"/>
  </cols>
  <sheetData>
    <row r="1" spans="1:24" ht="33.75" customHeight="1">
      <c r="A1" s="4"/>
      <c r="B1" s="1178" t="s">
        <v>2155</v>
      </c>
      <c r="C1" s="1178"/>
      <c r="D1" s="1178"/>
      <c r="E1" s="1178"/>
      <c r="F1" s="1178"/>
      <c r="G1" s="1178"/>
      <c r="H1" s="1178"/>
      <c r="I1" s="1178"/>
      <c r="J1" s="1178"/>
      <c r="K1" s="1178"/>
      <c r="L1" s="1178"/>
    </row>
    <row r="2" spans="1:24">
      <c r="A2" s="4"/>
      <c r="B2" s="4"/>
    </row>
    <row r="3" spans="1:24">
      <c r="B3" s="1164" t="s">
        <v>375</v>
      </c>
      <c r="C3" s="1164" t="s">
        <v>377</v>
      </c>
      <c r="D3" s="1164" t="s">
        <v>386</v>
      </c>
      <c r="E3" s="1164" t="s">
        <v>378</v>
      </c>
      <c r="F3" s="1164" t="s">
        <v>379</v>
      </c>
      <c r="G3" s="1164" t="s">
        <v>380</v>
      </c>
      <c r="H3" s="1164" t="s">
        <v>381</v>
      </c>
      <c r="I3" s="1164" t="s">
        <v>382</v>
      </c>
      <c r="J3" s="1164" t="s">
        <v>383</v>
      </c>
      <c r="K3" s="1164" t="s">
        <v>384</v>
      </c>
      <c r="L3" s="1164" t="s">
        <v>385</v>
      </c>
    </row>
    <row r="4" spans="1:24" s="4" customFormat="1">
      <c r="A4" s="7"/>
      <c r="B4" s="1165"/>
      <c r="C4" s="1165"/>
      <c r="D4" s="1165"/>
      <c r="E4" s="1165"/>
      <c r="F4" s="1165"/>
      <c r="G4" s="1165"/>
      <c r="H4" s="1165"/>
      <c r="I4" s="1165"/>
      <c r="J4" s="1165"/>
      <c r="K4" s="1165"/>
      <c r="L4" s="1165"/>
    </row>
    <row r="5" spans="1:24">
      <c r="A5" s="2">
        <v>1981</v>
      </c>
      <c r="B5" s="19">
        <f>'15b'!B5/'15b'!$B5*100</f>
        <v>100</v>
      </c>
      <c r="C5" s="21">
        <f>'15b'!C5/'15b'!$B5*100</f>
        <v>103.19540229885058</v>
      </c>
      <c r="D5" s="21">
        <f>'15b'!D5/'15b'!$B5*100</f>
        <v>90.866365882479329</v>
      </c>
      <c r="E5" s="21">
        <f>'15b'!E5/'15b'!$B5*100</f>
        <v>90.953230281411024</v>
      </c>
      <c r="F5" s="21">
        <f>'15b'!F5/'15b'!$B5*100</f>
        <v>105.22362581085696</v>
      </c>
      <c r="G5" s="21">
        <f>'15b'!G5/'15b'!$B5*100</f>
        <v>97.022354964250155</v>
      </c>
      <c r="H5" s="21">
        <f>'15b'!H5/'15b'!$B5*100</f>
        <v>89.931185722928021</v>
      </c>
      <c r="I5" s="21">
        <f>'15b'!I5/'15b'!$B5*100</f>
        <v>109.70818470075308</v>
      </c>
      <c r="J5" s="21">
        <f>'15b'!J5/'15b'!$B5*100</f>
        <v>124.54735021869597</v>
      </c>
      <c r="K5" s="21">
        <f>'15b'!K5/'15b'!$B5*100</f>
        <v>99.787769513935856</v>
      </c>
      <c r="L5" s="21">
        <f>'15b'!L5/'15b'!$B5*100</f>
        <v>98.475846536191369</v>
      </c>
      <c r="N5" s="6"/>
      <c r="O5" s="6"/>
      <c r="P5" s="6"/>
      <c r="Q5" s="6"/>
      <c r="R5" s="6"/>
      <c r="S5" s="6"/>
      <c r="T5" s="6"/>
      <c r="U5" s="6"/>
      <c r="V5" s="6"/>
      <c r="W5" s="6"/>
      <c r="X5" s="6"/>
    </row>
    <row r="6" spans="1:24">
      <c r="A6" s="2">
        <v>1982</v>
      </c>
      <c r="B6" s="19">
        <f>'15b'!B6/'15b'!$B6*100</f>
        <v>100</v>
      </c>
      <c r="C6" s="21">
        <f>'15b'!C6/'15b'!$B6*100</f>
        <v>99.425869638635589</v>
      </c>
      <c r="D6" s="21">
        <f>'15b'!D6/'15b'!$B6*100</f>
        <v>84.198484198484195</v>
      </c>
      <c r="E6" s="21">
        <f>'15b'!E6/'15b'!$B6*100</f>
        <v>92.681921253349827</v>
      </c>
      <c r="F6" s="21">
        <f>'15b'!F6/'15b'!$B6*100</f>
        <v>101.03318903318903</v>
      </c>
      <c r="G6" s="21">
        <f>'15b'!G6/'15b'!$B6*100</f>
        <v>93.238672438672438</v>
      </c>
      <c r="H6" s="21">
        <f>'15b'!H6/'15b'!$B6*100</f>
        <v>91.447945993400538</v>
      </c>
      <c r="I6" s="21">
        <f>'15b'!I6/'15b'!$B6*100</f>
        <v>108.25271347010477</v>
      </c>
      <c r="J6" s="21">
        <f>'15b'!J6/'15b'!$B6*100</f>
        <v>110.82251082251082</v>
      </c>
      <c r="K6" s="21">
        <f>'15b'!K6/'15b'!$B6*100</f>
        <v>103.91181003425901</v>
      </c>
      <c r="L6" s="21">
        <f>'15b'!L6/'15b'!$B6*100</f>
        <v>108.10206159043368</v>
      </c>
      <c r="N6" s="6"/>
      <c r="O6" s="6"/>
      <c r="P6" s="6"/>
      <c r="Q6" s="6"/>
      <c r="R6" s="6"/>
      <c r="S6" s="6"/>
      <c r="T6" s="6"/>
      <c r="U6" s="6"/>
      <c r="V6" s="6"/>
      <c r="W6" s="6"/>
      <c r="X6" s="6"/>
    </row>
    <row r="7" spans="1:24">
      <c r="A7" s="2">
        <v>1983</v>
      </c>
      <c r="B7" s="19">
        <f>'15b'!B7/'15b'!$B7*100</f>
        <v>100</v>
      </c>
      <c r="C7" s="21">
        <f>'15b'!C7/'15b'!$B7*100</f>
        <v>100.66547716641752</v>
      </c>
      <c r="D7" s="21">
        <f>'15b'!D7/'15b'!$B7*100</f>
        <v>92.177136168552479</v>
      </c>
      <c r="E7" s="21">
        <f>'15b'!E7/'15b'!$B7*100</f>
        <v>89.719134783512473</v>
      </c>
      <c r="F7" s="21">
        <f>'15b'!F7/'15b'!$B7*100</f>
        <v>106.72541320427358</v>
      </c>
      <c r="G7" s="21">
        <f>'15b'!G7/'15b'!$B7*100</f>
        <v>90.567169689418066</v>
      </c>
      <c r="H7" s="21">
        <f>'15b'!H7/'15b'!$B7*100</f>
        <v>96.31105661148581</v>
      </c>
      <c r="I7" s="21">
        <f>'15b'!I7/'15b'!$B7*100</f>
        <v>104.23926732939609</v>
      </c>
      <c r="J7" s="21">
        <f>'15b'!J7/'15b'!$B7*100</f>
        <v>104.4971076693413</v>
      </c>
      <c r="K7" s="21">
        <f>'15b'!K7/'15b'!$B7*100</f>
        <v>113.15685072312188</v>
      </c>
      <c r="L7" s="21">
        <f>'15b'!L7/'15b'!$B7*100</f>
        <v>100.9193643189052</v>
      </c>
      <c r="N7" s="6"/>
      <c r="O7" s="6"/>
      <c r="P7" s="6"/>
      <c r="Q7" s="6"/>
      <c r="R7" s="6"/>
      <c r="S7" s="6"/>
      <c r="T7" s="6"/>
      <c r="U7" s="6"/>
      <c r="V7" s="6"/>
      <c r="W7" s="6"/>
      <c r="X7" s="6"/>
    </row>
    <row r="8" spans="1:24">
      <c r="A8" s="2">
        <v>1984</v>
      </c>
      <c r="B8" s="19">
        <f>'15b'!B8/'15b'!$B8*100</f>
        <v>100</v>
      </c>
      <c r="C8" s="21">
        <f>'15b'!C8/'15b'!$B8*100</f>
        <v>96.998009123544065</v>
      </c>
      <c r="D8" s="21">
        <f>'15b'!D8/'15b'!$B8*100</f>
        <v>76.652401331431292</v>
      </c>
      <c r="E8" s="21">
        <f>'15b'!E8/'15b'!$B8*100</f>
        <v>92.358577506217415</v>
      </c>
      <c r="F8" s="21">
        <f>'15b'!F8/'15b'!$B8*100</f>
        <v>99.653959689834878</v>
      </c>
      <c r="G8" s="21">
        <f>'15b'!G8/'15b'!$B8*100</f>
        <v>97.362681411442921</v>
      </c>
      <c r="H8" s="21">
        <f>'15b'!H8/'15b'!$B8*100</f>
        <v>91.37291553937726</v>
      </c>
      <c r="I8" s="21">
        <f>'15b'!I8/'15b'!$B8*100</f>
        <v>96.847360912981458</v>
      </c>
      <c r="J8" s="21">
        <f>'15b'!J8/'15b'!$B8*100</f>
        <v>119.6716061602958</v>
      </c>
      <c r="K8" s="21">
        <f>'15b'!K8/'15b'!$B8*100</f>
        <v>109.40433234634797</v>
      </c>
      <c r="L8" s="21">
        <f>'15b'!L8/'15b'!$B8*100</f>
        <v>103.11401830138129</v>
      </c>
      <c r="N8" s="6"/>
      <c r="O8" s="6"/>
      <c r="P8" s="6"/>
      <c r="Q8" s="6"/>
      <c r="R8" s="6"/>
      <c r="S8" s="6"/>
      <c r="T8" s="6"/>
      <c r="U8" s="6"/>
      <c r="V8" s="6"/>
      <c r="W8" s="6"/>
      <c r="X8" s="6"/>
    </row>
    <row r="9" spans="1:24">
      <c r="A9" s="2">
        <v>1985</v>
      </c>
      <c r="B9" s="19">
        <f>'15b'!B9/'15b'!$B9*100</f>
        <v>100</v>
      </c>
      <c r="C9" s="21">
        <f>'15b'!C9/'15b'!$B9*100</f>
        <v>107.95986622073576</v>
      </c>
      <c r="D9" s="21">
        <f>'15b'!D9/'15b'!$B9*100</f>
        <v>78.499061913696053</v>
      </c>
      <c r="E9" s="21">
        <f>'15b'!E9/'15b'!$B9*100</f>
        <v>100.47919293820932</v>
      </c>
      <c r="F9" s="21">
        <f>'15b'!F9/'15b'!$B9*100</f>
        <v>92.961198093941448</v>
      </c>
      <c r="G9" s="21">
        <f>'15b'!G9/'15b'!$B9*100</f>
        <v>93.166368515205718</v>
      </c>
      <c r="H9" s="21">
        <f>'15b'!H9/'15b'!$B9*100</f>
        <v>93.152337858220207</v>
      </c>
      <c r="I9" s="21">
        <f>'15b'!I9/'15b'!$B9*100</f>
        <v>97.582417582417577</v>
      </c>
      <c r="J9" s="21">
        <f>'15b'!J9/'15b'!$B9*100</f>
        <v>128.85011895321173</v>
      </c>
      <c r="K9" s="21">
        <f>'15b'!K9/'15b'!$B9*100</f>
        <v>101.53846153846153</v>
      </c>
      <c r="L9" s="21">
        <f>'15b'!L9/'15b'!$B9*100</f>
        <v>107.10622710622711</v>
      </c>
      <c r="N9" s="6"/>
      <c r="O9" s="6"/>
      <c r="P9" s="6"/>
      <c r="Q9" s="6"/>
      <c r="R9" s="6"/>
      <c r="S9" s="6"/>
      <c r="T9" s="6"/>
      <c r="U9" s="6"/>
      <c r="V9" s="6"/>
      <c r="W9" s="6"/>
      <c r="X9" s="6"/>
    </row>
    <row r="10" spans="1:24">
      <c r="A10" s="2">
        <v>1986</v>
      </c>
      <c r="B10" s="19">
        <f>'15b'!B10/'15b'!$B10*100</f>
        <v>100</v>
      </c>
      <c r="C10" s="21">
        <f>'15b'!C10/'15b'!$B10*100</f>
        <v>92.696404701861738</v>
      </c>
      <c r="D10" s="21">
        <f>'15b'!D10/'15b'!$B10*100</f>
        <v>76.758693229747053</v>
      </c>
      <c r="E10" s="21">
        <f>'15b'!E10/'15b'!$B10*100</f>
        <v>98.08553098891683</v>
      </c>
      <c r="F10" s="21">
        <f>'15b'!F10/'15b'!$B10*100</f>
        <v>88.179941931647264</v>
      </c>
      <c r="G10" s="21">
        <f>'15b'!G10/'15b'!$B10*100</f>
        <v>95.150688329405924</v>
      </c>
      <c r="H10" s="21">
        <f>'15b'!H10/'15b'!$B10*100</f>
        <v>91.172262336538793</v>
      </c>
      <c r="I10" s="21">
        <f>'15b'!I10/'15b'!$B10*100</f>
        <v>102.26488758748435</v>
      </c>
      <c r="J10" s="21">
        <f>'15b'!J10/'15b'!$B10*100</f>
        <v>136.79719021218543</v>
      </c>
      <c r="K10" s="21">
        <f>'15b'!K10/'15b'!$B10*100</f>
        <v>101.0072276566718</v>
      </c>
      <c r="L10" s="21">
        <f>'15b'!L10/'15b'!$B10*100</f>
        <v>103.6966297812137</v>
      </c>
      <c r="N10" s="6"/>
      <c r="O10" s="6"/>
      <c r="P10" s="6"/>
      <c r="Q10" s="6"/>
      <c r="R10" s="6"/>
      <c r="S10" s="6"/>
      <c r="T10" s="6"/>
      <c r="U10" s="6"/>
      <c r="V10" s="6"/>
      <c r="W10" s="6"/>
      <c r="X10" s="6"/>
    </row>
    <row r="11" spans="1:24">
      <c r="A11" s="2">
        <v>1987</v>
      </c>
      <c r="B11" s="19">
        <f>'15b'!B11/'15b'!$B11*100</f>
        <v>100</v>
      </c>
      <c r="C11" s="21">
        <f>'15b'!C11/'15b'!$B11*100</f>
        <v>99.306451612903231</v>
      </c>
      <c r="D11" s="21">
        <f>'15b'!D11/'15b'!$B11*100</f>
        <v>84.033508377094279</v>
      </c>
      <c r="E11" s="21">
        <f>'15b'!E11/'15b'!$B11*100</f>
        <v>92.833291330645167</v>
      </c>
      <c r="F11" s="21">
        <f>'15b'!F11/'15b'!$B11*100</f>
        <v>92.144048943270306</v>
      </c>
      <c r="G11" s="21">
        <f>'15b'!G11/'15b'!$B11*100</f>
        <v>99.966141344496435</v>
      </c>
      <c r="H11" s="21">
        <f>'15b'!H11/'15b'!$B11*100</f>
        <v>90.214110545180176</v>
      </c>
      <c r="I11" s="21">
        <f>'15b'!I11/'15b'!$B11*100</f>
        <v>95.192070918492988</v>
      </c>
      <c r="J11" s="21">
        <f>'15b'!J11/'15b'!$B11*100</f>
        <v>106.48236741388737</v>
      </c>
      <c r="K11" s="21">
        <f>'15b'!K11/'15b'!$B11*100</f>
        <v>102.8605656848995</v>
      </c>
      <c r="L11" s="21">
        <f>'15b'!L11/'15b'!$B11*100</f>
        <v>107.11170848267624</v>
      </c>
      <c r="N11" s="6"/>
      <c r="O11" s="6"/>
      <c r="P11" s="6"/>
      <c r="Q11" s="6"/>
      <c r="R11" s="6"/>
      <c r="S11" s="6"/>
      <c r="T11" s="6"/>
      <c r="U11" s="6"/>
      <c r="V11" s="6"/>
      <c r="W11" s="6"/>
      <c r="X11" s="6"/>
    </row>
    <row r="12" spans="1:24">
      <c r="A12" s="2">
        <v>1988</v>
      </c>
      <c r="B12" s="19">
        <f>'15b'!B12/'15b'!$B12*100</f>
        <v>100</v>
      </c>
      <c r="C12" s="21">
        <f>'15b'!C12/'15b'!$B12*100</f>
        <v>92.875208780720612</v>
      </c>
      <c r="D12" s="21">
        <f>'15b'!D12/'15b'!$B12*100</f>
        <v>77.982357468474333</v>
      </c>
      <c r="E12" s="21">
        <f>'15b'!E12/'15b'!$B12*100</f>
        <v>92.474634700513192</v>
      </c>
      <c r="F12" s="21">
        <f>'15b'!F12/'15b'!$B12*100</f>
        <v>90.377614088561515</v>
      </c>
      <c r="G12" s="21">
        <f>'15b'!G12/'15b'!$B12*100</f>
        <v>95.564684849176473</v>
      </c>
      <c r="H12" s="21">
        <f>'15b'!H12/'15b'!$B12*100</f>
        <v>93.184700227078366</v>
      </c>
      <c r="I12" s="21">
        <f>'15b'!I12/'15b'!$B12*100</f>
        <v>101.39725181411148</v>
      </c>
      <c r="J12" s="21">
        <f>'15b'!J12/'15b'!$B12*100</f>
        <v>117.22295774975031</v>
      </c>
      <c r="K12" s="21">
        <f>'15b'!K12/'15b'!$B12*100</f>
        <v>102.10338291046955</v>
      </c>
      <c r="L12" s="21">
        <f>'15b'!L12/'15b'!$B12*100</f>
        <v>94.193127819806847</v>
      </c>
      <c r="N12" s="6"/>
      <c r="O12" s="6"/>
      <c r="P12" s="6"/>
      <c r="Q12" s="6"/>
      <c r="R12" s="6"/>
      <c r="S12" s="6"/>
      <c r="T12" s="6"/>
      <c r="U12" s="6"/>
      <c r="V12" s="6"/>
      <c r="W12" s="6"/>
      <c r="X12" s="6"/>
    </row>
    <row r="13" spans="1:24">
      <c r="A13" s="2">
        <v>1989</v>
      </c>
      <c r="B13" s="19">
        <f>'15b'!B13/'15b'!$B13*100</f>
        <v>100</v>
      </c>
      <c r="C13" s="21">
        <f>'15b'!C13/'15b'!$B13*100</f>
        <v>92.793610455618065</v>
      </c>
      <c r="D13" s="21">
        <f>'15b'!D13/'15b'!$B13*100</f>
        <v>81.5399522821387</v>
      </c>
      <c r="E13" s="21">
        <f>'15b'!E13/'15b'!$B13*100</f>
        <v>94.488564167725528</v>
      </c>
      <c r="F13" s="21">
        <f>'15b'!F13/'15b'!$B13*100</f>
        <v>91.372299872935187</v>
      </c>
      <c r="G13" s="21">
        <f>'15b'!G13/'15b'!$B13*100</f>
        <v>93.898296294375427</v>
      </c>
      <c r="H13" s="21">
        <f>'15b'!H13/'15b'!$B13*100</f>
        <v>97.313182795851574</v>
      </c>
      <c r="I13" s="21">
        <f>'15b'!I13/'15b'!$B13*100</f>
        <v>99.148665819567967</v>
      </c>
      <c r="J13" s="21">
        <f>'15b'!J13/'15b'!$B13*100</f>
        <v>113.91693974453285</v>
      </c>
      <c r="K13" s="21">
        <f>'15b'!K13/'15b'!$B13*100</f>
        <v>112.22709945708674</v>
      </c>
      <c r="L13" s="21">
        <f>'15b'!L13/'15b'!$B13*100</f>
        <v>87.896499942243267</v>
      </c>
      <c r="N13" s="6"/>
      <c r="O13" s="6"/>
      <c r="P13" s="6"/>
      <c r="Q13" s="6"/>
      <c r="R13" s="6"/>
      <c r="S13" s="6"/>
      <c r="T13" s="6"/>
      <c r="U13" s="6"/>
      <c r="V13" s="6"/>
      <c r="W13" s="6"/>
      <c r="X13" s="6"/>
    </row>
    <row r="14" spans="1:24">
      <c r="A14" s="2">
        <v>1990</v>
      </c>
      <c r="B14" s="19">
        <f>'15b'!B14/'15b'!$B14*100</f>
        <v>100</v>
      </c>
      <c r="C14" s="21">
        <f>'15b'!C14/'15b'!$B14*100</f>
        <v>95.334342124225401</v>
      </c>
      <c r="D14" s="21">
        <f>'15b'!D14/'15b'!$B14*100</f>
        <v>76.755943082734532</v>
      </c>
      <c r="E14" s="21">
        <f>'15b'!E14/'15b'!$B14*100</f>
        <v>91.160483559568732</v>
      </c>
      <c r="F14" s="21">
        <f>'15b'!F14/'15b'!$B14*100</f>
        <v>87.010578793774329</v>
      </c>
      <c r="G14" s="21">
        <f>'15b'!G14/'15b'!$B14*100</f>
        <v>90.905734329290809</v>
      </c>
      <c r="H14" s="21">
        <f>'15b'!H14/'15b'!$B14*100</f>
        <v>94.1938962073977</v>
      </c>
      <c r="I14" s="21">
        <f>'15b'!I14/'15b'!$B14*100</f>
        <v>101.69877574262125</v>
      </c>
      <c r="J14" s="21">
        <f>'15b'!J14/'15b'!$B14*100</f>
        <v>120.98174199341514</v>
      </c>
      <c r="K14" s="21">
        <f>'15b'!K14/'15b'!$B14*100</f>
        <v>104.8508430609598</v>
      </c>
      <c r="L14" s="21">
        <f>'15b'!L14/'15b'!$B14*100</f>
        <v>109.04524072245776</v>
      </c>
      <c r="N14" s="6"/>
      <c r="O14" s="6"/>
      <c r="P14" s="6"/>
      <c r="Q14" s="6"/>
      <c r="R14" s="6"/>
      <c r="S14" s="6"/>
      <c r="T14" s="6"/>
      <c r="U14" s="6"/>
      <c r="V14" s="6"/>
      <c r="W14" s="6"/>
      <c r="X14" s="6"/>
    </row>
    <row r="15" spans="1:24">
      <c r="A15" s="2">
        <v>1991</v>
      </c>
      <c r="B15" s="19">
        <f>'15b'!B15/'15b'!$B15*100</f>
        <v>100</v>
      </c>
      <c r="C15" s="21">
        <f>'15b'!C15/'15b'!$B15*100</f>
        <v>94.523879716981128</v>
      </c>
      <c r="D15" s="21">
        <f>'15b'!D15/'15b'!$B15*100</f>
        <v>78.4149169921875</v>
      </c>
      <c r="E15" s="21">
        <f>'15b'!E15/'15b'!$B15*100</f>
        <v>86.783341535433067</v>
      </c>
      <c r="F15" s="21">
        <f>'15b'!F15/'15b'!$B15*100</f>
        <v>89.693509615384599</v>
      </c>
      <c r="G15" s="21">
        <f>'15b'!G15/'15b'!$B15*100</f>
        <v>94.757080078125</v>
      </c>
      <c r="H15" s="21">
        <f>'15b'!H15/'15b'!$B15*100</f>
        <v>100.3125</v>
      </c>
      <c r="I15" s="21">
        <f>'15b'!I15/'15b'!$B15*100</f>
        <v>100.66105769230769</v>
      </c>
      <c r="J15" s="21">
        <f>'15b'!J15/'15b'!$B15*100</f>
        <v>107.76869158878503</v>
      </c>
      <c r="K15" s="21">
        <f>'15b'!K15/'15b'!$B15*100</f>
        <v>106.640625</v>
      </c>
      <c r="L15" s="21">
        <f>'15b'!L15/'15b'!$B15*100</f>
        <v>88.834416946308721</v>
      </c>
      <c r="N15" s="6"/>
      <c r="O15" s="6"/>
      <c r="P15" s="6"/>
      <c r="Q15" s="6"/>
      <c r="R15" s="6"/>
      <c r="S15" s="6"/>
      <c r="T15" s="6"/>
      <c r="U15" s="6"/>
      <c r="V15" s="6"/>
      <c r="W15" s="6"/>
      <c r="X15" s="6"/>
    </row>
    <row r="16" spans="1:24">
      <c r="A16" s="2">
        <v>1992</v>
      </c>
      <c r="B16" s="19">
        <f>'15b'!B16/'15b'!$B16*100</f>
        <v>100</v>
      </c>
      <c r="C16" s="21">
        <f>'15b'!C16/'15b'!$B16*100</f>
        <v>99.568197765423434</v>
      </c>
      <c r="D16" s="21">
        <f>'15b'!D16/'15b'!$B16*100</f>
        <v>72.114727976325966</v>
      </c>
      <c r="E16" s="21">
        <f>'15b'!E16/'15b'!$B16*100</f>
        <v>87.726774625593578</v>
      </c>
      <c r="F16" s="21">
        <f>'15b'!F16/'15b'!$B16*100</f>
        <v>86.953909535662163</v>
      </c>
      <c r="G16" s="21">
        <f>'15b'!G16/'15b'!$B16*100</f>
        <v>86.645307493943889</v>
      </c>
      <c r="H16" s="21">
        <f>'15b'!H16/'15b'!$B16*100</f>
        <v>101.59648993437062</v>
      </c>
      <c r="I16" s="21">
        <f>'15b'!I16/'15b'!$B16*100</f>
        <v>100.23798191337458</v>
      </c>
      <c r="J16" s="21">
        <f>'15b'!J16/'15b'!$B16*100</f>
        <v>110.38394415357766</v>
      </c>
      <c r="K16" s="21">
        <f>'15b'!K16/'15b'!$B16*100</f>
        <v>112.94621608757734</v>
      </c>
      <c r="L16" s="21">
        <f>'15b'!L16/'15b'!$B16*100</f>
        <v>100.82647718773372</v>
      </c>
      <c r="N16" s="6"/>
      <c r="O16" s="6"/>
      <c r="P16" s="6"/>
      <c r="Q16" s="6"/>
      <c r="R16" s="6"/>
      <c r="S16" s="6"/>
      <c r="T16" s="6"/>
      <c r="U16" s="6"/>
      <c r="V16" s="6"/>
      <c r="W16" s="6"/>
      <c r="X16" s="6"/>
    </row>
    <row r="17" spans="1:24">
      <c r="A17" s="2">
        <v>1993</v>
      </c>
      <c r="B17" s="19">
        <f>'15b'!B17/'15b'!$B17*100</f>
        <v>100</v>
      </c>
      <c r="C17" s="21">
        <f>'15b'!C17/'15b'!$B17*100</f>
        <v>91.14715653703341</v>
      </c>
      <c r="D17" s="21">
        <f>'15b'!D17/'15b'!$B17*100</f>
        <v>68.946648426812587</v>
      </c>
      <c r="E17" s="21">
        <f>'15b'!E17/'15b'!$B17*100</f>
        <v>92.845417236662101</v>
      </c>
      <c r="F17" s="21">
        <f>'15b'!F17/'15b'!$B17*100</f>
        <v>86.108692948638222</v>
      </c>
      <c r="G17" s="21">
        <f>'15b'!G17/'15b'!$B17*100</f>
        <v>94.94726622832178</v>
      </c>
      <c r="H17" s="21">
        <f>'15b'!H17/'15b'!$B17*100</f>
        <v>100.67649869759944</v>
      </c>
      <c r="I17" s="21">
        <f>'15b'!I17/'15b'!$B17*100</f>
        <v>95.446550713308582</v>
      </c>
      <c r="J17" s="21">
        <f>'15b'!J17/'15b'!$B17*100</f>
        <v>102.81362073427735</v>
      </c>
      <c r="K17" s="21">
        <f>'15b'!K17/'15b'!$B17*100</f>
        <v>100.47005338243007</v>
      </c>
      <c r="L17" s="21">
        <f>'15b'!L17/'15b'!$B17*100</f>
        <v>97.988251388106534</v>
      </c>
      <c r="N17" s="6"/>
      <c r="O17" s="6"/>
      <c r="P17" s="6"/>
      <c r="Q17" s="6"/>
      <c r="R17" s="6"/>
      <c r="S17" s="6"/>
      <c r="T17" s="6"/>
      <c r="U17" s="6"/>
      <c r="V17" s="6"/>
      <c r="W17" s="6"/>
      <c r="X17" s="6"/>
    </row>
    <row r="18" spans="1:24">
      <c r="A18" s="2">
        <v>1994</v>
      </c>
      <c r="B18" s="19">
        <f>'15b'!B18/'15b'!$B18*100</f>
        <v>100</v>
      </c>
      <c r="C18" s="21">
        <f>'15b'!C18/'15b'!$B18*100</f>
        <v>93.450725980846457</v>
      </c>
      <c r="D18" s="21">
        <f>'15b'!D18/'15b'!$B18*100</f>
        <v>65.874381881266558</v>
      </c>
      <c r="E18" s="21">
        <f>'15b'!E18/'15b'!$B18*100</f>
        <v>89.933718614294577</v>
      </c>
      <c r="F18" s="21">
        <f>'15b'!F18/'15b'!$B18*100</f>
        <v>87.90415900891702</v>
      </c>
      <c r="G18" s="21">
        <f>'15b'!G18/'15b'!$B18*100</f>
        <v>95.505832855230452</v>
      </c>
      <c r="H18" s="21">
        <f>'15b'!H18/'15b'!$B18*100</f>
        <v>100.78382495499238</v>
      </c>
      <c r="I18" s="21">
        <f>'15b'!I18/'15b'!$B18*100</f>
        <v>95.421686746987959</v>
      </c>
      <c r="J18" s="21">
        <f>'15b'!J18/'15b'!$B18*100</f>
        <v>97.572900296839521</v>
      </c>
      <c r="K18" s="21">
        <f>'15b'!K18/'15b'!$B18*100</f>
        <v>101.94624652455977</v>
      </c>
      <c r="L18" s="21">
        <f>'15b'!L18/'15b'!$B18*100</f>
        <v>97.578549492085997</v>
      </c>
      <c r="N18" s="6"/>
      <c r="O18" s="6"/>
      <c r="P18" s="6"/>
      <c r="Q18" s="6"/>
      <c r="R18" s="6"/>
      <c r="S18" s="6"/>
      <c r="T18" s="6"/>
      <c r="U18" s="6"/>
      <c r="V18" s="6"/>
      <c r="W18" s="6"/>
      <c r="X18" s="6"/>
    </row>
    <row r="19" spans="1:24">
      <c r="A19" s="2">
        <v>1995</v>
      </c>
      <c r="B19" s="19">
        <f>'15b'!B19/'15b'!$B19*100</f>
        <v>100</v>
      </c>
      <c r="C19" s="21">
        <f>'15b'!C19/'15b'!$B19*100</f>
        <v>92.608154372860255</v>
      </c>
      <c r="D19" s="21">
        <f>'15b'!D19/'15b'!$B19*100</f>
        <v>66.826538768984818</v>
      </c>
      <c r="E19" s="21">
        <f>'15b'!E19/'15b'!$B19*100</f>
        <v>88.017174082747857</v>
      </c>
      <c r="F19" s="21">
        <f>'15b'!F19/'15b'!$B19*100</f>
        <v>90.793650793650798</v>
      </c>
      <c r="G19" s="21">
        <f>'15b'!G19/'15b'!$B19*100</f>
        <v>96.172555043522777</v>
      </c>
      <c r="H19" s="21">
        <f>'15b'!H19/'15b'!$B19*100</f>
        <v>100.81539465101108</v>
      </c>
      <c r="I19" s="21">
        <f>'15b'!I19/'15b'!$B19*100</f>
        <v>88.614393125671313</v>
      </c>
      <c r="J19" s="21">
        <f>'15b'!J19/'15b'!$B19*100</f>
        <v>107.96563273627493</v>
      </c>
      <c r="K19" s="21">
        <f>'15b'!K19/'15b'!$B19*100</f>
        <v>101.78417620278084</v>
      </c>
      <c r="L19" s="21">
        <f>'15b'!L19/'15b'!$B19*100</f>
        <v>98.507462686567166</v>
      </c>
      <c r="N19" s="6"/>
      <c r="O19" s="6"/>
      <c r="P19" s="6"/>
      <c r="Q19" s="6"/>
      <c r="R19" s="6"/>
      <c r="S19" s="6"/>
      <c r="T19" s="6"/>
      <c r="U19" s="6"/>
      <c r="V19" s="6"/>
      <c r="W19" s="6"/>
      <c r="X19" s="6"/>
    </row>
    <row r="20" spans="1:24">
      <c r="A20" s="2">
        <v>1996</v>
      </c>
      <c r="B20" s="19">
        <f>'15b'!B20/'15b'!$B20*100</f>
        <v>100</v>
      </c>
      <c r="C20" s="21">
        <f>'15b'!C20/'15b'!$B20*100</f>
        <v>85.825741241571848</v>
      </c>
      <c r="D20" s="21">
        <f>'15b'!D20/'15b'!$B20*100</f>
        <v>67.054292833950015</v>
      </c>
      <c r="E20" s="21">
        <f>'15b'!E20/'15b'!$B20*100</f>
        <v>86.336508794450822</v>
      </c>
      <c r="F20" s="21">
        <f>'15b'!F20/'15b'!$B20*100</f>
        <v>83.368757760053867</v>
      </c>
      <c r="G20" s="21">
        <f>'15b'!G20/'15b'!$B20*100</f>
        <v>93.461360718870338</v>
      </c>
      <c r="H20" s="21">
        <f>'15b'!H20/'15b'!$B20*100</f>
        <v>105.40388912661057</v>
      </c>
      <c r="I20" s="21">
        <f>'15b'!I20/'15b'!$B20*100</f>
        <v>88.96959829675319</v>
      </c>
      <c r="J20" s="21">
        <f>'15b'!J20/'15b'!$B20*100</f>
        <v>93.872858179382717</v>
      </c>
      <c r="K20" s="21">
        <f>'15b'!K20/'15b'!$B20*100</f>
        <v>96.73477660775815</v>
      </c>
      <c r="L20" s="21">
        <f>'15b'!L20/'15b'!$B20*100</f>
        <v>98.211643426197213</v>
      </c>
      <c r="N20" s="6"/>
      <c r="O20" s="6"/>
      <c r="P20" s="6"/>
      <c r="Q20" s="6"/>
      <c r="R20" s="6"/>
      <c r="S20" s="6"/>
      <c r="T20" s="6"/>
      <c r="U20" s="6"/>
      <c r="V20" s="6"/>
      <c r="W20" s="6"/>
      <c r="X20" s="6"/>
    </row>
    <row r="21" spans="1:24">
      <c r="A21" s="2">
        <v>1997</v>
      </c>
      <c r="B21" s="19">
        <f>'15b'!B21/'15b'!$B21*100</f>
        <v>100</v>
      </c>
      <c r="C21" s="21">
        <f>'15b'!C21/'15b'!$B21*100</f>
        <v>81.479134394216786</v>
      </c>
      <c r="D21" s="21">
        <f>'15b'!D21/'15b'!$B21*100</f>
        <v>66.054836738973847</v>
      </c>
      <c r="E21" s="21">
        <f>'15b'!E21/'15b'!$B21*100</f>
        <v>92.046338914459795</v>
      </c>
      <c r="F21" s="21">
        <f>'15b'!F21/'15b'!$B21*100</f>
        <v>84.830281922654976</v>
      </c>
      <c r="G21" s="21">
        <f>'15b'!G21/'15b'!$B21*100</f>
        <v>94.799460321354104</v>
      </c>
      <c r="H21" s="21">
        <f>'15b'!H21/'15b'!$B21*100</f>
        <v>103.08376872646367</v>
      </c>
      <c r="I21" s="21">
        <f>'15b'!I21/'15b'!$B21*100</f>
        <v>87.461453249902704</v>
      </c>
      <c r="J21" s="21">
        <f>'15b'!J21/'15b'!$B21*100</f>
        <v>88.595183776932828</v>
      </c>
      <c r="K21" s="21">
        <f>'15b'!K21/'15b'!$B21*100</f>
        <v>102.15638642444726</v>
      </c>
      <c r="L21" s="21">
        <f>'15b'!L21/'15b'!$B21*100</f>
        <v>102.47346324461344</v>
      </c>
      <c r="N21" s="6"/>
      <c r="O21" s="6"/>
      <c r="P21" s="6"/>
      <c r="Q21" s="6"/>
      <c r="R21" s="6"/>
      <c r="S21" s="6"/>
      <c r="T21" s="6"/>
      <c r="U21" s="6"/>
      <c r="V21" s="6"/>
      <c r="W21" s="6"/>
      <c r="X21" s="6"/>
    </row>
    <row r="22" spans="1:24">
      <c r="A22" s="2">
        <v>1998</v>
      </c>
      <c r="B22" s="19">
        <f>'15b'!B22/'15b'!$B22*100</f>
        <v>100</v>
      </c>
      <c r="C22" s="21">
        <f>'15b'!C22/'15b'!$B22*100</f>
        <v>89.571109021947038</v>
      </c>
      <c r="D22" s="21">
        <f>'15b'!D22/'15b'!$B22*100</f>
        <v>71.16558353307471</v>
      </c>
      <c r="E22" s="21">
        <f>'15b'!E22/'15b'!$B22*100</f>
        <v>95.687795115544574</v>
      </c>
      <c r="F22" s="21">
        <f>'15b'!F22/'15b'!$B22*100</f>
        <v>85.562847046946004</v>
      </c>
      <c r="G22" s="21">
        <f>'15b'!G22/'15b'!$B22*100</f>
        <v>92.715411796683881</v>
      </c>
      <c r="H22" s="21">
        <f>'15b'!H22/'15b'!$B22*100</f>
        <v>101.10065896284976</v>
      </c>
      <c r="I22" s="21">
        <f>'15b'!I22/'15b'!$B22*100</f>
        <v>90.672457044210077</v>
      </c>
      <c r="J22" s="21">
        <f>'15b'!J22/'15b'!$B22*100</f>
        <v>87.828511484098939</v>
      </c>
      <c r="K22" s="21">
        <f>'15b'!K22/'15b'!$B22*100</f>
        <v>111.42348662660237</v>
      </c>
      <c r="L22" s="21">
        <f>'15b'!L22/'15b'!$B22*100</f>
        <v>95.645474109301517</v>
      </c>
      <c r="N22" s="6"/>
      <c r="O22" s="6"/>
      <c r="P22" s="6"/>
      <c r="Q22" s="6"/>
      <c r="R22" s="6"/>
      <c r="S22" s="6"/>
      <c r="T22" s="6"/>
      <c r="U22" s="6"/>
      <c r="V22" s="6"/>
      <c r="W22" s="6"/>
      <c r="X22" s="6"/>
    </row>
    <row r="23" spans="1:24">
      <c r="A23" s="2">
        <v>1999</v>
      </c>
      <c r="B23" s="19">
        <f>'15b'!B23/'15b'!$B23*100</f>
        <v>100</v>
      </c>
      <c r="C23" s="21">
        <f>'15b'!C23/'15b'!$B23*100</f>
        <v>99.688473520249204</v>
      </c>
      <c r="D23" s="21">
        <f>'15b'!D23/'15b'!$B23*100</f>
        <v>78.790052606408409</v>
      </c>
      <c r="E23" s="21">
        <f>'15b'!E23/'15b'!$B23*100</f>
        <v>88.414634146341456</v>
      </c>
      <c r="F23" s="21">
        <f>'15b'!F23/'15b'!$B23*100</f>
        <v>85.178236397748591</v>
      </c>
      <c r="G23" s="21">
        <f>'15b'!G23/'15b'!$B23*100</f>
        <v>90.962648756922349</v>
      </c>
      <c r="H23" s="21">
        <f>'15b'!H23/'15b'!$B23*100</f>
        <v>103.97946084724003</v>
      </c>
      <c r="I23" s="21">
        <f>'15b'!I23/'15b'!$B23*100</f>
        <v>92.709152897980587</v>
      </c>
      <c r="J23" s="21">
        <f>'15b'!J23/'15b'!$B23*100</f>
        <v>82.843748145510645</v>
      </c>
      <c r="K23" s="21">
        <f>'15b'!K23/'15b'!$B23*100</f>
        <v>95.528455284552834</v>
      </c>
      <c r="L23" s="21">
        <f>'15b'!L23/'15b'!$B23*100</f>
        <v>102.35079094976996</v>
      </c>
      <c r="N23" s="6"/>
      <c r="O23" s="6"/>
      <c r="P23" s="6"/>
      <c r="Q23" s="6"/>
      <c r="R23" s="6"/>
      <c r="S23" s="6"/>
      <c r="T23" s="6"/>
      <c r="U23" s="6"/>
      <c r="V23" s="6"/>
      <c r="W23" s="6"/>
      <c r="X23" s="6"/>
    </row>
    <row r="24" spans="1:24">
      <c r="A24" s="2">
        <v>2000</v>
      </c>
      <c r="B24" s="19">
        <f>'15b'!B24/'15b'!$B24*100</f>
        <v>100</v>
      </c>
      <c r="C24" s="21">
        <f>'15b'!C24/'15b'!$B24*100</f>
        <v>94.996436208125445</v>
      </c>
      <c r="D24" s="21">
        <f>'15b'!D24/'15b'!$B24*100</f>
        <v>82.112932604735875</v>
      </c>
      <c r="E24" s="21">
        <f>'15b'!E24/'15b'!$B24*100</f>
        <v>87.825136612021865</v>
      </c>
      <c r="F24" s="21">
        <f>'15b'!F24/'15b'!$B24*100</f>
        <v>85.487615172908946</v>
      </c>
      <c r="G24" s="21">
        <f>'15b'!G24/'15b'!$B24*100</f>
        <v>93.180327868852459</v>
      </c>
      <c r="H24" s="21">
        <f>'15b'!H24/'15b'!$B24*100</f>
        <v>103.05477808876451</v>
      </c>
      <c r="I24" s="21">
        <f>'15b'!I24/'15b'!$B24*100</f>
        <v>91.420765027322417</v>
      </c>
      <c r="J24" s="21">
        <f>'15b'!J24/'15b'!$B24*100</f>
        <v>90.090794451450179</v>
      </c>
      <c r="K24" s="21">
        <f>'15b'!K24/'15b'!$B24*100</f>
        <v>98.144178226145442</v>
      </c>
      <c r="L24" s="21">
        <f>'15b'!L24/'15b'!$B24*100</f>
        <v>96.509859824186279</v>
      </c>
      <c r="N24" s="6"/>
      <c r="O24" s="6"/>
      <c r="P24" s="6"/>
      <c r="Q24" s="6"/>
      <c r="R24" s="6"/>
      <c r="S24" s="6"/>
      <c r="T24" s="6"/>
      <c r="U24" s="6"/>
      <c r="V24" s="6"/>
      <c r="W24" s="6"/>
      <c r="X24" s="6"/>
    </row>
    <row r="25" spans="1:24">
      <c r="A25" s="2">
        <v>2001</v>
      </c>
      <c r="B25" s="19">
        <f>'15b'!B25/'15b'!$B25*100</f>
        <v>100</v>
      </c>
      <c r="C25" s="21">
        <f>'15b'!C25/'15b'!$B25*100</f>
        <v>86.334302655593689</v>
      </c>
      <c r="D25" s="21">
        <f>'15b'!D25/'15b'!$B25*100</f>
        <v>77.410918600849953</v>
      </c>
      <c r="E25" s="21">
        <f>'15b'!E25/'15b'!$B25*100</f>
        <v>90.004422821760286</v>
      </c>
      <c r="F25" s="21">
        <f>'15b'!F25/'15b'!$B25*100</f>
        <v>81.964790395441483</v>
      </c>
      <c r="G25" s="21">
        <f>'15b'!G25/'15b'!$B25*100</f>
        <v>91.982666024667594</v>
      </c>
      <c r="H25" s="21">
        <f>'15b'!H25/'15b'!$B25*100</f>
        <v>101.10031175499725</v>
      </c>
      <c r="I25" s="21">
        <f>'15b'!I25/'15b'!$B25*100</f>
        <v>86.856893787263203</v>
      </c>
      <c r="J25" s="21">
        <f>'15b'!J25/'15b'!$B25*100</f>
        <v>89.579527546708277</v>
      </c>
      <c r="K25" s="21">
        <f>'15b'!K25/'15b'!$B25*100</f>
        <v>97.553555583724176</v>
      </c>
      <c r="L25" s="21">
        <f>'15b'!L25/'15b'!$B25*100</f>
        <v>111.65972073039742</v>
      </c>
      <c r="N25" s="6"/>
      <c r="O25" s="6"/>
      <c r="P25" s="6"/>
      <c r="Q25" s="6"/>
      <c r="R25" s="6"/>
      <c r="S25" s="6"/>
      <c r="T25" s="6"/>
      <c r="U25" s="6"/>
      <c r="V25" s="6"/>
      <c r="W25" s="6"/>
      <c r="X25" s="6"/>
    </row>
    <row r="26" spans="1:24">
      <c r="A26" s="2">
        <v>2002</v>
      </c>
      <c r="B26" s="19">
        <f>'15b'!B26/'15b'!$B26*100</f>
        <v>100</v>
      </c>
      <c r="C26" s="21">
        <f>'15b'!C26/'15b'!$B26*100</f>
        <v>89.272299645452307</v>
      </c>
      <c r="D26" s="21">
        <f>'15b'!D26/'15b'!$B26*100</f>
        <v>77.184594174415537</v>
      </c>
      <c r="E26" s="21">
        <f>'15b'!E26/'15b'!$B26*100</f>
        <v>92.580929588109342</v>
      </c>
      <c r="F26" s="21">
        <f>'15b'!F26/'15b'!$B26*100</f>
        <v>84.480098249149762</v>
      </c>
      <c r="G26" s="21">
        <f>'15b'!G26/'15b'!$B26*100</f>
        <v>90.313007487461007</v>
      </c>
      <c r="H26" s="21">
        <f>'15b'!H26/'15b'!$B26*100</f>
        <v>101.4605470486041</v>
      </c>
      <c r="I26" s="21">
        <f>'15b'!I26/'15b'!$B26*100</f>
        <v>91.239176985383111</v>
      </c>
      <c r="J26" s="21">
        <f>'15b'!J26/'15b'!$B26*100</f>
        <v>89.419462288841288</v>
      </c>
      <c r="K26" s="21">
        <f>'15b'!K26/'15b'!$B26*100</f>
        <v>86.889119774970538</v>
      </c>
      <c r="L26" s="21">
        <f>'15b'!L26/'15b'!$B26*100</f>
        <v>120.19841818056224</v>
      </c>
      <c r="N26" s="6"/>
      <c r="O26" s="6"/>
      <c r="P26" s="6"/>
      <c r="Q26" s="6"/>
      <c r="R26" s="6"/>
      <c r="S26" s="6"/>
      <c r="T26" s="6"/>
      <c r="U26" s="6"/>
      <c r="V26" s="6"/>
      <c r="W26" s="6"/>
      <c r="X26" s="6"/>
    </row>
    <row r="27" spans="1:24">
      <c r="A27" s="2">
        <v>2003</v>
      </c>
      <c r="B27" s="19">
        <f>'15b'!B27/'15b'!$B27*100</f>
        <v>100</v>
      </c>
      <c r="C27" s="21">
        <f>'15b'!C27/'15b'!$B27*100</f>
        <v>89.775596072931279</v>
      </c>
      <c r="D27" s="21">
        <f>'15b'!D27/'15b'!$B27*100</f>
        <v>69.471060648019943</v>
      </c>
      <c r="E27" s="21">
        <f>'15b'!E27/'15b'!$B27*100</f>
        <v>89.20948616600792</v>
      </c>
      <c r="F27" s="21">
        <f>'15b'!F27/'15b'!$B27*100</f>
        <v>90.158987670343933</v>
      </c>
      <c r="G27" s="21">
        <f>'15b'!G27/'15b'!$B27*100</f>
        <v>88.585507246376821</v>
      </c>
      <c r="H27" s="21">
        <f>'15b'!H27/'15b'!$B27*100</f>
        <v>103.75068794716566</v>
      </c>
      <c r="I27" s="21">
        <f>'15b'!I27/'15b'!$B27*100</f>
        <v>94.495974235104669</v>
      </c>
      <c r="J27" s="21">
        <f>'15b'!J27/'15b'!$B27*100</f>
        <v>92.5</v>
      </c>
      <c r="K27" s="21">
        <f>'15b'!K27/'15b'!$B27*100</f>
        <v>95.93675889328064</v>
      </c>
      <c r="L27" s="21">
        <f>'15b'!L27/'15b'!$B27*100</f>
        <v>109.11695315133132</v>
      </c>
      <c r="N27" s="6"/>
      <c r="O27" s="6"/>
      <c r="P27" s="6"/>
      <c r="Q27" s="6"/>
      <c r="R27" s="6"/>
      <c r="S27" s="6"/>
      <c r="T27" s="6"/>
      <c r="U27" s="6"/>
      <c r="V27" s="6"/>
      <c r="W27" s="6"/>
      <c r="X27" s="6"/>
    </row>
    <row r="28" spans="1:24">
      <c r="A28" s="2">
        <v>2004</v>
      </c>
      <c r="B28" s="19">
        <f>'15b'!B28/'15b'!$B28*100</f>
        <v>100</v>
      </c>
      <c r="C28" s="21">
        <f>'15b'!C28/'15b'!$B28*100</f>
        <v>88.981109017770748</v>
      </c>
      <c r="D28" s="21">
        <f>'15b'!D28/'15b'!$B28*100</f>
        <v>69.756704673197362</v>
      </c>
      <c r="E28" s="21">
        <f>'15b'!E28/'15b'!$B28*100</f>
        <v>81.223903966597078</v>
      </c>
      <c r="F28" s="21">
        <f>'15b'!F28/'15b'!$B28*100</f>
        <v>87.024598348007629</v>
      </c>
      <c r="G28" s="21">
        <f>'15b'!G28/'15b'!$B28*100</f>
        <v>86.414206812716372</v>
      </c>
      <c r="H28" s="21">
        <f>'15b'!H28/'15b'!$B28*100</f>
        <v>108.17992028847978</v>
      </c>
      <c r="I28" s="21">
        <f>'15b'!I28/'15b'!$B28*100</f>
        <v>88.654524512274136</v>
      </c>
      <c r="J28" s="21">
        <f>'15b'!J28/'15b'!$B28*100</f>
        <v>93.352628582273681</v>
      </c>
      <c r="K28" s="21">
        <f>'15b'!K28/'15b'!$B28*100</f>
        <v>95.464034921237413</v>
      </c>
      <c r="L28" s="21">
        <f>'15b'!L28/'15b'!$B28*100</f>
        <v>108.29853862212944</v>
      </c>
      <c r="N28" s="6"/>
      <c r="O28" s="6"/>
      <c r="P28" s="6"/>
      <c r="Q28" s="6"/>
      <c r="R28" s="6"/>
      <c r="S28" s="6"/>
      <c r="T28" s="6"/>
      <c r="U28" s="6"/>
      <c r="V28" s="6"/>
      <c r="W28" s="6"/>
      <c r="X28" s="6"/>
    </row>
    <row r="29" spans="1:24">
      <c r="A29" s="2">
        <v>2005</v>
      </c>
      <c r="B29" s="19">
        <f>'15b'!B29/'15b'!$B29*100</f>
        <v>100</v>
      </c>
      <c r="C29" s="21">
        <f>'15b'!C29/'15b'!$B29*100</f>
        <v>91.822311161933797</v>
      </c>
      <c r="D29" s="21">
        <f>'15b'!D29/'15b'!$B29*100</f>
        <v>66.604754373705049</v>
      </c>
      <c r="E29" s="21">
        <f>'15b'!E29/'15b'!$B29*100</f>
        <v>83.007445035746912</v>
      </c>
      <c r="F29" s="21">
        <f>'15b'!F29/'15b'!$B29*100</f>
        <v>83.868515073670522</v>
      </c>
      <c r="G29" s="21">
        <f>'15b'!G29/'15b'!$B29*100</f>
        <v>88.735687792291557</v>
      </c>
      <c r="H29" s="21">
        <f>'15b'!H29/'15b'!$B29*100</f>
        <v>105.10023584905659</v>
      </c>
      <c r="I29" s="21">
        <f>'15b'!I29/'15b'!$B29*100</f>
        <v>92.890190125063242</v>
      </c>
      <c r="J29" s="21">
        <f>'15b'!J29/'15b'!$B29*100</f>
        <v>110.7658646966823</v>
      </c>
      <c r="K29" s="21">
        <f>'15b'!K29/'15b'!$B29*100</f>
        <v>92.63699225129433</v>
      </c>
      <c r="L29" s="21">
        <f>'15b'!L29/'15b'!$B29*100</f>
        <v>106.84908572094108</v>
      </c>
      <c r="N29" s="6"/>
      <c r="O29" s="6"/>
      <c r="P29" s="6"/>
      <c r="Q29" s="6"/>
      <c r="R29" s="6"/>
      <c r="S29" s="6"/>
      <c r="T29" s="6"/>
      <c r="U29" s="6"/>
      <c r="V29" s="6"/>
      <c r="W29" s="6"/>
      <c r="X29" s="6"/>
    </row>
    <row r="30" spans="1:24">
      <c r="A30" s="2">
        <v>2006</v>
      </c>
      <c r="B30" s="19">
        <f>'15b'!B30/'15b'!$B30*100</f>
        <v>100</v>
      </c>
      <c r="C30" s="21">
        <f>'15b'!C30/'15b'!$B30*100</f>
        <v>90.506653019447299</v>
      </c>
      <c r="D30" s="21">
        <f>'15b'!D30/'15b'!$B30*100</f>
        <v>71.787585044253106</v>
      </c>
      <c r="E30" s="21">
        <f>'15b'!E30/'15b'!$B30*100</f>
        <v>83.61030985391271</v>
      </c>
      <c r="F30" s="21">
        <f>'15b'!F30/'15b'!$B30*100</f>
        <v>89.212449723932124</v>
      </c>
      <c r="G30" s="21">
        <f>'15b'!G30/'15b'!$B30*100</f>
        <v>89.04810644831116</v>
      </c>
      <c r="H30" s="21">
        <f>'15b'!H30/'15b'!$B30*100</f>
        <v>103.78340383026476</v>
      </c>
      <c r="I30" s="21">
        <f>'15b'!I30/'15b'!$B30*100</f>
        <v>97.583612271432131</v>
      </c>
      <c r="J30" s="21">
        <f>'15b'!J30/'15b'!$B30*100</f>
        <v>110.74871293481417</v>
      </c>
      <c r="K30" s="21">
        <f>'15b'!K30/'15b'!$B30*100</f>
        <v>95.094165813715463</v>
      </c>
      <c r="L30" s="21">
        <f>'15b'!L30/'15b'!$B30*100</f>
        <v>105.42615286729924</v>
      </c>
      <c r="N30" s="6"/>
      <c r="O30" s="6"/>
      <c r="P30" s="6"/>
      <c r="Q30" s="6"/>
      <c r="R30" s="6"/>
      <c r="S30" s="6"/>
      <c r="T30" s="6"/>
      <c r="U30" s="6"/>
      <c r="V30" s="6"/>
      <c r="W30" s="6"/>
      <c r="X30" s="6"/>
    </row>
    <row r="31" spans="1:24" s="972" customFormat="1">
      <c r="A31" s="2">
        <v>2007</v>
      </c>
      <c r="B31" s="19">
        <f>'15b'!B31/'15b'!$B31*100</f>
        <v>100</v>
      </c>
      <c r="C31" s="21">
        <f>'15b'!C31/'15b'!$B31*100</f>
        <v>89.308050232651212</v>
      </c>
      <c r="D31" s="21">
        <f>'15b'!D31/'15b'!$B31*100</f>
        <v>68.420526713150068</v>
      </c>
      <c r="E31" s="21">
        <f>'15b'!E31/'15b'!$B31*100</f>
        <v>90.946854308803907</v>
      </c>
      <c r="F31" s="21">
        <f>'15b'!F31/'15b'!$B31*100</f>
        <v>92.0413372859025</v>
      </c>
      <c r="G31" s="21">
        <f>'15b'!G31/'15b'!$B31*100</f>
        <v>90.547575436228684</v>
      </c>
      <c r="H31" s="21">
        <f>'15b'!H31/'15b'!$B31*100</f>
        <v>99.945900589573171</v>
      </c>
      <c r="I31" s="21">
        <f>'15b'!I31/'15b'!$B31*100</f>
        <v>102.9721266875417</v>
      </c>
      <c r="J31" s="21">
        <f>'15b'!J31/'15b'!$B31*100</f>
        <v>108.84921482747569</v>
      </c>
      <c r="K31" s="21">
        <f>'15b'!K31/'15b'!$B31*100</f>
        <v>100.54226133686403</v>
      </c>
      <c r="L31" s="21">
        <f>'15b'!L31/'15b'!$B31*100</f>
        <v>101.30266075388026</v>
      </c>
      <c r="N31" s="6"/>
      <c r="O31" s="6"/>
      <c r="P31" s="6"/>
      <c r="Q31" s="6"/>
      <c r="R31" s="6"/>
      <c r="S31" s="6"/>
      <c r="T31" s="6"/>
      <c r="U31" s="6"/>
      <c r="V31" s="6"/>
      <c r="W31" s="6"/>
      <c r="X31" s="6"/>
    </row>
    <row r="32" spans="1:24" s="114" customFormat="1">
      <c r="A32" s="1009"/>
      <c r="B32" s="991"/>
      <c r="C32" s="991"/>
      <c r="D32" s="985" t="s">
        <v>655</v>
      </c>
      <c r="E32" s="991"/>
      <c r="F32" s="991"/>
      <c r="G32" s="991"/>
      <c r="H32" s="991"/>
      <c r="I32" s="991"/>
      <c r="J32" s="991"/>
      <c r="K32" s="991"/>
      <c r="L32" s="991"/>
    </row>
    <row r="33" spans="1:36" s="114" customFormat="1">
      <c r="A33" s="1009" t="s">
        <v>603</v>
      </c>
      <c r="B33" s="992">
        <f>B13-B5</f>
        <v>0</v>
      </c>
      <c r="C33" s="992">
        <f t="shared" ref="C33:L33" si="0">C13-C5</f>
        <v>-10.401791843232516</v>
      </c>
      <c r="D33" s="992">
        <f t="shared" si="0"/>
        <v>-9.3264136003406293</v>
      </c>
      <c r="E33" s="992">
        <f t="shared" si="0"/>
        <v>3.5353338863145041</v>
      </c>
      <c r="F33" s="992">
        <f t="shared" si="0"/>
        <v>-13.851325937921771</v>
      </c>
      <c r="G33" s="992">
        <f t="shared" si="0"/>
        <v>-3.1240586698747279</v>
      </c>
      <c r="H33" s="992">
        <f t="shared" si="0"/>
        <v>7.3819970729235536</v>
      </c>
      <c r="I33" s="992">
        <f t="shared" si="0"/>
        <v>-10.559518881185113</v>
      </c>
      <c r="J33" s="992">
        <f t="shared" si="0"/>
        <v>-10.630410474163114</v>
      </c>
      <c r="K33" s="992">
        <f t="shared" si="0"/>
        <v>12.439329943150881</v>
      </c>
      <c r="L33" s="992">
        <f t="shared" si="0"/>
        <v>-10.579346593948102</v>
      </c>
    </row>
    <row r="34" spans="1:36" s="114" customFormat="1">
      <c r="A34" s="1009" t="s">
        <v>604</v>
      </c>
      <c r="B34" s="992">
        <f>B24-B13</f>
        <v>0</v>
      </c>
      <c r="C34" s="992">
        <f t="shared" ref="C34:L34" si="1">C24-C13</f>
        <v>2.2028257525073798</v>
      </c>
      <c r="D34" s="992">
        <f t="shared" si="1"/>
        <v>0.57298032259717502</v>
      </c>
      <c r="E34" s="992">
        <f t="shared" si="1"/>
        <v>-6.6634275557036631</v>
      </c>
      <c r="F34" s="992">
        <f t="shared" si="1"/>
        <v>-5.8846847000262414</v>
      </c>
      <c r="G34" s="992">
        <f t="shared" si="1"/>
        <v>-0.7179684255229688</v>
      </c>
      <c r="H34" s="992">
        <f t="shared" si="1"/>
        <v>5.7415952929129332</v>
      </c>
      <c r="I34" s="992">
        <f t="shared" si="1"/>
        <v>-7.7279007922455492</v>
      </c>
      <c r="J34" s="992">
        <f t="shared" si="1"/>
        <v>-23.826145293082675</v>
      </c>
      <c r="K34" s="992">
        <f t="shared" si="1"/>
        <v>-14.082921230941295</v>
      </c>
      <c r="L34" s="992">
        <f t="shared" si="1"/>
        <v>8.6133598819430119</v>
      </c>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row>
    <row r="35" spans="1:36" s="114" customFormat="1">
      <c r="A35" s="1009" t="s">
        <v>447</v>
      </c>
      <c r="B35" s="993">
        <f>B31-B5</f>
        <v>0</v>
      </c>
      <c r="C35" s="993">
        <f t="shared" ref="C35:L35" si="2">C31-C5</f>
        <v>-13.887352066199369</v>
      </c>
      <c r="D35" s="993">
        <f t="shared" si="2"/>
        <v>-22.445839169329261</v>
      </c>
      <c r="E35" s="993">
        <f t="shared" si="2"/>
        <v>-6.3759726071168643E-3</v>
      </c>
      <c r="F35" s="993">
        <f t="shared" si="2"/>
        <v>-13.182288524954458</v>
      </c>
      <c r="G35" s="993">
        <f t="shared" si="2"/>
        <v>-6.4747795280214717</v>
      </c>
      <c r="H35" s="993">
        <f t="shared" si="2"/>
        <v>10.01471486664515</v>
      </c>
      <c r="I35" s="993">
        <f t="shared" si="2"/>
        <v>-6.7360580132113768</v>
      </c>
      <c r="J35" s="993">
        <f t="shared" si="2"/>
        <v>-15.698135391220276</v>
      </c>
      <c r="K35" s="993">
        <f t="shared" si="2"/>
        <v>0.75449182292817341</v>
      </c>
      <c r="L35" s="993">
        <f t="shared" si="2"/>
        <v>2.8268142176888915</v>
      </c>
    </row>
    <row r="36" spans="1:36" s="114" customFormat="1">
      <c r="A36" s="1009" t="s">
        <v>449</v>
      </c>
      <c r="B36" s="992">
        <f>B31-B24</f>
        <v>0</v>
      </c>
      <c r="C36" s="992">
        <f t="shared" ref="C36:L36" si="3">C31-C24</f>
        <v>-5.6883859754742332</v>
      </c>
      <c r="D36" s="992">
        <f t="shared" si="3"/>
        <v>-13.692405891585807</v>
      </c>
      <c r="E36" s="992">
        <f t="shared" si="3"/>
        <v>3.1217176967820421</v>
      </c>
      <c r="F36" s="992">
        <f t="shared" si="3"/>
        <v>6.5537221129935546</v>
      </c>
      <c r="G36" s="992">
        <f t="shared" si="3"/>
        <v>-2.632752432623775</v>
      </c>
      <c r="H36" s="992">
        <f t="shared" si="3"/>
        <v>-3.1088774991913368</v>
      </c>
      <c r="I36" s="992">
        <f t="shared" si="3"/>
        <v>11.551361660219285</v>
      </c>
      <c r="J36" s="992">
        <f t="shared" si="3"/>
        <v>18.758420376025512</v>
      </c>
      <c r="K36" s="992">
        <f t="shared" si="3"/>
        <v>2.3980831107185878</v>
      </c>
      <c r="L36" s="992">
        <f t="shared" si="3"/>
        <v>4.792800929693982</v>
      </c>
    </row>
    <row r="37" spans="1:36" s="114" customFormat="1">
      <c r="A37" s="1009"/>
      <c r="B37" s="991"/>
      <c r="C37" s="991"/>
      <c r="D37" s="985" t="s">
        <v>276</v>
      </c>
      <c r="E37" s="991"/>
      <c r="F37" s="991"/>
      <c r="G37" s="991"/>
      <c r="H37" s="991"/>
      <c r="I37" s="991"/>
      <c r="J37" s="991"/>
      <c r="K37" s="991"/>
      <c r="L37" s="991"/>
    </row>
    <row r="38" spans="1:36" s="114" customFormat="1">
      <c r="A38" s="1009" t="s">
        <v>447</v>
      </c>
      <c r="B38" s="992">
        <f>(B31/B5-1)*100</f>
        <v>0</v>
      </c>
      <c r="C38" s="992">
        <f t="shared" ref="C38:L38" si="4">(C31/C5-1)*100</f>
        <v>-13.457336040981794</v>
      </c>
      <c r="D38" s="992">
        <f t="shared" si="4"/>
        <v>-24.702032431184996</v>
      </c>
      <c r="E38" s="992">
        <f t="shared" si="4"/>
        <v>-7.0101662001387233E-3</v>
      </c>
      <c r="F38" s="992">
        <f t="shared" si="4"/>
        <v>-12.527879003761067</v>
      </c>
      <c r="G38" s="992">
        <f t="shared" si="4"/>
        <v>-6.673492444506457</v>
      </c>
      <c r="H38" s="992">
        <f t="shared" si="4"/>
        <v>11.135975564138366</v>
      </c>
      <c r="I38" s="992">
        <f t="shared" si="4"/>
        <v>-6.1399776430400959</v>
      </c>
      <c r="J38" s="992">
        <f t="shared" si="4"/>
        <v>-12.60415044049954</v>
      </c>
      <c r="K38" s="992">
        <f t="shared" si="4"/>
        <v>0.75609649018439917</v>
      </c>
      <c r="L38" s="992">
        <f t="shared" si="4"/>
        <v>2.8705660495642382</v>
      </c>
    </row>
    <row r="39" spans="1:36">
      <c r="A39" s="114"/>
      <c r="B39" s="114"/>
      <c r="C39" s="114"/>
      <c r="D39" s="114"/>
      <c r="E39" s="114"/>
      <c r="F39" s="114"/>
      <c r="G39" s="114"/>
      <c r="H39" s="114"/>
      <c r="I39" s="114"/>
      <c r="J39" s="114"/>
      <c r="K39" s="114"/>
      <c r="L39" s="114"/>
    </row>
    <row r="40" spans="1:36">
      <c r="A40" s="9" t="s">
        <v>209</v>
      </c>
    </row>
    <row r="41" spans="1:36" ht="38.25" customHeight="1">
      <c r="A41" s="1168" t="s">
        <v>546</v>
      </c>
      <c r="B41" s="1169"/>
      <c r="C41" s="1169"/>
      <c r="D41" s="1169"/>
      <c r="E41" s="1169"/>
      <c r="F41" s="1169"/>
      <c r="G41" s="1169"/>
      <c r="H41" s="1169"/>
      <c r="I41" s="1169"/>
      <c r="J41" s="1169"/>
      <c r="K41" s="1169"/>
      <c r="L41" s="1169"/>
    </row>
    <row r="42" spans="1:36" ht="25.5" customHeight="1">
      <c r="A42" s="1168" t="s">
        <v>539</v>
      </c>
      <c r="B42" s="1169"/>
      <c r="C42" s="1169"/>
      <c r="D42" s="1169"/>
      <c r="E42" s="1169"/>
      <c r="F42" s="1169"/>
      <c r="G42" s="1169"/>
      <c r="H42" s="1169"/>
      <c r="I42" s="1169"/>
      <c r="J42" s="1169"/>
      <c r="K42" s="1169"/>
      <c r="L42" s="1169"/>
    </row>
    <row r="43" spans="1:36" ht="42.75" customHeight="1">
      <c r="A43" s="1168" t="s">
        <v>1214</v>
      </c>
      <c r="B43" s="1169"/>
      <c r="C43" s="1169"/>
      <c r="D43" s="1169"/>
      <c r="E43" s="1169"/>
      <c r="F43" s="1169"/>
      <c r="G43" s="1169"/>
      <c r="H43" s="1169"/>
      <c r="I43" s="1169"/>
      <c r="J43" s="1169"/>
      <c r="K43" s="1169"/>
      <c r="L43" s="1169"/>
    </row>
    <row r="44" spans="1:36">
      <c r="A44" s="1"/>
      <c r="B44" s="4"/>
      <c r="M44" s="4"/>
      <c r="N44" s="4"/>
    </row>
    <row r="45" spans="1:36">
      <c r="A45" s="4"/>
      <c r="B45" s="4"/>
      <c r="C45" s="4"/>
      <c r="D45" s="4"/>
      <c r="E45" s="4"/>
      <c r="F45" s="4"/>
      <c r="G45" s="4"/>
      <c r="H45" s="4"/>
      <c r="I45" s="4"/>
      <c r="J45" s="4"/>
      <c r="K45" s="4"/>
      <c r="L45" s="4"/>
      <c r="M45" s="4"/>
      <c r="N45" s="4"/>
    </row>
    <row r="46" spans="1:36">
      <c r="A46" s="4"/>
      <c r="B46" s="4"/>
      <c r="C46" s="4"/>
      <c r="D46" s="4"/>
      <c r="E46" s="4"/>
      <c r="F46" s="4"/>
      <c r="G46" s="4"/>
      <c r="H46" s="4"/>
      <c r="I46" s="4"/>
      <c r="J46" s="4"/>
      <c r="K46" s="4"/>
      <c r="L46" s="4"/>
      <c r="M46" s="4"/>
      <c r="N46" s="4"/>
    </row>
    <row r="47" spans="1:36" ht="15.75">
      <c r="A47" s="4"/>
      <c r="B47" s="28"/>
      <c r="C47" s="4"/>
      <c r="D47" s="4"/>
      <c r="E47" s="4"/>
      <c r="F47" s="4"/>
      <c r="G47" s="4"/>
      <c r="H47" s="4"/>
      <c r="I47" s="4"/>
      <c r="J47" s="4"/>
      <c r="K47" s="4"/>
      <c r="L47" s="4"/>
      <c r="M47" s="4"/>
      <c r="N47" s="4"/>
    </row>
    <row r="48" spans="1:36">
      <c r="A48" s="37"/>
      <c r="B48" s="4"/>
      <c r="C48" s="37"/>
      <c r="D48" s="37"/>
      <c r="E48" s="37"/>
      <c r="F48" s="37"/>
      <c r="G48" s="37"/>
      <c r="H48" s="37"/>
      <c r="I48" s="29"/>
      <c r="J48" s="37"/>
      <c r="K48" s="37"/>
      <c r="L48" s="37"/>
      <c r="M48" s="4"/>
      <c r="N48" s="4"/>
    </row>
    <row r="49" spans="1:14">
      <c r="A49" s="30"/>
      <c r="B49" s="1164"/>
      <c r="C49" s="1164"/>
      <c r="D49" s="1164"/>
      <c r="E49" s="1164"/>
      <c r="F49" s="1164"/>
      <c r="G49" s="1164"/>
      <c r="H49" s="1164"/>
      <c r="I49" s="1164"/>
      <c r="J49" s="1164"/>
      <c r="K49" s="1164"/>
      <c r="L49" s="1164"/>
      <c r="M49" s="4"/>
      <c r="N49" s="4"/>
    </row>
    <row r="50" spans="1:14">
      <c r="A50" s="38"/>
      <c r="B50" s="1164"/>
      <c r="C50" s="1164"/>
      <c r="D50" s="1164"/>
      <c r="E50" s="1164"/>
      <c r="F50" s="1164"/>
      <c r="G50" s="1164"/>
      <c r="H50" s="1164"/>
      <c r="I50" s="1164"/>
      <c r="J50" s="1164"/>
      <c r="K50" s="1164"/>
      <c r="L50" s="1164"/>
      <c r="M50" s="4"/>
      <c r="N50" s="4"/>
    </row>
    <row r="51" spans="1:14">
      <c r="A51" s="30"/>
      <c r="B51" s="31"/>
      <c r="C51" s="31"/>
      <c r="D51" s="31"/>
      <c r="E51" s="31"/>
      <c r="F51" s="31"/>
      <c r="G51" s="31"/>
      <c r="H51" s="31"/>
      <c r="I51" s="31"/>
      <c r="J51" s="31"/>
      <c r="K51" s="31"/>
      <c r="L51" s="31"/>
      <c r="M51" s="4"/>
      <c r="N51" s="4"/>
    </row>
    <row r="52" spans="1:14">
      <c r="A52" s="30"/>
      <c r="B52" s="31"/>
      <c r="C52" s="31"/>
      <c r="D52" s="31"/>
      <c r="E52" s="31"/>
      <c r="F52" s="31"/>
      <c r="G52" s="31"/>
      <c r="H52" s="31"/>
      <c r="I52" s="31"/>
      <c r="J52" s="31"/>
      <c r="K52" s="31"/>
      <c r="L52" s="31"/>
      <c r="M52" s="4"/>
      <c r="N52" s="4"/>
    </row>
    <row r="53" spans="1:14">
      <c r="A53" s="30"/>
      <c r="B53" s="31"/>
      <c r="C53" s="31"/>
      <c r="D53" s="31"/>
      <c r="E53" s="31"/>
      <c r="F53" s="31"/>
      <c r="G53" s="31"/>
      <c r="H53" s="31"/>
      <c r="I53" s="31"/>
      <c r="J53" s="31"/>
      <c r="K53" s="31"/>
      <c r="L53" s="31"/>
      <c r="M53" s="4"/>
      <c r="N53" s="4"/>
    </row>
    <row r="54" spans="1:14">
      <c r="A54" s="30"/>
      <c r="B54" s="31"/>
      <c r="C54" s="31"/>
      <c r="D54" s="31"/>
      <c r="E54" s="31"/>
      <c r="F54" s="31"/>
      <c r="G54" s="31"/>
      <c r="H54" s="31"/>
      <c r="I54" s="31"/>
      <c r="J54" s="31"/>
      <c r="K54" s="31"/>
      <c r="L54" s="31"/>
      <c r="M54" s="4"/>
      <c r="N54" s="4"/>
    </row>
    <row r="55" spans="1:14">
      <c r="A55" s="30"/>
      <c r="B55" s="31"/>
      <c r="C55" s="31"/>
      <c r="D55" s="31"/>
      <c r="E55" s="31"/>
      <c r="F55" s="31"/>
      <c r="G55" s="31"/>
      <c r="H55" s="31"/>
      <c r="I55" s="31"/>
      <c r="J55" s="31"/>
      <c r="K55" s="31"/>
      <c r="L55" s="31"/>
      <c r="M55" s="4"/>
      <c r="N55" s="4"/>
    </row>
    <row r="56" spans="1:14">
      <c r="A56" s="30"/>
      <c r="B56" s="31"/>
      <c r="C56" s="31"/>
      <c r="D56" s="31"/>
      <c r="E56" s="31"/>
      <c r="F56" s="31"/>
      <c r="G56" s="31"/>
      <c r="H56" s="31"/>
      <c r="I56" s="31"/>
      <c r="J56" s="31"/>
      <c r="K56" s="31"/>
      <c r="L56" s="31"/>
      <c r="M56" s="4"/>
      <c r="N56" s="4"/>
    </row>
    <row r="57" spans="1:14">
      <c r="A57" s="30"/>
      <c r="B57" s="31"/>
      <c r="C57" s="31"/>
      <c r="D57" s="31"/>
      <c r="E57" s="31"/>
      <c r="F57" s="31"/>
      <c r="G57" s="31"/>
      <c r="H57" s="31"/>
      <c r="I57" s="31"/>
      <c r="J57" s="31"/>
      <c r="K57" s="31"/>
      <c r="L57" s="31"/>
      <c r="M57" s="4"/>
      <c r="N57" s="4"/>
    </row>
    <row r="58" spans="1:14">
      <c r="A58" s="30"/>
      <c r="B58" s="31"/>
      <c r="C58" s="31"/>
      <c r="D58" s="31"/>
      <c r="E58" s="31"/>
      <c r="F58" s="31"/>
      <c r="G58" s="31"/>
      <c r="H58" s="31"/>
      <c r="I58" s="31"/>
      <c r="J58" s="31"/>
      <c r="K58" s="31"/>
      <c r="L58" s="31"/>
      <c r="M58" s="4"/>
      <c r="N58" s="4"/>
    </row>
    <row r="59" spans="1:14">
      <c r="A59" s="30"/>
      <c r="B59" s="31"/>
      <c r="C59" s="31"/>
      <c r="D59" s="31"/>
      <c r="E59" s="31"/>
      <c r="F59" s="31"/>
      <c r="G59" s="31"/>
      <c r="H59" s="31"/>
      <c r="I59" s="31"/>
      <c r="J59" s="31"/>
      <c r="K59" s="31"/>
      <c r="L59" s="31"/>
      <c r="M59" s="4"/>
      <c r="N59" s="4"/>
    </row>
    <row r="60" spans="1:14">
      <c r="A60" s="30"/>
      <c r="B60" s="31"/>
      <c r="C60" s="31"/>
      <c r="D60" s="31"/>
      <c r="E60" s="31"/>
      <c r="F60" s="31"/>
      <c r="G60" s="31"/>
      <c r="H60" s="31"/>
      <c r="I60" s="31"/>
      <c r="J60" s="31"/>
      <c r="K60" s="31"/>
      <c r="L60" s="31"/>
      <c r="M60" s="4"/>
      <c r="N60" s="4"/>
    </row>
    <row r="61" spans="1:14">
      <c r="A61" s="30"/>
      <c r="B61" s="31"/>
      <c r="C61" s="31"/>
      <c r="D61" s="31"/>
      <c r="E61" s="31"/>
      <c r="F61" s="31"/>
      <c r="G61" s="31"/>
      <c r="H61" s="31"/>
      <c r="I61" s="31"/>
      <c r="J61" s="31"/>
      <c r="K61" s="31"/>
      <c r="L61" s="31"/>
      <c r="M61" s="4"/>
      <c r="N61" s="4"/>
    </row>
    <row r="62" spans="1:14">
      <c r="A62" s="30"/>
      <c r="B62" s="31"/>
      <c r="C62" s="31"/>
      <c r="D62" s="31"/>
      <c r="E62" s="31"/>
      <c r="F62" s="31"/>
      <c r="G62" s="31"/>
      <c r="H62" s="31"/>
      <c r="I62" s="31"/>
      <c r="J62" s="31"/>
      <c r="K62" s="31"/>
      <c r="L62" s="31"/>
      <c r="M62" s="4"/>
      <c r="N62" s="4"/>
    </row>
    <row r="63" spans="1:14">
      <c r="A63" s="30"/>
      <c r="B63" s="31"/>
      <c r="C63" s="31"/>
      <c r="D63" s="31"/>
      <c r="E63" s="31"/>
      <c r="F63" s="31"/>
      <c r="G63" s="31"/>
      <c r="H63" s="31"/>
      <c r="I63" s="31"/>
      <c r="J63" s="31"/>
      <c r="K63" s="31"/>
      <c r="L63" s="31"/>
      <c r="M63" s="4"/>
      <c r="N63" s="4"/>
    </row>
    <row r="64" spans="1:14">
      <c r="A64" s="30"/>
      <c r="B64" s="31"/>
      <c r="C64" s="31"/>
      <c r="D64" s="31"/>
      <c r="E64" s="31"/>
      <c r="F64" s="31"/>
      <c r="G64" s="31"/>
      <c r="H64" s="31"/>
      <c r="I64" s="31"/>
      <c r="J64" s="31"/>
      <c r="K64" s="31"/>
      <c r="L64" s="31"/>
      <c r="M64" s="4"/>
      <c r="N64" s="4"/>
    </row>
    <row r="65" spans="1:14">
      <c r="A65" s="30"/>
      <c r="B65" s="31"/>
      <c r="C65" s="31"/>
      <c r="D65" s="31"/>
      <c r="E65" s="31"/>
      <c r="F65" s="31"/>
      <c r="G65" s="31"/>
      <c r="H65" s="31"/>
      <c r="I65" s="31"/>
      <c r="J65" s="31"/>
      <c r="K65" s="31"/>
      <c r="L65" s="31"/>
      <c r="M65" s="4"/>
      <c r="N65" s="4"/>
    </row>
    <row r="66" spans="1:14">
      <c r="A66" s="30"/>
      <c r="B66" s="31"/>
      <c r="C66" s="31"/>
      <c r="D66" s="31"/>
      <c r="E66" s="31"/>
      <c r="F66" s="31"/>
      <c r="G66" s="31"/>
      <c r="H66" s="31"/>
      <c r="I66" s="31"/>
      <c r="J66" s="31"/>
      <c r="K66" s="31"/>
      <c r="L66" s="31"/>
      <c r="M66" s="4"/>
      <c r="N66" s="4"/>
    </row>
    <row r="67" spans="1:14">
      <c r="A67" s="30"/>
      <c r="B67" s="31"/>
      <c r="C67" s="31"/>
      <c r="D67" s="31"/>
      <c r="E67" s="31"/>
      <c r="F67" s="31"/>
      <c r="G67" s="31"/>
      <c r="H67" s="31"/>
      <c r="I67" s="31"/>
      <c r="J67" s="31"/>
      <c r="K67" s="31"/>
      <c r="L67" s="31"/>
      <c r="M67" s="4"/>
      <c r="N67" s="4"/>
    </row>
    <row r="68" spans="1:14">
      <c r="A68" s="30"/>
      <c r="B68" s="31"/>
      <c r="C68" s="31"/>
      <c r="D68" s="31"/>
      <c r="E68" s="31"/>
      <c r="F68" s="31"/>
      <c r="G68" s="31"/>
      <c r="H68" s="31"/>
      <c r="I68" s="31"/>
      <c r="J68" s="31"/>
      <c r="K68" s="31"/>
      <c r="L68" s="31"/>
      <c r="M68" s="4"/>
      <c r="N68" s="4"/>
    </row>
    <row r="69" spans="1:14">
      <c r="A69" s="30"/>
      <c r="B69" s="31"/>
      <c r="C69" s="31"/>
      <c r="D69" s="31"/>
      <c r="E69" s="31"/>
      <c r="F69" s="31"/>
      <c r="G69" s="31"/>
      <c r="H69" s="31"/>
      <c r="I69" s="31"/>
      <c r="J69" s="31"/>
      <c r="K69" s="31"/>
      <c r="L69" s="31"/>
      <c r="M69" s="4"/>
      <c r="N69" s="4"/>
    </row>
    <row r="70" spans="1:14">
      <c r="A70" s="30"/>
      <c r="B70" s="31"/>
      <c r="C70" s="31"/>
      <c r="D70" s="31"/>
      <c r="E70" s="31"/>
      <c r="F70" s="31"/>
      <c r="G70" s="31"/>
      <c r="H70" s="31"/>
      <c r="I70" s="31"/>
      <c r="J70" s="31"/>
      <c r="K70" s="31"/>
      <c r="L70" s="31"/>
      <c r="M70" s="4"/>
      <c r="N70" s="4"/>
    </row>
    <row r="71" spans="1:14">
      <c r="A71" s="30"/>
      <c r="B71" s="31"/>
      <c r="C71" s="31"/>
      <c r="D71" s="31"/>
      <c r="E71" s="31"/>
      <c r="F71" s="31"/>
      <c r="G71" s="31"/>
      <c r="H71" s="31"/>
      <c r="I71" s="31"/>
      <c r="J71" s="31"/>
      <c r="K71" s="31"/>
      <c r="L71" s="31"/>
      <c r="M71" s="4"/>
      <c r="N71" s="4"/>
    </row>
    <row r="72" spans="1:14">
      <c r="A72" s="30"/>
      <c r="B72" s="31"/>
      <c r="C72" s="31"/>
      <c r="D72" s="31"/>
      <c r="E72" s="31"/>
      <c r="F72" s="31"/>
      <c r="G72" s="31"/>
      <c r="H72" s="31"/>
      <c r="I72" s="31"/>
      <c r="J72" s="31"/>
      <c r="K72" s="31"/>
      <c r="L72" s="31"/>
      <c r="M72" s="4"/>
      <c r="N72" s="4"/>
    </row>
    <row r="73" spans="1:14">
      <c r="A73" s="30"/>
      <c r="B73" s="32"/>
      <c r="C73" s="32"/>
      <c r="D73" s="32"/>
      <c r="E73" s="32"/>
      <c r="F73" s="32"/>
      <c r="G73" s="32"/>
      <c r="H73" s="32"/>
      <c r="I73" s="32"/>
      <c r="J73" s="32"/>
      <c r="K73" s="32"/>
      <c r="L73" s="32"/>
      <c r="M73" s="4"/>
      <c r="N73" s="4"/>
    </row>
    <row r="74" spans="1:14">
      <c r="A74" s="30"/>
      <c r="B74" s="31"/>
      <c r="C74" s="31"/>
      <c r="D74" s="31"/>
      <c r="E74" s="31"/>
      <c r="F74" s="31"/>
      <c r="G74" s="31"/>
      <c r="H74" s="31"/>
      <c r="I74" s="31"/>
      <c r="J74" s="31"/>
      <c r="K74" s="31"/>
      <c r="L74" s="31"/>
      <c r="M74" s="4"/>
      <c r="N74" s="4"/>
    </row>
    <row r="75" spans="1:14">
      <c r="A75" s="5"/>
      <c r="B75" s="33"/>
      <c r="C75" s="33"/>
      <c r="D75" s="33"/>
      <c r="E75" s="33"/>
      <c r="F75" s="33"/>
      <c r="G75" s="33"/>
      <c r="H75" s="33"/>
      <c r="I75" s="33"/>
      <c r="J75" s="33"/>
      <c r="K75" s="33"/>
      <c r="L75" s="33"/>
      <c r="M75" s="4"/>
      <c r="N75" s="4"/>
    </row>
    <row r="76" spans="1:14">
      <c r="A76" s="5"/>
      <c r="B76" s="33"/>
      <c r="C76" s="33"/>
      <c r="D76" s="33"/>
      <c r="E76" s="33"/>
      <c r="F76" s="33"/>
      <c r="G76" s="33"/>
      <c r="H76" s="33"/>
      <c r="I76" s="33"/>
      <c r="J76" s="33"/>
      <c r="K76" s="33"/>
      <c r="L76" s="33"/>
      <c r="M76" s="4"/>
      <c r="N76" s="4"/>
    </row>
    <row r="77" spans="1:14">
      <c r="A77" s="4"/>
      <c r="B77" s="4"/>
      <c r="C77" s="30"/>
      <c r="D77" s="30"/>
      <c r="E77" s="30"/>
      <c r="F77" s="30"/>
      <c r="G77" s="30"/>
      <c r="H77" s="30"/>
      <c r="I77" s="30"/>
      <c r="J77" s="30"/>
      <c r="K77" s="30"/>
      <c r="L77" s="30"/>
      <c r="M77" s="4"/>
      <c r="N77" s="4"/>
    </row>
    <row r="78" spans="1:14">
      <c r="A78" s="4"/>
      <c r="B78" s="4"/>
      <c r="C78" s="30"/>
      <c r="D78" s="30"/>
      <c r="E78" s="30"/>
      <c r="F78" s="30"/>
      <c r="G78" s="30"/>
      <c r="H78" s="30"/>
      <c r="I78" s="30"/>
      <c r="J78" s="30"/>
      <c r="K78" s="30"/>
      <c r="L78" s="30"/>
      <c r="M78" s="4"/>
      <c r="N78" s="4"/>
    </row>
    <row r="79" spans="1:14">
      <c r="A79" s="34"/>
      <c r="B79" s="4"/>
      <c r="C79" s="30"/>
      <c r="D79" s="30"/>
      <c r="E79" s="30"/>
      <c r="F79" s="30"/>
      <c r="G79" s="30"/>
      <c r="H79" s="30"/>
      <c r="I79" s="30"/>
      <c r="J79" s="30"/>
      <c r="K79" s="30"/>
      <c r="L79" s="30"/>
      <c r="M79" s="4"/>
      <c r="N79" s="4"/>
    </row>
    <row r="80" spans="1:14">
      <c r="A80" s="34"/>
      <c r="B80" s="4"/>
      <c r="C80" s="30"/>
      <c r="D80" s="30"/>
      <c r="E80" s="30"/>
      <c r="F80" s="30"/>
      <c r="G80" s="30"/>
      <c r="H80" s="30"/>
      <c r="I80" s="30"/>
      <c r="J80" s="30"/>
      <c r="K80" s="30"/>
      <c r="L80" s="30"/>
      <c r="M80" s="4"/>
      <c r="N80" s="4"/>
    </row>
    <row r="81" spans="1:14">
      <c r="A81" s="30"/>
      <c r="B81" s="4"/>
      <c r="C81" s="30"/>
      <c r="D81" s="30"/>
      <c r="E81" s="30"/>
      <c r="F81" s="30"/>
      <c r="G81" s="30"/>
      <c r="H81" s="30"/>
      <c r="I81" s="30"/>
      <c r="J81" s="30"/>
      <c r="K81" s="30"/>
      <c r="L81" s="30"/>
      <c r="M81" s="4"/>
      <c r="N81" s="4"/>
    </row>
    <row r="82" spans="1:14">
      <c r="A82" s="30"/>
      <c r="B82" s="4"/>
      <c r="C82" s="31"/>
      <c r="D82" s="30"/>
      <c r="E82" s="30"/>
      <c r="F82" s="30"/>
      <c r="G82" s="30"/>
      <c r="H82" s="30"/>
      <c r="I82" s="30"/>
      <c r="J82" s="30"/>
      <c r="K82" s="30"/>
      <c r="L82" s="30"/>
      <c r="M82" s="4"/>
      <c r="N82" s="4"/>
    </row>
    <row r="83" spans="1:14">
      <c r="A83" s="30"/>
      <c r="B83" s="4"/>
      <c r="C83" s="4"/>
      <c r="D83" s="4"/>
      <c r="E83" s="4"/>
      <c r="F83" s="4"/>
      <c r="G83" s="4"/>
      <c r="H83" s="4"/>
      <c r="I83" s="4"/>
      <c r="J83" s="4"/>
      <c r="K83" s="4"/>
      <c r="L83" s="4"/>
      <c r="M83" s="4"/>
      <c r="N83" s="4"/>
    </row>
    <row r="84" spans="1:14">
      <c r="A84" s="30"/>
      <c r="B84" s="4"/>
      <c r="C84" s="4"/>
      <c r="D84" s="4"/>
      <c r="E84" s="4"/>
      <c r="F84" s="4"/>
      <c r="G84" s="4"/>
      <c r="H84" s="4"/>
      <c r="I84" s="4"/>
      <c r="J84" s="4"/>
      <c r="K84" s="4"/>
      <c r="L84" s="4"/>
      <c r="M84" s="4"/>
      <c r="N84" s="4"/>
    </row>
    <row r="85" spans="1:14">
      <c r="A85" s="35"/>
      <c r="B85" s="4"/>
      <c r="C85" s="4"/>
      <c r="D85" s="4"/>
      <c r="E85" s="4"/>
      <c r="F85" s="4"/>
      <c r="G85" s="4"/>
      <c r="H85" s="4"/>
      <c r="I85" s="4"/>
      <c r="J85" s="4"/>
      <c r="K85" s="4"/>
      <c r="L85" s="4"/>
      <c r="M85" s="4"/>
      <c r="N85" s="4"/>
    </row>
    <row r="86" spans="1:14">
      <c r="A86" s="35"/>
      <c r="B86" s="4"/>
      <c r="C86" s="4"/>
      <c r="D86" s="4"/>
      <c r="E86" s="4"/>
      <c r="F86" s="4"/>
      <c r="G86" s="4"/>
      <c r="H86" s="4"/>
      <c r="I86" s="4"/>
      <c r="J86" s="4"/>
      <c r="K86" s="4"/>
      <c r="L86" s="4"/>
      <c r="M86" s="4"/>
      <c r="N86" s="4"/>
    </row>
    <row r="87" spans="1:14">
      <c r="A87" s="4"/>
      <c r="B87" s="4"/>
      <c r="C87" s="4"/>
      <c r="D87" s="4"/>
      <c r="E87" s="4"/>
      <c r="F87" s="4"/>
      <c r="G87" s="4"/>
      <c r="H87" s="4"/>
      <c r="I87" s="4"/>
      <c r="J87" s="4"/>
      <c r="K87" s="4"/>
      <c r="L87" s="4"/>
      <c r="M87" s="4"/>
      <c r="N87" s="4"/>
    </row>
    <row r="88" spans="1:14">
      <c r="A88" s="4"/>
      <c r="B88" s="4"/>
      <c r="C88" s="4"/>
      <c r="D88" s="4"/>
      <c r="E88" s="4"/>
      <c r="F88" s="4"/>
      <c r="G88" s="4"/>
      <c r="H88" s="4"/>
      <c r="I88" s="4"/>
      <c r="J88" s="4"/>
      <c r="K88" s="4"/>
      <c r="L88" s="4"/>
      <c r="M88" s="4"/>
      <c r="N88" s="4"/>
    </row>
    <row r="89" spans="1:14">
      <c r="A89" s="4"/>
      <c r="B89" s="4"/>
      <c r="C89" s="4"/>
      <c r="D89" s="4"/>
      <c r="E89" s="4"/>
      <c r="F89" s="4"/>
      <c r="G89" s="4"/>
      <c r="H89" s="4"/>
      <c r="I89" s="4"/>
      <c r="J89" s="4"/>
      <c r="K89" s="4"/>
      <c r="L89" s="4"/>
      <c r="M89" s="4"/>
      <c r="N89" s="4"/>
    </row>
    <row r="90" spans="1:14">
      <c r="A90" s="4"/>
      <c r="B90" s="4"/>
      <c r="C90" s="4"/>
      <c r="D90" s="4"/>
      <c r="E90" s="4"/>
      <c r="F90" s="4"/>
      <c r="G90" s="4"/>
      <c r="H90" s="4"/>
      <c r="I90" s="4"/>
      <c r="J90" s="4"/>
      <c r="K90" s="4"/>
      <c r="L90" s="4"/>
      <c r="M90" s="4"/>
      <c r="N90" s="4"/>
    </row>
    <row r="91" spans="1:14">
      <c r="A91" s="4"/>
      <c r="B91" s="4"/>
      <c r="C91" s="4"/>
      <c r="D91" s="4"/>
      <c r="E91" s="4"/>
      <c r="F91" s="4"/>
      <c r="G91" s="4"/>
      <c r="H91" s="4"/>
      <c r="I91" s="4"/>
      <c r="J91" s="4"/>
      <c r="K91" s="4"/>
      <c r="L91" s="4"/>
      <c r="M91" s="4"/>
      <c r="N91" s="4"/>
    </row>
    <row r="92" spans="1:14">
      <c r="A92" s="4"/>
      <c r="B92" s="4"/>
      <c r="C92" s="4"/>
      <c r="D92" s="4"/>
      <c r="E92" s="4"/>
      <c r="F92" s="4"/>
      <c r="G92" s="4"/>
      <c r="H92" s="4"/>
      <c r="I92" s="4"/>
      <c r="J92" s="4"/>
      <c r="K92" s="4"/>
      <c r="L92" s="4"/>
      <c r="M92" s="4"/>
      <c r="N92" s="4"/>
    </row>
    <row r="93" spans="1:14">
      <c r="A93" s="4"/>
      <c r="B93" s="4"/>
      <c r="C93" s="4"/>
      <c r="D93" s="4"/>
      <c r="E93" s="4"/>
      <c r="F93" s="4"/>
      <c r="G93" s="4"/>
      <c r="H93" s="4"/>
      <c r="I93" s="4"/>
      <c r="J93" s="4"/>
      <c r="K93" s="4"/>
      <c r="L93" s="4"/>
      <c r="M93" s="4"/>
      <c r="N93" s="4"/>
    </row>
    <row r="94" spans="1:14">
      <c r="A94" s="4"/>
      <c r="B94" s="4"/>
      <c r="C94" s="4"/>
      <c r="D94" s="4"/>
      <c r="E94" s="4"/>
      <c r="F94" s="4"/>
      <c r="G94" s="4"/>
      <c r="H94" s="4"/>
      <c r="I94" s="4"/>
      <c r="J94" s="4"/>
      <c r="K94" s="4"/>
      <c r="L94" s="4"/>
      <c r="M94" s="4"/>
      <c r="N94" s="4"/>
    </row>
    <row r="95" spans="1:14">
      <c r="A95" s="4"/>
      <c r="B95" s="4"/>
      <c r="C95" s="4"/>
      <c r="D95" s="4"/>
      <c r="E95" s="4"/>
      <c r="F95" s="4"/>
      <c r="G95" s="4"/>
      <c r="H95" s="4"/>
      <c r="I95" s="4"/>
      <c r="J95" s="4"/>
      <c r="K95" s="4"/>
      <c r="L95" s="4"/>
      <c r="M95" s="4"/>
      <c r="N95" s="4"/>
    </row>
    <row r="96" spans="1:14">
      <c r="A96" s="4"/>
      <c r="B96" s="4"/>
      <c r="C96" s="4"/>
      <c r="D96" s="4"/>
      <c r="E96" s="4"/>
      <c r="F96" s="4"/>
      <c r="G96" s="4"/>
      <c r="H96" s="4"/>
      <c r="I96" s="4"/>
      <c r="J96" s="4"/>
      <c r="K96" s="4"/>
      <c r="L96" s="4"/>
      <c r="M96" s="4"/>
      <c r="N96" s="4"/>
    </row>
    <row r="97" spans="1:14">
      <c r="A97" s="4"/>
      <c r="B97" s="4"/>
      <c r="C97" s="4"/>
      <c r="D97" s="4"/>
      <c r="E97" s="4"/>
      <c r="F97" s="4"/>
      <c r="G97" s="4"/>
      <c r="H97" s="4"/>
      <c r="I97" s="4"/>
      <c r="J97" s="4"/>
      <c r="K97" s="4"/>
      <c r="L97" s="4"/>
      <c r="M97" s="4"/>
      <c r="N97" s="4"/>
    </row>
    <row r="98" spans="1:14">
      <c r="A98" s="4"/>
      <c r="B98" s="4"/>
      <c r="C98" s="4"/>
      <c r="D98" s="4"/>
      <c r="E98" s="4"/>
      <c r="F98" s="4"/>
      <c r="G98" s="4"/>
      <c r="H98" s="4"/>
      <c r="I98" s="4"/>
      <c r="J98" s="4"/>
      <c r="K98" s="4"/>
      <c r="L98" s="4"/>
    </row>
  </sheetData>
  <mergeCells count="26">
    <mergeCell ref="B1:L1"/>
    <mergeCell ref="D49:D50"/>
    <mergeCell ref="E49:E50"/>
    <mergeCell ref="F49:F50"/>
    <mergeCell ref="I49:I50"/>
    <mergeCell ref="B3:B4"/>
    <mergeCell ref="C3:C4"/>
    <mergeCell ref="D3:D4"/>
    <mergeCell ref="E3:E4"/>
    <mergeCell ref="J49:J50"/>
    <mergeCell ref="K49:K50"/>
    <mergeCell ref="L49:L50"/>
    <mergeCell ref="B49:B50"/>
    <mergeCell ref="A41:L41"/>
    <mergeCell ref="A43:L43"/>
    <mergeCell ref="G49:G50"/>
    <mergeCell ref="H49:H50"/>
    <mergeCell ref="C49:C50"/>
    <mergeCell ref="J3:J4"/>
    <mergeCell ref="K3:K4"/>
    <mergeCell ref="L3:L4"/>
    <mergeCell ref="F3:F4"/>
    <mergeCell ref="G3:G4"/>
    <mergeCell ref="H3:H4"/>
    <mergeCell ref="I3:I4"/>
    <mergeCell ref="A42:L42"/>
  </mergeCells>
  <phoneticPr fontId="35" type="noConversion"/>
  <pageMargins left="0.75" right="0.75" top="1" bottom="1" header="0.5" footer="0.5"/>
  <pageSetup scale="74" orientation="landscape" horizontalDpi="300" verticalDpi="300" r:id="rId1"/>
  <headerFooter alignWithMargins="0"/>
</worksheet>
</file>

<file path=xl/worksheets/sheet72.xml><?xml version="1.0" encoding="utf-8"?>
<worksheet xmlns="http://schemas.openxmlformats.org/spreadsheetml/2006/main" xmlns:r="http://schemas.openxmlformats.org/officeDocument/2006/relationships">
  <sheetPr codeName="Sheet46">
    <pageSetUpPr fitToPage="1"/>
  </sheetPr>
  <dimension ref="A1:AJ98"/>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2" width="9.28515625" style="1" bestFit="1" customWidth="1"/>
    <col min="13" max="16384" width="8.85546875" style="1"/>
  </cols>
  <sheetData>
    <row r="1" spans="1:24" ht="33" customHeight="1">
      <c r="A1" s="4"/>
      <c r="B1" s="1178" t="s">
        <v>2156</v>
      </c>
      <c r="C1" s="1178"/>
      <c r="D1" s="1178"/>
      <c r="E1" s="1178"/>
      <c r="F1" s="1178"/>
      <c r="G1" s="1178"/>
      <c r="H1" s="1178"/>
      <c r="I1" s="1178"/>
      <c r="J1" s="1178"/>
      <c r="K1" s="1178"/>
      <c r="L1" s="1178"/>
    </row>
    <row r="2" spans="1:24">
      <c r="A2" s="4"/>
      <c r="B2" s="4"/>
    </row>
    <row r="3" spans="1:24">
      <c r="B3" s="1164" t="s">
        <v>375</v>
      </c>
      <c r="C3" s="1164" t="s">
        <v>377</v>
      </c>
      <c r="D3" s="1164" t="s">
        <v>386</v>
      </c>
      <c r="E3" s="1164" t="s">
        <v>378</v>
      </c>
      <c r="F3" s="1164" t="s">
        <v>379</v>
      </c>
      <c r="G3" s="1164" t="s">
        <v>380</v>
      </c>
      <c r="H3" s="1164" t="s">
        <v>381</v>
      </c>
      <c r="I3" s="1164" t="s">
        <v>382</v>
      </c>
      <c r="J3" s="1164" t="s">
        <v>383</v>
      </c>
      <c r="K3" s="1164" t="s">
        <v>384</v>
      </c>
      <c r="L3" s="1164" t="s">
        <v>385</v>
      </c>
    </row>
    <row r="4" spans="1:24" s="4" customFormat="1">
      <c r="A4" s="7"/>
      <c r="B4" s="1165"/>
      <c r="C4" s="1165"/>
      <c r="D4" s="1165"/>
      <c r="E4" s="1165"/>
      <c r="F4" s="1165"/>
      <c r="G4" s="1165"/>
      <c r="H4" s="1165"/>
      <c r="I4" s="1165"/>
      <c r="J4" s="1165"/>
      <c r="K4" s="1165"/>
      <c r="L4" s="1165"/>
    </row>
    <row r="5" spans="1:24">
      <c r="A5" s="2">
        <v>1981</v>
      </c>
      <c r="B5" s="19">
        <f>'15c'!B5/'15c'!$B5*100</f>
        <v>100</v>
      </c>
      <c r="C5" s="21">
        <f>'15c'!C5/'15c'!$B5*100</f>
        <v>102.47861373108138</v>
      </c>
      <c r="D5" s="21">
        <f>'15c'!D5/'15c'!$B5*100</f>
        <v>93.835242771412993</v>
      </c>
      <c r="E5" s="21">
        <f>'15c'!E5/'15c'!$B5*100</f>
        <v>91.181823887529021</v>
      </c>
      <c r="F5" s="21">
        <f>'15c'!F5/'15c'!$B5*100</f>
        <v>106.06455348096684</v>
      </c>
      <c r="G5" s="21">
        <f>'15c'!G5/'15c'!$B5*100</f>
        <v>96.219447863548453</v>
      </c>
      <c r="H5" s="21">
        <f>'15c'!H5/'15c'!$B5*100</f>
        <v>91.573674552397961</v>
      </c>
      <c r="I5" s="21">
        <f>'15c'!I5/'15c'!$B5*100</f>
        <v>110.61274039997444</v>
      </c>
      <c r="J5" s="21">
        <f>'15c'!J5/'15c'!$B5*100</f>
        <v>123.26111002667707</v>
      </c>
      <c r="K5" s="21">
        <f>'15c'!K5/'15c'!$B5*100</f>
        <v>100.4612408867728</v>
      </c>
      <c r="L5" s="21">
        <f>'15c'!L5/'15c'!$B5*100</f>
        <v>99.696048632218861</v>
      </c>
      <c r="N5" s="6"/>
      <c r="O5" s="6"/>
      <c r="P5" s="6"/>
      <c r="Q5" s="6"/>
      <c r="R5" s="6"/>
      <c r="S5" s="6"/>
      <c r="T5" s="6"/>
      <c r="U5" s="6"/>
      <c r="V5" s="6"/>
      <c r="W5" s="6"/>
      <c r="X5" s="6"/>
    </row>
    <row r="6" spans="1:24">
      <c r="A6" s="2">
        <v>1982</v>
      </c>
      <c r="B6" s="19">
        <f>'15c'!B6/'15c'!$B6*100</f>
        <v>100</v>
      </c>
      <c r="C6" s="21">
        <f>'15c'!C6/'15c'!$B6*100</f>
        <v>100.09171805479666</v>
      </c>
      <c r="D6" s="21">
        <f>'15c'!D6/'15c'!$B6*100</f>
        <v>86.285657291043293</v>
      </c>
      <c r="E6" s="21">
        <f>'15c'!E6/'15c'!$B6*100</f>
        <v>94.259924197087557</v>
      </c>
      <c r="F6" s="21">
        <f>'15c'!F6/'15c'!$B6*100</f>
        <v>101.39962627780017</v>
      </c>
      <c r="G6" s="21">
        <f>'15c'!G6/'15c'!$B6*100</f>
        <v>90.538599640933569</v>
      </c>
      <c r="H6" s="21">
        <f>'15c'!H6/'15c'!$B6*100</f>
        <v>93.039127679797232</v>
      </c>
      <c r="I6" s="21">
        <f>'15c'!I6/'15c'!$B6*100</f>
        <v>107.65260323159784</v>
      </c>
      <c r="J6" s="21">
        <f>'15c'!J6/'15c'!$B6*100</f>
        <v>110.610092331367</v>
      </c>
      <c r="K6" s="21">
        <f>'15c'!K6/'15c'!$B6*100</f>
        <v>107.81497518217343</v>
      </c>
      <c r="L6" s="21">
        <f>'15c'!L6/'15c'!$B6*100</f>
        <v>109.33572710951526</v>
      </c>
      <c r="N6" s="6"/>
      <c r="O6" s="6"/>
      <c r="P6" s="6"/>
      <c r="Q6" s="6"/>
      <c r="R6" s="6"/>
      <c r="S6" s="6"/>
      <c r="T6" s="6"/>
      <c r="U6" s="6"/>
      <c r="V6" s="6"/>
      <c r="W6" s="6"/>
      <c r="X6" s="6"/>
    </row>
    <row r="7" spans="1:24">
      <c r="A7" s="2">
        <v>1983</v>
      </c>
      <c r="B7" s="19">
        <f>'15c'!B7/'15c'!$B7*100</f>
        <v>100</v>
      </c>
      <c r="C7" s="21">
        <f>'15c'!C7/'15c'!$B7*100</f>
        <v>99.455209558595911</v>
      </c>
      <c r="D7" s="21">
        <f>'15c'!D7/'15c'!$B7*100</f>
        <v>92.579293836026324</v>
      </c>
      <c r="E7" s="21">
        <f>'15c'!E7/'15c'!$B7*100</f>
        <v>92.515709156193907</v>
      </c>
      <c r="F7" s="21">
        <f>'15c'!F7/'15c'!$B7*100</f>
        <v>105.42892826477245</v>
      </c>
      <c r="G7" s="21">
        <f>'15c'!G7/'15c'!$B7*100</f>
        <v>87.432675044883297</v>
      </c>
      <c r="H7" s="21">
        <f>'15c'!H7/'15c'!$B7*100</f>
        <v>96.380988377586689</v>
      </c>
      <c r="I7" s="21">
        <f>'15c'!I7/'15c'!$B7*100</f>
        <v>104.55347071066554</v>
      </c>
      <c r="J7" s="21">
        <f>'15c'!J7/'15c'!$B7*100</f>
        <v>106.25</v>
      </c>
      <c r="K7" s="21">
        <f>'15c'!K7/'15c'!$B7*100</f>
        <v>115.21543985637344</v>
      </c>
      <c r="L7" s="21">
        <f>'15c'!L7/'15c'!$B7*100</f>
        <v>101.91894516879066</v>
      </c>
      <c r="N7" s="6"/>
      <c r="O7" s="6"/>
      <c r="P7" s="6"/>
      <c r="Q7" s="6"/>
      <c r="R7" s="6"/>
      <c r="S7" s="6"/>
      <c r="T7" s="6"/>
      <c r="U7" s="6"/>
      <c r="V7" s="6"/>
      <c r="W7" s="6"/>
      <c r="X7" s="6"/>
    </row>
    <row r="8" spans="1:24">
      <c r="A8" s="2">
        <v>1984</v>
      </c>
      <c r="B8" s="19">
        <f>'15c'!B8/'15c'!$B8*100</f>
        <v>100</v>
      </c>
      <c r="C8" s="21">
        <f>'15c'!C8/'15c'!$B8*100</f>
        <v>97.350807018954399</v>
      </c>
      <c r="D8" s="21">
        <f>'15c'!D8/'15c'!$B8*100</f>
        <v>78.803000345228</v>
      </c>
      <c r="E8" s="21">
        <f>'15c'!E8/'15c'!$B8*100</f>
        <v>93.473735566758805</v>
      </c>
      <c r="F8" s="21">
        <f>'15c'!F8/'15c'!$B8*100</f>
        <v>99.559097233515828</v>
      </c>
      <c r="G8" s="21">
        <f>'15c'!G8/'15c'!$B8*100</f>
        <v>94.327925482696941</v>
      </c>
      <c r="H8" s="21">
        <f>'15c'!H8/'15c'!$B8*100</f>
        <v>93.604651162790702</v>
      </c>
      <c r="I8" s="21">
        <f>'15c'!I8/'15c'!$B8*100</f>
        <v>98.548824872000495</v>
      </c>
      <c r="J8" s="21">
        <f>'15c'!J8/'15c'!$B8*100</f>
        <v>120.26630765542299</v>
      </c>
      <c r="K8" s="21">
        <f>'15c'!K8/'15c'!$B8*100</f>
        <v>114.83809555070488</v>
      </c>
      <c r="L8" s="21">
        <f>'15c'!L8/'15c'!$B8*100</f>
        <v>103.39892665474059</v>
      </c>
      <c r="N8" s="6"/>
      <c r="O8" s="6"/>
      <c r="P8" s="6"/>
      <c r="Q8" s="6"/>
      <c r="R8" s="6"/>
      <c r="S8" s="6"/>
      <c r="T8" s="6"/>
      <c r="U8" s="6"/>
      <c r="V8" s="6"/>
      <c r="W8" s="6"/>
      <c r="X8" s="6"/>
    </row>
    <row r="9" spans="1:24">
      <c r="A9" s="2">
        <v>1985</v>
      </c>
      <c r="B9" s="19">
        <f>'15c'!B9/'15c'!$B9*100</f>
        <v>100</v>
      </c>
      <c r="C9" s="21">
        <f>'15c'!C9/'15c'!$B9*100</f>
        <v>107.10093896713614</v>
      </c>
      <c r="D9" s="21">
        <f>'15c'!D9/'15c'!$B9*100</f>
        <v>81.500656481260449</v>
      </c>
      <c r="E9" s="21">
        <f>'15c'!E9/'15c'!$B9*100</f>
        <v>103.66475166790214</v>
      </c>
      <c r="F9" s="21">
        <f>'15c'!F9/'15c'!$B9*100</f>
        <v>94.752543035993739</v>
      </c>
      <c r="G9" s="21">
        <f>'15c'!G9/'15c'!$B9*100</f>
        <v>91.069792740180944</v>
      </c>
      <c r="H9" s="21">
        <f>'15c'!H9/'15c'!$B9*100</f>
        <v>93.414508027184098</v>
      </c>
      <c r="I9" s="21">
        <f>'15c'!I9/'15c'!$B9*100</f>
        <v>99.122628331975321</v>
      </c>
      <c r="J9" s="21">
        <f>'15c'!J9/'15c'!$B9*100</f>
        <v>129.46696134252323</v>
      </c>
      <c r="K9" s="21">
        <f>'15c'!K9/'15c'!$B9*100</f>
        <v>104.06430833060381</v>
      </c>
      <c r="L9" s="21">
        <f>'15c'!L9/'15c'!$B9*100</f>
        <v>107.46772300469485</v>
      </c>
      <c r="N9" s="6"/>
      <c r="O9" s="6"/>
      <c r="P9" s="6"/>
      <c r="Q9" s="6"/>
      <c r="R9" s="6"/>
      <c r="S9" s="6"/>
      <c r="T9" s="6"/>
      <c r="U9" s="6"/>
      <c r="V9" s="6"/>
      <c r="W9" s="6"/>
      <c r="X9" s="6"/>
    </row>
    <row r="10" spans="1:24">
      <c r="A10" s="2">
        <v>1986</v>
      </c>
      <c r="B10" s="19">
        <f>'15c'!B10/'15c'!$B10*100</f>
        <v>100</v>
      </c>
      <c r="C10" s="21">
        <f>'15c'!C10/'15c'!$B10*100</f>
        <v>91.673825887743405</v>
      </c>
      <c r="D10" s="21">
        <f>'15c'!D10/'15c'!$B10*100</f>
        <v>79.625</v>
      </c>
      <c r="E10" s="21">
        <f>'15c'!E10/'15c'!$B10*100</f>
        <v>97.282088122605373</v>
      </c>
      <c r="F10" s="21">
        <f>'15c'!F10/'15c'!$B10*100</f>
        <v>90.882316468253961</v>
      </c>
      <c r="G10" s="21">
        <f>'15c'!G10/'15c'!$B10*100</f>
        <v>94.430555555555557</v>
      </c>
      <c r="H10" s="21">
        <f>'15c'!H10/'15c'!$B10*100</f>
        <v>92.818708609271525</v>
      </c>
      <c r="I10" s="21">
        <f>'15c'!I10/'15c'!$B10*100</f>
        <v>102.51883239171376</v>
      </c>
      <c r="J10" s="21">
        <f>'15c'!J10/'15c'!$B10*100</f>
        <v>135.41666666666666</v>
      </c>
      <c r="K10" s="21">
        <f>'15c'!K10/'15c'!$B10*100</f>
        <v>103.51399331662489</v>
      </c>
      <c r="L10" s="21">
        <f>'15c'!L10/'15c'!$B10*100</f>
        <v>105.44162326388889</v>
      </c>
      <c r="N10" s="6"/>
      <c r="O10" s="6"/>
      <c r="P10" s="6"/>
      <c r="Q10" s="6"/>
      <c r="R10" s="6"/>
      <c r="S10" s="6"/>
      <c r="T10" s="6"/>
      <c r="U10" s="6"/>
      <c r="V10" s="6"/>
      <c r="W10" s="6"/>
      <c r="X10" s="6"/>
    </row>
    <row r="11" spans="1:24">
      <c r="A11" s="2">
        <v>1987</v>
      </c>
      <c r="B11" s="19">
        <f>'15c'!B11/'15c'!$B11*100</f>
        <v>100</v>
      </c>
      <c r="C11" s="21">
        <f>'15c'!C11/'15c'!$B11*100</f>
        <v>99.585514834205952</v>
      </c>
      <c r="D11" s="21">
        <f>'15c'!D11/'15c'!$B11*100</f>
        <v>86.340612097220443</v>
      </c>
      <c r="E11" s="21">
        <f>'15c'!E11/'15c'!$B11*100</f>
        <v>93.479295573536419</v>
      </c>
      <c r="F11" s="21">
        <f>'15c'!F11/'15c'!$B11*100</f>
        <v>93.391821140512249</v>
      </c>
      <c r="G11" s="21">
        <f>'15c'!G11/'15c'!$B11*100</f>
        <v>97.534200304002695</v>
      </c>
      <c r="H11" s="21">
        <f>'15c'!H11/'15c'!$B11*100</f>
        <v>91.559675859539141</v>
      </c>
      <c r="I11" s="21">
        <f>'15c'!I11/'15c'!$B11*100</f>
        <v>95.862185441648379</v>
      </c>
      <c r="J11" s="21">
        <f>'15c'!J11/'15c'!$B11*100</f>
        <v>106.29190777992099</v>
      </c>
      <c r="K11" s="21">
        <f>'15c'!K11/'15c'!$B11*100</f>
        <v>108.81539181883966</v>
      </c>
      <c r="L11" s="21">
        <f>'15c'!L11/'15c'!$B11*100</f>
        <v>106.184554973822</v>
      </c>
      <c r="N11" s="6"/>
      <c r="O11" s="6"/>
      <c r="P11" s="6"/>
      <c r="Q11" s="6"/>
      <c r="R11" s="6"/>
      <c r="S11" s="6"/>
      <c r="T11" s="6"/>
      <c r="U11" s="6"/>
      <c r="V11" s="6"/>
      <c r="W11" s="6"/>
      <c r="X11" s="6"/>
    </row>
    <row r="12" spans="1:24">
      <c r="A12" s="2">
        <v>1988</v>
      </c>
      <c r="B12" s="19">
        <f>'15c'!B12/'15c'!$B12*100</f>
        <v>100</v>
      </c>
      <c r="C12" s="21">
        <f>'15c'!C12/'15c'!$B12*100</f>
        <v>96.054888507718701</v>
      </c>
      <c r="D12" s="21">
        <f>'15c'!D12/'15c'!$B12*100</f>
        <v>83.09510196302648</v>
      </c>
      <c r="E12" s="21">
        <f>'15c'!E12/'15c'!$B12*100</f>
        <v>92.677958833619201</v>
      </c>
      <c r="F12" s="21">
        <f>'15c'!F12/'15c'!$B12*100</f>
        <v>92.826152759560074</v>
      </c>
      <c r="G12" s="21">
        <f>'15c'!G12/'15c'!$B12*100</f>
        <v>92.780290035864638</v>
      </c>
      <c r="H12" s="21">
        <f>'15c'!H12/'15c'!$B12*100</f>
        <v>95.907565059087219</v>
      </c>
      <c r="I12" s="21">
        <f>'15c'!I12/'15c'!$B12*100</f>
        <v>100.48819105422879</v>
      </c>
      <c r="J12" s="21">
        <f>'15c'!J12/'15c'!$B12*100</f>
        <v>116.54366059766785</v>
      </c>
      <c r="K12" s="21">
        <f>'15c'!K12/'15c'!$B12*100</f>
        <v>104.23734197319104</v>
      </c>
      <c r="L12" s="21">
        <f>'15c'!L12/'15c'!$B12*100</f>
        <v>96.894529141527414</v>
      </c>
      <c r="N12" s="6"/>
      <c r="O12" s="6"/>
      <c r="P12" s="6"/>
      <c r="Q12" s="6"/>
      <c r="R12" s="6"/>
      <c r="S12" s="6"/>
      <c r="T12" s="6"/>
      <c r="U12" s="6"/>
      <c r="V12" s="6"/>
      <c r="W12" s="6"/>
      <c r="X12" s="6"/>
    </row>
    <row r="13" spans="1:24">
      <c r="A13" s="2">
        <v>1989</v>
      </c>
      <c r="B13" s="19">
        <f>'15c'!B13/'15c'!$B13*100</f>
        <v>100</v>
      </c>
      <c r="C13" s="21">
        <f>'15c'!C13/'15c'!$B13*100</f>
        <v>92.400599488671432</v>
      </c>
      <c r="D13" s="21">
        <f>'15c'!D13/'15c'!$B13*100</f>
        <v>83.114043499942454</v>
      </c>
      <c r="E13" s="21">
        <f>'15c'!E13/'15c'!$B13*100</f>
        <v>93.740017919052619</v>
      </c>
      <c r="F13" s="21">
        <f>'15c'!F13/'15c'!$B13*100</f>
        <v>91.424866266817958</v>
      </c>
      <c r="G13" s="21">
        <f>'15c'!G13/'15c'!$B13*100</f>
        <v>89.242641780330217</v>
      </c>
      <c r="H13" s="21">
        <f>'15c'!H13/'15c'!$B13*100</f>
        <v>96.920578502267432</v>
      </c>
      <c r="I13" s="21">
        <f>'15c'!I13/'15c'!$B13*100</f>
        <v>100.00785175879396</v>
      </c>
      <c r="J13" s="21">
        <f>'15c'!J13/'15c'!$B13*100</f>
        <v>112.02341985155132</v>
      </c>
      <c r="K13" s="21">
        <f>'15c'!K13/'15c'!$B13*100</f>
        <v>111.99546117685199</v>
      </c>
      <c r="L13" s="21">
        <f>'15c'!L13/'15c'!$B13*100</f>
        <v>99.644206433627986</v>
      </c>
      <c r="N13" s="6"/>
      <c r="O13" s="6"/>
      <c r="P13" s="6"/>
      <c r="Q13" s="6"/>
      <c r="R13" s="6"/>
      <c r="S13" s="6"/>
      <c r="T13" s="6"/>
      <c r="U13" s="6"/>
      <c r="V13" s="6"/>
      <c r="W13" s="6"/>
      <c r="X13" s="6"/>
    </row>
    <row r="14" spans="1:24">
      <c r="A14" s="2">
        <v>1990</v>
      </c>
      <c r="B14" s="19">
        <f>'15c'!B14/'15c'!$B14*100</f>
        <v>100</v>
      </c>
      <c r="C14" s="21">
        <f>'15c'!C14/'15c'!$B14*100</f>
        <v>95.69945625308948</v>
      </c>
      <c r="D14" s="21">
        <f>'15c'!D14/'15c'!$B14*100</f>
        <v>80.457812084109662</v>
      </c>
      <c r="E14" s="21">
        <f>'15c'!E14/'15c'!$B14*100</f>
        <v>91.897577854671269</v>
      </c>
      <c r="F14" s="21">
        <f>'15c'!F14/'15c'!$B14*100</f>
        <v>90.397923875432525</v>
      </c>
      <c r="G14" s="21">
        <f>'15c'!G14/'15c'!$B14*100</f>
        <v>88.890071865850402</v>
      </c>
      <c r="H14" s="21">
        <f>'15c'!H14/'15c'!$B14*100</f>
        <v>95.886706844794787</v>
      </c>
      <c r="I14" s="21">
        <f>'15c'!I14/'15c'!$B14*100</f>
        <v>100.36928266116136</v>
      </c>
      <c r="J14" s="21">
        <f>'15c'!J14/'15c'!$B14*100</f>
        <v>117.80465243756208</v>
      </c>
      <c r="K14" s="21">
        <f>'15c'!K14/'15c'!$B14*100</f>
        <v>106.45451325504726</v>
      </c>
      <c r="L14" s="21">
        <f>'15c'!L14/'15c'!$B14*100</f>
        <v>111.42426610112734</v>
      </c>
      <c r="N14" s="6"/>
      <c r="O14" s="6"/>
      <c r="P14" s="6"/>
      <c r="Q14" s="6"/>
      <c r="R14" s="6"/>
      <c r="S14" s="6"/>
      <c r="T14" s="6"/>
      <c r="U14" s="6"/>
      <c r="V14" s="6"/>
      <c r="W14" s="6"/>
      <c r="X14" s="6"/>
    </row>
    <row r="15" spans="1:24">
      <c r="A15" s="2">
        <v>1991</v>
      </c>
      <c r="B15" s="19">
        <f>'15c'!B15/'15c'!$B15*100</f>
        <v>100</v>
      </c>
      <c r="C15" s="21">
        <f>'15c'!C15/'15c'!$B15*100</f>
        <v>96.194575391132048</v>
      </c>
      <c r="D15" s="21">
        <f>'15c'!D15/'15c'!$B15*100</f>
        <v>82.252813160450103</v>
      </c>
      <c r="E15" s="21">
        <f>'15c'!E15/'15c'!$B15*100</f>
        <v>89.384436701509884</v>
      </c>
      <c r="F15" s="21">
        <f>'15c'!F15/'15c'!$B15*100</f>
        <v>91.172026764515422</v>
      </c>
      <c r="G15" s="21">
        <f>'15c'!G15/'15c'!$B15*100</f>
        <v>91.555480014730463</v>
      </c>
      <c r="H15" s="21">
        <f>'15c'!H15/'15c'!$B15*100</f>
        <v>100.82628173220508</v>
      </c>
      <c r="I15" s="21">
        <f>'15c'!I15/'15c'!$B15*100</f>
        <v>101.03912922820757</v>
      </c>
      <c r="J15" s="21">
        <f>'15c'!J15/'15c'!$B15*100</f>
        <v>109.51116017525098</v>
      </c>
      <c r="K15" s="21">
        <f>'15c'!K15/'15c'!$B15*100</f>
        <v>106.79442508710801</v>
      </c>
      <c r="L15" s="21">
        <f>'15c'!L15/'15c'!$B15*100</f>
        <v>93.430656934306583</v>
      </c>
      <c r="N15" s="6"/>
      <c r="O15" s="6"/>
      <c r="P15" s="6"/>
      <c r="Q15" s="6"/>
      <c r="R15" s="6"/>
      <c r="S15" s="6"/>
      <c r="T15" s="6"/>
      <c r="U15" s="6"/>
      <c r="V15" s="6"/>
      <c r="W15" s="6"/>
      <c r="X15" s="6"/>
    </row>
    <row r="16" spans="1:24">
      <c r="A16" s="2">
        <v>1992</v>
      </c>
      <c r="B16" s="19">
        <f>'15c'!B16/'15c'!$B16*100</f>
        <v>100</v>
      </c>
      <c r="C16" s="21">
        <f>'15c'!C16/'15c'!$B16*100</f>
        <v>100.40344764349899</v>
      </c>
      <c r="D16" s="21">
        <f>'15c'!D16/'15c'!$B16*100</f>
        <v>76.051996783704112</v>
      </c>
      <c r="E16" s="21">
        <f>'15c'!E16/'15c'!$B16*100</f>
        <v>88.701453216622767</v>
      </c>
      <c r="F16" s="21">
        <f>'15c'!F16/'15c'!$B16*100</f>
        <v>89.155424521278178</v>
      </c>
      <c r="G16" s="21">
        <f>'15c'!G16/'15c'!$B16*100</f>
        <v>84.575804229803097</v>
      </c>
      <c r="H16" s="21">
        <f>'15c'!H16/'15c'!$B16*100</f>
        <v>102.12094815753355</v>
      </c>
      <c r="I16" s="21">
        <f>'15c'!I16/'15c'!$B16*100</f>
        <v>98.834092736531758</v>
      </c>
      <c r="J16" s="21">
        <f>'15c'!J16/'15c'!$B16*100</f>
        <v>111.16641778662684</v>
      </c>
      <c r="K16" s="21">
        <f>'15c'!K16/'15c'!$B16*100</f>
        <v>114.9447053476746</v>
      </c>
      <c r="L16" s="21">
        <f>'15c'!L16/'15c'!$B16*100</f>
        <v>102.06931404101391</v>
      </c>
      <c r="N16" s="6"/>
      <c r="O16" s="6"/>
      <c r="P16" s="6"/>
      <c r="Q16" s="6"/>
      <c r="R16" s="6"/>
      <c r="S16" s="6"/>
      <c r="T16" s="6"/>
      <c r="U16" s="6"/>
      <c r="V16" s="6"/>
      <c r="W16" s="6"/>
      <c r="X16" s="6"/>
    </row>
    <row r="17" spans="1:24">
      <c r="A17" s="2">
        <v>1993</v>
      </c>
      <c r="B17" s="19">
        <f>'15c'!B17/'15c'!$B17*100</f>
        <v>100</v>
      </c>
      <c r="C17" s="21">
        <f>'15c'!C17/'15c'!$B17*100</f>
        <v>92.96060766649002</v>
      </c>
      <c r="D17" s="21">
        <f>'15c'!D17/'15c'!$B17*100</f>
        <v>74.341258551784861</v>
      </c>
      <c r="E17" s="21">
        <f>'15c'!E17/'15c'!$B17*100</f>
        <v>95.226805753121539</v>
      </c>
      <c r="F17" s="21">
        <f>'15c'!F17/'15c'!$B17*100</f>
        <v>90.287656077129768</v>
      </c>
      <c r="G17" s="21">
        <f>'15c'!G17/'15c'!$B17*100</f>
        <v>91.03641456582632</v>
      </c>
      <c r="H17" s="21">
        <f>'15c'!H17/'15c'!$B17*100</f>
        <v>99.719284501893185</v>
      </c>
      <c r="I17" s="21">
        <f>'15c'!I17/'15c'!$B17*100</f>
        <v>96.412201675359569</v>
      </c>
      <c r="J17" s="21">
        <f>'15c'!J17/'15c'!$B17*100</f>
        <v>103.90107088220294</v>
      </c>
      <c r="K17" s="21">
        <f>'15c'!K17/'15c'!$B17*100</f>
        <v>104.14414414414412</v>
      </c>
      <c r="L17" s="21">
        <f>'15c'!L17/'15c'!$B17*100</f>
        <v>100.47156531531532</v>
      </c>
      <c r="N17" s="6"/>
      <c r="O17" s="6"/>
      <c r="P17" s="6"/>
      <c r="Q17" s="6"/>
      <c r="R17" s="6"/>
      <c r="S17" s="6"/>
      <c r="T17" s="6"/>
      <c r="U17" s="6"/>
      <c r="V17" s="6"/>
      <c r="W17" s="6"/>
      <c r="X17" s="6"/>
    </row>
    <row r="18" spans="1:24">
      <c r="A18" s="2">
        <v>1994</v>
      </c>
      <c r="B18" s="19">
        <f>'15c'!B18/'15c'!$B18*100</f>
        <v>100</v>
      </c>
      <c r="C18" s="21">
        <f>'15c'!C18/'15c'!$B18*100</f>
        <v>95.451182128889045</v>
      </c>
      <c r="D18" s="21">
        <f>'15c'!D18/'15c'!$B18*100</f>
        <v>72.69991626543856</v>
      </c>
      <c r="E18" s="21">
        <f>'15c'!E18/'15c'!$B18*100</f>
        <v>94.704871763406558</v>
      </c>
      <c r="F18" s="21">
        <f>'15c'!F18/'15c'!$B18*100</f>
        <v>92.081850533807824</v>
      </c>
      <c r="G18" s="21">
        <f>'15c'!G18/'15c'!$B18*100</f>
        <v>91.717890650274995</v>
      </c>
      <c r="H18" s="21">
        <f>'15c'!H18/'15c'!$B18*100</f>
        <v>101.21938455097342</v>
      </c>
      <c r="I18" s="21">
        <f>'15c'!I18/'15c'!$B18*100</f>
        <v>96.405693950177934</v>
      </c>
      <c r="J18" s="21">
        <f>'15c'!J18/'15c'!$B18*100</f>
        <v>100.16977374383754</v>
      </c>
      <c r="K18" s="21">
        <f>'15c'!K18/'15c'!$B18*100</f>
        <v>106.40277696750479</v>
      </c>
      <c r="L18" s="21">
        <f>'15c'!L18/'15c'!$B18*100</f>
        <v>100.7145240213523</v>
      </c>
      <c r="N18" s="6"/>
      <c r="O18" s="6"/>
      <c r="P18" s="6"/>
      <c r="Q18" s="6"/>
      <c r="R18" s="6"/>
      <c r="S18" s="6"/>
      <c r="T18" s="6"/>
      <c r="U18" s="6"/>
      <c r="V18" s="6"/>
      <c r="W18" s="6"/>
      <c r="X18" s="6"/>
    </row>
    <row r="19" spans="1:24">
      <c r="A19" s="2">
        <v>1995</v>
      </c>
      <c r="B19" s="19">
        <f>'15c'!B19/'15c'!$B19*100</f>
        <v>100</v>
      </c>
      <c r="C19" s="21">
        <f>'15c'!C19/'15c'!$B19*100</f>
        <v>95.099877406793112</v>
      </c>
      <c r="D19" s="21">
        <f>'15c'!D19/'15c'!$B19*100</f>
        <v>71.77561837455832</v>
      </c>
      <c r="E19" s="21">
        <f>'15c'!E19/'15c'!$B19*100</f>
        <v>91.195016449372503</v>
      </c>
      <c r="F19" s="21">
        <f>'15c'!F19/'15c'!$B19*100</f>
        <v>93.114315729156715</v>
      </c>
      <c r="G19" s="21">
        <f>'15c'!G19/'15c'!$B19*100</f>
        <v>92.050954657481384</v>
      </c>
      <c r="H19" s="21">
        <f>'15c'!H19/'15c'!$B19*100</f>
        <v>99.701695088851352</v>
      </c>
      <c r="I19" s="21">
        <f>'15c'!I19/'15c'!$B19*100</f>
        <v>90.252079797445816</v>
      </c>
      <c r="J19" s="21">
        <f>'15c'!J19/'15c'!$B19*100</f>
        <v>107.20779443548665</v>
      </c>
      <c r="K19" s="21">
        <f>'15c'!K19/'15c'!$B19*100</f>
        <v>104.99333835370447</v>
      </c>
      <c r="L19" s="21">
        <f>'15c'!L19/'15c'!$B19*100</f>
        <v>103.65610395531746</v>
      </c>
      <c r="N19" s="6"/>
      <c r="O19" s="6"/>
      <c r="P19" s="6"/>
      <c r="Q19" s="6"/>
      <c r="R19" s="6"/>
      <c r="S19" s="6"/>
      <c r="T19" s="6"/>
      <c r="U19" s="6"/>
      <c r="V19" s="6"/>
      <c r="W19" s="6"/>
      <c r="X19" s="6"/>
    </row>
    <row r="20" spans="1:24">
      <c r="A20" s="2">
        <v>1996</v>
      </c>
      <c r="B20" s="19">
        <f>'15c'!B20/'15c'!$B20*100</f>
        <v>100</v>
      </c>
      <c r="C20" s="21">
        <f>'15c'!C20/'15c'!$B20*100</f>
        <v>89.283737024221466</v>
      </c>
      <c r="D20" s="21">
        <f>'15c'!D20/'15c'!$B20*100</f>
        <v>73.215830449826996</v>
      </c>
      <c r="E20" s="21">
        <f>'15c'!E20/'15c'!$B20*100</f>
        <v>91.012983714802715</v>
      </c>
      <c r="F20" s="21">
        <f>'15c'!F20/'15c'!$B20*100</f>
        <v>87.158453645149748</v>
      </c>
      <c r="G20" s="21">
        <f>'15c'!G20/'15c'!$B20*100</f>
        <v>90.057670126874285</v>
      </c>
      <c r="H20" s="21">
        <f>'15c'!H20/'15c'!$B20*100</f>
        <v>104.87673010380622</v>
      </c>
      <c r="I20" s="21">
        <f>'15c'!I20/'15c'!$B20*100</f>
        <v>91.58407131546538</v>
      </c>
      <c r="J20" s="21">
        <f>'15c'!J20/'15c'!$B20*100</f>
        <v>94.790814721610587</v>
      </c>
      <c r="K20" s="21">
        <f>'15c'!K20/'15c'!$B20*100</f>
        <v>101.28083491461102</v>
      </c>
      <c r="L20" s="21">
        <f>'15c'!L20/'15c'!$B20*100</f>
        <v>103.09416912122167</v>
      </c>
      <c r="N20" s="6"/>
      <c r="O20" s="6"/>
      <c r="P20" s="6"/>
      <c r="Q20" s="6"/>
      <c r="R20" s="6"/>
      <c r="S20" s="6"/>
      <c r="T20" s="6"/>
      <c r="U20" s="6"/>
      <c r="V20" s="6"/>
      <c r="W20" s="6"/>
      <c r="X20" s="6"/>
    </row>
    <row r="21" spans="1:24">
      <c r="A21" s="2">
        <v>1997</v>
      </c>
      <c r="B21" s="19">
        <f>'15c'!B21/'15c'!$B21*100</f>
        <v>100</v>
      </c>
      <c r="C21" s="21">
        <f>'15c'!C21/'15c'!$B21*100</f>
        <v>82.312925170068027</v>
      </c>
      <c r="D21" s="21">
        <f>'15c'!D21/'15c'!$B21*100</f>
        <v>70.599162742019885</v>
      </c>
      <c r="E21" s="21">
        <f>'15c'!E21/'15c'!$B21*100</f>
        <v>91.479591836734699</v>
      </c>
      <c r="F21" s="21">
        <f>'15c'!F21/'15c'!$B21*100</f>
        <v>85.742630385487544</v>
      </c>
      <c r="G21" s="21">
        <f>'15c'!G21/'15c'!$B21*100</f>
        <v>93.603636144723396</v>
      </c>
      <c r="H21" s="21">
        <f>'15c'!H21/'15c'!$B21*100</f>
        <v>100.99162742019887</v>
      </c>
      <c r="I21" s="21">
        <f>'15c'!I21/'15c'!$B21*100</f>
        <v>87.628968253968267</v>
      </c>
      <c r="J21" s="21">
        <f>'15c'!J21/'15c'!$B21*100</f>
        <v>87.589394732251876</v>
      </c>
      <c r="K21" s="21">
        <f>'15c'!K21/'15c'!$B21*100</f>
        <v>102.57698499247027</v>
      </c>
      <c r="L21" s="21">
        <f>'15c'!L21/'15c'!$B21*100</f>
        <v>103.75578802949752</v>
      </c>
      <c r="N21" s="6"/>
      <c r="O21" s="6"/>
      <c r="P21" s="6"/>
      <c r="Q21" s="6"/>
      <c r="R21" s="6"/>
      <c r="S21" s="6"/>
      <c r="T21" s="6"/>
      <c r="U21" s="6"/>
      <c r="V21" s="6"/>
      <c r="W21" s="6"/>
      <c r="X21" s="6"/>
    </row>
    <row r="22" spans="1:24">
      <c r="A22" s="2">
        <v>1998</v>
      </c>
      <c r="B22" s="19">
        <f>'15c'!B22/'15c'!$B22*100</f>
        <v>100</v>
      </c>
      <c r="C22" s="21">
        <f>'15c'!C22/'15c'!$B22*100</f>
        <v>89.009208987011434</v>
      </c>
      <c r="D22" s="21">
        <f>'15c'!D22/'15c'!$B22*100</f>
        <v>73.004769475357705</v>
      </c>
      <c r="E22" s="21">
        <f>'15c'!E22/'15c'!$B22*100</f>
        <v>96.299645571097258</v>
      </c>
      <c r="F22" s="21">
        <f>'15c'!F22/'15c'!$B22*100</f>
        <v>85.590403237462056</v>
      </c>
      <c r="G22" s="21">
        <f>'15c'!G22/'15c'!$B22*100</f>
        <v>88.107332583659698</v>
      </c>
      <c r="H22" s="21">
        <f>'15c'!H22/'15c'!$B22*100</f>
        <v>102.82988871224165</v>
      </c>
      <c r="I22" s="21">
        <f>'15c'!I22/'15c'!$B22*100</f>
        <v>89.742448330683629</v>
      </c>
      <c r="J22" s="21">
        <f>'15c'!J22/'15c'!$B22*100</f>
        <v>86.859183194766615</v>
      </c>
      <c r="K22" s="21">
        <f>'15c'!K22/'15c'!$B22*100</f>
        <v>112.40063593004767</v>
      </c>
      <c r="L22" s="21">
        <f>'15c'!L22/'15c'!$B22*100</f>
        <v>97.915421303656586</v>
      </c>
      <c r="N22" s="6"/>
      <c r="O22" s="6"/>
      <c r="P22" s="6"/>
      <c r="Q22" s="6"/>
      <c r="R22" s="6"/>
      <c r="S22" s="6"/>
      <c r="T22" s="6"/>
      <c r="U22" s="6"/>
      <c r="V22" s="6"/>
      <c r="W22" s="6"/>
      <c r="X22" s="6"/>
    </row>
    <row r="23" spans="1:24">
      <c r="A23" s="2">
        <v>1999</v>
      </c>
      <c r="B23" s="19">
        <f>'15c'!B23/'15c'!$B23*100</f>
        <v>100</v>
      </c>
      <c r="C23" s="21">
        <f>'15c'!C23/'15c'!$B23*100</f>
        <v>97.125055629728536</v>
      </c>
      <c r="D23" s="21">
        <f>'15c'!D23/'15c'!$B23*100</f>
        <v>83.367406542056074</v>
      </c>
      <c r="E23" s="21">
        <f>'15c'!E23/'15c'!$B23*100</f>
        <v>91.079014443500441</v>
      </c>
      <c r="F23" s="21">
        <f>'15c'!F23/'15c'!$B23*100</f>
        <v>85.861682242990668</v>
      </c>
      <c r="G23" s="21">
        <f>'15c'!G23/'15c'!$B23*100</f>
        <v>85.33483240812312</v>
      </c>
      <c r="H23" s="21">
        <f>'15c'!H23/'15c'!$B23*100</f>
        <v>104.54126628932474</v>
      </c>
      <c r="I23" s="21">
        <f>'15c'!I23/'15c'!$B23*100</f>
        <v>94.440044352922541</v>
      </c>
      <c r="J23" s="21">
        <f>'15c'!J23/'15c'!$B23*100</f>
        <v>84.474389625443763</v>
      </c>
      <c r="K23" s="21">
        <f>'15c'!K23/'15c'!$B23*100</f>
        <v>96.722390417269978</v>
      </c>
      <c r="L23" s="21">
        <f>'15c'!L23/'15c'!$B23*100</f>
        <v>109.1846600064454</v>
      </c>
      <c r="N23" s="6"/>
      <c r="O23" s="6"/>
      <c r="P23" s="6"/>
      <c r="Q23" s="6"/>
      <c r="R23" s="6"/>
      <c r="S23" s="6"/>
      <c r="T23" s="6"/>
      <c r="U23" s="6"/>
      <c r="V23" s="6"/>
      <c r="W23" s="6"/>
      <c r="X23" s="6"/>
    </row>
    <row r="24" spans="1:24">
      <c r="A24" s="2">
        <v>2000</v>
      </c>
      <c r="B24" s="19">
        <f>'15c'!B24/'15c'!$B24*100</f>
        <v>100</v>
      </c>
      <c r="C24" s="21">
        <f>'15c'!C24/'15c'!$B24*100</f>
        <v>92.459893048128336</v>
      </c>
      <c r="D24" s="21">
        <f>'15c'!D24/'15c'!$B24*100</f>
        <v>81.444163602941174</v>
      </c>
      <c r="E24" s="21">
        <f>'15c'!E24/'15c'!$B24*100</f>
        <v>86.271089831281344</v>
      </c>
      <c r="F24" s="21">
        <f>'15c'!F24/'15c'!$B24*100</f>
        <v>83.460933991917358</v>
      </c>
      <c r="G24" s="21">
        <f>'15c'!G24/'15c'!$B24*100</f>
        <v>85.882352941176478</v>
      </c>
      <c r="H24" s="21">
        <f>'15c'!H24/'15c'!$B24*100</f>
        <v>101.73213580734308</v>
      </c>
      <c r="I24" s="21">
        <f>'15c'!I24/'15c'!$B24*100</f>
        <v>88.495660559305676</v>
      </c>
      <c r="J24" s="21">
        <f>'15c'!J24/'15c'!$B24*100</f>
        <v>88.571257771401235</v>
      </c>
      <c r="K24" s="21">
        <f>'15c'!K24/'15c'!$B24*100</f>
        <v>97.254563894523329</v>
      </c>
      <c r="L24" s="21">
        <f>'15c'!L24/'15c'!$B24*100</f>
        <v>125.33613445378148</v>
      </c>
      <c r="N24" s="6"/>
      <c r="O24" s="6"/>
      <c r="P24" s="6"/>
      <c r="Q24" s="6"/>
      <c r="R24" s="6"/>
      <c r="S24" s="6"/>
      <c r="T24" s="6"/>
      <c r="U24" s="6"/>
      <c r="V24" s="6"/>
      <c r="W24" s="6"/>
      <c r="X24" s="6"/>
    </row>
    <row r="25" spans="1:24">
      <c r="A25" s="2">
        <v>2001</v>
      </c>
      <c r="B25" s="19">
        <f>'15c'!B25/'15c'!$B25*100</f>
        <v>100</v>
      </c>
      <c r="C25" s="21">
        <f>'15c'!C25/'15c'!$B25*100</f>
        <v>87.245762711864401</v>
      </c>
      <c r="D25" s="21">
        <f>'15c'!D25/'15c'!$B25*100</f>
        <v>80.678390892485467</v>
      </c>
      <c r="E25" s="21">
        <f>'15c'!E25/'15c'!$B25*100</f>
        <v>91.096303963427786</v>
      </c>
      <c r="F25" s="21">
        <f>'15c'!F25/'15c'!$B25*100</f>
        <v>84.385854781335013</v>
      </c>
      <c r="G25" s="21">
        <f>'15c'!G25/'15c'!$B25*100</f>
        <v>88.535108958837782</v>
      </c>
      <c r="H25" s="21">
        <f>'15c'!H25/'15c'!$B25*100</f>
        <v>101.57645343539275</v>
      </c>
      <c r="I25" s="21">
        <f>'15c'!I25/'15c'!$B25*100</f>
        <v>89.494521486046921</v>
      </c>
      <c r="J25" s="21">
        <f>'15c'!J25/'15c'!$B25*100</f>
        <v>91.708716090913029</v>
      </c>
      <c r="K25" s="21">
        <f>'15c'!K25/'15c'!$B25*100</f>
        <v>101.8658935474279</v>
      </c>
      <c r="L25" s="21">
        <f>'15c'!L25/'15c'!$B25*100</f>
        <v>114.15489642184558</v>
      </c>
      <c r="N25" s="6"/>
      <c r="O25" s="6"/>
      <c r="P25" s="6"/>
      <c r="Q25" s="6"/>
      <c r="R25" s="6"/>
      <c r="S25" s="6"/>
      <c r="T25" s="6"/>
      <c r="U25" s="6"/>
      <c r="V25" s="6"/>
      <c r="W25" s="6"/>
      <c r="X25" s="6"/>
    </row>
    <row r="26" spans="1:24">
      <c r="A26" s="2">
        <v>2002</v>
      </c>
      <c r="B26" s="19">
        <f>'15c'!B26/'15c'!$B26*100</f>
        <v>100</v>
      </c>
      <c r="C26" s="21">
        <f>'15c'!C26/'15c'!$B26*100</f>
        <v>90.522262105688554</v>
      </c>
      <c r="D26" s="21">
        <f>'15c'!D26/'15c'!$B26*100</f>
        <v>79.50931394820536</v>
      </c>
      <c r="E26" s="21">
        <f>'15c'!E26/'15c'!$B26*100</f>
        <v>92.28611500701264</v>
      </c>
      <c r="F26" s="21">
        <f>'15c'!F26/'15c'!$B26*100</f>
        <v>84.640231204046074</v>
      </c>
      <c r="G26" s="21">
        <f>'15c'!G26/'15c'!$B26*100</f>
        <v>87.732386380591436</v>
      </c>
      <c r="H26" s="21">
        <f>'15c'!H26/'15c'!$B26*100</f>
        <v>100.77742585660812</v>
      </c>
      <c r="I26" s="21">
        <f>'15c'!I26/'15c'!$B26*100</f>
        <v>95.350418632326083</v>
      </c>
      <c r="J26" s="21">
        <f>'15c'!J26/'15c'!$B26*100</f>
        <v>89.483207177499665</v>
      </c>
      <c r="K26" s="21">
        <f>'15c'!K26/'15c'!$B26*100</f>
        <v>90.396676281457573</v>
      </c>
      <c r="L26" s="21">
        <f>'15c'!L26/'15c'!$B26*100</f>
        <v>127.62973352033661</v>
      </c>
      <c r="N26" s="6"/>
      <c r="O26" s="6"/>
      <c r="P26" s="6"/>
      <c r="Q26" s="6"/>
      <c r="R26" s="6"/>
      <c r="S26" s="6"/>
      <c r="T26" s="6"/>
      <c r="U26" s="6"/>
      <c r="V26" s="6"/>
      <c r="W26" s="6"/>
      <c r="X26" s="6"/>
    </row>
    <row r="27" spans="1:24">
      <c r="A27" s="2">
        <v>2003</v>
      </c>
      <c r="B27" s="19">
        <f>'15c'!B27/'15c'!$B27*100</f>
        <v>100</v>
      </c>
      <c r="C27" s="21">
        <f>'15c'!C27/'15c'!$B27*100</f>
        <v>89.471639471639463</v>
      </c>
      <c r="D27" s="21">
        <f>'15c'!D27/'15c'!$B27*100</f>
        <v>72.173789173789174</v>
      </c>
      <c r="E27" s="21">
        <f>'15c'!E27/'15c'!$B27*100</f>
        <v>90.703432370099037</v>
      </c>
      <c r="F27" s="21">
        <f>'15c'!F27/'15c'!$B27*100</f>
        <v>91.326121794871781</v>
      </c>
      <c r="G27" s="21">
        <f>'15c'!G27/'15c'!$B27*100</f>
        <v>85.819735819735811</v>
      </c>
      <c r="H27" s="21">
        <f>'15c'!H27/'15c'!$B27*100</f>
        <v>102.55561215826114</v>
      </c>
      <c r="I27" s="21">
        <f>'15c'!I27/'15c'!$B27*100</f>
        <v>93.474687705456944</v>
      </c>
      <c r="J27" s="21">
        <f>'15c'!J27/'15c'!$B27*100</f>
        <v>93.834409864944206</v>
      </c>
      <c r="K27" s="21">
        <f>'15c'!K27/'15c'!$B27*100</f>
        <v>98.872346291701135</v>
      </c>
      <c r="L27" s="21">
        <f>'15c'!L27/'15c'!$B27*100</f>
        <v>114.20498693225964</v>
      </c>
      <c r="N27" s="6"/>
      <c r="O27" s="6"/>
      <c r="P27" s="6"/>
      <c r="Q27" s="6"/>
      <c r="R27" s="6"/>
      <c r="S27" s="6"/>
      <c r="T27" s="6"/>
      <c r="U27" s="6"/>
      <c r="V27" s="6"/>
      <c r="W27" s="6"/>
      <c r="X27" s="6"/>
    </row>
    <row r="28" spans="1:24">
      <c r="A28" s="2">
        <v>2004</v>
      </c>
      <c r="B28" s="19">
        <f>'15c'!B28/'15c'!$B28*100</f>
        <v>100</v>
      </c>
      <c r="C28" s="21">
        <f>'15c'!C28/'15c'!$B28*100</f>
        <v>87.900136798905621</v>
      </c>
      <c r="D28" s="21">
        <f>'15c'!D28/'15c'!$B28*100</f>
        <v>73.20881841108536</v>
      </c>
      <c r="E28" s="21">
        <f>'15c'!E28/'15c'!$B28*100</f>
        <v>82.522691643284375</v>
      </c>
      <c r="F28" s="21">
        <f>'15c'!F28/'15c'!$B28*100</f>
        <v>87.708825602122459</v>
      </c>
      <c r="G28" s="21">
        <f>'15c'!G28/'15c'!$B28*100</f>
        <v>83.011399908800726</v>
      </c>
      <c r="H28" s="21">
        <f>'15c'!H28/'15c'!$B28*100</f>
        <v>105.52741524013753</v>
      </c>
      <c r="I28" s="21">
        <f>'15c'!I28/'15c'!$B28*100</f>
        <v>87.692007035372285</v>
      </c>
      <c r="J28" s="21">
        <f>'15c'!J28/'15c'!$B28*100</f>
        <v>94.243758549931599</v>
      </c>
      <c r="K28" s="21">
        <f>'15c'!K28/'15c'!$B28*100</f>
        <v>98.255152023299928</v>
      </c>
      <c r="L28" s="21">
        <f>'15c'!L28/'15c'!$B28*100</f>
        <v>117.20562369954821</v>
      </c>
      <c r="N28" s="6"/>
      <c r="O28" s="6"/>
      <c r="P28" s="6"/>
      <c r="Q28" s="6"/>
      <c r="R28" s="6"/>
      <c r="S28" s="6"/>
      <c r="T28" s="6"/>
      <c r="U28" s="6"/>
      <c r="V28" s="6"/>
      <c r="W28" s="6"/>
      <c r="X28" s="6"/>
    </row>
    <row r="29" spans="1:24">
      <c r="A29" s="2">
        <v>2005</v>
      </c>
      <c r="B29" s="19">
        <f>'15c'!B29/'15c'!$B29*100</f>
        <v>100</v>
      </c>
      <c r="C29" s="21">
        <f>'15c'!C29/'15c'!$B29*100</f>
        <v>89.706951094391243</v>
      </c>
      <c r="D29" s="21">
        <f>'15c'!D29/'15c'!$B29*100</f>
        <v>69.820971867007671</v>
      </c>
      <c r="E29" s="21">
        <f>'15c'!E29/'15c'!$B29*100</f>
        <v>83.946786143831659</v>
      </c>
      <c r="F29" s="21">
        <f>'15c'!F29/'15c'!$B29*100</f>
        <v>85.760843325018115</v>
      </c>
      <c r="G29" s="21">
        <f>'15c'!G29/'15c'!$B29*100</f>
        <v>85.971226324149129</v>
      </c>
      <c r="H29" s="21">
        <f>'15c'!H29/'15c'!$B29*100</f>
        <v>105.23939808481532</v>
      </c>
      <c r="I29" s="21">
        <f>'15c'!I29/'15c'!$B29*100</f>
        <v>92.300878859156171</v>
      </c>
      <c r="J29" s="21">
        <f>'15c'!J29/'15c'!$B29*100</f>
        <v>111.26124105761252</v>
      </c>
      <c r="K29" s="21">
        <f>'15c'!K29/'15c'!$B29*100</f>
        <v>95.906555824476484</v>
      </c>
      <c r="L29" s="21">
        <f>'15c'!L29/'15c'!$B29*100</f>
        <v>110.01046109278185</v>
      </c>
      <c r="N29" s="6"/>
      <c r="O29" s="6"/>
      <c r="P29" s="6"/>
      <c r="Q29" s="6"/>
      <c r="R29" s="6"/>
      <c r="S29" s="6"/>
      <c r="T29" s="6"/>
      <c r="U29" s="6"/>
      <c r="V29" s="6"/>
      <c r="W29" s="6"/>
      <c r="X29" s="6"/>
    </row>
    <row r="30" spans="1:24">
      <c r="A30" s="2">
        <v>2006</v>
      </c>
      <c r="B30" s="19">
        <f>'15c'!B30/'15c'!$B30*100</f>
        <v>100</v>
      </c>
      <c r="C30" s="21">
        <f>'15c'!C30/'15c'!$B30*100</f>
        <v>88.250038267258532</v>
      </c>
      <c r="D30" s="21">
        <f>'15c'!D30/'15c'!$B30*100</f>
        <v>74.077357499343321</v>
      </c>
      <c r="E30" s="21">
        <f>'15c'!E30/'15c'!$B30*100</f>
        <v>84.953671928620452</v>
      </c>
      <c r="F30" s="21">
        <f>'15c'!F30/'15c'!$B30*100</f>
        <v>89.986799192421188</v>
      </c>
      <c r="G30" s="21">
        <f>'15c'!G30/'15c'!$B30*100</f>
        <v>84.654085919501298</v>
      </c>
      <c r="H30" s="21">
        <f>'15c'!H30/'15c'!$B30*100</f>
        <v>104.49399890889252</v>
      </c>
      <c r="I30" s="21">
        <f>'15c'!I30/'15c'!$B30*100</f>
        <v>96.480746179202882</v>
      </c>
      <c r="J30" s="21">
        <f>'15c'!J30/'15c'!$B30*100</f>
        <v>111.35305851063831</v>
      </c>
      <c r="K30" s="21">
        <f>'15c'!K30/'15c'!$B30*100</f>
        <v>97.989590482727067</v>
      </c>
      <c r="L30" s="21">
        <f>'15c'!L30/'15c'!$B30*100</f>
        <v>109.9073932343487</v>
      </c>
      <c r="N30" s="6"/>
      <c r="O30" s="6"/>
      <c r="P30" s="6"/>
      <c r="Q30" s="6"/>
      <c r="R30" s="6"/>
      <c r="S30" s="6"/>
      <c r="T30" s="6"/>
      <c r="U30" s="6"/>
      <c r="V30" s="6"/>
      <c r="W30" s="6"/>
      <c r="X30" s="6"/>
    </row>
    <row r="31" spans="1:24" s="972" customFormat="1">
      <c r="A31" s="2">
        <v>2007</v>
      </c>
      <c r="B31" s="19">
        <f>'15c'!B31/'15c'!$B31*100</f>
        <v>100</v>
      </c>
      <c r="C31" s="21">
        <f>'15c'!C31/'15c'!$B31*100</f>
        <v>86.497326203208559</v>
      </c>
      <c r="D31" s="21">
        <f>'15c'!D31/'15c'!$B31*100</f>
        <v>70.31303749570003</v>
      </c>
      <c r="E31" s="21">
        <f>'15c'!E31/'15c'!$B31*100</f>
        <v>89.764705882352956</v>
      </c>
      <c r="F31" s="21">
        <f>'15c'!F31/'15c'!$B31*100</f>
        <v>91.176470588235304</v>
      </c>
      <c r="G31" s="21">
        <f>'15c'!G31/'15c'!$B31*100</f>
        <v>86.237513873473944</v>
      </c>
      <c r="H31" s="21">
        <f>'15c'!H31/'15c'!$B31*100</f>
        <v>102.19251336898397</v>
      </c>
      <c r="I31" s="21">
        <f>'15c'!I31/'15c'!$B31*100</f>
        <v>98.686274509803923</v>
      </c>
      <c r="J31" s="21">
        <f>'15c'!J31/'15c'!$B31*100</f>
        <v>108.5294117647059</v>
      </c>
      <c r="K31" s="21">
        <f>'15c'!K31/'15c'!$B31*100</f>
        <v>102.61609907120743</v>
      </c>
      <c r="L31" s="21">
        <f>'15c'!L31/'15c'!$B31*100</f>
        <v>103.72798801049083</v>
      </c>
      <c r="N31" s="6"/>
      <c r="O31" s="6"/>
      <c r="P31" s="6"/>
      <c r="Q31" s="6"/>
      <c r="R31" s="6"/>
      <c r="S31" s="6"/>
      <c r="T31" s="6"/>
      <c r="U31" s="6"/>
      <c r="V31" s="6"/>
      <c r="W31" s="6"/>
      <c r="X31" s="6"/>
    </row>
    <row r="32" spans="1:24" s="114" customFormat="1">
      <c r="A32" s="1009"/>
      <c r="B32" s="991"/>
      <c r="C32" s="991"/>
      <c r="D32" s="985" t="s">
        <v>655</v>
      </c>
      <c r="E32" s="991"/>
      <c r="F32" s="991"/>
      <c r="G32" s="991"/>
      <c r="H32" s="991"/>
      <c r="I32" s="991"/>
      <c r="J32" s="991"/>
      <c r="K32" s="991"/>
      <c r="L32" s="991"/>
    </row>
    <row r="33" spans="1:36" s="114" customFormat="1">
      <c r="A33" s="1009" t="s">
        <v>603</v>
      </c>
      <c r="B33" s="992">
        <f>B13-B5</f>
        <v>0</v>
      </c>
      <c r="C33" s="992">
        <f t="shared" ref="C33:L33" si="0">C13-C5</f>
        <v>-10.078014242409949</v>
      </c>
      <c r="D33" s="992">
        <f t="shared" si="0"/>
        <v>-10.721199271470539</v>
      </c>
      <c r="E33" s="992">
        <f t="shared" si="0"/>
        <v>2.5581940315235983</v>
      </c>
      <c r="F33" s="992">
        <f t="shared" si="0"/>
        <v>-14.639687214148879</v>
      </c>
      <c r="G33" s="992">
        <f t="shared" si="0"/>
        <v>-6.9768060832182357</v>
      </c>
      <c r="H33" s="992">
        <f t="shared" si="0"/>
        <v>5.3469039498694713</v>
      </c>
      <c r="I33" s="992">
        <f t="shared" si="0"/>
        <v>-10.60488864118048</v>
      </c>
      <c r="J33" s="992">
        <f t="shared" si="0"/>
        <v>-11.237690175125749</v>
      </c>
      <c r="K33" s="992">
        <f t="shared" si="0"/>
        <v>11.53422029007919</v>
      </c>
      <c r="L33" s="992">
        <f t="shared" si="0"/>
        <v>-5.184219859087591E-2</v>
      </c>
    </row>
    <row r="34" spans="1:36" s="114" customFormat="1">
      <c r="A34" s="1009" t="s">
        <v>604</v>
      </c>
      <c r="B34" s="992">
        <f>B24-B13</f>
        <v>0</v>
      </c>
      <c r="C34" s="992">
        <f t="shared" ref="C34:L34" si="1">C24-C13</f>
        <v>5.9293559456904177E-2</v>
      </c>
      <c r="D34" s="992">
        <f t="shared" si="1"/>
        <v>-1.6698798970012803</v>
      </c>
      <c r="E34" s="992">
        <f t="shared" si="1"/>
        <v>-7.4689280877712747</v>
      </c>
      <c r="F34" s="992">
        <f t="shared" si="1"/>
        <v>-7.9639322749005999</v>
      </c>
      <c r="G34" s="992">
        <f t="shared" si="1"/>
        <v>-3.3602888391537391</v>
      </c>
      <c r="H34" s="992">
        <f t="shared" si="1"/>
        <v>4.8115573050756524</v>
      </c>
      <c r="I34" s="992">
        <f t="shared" si="1"/>
        <v>-11.512191199488285</v>
      </c>
      <c r="J34" s="992">
        <f t="shared" si="1"/>
        <v>-23.452162080150089</v>
      </c>
      <c r="K34" s="992">
        <f t="shared" si="1"/>
        <v>-14.74089728232866</v>
      </c>
      <c r="L34" s="992">
        <f t="shared" si="1"/>
        <v>25.691928020153497</v>
      </c>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row>
    <row r="35" spans="1:36" s="114" customFormat="1">
      <c r="A35" s="1009" t="s">
        <v>447</v>
      </c>
      <c r="B35" s="993">
        <f>B31-B5</f>
        <v>0</v>
      </c>
      <c r="C35" s="993">
        <f t="shared" ref="C35:L35" si="2">C31-C5</f>
        <v>-15.981287527872823</v>
      </c>
      <c r="D35" s="993">
        <f t="shared" si="2"/>
        <v>-23.522205275712963</v>
      </c>
      <c r="E35" s="993">
        <f t="shared" si="2"/>
        <v>-1.4171180051760643</v>
      </c>
      <c r="F35" s="993">
        <f t="shared" si="2"/>
        <v>-14.888082892731532</v>
      </c>
      <c r="G35" s="993">
        <f t="shared" si="2"/>
        <v>-9.9819339900745092</v>
      </c>
      <c r="H35" s="993">
        <f t="shared" si="2"/>
        <v>10.618838816586006</v>
      </c>
      <c r="I35" s="993">
        <f t="shared" si="2"/>
        <v>-11.926465890170519</v>
      </c>
      <c r="J35" s="993">
        <f t="shared" si="2"/>
        <v>-14.731698261971175</v>
      </c>
      <c r="K35" s="993">
        <f t="shared" si="2"/>
        <v>2.1548581844346302</v>
      </c>
      <c r="L35" s="993">
        <f t="shared" si="2"/>
        <v>4.0319393782719715</v>
      </c>
    </row>
    <row r="36" spans="1:36" s="114" customFormat="1">
      <c r="A36" s="1009" t="s">
        <v>449</v>
      </c>
      <c r="B36" s="992">
        <f>B31-B24</f>
        <v>0</v>
      </c>
      <c r="C36" s="992">
        <f t="shared" ref="C36:L36" si="3">C31-C24</f>
        <v>-5.9625668449197775</v>
      </c>
      <c r="D36" s="992">
        <f t="shared" si="3"/>
        <v>-11.131126107241144</v>
      </c>
      <c r="E36" s="992">
        <f t="shared" si="3"/>
        <v>3.4936160510716121</v>
      </c>
      <c r="F36" s="992">
        <f t="shared" si="3"/>
        <v>7.7155365963179463</v>
      </c>
      <c r="G36" s="992">
        <f t="shared" si="3"/>
        <v>0.35516093229746559</v>
      </c>
      <c r="H36" s="992">
        <f t="shared" si="3"/>
        <v>0.4603775616408825</v>
      </c>
      <c r="I36" s="992">
        <f t="shared" si="3"/>
        <v>10.190613950498246</v>
      </c>
      <c r="J36" s="992">
        <f t="shared" si="3"/>
        <v>19.958153993304663</v>
      </c>
      <c r="K36" s="992">
        <f t="shared" si="3"/>
        <v>5.3615351766841002</v>
      </c>
      <c r="L36" s="992">
        <f t="shared" si="3"/>
        <v>-21.60814644329065</v>
      </c>
    </row>
    <row r="37" spans="1:36" s="114" customFormat="1">
      <c r="A37" s="1009"/>
      <c r="B37" s="991"/>
      <c r="C37" s="991"/>
      <c r="D37" s="985" t="s">
        <v>276</v>
      </c>
      <c r="E37" s="991"/>
      <c r="F37" s="991"/>
      <c r="G37" s="991"/>
      <c r="H37" s="991"/>
      <c r="I37" s="991"/>
      <c r="J37" s="991"/>
      <c r="K37" s="991"/>
      <c r="L37" s="991"/>
    </row>
    <row r="38" spans="1:36" s="114" customFormat="1">
      <c r="A38" s="1009" t="s">
        <v>447</v>
      </c>
      <c r="B38" s="992">
        <f>(B31/B5-1)*100</f>
        <v>0</v>
      </c>
      <c r="C38" s="992">
        <f t="shared" ref="C38:L38" si="4">(C31/C5-1)*100</f>
        <v>-15.594753818401585</v>
      </c>
      <c r="D38" s="992">
        <f t="shared" si="4"/>
        <v>-25.067559459524336</v>
      </c>
      <c r="E38" s="992">
        <f t="shared" si="4"/>
        <v>-1.5541672065301659</v>
      </c>
      <c r="F38" s="992">
        <f t="shared" si="4"/>
        <v>-14.036812869252479</v>
      </c>
      <c r="G38" s="992">
        <f t="shared" si="4"/>
        <v>-10.374133516365813</v>
      </c>
      <c r="H38" s="992">
        <f t="shared" si="4"/>
        <v>11.595951422163321</v>
      </c>
      <c r="I38" s="992">
        <f t="shared" si="4"/>
        <v>-10.782181010111991</v>
      </c>
      <c r="J38" s="992">
        <f t="shared" si="4"/>
        <v>-11.951619013314774</v>
      </c>
      <c r="K38" s="992">
        <f t="shared" si="4"/>
        <v>2.14496473009258</v>
      </c>
      <c r="L38" s="992">
        <f t="shared" si="4"/>
        <v>4.0442318763764584</v>
      </c>
    </row>
    <row r="39" spans="1:36">
      <c r="A39" s="4"/>
      <c r="B39" s="4"/>
    </row>
    <row r="40" spans="1:36">
      <c r="A40" s="9" t="s">
        <v>208</v>
      </c>
    </row>
    <row r="41" spans="1:36" ht="15.75" customHeight="1">
      <c r="A41" s="1168" t="s">
        <v>1161</v>
      </c>
      <c r="B41" s="1169"/>
      <c r="C41" s="1169"/>
      <c r="D41" s="1169"/>
      <c r="E41" s="1169"/>
      <c r="F41" s="1169"/>
      <c r="G41" s="1169"/>
      <c r="H41" s="1169"/>
      <c r="I41" s="1169"/>
      <c r="J41" s="1169"/>
      <c r="K41" s="1169"/>
      <c r="L41" s="1169"/>
    </row>
    <row r="42" spans="1:36" ht="23.25" customHeight="1">
      <c r="A42" s="1168" t="s">
        <v>539</v>
      </c>
      <c r="B42" s="1169"/>
      <c r="C42" s="1169"/>
      <c r="D42" s="1169"/>
      <c r="E42" s="1169"/>
      <c r="F42" s="1169"/>
      <c r="G42" s="1169"/>
      <c r="H42" s="1169"/>
      <c r="I42" s="1169"/>
      <c r="J42" s="1169"/>
      <c r="K42" s="1169"/>
      <c r="L42" s="1169"/>
    </row>
    <row r="43" spans="1:36" ht="41.25" customHeight="1">
      <c r="A43" s="1168" t="s">
        <v>1214</v>
      </c>
      <c r="B43" s="1169"/>
      <c r="C43" s="1169"/>
      <c r="D43" s="1169"/>
      <c r="E43" s="1169"/>
      <c r="F43" s="1169"/>
      <c r="G43" s="1169"/>
      <c r="H43" s="1169"/>
      <c r="I43" s="1169"/>
      <c r="J43" s="1169"/>
      <c r="K43" s="1169"/>
      <c r="L43" s="1169"/>
    </row>
    <row r="44" spans="1:36">
      <c r="A44" s="1"/>
      <c r="B44" s="4"/>
    </row>
    <row r="45" spans="1:36">
      <c r="A45" s="4"/>
      <c r="B45" s="4"/>
      <c r="C45" s="4"/>
      <c r="D45" s="4"/>
      <c r="E45" s="4"/>
      <c r="F45" s="4"/>
      <c r="G45" s="4"/>
      <c r="H45" s="4"/>
      <c r="I45" s="4"/>
      <c r="J45" s="4"/>
      <c r="K45" s="4"/>
      <c r="L45" s="4"/>
      <c r="M45" s="4"/>
      <c r="N45" s="4"/>
    </row>
    <row r="46" spans="1:36">
      <c r="A46" s="4"/>
      <c r="B46" s="4"/>
      <c r="C46" s="4"/>
      <c r="D46" s="4"/>
      <c r="E46" s="4"/>
      <c r="F46" s="4"/>
      <c r="G46" s="4"/>
      <c r="H46" s="4"/>
      <c r="I46" s="4"/>
      <c r="J46" s="4"/>
      <c r="K46" s="4"/>
      <c r="L46" s="4"/>
      <c r="M46" s="4"/>
      <c r="N46" s="4"/>
    </row>
    <row r="47" spans="1:36" ht="15.75">
      <c r="A47" s="4"/>
      <c r="B47" s="28"/>
      <c r="C47" s="4"/>
      <c r="D47" s="4"/>
      <c r="E47" s="4"/>
      <c r="F47" s="4"/>
      <c r="G47" s="4"/>
      <c r="H47" s="4"/>
      <c r="I47" s="4"/>
      <c r="J47" s="4"/>
      <c r="K47" s="4"/>
      <c r="L47" s="4"/>
      <c r="M47" s="4"/>
      <c r="N47" s="4"/>
    </row>
    <row r="48" spans="1:36">
      <c r="A48" s="37"/>
      <c r="B48" s="4"/>
      <c r="C48" s="37"/>
      <c r="D48" s="37"/>
      <c r="E48" s="37"/>
      <c r="F48" s="37"/>
      <c r="G48" s="37"/>
      <c r="H48" s="37"/>
      <c r="I48" s="29"/>
      <c r="J48" s="37"/>
      <c r="K48" s="37"/>
      <c r="L48" s="37"/>
      <c r="M48" s="4"/>
      <c r="N48" s="4"/>
    </row>
    <row r="49" spans="1:14">
      <c r="A49" s="30"/>
      <c r="B49" s="1164"/>
      <c r="C49" s="1164"/>
      <c r="D49" s="1164"/>
      <c r="E49" s="1164"/>
      <c r="F49" s="1164"/>
      <c r="G49" s="1164"/>
      <c r="H49" s="1164"/>
      <c r="I49" s="1164"/>
      <c r="J49" s="1164"/>
      <c r="K49" s="1164"/>
      <c r="L49" s="1164"/>
      <c r="M49" s="4"/>
      <c r="N49" s="4"/>
    </row>
    <row r="50" spans="1:14">
      <c r="A50" s="38"/>
      <c r="B50" s="1164"/>
      <c r="C50" s="1164"/>
      <c r="D50" s="1164"/>
      <c r="E50" s="1164"/>
      <c r="F50" s="1164"/>
      <c r="G50" s="1164"/>
      <c r="H50" s="1164"/>
      <c r="I50" s="1164"/>
      <c r="J50" s="1164"/>
      <c r="K50" s="1164"/>
      <c r="L50" s="1164"/>
      <c r="M50" s="4"/>
      <c r="N50" s="4"/>
    </row>
    <row r="51" spans="1:14">
      <c r="A51" s="30"/>
      <c r="B51" s="31"/>
      <c r="C51" s="31"/>
      <c r="D51" s="31"/>
      <c r="E51" s="31"/>
      <c r="F51" s="31"/>
      <c r="G51" s="31"/>
      <c r="H51" s="31"/>
      <c r="I51" s="31"/>
      <c r="J51" s="31"/>
      <c r="K51" s="31"/>
      <c r="L51" s="31"/>
      <c r="M51" s="4"/>
      <c r="N51" s="4"/>
    </row>
    <row r="52" spans="1:14">
      <c r="A52" s="30"/>
      <c r="B52" s="31"/>
      <c r="C52" s="31"/>
      <c r="D52" s="31"/>
      <c r="E52" s="31"/>
      <c r="F52" s="31"/>
      <c r="G52" s="31"/>
      <c r="H52" s="31"/>
      <c r="I52" s="31"/>
      <c r="J52" s="31"/>
      <c r="K52" s="31"/>
      <c r="L52" s="31"/>
      <c r="M52" s="4"/>
      <c r="N52" s="4"/>
    </row>
    <row r="53" spans="1:14">
      <c r="A53" s="30"/>
      <c r="B53" s="31"/>
      <c r="C53" s="31"/>
      <c r="D53" s="31"/>
      <c r="E53" s="31"/>
      <c r="F53" s="31"/>
      <c r="G53" s="31"/>
      <c r="H53" s="31"/>
      <c r="I53" s="31"/>
      <c r="J53" s="31"/>
      <c r="K53" s="31"/>
      <c r="L53" s="31"/>
      <c r="M53" s="4"/>
      <c r="N53" s="4"/>
    </row>
    <row r="54" spans="1:14">
      <c r="A54" s="30"/>
      <c r="B54" s="31"/>
      <c r="C54" s="31"/>
      <c r="D54" s="31"/>
      <c r="E54" s="31"/>
      <c r="F54" s="31"/>
      <c r="G54" s="31"/>
      <c r="H54" s="31"/>
      <c r="I54" s="31"/>
      <c r="J54" s="31"/>
      <c r="K54" s="31"/>
      <c r="L54" s="31"/>
      <c r="M54" s="4"/>
      <c r="N54" s="4"/>
    </row>
    <row r="55" spans="1:14">
      <c r="A55" s="30"/>
      <c r="B55" s="31"/>
      <c r="C55" s="31"/>
      <c r="D55" s="31"/>
      <c r="E55" s="31"/>
      <c r="F55" s="31"/>
      <c r="G55" s="31"/>
      <c r="H55" s="31"/>
      <c r="I55" s="31"/>
      <c r="J55" s="31"/>
      <c r="K55" s="31"/>
      <c r="L55" s="31"/>
      <c r="M55" s="4"/>
      <c r="N55" s="4"/>
    </row>
    <row r="56" spans="1:14">
      <c r="A56" s="30"/>
      <c r="B56" s="31"/>
      <c r="C56" s="31"/>
      <c r="D56" s="31"/>
      <c r="E56" s="31"/>
      <c r="F56" s="31"/>
      <c r="G56" s="31"/>
      <c r="H56" s="31"/>
      <c r="I56" s="31"/>
      <c r="J56" s="31"/>
      <c r="K56" s="31"/>
      <c r="L56" s="31"/>
      <c r="M56" s="4"/>
      <c r="N56" s="4"/>
    </row>
    <row r="57" spans="1:14">
      <c r="A57" s="30"/>
      <c r="B57" s="31"/>
      <c r="C57" s="31"/>
      <c r="D57" s="31"/>
      <c r="E57" s="31"/>
      <c r="F57" s="31"/>
      <c r="G57" s="31"/>
      <c r="H57" s="31"/>
      <c r="I57" s="31"/>
      <c r="J57" s="31"/>
      <c r="K57" s="31"/>
      <c r="L57" s="31"/>
      <c r="M57" s="4"/>
      <c r="N57" s="4"/>
    </row>
    <row r="58" spans="1:14">
      <c r="A58" s="30"/>
      <c r="B58" s="31"/>
      <c r="C58" s="31"/>
      <c r="D58" s="31"/>
      <c r="E58" s="31"/>
      <c r="F58" s="31"/>
      <c r="G58" s="31"/>
      <c r="H58" s="31"/>
      <c r="I58" s="31"/>
      <c r="J58" s="31"/>
      <c r="K58" s="31"/>
      <c r="L58" s="31"/>
      <c r="M58" s="4"/>
      <c r="N58" s="4"/>
    </row>
    <row r="59" spans="1:14">
      <c r="A59" s="30"/>
      <c r="B59" s="31"/>
      <c r="C59" s="31"/>
      <c r="D59" s="31"/>
      <c r="E59" s="31"/>
      <c r="F59" s="31"/>
      <c r="G59" s="31"/>
      <c r="H59" s="31"/>
      <c r="I59" s="31"/>
      <c r="J59" s="31"/>
      <c r="K59" s="31"/>
      <c r="L59" s="31"/>
      <c r="M59" s="4"/>
      <c r="N59" s="4"/>
    </row>
    <row r="60" spans="1:14">
      <c r="A60" s="30"/>
      <c r="B60" s="31"/>
      <c r="C60" s="31"/>
      <c r="D60" s="31"/>
      <c r="E60" s="31"/>
      <c r="F60" s="31"/>
      <c r="G60" s="31"/>
      <c r="H60" s="31"/>
      <c r="I60" s="31"/>
      <c r="J60" s="31"/>
      <c r="K60" s="31"/>
      <c r="L60" s="31"/>
      <c r="M60" s="4"/>
      <c r="N60" s="4"/>
    </row>
    <row r="61" spans="1:14">
      <c r="A61" s="30"/>
      <c r="B61" s="31"/>
      <c r="C61" s="31"/>
      <c r="D61" s="31"/>
      <c r="E61" s="31"/>
      <c r="F61" s="31"/>
      <c r="G61" s="31"/>
      <c r="H61" s="31"/>
      <c r="I61" s="31"/>
      <c r="J61" s="31"/>
      <c r="K61" s="31"/>
      <c r="L61" s="31"/>
      <c r="M61" s="4"/>
      <c r="N61" s="4"/>
    </row>
    <row r="62" spans="1:14">
      <c r="A62" s="30"/>
      <c r="B62" s="31"/>
      <c r="C62" s="31"/>
      <c r="D62" s="31"/>
      <c r="E62" s="31"/>
      <c r="F62" s="31"/>
      <c r="G62" s="31"/>
      <c r="H62" s="31"/>
      <c r="I62" s="31"/>
      <c r="J62" s="31"/>
      <c r="K62" s="31"/>
      <c r="L62" s="31"/>
      <c r="M62" s="4"/>
      <c r="N62" s="4"/>
    </row>
    <row r="63" spans="1:14">
      <c r="A63" s="30"/>
      <c r="B63" s="31"/>
      <c r="C63" s="31"/>
      <c r="D63" s="31"/>
      <c r="E63" s="31"/>
      <c r="F63" s="31"/>
      <c r="G63" s="31"/>
      <c r="H63" s="31"/>
      <c r="I63" s="31"/>
      <c r="J63" s="31"/>
      <c r="K63" s="31"/>
      <c r="L63" s="31"/>
      <c r="M63" s="4"/>
      <c r="N63" s="4"/>
    </row>
    <row r="64" spans="1:14">
      <c r="A64" s="30"/>
      <c r="B64" s="31"/>
      <c r="C64" s="31"/>
      <c r="D64" s="31"/>
      <c r="E64" s="31"/>
      <c r="F64" s="31"/>
      <c r="G64" s="31"/>
      <c r="H64" s="31"/>
      <c r="I64" s="31"/>
      <c r="J64" s="31"/>
      <c r="K64" s="31"/>
      <c r="L64" s="31"/>
      <c r="M64" s="4"/>
      <c r="N64" s="4"/>
    </row>
    <row r="65" spans="1:14">
      <c r="A65" s="30"/>
      <c r="B65" s="31"/>
      <c r="C65" s="31"/>
      <c r="D65" s="31"/>
      <c r="E65" s="31"/>
      <c r="F65" s="31"/>
      <c r="G65" s="31"/>
      <c r="H65" s="31"/>
      <c r="I65" s="31"/>
      <c r="J65" s="31"/>
      <c r="K65" s="31"/>
      <c r="L65" s="31"/>
      <c r="M65" s="4"/>
      <c r="N65" s="4"/>
    </row>
    <row r="66" spans="1:14">
      <c r="A66" s="30"/>
      <c r="B66" s="31"/>
      <c r="C66" s="31"/>
      <c r="D66" s="31"/>
      <c r="E66" s="31"/>
      <c r="F66" s="31"/>
      <c r="G66" s="31"/>
      <c r="H66" s="31"/>
      <c r="I66" s="31"/>
      <c r="J66" s="31"/>
      <c r="K66" s="31"/>
      <c r="L66" s="31"/>
      <c r="M66" s="4"/>
      <c r="N66" s="4"/>
    </row>
    <row r="67" spans="1:14">
      <c r="A67" s="30"/>
      <c r="B67" s="31"/>
      <c r="C67" s="31"/>
      <c r="D67" s="31"/>
      <c r="E67" s="31"/>
      <c r="F67" s="31"/>
      <c r="G67" s="31"/>
      <c r="H67" s="31"/>
      <c r="I67" s="31"/>
      <c r="J67" s="31"/>
      <c r="K67" s="31"/>
      <c r="L67" s="31"/>
      <c r="M67" s="4"/>
      <c r="N67" s="4"/>
    </row>
    <row r="68" spans="1:14">
      <c r="A68" s="30"/>
      <c r="B68" s="31"/>
      <c r="C68" s="31"/>
      <c r="D68" s="31"/>
      <c r="E68" s="31"/>
      <c r="F68" s="31"/>
      <c r="G68" s="31"/>
      <c r="H68" s="31"/>
      <c r="I68" s="31"/>
      <c r="J68" s="31"/>
      <c r="K68" s="31"/>
      <c r="L68" s="31"/>
      <c r="M68" s="4"/>
      <c r="N68" s="4"/>
    </row>
    <row r="69" spans="1:14">
      <c r="A69" s="30"/>
      <c r="B69" s="31"/>
      <c r="C69" s="31"/>
      <c r="D69" s="31"/>
      <c r="E69" s="31"/>
      <c r="F69" s="31"/>
      <c r="G69" s="31"/>
      <c r="H69" s="31"/>
      <c r="I69" s="31"/>
      <c r="J69" s="31"/>
      <c r="K69" s="31"/>
      <c r="L69" s="31"/>
      <c r="M69" s="4"/>
      <c r="N69" s="4"/>
    </row>
    <row r="70" spans="1:14">
      <c r="A70" s="30"/>
      <c r="B70" s="31"/>
      <c r="C70" s="31"/>
      <c r="D70" s="31"/>
      <c r="E70" s="31"/>
      <c r="F70" s="31"/>
      <c r="G70" s="31"/>
      <c r="H70" s="31"/>
      <c r="I70" s="31"/>
      <c r="J70" s="31"/>
      <c r="K70" s="31"/>
      <c r="L70" s="31"/>
      <c r="M70" s="4"/>
      <c r="N70" s="4"/>
    </row>
    <row r="71" spans="1:14">
      <c r="A71" s="30"/>
      <c r="B71" s="31"/>
      <c r="C71" s="31"/>
      <c r="D71" s="31"/>
      <c r="E71" s="31"/>
      <c r="F71" s="31"/>
      <c r="G71" s="31"/>
      <c r="H71" s="31"/>
      <c r="I71" s="31"/>
      <c r="J71" s="31"/>
      <c r="K71" s="31"/>
      <c r="L71" s="31"/>
      <c r="M71" s="4"/>
      <c r="N71" s="4"/>
    </row>
    <row r="72" spans="1:14">
      <c r="A72" s="30"/>
      <c r="B72" s="31"/>
      <c r="C72" s="31"/>
      <c r="D72" s="31"/>
      <c r="E72" s="31"/>
      <c r="F72" s="31"/>
      <c r="G72" s="31"/>
      <c r="H72" s="31"/>
      <c r="I72" s="31"/>
      <c r="J72" s="31"/>
      <c r="K72" s="31"/>
      <c r="L72" s="31"/>
      <c r="M72" s="4"/>
      <c r="N72" s="4"/>
    </row>
    <row r="73" spans="1:14">
      <c r="A73" s="30"/>
      <c r="B73" s="32"/>
      <c r="C73" s="32"/>
      <c r="D73" s="32"/>
      <c r="E73" s="32"/>
      <c r="F73" s="32"/>
      <c r="G73" s="32"/>
      <c r="H73" s="32"/>
      <c r="I73" s="32"/>
      <c r="J73" s="32"/>
      <c r="K73" s="32"/>
      <c r="L73" s="32"/>
      <c r="M73" s="4"/>
      <c r="N73" s="4"/>
    </row>
    <row r="74" spans="1:14">
      <c r="A74" s="30"/>
      <c r="B74" s="31"/>
      <c r="C74" s="31"/>
      <c r="D74" s="31"/>
      <c r="E74" s="31"/>
      <c r="F74" s="31"/>
      <c r="G74" s="31"/>
      <c r="H74" s="31"/>
      <c r="I74" s="31"/>
      <c r="J74" s="31"/>
      <c r="K74" s="31"/>
      <c r="L74" s="31"/>
      <c r="M74" s="4"/>
      <c r="N74" s="4"/>
    </row>
    <row r="75" spans="1:14">
      <c r="A75" s="5"/>
      <c r="B75" s="33"/>
      <c r="C75" s="33"/>
      <c r="D75" s="33"/>
      <c r="E75" s="33"/>
      <c r="F75" s="33"/>
      <c r="G75" s="33"/>
      <c r="H75" s="33"/>
      <c r="I75" s="33"/>
      <c r="J75" s="33"/>
      <c r="K75" s="33"/>
      <c r="L75" s="33"/>
      <c r="M75" s="4"/>
      <c r="N75" s="4"/>
    </row>
    <row r="76" spans="1:14">
      <c r="A76" s="5"/>
      <c r="B76" s="33"/>
      <c r="C76" s="33"/>
      <c r="D76" s="33"/>
      <c r="E76" s="33"/>
      <c r="F76" s="33"/>
      <c r="G76" s="33"/>
      <c r="H76" s="33"/>
      <c r="I76" s="33"/>
      <c r="J76" s="33"/>
      <c r="K76" s="33"/>
      <c r="L76" s="33"/>
      <c r="M76" s="4"/>
      <c r="N76" s="4"/>
    </row>
    <row r="77" spans="1:14">
      <c r="A77" s="4"/>
      <c r="B77" s="4"/>
      <c r="C77" s="30"/>
      <c r="D77" s="30"/>
      <c r="E77" s="30"/>
      <c r="F77" s="30"/>
      <c r="G77" s="30"/>
      <c r="H77" s="30"/>
      <c r="I77" s="30"/>
      <c r="J77" s="30"/>
      <c r="K77" s="30"/>
      <c r="L77" s="30"/>
      <c r="M77" s="4"/>
      <c r="N77" s="4"/>
    </row>
    <row r="78" spans="1:14">
      <c r="A78" s="4"/>
      <c r="B78" s="4"/>
      <c r="C78" s="30"/>
      <c r="D78" s="30"/>
      <c r="E78" s="30"/>
      <c r="F78" s="30"/>
      <c r="G78" s="30"/>
      <c r="H78" s="30"/>
      <c r="I78" s="30"/>
      <c r="J78" s="30"/>
      <c r="K78" s="30"/>
      <c r="L78" s="30"/>
      <c r="M78" s="4"/>
      <c r="N78" s="4"/>
    </row>
    <row r="79" spans="1:14">
      <c r="A79" s="34"/>
      <c r="B79" s="4"/>
      <c r="C79" s="30"/>
      <c r="D79" s="30"/>
      <c r="E79" s="30"/>
      <c r="F79" s="30"/>
      <c r="G79" s="30"/>
      <c r="H79" s="30"/>
      <c r="I79" s="30"/>
      <c r="J79" s="30"/>
      <c r="K79" s="30"/>
      <c r="L79" s="30"/>
      <c r="M79" s="4"/>
      <c r="N79" s="4"/>
    </row>
    <row r="80" spans="1:14">
      <c r="A80" s="34"/>
      <c r="B80" s="4"/>
      <c r="C80" s="30"/>
      <c r="D80" s="30"/>
      <c r="E80" s="30"/>
      <c r="F80" s="30"/>
      <c r="G80" s="30"/>
      <c r="H80" s="30"/>
      <c r="I80" s="30"/>
      <c r="J80" s="30"/>
      <c r="K80" s="30"/>
      <c r="L80" s="30"/>
      <c r="M80" s="4"/>
      <c r="N80" s="4"/>
    </row>
    <row r="81" spans="1:14">
      <c r="A81" s="30"/>
      <c r="B81" s="4"/>
      <c r="C81" s="30"/>
      <c r="D81" s="30"/>
      <c r="E81" s="30"/>
      <c r="F81" s="30"/>
      <c r="G81" s="30"/>
      <c r="H81" s="30"/>
      <c r="I81" s="30"/>
      <c r="J81" s="30"/>
      <c r="K81" s="30"/>
      <c r="L81" s="30"/>
      <c r="M81" s="4"/>
      <c r="N81" s="4"/>
    </row>
    <row r="82" spans="1:14">
      <c r="A82" s="30"/>
      <c r="B82" s="4"/>
      <c r="C82" s="31"/>
      <c r="D82" s="30"/>
      <c r="E82" s="30"/>
      <c r="F82" s="30"/>
      <c r="G82" s="30"/>
      <c r="H82" s="30"/>
      <c r="I82" s="30"/>
      <c r="J82" s="30"/>
      <c r="K82" s="30"/>
      <c r="L82" s="30"/>
      <c r="M82" s="4"/>
      <c r="N82" s="4"/>
    </row>
    <row r="83" spans="1:14">
      <c r="A83" s="30"/>
      <c r="B83" s="4"/>
      <c r="C83" s="4"/>
      <c r="D83" s="4"/>
      <c r="E83" s="4"/>
      <c r="F83" s="4"/>
      <c r="G83" s="4"/>
      <c r="H83" s="4"/>
      <c r="I83" s="4"/>
      <c r="J83" s="4"/>
      <c r="K83" s="4"/>
      <c r="L83" s="4"/>
      <c r="M83" s="4"/>
      <c r="N83" s="4"/>
    </row>
    <row r="84" spans="1:14">
      <c r="A84" s="30"/>
      <c r="B84" s="4"/>
      <c r="C84" s="4"/>
      <c r="D84" s="4"/>
      <c r="E84" s="4"/>
      <c r="F84" s="4"/>
      <c r="G84" s="4"/>
      <c r="H84" s="4"/>
      <c r="I84" s="4"/>
      <c r="J84" s="4"/>
      <c r="K84" s="4"/>
      <c r="L84" s="4"/>
      <c r="M84" s="4"/>
      <c r="N84" s="4"/>
    </row>
    <row r="85" spans="1:14">
      <c r="A85" s="35"/>
      <c r="B85" s="4"/>
      <c r="C85" s="4"/>
      <c r="D85" s="4"/>
      <c r="E85" s="4"/>
      <c r="F85" s="4"/>
      <c r="G85" s="4"/>
      <c r="H85" s="4"/>
      <c r="I85" s="4"/>
      <c r="J85" s="4"/>
      <c r="K85" s="4"/>
      <c r="L85" s="4"/>
      <c r="M85" s="4"/>
      <c r="N85" s="4"/>
    </row>
    <row r="86" spans="1:14">
      <c r="A86" s="35"/>
      <c r="B86" s="4"/>
      <c r="C86" s="4"/>
      <c r="D86" s="4"/>
      <c r="E86" s="4"/>
      <c r="F86" s="4"/>
      <c r="G86" s="4"/>
      <c r="H86" s="4"/>
      <c r="I86" s="4"/>
      <c r="J86" s="4"/>
      <c r="K86" s="4"/>
      <c r="L86" s="4"/>
      <c r="M86" s="4"/>
      <c r="N86" s="4"/>
    </row>
    <row r="87" spans="1:14">
      <c r="A87" s="4"/>
      <c r="B87" s="4"/>
      <c r="C87" s="4"/>
      <c r="D87" s="4"/>
      <c r="E87" s="4"/>
      <c r="F87" s="4"/>
      <c r="G87" s="4"/>
      <c r="H87" s="4"/>
      <c r="I87" s="4"/>
      <c r="J87" s="4"/>
      <c r="K87" s="4"/>
      <c r="L87" s="4"/>
      <c r="M87" s="4"/>
      <c r="N87" s="4"/>
    </row>
    <row r="88" spans="1:14">
      <c r="A88" s="4"/>
      <c r="B88" s="4"/>
      <c r="C88" s="4"/>
      <c r="D88" s="4"/>
      <c r="E88" s="4"/>
      <c r="F88" s="4"/>
      <c r="G88" s="4"/>
      <c r="H88" s="4"/>
      <c r="I88" s="4"/>
      <c r="J88" s="4"/>
      <c r="K88" s="4"/>
      <c r="L88" s="4"/>
      <c r="M88" s="4"/>
      <c r="N88" s="4"/>
    </row>
    <row r="89" spans="1:14">
      <c r="A89" s="4"/>
      <c r="B89" s="4"/>
      <c r="C89" s="4"/>
      <c r="D89" s="4"/>
      <c r="E89" s="4"/>
      <c r="F89" s="4"/>
      <c r="G89" s="4"/>
      <c r="H89" s="4"/>
      <c r="I89" s="4"/>
      <c r="J89" s="4"/>
      <c r="K89" s="4"/>
      <c r="L89" s="4"/>
      <c r="M89" s="4"/>
      <c r="N89" s="4"/>
    </row>
    <row r="90" spans="1:14">
      <c r="A90" s="4"/>
      <c r="B90" s="4"/>
      <c r="C90" s="4"/>
      <c r="D90" s="4"/>
      <c r="E90" s="4"/>
      <c r="F90" s="4"/>
      <c r="G90" s="4"/>
      <c r="H90" s="4"/>
      <c r="I90" s="4"/>
      <c r="J90" s="4"/>
      <c r="K90" s="4"/>
      <c r="L90" s="4"/>
      <c r="M90" s="4"/>
      <c r="N90" s="4"/>
    </row>
    <row r="91" spans="1:14">
      <c r="A91" s="4"/>
      <c r="B91" s="4"/>
      <c r="C91" s="4"/>
      <c r="D91" s="4"/>
      <c r="E91" s="4"/>
      <c r="F91" s="4"/>
      <c r="G91" s="4"/>
      <c r="H91" s="4"/>
      <c r="I91" s="4"/>
      <c r="J91" s="4"/>
      <c r="K91" s="4"/>
      <c r="L91" s="4"/>
      <c r="M91" s="4"/>
      <c r="N91" s="4"/>
    </row>
    <row r="92" spans="1:14">
      <c r="A92" s="4"/>
      <c r="B92" s="4"/>
      <c r="C92" s="4"/>
      <c r="D92" s="4"/>
      <c r="E92" s="4"/>
      <c r="F92" s="4"/>
      <c r="G92" s="4"/>
      <c r="H92" s="4"/>
      <c r="I92" s="4"/>
      <c r="J92" s="4"/>
      <c r="K92" s="4"/>
      <c r="L92" s="4"/>
      <c r="M92" s="4"/>
      <c r="N92" s="4"/>
    </row>
    <row r="93" spans="1:14">
      <c r="A93" s="4"/>
      <c r="B93" s="4"/>
      <c r="C93" s="4"/>
      <c r="D93" s="4"/>
      <c r="E93" s="4"/>
      <c r="F93" s="4"/>
      <c r="G93" s="4"/>
      <c r="H93" s="4"/>
      <c r="I93" s="4"/>
      <c r="J93" s="4"/>
      <c r="K93" s="4"/>
      <c r="L93" s="4"/>
      <c r="M93" s="4"/>
      <c r="N93" s="4"/>
    </row>
    <row r="94" spans="1:14">
      <c r="A94" s="4"/>
      <c r="B94" s="4"/>
      <c r="C94" s="4"/>
      <c r="D94" s="4"/>
      <c r="E94" s="4"/>
      <c r="F94" s="4"/>
      <c r="G94" s="4"/>
      <c r="H94" s="4"/>
      <c r="I94" s="4"/>
      <c r="J94" s="4"/>
      <c r="K94" s="4"/>
      <c r="L94" s="4"/>
      <c r="M94" s="4"/>
      <c r="N94" s="4"/>
    </row>
    <row r="95" spans="1:14">
      <c r="A95" s="4"/>
      <c r="B95" s="4"/>
      <c r="C95" s="4"/>
      <c r="D95" s="4"/>
      <c r="E95" s="4"/>
      <c r="F95" s="4"/>
      <c r="G95" s="4"/>
      <c r="H95" s="4"/>
      <c r="I95" s="4"/>
      <c r="J95" s="4"/>
      <c r="K95" s="4"/>
      <c r="L95" s="4"/>
      <c r="M95" s="4"/>
      <c r="N95" s="4"/>
    </row>
    <row r="96" spans="1:14">
      <c r="A96" s="4"/>
      <c r="B96" s="4"/>
      <c r="C96" s="4"/>
      <c r="D96" s="4"/>
      <c r="E96" s="4"/>
      <c r="F96" s="4"/>
      <c r="G96" s="4"/>
      <c r="H96" s="4"/>
      <c r="I96" s="4"/>
      <c r="J96" s="4"/>
      <c r="K96" s="4"/>
      <c r="L96" s="4"/>
      <c r="M96" s="4"/>
      <c r="N96" s="4"/>
    </row>
    <row r="97" spans="1:14">
      <c r="A97" s="4"/>
      <c r="B97" s="4"/>
      <c r="C97" s="4"/>
      <c r="D97" s="4"/>
      <c r="E97" s="4"/>
      <c r="F97" s="4"/>
      <c r="G97" s="4"/>
      <c r="H97" s="4"/>
      <c r="I97" s="4"/>
      <c r="J97" s="4"/>
      <c r="K97" s="4"/>
      <c r="L97" s="4"/>
      <c r="M97" s="4"/>
      <c r="N97" s="4"/>
    </row>
    <row r="98" spans="1:14">
      <c r="A98" s="4"/>
      <c r="B98" s="4"/>
      <c r="C98" s="4"/>
      <c r="D98" s="4"/>
      <c r="E98" s="4"/>
      <c r="F98" s="4"/>
      <c r="G98" s="4"/>
      <c r="H98" s="4"/>
      <c r="I98" s="4"/>
      <c r="J98" s="4"/>
      <c r="K98" s="4"/>
      <c r="L98" s="4"/>
      <c r="M98" s="4"/>
      <c r="N98" s="4"/>
    </row>
  </sheetData>
  <mergeCells count="26">
    <mergeCell ref="B1:L1"/>
    <mergeCell ref="J3:J4"/>
    <mergeCell ref="K3:K4"/>
    <mergeCell ref="L3:L4"/>
    <mergeCell ref="F3:F4"/>
    <mergeCell ref="G3:G4"/>
    <mergeCell ref="H3:H4"/>
    <mergeCell ref="I3:I4"/>
    <mergeCell ref="B3:B4"/>
    <mergeCell ref="C3:C4"/>
    <mergeCell ref="D3:D4"/>
    <mergeCell ref="E3:E4"/>
    <mergeCell ref="A41:L41"/>
    <mergeCell ref="L49:L50"/>
    <mergeCell ref="B49:B50"/>
    <mergeCell ref="I49:I50"/>
    <mergeCell ref="J49:J50"/>
    <mergeCell ref="K49:K50"/>
    <mergeCell ref="G49:G50"/>
    <mergeCell ref="H49:H50"/>
    <mergeCell ref="A43:L43"/>
    <mergeCell ref="C49:C50"/>
    <mergeCell ref="D49:D50"/>
    <mergeCell ref="E49:E50"/>
    <mergeCell ref="F49:F50"/>
    <mergeCell ref="A42:L42"/>
  </mergeCells>
  <phoneticPr fontId="35" type="noConversion"/>
  <pageMargins left="0.75" right="0.75" top="1" bottom="1" header="0.5" footer="0.5"/>
  <pageSetup scale="76" orientation="landscape" horizontalDpi="300" verticalDpi="300" r:id="rId1"/>
  <headerFooter alignWithMargins="0"/>
</worksheet>
</file>

<file path=xl/worksheets/sheet73.xml><?xml version="1.0" encoding="utf-8"?>
<worksheet xmlns="http://schemas.openxmlformats.org/spreadsheetml/2006/main" xmlns:r="http://schemas.openxmlformats.org/officeDocument/2006/relationships">
  <sheetPr codeName="Sheet7">
    <pageSetUpPr fitToPage="1"/>
  </sheetPr>
  <dimension ref="A1:AJ44"/>
  <sheetViews>
    <sheetView view="pageBreakPreview" zoomScale="90" zoomScaleSheetLayoutView="9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6384" width="9.140625" style="1"/>
  </cols>
  <sheetData>
    <row r="1" spans="1:26" ht="15.75">
      <c r="A1" s="4"/>
      <c r="B1" s="3" t="s">
        <v>2157</v>
      </c>
    </row>
    <row r="2" spans="1:26">
      <c r="A2" s="4"/>
      <c r="B2" s="4"/>
    </row>
    <row r="3" spans="1:26">
      <c r="B3" s="1166" t="s">
        <v>375</v>
      </c>
      <c r="C3" s="1164" t="s">
        <v>377</v>
      </c>
      <c r="D3" s="1164" t="s">
        <v>386</v>
      </c>
      <c r="E3" s="1164" t="s">
        <v>378</v>
      </c>
      <c r="F3" s="1164" t="s">
        <v>379</v>
      </c>
      <c r="G3" s="1164" t="s">
        <v>380</v>
      </c>
      <c r="H3" s="1164" t="s">
        <v>381</v>
      </c>
      <c r="I3" s="1164" t="s">
        <v>382</v>
      </c>
      <c r="J3" s="1164" t="s">
        <v>383</v>
      </c>
      <c r="K3" s="1164" t="s">
        <v>384</v>
      </c>
      <c r="L3" s="1164" t="s">
        <v>385</v>
      </c>
    </row>
    <row r="4" spans="1:26" s="4" customFormat="1" ht="13.5" customHeight="1">
      <c r="A4" s="7"/>
      <c r="B4" s="1167"/>
      <c r="C4" s="1165"/>
      <c r="D4" s="1165"/>
      <c r="E4" s="1165"/>
      <c r="F4" s="1165"/>
      <c r="G4" s="1165"/>
      <c r="H4" s="1165"/>
      <c r="I4" s="1165"/>
      <c r="J4" s="1165"/>
      <c r="K4" s="1165"/>
      <c r="L4" s="1165"/>
    </row>
    <row r="5" spans="1:26" s="972" customFormat="1">
      <c r="A5" s="2">
        <v>1981</v>
      </c>
      <c r="B5" s="1004">
        <v>2828</v>
      </c>
      <c r="C5" s="1004">
        <v>76</v>
      </c>
      <c r="D5" s="1004">
        <v>15</v>
      </c>
      <c r="E5" s="1004">
        <v>100</v>
      </c>
      <c r="F5" s="1004">
        <v>104</v>
      </c>
      <c r="G5" s="1004">
        <v>924</v>
      </c>
      <c r="H5" s="1004">
        <v>868</v>
      </c>
      <c r="I5" s="1004">
        <v>141</v>
      </c>
      <c r="J5" s="1004">
        <v>114</v>
      </c>
      <c r="K5" s="1004">
        <v>184</v>
      </c>
      <c r="L5" s="1004">
        <v>303</v>
      </c>
      <c r="N5" s="6">
        <v>1981</v>
      </c>
      <c r="O5" s="424">
        <v>2828</v>
      </c>
      <c r="P5" s="424">
        <v>76</v>
      </c>
      <c r="Q5" s="424">
        <v>15</v>
      </c>
      <c r="R5" s="424">
        <v>100</v>
      </c>
      <c r="S5" s="424">
        <v>104</v>
      </c>
      <c r="T5" s="424">
        <v>924</v>
      </c>
      <c r="U5" s="424">
        <v>868</v>
      </c>
      <c r="V5" s="424">
        <v>141</v>
      </c>
      <c r="W5" s="424">
        <v>114</v>
      </c>
      <c r="X5" s="424">
        <v>184</v>
      </c>
      <c r="Y5" s="424">
        <v>303</v>
      </c>
      <c r="Z5" s="6"/>
    </row>
    <row r="6" spans="1:26" s="972" customFormat="1">
      <c r="A6" s="2">
        <v>1982</v>
      </c>
      <c r="B6" s="1004">
        <v>3055</v>
      </c>
      <c r="C6" s="1004">
        <v>85</v>
      </c>
      <c r="D6" s="1004">
        <v>13</v>
      </c>
      <c r="E6" s="1004">
        <v>105</v>
      </c>
      <c r="F6" s="1004">
        <v>105</v>
      </c>
      <c r="G6" s="1004">
        <v>971</v>
      </c>
      <c r="H6" s="1004">
        <v>962</v>
      </c>
      <c r="I6" s="1004">
        <v>156</v>
      </c>
      <c r="J6" s="1004">
        <v>105</v>
      </c>
      <c r="K6" s="1004">
        <v>212</v>
      </c>
      <c r="L6" s="1004">
        <v>342</v>
      </c>
      <c r="N6" s="6">
        <v>1982</v>
      </c>
      <c r="O6" s="424">
        <v>3055</v>
      </c>
      <c r="P6" s="424">
        <v>85</v>
      </c>
      <c r="Q6" s="424">
        <v>13</v>
      </c>
      <c r="R6" s="424">
        <v>105</v>
      </c>
      <c r="S6" s="424">
        <v>105</v>
      </c>
      <c r="T6" s="424">
        <v>971</v>
      </c>
      <c r="U6" s="424">
        <v>962</v>
      </c>
      <c r="V6" s="424">
        <v>156</v>
      </c>
      <c r="W6" s="424">
        <v>105</v>
      </c>
      <c r="X6" s="424">
        <v>212</v>
      </c>
      <c r="Y6" s="424">
        <v>342</v>
      </c>
      <c r="Z6" s="6"/>
    </row>
    <row r="7" spans="1:26" s="972" customFormat="1">
      <c r="A7" s="2">
        <v>1983</v>
      </c>
      <c r="B7" s="1004">
        <v>3489</v>
      </c>
      <c r="C7" s="1004">
        <v>116</v>
      </c>
      <c r="D7" s="1004">
        <v>11</v>
      </c>
      <c r="E7" s="1004">
        <v>103</v>
      </c>
      <c r="F7" s="1004">
        <v>128</v>
      </c>
      <c r="G7" s="1004">
        <v>1033</v>
      </c>
      <c r="H7" s="1004">
        <v>1151</v>
      </c>
      <c r="I7" s="1004">
        <v>139</v>
      </c>
      <c r="J7" s="1004">
        <v>117</v>
      </c>
      <c r="K7" s="1004">
        <v>305</v>
      </c>
      <c r="L7" s="1004">
        <v>385</v>
      </c>
      <c r="N7" s="6">
        <v>1983</v>
      </c>
      <c r="O7" s="424">
        <v>3489</v>
      </c>
      <c r="P7" s="424">
        <v>116</v>
      </c>
      <c r="Q7" s="424">
        <v>11</v>
      </c>
      <c r="R7" s="424">
        <v>103</v>
      </c>
      <c r="S7" s="424">
        <v>128</v>
      </c>
      <c r="T7" s="424">
        <v>1033</v>
      </c>
      <c r="U7" s="424">
        <v>1151</v>
      </c>
      <c r="V7" s="424">
        <v>139</v>
      </c>
      <c r="W7" s="424">
        <v>117</v>
      </c>
      <c r="X7" s="424">
        <v>305</v>
      </c>
      <c r="Y7" s="424">
        <v>385</v>
      </c>
      <c r="Z7" s="6"/>
    </row>
    <row r="8" spans="1:26" s="972" customFormat="1">
      <c r="A8" s="2">
        <v>1984</v>
      </c>
      <c r="B8" s="1004">
        <v>3452</v>
      </c>
      <c r="C8" s="1004">
        <v>95</v>
      </c>
      <c r="D8" s="1004">
        <v>11</v>
      </c>
      <c r="E8" s="1004">
        <v>104</v>
      </c>
      <c r="F8" s="1004">
        <v>109</v>
      </c>
      <c r="G8" s="1004">
        <v>1074</v>
      </c>
      <c r="H8" s="1004">
        <v>1019</v>
      </c>
      <c r="I8" s="1004">
        <v>146</v>
      </c>
      <c r="J8" s="1004">
        <v>135</v>
      </c>
      <c r="K8" s="1004">
        <v>349</v>
      </c>
      <c r="L8" s="1004">
        <v>411</v>
      </c>
      <c r="N8" s="6">
        <v>1984</v>
      </c>
      <c r="O8" s="424">
        <v>3452</v>
      </c>
      <c r="P8" s="424">
        <v>95</v>
      </c>
      <c r="Q8" s="424">
        <v>11</v>
      </c>
      <c r="R8" s="424">
        <v>104</v>
      </c>
      <c r="S8" s="424">
        <v>109</v>
      </c>
      <c r="T8" s="424">
        <v>1074</v>
      </c>
      <c r="U8" s="424">
        <v>1019</v>
      </c>
      <c r="V8" s="424">
        <v>146</v>
      </c>
      <c r="W8" s="424">
        <v>135</v>
      </c>
      <c r="X8" s="424">
        <v>349</v>
      </c>
      <c r="Y8" s="424">
        <v>411</v>
      </c>
      <c r="Z8" s="6"/>
    </row>
    <row r="9" spans="1:26" s="972" customFormat="1">
      <c r="A9" s="2">
        <v>1985</v>
      </c>
      <c r="B9" s="1004">
        <v>3290</v>
      </c>
      <c r="C9" s="1004">
        <v>96</v>
      </c>
      <c r="D9" s="1004">
        <v>11</v>
      </c>
      <c r="E9" s="1004">
        <v>101</v>
      </c>
      <c r="F9" s="1004">
        <v>85</v>
      </c>
      <c r="G9" s="1004">
        <v>1030</v>
      </c>
      <c r="H9" s="1004">
        <v>960</v>
      </c>
      <c r="I9" s="1004">
        <v>142</v>
      </c>
      <c r="J9" s="1004">
        <v>131</v>
      </c>
      <c r="K9" s="1004">
        <v>295</v>
      </c>
      <c r="L9" s="1004">
        <v>439</v>
      </c>
      <c r="N9" s="6">
        <v>1985</v>
      </c>
      <c r="O9" s="424">
        <v>3290</v>
      </c>
      <c r="P9" s="424">
        <v>96</v>
      </c>
      <c r="Q9" s="424">
        <v>11</v>
      </c>
      <c r="R9" s="424">
        <v>101</v>
      </c>
      <c r="S9" s="424">
        <v>85</v>
      </c>
      <c r="T9" s="424">
        <v>1030</v>
      </c>
      <c r="U9" s="424">
        <v>960</v>
      </c>
      <c r="V9" s="424">
        <v>142</v>
      </c>
      <c r="W9" s="424">
        <v>131</v>
      </c>
      <c r="X9" s="424">
        <v>295</v>
      </c>
      <c r="Y9" s="424">
        <v>439</v>
      </c>
      <c r="Z9" s="6"/>
    </row>
    <row r="10" spans="1:26" s="972" customFormat="1">
      <c r="A10" s="2">
        <v>1986</v>
      </c>
      <c r="B10" s="1004">
        <v>3097</v>
      </c>
      <c r="C10" s="1004">
        <v>85</v>
      </c>
      <c r="D10" s="1004">
        <v>9</v>
      </c>
      <c r="E10" s="1004">
        <v>94</v>
      </c>
      <c r="F10" s="1004">
        <v>83</v>
      </c>
      <c r="G10" s="1004">
        <v>1013</v>
      </c>
      <c r="H10" s="1004">
        <v>858</v>
      </c>
      <c r="I10" s="1004">
        <v>145</v>
      </c>
      <c r="J10" s="1004">
        <v>151</v>
      </c>
      <c r="K10" s="1004">
        <v>269</v>
      </c>
      <c r="L10" s="1004">
        <v>390</v>
      </c>
      <c r="N10" s="6">
        <v>1986</v>
      </c>
      <c r="O10" s="424">
        <v>3097</v>
      </c>
      <c r="P10" s="424">
        <v>85</v>
      </c>
      <c r="Q10" s="424">
        <v>9</v>
      </c>
      <c r="R10" s="424">
        <v>94</v>
      </c>
      <c r="S10" s="424">
        <v>83</v>
      </c>
      <c r="T10" s="424">
        <v>1013</v>
      </c>
      <c r="U10" s="424">
        <v>858</v>
      </c>
      <c r="V10" s="424">
        <v>145</v>
      </c>
      <c r="W10" s="424">
        <v>151</v>
      </c>
      <c r="X10" s="424">
        <v>269</v>
      </c>
      <c r="Y10" s="424">
        <v>390</v>
      </c>
      <c r="Z10" s="6"/>
    </row>
    <row r="11" spans="1:26" s="972" customFormat="1">
      <c r="A11" s="2">
        <v>1987</v>
      </c>
      <c r="B11" s="1004">
        <v>3079</v>
      </c>
      <c r="C11" s="1004">
        <v>86</v>
      </c>
      <c r="D11" s="1004">
        <v>10</v>
      </c>
      <c r="E11" s="1004">
        <v>92</v>
      </c>
      <c r="F11" s="1004">
        <v>90</v>
      </c>
      <c r="G11" s="1004">
        <v>1008</v>
      </c>
      <c r="H11" s="1004">
        <v>813</v>
      </c>
      <c r="I11" s="1004">
        <v>142</v>
      </c>
      <c r="J11" s="1004">
        <v>114</v>
      </c>
      <c r="K11" s="1004">
        <v>322</v>
      </c>
      <c r="L11" s="1004">
        <v>402</v>
      </c>
      <c r="N11" s="6">
        <v>1987</v>
      </c>
      <c r="O11" s="424">
        <v>3079</v>
      </c>
      <c r="P11" s="424">
        <v>86</v>
      </c>
      <c r="Q11" s="424">
        <v>10</v>
      </c>
      <c r="R11" s="424">
        <v>92</v>
      </c>
      <c r="S11" s="424">
        <v>90</v>
      </c>
      <c r="T11" s="424">
        <v>1008</v>
      </c>
      <c r="U11" s="424">
        <v>813</v>
      </c>
      <c r="V11" s="424">
        <v>142</v>
      </c>
      <c r="W11" s="424">
        <v>114</v>
      </c>
      <c r="X11" s="424">
        <v>322</v>
      </c>
      <c r="Y11" s="424">
        <v>402</v>
      </c>
      <c r="Z11" s="6"/>
    </row>
    <row r="12" spans="1:26" s="972" customFormat="1">
      <c r="A12" s="2">
        <v>1988</v>
      </c>
      <c r="B12" s="1004">
        <v>2844</v>
      </c>
      <c r="C12" s="1004">
        <v>67</v>
      </c>
      <c r="D12" s="1004">
        <v>9</v>
      </c>
      <c r="E12" s="1004">
        <v>80</v>
      </c>
      <c r="F12" s="1004">
        <v>79</v>
      </c>
      <c r="G12" s="1004">
        <v>957</v>
      </c>
      <c r="H12" s="1004">
        <v>774</v>
      </c>
      <c r="I12" s="1004">
        <v>137</v>
      </c>
      <c r="J12" s="1004">
        <v>117</v>
      </c>
      <c r="K12" s="1004">
        <v>287</v>
      </c>
      <c r="L12" s="1004">
        <v>337</v>
      </c>
      <c r="N12" s="6">
        <v>1988</v>
      </c>
      <c r="O12" s="424">
        <v>2844</v>
      </c>
      <c r="P12" s="424">
        <v>67</v>
      </c>
      <c r="Q12" s="424">
        <v>9</v>
      </c>
      <c r="R12" s="424">
        <v>80</v>
      </c>
      <c r="S12" s="424">
        <v>79</v>
      </c>
      <c r="T12" s="424">
        <v>957</v>
      </c>
      <c r="U12" s="424">
        <v>774</v>
      </c>
      <c r="V12" s="424">
        <v>137</v>
      </c>
      <c r="W12" s="424">
        <v>117</v>
      </c>
      <c r="X12" s="424">
        <v>287</v>
      </c>
      <c r="Y12" s="424">
        <v>337</v>
      </c>
      <c r="Z12" s="6"/>
    </row>
    <row r="13" spans="1:26" s="972" customFormat="1">
      <c r="A13" s="2">
        <v>1989</v>
      </c>
      <c r="B13" s="1004">
        <v>2709</v>
      </c>
      <c r="C13" s="1004">
        <v>59</v>
      </c>
      <c r="D13" s="1004">
        <v>8</v>
      </c>
      <c r="E13" s="1004">
        <v>87</v>
      </c>
      <c r="F13" s="1004">
        <v>74</v>
      </c>
      <c r="G13" s="1004">
        <v>834</v>
      </c>
      <c r="H13" s="1004">
        <v>771</v>
      </c>
      <c r="I13" s="1004">
        <v>130</v>
      </c>
      <c r="J13" s="1004">
        <v>114</v>
      </c>
      <c r="K13" s="1004">
        <v>303</v>
      </c>
      <c r="L13" s="1004">
        <v>328</v>
      </c>
      <c r="N13" s="6">
        <v>1989</v>
      </c>
      <c r="O13" s="424">
        <v>2709</v>
      </c>
      <c r="P13" s="424">
        <v>59</v>
      </c>
      <c r="Q13" s="424">
        <v>8</v>
      </c>
      <c r="R13" s="424">
        <v>87</v>
      </c>
      <c r="S13" s="424">
        <v>74</v>
      </c>
      <c r="T13" s="424">
        <v>834</v>
      </c>
      <c r="U13" s="424">
        <v>771</v>
      </c>
      <c r="V13" s="424">
        <v>130</v>
      </c>
      <c r="W13" s="424">
        <v>114</v>
      </c>
      <c r="X13" s="424">
        <v>303</v>
      </c>
      <c r="Y13" s="424">
        <v>328</v>
      </c>
      <c r="Z13" s="6"/>
    </row>
    <row r="14" spans="1:26" s="972" customFormat="1">
      <c r="A14" s="2">
        <v>1990</v>
      </c>
      <c r="B14" s="1004">
        <v>3192</v>
      </c>
      <c r="C14" s="1004">
        <v>75</v>
      </c>
      <c r="D14" s="1004">
        <v>8</v>
      </c>
      <c r="E14" s="1004">
        <v>81</v>
      </c>
      <c r="F14" s="1004">
        <v>77</v>
      </c>
      <c r="G14" s="1004">
        <v>1019</v>
      </c>
      <c r="H14" s="1004">
        <v>932</v>
      </c>
      <c r="I14" s="1004">
        <v>153</v>
      </c>
      <c r="J14" s="1004">
        <v>127</v>
      </c>
      <c r="K14" s="1004">
        <v>316</v>
      </c>
      <c r="L14" s="1004">
        <v>405</v>
      </c>
      <c r="N14" s="6">
        <v>1990</v>
      </c>
      <c r="O14" s="424">
        <v>3192</v>
      </c>
      <c r="P14" s="424">
        <v>75</v>
      </c>
      <c r="Q14" s="424">
        <v>8</v>
      </c>
      <c r="R14" s="424">
        <v>81</v>
      </c>
      <c r="S14" s="424">
        <v>77</v>
      </c>
      <c r="T14" s="424">
        <v>1019</v>
      </c>
      <c r="U14" s="424">
        <v>932</v>
      </c>
      <c r="V14" s="424">
        <v>153</v>
      </c>
      <c r="W14" s="424">
        <v>127</v>
      </c>
      <c r="X14" s="424">
        <v>316</v>
      </c>
      <c r="Y14" s="424">
        <v>405</v>
      </c>
      <c r="Z14" s="6"/>
    </row>
    <row r="15" spans="1:26" s="972" customFormat="1">
      <c r="A15" s="2">
        <v>1991</v>
      </c>
      <c r="B15" s="1004">
        <v>3607</v>
      </c>
      <c r="C15" s="1004">
        <v>77</v>
      </c>
      <c r="D15" s="1004">
        <v>12</v>
      </c>
      <c r="E15" s="1004">
        <v>99</v>
      </c>
      <c r="F15" s="1004">
        <v>86</v>
      </c>
      <c r="G15" s="1004">
        <v>1147</v>
      </c>
      <c r="H15" s="1004">
        <v>1102</v>
      </c>
      <c r="I15" s="1004">
        <v>184</v>
      </c>
      <c r="J15" s="1004">
        <v>138</v>
      </c>
      <c r="K15" s="1004">
        <v>339</v>
      </c>
      <c r="L15" s="1004">
        <v>424</v>
      </c>
      <c r="N15" s="6">
        <v>1991</v>
      </c>
      <c r="O15" s="424">
        <v>3607</v>
      </c>
      <c r="P15" s="424">
        <v>77</v>
      </c>
      <c r="Q15" s="424">
        <v>12</v>
      </c>
      <c r="R15" s="424">
        <v>99</v>
      </c>
      <c r="S15" s="424">
        <v>86</v>
      </c>
      <c r="T15" s="424">
        <v>1147</v>
      </c>
      <c r="U15" s="424">
        <v>1102</v>
      </c>
      <c r="V15" s="424">
        <v>184</v>
      </c>
      <c r="W15" s="424">
        <v>138</v>
      </c>
      <c r="X15" s="424">
        <v>339</v>
      </c>
      <c r="Y15" s="424">
        <v>424</v>
      </c>
      <c r="Z15" s="6"/>
    </row>
    <row r="16" spans="1:26" s="972" customFormat="1">
      <c r="A16" s="2">
        <v>1992</v>
      </c>
      <c r="B16" s="1004">
        <v>3677</v>
      </c>
      <c r="C16" s="1004">
        <v>91</v>
      </c>
      <c r="D16" s="1004">
        <v>9</v>
      </c>
      <c r="E16" s="1004">
        <v>98</v>
      </c>
      <c r="F16" s="1004">
        <v>86</v>
      </c>
      <c r="G16" s="1004">
        <v>1035</v>
      </c>
      <c r="H16" s="1004">
        <v>1124</v>
      </c>
      <c r="I16" s="1004">
        <v>170</v>
      </c>
      <c r="J16" s="1004">
        <v>136</v>
      </c>
      <c r="K16" s="1004">
        <v>442</v>
      </c>
      <c r="L16" s="1004">
        <v>487</v>
      </c>
      <c r="N16" s="6">
        <v>1992</v>
      </c>
      <c r="O16" s="424">
        <v>3677</v>
      </c>
      <c r="P16" s="424">
        <v>91</v>
      </c>
      <c r="Q16" s="424">
        <v>9</v>
      </c>
      <c r="R16" s="424">
        <v>98</v>
      </c>
      <c r="S16" s="424">
        <v>86</v>
      </c>
      <c r="T16" s="424">
        <v>1035</v>
      </c>
      <c r="U16" s="424">
        <v>1124</v>
      </c>
      <c r="V16" s="424">
        <v>170</v>
      </c>
      <c r="W16" s="424">
        <v>136</v>
      </c>
      <c r="X16" s="424">
        <v>442</v>
      </c>
      <c r="Y16" s="424">
        <v>487</v>
      </c>
      <c r="Z16" s="6"/>
    </row>
    <row r="17" spans="1:26" s="972" customFormat="1">
      <c r="A17" s="2">
        <v>1993</v>
      </c>
      <c r="B17" s="1004">
        <v>3957</v>
      </c>
      <c r="C17" s="1004">
        <v>80</v>
      </c>
      <c r="D17" s="1004">
        <v>8</v>
      </c>
      <c r="E17" s="1004">
        <v>111</v>
      </c>
      <c r="F17" s="1004">
        <v>90</v>
      </c>
      <c r="G17" s="1004">
        <v>1222</v>
      </c>
      <c r="H17" s="1004">
        <v>1268</v>
      </c>
      <c r="I17" s="1004">
        <v>165</v>
      </c>
      <c r="J17" s="1004">
        <v>142</v>
      </c>
      <c r="K17" s="1004">
        <v>385</v>
      </c>
      <c r="L17" s="1004">
        <v>486</v>
      </c>
      <c r="N17" s="6">
        <v>1993</v>
      </c>
      <c r="O17" s="424">
        <v>3957</v>
      </c>
      <c r="P17" s="424">
        <v>80</v>
      </c>
      <c r="Q17" s="424">
        <v>8</v>
      </c>
      <c r="R17" s="424">
        <v>111</v>
      </c>
      <c r="S17" s="424">
        <v>90</v>
      </c>
      <c r="T17" s="424">
        <v>1222</v>
      </c>
      <c r="U17" s="424">
        <v>1268</v>
      </c>
      <c r="V17" s="424">
        <v>165</v>
      </c>
      <c r="W17" s="424">
        <v>142</v>
      </c>
      <c r="X17" s="424">
        <v>385</v>
      </c>
      <c r="Y17" s="424">
        <v>486</v>
      </c>
      <c r="Z17" s="6"/>
    </row>
    <row r="18" spans="1:26" s="972" customFormat="1">
      <c r="A18" s="2">
        <v>1994</v>
      </c>
      <c r="B18" s="1004">
        <v>3979</v>
      </c>
      <c r="C18" s="1004">
        <v>84</v>
      </c>
      <c r="D18" s="1004">
        <v>9</v>
      </c>
      <c r="E18" s="1004">
        <v>117</v>
      </c>
      <c r="F18" s="1004">
        <v>94</v>
      </c>
      <c r="G18" s="1004">
        <v>1212</v>
      </c>
      <c r="H18" s="1004">
        <v>1247</v>
      </c>
      <c r="I18" s="1004">
        <v>162</v>
      </c>
      <c r="J18" s="1004">
        <v>131</v>
      </c>
      <c r="K18" s="1004">
        <v>389</v>
      </c>
      <c r="L18" s="1004">
        <v>533</v>
      </c>
      <c r="N18" s="6">
        <v>1994</v>
      </c>
      <c r="O18" s="424">
        <v>3979</v>
      </c>
      <c r="P18" s="424">
        <v>84</v>
      </c>
      <c r="Q18" s="424">
        <v>9</v>
      </c>
      <c r="R18" s="424">
        <v>117</v>
      </c>
      <c r="S18" s="424">
        <v>94</v>
      </c>
      <c r="T18" s="424">
        <v>1212</v>
      </c>
      <c r="U18" s="424">
        <v>1247</v>
      </c>
      <c r="V18" s="424">
        <v>162</v>
      </c>
      <c r="W18" s="424">
        <v>131</v>
      </c>
      <c r="X18" s="424">
        <v>389</v>
      </c>
      <c r="Y18" s="424">
        <v>533</v>
      </c>
      <c r="Z18" s="6"/>
    </row>
    <row r="19" spans="1:26" s="972" customFormat="1">
      <c r="A19" s="2">
        <v>1995</v>
      </c>
      <c r="B19" s="1004">
        <v>4152</v>
      </c>
      <c r="C19" s="1004">
        <v>90</v>
      </c>
      <c r="D19" s="1004">
        <v>11</v>
      </c>
      <c r="E19" s="1004">
        <v>124</v>
      </c>
      <c r="F19" s="1004">
        <v>93</v>
      </c>
      <c r="G19" s="1004">
        <v>1247</v>
      </c>
      <c r="H19" s="1004">
        <v>1344</v>
      </c>
      <c r="I19" s="1004">
        <v>163</v>
      </c>
      <c r="J19" s="1004">
        <v>137</v>
      </c>
      <c r="K19" s="1004">
        <v>396</v>
      </c>
      <c r="L19" s="1004">
        <v>547</v>
      </c>
      <c r="N19" s="6">
        <v>1995</v>
      </c>
      <c r="O19" s="424">
        <v>4152</v>
      </c>
      <c r="P19" s="424">
        <v>90</v>
      </c>
      <c r="Q19" s="424">
        <v>11</v>
      </c>
      <c r="R19" s="424">
        <v>124</v>
      </c>
      <c r="S19" s="424">
        <v>93</v>
      </c>
      <c r="T19" s="424">
        <v>1247</v>
      </c>
      <c r="U19" s="424">
        <v>1344</v>
      </c>
      <c r="V19" s="424">
        <v>163</v>
      </c>
      <c r="W19" s="424">
        <v>137</v>
      </c>
      <c r="X19" s="424">
        <v>396</v>
      </c>
      <c r="Y19" s="424">
        <v>547</v>
      </c>
      <c r="Z19" s="6"/>
    </row>
    <row r="20" spans="1:26" s="972" customFormat="1">
      <c r="A20" s="2">
        <v>1996</v>
      </c>
      <c r="B20" s="1004">
        <v>4397</v>
      </c>
      <c r="C20" s="1004">
        <v>85</v>
      </c>
      <c r="D20" s="1004">
        <v>12</v>
      </c>
      <c r="E20" s="1004">
        <v>121</v>
      </c>
      <c r="F20" s="1004">
        <v>88</v>
      </c>
      <c r="G20" s="1004">
        <v>1280</v>
      </c>
      <c r="H20" s="1004">
        <v>1536</v>
      </c>
      <c r="I20" s="1004">
        <v>169</v>
      </c>
      <c r="J20" s="1004">
        <v>126</v>
      </c>
      <c r="K20" s="1004">
        <v>403</v>
      </c>
      <c r="L20" s="1004">
        <v>577</v>
      </c>
      <c r="N20" s="6">
        <v>1996</v>
      </c>
      <c r="O20" s="424">
        <v>4397</v>
      </c>
      <c r="P20" s="424">
        <v>85</v>
      </c>
      <c r="Q20" s="424">
        <v>12</v>
      </c>
      <c r="R20" s="424">
        <v>121</v>
      </c>
      <c r="S20" s="424">
        <v>88</v>
      </c>
      <c r="T20" s="424">
        <v>1280</v>
      </c>
      <c r="U20" s="424">
        <v>1536</v>
      </c>
      <c r="V20" s="424">
        <v>169</v>
      </c>
      <c r="W20" s="424">
        <v>126</v>
      </c>
      <c r="X20" s="424">
        <v>403</v>
      </c>
      <c r="Y20" s="424">
        <v>577</v>
      </c>
      <c r="Z20" s="6"/>
    </row>
    <row r="21" spans="1:26" s="972" customFormat="1">
      <c r="A21" s="2">
        <v>1997</v>
      </c>
      <c r="B21" s="1004">
        <v>4379</v>
      </c>
      <c r="C21" s="1004">
        <v>76</v>
      </c>
      <c r="D21" s="1004">
        <v>11</v>
      </c>
      <c r="E21" s="1004">
        <v>127</v>
      </c>
      <c r="F21" s="1004">
        <v>99</v>
      </c>
      <c r="G21" s="1004">
        <v>1322</v>
      </c>
      <c r="H21" s="1004">
        <v>1498</v>
      </c>
      <c r="I21" s="1004">
        <v>176</v>
      </c>
      <c r="J21" s="1004">
        <v>106</v>
      </c>
      <c r="K21" s="1004">
        <v>373</v>
      </c>
      <c r="L21" s="1004">
        <v>592</v>
      </c>
      <c r="N21" s="6">
        <v>1997</v>
      </c>
      <c r="O21" s="424">
        <v>4379</v>
      </c>
      <c r="P21" s="424">
        <v>76</v>
      </c>
      <c r="Q21" s="424">
        <v>11</v>
      </c>
      <c r="R21" s="424">
        <v>127</v>
      </c>
      <c r="S21" s="424">
        <v>99</v>
      </c>
      <c r="T21" s="424">
        <v>1322</v>
      </c>
      <c r="U21" s="424">
        <v>1498</v>
      </c>
      <c r="V21" s="424">
        <v>176</v>
      </c>
      <c r="W21" s="424">
        <v>106</v>
      </c>
      <c r="X21" s="424">
        <v>373</v>
      </c>
      <c r="Y21" s="424">
        <v>592</v>
      </c>
      <c r="Z21" s="6"/>
    </row>
    <row r="22" spans="1:26" s="972" customFormat="1">
      <c r="A22" s="2">
        <v>1998</v>
      </c>
      <c r="B22" s="1004">
        <v>4031</v>
      </c>
      <c r="C22" s="1004">
        <v>73</v>
      </c>
      <c r="D22" s="1004">
        <v>11</v>
      </c>
      <c r="E22" s="1004">
        <v>127</v>
      </c>
      <c r="F22" s="1004">
        <v>83</v>
      </c>
      <c r="G22" s="1004">
        <v>1212</v>
      </c>
      <c r="H22" s="1004">
        <v>1320</v>
      </c>
      <c r="I22" s="1004">
        <v>149</v>
      </c>
      <c r="J22" s="1004">
        <v>106</v>
      </c>
      <c r="K22" s="1004">
        <v>380</v>
      </c>
      <c r="L22" s="1004">
        <v>569</v>
      </c>
      <c r="N22" s="6">
        <v>1998</v>
      </c>
      <c r="O22" s="424">
        <v>4031</v>
      </c>
      <c r="P22" s="424">
        <v>73</v>
      </c>
      <c r="Q22" s="424">
        <v>11</v>
      </c>
      <c r="R22" s="424">
        <v>127</v>
      </c>
      <c r="S22" s="424">
        <v>83</v>
      </c>
      <c r="T22" s="424">
        <v>1212</v>
      </c>
      <c r="U22" s="424">
        <v>1320</v>
      </c>
      <c r="V22" s="424">
        <v>149</v>
      </c>
      <c r="W22" s="424">
        <v>106</v>
      </c>
      <c r="X22" s="424">
        <v>380</v>
      </c>
      <c r="Y22" s="424">
        <v>569</v>
      </c>
      <c r="Z22" s="6"/>
    </row>
    <row r="23" spans="1:26" s="972" customFormat="1">
      <c r="A23" s="2">
        <v>1999</v>
      </c>
      <c r="B23" s="1004">
        <v>3861</v>
      </c>
      <c r="C23" s="1004">
        <v>75</v>
      </c>
      <c r="D23" s="1004">
        <v>13</v>
      </c>
      <c r="E23" s="1004">
        <v>103</v>
      </c>
      <c r="F23" s="1004">
        <v>76</v>
      </c>
      <c r="G23" s="1004">
        <v>1064</v>
      </c>
      <c r="H23" s="1004">
        <v>1289</v>
      </c>
      <c r="I23" s="1004">
        <v>160</v>
      </c>
      <c r="J23" s="1004">
        <v>96</v>
      </c>
      <c r="K23" s="1004">
        <v>341</v>
      </c>
      <c r="L23" s="1004">
        <v>643</v>
      </c>
      <c r="N23" s="6">
        <v>1999</v>
      </c>
      <c r="O23" s="424">
        <v>3861</v>
      </c>
      <c r="P23" s="424">
        <v>75</v>
      </c>
      <c r="Q23" s="424">
        <v>13</v>
      </c>
      <c r="R23" s="424">
        <v>103</v>
      </c>
      <c r="S23" s="424">
        <v>76</v>
      </c>
      <c r="T23" s="424">
        <v>1064</v>
      </c>
      <c r="U23" s="424">
        <v>1289</v>
      </c>
      <c r="V23" s="424">
        <v>160</v>
      </c>
      <c r="W23" s="424">
        <v>96</v>
      </c>
      <c r="X23" s="424">
        <v>341</v>
      </c>
      <c r="Y23" s="424">
        <v>643</v>
      </c>
      <c r="Z23" s="6"/>
    </row>
    <row r="24" spans="1:26" s="972" customFormat="1">
      <c r="A24" s="2">
        <v>2000</v>
      </c>
      <c r="B24" s="1004">
        <v>3743</v>
      </c>
      <c r="C24" s="1004">
        <v>69</v>
      </c>
      <c r="D24" s="1004">
        <v>12</v>
      </c>
      <c r="E24" s="1004">
        <v>105</v>
      </c>
      <c r="F24" s="1004">
        <v>67</v>
      </c>
      <c r="G24" s="1004">
        <v>1067</v>
      </c>
      <c r="H24" s="1004">
        <v>1253</v>
      </c>
      <c r="I24" s="1004">
        <v>144</v>
      </c>
      <c r="J24" s="1004">
        <v>102</v>
      </c>
      <c r="K24" s="1004">
        <v>326</v>
      </c>
      <c r="L24" s="1004">
        <v>596</v>
      </c>
      <c r="N24" s="6">
        <v>2000</v>
      </c>
      <c r="O24" s="424">
        <v>3743</v>
      </c>
      <c r="P24" s="424">
        <v>69</v>
      </c>
      <c r="Q24" s="424">
        <v>12</v>
      </c>
      <c r="R24" s="424">
        <v>105</v>
      </c>
      <c r="S24" s="424">
        <v>67</v>
      </c>
      <c r="T24" s="424">
        <v>1067</v>
      </c>
      <c r="U24" s="424">
        <v>1253</v>
      </c>
      <c r="V24" s="424">
        <v>144</v>
      </c>
      <c r="W24" s="424">
        <v>102</v>
      </c>
      <c r="X24" s="424">
        <v>326</v>
      </c>
      <c r="Y24" s="424">
        <v>596</v>
      </c>
      <c r="Z24" s="6"/>
    </row>
    <row r="25" spans="1:26" s="972" customFormat="1">
      <c r="A25" s="2">
        <v>2001</v>
      </c>
      <c r="B25" s="1004">
        <v>3396</v>
      </c>
      <c r="C25" s="1004">
        <v>57</v>
      </c>
      <c r="D25" s="1004">
        <v>10</v>
      </c>
      <c r="E25" s="1004">
        <v>96</v>
      </c>
      <c r="F25" s="1004">
        <v>63</v>
      </c>
      <c r="G25" s="1004">
        <v>1000</v>
      </c>
      <c r="H25" s="1004">
        <v>1095</v>
      </c>
      <c r="I25" s="1004">
        <v>124</v>
      </c>
      <c r="J25" s="1004">
        <v>90</v>
      </c>
      <c r="K25" s="1004">
        <v>299</v>
      </c>
      <c r="L25" s="1004">
        <v>562</v>
      </c>
      <c r="N25" s="6">
        <v>2001</v>
      </c>
      <c r="O25" s="424">
        <v>3396</v>
      </c>
      <c r="P25" s="424">
        <v>57</v>
      </c>
      <c r="Q25" s="424">
        <v>10</v>
      </c>
      <c r="R25" s="424">
        <v>96</v>
      </c>
      <c r="S25" s="424">
        <v>63</v>
      </c>
      <c r="T25" s="424">
        <v>1000</v>
      </c>
      <c r="U25" s="424">
        <v>1095</v>
      </c>
      <c r="V25" s="424">
        <v>124</v>
      </c>
      <c r="W25" s="424">
        <v>90</v>
      </c>
      <c r="X25" s="424">
        <v>299</v>
      </c>
      <c r="Y25" s="424">
        <v>562</v>
      </c>
      <c r="Z25" s="6"/>
    </row>
    <row r="26" spans="1:26" s="972" customFormat="1">
      <c r="A26" s="2">
        <v>2002</v>
      </c>
      <c r="B26" s="1004">
        <v>3540</v>
      </c>
      <c r="C26" s="1004">
        <v>59</v>
      </c>
      <c r="D26" s="1004">
        <v>10</v>
      </c>
      <c r="E26" s="1004">
        <v>90</v>
      </c>
      <c r="F26" s="1004">
        <v>71</v>
      </c>
      <c r="G26" s="1004">
        <v>894</v>
      </c>
      <c r="H26" s="1004">
        <v>1276</v>
      </c>
      <c r="I26" s="1004">
        <v>132</v>
      </c>
      <c r="J26" s="1004">
        <v>80</v>
      </c>
      <c r="K26" s="1004">
        <v>286</v>
      </c>
      <c r="L26" s="1004">
        <v>642</v>
      </c>
      <c r="N26" s="6">
        <v>2002</v>
      </c>
      <c r="O26" s="424">
        <v>3540</v>
      </c>
      <c r="P26" s="424">
        <v>59</v>
      </c>
      <c r="Q26" s="424">
        <v>10</v>
      </c>
      <c r="R26" s="424">
        <v>90</v>
      </c>
      <c r="S26" s="424">
        <v>71</v>
      </c>
      <c r="T26" s="424">
        <v>894</v>
      </c>
      <c r="U26" s="424">
        <v>1276</v>
      </c>
      <c r="V26" s="424">
        <v>132</v>
      </c>
      <c r="W26" s="424">
        <v>80</v>
      </c>
      <c r="X26" s="424">
        <v>286</v>
      </c>
      <c r="Y26" s="424">
        <v>642</v>
      </c>
      <c r="Z26" s="6"/>
    </row>
    <row r="27" spans="1:26" s="972" customFormat="1">
      <c r="A27" s="2">
        <v>2003</v>
      </c>
      <c r="B27" s="1004">
        <v>3594</v>
      </c>
      <c r="C27" s="1004">
        <v>63</v>
      </c>
      <c r="D27" s="1004">
        <v>9</v>
      </c>
      <c r="E27" s="1004">
        <v>102</v>
      </c>
      <c r="F27" s="1004">
        <v>71</v>
      </c>
      <c r="G27" s="1004">
        <v>907</v>
      </c>
      <c r="H27" s="1004">
        <v>1259</v>
      </c>
      <c r="I27" s="1004">
        <v>138</v>
      </c>
      <c r="J27" s="1004">
        <v>91</v>
      </c>
      <c r="K27" s="1004">
        <v>331</v>
      </c>
      <c r="L27" s="1004">
        <v>623</v>
      </c>
      <c r="N27" s="6">
        <v>2003</v>
      </c>
      <c r="O27" s="424">
        <v>3594</v>
      </c>
      <c r="P27" s="424">
        <v>63</v>
      </c>
      <c r="Q27" s="424">
        <v>9</v>
      </c>
      <c r="R27" s="424">
        <v>102</v>
      </c>
      <c r="S27" s="424">
        <v>71</v>
      </c>
      <c r="T27" s="424">
        <v>907</v>
      </c>
      <c r="U27" s="424">
        <v>1259</v>
      </c>
      <c r="V27" s="424">
        <v>138</v>
      </c>
      <c r="W27" s="424">
        <v>91</v>
      </c>
      <c r="X27" s="424">
        <v>331</v>
      </c>
      <c r="Y27" s="424">
        <v>623</v>
      </c>
      <c r="Z27" s="6"/>
    </row>
    <row r="28" spans="1:26" s="972" customFormat="1">
      <c r="A28" s="2">
        <v>2004</v>
      </c>
      <c r="B28" s="1004">
        <v>3545</v>
      </c>
      <c r="C28" s="1004">
        <v>60</v>
      </c>
      <c r="D28" s="1004">
        <v>7</v>
      </c>
      <c r="E28" s="1004">
        <v>91</v>
      </c>
      <c r="F28" s="1004">
        <v>63</v>
      </c>
      <c r="G28" s="1004">
        <v>849</v>
      </c>
      <c r="H28" s="1004">
        <v>1347</v>
      </c>
      <c r="I28" s="1004">
        <v>125</v>
      </c>
      <c r="J28" s="1004">
        <v>93</v>
      </c>
      <c r="K28" s="1004">
        <v>331</v>
      </c>
      <c r="L28" s="1004">
        <v>577</v>
      </c>
      <c r="N28" s="6">
        <v>2004</v>
      </c>
      <c r="O28" s="424">
        <v>3545</v>
      </c>
      <c r="P28" s="424">
        <v>60</v>
      </c>
      <c r="Q28" s="424">
        <v>7</v>
      </c>
      <c r="R28" s="424">
        <v>91</v>
      </c>
      <c r="S28" s="424">
        <v>63</v>
      </c>
      <c r="T28" s="424">
        <v>849</v>
      </c>
      <c r="U28" s="424">
        <v>1347</v>
      </c>
      <c r="V28" s="424">
        <v>125</v>
      </c>
      <c r="W28" s="424">
        <v>93</v>
      </c>
      <c r="X28" s="424">
        <v>331</v>
      </c>
      <c r="Y28" s="424">
        <v>577</v>
      </c>
      <c r="Z28" s="6"/>
    </row>
    <row r="29" spans="1:26" s="972" customFormat="1">
      <c r="A29" s="2">
        <v>2005</v>
      </c>
      <c r="B29" s="1004">
        <v>3410</v>
      </c>
      <c r="C29" s="1004">
        <v>44</v>
      </c>
      <c r="D29" s="1004">
        <v>7</v>
      </c>
      <c r="E29" s="1004">
        <v>81</v>
      </c>
      <c r="F29" s="1004">
        <v>70</v>
      </c>
      <c r="G29" s="1004">
        <v>880</v>
      </c>
      <c r="H29" s="1004">
        <v>1280</v>
      </c>
      <c r="I29" s="1004">
        <v>139</v>
      </c>
      <c r="J29" s="1004">
        <v>99</v>
      </c>
      <c r="K29" s="1004">
        <v>271</v>
      </c>
      <c r="L29" s="1004">
        <v>539</v>
      </c>
      <c r="N29" s="6">
        <v>2005</v>
      </c>
      <c r="O29" s="424">
        <v>3410</v>
      </c>
      <c r="P29" s="424">
        <v>44</v>
      </c>
      <c r="Q29" s="424">
        <v>7</v>
      </c>
      <c r="R29" s="424">
        <v>81</v>
      </c>
      <c r="S29" s="424">
        <v>70</v>
      </c>
      <c r="T29" s="424">
        <v>880</v>
      </c>
      <c r="U29" s="424">
        <v>1280</v>
      </c>
      <c r="V29" s="424">
        <v>139</v>
      </c>
      <c r="W29" s="424">
        <v>99</v>
      </c>
      <c r="X29" s="424">
        <v>271</v>
      </c>
      <c r="Y29" s="424">
        <v>539</v>
      </c>
      <c r="Z29" s="6"/>
    </row>
    <row r="30" spans="1:26" s="972" customFormat="1">
      <c r="A30" s="2">
        <v>2006</v>
      </c>
      <c r="B30" s="1004">
        <v>3354</v>
      </c>
      <c r="C30" s="1004">
        <v>38</v>
      </c>
      <c r="D30" s="1004">
        <v>7</v>
      </c>
      <c r="E30" s="1004">
        <v>76</v>
      </c>
      <c r="F30" s="1004">
        <v>67</v>
      </c>
      <c r="G30" s="1004">
        <v>874</v>
      </c>
      <c r="H30" s="1004">
        <v>1290</v>
      </c>
      <c r="I30" s="1004">
        <v>125</v>
      </c>
      <c r="J30" s="1004">
        <v>96</v>
      </c>
      <c r="K30" s="1004">
        <v>234</v>
      </c>
      <c r="L30" s="1004">
        <v>546</v>
      </c>
      <c r="N30" s="6">
        <v>2006</v>
      </c>
      <c r="O30" s="424">
        <v>3354</v>
      </c>
      <c r="P30" s="424">
        <v>38</v>
      </c>
      <c r="Q30" s="424">
        <v>7</v>
      </c>
      <c r="R30" s="424">
        <v>76</v>
      </c>
      <c r="S30" s="424">
        <v>67</v>
      </c>
      <c r="T30" s="424">
        <v>874</v>
      </c>
      <c r="U30" s="424">
        <v>1290</v>
      </c>
      <c r="V30" s="424">
        <v>125</v>
      </c>
      <c r="W30" s="424">
        <v>96</v>
      </c>
      <c r="X30" s="424">
        <v>234</v>
      </c>
      <c r="Y30" s="424">
        <v>546</v>
      </c>
      <c r="Z30" s="6"/>
    </row>
    <row r="31" spans="1:26" s="972" customFormat="1">
      <c r="A31" s="2">
        <v>2007</v>
      </c>
      <c r="B31" s="1004">
        <v>2952</v>
      </c>
      <c r="C31" s="1004">
        <v>33</v>
      </c>
      <c r="D31" s="1004">
        <v>7</v>
      </c>
      <c r="E31" s="1004">
        <v>74</v>
      </c>
      <c r="F31" s="1004">
        <v>60</v>
      </c>
      <c r="G31" s="1004">
        <v>812</v>
      </c>
      <c r="H31" s="1004">
        <v>1108</v>
      </c>
      <c r="I31" s="1004">
        <v>109</v>
      </c>
      <c r="J31" s="1004">
        <v>68</v>
      </c>
      <c r="K31" s="1004">
        <v>208</v>
      </c>
      <c r="L31" s="1004">
        <v>474</v>
      </c>
      <c r="N31" s="6">
        <v>2007</v>
      </c>
      <c r="O31" s="424">
        <v>2952</v>
      </c>
      <c r="P31" s="424">
        <v>33</v>
      </c>
      <c r="Q31" s="424">
        <v>7</v>
      </c>
      <c r="R31" s="424">
        <v>74</v>
      </c>
      <c r="S31" s="424">
        <v>60</v>
      </c>
      <c r="T31" s="424">
        <v>812</v>
      </c>
      <c r="U31" s="424">
        <v>1108</v>
      </c>
      <c r="V31" s="424">
        <v>109</v>
      </c>
      <c r="W31" s="424">
        <v>68</v>
      </c>
      <c r="X31" s="424">
        <v>208</v>
      </c>
      <c r="Y31" s="424">
        <v>474</v>
      </c>
      <c r="Z31" s="6"/>
    </row>
    <row r="32" spans="1:26" s="114" customFormat="1">
      <c r="A32" s="738"/>
      <c r="B32" s="19"/>
      <c r="C32" s="19"/>
      <c r="D32" s="19" t="s">
        <v>802</v>
      </c>
      <c r="E32" s="19"/>
      <c r="F32" s="19"/>
      <c r="G32" s="300"/>
      <c r="H32" s="19"/>
      <c r="I32" s="19"/>
      <c r="J32" s="19"/>
      <c r="K32" s="19"/>
      <c r="L32" s="19"/>
    </row>
    <row r="33" spans="1:36" s="114" customFormat="1">
      <c r="A33" s="431" t="s">
        <v>603</v>
      </c>
      <c r="B33" s="967">
        <f t="shared" ref="B33:L33" si="0">((((B13/B5))^(1/8))-1)*100</f>
        <v>-0.53593602264251361</v>
      </c>
      <c r="C33" s="967">
        <f t="shared" si="0"/>
        <v>-3.1153884317289493</v>
      </c>
      <c r="D33" s="967">
        <f t="shared" si="0"/>
        <v>-7.5568275753980725</v>
      </c>
      <c r="E33" s="967">
        <f t="shared" si="0"/>
        <v>-1.7257118756282885</v>
      </c>
      <c r="F33" s="967">
        <f t="shared" si="0"/>
        <v>-4.1648564847255543</v>
      </c>
      <c r="G33" s="967">
        <f t="shared" si="0"/>
        <v>-1.2728136953635949</v>
      </c>
      <c r="H33" s="967">
        <f t="shared" si="0"/>
        <v>-1.4703746087141867</v>
      </c>
      <c r="I33" s="967">
        <f t="shared" si="0"/>
        <v>-1.0101810460059424</v>
      </c>
      <c r="J33" s="967">
        <f t="shared" si="0"/>
        <v>0</v>
      </c>
      <c r="K33" s="967">
        <f t="shared" si="0"/>
        <v>6.4334403971264997</v>
      </c>
      <c r="L33" s="967">
        <f t="shared" si="0"/>
        <v>0.99593680185683375</v>
      </c>
    </row>
    <row r="34" spans="1:36" s="114" customFormat="1">
      <c r="A34" s="431" t="s">
        <v>604</v>
      </c>
      <c r="B34" s="967">
        <f t="shared" ref="B34:L34" si="1">((((B24/B13))^(1/11))-1)*100</f>
        <v>2.98278209742453</v>
      </c>
      <c r="C34" s="967">
        <f t="shared" si="1"/>
        <v>1.4335330278927971</v>
      </c>
      <c r="D34" s="967">
        <f t="shared" si="1"/>
        <v>3.7548235793918971</v>
      </c>
      <c r="E34" s="967">
        <f t="shared" si="1"/>
        <v>1.7242624465476197</v>
      </c>
      <c r="F34" s="967">
        <f t="shared" si="1"/>
        <v>-0.89931785306869294</v>
      </c>
      <c r="G34" s="967">
        <f t="shared" si="1"/>
        <v>2.2650239586524457</v>
      </c>
      <c r="H34" s="967">
        <f t="shared" si="1"/>
        <v>4.5135083696240086</v>
      </c>
      <c r="I34" s="967">
        <f t="shared" si="1"/>
        <v>0.93414386008827677</v>
      </c>
      <c r="J34" s="967">
        <f t="shared" si="1"/>
        <v>-1.0060472817928212</v>
      </c>
      <c r="K34" s="967">
        <f t="shared" si="1"/>
        <v>0.66734942648201123</v>
      </c>
      <c r="L34" s="967">
        <f t="shared" si="1"/>
        <v>5.5794294011509926</v>
      </c>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row>
    <row r="35" spans="1:36" s="114" customFormat="1">
      <c r="A35" s="431" t="s">
        <v>447</v>
      </c>
      <c r="B35" s="23">
        <f>((((B31/B5))^(1/26))-1)*100</f>
        <v>0.16518689388818064</v>
      </c>
      <c r="C35" s="23">
        <f>((((C31/C5))^(1/26))-1)*100</f>
        <v>-3.1576325196545962</v>
      </c>
      <c r="D35" s="23">
        <f t="shared" ref="D35:L35" si="2">((((D31/D5))^(1/26))-1)*100</f>
        <v>-2.8887617952319533</v>
      </c>
      <c r="E35" s="23">
        <f t="shared" si="2"/>
        <v>-1.1514163853673653</v>
      </c>
      <c r="F35" s="23">
        <f t="shared" si="2"/>
        <v>-2.0933417797663223</v>
      </c>
      <c r="G35" s="23">
        <f t="shared" si="2"/>
        <v>-0.49573535417699599</v>
      </c>
      <c r="H35" s="23">
        <f t="shared" si="2"/>
        <v>0.94334538027274206</v>
      </c>
      <c r="I35" s="23">
        <f t="shared" si="2"/>
        <v>-0.98516136190477388</v>
      </c>
      <c r="J35" s="23">
        <f t="shared" si="2"/>
        <v>-1.96765599415063</v>
      </c>
      <c r="K35" s="23">
        <f t="shared" si="2"/>
        <v>0.47266092697311191</v>
      </c>
      <c r="L35" s="23">
        <f t="shared" si="2"/>
        <v>1.7359513279303629</v>
      </c>
    </row>
    <row r="36" spans="1:36" s="114" customFormat="1">
      <c r="A36" s="431" t="s">
        <v>449</v>
      </c>
      <c r="B36" s="967">
        <f>((((B31/B24))^(1/7))-1)*100</f>
        <v>-3.33462673095406</v>
      </c>
      <c r="C36" s="967">
        <f t="shared" ref="C36:L36" si="3">((((C31/C24))^(1/7))-1)*100</f>
        <v>-10.000968568693802</v>
      </c>
      <c r="D36" s="967">
        <f t="shared" si="3"/>
        <v>-7.4109683545374612</v>
      </c>
      <c r="E36" s="967">
        <f t="shared" si="3"/>
        <v>-4.8756341868797843</v>
      </c>
      <c r="F36" s="967">
        <f t="shared" si="3"/>
        <v>-1.5640406528294015</v>
      </c>
      <c r="G36" s="967">
        <f t="shared" si="3"/>
        <v>-3.8263842188418717</v>
      </c>
      <c r="H36" s="967">
        <f t="shared" si="3"/>
        <v>-1.7415717664006736</v>
      </c>
      <c r="I36" s="967">
        <f t="shared" si="3"/>
        <v>-3.8999907642945697</v>
      </c>
      <c r="J36" s="967">
        <f t="shared" si="3"/>
        <v>-5.627794256450203</v>
      </c>
      <c r="K36" s="967">
        <f t="shared" si="3"/>
        <v>-6.2177130179183475</v>
      </c>
      <c r="L36" s="967">
        <f t="shared" si="3"/>
        <v>-3.2189571623662094</v>
      </c>
    </row>
    <row r="37" spans="1:36" s="114" customFormat="1">
      <c r="A37" s="431"/>
      <c r="B37" s="300"/>
      <c r="C37" s="300"/>
      <c r="D37" s="19" t="s">
        <v>276</v>
      </c>
      <c r="E37" s="300"/>
      <c r="F37" s="300"/>
      <c r="G37" s="300"/>
      <c r="H37" s="300"/>
      <c r="I37" s="300"/>
      <c r="J37" s="300"/>
      <c r="K37" s="300"/>
      <c r="L37" s="300"/>
    </row>
    <row r="38" spans="1:36" s="114" customFormat="1">
      <c r="A38" s="431" t="s">
        <v>447</v>
      </c>
      <c r="B38" s="967">
        <f>(B31/B5-1)*100</f>
        <v>4.3847241867043918</v>
      </c>
      <c r="C38" s="967">
        <f t="shared" ref="C38:L38" si="4">(C31/C5-1)*100</f>
        <v>-56.578947368421048</v>
      </c>
      <c r="D38" s="967">
        <f t="shared" si="4"/>
        <v>-53.333333333333336</v>
      </c>
      <c r="E38" s="967">
        <f t="shared" si="4"/>
        <v>-26</v>
      </c>
      <c r="F38" s="967">
        <f t="shared" si="4"/>
        <v>-42.307692307692314</v>
      </c>
      <c r="G38" s="967">
        <f t="shared" si="4"/>
        <v>-12.121212121212121</v>
      </c>
      <c r="H38" s="967">
        <f t="shared" si="4"/>
        <v>27.649769585253448</v>
      </c>
      <c r="I38" s="967">
        <f t="shared" si="4"/>
        <v>-22.695035460992909</v>
      </c>
      <c r="J38" s="967">
        <f t="shared" si="4"/>
        <v>-40.350877192982459</v>
      </c>
      <c r="K38" s="967">
        <f t="shared" si="4"/>
        <v>13.043478260869556</v>
      </c>
      <c r="L38" s="967">
        <f t="shared" si="4"/>
        <v>56.43564356435644</v>
      </c>
    </row>
    <row r="39" spans="1:36" s="972" customFormat="1">
      <c r="A39" s="114"/>
      <c r="B39" s="114"/>
      <c r="C39" s="114"/>
      <c r="D39" s="114"/>
      <c r="E39" s="114"/>
      <c r="F39" s="114"/>
      <c r="G39" s="114"/>
      <c r="H39" s="114"/>
      <c r="I39" s="114"/>
      <c r="J39" s="114"/>
      <c r="K39" s="114"/>
      <c r="L39" s="114"/>
    </row>
    <row r="40" spans="1:36" s="972" customFormat="1" ht="25.5" customHeight="1">
      <c r="A40" s="1170" t="s">
        <v>1027</v>
      </c>
      <c r="B40" s="1170"/>
      <c r="C40" s="1170"/>
      <c r="D40" s="1170"/>
      <c r="E40" s="1170"/>
      <c r="F40" s="1170"/>
      <c r="G40" s="1170"/>
      <c r="H40" s="1170"/>
      <c r="I40" s="1170"/>
      <c r="J40" s="1170"/>
      <c r="K40" s="1170"/>
      <c r="L40" s="1170"/>
    </row>
    <row r="41" spans="1:36" s="972" customFormat="1" ht="14.25" customHeight="1">
      <c r="A41" s="13" t="s">
        <v>388</v>
      </c>
      <c r="B41" s="966"/>
      <c r="C41" s="966"/>
      <c r="D41" s="966"/>
      <c r="E41" s="966"/>
      <c r="F41" s="966"/>
      <c r="G41" s="966"/>
      <c r="H41" s="966"/>
      <c r="I41" s="966"/>
      <c r="J41" s="966"/>
      <c r="K41" s="966"/>
      <c r="L41" s="966"/>
    </row>
    <row r="42" spans="1:36" s="972" customFormat="1">
      <c r="A42" s="4" t="s">
        <v>1868</v>
      </c>
    </row>
    <row r="43" spans="1:36" s="974" customFormat="1" ht="25.15" customHeight="1">
      <c r="A43" s="1168" t="s">
        <v>547</v>
      </c>
      <c r="B43" s="1169"/>
      <c r="C43" s="1169"/>
      <c r="D43" s="1169"/>
      <c r="E43" s="1169"/>
      <c r="F43" s="1169"/>
      <c r="G43" s="1169"/>
      <c r="H43" s="1169"/>
      <c r="I43" s="1169"/>
      <c r="J43" s="1169"/>
      <c r="K43" s="1169"/>
      <c r="L43" s="1169"/>
    </row>
    <row r="44" spans="1:36">
      <c r="A44" s="1"/>
      <c r="B44" s="4"/>
    </row>
  </sheetData>
  <mergeCells count="13">
    <mergeCell ref="G3:G4"/>
    <mergeCell ref="H3:H4"/>
    <mergeCell ref="I3:I4"/>
    <mergeCell ref="A40:L40"/>
    <mergeCell ref="A43:L43"/>
    <mergeCell ref="B3:B4"/>
    <mergeCell ref="C3:C4"/>
    <mergeCell ref="D3:D4"/>
    <mergeCell ref="E3:E4"/>
    <mergeCell ref="J3:J4"/>
    <mergeCell ref="K3:K4"/>
    <mergeCell ref="L3:L4"/>
    <mergeCell ref="F3:F4"/>
  </mergeCells>
  <phoneticPr fontId="35" type="noConversion"/>
  <pageMargins left="0.75" right="0.75" top="1" bottom="1" header="0.5" footer="0.5"/>
  <pageSetup scale="80" orientation="landscape" horizontalDpi="300" verticalDpi="300" r:id="rId1"/>
  <headerFooter alignWithMargins="0"/>
</worksheet>
</file>

<file path=xl/worksheets/sheet74.xml><?xml version="1.0" encoding="utf-8"?>
<worksheet xmlns="http://schemas.openxmlformats.org/spreadsheetml/2006/main" xmlns:r="http://schemas.openxmlformats.org/officeDocument/2006/relationships">
  <sheetPr codeName="Sheet9">
    <pageSetUpPr fitToPage="1"/>
  </sheetPr>
  <dimension ref="A1:AJ42"/>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6384" width="9.140625" style="1"/>
  </cols>
  <sheetData>
    <row r="1" spans="1:25" ht="15.75">
      <c r="A1" s="4"/>
      <c r="B1" s="3" t="s">
        <v>2158</v>
      </c>
      <c r="M1" s="4"/>
      <c r="N1" s="4"/>
    </row>
    <row r="2" spans="1:25">
      <c r="A2" s="4"/>
      <c r="B2" s="4"/>
      <c r="M2" s="4"/>
      <c r="N2" s="4"/>
    </row>
    <row r="3" spans="1:25">
      <c r="B3" s="1166" t="s">
        <v>375</v>
      </c>
      <c r="C3" s="1164" t="s">
        <v>377</v>
      </c>
      <c r="D3" s="1164" t="s">
        <v>386</v>
      </c>
      <c r="E3" s="1164" t="s">
        <v>378</v>
      </c>
      <c r="F3" s="1164" t="s">
        <v>379</v>
      </c>
      <c r="G3" s="1164" t="s">
        <v>380</v>
      </c>
      <c r="H3" s="1164" t="s">
        <v>381</v>
      </c>
      <c r="I3" s="1164" t="s">
        <v>382</v>
      </c>
      <c r="J3" s="1164" t="s">
        <v>383</v>
      </c>
      <c r="K3" s="1164" t="s">
        <v>384</v>
      </c>
      <c r="L3" s="1164" t="s">
        <v>385</v>
      </c>
      <c r="M3" s="4"/>
      <c r="N3" s="4"/>
    </row>
    <row r="4" spans="1:25">
      <c r="A4" s="7"/>
      <c r="B4" s="1167"/>
      <c r="C4" s="1165"/>
      <c r="D4" s="1165"/>
      <c r="E4" s="1165"/>
      <c r="F4" s="1165"/>
      <c r="G4" s="1165"/>
      <c r="H4" s="1165"/>
      <c r="I4" s="1165"/>
      <c r="J4" s="1165"/>
      <c r="K4" s="1165"/>
      <c r="L4" s="1165"/>
      <c r="M4" s="4"/>
      <c r="N4" s="4"/>
    </row>
    <row r="5" spans="1:25" s="972" customFormat="1">
      <c r="A5" s="2">
        <v>1981</v>
      </c>
      <c r="B5" s="1005">
        <v>11.6</v>
      </c>
      <c r="C5" s="1005">
        <v>13.3</v>
      </c>
      <c r="D5" s="1005">
        <v>12</v>
      </c>
      <c r="E5" s="1005">
        <v>12.1</v>
      </c>
      <c r="F5" s="1005">
        <v>15</v>
      </c>
      <c r="G5" s="1005">
        <v>14.3</v>
      </c>
      <c r="H5" s="1005">
        <v>10</v>
      </c>
      <c r="I5" s="1005">
        <v>14.2</v>
      </c>
      <c r="J5" s="1005">
        <v>12.2</v>
      </c>
      <c r="K5" s="1005">
        <v>8</v>
      </c>
      <c r="L5" s="1005">
        <v>10.9</v>
      </c>
      <c r="M5" s="4"/>
      <c r="N5" s="4">
        <v>1981</v>
      </c>
      <c r="O5" s="425">
        <v>11.6</v>
      </c>
      <c r="P5" s="425">
        <v>13.3</v>
      </c>
      <c r="Q5" s="425">
        <v>12</v>
      </c>
      <c r="R5" s="425">
        <v>12.1</v>
      </c>
      <c r="S5" s="425">
        <v>15</v>
      </c>
      <c r="T5" s="425">
        <v>14.3</v>
      </c>
      <c r="U5" s="425">
        <v>10</v>
      </c>
      <c r="V5" s="425">
        <v>14.2</v>
      </c>
      <c r="W5" s="425">
        <v>12.2</v>
      </c>
      <c r="X5" s="425">
        <v>8</v>
      </c>
      <c r="Y5" s="425">
        <v>10.9</v>
      </c>
    </row>
    <row r="6" spans="1:25" s="972" customFormat="1">
      <c r="A6" s="2">
        <v>1982</v>
      </c>
      <c r="B6" s="1005">
        <v>12.4</v>
      </c>
      <c r="C6" s="1005">
        <v>14.9</v>
      </c>
      <c r="D6" s="1005">
        <v>10.7</v>
      </c>
      <c r="E6" s="1005">
        <v>12.5</v>
      </c>
      <c r="F6" s="1005">
        <v>15.1</v>
      </c>
      <c r="G6" s="1005">
        <v>15</v>
      </c>
      <c r="H6" s="1005">
        <v>10.9</v>
      </c>
      <c r="I6" s="1005">
        <v>15.5</v>
      </c>
      <c r="J6" s="1005">
        <v>11</v>
      </c>
      <c r="K6" s="1005">
        <v>9.1</v>
      </c>
      <c r="L6" s="1005">
        <v>12.1</v>
      </c>
      <c r="M6" s="4"/>
      <c r="N6" s="4">
        <v>1982</v>
      </c>
      <c r="O6" s="425">
        <v>12.4</v>
      </c>
      <c r="P6" s="425">
        <v>14.9</v>
      </c>
      <c r="Q6" s="425">
        <v>10.7</v>
      </c>
      <c r="R6" s="425">
        <v>12.5</v>
      </c>
      <c r="S6" s="425">
        <v>15.1</v>
      </c>
      <c r="T6" s="425">
        <v>15</v>
      </c>
      <c r="U6" s="425">
        <v>10.9</v>
      </c>
      <c r="V6" s="425">
        <v>15.5</v>
      </c>
      <c r="W6" s="425">
        <v>11</v>
      </c>
      <c r="X6" s="425">
        <v>9.1</v>
      </c>
      <c r="Y6" s="425">
        <v>12.1</v>
      </c>
    </row>
    <row r="7" spans="1:25" s="972" customFormat="1">
      <c r="A7" s="2">
        <v>1983</v>
      </c>
      <c r="B7" s="1005">
        <v>14</v>
      </c>
      <c r="C7" s="1005">
        <v>20.2</v>
      </c>
      <c r="D7" s="1005">
        <v>9.1999999999999993</v>
      </c>
      <c r="E7" s="1005">
        <v>12.2</v>
      </c>
      <c r="F7" s="1005">
        <v>18.2</v>
      </c>
      <c r="G7" s="1005">
        <v>15.9</v>
      </c>
      <c r="H7" s="1005">
        <v>12.8</v>
      </c>
      <c r="I7" s="1005">
        <v>13.7</v>
      </c>
      <c r="J7" s="1005">
        <v>12</v>
      </c>
      <c r="K7" s="1005">
        <v>13.1</v>
      </c>
      <c r="L7" s="1005">
        <v>13.5</v>
      </c>
      <c r="M7" s="4"/>
      <c r="N7" s="4">
        <v>1983</v>
      </c>
      <c r="O7" s="425">
        <v>14</v>
      </c>
      <c r="P7" s="425">
        <v>20.2</v>
      </c>
      <c r="Q7" s="425">
        <v>9.1999999999999993</v>
      </c>
      <c r="R7" s="425">
        <v>12.2</v>
      </c>
      <c r="S7" s="425">
        <v>18.2</v>
      </c>
      <c r="T7" s="425">
        <v>15.9</v>
      </c>
      <c r="U7" s="425">
        <v>12.8</v>
      </c>
      <c r="V7" s="425">
        <v>13.7</v>
      </c>
      <c r="W7" s="425">
        <v>12</v>
      </c>
      <c r="X7" s="425">
        <v>13.1</v>
      </c>
      <c r="Y7" s="425">
        <v>13.5</v>
      </c>
    </row>
    <row r="8" spans="1:25" s="972" customFormat="1">
      <c r="A8" s="2">
        <v>1984</v>
      </c>
      <c r="B8" s="1005">
        <v>13.7</v>
      </c>
      <c r="C8" s="1005">
        <v>16.5</v>
      </c>
      <c r="D8" s="1005">
        <v>8.6</v>
      </c>
      <c r="E8" s="1005">
        <v>12.2</v>
      </c>
      <c r="F8" s="1005">
        <v>15.5</v>
      </c>
      <c r="G8" s="1005">
        <v>16.399999999999999</v>
      </c>
      <c r="H8" s="1005">
        <v>11.2</v>
      </c>
      <c r="I8" s="1005">
        <v>14.2</v>
      </c>
      <c r="J8" s="1005">
        <v>13.8</v>
      </c>
      <c r="K8" s="1005">
        <v>14.9</v>
      </c>
      <c r="L8" s="1005">
        <v>14.2</v>
      </c>
      <c r="M8" s="4"/>
      <c r="N8" s="4">
        <v>1984</v>
      </c>
      <c r="O8" s="425">
        <v>13.7</v>
      </c>
      <c r="P8" s="425">
        <v>16.5</v>
      </c>
      <c r="Q8" s="425">
        <v>8.6</v>
      </c>
      <c r="R8" s="425">
        <v>12.2</v>
      </c>
      <c r="S8" s="425">
        <v>15.5</v>
      </c>
      <c r="T8" s="425">
        <v>16.399999999999999</v>
      </c>
      <c r="U8" s="425">
        <v>11.2</v>
      </c>
      <c r="V8" s="425">
        <v>14.2</v>
      </c>
      <c r="W8" s="425">
        <v>13.8</v>
      </c>
      <c r="X8" s="425">
        <v>14.9</v>
      </c>
      <c r="Y8" s="425">
        <v>14.2</v>
      </c>
    </row>
    <row r="9" spans="1:25" s="972" customFormat="1">
      <c r="A9" s="2">
        <v>1985</v>
      </c>
      <c r="B9" s="1005">
        <v>13</v>
      </c>
      <c r="C9" s="1005">
        <v>16.8</v>
      </c>
      <c r="D9" s="1005">
        <v>8.5</v>
      </c>
      <c r="E9" s="1005">
        <v>11.7</v>
      </c>
      <c r="F9" s="1005">
        <v>12.1</v>
      </c>
      <c r="G9" s="1005">
        <v>15.7</v>
      </c>
      <c r="H9" s="1005">
        <v>10.4</v>
      </c>
      <c r="I9" s="1005">
        <v>13.8</v>
      </c>
      <c r="J9" s="1005">
        <v>13.3</v>
      </c>
      <c r="K9" s="1005">
        <v>12.5</v>
      </c>
      <c r="L9" s="1005">
        <v>15.1</v>
      </c>
      <c r="M9" s="4"/>
      <c r="N9" s="4">
        <v>1985</v>
      </c>
      <c r="O9" s="425">
        <v>13</v>
      </c>
      <c r="P9" s="425">
        <v>16.8</v>
      </c>
      <c r="Q9" s="425">
        <v>8.5</v>
      </c>
      <c r="R9" s="425">
        <v>11.7</v>
      </c>
      <c r="S9" s="425">
        <v>12.1</v>
      </c>
      <c r="T9" s="425">
        <v>15.7</v>
      </c>
      <c r="U9" s="425">
        <v>10.4</v>
      </c>
      <c r="V9" s="425">
        <v>13.8</v>
      </c>
      <c r="W9" s="425">
        <v>13.3</v>
      </c>
      <c r="X9" s="425">
        <v>12.5</v>
      </c>
      <c r="Y9" s="425">
        <v>15.1</v>
      </c>
    </row>
    <row r="10" spans="1:25" s="972" customFormat="1">
      <c r="A10" s="2">
        <v>1986</v>
      </c>
      <c r="B10" s="1005">
        <v>12.1</v>
      </c>
      <c r="C10" s="1005">
        <v>14.9</v>
      </c>
      <c r="D10" s="1005">
        <v>7</v>
      </c>
      <c r="E10" s="1005">
        <v>10.8</v>
      </c>
      <c r="F10" s="1005">
        <v>11.8</v>
      </c>
      <c r="G10" s="1005">
        <v>15.3</v>
      </c>
      <c r="H10" s="1005">
        <v>9.1</v>
      </c>
      <c r="I10" s="1005">
        <v>13.9</v>
      </c>
      <c r="J10" s="1005">
        <v>15.3</v>
      </c>
      <c r="K10" s="1005">
        <v>11.4</v>
      </c>
      <c r="L10" s="1005">
        <v>13.3</v>
      </c>
      <c r="M10" s="4"/>
      <c r="N10" s="4">
        <v>1986</v>
      </c>
      <c r="O10" s="425">
        <v>12.1</v>
      </c>
      <c r="P10" s="425">
        <v>14.9</v>
      </c>
      <c r="Q10" s="425">
        <v>7</v>
      </c>
      <c r="R10" s="425">
        <v>10.8</v>
      </c>
      <c r="S10" s="425">
        <v>11.8</v>
      </c>
      <c r="T10" s="425">
        <v>15.3</v>
      </c>
      <c r="U10" s="425">
        <v>9.1</v>
      </c>
      <c r="V10" s="425">
        <v>13.9</v>
      </c>
      <c r="W10" s="425">
        <v>15.3</v>
      </c>
      <c r="X10" s="425">
        <v>11.4</v>
      </c>
      <c r="Y10" s="425">
        <v>13.3</v>
      </c>
    </row>
    <row r="11" spans="1:25" s="972" customFormat="1">
      <c r="A11" s="2">
        <v>1987</v>
      </c>
      <c r="B11" s="1005">
        <v>11.9</v>
      </c>
      <c r="C11" s="1005">
        <v>15</v>
      </c>
      <c r="D11" s="1005">
        <v>7.8</v>
      </c>
      <c r="E11" s="1005">
        <v>10.6</v>
      </c>
      <c r="F11" s="1005">
        <v>12.7</v>
      </c>
      <c r="G11" s="1005">
        <v>15.1</v>
      </c>
      <c r="H11" s="1005">
        <v>8.5</v>
      </c>
      <c r="I11" s="1005">
        <v>13.6</v>
      </c>
      <c r="J11" s="1005">
        <v>11.6</v>
      </c>
      <c r="K11" s="1005">
        <v>13.5</v>
      </c>
      <c r="L11" s="1005">
        <v>13.4</v>
      </c>
      <c r="M11" s="4"/>
      <c r="N11" s="4">
        <v>1987</v>
      </c>
      <c r="O11" s="425">
        <v>11.9</v>
      </c>
      <c r="P11" s="425">
        <v>15</v>
      </c>
      <c r="Q11" s="425">
        <v>7.8</v>
      </c>
      <c r="R11" s="425">
        <v>10.6</v>
      </c>
      <c r="S11" s="425">
        <v>12.7</v>
      </c>
      <c r="T11" s="425">
        <v>15.1</v>
      </c>
      <c r="U11" s="425">
        <v>8.5</v>
      </c>
      <c r="V11" s="425">
        <v>13.6</v>
      </c>
      <c r="W11" s="425">
        <v>11.6</v>
      </c>
      <c r="X11" s="425">
        <v>13.5</v>
      </c>
      <c r="Y11" s="425">
        <v>13.4</v>
      </c>
    </row>
    <row r="12" spans="1:25" s="972" customFormat="1">
      <c r="A12" s="2">
        <v>1988</v>
      </c>
      <c r="B12" s="1005">
        <v>10.8</v>
      </c>
      <c r="C12" s="1005">
        <v>11.7</v>
      </c>
      <c r="D12" s="1005">
        <v>7</v>
      </c>
      <c r="E12" s="1005">
        <v>9.1999999999999993</v>
      </c>
      <c r="F12" s="1005">
        <v>11.1</v>
      </c>
      <c r="G12" s="1005">
        <v>14.2</v>
      </c>
      <c r="H12" s="1005">
        <v>7.9</v>
      </c>
      <c r="I12" s="1005">
        <v>13.1</v>
      </c>
      <c r="J12" s="1005">
        <v>12</v>
      </c>
      <c r="K12" s="1005">
        <v>11.9</v>
      </c>
      <c r="L12" s="1005">
        <v>11</v>
      </c>
      <c r="M12" s="4"/>
      <c r="N12" s="4">
        <v>1988</v>
      </c>
      <c r="O12" s="425">
        <v>10.8</v>
      </c>
      <c r="P12" s="425">
        <v>11.7</v>
      </c>
      <c r="Q12" s="425">
        <v>7</v>
      </c>
      <c r="R12" s="425">
        <v>9.1999999999999993</v>
      </c>
      <c r="S12" s="425">
        <v>11.1</v>
      </c>
      <c r="T12" s="425">
        <v>14.2</v>
      </c>
      <c r="U12" s="425">
        <v>7.9</v>
      </c>
      <c r="V12" s="425">
        <v>13.1</v>
      </c>
      <c r="W12" s="425">
        <v>12</v>
      </c>
      <c r="X12" s="425">
        <v>11.9</v>
      </c>
      <c r="Y12" s="425">
        <v>11</v>
      </c>
    </row>
    <row r="13" spans="1:25" s="972" customFormat="1">
      <c r="A13" s="2">
        <v>1989</v>
      </c>
      <c r="B13" s="1005">
        <v>10.199999999999999</v>
      </c>
      <c r="C13" s="1005">
        <v>10.3</v>
      </c>
      <c r="D13" s="1005">
        <v>6.6</v>
      </c>
      <c r="E13" s="1005">
        <v>9.9</v>
      </c>
      <c r="F13" s="1005">
        <v>10.3</v>
      </c>
      <c r="G13" s="1005">
        <v>12.3</v>
      </c>
      <c r="H13" s="1005">
        <v>7.8</v>
      </c>
      <c r="I13" s="1005">
        <v>12.4</v>
      </c>
      <c r="J13" s="1005">
        <v>11.8</v>
      </c>
      <c r="K13" s="1005">
        <v>12.4</v>
      </c>
      <c r="L13" s="1005">
        <v>10.4</v>
      </c>
      <c r="M13" s="4"/>
      <c r="N13" s="4">
        <v>1989</v>
      </c>
      <c r="O13" s="425">
        <v>10.199999999999999</v>
      </c>
      <c r="P13" s="425">
        <v>10.3</v>
      </c>
      <c r="Q13" s="425">
        <v>6.6</v>
      </c>
      <c r="R13" s="425">
        <v>9.9</v>
      </c>
      <c r="S13" s="425">
        <v>10.3</v>
      </c>
      <c r="T13" s="425">
        <v>12.3</v>
      </c>
      <c r="U13" s="425">
        <v>7.8</v>
      </c>
      <c r="V13" s="425">
        <v>12.4</v>
      </c>
      <c r="W13" s="425">
        <v>11.8</v>
      </c>
      <c r="X13" s="425">
        <v>12.4</v>
      </c>
      <c r="Y13" s="425">
        <v>10.4</v>
      </c>
    </row>
    <row r="14" spans="1:25" s="972" customFormat="1">
      <c r="A14" s="2">
        <v>1990</v>
      </c>
      <c r="B14" s="1005">
        <v>11.8</v>
      </c>
      <c r="C14" s="1005">
        <v>13.1</v>
      </c>
      <c r="D14" s="1005">
        <v>6.1</v>
      </c>
      <c r="E14" s="1005">
        <v>9.1</v>
      </c>
      <c r="F14" s="1005">
        <v>10.6</v>
      </c>
      <c r="G14" s="1005">
        <v>14.9</v>
      </c>
      <c r="H14" s="1005">
        <v>9.1999999999999993</v>
      </c>
      <c r="I14" s="1005">
        <v>14.6</v>
      </c>
      <c r="J14" s="1005">
        <v>13.2</v>
      </c>
      <c r="K14" s="1005">
        <v>12.6</v>
      </c>
      <c r="L14" s="1005">
        <v>12.5</v>
      </c>
      <c r="M14" s="4"/>
      <c r="N14" s="4">
        <v>1990</v>
      </c>
      <c r="O14" s="425">
        <v>11.8</v>
      </c>
      <c r="P14" s="425">
        <v>13.1</v>
      </c>
      <c r="Q14" s="425">
        <v>6.1</v>
      </c>
      <c r="R14" s="425">
        <v>9.1</v>
      </c>
      <c r="S14" s="425">
        <v>10.6</v>
      </c>
      <c r="T14" s="425">
        <v>14.9</v>
      </c>
      <c r="U14" s="425">
        <v>9.1999999999999993</v>
      </c>
      <c r="V14" s="425">
        <v>14.6</v>
      </c>
      <c r="W14" s="425">
        <v>13.2</v>
      </c>
      <c r="X14" s="425">
        <v>12.6</v>
      </c>
      <c r="Y14" s="425">
        <v>12.5</v>
      </c>
    </row>
    <row r="15" spans="1:25" s="972" customFormat="1">
      <c r="A15" s="2">
        <v>1991</v>
      </c>
      <c r="B15" s="1005">
        <v>13.2</v>
      </c>
      <c r="C15" s="1005">
        <v>13.4</v>
      </c>
      <c r="D15" s="1005">
        <v>9</v>
      </c>
      <c r="E15" s="1005">
        <v>11.1</v>
      </c>
      <c r="F15" s="1005">
        <v>11.8</v>
      </c>
      <c r="G15" s="1005">
        <v>16.600000000000001</v>
      </c>
      <c r="H15" s="1005">
        <v>10.8</v>
      </c>
      <c r="I15" s="1005">
        <v>17.399999999999999</v>
      </c>
      <c r="J15" s="1005">
        <v>14.4</v>
      </c>
      <c r="K15" s="1005">
        <v>13.3</v>
      </c>
      <c r="L15" s="1005">
        <v>12.7</v>
      </c>
      <c r="M15" s="4"/>
      <c r="N15" s="4">
        <v>1991</v>
      </c>
      <c r="O15" s="425">
        <v>13.2</v>
      </c>
      <c r="P15" s="425">
        <v>13.4</v>
      </c>
      <c r="Q15" s="425">
        <v>9</v>
      </c>
      <c r="R15" s="425">
        <v>11.1</v>
      </c>
      <c r="S15" s="425">
        <v>11.8</v>
      </c>
      <c r="T15" s="425">
        <v>16.600000000000001</v>
      </c>
      <c r="U15" s="425">
        <v>10.8</v>
      </c>
      <c r="V15" s="425">
        <v>17.399999999999999</v>
      </c>
      <c r="W15" s="425">
        <v>14.4</v>
      </c>
      <c r="X15" s="425">
        <v>13.3</v>
      </c>
      <c r="Y15" s="425">
        <v>12.7</v>
      </c>
    </row>
    <row r="16" spans="1:25" s="972" customFormat="1">
      <c r="A16" s="2">
        <v>1992</v>
      </c>
      <c r="B16" s="1005">
        <v>13.3</v>
      </c>
      <c r="C16" s="1005">
        <v>15.8</v>
      </c>
      <c r="D16" s="1005">
        <v>7.2</v>
      </c>
      <c r="E16" s="1005">
        <v>11</v>
      </c>
      <c r="F16" s="1005">
        <v>11.8</v>
      </c>
      <c r="G16" s="1005">
        <v>14.8</v>
      </c>
      <c r="H16" s="1005">
        <v>10.8</v>
      </c>
      <c r="I16" s="1005">
        <v>16.100000000000001</v>
      </c>
      <c r="J16" s="1005">
        <v>14.3</v>
      </c>
      <c r="K16" s="1005">
        <v>17.100000000000001</v>
      </c>
      <c r="L16" s="1005">
        <v>14.2</v>
      </c>
      <c r="M16" s="4"/>
      <c r="N16" s="4">
        <v>1992</v>
      </c>
      <c r="O16" s="425">
        <v>13.3</v>
      </c>
      <c r="P16" s="425">
        <v>15.8</v>
      </c>
      <c r="Q16" s="425">
        <v>7.2</v>
      </c>
      <c r="R16" s="425">
        <v>11</v>
      </c>
      <c r="S16" s="425">
        <v>11.8</v>
      </c>
      <c r="T16" s="425">
        <v>14.8</v>
      </c>
      <c r="U16" s="425">
        <v>10.8</v>
      </c>
      <c r="V16" s="425">
        <v>16.100000000000001</v>
      </c>
      <c r="W16" s="425">
        <v>14.3</v>
      </c>
      <c r="X16" s="425">
        <v>17.100000000000001</v>
      </c>
      <c r="Y16" s="425">
        <v>14.2</v>
      </c>
    </row>
    <row r="17" spans="1:25" s="972" customFormat="1">
      <c r="A17" s="2">
        <v>1993</v>
      </c>
      <c r="B17" s="1005">
        <v>14.1</v>
      </c>
      <c r="C17" s="1005">
        <v>13.9</v>
      </c>
      <c r="D17" s="1005">
        <v>5.8</v>
      </c>
      <c r="E17" s="1005">
        <v>12.3</v>
      </c>
      <c r="F17" s="1005">
        <v>12.4</v>
      </c>
      <c r="G17" s="1005">
        <v>17.399999999999999</v>
      </c>
      <c r="H17" s="1005">
        <v>12</v>
      </c>
      <c r="I17" s="1005">
        <v>15.6</v>
      </c>
      <c r="J17" s="1005">
        <v>14.8</v>
      </c>
      <c r="K17" s="1005">
        <v>14.7</v>
      </c>
      <c r="L17" s="1005">
        <v>13.8</v>
      </c>
      <c r="M17" s="4"/>
      <c r="N17" s="4">
        <v>1993</v>
      </c>
      <c r="O17" s="425">
        <v>14.1</v>
      </c>
      <c r="P17" s="425">
        <v>13.9</v>
      </c>
      <c r="Q17" s="425">
        <v>5.8</v>
      </c>
      <c r="R17" s="425">
        <v>12.3</v>
      </c>
      <c r="S17" s="425">
        <v>12.4</v>
      </c>
      <c r="T17" s="425">
        <v>17.399999999999999</v>
      </c>
      <c r="U17" s="425">
        <v>12</v>
      </c>
      <c r="V17" s="425">
        <v>15.6</v>
      </c>
      <c r="W17" s="425">
        <v>14.8</v>
      </c>
      <c r="X17" s="425">
        <v>14.7</v>
      </c>
      <c r="Y17" s="425">
        <v>13.8</v>
      </c>
    </row>
    <row r="18" spans="1:25" s="972" customFormat="1">
      <c r="A18" s="2">
        <v>1994</v>
      </c>
      <c r="B18" s="1005">
        <v>14</v>
      </c>
      <c r="C18" s="1005">
        <v>14.9</v>
      </c>
      <c r="D18" s="1005">
        <v>6.7</v>
      </c>
      <c r="E18" s="1005">
        <v>13</v>
      </c>
      <c r="F18" s="1005">
        <v>12.9</v>
      </c>
      <c r="G18" s="1005">
        <v>17.2</v>
      </c>
      <c r="H18" s="1005">
        <v>11.7</v>
      </c>
      <c r="I18" s="1005">
        <v>15.3</v>
      </c>
      <c r="J18" s="1005">
        <v>13.7</v>
      </c>
      <c r="K18" s="1005">
        <v>14.7</v>
      </c>
      <c r="L18" s="1005">
        <v>14.7</v>
      </c>
      <c r="M18" s="4"/>
      <c r="N18" s="4">
        <v>1994</v>
      </c>
      <c r="O18" s="425">
        <v>14</v>
      </c>
      <c r="P18" s="425">
        <v>14.9</v>
      </c>
      <c r="Q18" s="425">
        <v>6.7</v>
      </c>
      <c r="R18" s="425">
        <v>13</v>
      </c>
      <c r="S18" s="425">
        <v>12.9</v>
      </c>
      <c r="T18" s="425">
        <v>17.2</v>
      </c>
      <c r="U18" s="425">
        <v>11.7</v>
      </c>
      <c r="V18" s="425">
        <v>15.3</v>
      </c>
      <c r="W18" s="425">
        <v>13.7</v>
      </c>
      <c r="X18" s="425">
        <v>14.7</v>
      </c>
      <c r="Y18" s="425">
        <v>14.7</v>
      </c>
    </row>
    <row r="19" spans="1:25" s="972" customFormat="1">
      <c r="A19" s="2">
        <v>1995</v>
      </c>
      <c r="B19" s="1005">
        <v>14.5</v>
      </c>
      <c r="C19" s="1005">
        <v>16.100000000000001</v>
      </c>
      <c r="D19" s="1005">
        <v>8.1999999999999993</v>
      </c>
      <c r="E19" s="1005">
        <v>13.7</v>
      </c>
      <c r="F19" s="1005">
        <v>12.7</v>
      </c>
      <c r="G19" s="1005">
        <v>17.600000000000001</v>
      </c>
      <c r="H19" s="1005">
        <v>12.4</v>
      </c>
      <c r="I19" s="1005">
        <v>15.3</v>
      </c>
      <c r="J19" s="1005">
        <v>14.2</v>
      </c>
      <c r="K19" s="1005">
        <v>14.8</v>
      </c>
      <c r="L19" s="1005">
        <v>14.7</v>
      </c>
      <c r="M19" s="4"/>
      <c r="N19" s="4">
        <v>1995</v>
      </c>
      <c r="O19" s="425">
        <v>14.5</v>
      </c>
      <c r="P19" s="425">
        <v>16.100000000000001</v>
      </c>
      <c r="Q19" s="425">
        <v>8.1999999999999993</v>
      </c>
      <c r="R19" s="425">
        <v>13.7</v>
      </c>
      <c r="S19" s="425">
        <v>12.7</v>
      </c>
      <c r="T19" s="425">
        <v>17.600000000000001</v>
      </c>
      <c r="U19" s="425">
        <v>12.4</v>
      </c>
      <c r="V19" s="425">
        <v>15.3</v>
      </c>
      <c r="W19" s="425">
        <v>14.2</v>
      </c>
      <c r="X19" s="425">
        <v>14.8</v>
      </c>
      <c r="Y19" s="425">
        <v>14.7</v>
      </c>
    </row>
    <row r="20" spans="1:25" s="972" customFormat="1">
      <c r="A20" s="2">
        <v>1996</v>
      </c>
      <c r="B20" s="1005">
        <v>15.2</v>
      </c>
      <c r="C20" s="1005">
        <v>15.4</v>
      </c>
      <c r="D20" s="1005">
        <v>8.6</v>
      </c>
      <c r="E20" s="1005">
        <v>13.4</v>
      </c>
      <c r="F20" s="1005">
        <v>12</v>
      </c>
      <c r="G20" s="1005">
        <v>18</v>
      </c>
      <c r="H20" s="1005">
        <v>14</v>
      </c>
      <c r="I20" s="1005">
        <v>15.8</v>
      </c>
      <c r="J20" s="1005">
        <v>13</v>
      </c>
      <c r="K20" s="1005">
        <v>14.8</v>
      </c>
      <c r="L20" s="1005">
        <v>15.2</v>
      </c>
      <c r="M20" s="4"/>
      <c r="N20" s="4">
        <v>1996</v>
      </c>
      <c r="O20" s="425">
        <v>15.2</v>
      </c>
      <c r="P20" s="425">
        <v>15.4</v>
      </c>
      <c r="Q20" s="425">
        <v>8.6</v>
      </c>
      <c r="R20" s="425">
        <v>13.4</v>
      </c>
      <c r="S20" s="425">
        <v>12</v>
      </c>
      <c r="T20" s="425">
        <v>18</v>
      </c>
      <c r="U20" s="425">
        <v>14</v>
      </c>
      <c r="V20" s="425">
        <v>15.8</v>
      </c>
      <c r="W20" s="425">
        <v>13</v>
      </c>
      <c r="X20" s="425">
        <v>14.8</v>
      </c>
      <c r="Y20" s="425">
        <v>15.2</v>
      </c>
    </row>
    <row r="21" spans="1:25" s="972" customFormat="1">
      <c r="A21" s="2">
        <v>1997</v>
      </c>
      <c r="B21" s="1005">
        <v>15</v>
      </c>
      <c r="C21" s="1005">
        <v>14.1</v>
      </c>
      <c r="D21" s="1005">
        <v>8.1999999999999993</v>
      </c>
      <c r="E21" s="1005">
        <v>14</v>
      </c>
      <c r="F21" s="1005">
        <v>13.5</v>
      </c>
      <c r="G21" s="1005">
        <v>18.5</v>
      </c>
      <c r="H21" s="1005">
        <v>13.5</v>
      </c>
      <c r="I21" s="1005">
        <v>16.5</v>
      </c>
      <c r="J21" s="1005">
        <v>11.1</v>
      </c>
      <c r="K21" s="1005">
        <v>13.4</v>
      </c>
      <c r="L21" s="1005">
        <v>15.3</v>
      </c>
      <c r="M21" s="4"/>
      <c r="N21" s="4">
        <v>1997</v>
      </c>
      <c r="O21" s="425">
        <v>15</v>
      </c>
      <c r="P21" s="425">
        <v>14.1</v>
      </c>
      <c r="Q21" s="425">
        <v>8.1999999999999993</v>
      </c>
      <c r="R21" s="425">
        <v>14</v>
      </c>
      <c r="S21" s="425">
        <v>13.5</v>
      </c>
      <c r="T21" s="425">
        <v>18.5</v>
      </c>
      <c r="U21" s="425">
        <v>13.5</v>
      </c>
      <c r="V21" s="425">
        <v>16.5</v>
      </c>
      <c r="W21" s="425">
        <v>11.1</v>
      </c>
      <c r="X21" s="425">
        <v>13.4</v>
      </c>
      <c r="Y21" s="425">
        <v>15.3</v>
      </c>
    </row>
    <row r="22" spans="1:25" s="972" customFormat="1">
      <c r="A22" s="2">
        <v>1998</v>
      </c>
      <c r="B22" s="1005">
        <v>13.7</v>
      </c>
      <c r="C22" s="1005">
        <v>13.8</v>
      </c>
      <c r="D22" s="1005">
        <v>8.5</v>
      </c>
      <c r="E22" s="1005">
        <v>14.1</v>
      </c>
      <c r="F22" s="1005">
        <v>11.4</v>
      </c>
      <c r="G22" s="1005">
        <v>16.899999999999999</v>
      </c>
      <c r="H22" s="1005">
        <v>11.7</v>
      </c>
      <c r="I22" s="1005">
        <v>14</v>
      </c>
      <c r="J22" s="1005">
        <v>11.1</v>
      </c>
      <c r="K22" s="1005">
        <v>13.3</v>
      </c>
      <c r="L22" s="1005">
        <v>14.6</v>
      </c>
      <c r="M22" s="4"/>
      <c r="N22" s="4">
        <v>1998</v>
      </c>
      <c r="O22" s="425">
        <v>13.7</v>
      </c>
      <c r="P22" s="425">
        <v>13.8</v>
      </c>
      <c r="Q22" s="425">
        <v>8.5</v>
      </c>
      <c r="R22" s="425">
        <v>14.1</v>
      </c>
      <c r="S22" s="425">
        <v>11.4</v>
      </c>
      <c r="T22" s="425">
        <v>16.899999999999999</v>
      </c>
      <c r="U22" s="425">
        <v>11.7</v>
      </c>
      <c r="V22" s="425">
        <v>14</v>
      </c>
      <c r="W22" s="425">
        <v>11.1</v>
      </c>
      <c r="X22" s="425">
        <v>13.3</v>
      </c>
      <c r="Y22" s="425">
        <v>14.6</v>
      </c>
    </row>
    <row r="23" spans="1:25" s="972" customFormat="1">
      <c r="A23" s="2">
        <v>1999</v>
      </c>
      <c r="B23" s="1005">
        <v>13</v>
      </c>
      <c r="C23" s="1005">
        <v>14.3</v>
      </c>
      <c r="D23" s="1005">
        <v>9.5</v>
      </c>
      <c r="E23" s="1005">
        <v>11.4</v>
      </c>
      <c r="F23" s="1005">
        <v>10.3</v>
      </c>
      <c r="G23" s="1005">
        <v>14.8</v>
      </c>
      <c r="H23" s="1005">
        <v>11.3</v>
      </c>
      <c r="I23" s="1005">
        <v>14.9</v>
      </c>
      <c r="J23" s="1005">
        <v>10.199999999999999</v>
      </c>
      <c r="K23" s="1005">
        <v>11.8</v>
      </c>
      <c r="L23" s="1005">
        <v>16.399999999999999</v>
      </c>
      <c r="M23" s="4"/>
      <c r="N23" s="4">
        <v>1999</v>
      </c>
      <c r="O23" s="425">
        <v>13</v>
      </c>
      <c r="P23" s="425">
        <v>14.3</v>
      </c>
      <c r="Q23" s="425">
        <v>9.5</v>
      </c>
      <c r="R23" s="425">
        <v>11.4</v>
      </c>
      <c r="S23" s="425">
        <v>10.3</v>
      </c>
      <c r="T23" s="425">
        <v>14.8</v>
      </c>
      <c r="U23" s="425">
        <v>11.3</v>
      </c>
      <c r="V23" s="425">
        <v>14.9</v>
      </c>
      <c r="W23" s="425">
        <v>10.199999999999999</v>
      </c>
      <c r="X23" s="425">
        <v>11.8</v>
      </c>
      <c r="Y23" s="425">
        <v>16.399999999999999</v>
      </c>
    </row>
    <row r="24" spans="1:25" s="972" customFormat="1">
      <c r="A24" s="2">
        <v>2000</v>
      </c>
      <c r="B24" s="1005">
        <v>12.5</v>
      </c>
      <c r="C24" s="1005">
        <v>13.2</v>
      </c>
      <c r="D24" s="1005">
        <v>9.1</v>
      </c>
      <c r="E24" s="1005">
        <v>11.6</v>
      </c>
      <c r="F24" s="1005">
        <v>9.1999999999999993</v>
      </c>
      <c r="G24" s="1005">
        <v>14.8</v>
      </c>
      <c r="H24" s="1005">
        <v>10.8</v>
      </c>
      <c r="I24" s="1005">
        <v>13.4</v>
      </c>
      <c r="J24" s="1005">
        <v>10.9</v>
      </c>
      <c r="K24" s="1005">
        <v>11.1</v>
      </c>
      <c r="L24" s="1005">
        <v>15.1</v>
      </c>
      <c r="M24" s="4"/>
      <c r="N24" s="4">
        <v>2000</v>
      </c>
      <c r="O24" s="425">
        <v>12.5</v>
      </c>
      <c r="P24" s="425">
        <v>13.2</v>
      </c>
      <c r="Q24" s="425">
        <v>9.1</v>
      </c>
      <c r="R24" s="425">
        <v>11.6</v>
      </c>
      <c r="S24" s="425">
        <v>9.1999999999999993</v>
      </c>
      <c r="T24" s="425">
        <v>14.8</v>
      </c>
      <c r="U24" s="425">
        <v>10.8</v>
      </c>
      <c r="V24" s="425">
        <v>13.4</v>
      </c>
      <c r="W24" s="425">
        <v>10.9</v>
      </c>
      <c r="X24" s="425">
        <v>11.1</v>
      </c>
      <c r="Y24" s="425">
        <v>15.1</v>
      </c>
    </row>
    <row r="25" spans="1:25" s="972" customFormat="1">
      <c r="A25" s="2">
        <v>2001</v>
      </c>
      <c r="B25" s="1005">
        <v>11.2</v>
      </c>
      <c r="C25" s="1005">
        <v>11.1</v>
      </c>
      <c r="D25" s="1005">
        <v>7.5</v>
      </c>
      <c r="E25" s="1005">
        <v>10.6</v>
      </c>
      <c r="F25" s="1005">
        <v>8.6999999999999993</v>
      </c>
      <c r="G25" s="1005">
        <v>13.8</v>
      </c>
      <c r="H25" s="1005">
        <v>9.3000000000000007</v>
      </c>
      <c r="I25" s="1005">
        <v>11.5</v>
      </c>
      <c r="J25" s="1005">
        <v>9.6999999999999993</v>
      </c>
      <c r="K25" s="1005">
        <v>10</v>
      </c>
      <c r="L25" s="1005">
        <v>14.1</v>
      </c>
      <c r="M25" s="4"/>
      <c r="N25" s="4">
        <v>2001</v>
      </c>
      <c r="O25" s="425">
        <v>11.2</v>
      </c>
      <c r="P25" s="425">
        <v>11.1</v>
      </c>
      <c r="Q25" s="425">
        <v>7.5</v>
      </c>
      <c r="R25" s="425">
        <v>10.6</v>
      </c>
      <c r="S25" s="425">
        <v>8.6999999999999993</v>
      </c>
      <c r="T25" s="425">
        <v>13.8</v>
      </c>
      <c r="U25" s="425">
        <v>9.3000000000000007</v>
      </c>
      <c r="V25" s="425">
        <v>11.5</v>
      </c>
      <c r="W25" s="425">
        <v>9.6999999999999993</v>
      </c>
      <c r="X25" s="425">
        <v>10</v>
      </c>
      <c r="Y25" s="425">
        <v>14.1</v>
      </c>
    </row>
    <row r="26" spans="1:25" s="972" customFormat="1">
      <c r="A26" s="2">
        <v>2002</v>
      </c>
      <c r="B26" s="1005">
        <v>11.6</v>
      </c>
      <c r="C26" s="1005">
        <v>11.4</v>
      </c>
      <c r="D26" s="1005">
        <v>7.3</v>
      </c>
      <c r="E26" s="1005">
        <v>9.9</v>
      </c>
      <c r="F26" s="1005">
        <v>9.8000000000000007</v>
      </c>
      <c r="G26" s="1005">
        <v>12.3</v>
      </c>
      <c r="H26" s="1005">
        <v>10.7</v>
      </c>
      <c r="I26" s="1005">
        <v>12.2</v>
      </c>
      <c r="J26" s="1005">
        <v>8.6</v>
      </c>
      <c r="K26" s="1005">
        <v>9.4</v>
      </c>
      <c r="L26" s="1005">
        <v>16</v>
      </c>
      <c r="M26" s="4"/>
      <c r="N26" s="4">
        <v>2002</v>
      </c>
      <c r="O26" s="425">
        <v>11.6</v>
      </c>
      <c r="P26" s="425">
        <v>11.4</v>
      </c>
      <c r="Q26" s="425">
        <v>7.3</v>
      </c>
      <c r="R26" s="425">
        <v>9.9</v>
      </c>
      <c r="S26" s="425">
        <v>9.8000000000000007</v>
      </c>
      <c r="T26" s="425">
        <v>12.3</v>
      </c>
      <c r="U26" s="425">
        <v>10.7</v>
      </c>
      <c r="V26" s="425">
        <v>12.2</v>
      </c>
      <c r="W26" s="425">
        <v>8.6</v>
      </c>
      <c r="X26" s="425">
        <v>9.4</v>
      </c>
      <c r="Y26" s="425">
        <v>16</v>
      </c>
    </row>
    <row r="27" spans="1:25" s="972" customFormat="1">
      <c r="A27" s="2">
        <v>2003</v>
      </c>
      <c r="B27" s="1005">
        <v>11.6</v>
      </c>
      <c r="C27" s="1005">
        <v>12.2</v>
      </c>
      <c r="D27" s="1005">
        <v>6.5</v>
      </c>
      <c r="E27" s="1005">
        <v>11.2</v>
      </c>
      <c r="F27" s="1005">
        <v>9.6999999999999993</v>
      </c>
      <c r="G27" s="1005">
        <v>12.3</v>
      </c>
      <c r="H27" s="1005">
        <v>10.4</v>
      </c>
      <c r="I27" s="1005">
        <v>12.6</v>
      </c>
      <c r="J27" s="1005">
        <v>9.8000000000000007</v>
      </c>
      <c r="K27" s="1005">
        <v>10.7</v>
      </c>
      <c r="L27" s="1005">
        <v>15.4</v>
      </c>
      <c r="M27" s="4"/>
      <c r="N27" s="4">
        <v>2003</v>
      </c>
      <c r="O27" s="425">
        <v>11.6</v>
      </c>
      <c r="P27" s="425">
        <v>12.2</v>
      </c>
      <c r="Q27" s="425">
        <v>6.5</v>
      </c>
      <c r="R27" s="425">
        <v>11.2</v>
      </c>
      <c r="S27" s="425">
        <v>9.6999999999999993</v>
      </c>
      <c r="T27" s="425">
        <v>12.3</v>
      </c>
      <c r="U27" s="425">
        <v>10.4</v>
      </c>
      <c r="V27" s="425">
        <v>12.6</v>
      </c>
      <c r="W27" s="425">
        <v>9.8000000000000007</v>
      </c>
      <c r="X27" s="425">
        <v>10.7</v>
      </c>
      <c r="Y27" s="425">
        <v>15.4</v>
      </c>
    </row>
    <row r="28" spans="1:25" s="972" customFormat="1">
      <c r="A28" s="2">
        <v>2004</v>
      </c>
      <c r="B28" s="1005">
        <v>11.4</v>
      </c>
      <c r="C28" s="1005">
        <v>11.7</v>
      </c>
      <c r="D28" s="1005">
        <v>5.3</v>
      </c>
      <c r="E28" s="1005">
        <v>10</v>
      </c>
      <c r="F28" s="1005">
        <v>8.6999999999999993</v>
      </c>
      <c r="G28" s="1005">
        <v>11.5</v>
      </c>
      <c r="H28" s="1005">
        <v>11</v>
      </c>
      <c r="I28" s="1005">
        <v>11.4</v>
      </c>
      <c r="J28" s="1005">
        <v>10.1</v>
      </c>
      <c r="K28" s="1005">
        <v>10.6</v>
      </c>
      <c r="L28" s="1005">
        <v>14.1</v>
      </c>
      <c r="M28" s="4"/>
      <c r="N28" s="4">
        <v>2004</v>
      </c>
      <c r="O28" s="425">
        <v>11.4</v>
      </c>
      <c r="P28" s="425">
        <v>11.7</v>
      </c>
      <c r="Q28" s="425">
        <v>5.3</v>
      </c>
      <c r="R28" s="425">
        <v>10</v>
      </c>
      <c r="S28" s="425">
        <v>8.6999999999999993</v>
      </c>
      <c r="T28" s="425">
        <v>11.5</v>
      </c>
      <c r="U28" s="425">
        <v>11</v>
      </c>
      <c r="V28" s="425">
        <v>11.4</v>
      </c>
      <c r="W28" s="425">
        <v>10.1</v>
      </c>
      <c r="X28" s="425">
        <v>10.6</v>
      </c>
      <c r="Y28" s="425">
        <v>14.1</v>
      </c>
    </row>
    <row r="29" spans="1:25" s="972" customFormat="1">
      <c r="A29" s="2">
        <v>2005</v>
      </c>
      <c r="B29" s="1005">
        <v>10.8</v>
      </c>
      <c r="C29" s="1005">
        <v>8.6</v>
      </c>
      <c r="D29" s="1005">
        <v>5.4</v>
      </c>
      <c r="E29" s="1005">
        <v>8.9</v>
      </c>
      <c r="F29" s="1005">
        <v>9.5</v>
      </c>
      <c r="G29" s="1005">
        <v>11.8</v>
      </c>
      <c r="H29" s="1005">
        <v>10.3</v>
      </c>
      <c r="I29" s="1005">
        <v>12.6</v>
      </c>
      <c r="J29" s="1005">
        <v>10.8</v>
      </c>
      <c r="K29" s="1005">
        <v>8.5</v>
      </c>
      <c r="L29" s="1005">
        <v>13</v>
      </c>
      <c r="M29" s="4"/>
      <c r="N29" s="4">
        <v>2005</v>
      </c>
      <c r="O29" s="425">
        <v>10.8</v>
      </c>
      <c r="P29" s="425">
        <v>8.6</v>
      </c>
      <c r="Q29" s="425">
        <v>5.4</v>
      </c>
      <c r="R29" s="425">
        <v>8.9</v>
      </c>
      <c r="S29" s="425">
        <v>9.5</v>
      </c>
      <c r="T29" s="425">
        <v>11.8</v>
      </c>
      <c r="U29" s="425">
        <v>10.3</v>
      </c>
      <c r="V29" s="425">
        <v>12.6</v>
      </c>
      <c r="W29" s="425">
        <v>10.8</v>
      </c>
      <c r="X29" s="425">
        <v>8.5</v>
      </c>
      <c r="Y29" s="425">
        <v>13</v>
      </c>
    </row>
    <row r="30" spans="1:25" s="972" customFormat="1">
      <c r="A30" s="2">
        <v>2006</v>
      </c>
      <c r="B30" s="1005">
        <v>10.5</v>
      </c>
      <c r="C30" s="1005">
        <v>7.6</v>
      </c>
      <c r="D30" s="1005">
        <v>5.4</v>
      </c>
      <c r="E30" s="1005">
        <v>8.4</v>
      </c>
      <c r="F30" s="1005">
        <v>9.1999999999999993</v>
      </c>
      <c r="G30" s="1005">
        <v>11.6</v>
      </c>
      <c r="H30" s="1005">
        <v>10.3</v>
      </c>
      <c r="I30" s="1005">
        <v>11.4</v>
      </c>
      <c r="J30" s="1005">
        <v>10.5</v>
      </c>
      <c r="K30" s="1005">
        <v>7</v>
      </c>
      <c r="L30" s="1005">
        <v>13</v>
      </c>
      <c r="M30" s="4"/>
      <c r="N30" s="4">
        <v>2006</v>
      </c>
      <c r="O30" s="425">
        <v>10.5</v>
      </c>
      <c r="P30" s="425">
        <v>7.6</v>
      </c>
      <c r="Q30" s="425">
        <v>5.4</v>
      </c>
      <c r="R30" s="425">
        <v>8.4</v>
      </c>
      <c r="S30" s="425">
        <v>9.1999999999999993</v>
      </c>
      <c r="T30" s="425">
        <v>11.6</v>
      </c>
      <c r="U30" s="425">
        <v>10.3</v>
      </c>
      <c r="V30" s="425">
        <v>11.4</v>
      </c>
      <c r="W30" s="425">
        <v>10.5</v>
      </c>
      <c r="X30" s="425">
        <v>7</v>
      </c>
      <c r="Y30" s="425">
        <v>13</v>
      </c>
    </row>
    <row r="31" spans="1:25" s="972" customFormat="1">
      <c r="A31" s="2">
        <v>2007</v>
      </c>
      <c r="B31" s="1005">
        <v>9.1999999999999993</v>
      </c>
      <c r="C31" s="1005">
        <v>6.5</v>
      </c>
      <c r="D31" s="1005">
        <v>5</v>
      </c>
      <c r="E31" s="1005">
        <v>8.1999999999999993</v>
      </c>
      <c r="F31" s="1005">
        <v>8.1999999999999993</v>
      </c>
      <c r="G31" s="1005">
        <v>10.7</v>
      </c>
      <c r="H31" s="1005">
        <v>8.8000000000000007</v>
      </c>
      <c r="I31" s="1005">
        <v>9.8000000000000007</v>
      </c>
      <c r="J31" s="1005">
        <v>7.3</v>
      </c>
      <c r="K31" s="1005">
        <v>6.1</v>
      </c>
      <c r="L31" s="1005">
        <v>11.1</v>
      </c>
      <c r="M31" s="4"/>
      <c r="N31" s="4">
        <v>2007</v>
      </c>
      <c r="O31" s="425">
        <v>9.1999999999999993</v>
      </c>
      <c r="P31" s="425">
        <v>6.5</v>
      </c>
      <c r="Q31" s="425">
        <v>5</v>
      </c>
      <c r="R31" s="425">
        <v>8.1999999999999993</v>
      </c>
      <c r="S31" s="425">
        <v>8.1999999999999993</v>
      </c>
      <c r="T31" s="425">
        <v>10.7</v>
      </c>
      <c r="U31" s="425">
        <v>8.8000000000000007</v>
      </c>
      <c r="V31" s="425">
        <v>9.8000000000000007</v>
      </c>
      <c r="W31" s="425">
        <v>7.3</v>
      </c>
      <c r="X31" s="425">
        <v>6.1</v>
      </c>
      <c r="Y31" s="425">
        <v>11.1</v>
      </c>
    </row>
    <row r="32" spans="1:25" s="114" customFormat="1" ht="12" customHeight="1">
      <c r="A32" s="431"/>
      <c r="D32" s="967" t="s">
        <v>655</v>
      </c>
    </row>
    <row r="33" spans="1:36" s="114" customFormat="1">
      <c r="A33" s="431" t="s">
        <v>603</v>
      </c>
      <c r="B33" s="10">
        <f>B13-B5</f>
        <v>-1.4000000000000004</v>
      </c>
      <c r="C33" s="10">
        <f t="shared" ref="C33:L33" si="0">C13-C5</f>
        <v>-3</v>
      </c>
      <c r="D33" s="10">
        <f t="shared" si="0"/>
        <v>-5.4</v>
      </c>
      <c r="E33" s="10">
        <f t="shared" si="0"/>
        <v>-2.1999999999999993</v>
      </c>
      <c r="F33" s="10">
        <f t="shared" si="0"/>
        <v>-4.6999999999999993</v>
      </c>
      <c r="G33" s="10">
        <f t="shared" si="0"/>
        <v>-2</v>
      </c>
      <c r="H33" s="10">
        <f t="shared" si="0"/>
        <v>-2.2000000000000002</v>
      </c>
      <c r="I33" s="10">
        <f t="shared" si="0"/>
        <v>-1.7999999999999989</v>
      </c>
      <c r="J33" s="10">
        <f t="shared" si="0"/>
        <v>-0.39999999999999858</v>
      </c>
      <c r="K33" s="10">
        <f t="shared" si="0"/>
        <v>4.4000000000000004</v>
      </c>
      <c r="L33" s="10">
        <f t="shared" si="0"/>
        <v>-0.5</v>
      </c>
    </row>
    <row r="34" spans="1:36" s="114" customFormat="1">
      <c r="A34" s="431" t="s">
        <v>604</v>
      </c>
      <c r="B34" s="10">
        <f>B24-B13</f>
        <v>2.3000000000000007</v>
      </c>
      <c r="C34" s="10">
        <f t="shared" ref="C34:L34" si="1">C24-C13</f>
        <v>2.8999999999999986</v>
      </c>
      <c r="D34" s="10">
        <f t="shared" si="1"/>
        <v>2.5</v>
      </c>
      <c r="E34" s="10">
        <f t="shared" si="1"/>
        <v>1.6999999999999993</v>
      </c>
      <c r="F34" s="10">
        <f t="shared" si="1"/>
        <v>-1.1000000000000014</v>
      </c>
      <c r="G34" s="10">
        <f t="shared" si="1"/>
        <v>2.5</v>
      </c>
      <c r="H34" s="10">
        <f t="shared" si="1"/>
        <v>3.0000000000000009</v>
      </c>
      <c r="I34" s="10">
        <f t="shared" si="1"/>
        <v>1</v>
      </c>
      <c r="J34" s="10">
        <f t="shared" si="1"/>
        <v>-0.90000000000000036</v>
      </c>
      <c r="K34" s="10">
        <f t="shared" si="1"/>
        <v>-1.3000000000000007</v>
      </c>
      <c r="L34" s="10">
        <f t="shared" si="1"/>
        <v>4.6999999999999993</v>
      </c>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row>
    <row r="35" spans="1:36" s="114" customFormat="1">
      <c r="A35" s="431" t="s">
        <v>447</v>
      </c>
      <c r="B35" s="10">
        <f>B31-B5</f>
        <v>-2.4000000000000004</v>
      </c>
      <c r="C35" s="10">
        <f t="shared" ref="C35:L35" si="2">C31-C5</f>
        <v>-6.8000000000000007</v>
      </c>
      <c r="D35" s="10">
        <f t="shared" si="2"/>
        <v>-7</v>
      </c>
      <c r="E35" s="10">
        <f t="shared" si="2"/>
        <v>-3.9000000000000004</v>
      </c>
      <c r="F35" s="10">
        <f t="shared" si="2"/>
        <v>-6.8000000000000007</v>
      </c>
      <c r="G35" s="10">
        <f t="shared" si="2"/>
        <v>-3.6000000000000014</v>
      </c>
      <c r="H35" s="10">
        <f t="shared" si="2"/>
        <v>-1.1999999999999993</v>
      </c>
      <c r="I35" s="10">
        <f t="shared" si="2"/>
        <v>-4.3999999999999986</v>
      </c>
      <c r="J35" s="10">
        <f t="shared" si="2"/>
        <v>-4.8999999999999995</v>
      </c>
      <c r="K35" s="10">
        <f t="shared" si="2"/>
        <v>-1.9000000000000004</v>
      </c>
      <c r="L35" s="10">
        <f t="shared" si="2"/>
        <v>0.19999999999999929</v>
      </c>
    </row>
    <row r="36" spans="1:36" s="114" customFormat="1">
      <c r="A36" s="431" t="s">
        <v>449</v>
      </c>
      <c r="B36" s="10">
        <f>B31-B24</f>
        <v>-3.3000000000000007</v>
      </c>
      <c r="C36" s="10">
        <f t="shared" ref="C36:L36" si="3">C31-C24</f>
        <v>-6.6999999999999993</v>
      </c>
      <c r="D36" s="10">
        <f t="shared" si="3"/>
        <v>-4.0999999999999996</v>
      </c>
      <c r="E36" s="10">
        <f t="shared" si="3"/>
        <v>-3.4000000000000004</v>
      </c>
      <c r="F36" s="10">
        <f t="shared" si="3"/>
        <v>-1</v>
      </c>
      <c r="G36" s="10">
        <f t="shared" si="3"/>
        <v>-4.1000000000000014</v>
      </c>
      <c r="H36" s="10">
        <f t="shared" si="3"/>
        <v>-2</v>
      </c>
      <c r="I36" s="10">
        <f t="shared" si="3"/>
        <v>-3.5999999999999996</v>
      </c>
      <c r="J36" s="10">
        <f t="shared" si="3"/>
        <v>-3.6000000000000005</v>
      </c>
      <c r="K36" s="10">
        <f t="shared" si="3"/>
        <v>-5</v>
      </c>
      <c r="L36" s="10">
        <f t="shared" si="3"/>
        <v>-4</v>
      </c>
    </row>
    <row r="37" spans="1:36">
      <c r="A37" s="114"/>
      <c r="B37" s="114"/>
      <c r="C37" s="114"/>
      <c r="D37" s="114"/>
      <c r="E37" s="114"/>
      <c r="F37" s="114"/>
      <c r="G37" s="114"/>
      <c r="H37" s="114"/>
      <c r="I37" s="114"/>
      <c r="J37" s="114"/>
      <c r="K37" s="114"/>
      <c r="L37" s="114"/>
      <c r="M37" s="4"/>
      <c r="N37" s="4"/>
    </row>
    <row r="38" spans="1:36" ht="25.5" customHeight="1">
      <c r="A38" s="1186" t="s">
        <v>1261</v>
      </c>
      <c r="B38" s="1187"/>
      <c r="C38" s="1187"/>
      <c r="D38" s="1187"/>
      <c r="E38" s="1187"/>
      <c r="F38" s="1187"/>
      <c r="G38" s="1187"/>
      <c r="H38" s="1187"/>
      <c r="I38" s="1187"/>
      <c r="J38" s="1187"/>
      <c r="K38" s="1187"/>
      <c r="L38" s="1187"/>
      <c r="M38" s="4"/>
      <c r="N38" s="4"/>
    </row>
    <row r="39" spans="1:36" ht="14.25" customHeight="1">
      <c r="A39" s="13" t="s">
        <v>388</v>
      </c>
      <c r="B39" s="643"/>
      <c r="C39" s="643"/>
      <c r="D39" s="643"/>
      <c r="E39" s="643"/>
      <c r="F39" s="643"/>
      <c r="G39" s="643"/>
      <c r="H39" s="643"/>
      <c r="I39" s="643"/>
      <c r="J39" s="643"/>
      <c r="K39" s="643"/>
      <c r="L39" s="643"/>
      <c r="M39" s="4"/>
      <c r="N39" s="4"/>
    </row>
    <row r="40" spans="1:36">
      <c r="A40" s="4" t="s">
        <v>1355</v>
      </c>
      <c r="M40" s="4"/>
      <c r="N40" s="4"/>
    </row>
    <row r="41" spans="1:36" ht="27" customHeight="1">
      <c r="A41" s="1168" t="s">
        <v>547</v>
      </c>
      <c r="B41" s="1168"/>
      <c r="C41" s="1168"/>
      <c r="D41" s="1168"/>
      <c r="E41" s="1168"/>
      <c r="F41" s="1168"/>
      <c r="G41" s="1168"/>
      <c r="H41" s="1168"/>
      <c r="I41" s="1168"/>
      <c r="J41" s="1168"/>
      <c r="K41" s="1168"/>
      <c r="L41" s="1168"/>
      <c r="M41" s="4"/>
      <c r="N41" s="4"/>
    </row>
    <row r="42" spans="1:36">
      <c r="A42" s="1"/>
      <c r="B42" s="4"/>
      <c r="M42" s="4"/>
      <c r="N42" s="4"/>
    </row>
  </sheetData>
  <mergeCells count="13">
    <mergeCell ref="A41:L41"/>
    <mergeCell ref="G3:G4"/>
    <mergeCell ref="H3:H4"/>
    <mergeCell ref="B3:B4"/>
    <mergeCell ref="C3:C4"/>
    <mergeCell ref="D3:D4"/>
    <mergeCell ref="E3:E4"/>
    <mergeCell ref="F3:F4"/>
    <mergeCell ref="A38:L38"/>
    <mergeCell ref="I3:I4"/>
    <mergeCell ref="J3:J4"/>
    <mergeCell ref="K3:K4"/>
    <mergeCell ref="L3:L4"/>
  </mergeCells>
  <phoneticPr fontId="35" type="noConversion"/>
  <pageMargins left="0.75" right="0.75" top="1" bottom="1" header="0.5" footer="0.5"/>
  <pageSetup scale="83" orientation="landscape" horizontalDpi="300" verticalDpi="300" r:id="rId1"/>
  <headerFooter alignWithMargins="0"/>
</worksheet>
</file>

<file path=xl/worksheets/sheet75.xml><?xml version="1.0" encoding="utf-8"?>
<worksheet xmlns="http://schemas.openxmlformats.org/spreadsheetml/2006/main" xmlns:r="http://schemas.openxmlformats.org/officeDocument/2006/relationships">
  <sheetPr codeName="Sheet97">
    <pageSetUpPr fitToPage="1"/>
  </sheetPr>
  <dimension ref="A1:AJ44"/>
  <sheetViews>
    <sheetView view="pageBreakPreview" zoomScale="80" zoomScaleSheetLayoutView="8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3" width="12.7109375" style="1" customWidth="1"/>
    <col min="14" max="16384" width="9.140625" style="1"/>
  </cols>
  <sheetData>
    <row r="1" spans="1:25" ht="15.75">
      <c r="A1" s="4"/>
      <c r="B1" s="3" t="s">
        <v>2159</v>
      </c>
      <c r="M1" s="4"/>
      <c r="N1" s="4"/>
    </row>
    <row r="2" spans="1:25">
      <c r="A2" s="4"/>
      <c r="B2" s="4"/>
      <c r="M2" s="4"/>
      <c r="N2" s="4"/>
    </row>
    <row r="3" spans="1:25">
      <c r="B3" s="1166" t="s">
        <v>375</v>
      </c>
      <c r="C3" s="1164" t="s">
        <v>377</v>
      </c>
      <c r="D3" s="1164" t="s">
        <v>386</v>
      </c>
      <c r="E3" s="1164" t="s">
        <v>378</v>
      </c>
      <c r="F3" s="1164" t="s">
        <v>379</v>
      </c>
      <c r="G3" s="1164" t="s">
        <v>380</v>
      </c>
      <c r="H3" s="1164" t="s">
        <v>381</v>
      </c>
      <c r="I3" s="1164" t="s">
        <v>382</v>
      </c>
      <c r="J3" s="1164" t="s">
        <v>383</v>
      </c>
      <c r="K3" s="1164" t="s">
        <v>384</v>
      </c>
      <c r="L3" s="1164" t="s">
        <v>385</v>
      </c>
      <c r="M3" s="4"/>
      <c r="N3" s="4"/>
    </row>
    <row r="4" spans="1:25">
      <c r="A4" s="7"/>
      <c r="B4" s="1167"/>
      <c r="C4" s="1165"/>
      <c r="D4" s="1165"/>
      <c r="E4" s="1165"/>
      <c r="F4" s="1165"/>
      <c r="G4" s="1165"/>
      <c r="H4" s="1165"/>
      <c r="I4" s="1165"/>
      <c r="J4" s="1165"/>
      <c r="K4" s="1165"/>
      <c r="L4" s="1165"/>
      <c r="M4" s="4"/>
      <c r="N4" s="4"/>
    </row>
    <row r="5" spans="1:25" s="972" customFormat="1">
      <c r="A5" s="2">
        <v>1981</v>
      </c>
      <c r="B5" s="1004">
        <v>848</v>
      </c>
      <c r="C5" s="1004">
        <v>33</v>
      </c>
      <c r="D5" s="1004">
        <v>5</v>
      </c>
      <c r="E5" s="1004">
        <v>31</v>
      </c>
      <c r="F5" s="1004">
        <v>39</v>
      </c>
      <c r="G5" s="1004">
        <v>260</v>
      </c>
      <c r="H5" s="1004">
        <v>255</v>
      </c>
      <c r="I5" s="1004">
        <v>46</v>
      </c>
      <c r="J5" s="1004">
        <v>40</v>
      </c>
      <c r="K5" s="1004">
        <v>56</v>
      </c>
      <c r="L5" s="1004">
        <v>82</v>
      </c>
      <c r="M5" s="4"/>
      <c r="N5" s="972">
        <v>1981</v>
      </c>
      <c r="O5" s="426">
        <v>848</v>
      </c>
      <c r="P5" s="426">
        <v>33</v>
      </c>
      <c r="Q5" s="426">
        <v>5</v>
      </c>
      <c r="R5" s="426">
        <v>31</v>
      </c>
      <c r="S5" s="426">
        <v>39</v>
      </c>
      <c r="T5" s="426">
        <v>260</v>
      </c>
      <c r="U5" s="426">
        <v>255</v>
      </c>
      <c r="V5" s="426">
        <v>46</v>
      </c>
      <c r="W5" s="426">
        <v>40</v>
      </c>
      <c r="X5" s="426">
        <v>56</v>
      </c>
      <c r="Y5" s="426">
        <v>82</v>
      </c>
    </row>
    <row r="6" spans="1:25" s="972" customFormat="1">
      <c r="A6" s="2">
        <v>1982</v>
      </c>
      <c r="B6" s="1004">
        <v>946</v>
      </c>
      <c r="C6" s="1004">
        <v>38</v>
      </c>
      <c r="D6" s="1004">
        <v>4</v>
      </c>
      <c r="E6" s="1004">
        <v>35</v>
      </c>
      <c r="F6" s="1004">
        <v>39</v>
      </c>
      <c r="G6" s="1004">
        <v>277</v>
      </c>
      <c r="H6" s="1004">
        <v>299</v>
      </c>
      <c r="I6" s="1004">
        <v>53</v>
      </c>
      <c r="J6" s="1004">
        <v>33</v>
      </c>
      <c r="K6" s="1004">
        <v>68</v>
      </c>
      <c r="L6" s="1004">
        <v>99</v>
      </c>
      <c r="M6" s="4"/>
      <c r="N6" s="972">
        <v>1982</v>
      </c>
      <c r="O6" s="426">
        <v>946</v>
      </c>
      <c r="P6" s="426">
        <v>38</v>
      </c>
      <c r="Q6" s="426">
        <v>4</v>
      </c>
      <c r="R6" s="426">
        <v>35</v>
      </c>
      <c r="S6" s="426">
        <v>39</v>
      </c>
      <c r="T6" s="426">
        <v>277</v>
      </c>
      <c r="U6" s="426">
        <v>299</v>
      </c>
      <c r="V6" s="426">
        <v>53</v>
      </c>
      <c r="W6" s="426">
        <v>33</v>
      </c>
      <c r="X6" s="426">
        <v>68</v>
      </c>
      <c r="Y6" s="426">
        <v>99</v>
      </c>
    </row>
    <row r="7" spans="1:25" s="972" customFormat="1">
      <c r="A7" s="2">
        <v>1983</v>
      </c>
      <c r="B7" s="1004">
        <v>1040</v>
      </c>
      <c r="C7" s="1004">
        <v>49</v>
      </c>
      <c r="D7" s="1004" t="s">
        <v>813</v>
      </c>
      <c r="E7" s="1004">
        <v>36</v>
      </c>
      <c r="F7" s="1004">
        <v>47</v>
      </c>
      <c r="G7" s="1004">
        <v>287</v>
      </c>
      <c r="H7" s="1004">
        <v>331</v>
      </c>
      <c r="I7" s="1004">
        <v>52</v>
      </c>
      <c r="J7" s="1004">
        <v>37</v>
      </c>
      <c r="K7" s="1004">
        <v>104</v>
      </c>
      <c r="L7" s="1004">
        <v>93</v>
      </c>
      <c r="M7" s="4"/>
      <c r="N7" s="972">
        <v>1983</v>
      </c>
      <c r="O7" s="426">
        <v>1040</v>
      </c>
      <c r="P7" s="426">
        <v>49</v>
      </c>
      <c r="Q7" s="426" t="s">
        <v>593</v>
      </c>
      <c r="R7" s="426">
        <v>36</v>
      </c>
      <c r="S7" s="426">
        <v>47</v>
      </c>
      <c r="T7" s="426">
        <v>287</v>
      </c>
      <c r="U7" s="426">
        <v>331</v>
      </c>
      <c r="V7" s="426">
        <v>52</v>
      </c>
      <c r="W7" s="426">
        <v>37</v>
      </c>
      <c r="X7" s="426">
        <v>104</v>
      </c>
      <c r="Y7" s="426">
        <v>93</v>
      </c>
    </row>
    <row r="8" spans="1:25" s="972" customFormat="1">
      <c r="A8" s="2">
        <v>1984</v>
      </c>
      <c r="B8" s="1004">
        <v>1062</v>
      </c>
      <c r="C8" s="1004">
        <v>41</v>
      </c>
      <c r="D8" s="1004">
        <v>3</v>
      </c>
      <c r="E8" s="1004">
        <v>34</v>
      </c>
      <c r="F8" s="1004">
        <v>39</v>
      </c>
      <c r="G8" s="1004">
        <v>317</v>
      </c>
      <c r="H8" s="1004">
        <v>295</v>
      </c>
      <c r="I8" s="1004">
        <v>46</v>
      </c>
      <c r="J8" s="1004">
        <v>48</v>
      </c>
      <c r="K8" s="1004">
        <v>126</v>
      </c>
      <c r="L8" s="1004">
        <v>111</v>
      </c>
      <c r="M8" s="4"/>
      <c r="N8" s="972">
        <v>1984</v>
      </c>
      <c r="O8" s="426">
        <v>1062</v>
      </c>
      <c r="P8" s="426">
        <v>41</v>
      </c>
      <c r="Q8" s="426">
        <v>3</v>
      </c>
      <c r="R8" s="426">
        <v>34</v>
      </c>
      <c r="S8" s="426">
        <v>39</v>
      </c>
      <c r="T8" s="426">
        <v>317</v>
      </c>
      <c r="U8" s="426">
        <v>295</v>
      </c>
      <c r="V8" s="426">
        <v>46</v>
      </c>
      <c r="W8" s="426">
        <v>48</v>
      </c>
      <c r="X8" s="426">
        <v>126</v>
      </c>
      <c r="Y8" s="426">
        <v>111</v>
      </c>
    </row>
    <row r="9" spans="1:25" s="972" customFormat="1">
      <c r="A9" s="2">
        <v>1985</v>
      </c>
      <c r="B9" s="1004">
        <v>1025</v>
      </c>
      <c r="C9" s="1004">
        <v>37</v>
      </c>
      <c r="D9" s="1004">
        <v>3</v>
      </c>
      <c r="E9" s="1004">
        <v>35</v>
      </c>
      <c r="F9" s="1004">
        <v>30</v>
      </c>
      <c r="G9" s="1004">
        <v>286</v>
      </c>
      <c r="H9" s="1004">
        <v>313</v>
      </c>
      <c r="I9" s="1004">
        <v>47</v>
      </c>
      <c r="J9" s="1004">
        <v>46</v>
      </c>
      <c r="K9" s="1004">
        <v>104</v>
      </c>
      <c r="L9" s="1004">
        <v>125</v>
      </c>
      <c r="M9" s="4"/>
      <c r="N9" s="972">
        <v>1985</v>
      </c>
      <c r="O9" s="426">
        <v>1025</v>
      </c>
      <c r="P9" s="426">
        <v>37</v>
      </c>
      <c r="Q9" s="426">
        <v>3</v>
      </c>
      <c r="R9" s="426">
        <v>35</v>
      </c>
      <c r="S9" s="426">
        <v>30</v>
      </c>
      <c r="T9" s="426">
        <v>286</v>
      </c>
      <c r="U9" s="426">
        <v>313</v>
      </c>
      <c r="V9" s="426">
        <v>47</v>
      </c>
      <c r="W9" s="426">
        <v>46</v>
      </c>
      <c r="X9" s="426">
        <v>104</v>
      </c>
      <c r="Y9" s="426">
        <v>125</v>
      </c>
    </row>
    <row r="10" spans="1:25" s="972" customFormat="1">
      <c r="A10" s="2">
        <v>1986</v>
      </c>
      <c r="B10" s="1004">
        <v>908</v>
      </c>
      <c r="C10" s="1004">
        <v>31</v>
      </c>
      <c r="D10" s="1004">
        <v>3</v>
      </c>
      <c r="E10" s="1004">
        <v>29</v>
      </c>
      <c r="F10" s="1004">
        <v>28</v>
      </c>
      <c r="G10" s="1004">
        <v>266</v>
      </c>
      <c r="H10" s="1004">
        <v>253</v>
      </c>
      <c r="I10" s="1004">
        <v>50</v>
      </c>
      <c r="J10" s="1004">
        <v>56</v>
      </c>
      <c r="K10" s="1004">
        <v>84</v>
      </c>
      <c r="L10" s="1004">
        <v>109</v>
      </c>
      <c r="M10" s="4"/>
      <c r="N10" s="972">
        <v>1986</v>
      </c>
      <c r="O10" s="426">
        <v>908</v>
      </c>
      <c r="P10" s="426">
        <v>31</v>
      </c>
      <c r="Q10" s="426">
        <v>3</v>
      </c>
      <c r="R10" s="426">
        <v>29</v>
      </c>
      <c r="S10" s="426">
        <v>28</v>
      </c>
      <c r="T10" s="426">
        <v>266</v>
      </c>
      <c r="U10" s="426">
        <v>253</v>
      </c>
      <c r="V10" s="426">
        <v>50</v>
      </c>
      <c r="W10" s="426">
        <v>56</v>
      </c>
      <c r="X10" s="426">
        <v>84</v>
      </c>
      <c r="Y10" s="426">
        <v>109</v>
      </c>
    </row>
    <row r="11" spans="1:25" s="972" customFormat="1">
      <c r="A11" s="2">
        <v>1987</v>
      </c>
      <c r="B11" s="1004">
        <v>897</v>
      </c>
      <c r="C11" s="1004">
        <v>33</v>
      </c>
      <c r="D11" s="1004">
        <v>3</v>
      </c>
      <c r="E11" s="1004">
        <v>29</v>
      </c>
      <c r="F11" s="1004">
        <v>31</v>
      </c>
      <c r="G11" s="1004">
        <v>274</v>
      </c>
      <c r="H11" s="1004">
        <v>222</v>
      </c>
      <c r="I11" s="1004">
        <v>46</v>
      </c>
      <c r="J11" s="1004">
        <v>38</v>
      </c>
      <c r="K11" s="1004">
        <v>108</v>
      </c>
      <c r="L11" s="1004">
        <v>112</v>
      </c>
      <c r="M11" s="4"/>
      <c r="N11" s="972">
        <v>1987</v>
      </c>
      <c r="O11" s="426">
        <v>897</v>
      </c>
      <c r="P11" s="426">
        <v>33</v>
      </c>
      <c r="Q11" s="426">
        <v>3</v>
      </c>
      <c r="R11" s="426">
        <v>29</v>
      </c>
      <c r="S11" s="426">
        <v>31</v>
      </c>
      <c r="T11" s="426">
        <v>274</v>
      </c>
      <c r="U11" s="426">
        <v>222</v>
      </c>
      <c r="V11" s="426">
        <v>46</v>
      </c>
      <c r="W11" s="426">
        <v>38</v>
      </c>
      <c r="X11" s="426">
        <v>108</v>
      </c>
      <c r="Y11" s="426">
        <v>112</v>
      </c>
    </row>
    <row r="12" spans="1:25" s="972" customFormat="1">
      <c r="A12" s="2">
        <v>1988</v>
      </c>
      <c r="B12" s="1004">
        <v>804</v>
      </c>
      <c r="C12" s="1004">
        <v>25</v>
      </c>
      <c r="D12" s="1004">
        <v>3</v>
      </c>
      <c r="E12" s="1004">
        <v>22</v>
      </c>
      <c r="F12" s="1004">
        <v>27</v>
      </c>
      <c r="G12" s="1004">
        <v>229</v>
      </c>
      <c r="H12" s="1004">
        <v>219</v>
      </c>
      <c r="I12" s="1004">
        <v>46</v>
      </c>
      <c r="J12" s="1004">
        <v>43</v>
      </c>
      <c r="K12" s="1004">
        <v>93</v>
      </c>
      <c r="L12" s="1004">
        <v>97</v>
      </c>
      <c r="M12" s="4"/>
      <c r="N12" s="972">
        <v>1988</v>
      </c>
      <c r="O12" s="426">
        <v>804</v>
      </c>
      <c r="P12" s="426">
        <v>25</v>
      </c>
      <c r="Q12" s="426">
        <v>3</v>
      </c>
      <c r="R12" s="426">
        <v>22</v>
      </c>
      <c r="S12" s="426">
        <v>27</v>
      </c>
      <c r="T12" s="426">
        <v>229</v>
      </c>
      <c r="U12" s="426">
        <v>219</v>
      </c>
      <c r="V12" s="426">
        <v>46</v>
      </c>
      <c r="W12" s="426">
        <v>43</v>
      </c>
      <c r="X12" s="426">
        <v>93</v>
      </c>
      <c r="Y12" s="426">
        <v>97</v>
      </c>
    </row>
    <row r="13" spans="1:25" s="972" customFormat="1">
      <c r="A13" s="2">
        <v>1989</v>
      </c>
      <c r="B13" s="1004">
        <v>792</v>
      </c>
      <c r="C13" s="1004">
        <v>24</v>
      </c>
      <c r="D13" s="1004">
        <v>2</v>
      </c>
      <c r="E13" s="1004">
        <v>26</v>
      </c>
      <c r="F13" s="1004">
        <v>25</v>
      </c>
      <c r="G13" s="1004">
        <v>205</v>
      </c>
      <c r="H13" s="1004">
        <v>231</v>
      </c>
      <c r="I13" s="1004">
        <v>47</v>
      </c>
      <c r="J13" s="1004">
        <v>43</v>
      </c>
      <c r="K13" s="1004">
        <v>101</v>
      </c>
      <c r="L13" s="1004">
        <v>88</v>
      </c>
      <c r="M13" s="4"/>
      <c r="N13" s="972">
        <v>1989</v>
      </c>
      <c r="O13" s="426">
        <v>792</v>
      </c>
      <c r="P13" s="426">
        <v>24</v>
      </c>
      <c r="Q13" s="426">
        <v>2</v>
      </c>
      <c r="R13" s="426">
        <v>26</v>
      </c>
      <c r="S13" s="426">
        <v>25</v>
      </c>
      <c r="T13" s="426">
        <v>205</v>
      </c>
      <c r="U13" s="426">
        <v>231</v>
      </c>
      <c r="V13" s="426">
        <v>47</v>
      </c>
      <c r="W13" s="426">
        <v>43</v>
      </c>
      <c r="X13" s="426">
        <v>101</v>
      </c>
      <c r="Y13" s="426">
        <v>88</v>
      </c>
    </row>
    <row r="14" spans="1:25" s="972" customFormat="1">
      <c r="A14" s="2">
        <v>1990</v>
      </c>
      <c r="B14" s="1004">
        <v>942</v>
      </c>
      <c r="C14" s="1004">
        <v>29</v>
      </c>
      <c r="D14" s="1004">
        <v>2</v>
      </c>
      <c r="E14" s="1004">
        <v>26</v>
      </c>
      <c r="F14" s="1004">
        <v>26</v>
      </c>
      <c r="G14" s="1004">
        <v>241</v>
      </c>
      <c r="H14" s="1004">
        <v>295</v>
      </c>
      <c r="I14" s="1004">
        <v>53</v>
      </c>
      <c r="J14" s="1004">
        <v>46</v>
      </c>
      <c r="K14" s="1004">
        <v>107</v>
      </c>
      <c r="L14" s="1004">
        <v>116</v>
      </c>
      <c r="M14" s="4"/>
      <c r="N14" s="972">
        <v>1990</v>
      </c>
      <c r="O14" s="426">
        <v>942</v>
      </c>
      <c r="P14" s="426">
        <v>29</v>
      </c>
      <c r="Q14" s="426">
        <v>2</v>
      </c>
      <c r="R14" s="426">
        <v>26</v>
      </c>
      <c r="S14" s="426">
        <v>26</v>
      </c>
      <c r="T14" s="426">
        <v>241</v>
      </c>
      <c r="U14" s="426">
        <v>295</v>
      </c>
      <c r="V14" s="426">
        <v>53</v>
      </c>
      <c r="W14" s="426">
        <v>46</v>
      </c>
      <c r="X14" s="426">
        <v>107</v>
      </c>
      <c r="Y14" s="426">
        <v>116</v>
      </c>
    </row>
    <row r="15" spans="1:25" s="972" customFormat="1">
      <c r="A15" s="2">
        <v>1991</v>
      </c>
      <c r="B15" s="1004">
        <v>1036</v>
      </c>
      <c r="C15" s="1004">
        <v>26</v>
      </c>
      <c r="D15" s="1004">
        <v>4</v>
      </c>
      <c r="E15" s="1004">
        <v>34</v>
      </c>
      <c r="F15" s="1004">
        <v>31</v>
      </c>
      <c r="G15" s="1004">
        <v>282</v>
      </c>
      <c r="H15" s="1004">
        <v>341</v>
      </c>
      <c r="I15" s="1004">
        <v>66</v>
      </c>
      <c r="J15" s="1004">
        <v>48</v>
      </c>
      <c r="K15" s="1004">
        <v>109</v>
      </c>
      <c r="L15" s="1004">
        <v>95</v>
      </c>
      <c r="M15" s="4"/>
      <c r="N15" s="972">
        <v>1991</v>
      </c>
      <c r="O15" s="426">
        <v>1036</v>
      </c>
      <c r="P15" s="426">
        <v>26</v>
      </c>
      <c r="Q15" s="426">
        <v>4</v>
      </c>
      <c r="R15" s="426">
        <v>34</v>
      </c>
      <c r="S15" s="426">
        <v>31</v>
      </c>
      <c r="T15" s="426">
        <v>282</v>
      </c>
      <c r="U15" s="426">
        <v>341</v>
      </c>
      <c r="V15" s="426">
        <v>66</v>
      </c>
      <c r="W15" s="426">
        <v>48</v>
      </c>
      <c r="X15" s="426">
        <v>109</v>
      </c>
      <c r="Y15" s="426">
        <v>95</v>
      </c>
    </row>
    <row r="16" spans="1:25" s="972" customFormat="1">
      <c r="A16" s="2">
        <v>1992</v>
      </c>
      <c r="B16" s="1004">
        <v>1035</v>
      </c>
      <c r="C16" s="1004">
        <v>33</v>
      </c>
      <c r="D16" s="1004">
        <v>3</v>
      </c>
      <c r="E16" s="1004">
        <v>28</v>
      </c>
      <c r="F16" s="1004">
        <v>25</v>
      </c>
      <c r="G16" s="1004">
        <v>242</v>
      </c>
      <c r="H16" s="1004">
        <v>314</v>
      </c>
      <c r="I16" s="1004">
        <v>51</v>
      </c>
      <c r="J16" s="1004">
        <v>52</v>
      </c>
      <c r="K16" s="1004">
        <v>154</v>
      </c>
      <c r="L16" s="1004">
        <v>134</v>
      </c>
      <c r="M16" s="4"/>
      <c r="N16" s="972">
        <v>1992</v>
      </c>
      <c r="O16" s="426">
        <v>1035</v>
      </c>
      <c r="P16" s="426">
        <v>33</v>
      </c>
      <c r="Q16" s="426">
        <v>3</v>
      </c>
      <c r="R16" s="426">
        <v>28</v>
      </c>
      <c r="S16" s="426">
        <v>25</v>
      </c>
      <c r="T16" s="426">
        <v>242</v>
      </c>
      <c r="U16" s="426">
        <v>314</v>
      </c>
      <c r="V16" s="426">
        <v>51</v>
      </c>
      <c r="W16" s="426">
        <v>52</v>
      </c>
      <c r="X16" s="426">
        <v>154</v>
      </c>
      <c r="Y16" s="426">
        <v>134</v>
      </c>
    </row>
    <row r="17" spans="1:25" s="972" customFormat="1">
      <c r="A17" s="2">
        <v>1993</v>
      </c>
      <c r="B17" s="1004">
        <v>1180</v>
      </c>
      <c r="C17" s="1004">
        <v>27</v>
      </c>
      <c r="D17" s="1004">
        <v>2</v>
      </c>
      <c r="E17" s="1004">
        <v>37</v>
      </c>
      <c r="F17" s="1004">
        <v>30</v>
      </c>
      <c r="G17" s="1004">
        <v>325</v>
      </c>
      <c r="H17" s="1004">
        <v>397</v>
      </c>
      <c r="I17" s="1004">
        <v>54</v>
      </c>
      <c r="J17" s="1004">
        <v>53</v>
      </c>
      <c r="K17" s="1004">
        <v>125</v>
      </c>
      <c r="L17" s="1004">
        <v>130</v>
      </c>
      <c r="M17" s="4"/>
      <c r="N17" s="972">
        <v>1993</v>
      </c>
      <c r="O17" s="426">
        <v>1180</v>
      </c>
      <c r="P17" s="426">
        <v>27</v>
      </c>
      <c r="Q17" s="426">
        <v>2</v>
      </c>
      <c r="R17" s="426">
        <v>37</v>
      </c>
      <c r="S17" s="426">
        <v>30</v>
      </c>
      <c r="T17" s="426">
        <v>325</v>
      </c>
      <c r="U17" s="426">
        <v>397</v>
      </c>
      <c r="V17" s="426">
        <v>54</v>
      </c>
      <c r="W17" s="426">
        <v>53</v>
      </c>
      <c r="X17" s="426">
        <v>125</v>
      </c>
      <c r="Y17" s="426">
        <v>130</v>
      </c>
    </row>
    <row r="18" spans="1:25" s="972" customFormat="1">
      <c r="A18" s="2">
        <v>1994</v>
      </c>
      <c r="B18" s="1004">
        <v>1135</v>
      </c>
      <c r="C18" s="1004">
        <v>28</v>
      </c>
      <c r="D18" s="1004">
        <v>2</v>
      </c>
      <c r="E18" s="1004">
        <v>35</v>
      </c>
      <c r="F18" s="1004">
        <v>30</v>
      </c>
      <c r="G18" s="1004">
        <v>302</v>
      </c>
      <c r="H18" s="1004">
        <v>367</v>
      </c>
      <c r="I18" s="1004">
        <v>51</v>
      </c>
      <c r="J18" s="1004">
        <v>49</v>
      </c>
      <c r="K18" s="1004">
        <v>126</v>
      </c>
      <c r="L18" s="1004">
        <v>146</v>
      </c>
      <c r="M18" s="4"/>
      <c r="N18" s="972">
        <v>1994</v>
      </c>
      <c r="O18" s="426">
        <v>1135</v>
      </c>
      <c r="P18" s="426">
        <v>28</v>
      </c>
      <c r="Q18" s="426">
        <v>2</v>
      </c>
      <c r="R18" s="426">
        <v>35</v>
      </c>
      <c r="S18" s="426">
        <v>30</v>
      </c>
      <c r="T18" s="426">
        <v>302</v>
      </c>
      <c r="U18" s="426">
        <v>367</v>
      </c>
      <c r="V18" s="426">
        <v>51</v>
      </c>
      <c r="W18" s="426">
        <v>49</v>
      </c>
      <c r="X18" s="426">
        <v>126</v>
      </c>
      <c r="Y18" s="426">
        <v>146</v>
      </c>
    </row>
    <row r="19" spans="1:25" s="972" customFormat="1">
      <c r="A19" s="2">
        <v>1995</v>
      </c>
      <c r="B19" s="1004">
        <v>1225</v>
      </c>
      <c r="C19" s="1004">
        <v>30</v>
      </c>
      <c r="D19" s="1004">
        <v>3</v>
      </c>
      <c r="E19" s="1004">
        <v>38</v>
      </c>
      <c r="F19" s="1004">
        <v>34</v>
      </c>
      <c r="G19" s="1004">
        <v>330</v>
      </c>
      <c r="H19" s="1004">
        <v>412</v>
      </c>
      <c r="I19" s="1004">
        <v>51</v>
      </c>
      <c r="J19" s="1004">
        <v>52</v>
      </c>
      <c r="K19" s="1004">
        <v>127</v>
      </c>
      <c r="L19" s="1004">
        <v>149</v>
      </c>
      <c r="M19" s="4"/>
      <c r="N19" s="972">
        <v>1995</v>
      </c>
      <c r="O19" s="426">
        <v>1225</v>
      </c>
      <c r="P19" s="426">
        <v>30</v>
      </c>
      <c r="Q19" s="426">
        <v>3</v>
      </c>
      <c r="R19" s="426">
        <v>38</v>
      </c>
      <c r="S19" s="426">
        <v>34</v>
      </c>
      <c r="T19" s="426">
        <v>330</v>
      </c>
      <c r="U19" s="426">
        <v>412</v>
      </c>
      <c r="V19" s="426">
        <v>51</v>
      </c>
      <c r="W19" s="426">
        <v>52</v>
      </c>
      <c r="X19" s="426">
        <v>127</v>
      </c>
      <c r="Y19" s="426">
        <v>149</v>
      </c>
    </row>
    <row r="20" spans="1:25" s="972" customFormat="1">
      <c r="A20" s="2">
        <v>1996</v>
      </c>
      <c r="B20" s="1004">
        <v>1293</v>
      </c>
      <c r="C20" s="1004">
        <v>27</v>
      </c>
      <c r="D20" s="1004">
        <v>4</v>
      </c>
      <c r="E20" s="1004">
        <v>39</v>
      </c>
      <c r="F20" s="1004">
        <v>26</v>
      </c>
      <c r="G20" s="1004">
        <v>319</v>
      </c>
      <c r="H20" s="1004">
        <v>485</v>
      </c>
      <c r="I20" s="1004">
        <v>59</v>
      </c>
      <c r="J20" s="1004">
        <v>46</v>
      </c>
      <c r="K20" s="1004">
        <v>139</v>
      </c>
      <c r="L20" s="1004">
        <v>149</v>
      </c>
      <c r="M20" s="4"/>
      <c r="N20" s="972">
        <v>1996</v>
      </c>
      <c r="O20" s="426">
        <v>1293</v>
      </c>
      <c r="P20" s="426">
        <v>27</v>
      </c>
      <c r="Q20" s="426">
        <v>4</v>
      </c>
      <c r="R20" s="426">
        <v>39</v>
      </c>
      <c r="S20" s="426">
        <v>26</v>
      </c>
      <c r="T20" s="426">
        <v>319</v>
      </c>
      <c r="U20" s="426">
        <v>485</v>
      </c>
      <c r="V20" s="426">
        <v>59</v>
      </c>
      <c r="W20" s="426">
        <v>46</v>
      </c>
      <c r="X20" s="426">
        <v>139</v>
      </c>
      <c r="Y20" s="426">
        <v>149</v>
      </c>
    </row>
    <row r="21" spans="1:25" s="972" customFormat="1">
      <c r="A21" s="2">
        <v>1997</v>
      </c>
      <c r="B21" s="1004">
        <v>1220</v>
      </c>
      <c r="C21" s="1004">
        <v>23</v>
      </c>
      <c r="D21" s="1004">
        <v>3</v>
      </c>
      <c r="E21" s="1004">
        <v>40</v>
      </c>
      <c r="F21" s="1004">
        <v>27</v>
      </c>
      <c r="G21" s="1004">
        <v>337</v>
      </c>
      <c r="H21" s="1004">
        <v>454</v>
      </c>
      <c r="I21" s="1004">
        <v>56</v>
      </c>
      <c r="J21" s="1004">
        <v>35</v>
      </c>
      <c r="K21" s="1004">
        <v>104</v>
      </c>
      <c r="L21" s="1004">
        <v>141</v>
      </c>
      <c r="M21" s="4"/>
      <c r="N21" s="972">
        <v>1997</v>
      </c>
      <c r="O21" s="426">
        <v>1220</v>
      </c>
      <c r="P21" s="426">
        <v>23</v>
      </c>
      <c r="Q21" s="426">
        <v>3</v>
      </c>
      <c r="R21" s="426">
        <v>40</v>
      </c>
      <c r="S21" s="426">
        <v>27</v>
      </c>
      <c r="T21" s="426">
        <v>337</v>
      </c>
      <c r="U21" s="426">
        <v>454</v>
      </c>
      <c r="V21" s="426">
        <v>56</v>
      </c>
      <c r="W21" s="426">
        <v>35</v>
      </c>
      <c r="X21" s="426">
        <v>104</v>
      </c>
      <c r="Y21" s="426">
        <v>141</v>
      </c>
    </row>
    <row r="22" spans="1:25" s="972" customFormat="1">
      <c r="A22" s="2">
        <v>1998</v>
      </c>
      <c r="B22" s="1004">
        <v>1096</v>
      </c>
      <c r="C22" s="1004">
        <v>23</v>
      </c>
      <c r="D22" s="1004">
        <v>3</v>
      </c>
      <c r="E22" s="1004">
        <v>35</v>
      </c>
      <c r="F22" s="1004">
        <v>24</v>
      </c>
      <c r="G22" s="1004">
        <v>301</v>
      </c>
      <c r="H22" s="1004">
        <v>408</v>
      </c>
      <c r="I22" s="1004">
        <v>47</v>
      </c>
      <c r="J22" s="1004">
        <v>28</v>
      </c>
      <c r="K22" s="1004">
        <v>105</v>
      </c>
      <c r="L22" s="1004">
        <v>123</v>
      </c>
      <c r="M22" s="4"/>
      <c r="N22" s="972">
        <v>1998</v>
      </c>
      <c r="O22" s="426">
        <v>1096</v>
      </c>
      <c r="P22" s="426">
        <v>23</v>
      </c>
      <c r="Q22" s="426">
        <v>3</v>
      </c>
      <c r="R22" s="426">
        <v>35</v>
      </c>
      <c r="S22" s="426">
        <v>24</v>
      </c>
      <c r="T22" s="426">
        <v>301</v>
      </c>
      <c r="U22" s="426">
        <v>408</v>
      </c>
      <c r="V22" s="426">
        <v>47</v>
      </c>
      <c r="W22" s="426">
        <v>28</v>
      </c>
      <c r="X22" s="426">
        <v>105</v>
      </c>
      <c r="Y22" s="426">
        <v>123</v>
      </c>
    </row>
    <row r="23" spans="1:25" s="972" customFormat="1">
      <c r="A23" s="2">
        <v>1999</v>
      </c>
      <c r="B23" s="1004">
        <v>1016</v>
      </c>
      <c r="C23" s="1004">
        <v>24</v>
      </c>
      <c r="D23" s="1004">
        <v>3</v>
      </c>
      <c r="E23" s="1004">
        <v>25</v>
      </c>
      <c r="F23" s="1004">
        <v>22</v>
      </c>
      <c r="G23" s="1004">
        <v>237</v>
      </c>
      <c r="H23" s="1004">
        <v>377</v>
      </c>
      <c r="I23" s="1004">
        <v>52</v>
      </c>
      <c r="J23" s="1004">
        <v>28</v>
      </c>
      <c r="K23" s="1004">
        <v>94</v>
      </c>
      <c r="L23" s="1004">
        <v>156</v>
      </c>
      <c r="M23" s="4"/>
      <c r="N23" s="972">
        <v>1999</v>
      </c>
      <c r="O23" s="426">
        <v>1016</v>
      </c>
      <c r="P23" s="426">
        <v>24</v>
      </c>
      <c r="Q23" s="426">
        <v>3</v>
      </c>
      <c r="R23" s="426">
        <v>25</v>
      </c>
      <c r="S23" s="426">
        <v>22</v>
      </c>
      <c r="T23" s="426">
        <v>237</v>
      </c>
      <c r="U23" s="426">
        <v>377</v>
      </c>
      <c r="V23" s="426">
        <v>52</v>
      </c>
      <c r="W23" s="426">
        <v>28</v>
      </c>
      <c r="X23" s="426">
        <v>94</v>
      </c>
      <c r="Y23" s="426">
        <v>156</v>
      </c>
    </row>
    <row r="24" spans="1:25" s="972" customFormat="1">
      <c r="A24" s="2">
        <v>2000</v>
      </c>
      <c r="B24" s="1004">
        <v>967</v>
      </c>
      <c r="C24" s="1004">
        <v>21</v>
      </c>
      <c r="D24" s="1004">
        <v>3</v>
      </c>
      <c r="E24" s="1004">
        <v>26</v>
      </c>
      <c r="F24" s="1004">
        <v>17</v>
      </c>
      <c r="G24" s="1004">
        <v>252</v>
      </c>
      <c r="H24" s="1004">
        <v>356</v>
      </c>
      <c r="I24" s="1004">
        <v>45</v>
      </c>
      <c r="J24" s="1004">
        <v>31</v>
      </c>
      <c r="K24" s="1004">
        <v>93</v>
      </c>
      <c r="L24" s="1004">
        <v>124</v>
      </c>
      <c r="M24" s="4"/>
      <c r="N24" s="972">
        <v>2000</v>
      </c>
      <c r="O24" s="426">
        <v>967</v>
      </c>
      <c r="P24" s="426">
        <v>21</v>
      </c>
      <c r="Q24" s="426">
        <v>3</v>
      </c>
      <c r="R24" s="426">
        <v>26</v>
      </c>
      <c r="S24" s="426">
        <v>17</v>
      </c>
      <c r="T24" s="426">
        <v>252</v>
      </c>
      <c r="U24" s="426">
        <v>356</v>
      </c>
      <c r="V24" s="426">
        <v>45</v>
      </c>
      <c r="W24" s="426">
        <v>31</v>
      </c>
      <c r="X24" s="426">
        <v>93</v>
      </c>
      <c r="Y24" s="426">
        <v>124</v>
      </c>
    </row>
    <row r="25" spans="1:25" s="972" customFormat="1">
      <c r="A25" s="2">
        <v>2001</v>
      </c>
      <c r="B25" s="1004">
        <v>845</v>
      </c>
      <c r="C25" s="1004">
        <v>15</v>
      </c>
      <c r="D25" s="1004">
        <v>2</v>
      </c>
      <c r="E25" s="1004">
        <v>27</v>
      </c>
      <c r="F25" s="1004">
        <v>15</v>
      </c>
      <c r="G25" s="1004">
        <v>226</v>
      </c>
      <c r="H25" s="1004">
        <v>289</v>
      </c>
      <c r="I25" s="1004">
        <v>41</v>
      </c>
      <c r="J25" s="1004">
        <v>25</v>
      </c>
      <c r="K25" s="1004">
        <v>81</v>
      </c>
      <c r="L25" s="1004">
        <v>123</v>
      </c>
      <c r="M25" s="4"/>
      <c r="N25" s="972">
        <v>2001</v>
      </c>
      <c r="O25" s="426">
        <v>845</v>
      </c>
      <c r="P25" s="426">
        <v>15</v>
      </c>
      <c r="Q25" s="426">
        <v>2</v>
      </c>
      <c r="R25" s="426">
        <v>27</v>
      </c>
      <c r="S25" s="426">
        <v>15</v>
      </c>
      <c r="T25" s="426">
        <v>226</v>
      </c>
      <c r="U25" s="426">
        <v>289</v>
      </c>
      <c r="V25" s="426">
        <v>41</v>
      </c>
      <c r="W25" s="426">
        <v>25</v>
      </c>
      <c r="X25" s="426">
        <v>81</v>
      </c>
      <c r="Y25" s="426">
        <v>123</v>
      </c>
    </row>
    <row r="26" spans="1:25" s="972" customFormat="1">
      <c r="A26" s="2">
        <v>2002</v>
      </c>
      <c r="B26" s="1004">
        <v>851</v>
      </c>
      <c r="C26" s="1004">
        <v>16</v>
      </c>
      <c r="D26" s="1004">
        <v>2</v>
      </c>
      <c r="E26" s="1004">
        <v>25</v>
      </c>
      <c r="F26" s="1004">
        <v>16</v>
      </c>
      <c r="G26" s="1004">
        <v>174</v>
      </c>
      <c r="H26" s="1004">
        <v>325</v>
      </c>
      <c r="I26" s="1004">
        <v>43</v>
      </c>
      <c r="J26" s="1004">
        <v>20</v>
      </c>
      <c r="K26" s="1004">
        <v>72</v>
      </c>
      <c r="L26" s="1004">
        <v>158</v>
      </c>
      <c r="M26" s="4"/>
      <c r="N26" s="972">
        <v>2002</v>
      </c>
      <c r="O26" s="426">
        <v>851</v>
      </c>
      <c r="P26" s="426">
        <v>16</v>
      </c>
      <c r="Q26" s="426">
        <v>2</v>
      </c>
      <c r="R26" s="426">
        <v>25</v>
      </c>
      <c r="S26" s="426">
        <v>16</v>
      </c>
      <c r="T26" s="426">
        <v>174</v>
      </c>
      <c r="U26" s="426">
        <v>325</v>
      </c>
      <c r="V26" s="426">
        <v>43</v>
      </c>
      <c r="W26" s="426">
        <v>20</v>
      </c>
      <c r="X26" s="426">
        <v>72</v>
      </c>
      <c r="Y26" s="426">
        <v>158</v>
      </c>
    </row>
    <row r="27" spans="1:25" s="972" customFormat="1">
      <c r="A27" s="2">
        <v>2003</v>
      </c>
      <c r="B27" s="1004">
        <v>870</v>
      </c>
      <c r="C27" s="1004">
        <v>17</v>
      </c>
      <c r="D27" s="1004" t="s">
        <v>813</v>
      </c>
      <c r="E27" s="1004">
        <v>27</v>
      </c>
      <c r="F27" s="1004">
        <v>17</v>
      </c>
      <c r="G27" s="1004">
        <v>167</v>
      </c>
      <c r="H27" s="1004">
        <v>316</v>
      </c>
      <c r="I27" s="1004">
        <v>44</v>
      </c>
      <c r="J27" s="1004">
        <v>29</v>
      </c>
      <c r="K27" s="1004">
        <v>89</v>
      </c>
      <c r="L27" s="1004">
        <v>162</v>
      </c>
      <c r="M27" s="4"/>
      <c r="N27" s="972">
        <v>2003</v>
      </c>
      <c r="O27" s="426">
        <v>870</v>
      </c>
      <c r="P27" s="426">
        <v>17</v>
      </c>
      <c r="Q27" s="426" t="s">
        <v>593</v>
      </c>
      <c r="R27" s="426">
        <v>27</v>
      </c>
      <c r="S27" s="426">
        <v>17</v>
      </c>
      <c r="T27" s="426">
        <v>167</v>
      </c>
      <c r="U27" s="426">
        <v>316</v>
      </c>
      <c r="V27" s="426">
        <v>44</v>
      </c>
      <c r="W27" s="426">
        <v>29</v>
      </c>
      <c r="X27" s="426">
        <v>89</v>
      </c>
      <c r="Y27" s="426">
        <v>162</v>
      </c>
    </row>
    <row r="28" spans="1:25" s="972" customFormat="1">
      <c r="A28" s="2">
        <v>2004</v>
      </c>
      <c r="B28" s="1004">
        <v>884</v>
      </c>
      <c r="C28" s="1004">
        <v>17</v>
      </c>
      <c r="D28" s="1004" t="s">
        <v>813</v>
      </c>
      <c r="E28" s="1004">
        <v>23</v>
      </c>
      <c r="F28" s="1004">
        <v>14</v>
      </c>
      <c r="G28" s="1004">
        <v>168</v>
      </c>
      <c r="H28" s="1004">
        <v>365</v>
      </c>
      <c r="I28" s="1004">
        <v>34</v>
      </c>
      <c r="J28" s="1004">
        <v>24</v>
      </c>
      <c r="K28" s="1004">
        <v>88</v>
      </c>
      <c r="L28" s="1004">
        <v>151</v>
      </c>
      <c r="M28" s="4"/>
      <c r="N28" s="972">
        <v>2004</v>
      </c>
      <c r="O28" s="426">
        <v>884</v>
      </c>
      <c r="P28" s="426">
        <v>17</v>
      </c>
      <c r="Q28" s="426" t="s">
        <v>593</v>
      </c>
      <c r="R28" s="426">
        <v>23</v>
      </c>
      <c r="S28" s="426">
        <v>14</v>
      </c>
      <c r="T28" s="426">
        <v>168</v>
      </c>
      <c r="U28" s="426">
        <v>365</v>
      </c>
      <c r="V28" s="426">
        <v>34</v>
      </c>
      <c r="W28" s="426">
        <v>24</v>
      </c>
      <c r="X28" s="426">
        <v>88</v>
      </c>
      <c r="Y28" s="426">
        <v>151</v>
      </c>
    </row>
    <row r="29" spans="1:25" s="972" customFormat="1">
      <c r="A29" s="2">
        <v>2005</v>
      </c>
      <c r="B29" s="1004">
        <v>798</v>
      </c>
      <c r="C29" s="1004">
        <v>11</v>
      </c>
      <c r="D29" s="1004" t="s">
        <v>813</v>
      </c>
      <c r="E29" s="1004">
        <v>19</v>
      </c>
      <c r="F29" s="1004">
        <v>15</v>
      </c>
      <c r="G29" s="1004">
        <v>147</v>
      </c>
      <c r="H29" s="1004">
        <v>347</v>
      </c>
      <c r="I29" s="1004">
        <v>36</v>
      </c>
      <c r="J29" s="1004">
        <v>28</v>
      </c>
      <c r="K29" s="1004">
        <v>64</v>
      </c>
      <c r="L29" s="1004">
        <v>128</v>
      </c>
      <c r="M29" s="4"/>
      <c r="N29" s="972">
        <v>2005</v>
      </c>
      <c r="O29" s="426">
        <v>798</v>
      </c>
      <c r="P29" s="426">
        <v>11</v>
      </c>
      <c r="Q29" s="426" t="s">
        <v>593</v>
      </c>
      <c r="R29" s="426">
        <v>19</v>
      </c>
      <c r="S29" s="426">
        <v>15</v>
      </c>
      <c r="T29" s="426">
        <v>147</v>
      </c>
      <c r="U29" s="426">
        <v>347</v>
      </c>
      <c r="V29" s="426">
        <v>36</v>
      </c>
      <c r="W29" s="426">
        <v>28</v>
      </c>
      <c r="X29" s="426">
        <v>64</v>
      </c>
      <c r="Y29" s="426">
        <v>128</v>
      </c>
    </row>
    <row r="30" spans="1:25" s="972" customFormat="1">
      <c r="A30" s="2">
        <v>2006</v>
      </c>
      <c r="B30" s="1004">
        <v>770</v>
      </c>
      <c r="C30" s="1004">
        <v>9</v>
      </c>
      <c r="D30" s="1004" t="s">
        <v>813</v>
      </c>
      <c r="E30" s="1004">
        <v>16</v>
      </c>
      <c r="F30" s="1004">
        <v>17</v>
      </c>
      <c r="G30" s="1004">
        <v>149</v>
      </c>
      <c r="H30" s="1004">
        <v>326</v>
      </c>
      <c r="I30" s="1004">
        <v>32</v>
      </c>
      <c r="J30" s="1004">
        <v>31</v>
      </c>
      <c r="K30" s="1004">
        <v>53</v>
      </c>
      <c r="L30" s="1004">
        <v>137</v>
      </c>
      <c r="M30" s="4"/>
      <c r="N30" s="972">
        <v>2006</v>
      </c>
      <c r="O30" s="426">
        <v>770</v>
      </c>
      <c r="P30" s="426">
        <v>9</v>
      </c>
      <c r="Q30" s="426" t="s">
        <v>593</v>
      </c>
      <c r="R30" s="426">
        <v>16</v>
      </c>
      <c r="S30" s="426">
        <v>17</v>
      </c>
      <c r="T30" s="426">
        <v>149</v>
      </c>
      <c r="U30" s="426">
        <v>326</v>
      </c>
      <c r="V30" s="426">
        <v>32</v>
      </c>
      <c r="W30" s="426">
        <v>31</v>
      </c>
      <c r="X30" s="426">
        <v>53</v>
      </c>
      <c r="Y30" s="426">
        <v>137</v>
      </c>
    </row>
    <row r="31" spans="1:25" s="972" customFormat="1">
      <c r="A31" s="2">
        <v>2007</v>
      </c>
      <c r="B31" s="1004">
        <v>637</v>
      </c>
      <c r="C31" s="1004">
        <v>6</v>
      </c>
      <c r="D31" s="1004" t="s">
        <v>813</v>
      </c>
      <c r="E31" s="1004">
        <v>15</v>
      </c>
      <c r="F31" s="1004">
        <v>13</v>
      </c>
      <c r="G31" s="1004">
        <v>142</v>
      </c>
      <c r="H31" s="1004">
        <v>257</v>
      </c>
      <c r="I31" s="1004">
        <v>28</v>
      </c>
      <c r="J31" s="1004">
        <v>19</v>
      </c>
      <c r="K31" s="1004">
        <v>49</v>
      </c>
      <c r="L31" s="1004">
        <v>108</v>
      </c>
      <c r="M31" s="4"/>
      <c r="N31" s="972">
        <v>2007</v>
      </c>
      <c r="O31" s="426">
        <v>637</v>
      </c>
      <c r="P31" s="426">
        <v>6</v>
      </c>
      <c r="Q31" s="426" t="s">
        <v>593</v>
      </c>
      <c r="R31" s="426">
        <v>15</v>
      </c>
      <c r="S31" s="426">
        <v>13</v>
      </c>
      <c r="T31" s="426">
        <v>142</v>
      </c>
      <c r="U31" s="426">
        <v>257</v>
      </c>
      <c r="V31" s="426">
        <v>28</v>
      </c>
      <c r="W31" s="426">
        <v>19</v>
      </c>
      <c r="X31" s="426">
        <v>49</v>
      </c>
      <c r="Y31" s="426">
        <v>108</v>
      </c>
    </row>
    <row r="32" spans="1:25" s="114" customFormat="1">
      <c r="A32" s="738"/>
      <c r="B32" s="967"/>
      <c r="C32" s="967"/>
      <c r="D32" s="967" t="s">
        <v>802</v>
      </c>
      <c r="E32" s="967"/>
      <c r="F32" s="967"/>
      <c r="H32" s="967"/>
      <c r="I32" s="967"/>
      <c r="J32" s="967"/>
      <c r="K32" s="967"/>
      <c r="L32" s="967"/>
    </row>
    <row r="33" spans="1:36" s="114" customFormat="1">
      <c r="A33" s="431" t="s">
        <v>603</v>
      </c>
      <c r="B33" s="967">
        <f t="shared" ref="B33:L33" si="0">((((B13/B5))^(1/8))-1)*100</f>
        <v>-0.8503544085527559</v>
      </c>
      <c r="C33" s="967">
        <f t="shared" si="0"/>
        <v>-3.9024838048243193</v>
      </c>
      <c r="D33" s="967">
        <f t="shared" si="0"/>
        <v>-10.822047076250364</v>
      </c>
      <c r="E33" s="967">
        <f t="shared" si="0"/>
        <v>-2.1746395549396946</v>
      </c>
      <c r="F33" s="967">
        <f t="shared" si="0"/>
        <v>-5.406907224836111</v>
      </c>
      <c r="G33" s="967">
        <f t="shared" si="0"/>
        <v>-2.9271983466515938</v>
      </c>
      <c r="H33" s="967">
        <f t="shared" si="0"/>
        <v>-1.227971071651901</v>
      </c>
      <c r="I33" s="967">
        <f t="shared" si="0"/>
        <v>0.26918923057399624</v>
      </c>
      <c r="J33" s="967">
        <f t="shared" si="0"/>
        <v>0.90810676544130775</v>
      </c>
      <c r="K33" s="967">
        <f t="shared" si="0"/>
        <v>7.6506529467020412</v>
      </c>
      <c r="L33" s="967">
        <f t="shared" si="0"/>
        <v>0.88662704838613493</v>
      </c>
    </row>
    <row r="34" spans="1:36" s="114" customFormat="1">
      <c r="A34" s="431" t="s">
        <v>604</v>
      </c>
      <c r="B34" s="967">
        <f t="shared" ref="B34:L34" si="1">((((B24/B13))^(1/11))-1)*100</f>
        <v>1.83145184221154</v>
      </c>
      <c r="C34" s="967">
        <f t="shared" si="1"/>
        <v>-1.2065834448220736</v>
      </c>
      <c r="D34" s="967" t="s">
        <v>374</v>
      </c>
      <c r="E34" s="967">
        <f t="shared" si="1"/>
        <v>0</v>
      </c>
      <c r="F34" s="967">
        <f t="shared" si="1"/>
        <v>-3.4452736087671632</v>
      </c>
      <c r="G34" s="967">
        <f t="shared" si="1"/>
        <v>1.8942549633140349</v>
      </c>
      <c r="H34" s="967">
        <f t="shared" si="1"/>
        <v>4.0102603485490329</v>
      </c>
      <c r="I34" s="967">
        <f t="shared" si="1"/>
        <v>-0.39453884174484033</v>
      </c>
      <c r="J34" s="967">
        <f t="shared" si="1"/>
        <v>-2.9308551856234488</v>
      </c>
      <c r="K34" s="967">
        <f t="shared" si="1"/>
        <v>-0.74738421426996382</v>
      </c>
      <c r="L34" s="967">
        <f t="shared" si="1"/>
        <v>3.1667882062054398</v>
      </c>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row>
    <row r="35" spans="1:36" s="114" customFormat="1">
      <c r="A35" s="431" t="s">
        <v>447</v>
      </c>
      <c r="B35" s="23">
        <f>((((B31/B5))^(1/26))-1)*100</f>
        <v>-1.094394298973933</v>
      </c>
      <c r="C35" s="23">
        <f t="shared" ref="C35:L35" si="2">((((C31/C5))^(1/26))-1)*100</f>
        <v>-6.3463922720576438</v>
      </c>
      <c r="D35" s="967" t="s">
        <v>374</v>
      </c>
      <c r="E35" s="23">
        <f t="shared" si="2"/>
        <v>-2.7534474987264801</v>
      </c>
      <c r="F35" s="23">
        <f t="shared" si="2"/>
        <v>-4.1374047028317822</v>
      </c>
      <c r="G35" s="23">
        <f t="shared" si="2"/>
        <v>-2.2995125246002557</v>
      </c>
      <c r="H35" s="23">
        <f t="shared" si="2"/>
        <v>3.0052744689657018E-2</v>
      </c>
      <c r="I35" s="23">
        <f t="shared" si="2"/>
        <v>-1.8912595853803893</v>
      </c>
      <c r="J35" s="23">
        <f t="shared" si="2"/>
        <v>-2.822630524878833</v>
      </c>
      <c r="K35" s="23">
        <f t="shared" si="2"/>
        <v>-0.51226570040655561</v>
      </c>
      <c r="L35" s="23">
        <f t="shared" si="2"/>
        <v>1.0649070450322373</v>
      </c>
    </row>
    <row r="36" spans="1:36" s="114" customFormat="1">
      <c r="A36" s="431" t="s">
        <v>449</v>
      </c>
      <c r="B36" s="967">
        <f>((((B31/B24))^(1/7))-1)*100</f>
        <v>-5.7889484677163816</v>
      </c>
      <c r="C36" s="967">
        <f t="shared" ref="C36:L36" si="3">((((C31/C24))^(1/7))-1)*100</f>
        <v>-16.386578820370556</v>
      </c>
      <c r="D36" s="967" t="s">
        <v>374</v>
      </c>
      <c r="E36" s="967">
        <f t="shared" si="3"/>
        <v>-7.5570092910896332</v>
      </c>
      <c r="F36" s="967">
        <f t="shared" si="3"/>
        <v>-3.7598375789559046</v>
      </c>
      <c r="G36" s="967">
        <f t="shared" si="3"/>
        <v>-7.8675662859852054</v>
      </c>
      <c r="H36" s="967">
        <f t="shared" si="3"/>
        <v>-4.5483799985231226</v>
      </c>
      <c r="I36" s="967">
        <f t="shared" si="3"/>
        <v>-6.55336967935507</v>
      </c>
      <c r="J36" s="967">
        <f t="shared" si="3"/>
        <v>-6.7546002163463843</v>
      </c>
      <c r="K36" s="967">
        <f t="shared" si="3"/>
        <v>-8.7475080635793017</v>
      </c>
      <c r="L36" s="967">
        <f t="shared" si="3"/>
        <v>-1.9542287361221655</v>
      </c>
    </row>
    <row r="37" spans="1:36" s="114" customFormat="1">
      <c r="A37" s="431"/>
      <c r="D37" s="967" t="s">
        <v>276</v>
      </c>
    </row>
    <row r="38" spans="1:36" s="114" customFormat="1">
      <c r="A38" s="431" t="s">
        <v>447</v>
      </c>
      <c r="B38" s="10">
        <f>(B31/B5-1)*100</f>
        <v>-24.882075471698116</v>
      </c>
      <c r="C38" s="10">
        <f t="shared" ref="C38:K38" si="4">(C31/C5-1)*100</f>
        <v>-81.818181818181813</v>
      </c>
      <c r="D38" s="967" t="s">
        <v>374</v>
      </c>
      <c r="E38" s="10">
        <f t="shared" si="4"/>
        <v>-51.612903225806448</v>
      </c>
      <c r="F38" s="10">
        <f t="shared" si="4"/>
        <v>-66.666666666666671</v>
      </c>
      <c r="G38" s="10">
        <f t="shared" si="4"/>
        <v>-45.384615384615387</v>
      </c>
      <c r="H38" s="10">
        <f t="shared" si="4"/>
        <v>0.78431372549019329</v>
      </c>
      <c r="I38" s="10">
        <f t="shared" si="4"/>
        <v>-39.130434782608688</v>
      </c>
      <c r="J38" s="10">
        <f t="shared" si="4"/>
        <v>-52.5</v>
      </c>
      <c r="K38" s="10">
        <f t="shared" si="4"/>
        <v>-12.5</v>
      </c>
      <c r="L38" s="10">
        <f>(L30/L5-1)*100</f>
        <v>67.073170731707307</v>
      </c>
    </row>
    <row r="39" spans="1:36" s="972" customFormat="1">
      <c r="A39" s="114"/>
      <c r="B39" s="114"/>
      <c r="C39" s="114"/>
      <c r="D39" s="114"/>
      <c r="E39" s="114"/>
      <c r="F39" s="114"/>
      <c r="G39" s="114"/>
      <c r="H39" s="114"/>
      <c r="I39" s="114"/>
      <c r="J39" s="114"/>
      <c r="K39" s="114"/>
      <c r="L39" s="114"/>
      <c r="M39" s="4"/>
      <c r="N39" s="4"/>
    </row>
    <row r="40" spans="1:36" s="972" customFormat="1" ht="25.5" customHeight="1">
      <c r="A40" s="1170" t="s">
        <v>101</v>
      </c>
      <c r="B40" s="1170"/>
      <c r="C40" s="1170"/>
      <c r="D40" s="1170"/>
      <c r="E40" s="1170"/>
      <c r="F40" s="1170"/>
      <c r="G40" s="1170"/>
      <c r="H40" s="1170"/>
      <c r="I40" s="1170"/>
      <c r="J40" s="1170"/>
      <c r="K40" s="1170"/>
      <c r="L40" s="1170"/>
      <c r="M40" s="4"/>
      <c r="N40" s="4"/>
    </row>
    <row r="41" spans="1:36" s="972" customFormat="1" ht="14.25" customHeight="1">
      <c r="A41" s="13" t="s">
        <v>388</v>
      </c>
      <c r="B41" s="966"/>
      <c r="C41" s="966"/>
      <c r="D41" s="966"/>
      <c r="E41" s="966"/>
      <c r="F41" s="966"/>
      <c r="G41" s="966"/>
      <c r="H41" s="966"/>
      <c r="I41" s="966"/>
      <c r="J41" s="966"/>
      <c r="K41" s="966"/>
      <c r="L41" s="966"/>
      <c r="M41" s="4"/>
      <c r="N41" s="4"/>
    </row>
    <row r="42" spans="1:36" s="972" customFormat="1">
      <c r="A42" s="4" t="s">
        <v>1868</v>
      </c>
      <c r="M42" s="4"/>
      <c r="N42" s="4"/>
    </row>
    <row r="43" spans="1:36" s="972" customFormat="1" ht="25.15" customHeight="1">
      <c r="A43" s="1168" t="s">
        <v>547</v>
      </c>
      <c r="B43" s="1169"/>
      <c r="C43" s="1169"/>
      <c r="D43" s="1169"/>
      <c r="E43" s="1169"/>
      <c r="F43" s="1169"/>
      <c r="G43" s="1169"/>
      <c r="H43" s="1169"/>
      <c r="I43" s="1169"/>
      <c r="J43" s="1169"/>
      <c r="K43" s="1169"/>
      <c r="L43" s="1169"/>
      <c r="M43" s="4"/>
      <c r="N43" s="4"/>
    </row>
    <row r="44" spans="1:36">
      <c r="A44" s="1"/>
      <c r="B44" s="4"/>
      <c r="M44" s="4"/>
      <c r="N44" s="4"/>
    </row>
  </sheetData>
  <mergeCells count="13">
    <mergeCell ref="A43:L43"/>
    <mergeCell ref="G3:G4"/>
    <mergeCell ref="H3:H4"/>
    <mergeCell ref="B3:B4"/>
    <mergeCell ref="C3:C4"/>
    <mergeCell ref="D3:D4"/>
    <mergeCell ref="E3:E4"/>
    <mergeCell ref="F3:F4"/>
    <mergeCell ref="A40:L40"/>
    <mergeCell ref="I3:I4"/>
    <mergeCell ref="J3:J4"/>
    <mergeCell ref="K3:K4"/>
    <mergeCell ref="L3:L4"/>
  </mergeCells>
  <phoneticPr fontId="35" type="noConversion"/>
  <pageMargins left="0.75" right="0.75" top="1" bottom="1" header="0.5" footer="0.5"/>
  <pageSetup scale="82"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sheetPr codeName="Sheet971">
    <pageSetUpPr fitToPage="1"/>
  </sheetPr>
  <dimension ref="A1:AJ42"/>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6384" width="9.140625" style="1"/>
  </cols>
  <sheetData>
    <row r="1" spans="1:25" ht="15.75">
      <c r="A1" s="4"/>
      <c r="B1" s="3" t="s">
        <v>2160</v>
      </c>
      <c r="M1" s="4"/>
      <c r="N1" s="4"/>
    </row>
    <row r="2" spans="1:25">
      <c r="A2" s="4"/>
      <c r="B2" s="4"/>
      <c r="M2" s="4"/>
      <c r="N2" s="4"/>
    </row>
    <row r="3" spans="1:25">
      <c r="B3" s="1166" t="s">
        <v>375</v>
      </c>
      <c r="C3" s="1164" t="s">
        <v>377</v>
      </c>
      <c r="D3" s="1164" t="s">
        <v>386</v>
      </c>
      <c r="E3" s="1164" t="s">
        <v>378</v>
      </c>
      <c r="F3" s="1164" t="s">
        <v>379</v>
      </c>
      <c r="G3" s="1164" t="s">
        <v>380</v>
      </c>
      <c r="H3" s="1164" t="s">
        <v>381</v>
      </c>
      <c r="I3" s="1164" t="s">
        <v>382</v>
      </c>
      <c r="J3" s="1164" t="s">
        <v>383</v>
      </c>
      <c r="K3" s="1164" t="s">
        <v>384</v>
      </c>
      <c r="L3" s="1164" t="s">
        <v>385</v>
      </c>
      <c r="M3" s="4"/>
      <c r="N3" s="4"/>
    </row>
    <row r="4" spans="1:25">
      <c r="A4" s="7"/>
      <c r="B4" s="1167"/>
      <c r="C4" s="1165"/>
      <c r="D4" s="1165"/>
      <c r="E4" s="1165"/>
      <c r="F4" s="1165"/>
      <c r="G4" s="1165"/>
      <c r="H4" s="1165"/>
      <c r="I4" s="1165"/>
      <c r="J4" s="1165"/>
      <c r="K4" s="1165"/>
      <c r="L4" s="1165"/>
      <c r="M4" s="4"/>
      <c r="N4" s="4"/>
    </row>
    <row r="5" spans="1:25" s="972" customFormat="1">
      <c r="A5" s="2">
        <v>1981</v>
      </c>
      <c r="B5" s="1004">
        <v>12.6</v>
      </c>
      <c r="C5" s="1004">
        <v>16.100000000000001</v>
      </c>
      <c r="D5" s="1004">
        <v>14.5</v>
      </c>
      <c r="E5" s="1004">
        <v>12.9</v>
      </c>
      <c r="F5" s="1004">
        <v>18.3</v>
      </c>
      <c r="G5" s="1004">
        <v>15</v>
      </c>
      <c r="H5" s="1004">
        <v>10.9</v>
      </c>
      <c r="I5" s="1004">
        <v>16.399999999999999</v>
      </c>
      <c r="J5" s="1004">
        <v>14.4</v>
      </c>
      <c r="K5" s="1004">
        <v>8.5</v>
      </c>
      <c r="L5" s="1004">
        <v>11.3</v>
      </c>
      <c r="M5" s="4"/>
      <c r="N5" s="4">
        <v>1981</v>
      </c>
      <c r="O5" s="426">
        <v>12.6</v>
      </c>
      <c r="P5" s="426">
        <v>16.100000000000001</v>
      </c>
      <c r="Q5" s="426">
        <v>14.5</v>
      </c>
      <c r="R5" s="426">
        <v>12.9</v>
      </c>
      <c r="S5" s="426">
        <v>18.3</v>
      </c>
      <c r="T5" s="426">
        <v>15</v>
      </c>
      <c r="U5" s="426">
        <v>10.9</v>
      </c>
      <c r="V5" s="426">
        <v>16.399999999999999</v>
      </c>
      <c r="W5" s="426">
        <v>14.4</v>
      </c>
      <c r="X5" s="426">
        <v>8.5</v>
      </c>
      <c r="Y5" s="426">
        <v>11.3</v>
      </c>
    </row>
    <row r="6" spans="1:25" s="972" customFormat="1">
      <c r="A6" s="2">
        <v>1982</v>
      </c>
      <c r="B6" s="1004">
        <v>14.2</v>
      </c>
      <c r="C6" s="1004">
        <v>18.899999999999999</v>
      </c>
      <c r="D6" s="1004">
        <v>12</v>
      </c>
      <c r="E6" s="1004">
        <v>14.8</v>
      </c>
      <c r="F6" s="1004">
        <v>18.899999999999999</v>
      </c>
      <c r="G6" s="1004">
        <v>16.3</v>
      </c>
      <c r="H6" s="1004">
        <v>12.9</v>
      </c>
      <c r="I6" s="1004">
        <v>19.2</v>
      </c>
      <c r="J6" s="1004">
        <v>11.9</v>
      </c>
      <c r="K6" s="1004">
        <v>10.1</v>
      </c>
      <c r="L6" s="1004">
        <v>13.7</v>
      </c>
      <c r="M6" s="4"/>
      <c r="N6" s="4">
        <v>1982</v>
      </c>
      <c r="O6" s="426">
        <v>14.2</v>
      </c>
      <c r="P6" s="426">
        <v>18.899999999999999</v>
      </c>
      <c r="Q6" s="426">
        <v>12</v>
      </c>
      <c r="R6" s="426">
        <v>14.8</v>
      </c>
      <c r="S6" s="426">
        <v>18.899999999999999</v>
      </c>
      <c r="T6" s="426">
        <v>16.3</v>
      </c>
      <c r="U6" s="426">
        <v>12.9</v>
      </c>
      <c r="V6" s="426">
        <v>19.2</v>
      </c>
      <c r="W6" s="426">
        <v>11.9</v>
      </c>
      <c r="X6" s="426">
        <v>10.1</v>
      </c>
      <c r="Y6" s="426">
        <v>13.7</v>
      </c>
    </row>
    <row r="7" spans="1:25" s="972" customFormat="1">
      <c r="A7" s="2">
        <v>1983</v>
      </c>
      <c r="B7" s="1004">
        <v>15.8</v>
      </c>
      <c r="C7" s="1004">
        <v>25.4</v>
      </c>
      <c r="D7" s="1004">
        <v>8.8000000000000007</v>
      </c>
      <c r="E7" s="1004">
        <v>15.3</v>
      </c>
      <c r="F7" s="1004">
        <v>23.1</v>
      </c>
      <c r="G7" s="1004">
        <v>17.2</v>
      </c>
      <c r="H7" s="1004">
        <v>14.4</v>
      </c>
      <c r="I7" s="1004">
        <v>18.899999999999999</v>
      </c>
      <c r="J7" s="1004">
        <v>13.3</v>
      </c>
      <c r="K7" s="1004">
        <v>15.7</v>
      </c>
      <c r="L7" s="1004">
        <v>13</v>
      </c>
      <c r="M7" s="4"/>
      <c r="N7" s="4">
        <v>1983</v>
      </c>
      <c r="O7" s="426">
        <v>15.8</v>
      </c>
      <c r="P7" s="426">
        <v>25.4</v>
      </c>
      <c r="Q7" s="426">
        <v>8.8000000000000007</v>
      </c>
      <c r="R7" s="426">
        <v>15.3</v>
      </c>
      <c r="S7" s="426">
        <v>23.1</v>
      </c>
      <c r="T7" s="426">
        <v>17.2</v>
      </c>
      <c r="U7" s="426">
        <v>14.4</v>
      </c>
      <c r="V7" s="426">
        <v>18.899999999999999</v>
      </c>
      <c r="W7" s="426">
        <v>13.3</v>
      </c>
      <c r="X7" s="426">
        <v>15.7</v>
      </c>
      <c r="Y7" s="426">
        <v>13</v>
      </c>
    </row>
    <row r="8" spans="1:25" s="972" customFormat="1">
      <c r="A8" s="2">
        <v>1984</v>
      </c>
      <c r="B8" s="1004">
        <v>16.2</v>
      </c>
      <c r="C8" s="1004">
        <v>21.4</v>
      </c>
      <c r="D8" s="1004">
        <v>8.6</v>
      </c>
      <c r="E8" s="1004">
        <v>14.6</v>
      </c>
      <c r="F8" s="1004">
        <v>19.600000000000001</v>
      </c>
      <c r="G8" s="1004">
        <v>19.3</v>
      </c>
      <c r="H8" s="1004">
        <v>12.8</v>
      </c>
      <c r="I8" s="1004">
        <v>17</v>
      </c>
      <c r="J8" s="1004">
        <v>17.2</v>
      </c>
      <c r="K8" s="1004">
        <v>19.100000000000001</v>
      </c>
      <c r="L8" s="1004">
        <v>15.4</v>
      </c>
      <c r="M8" s="4"/>
      <c r="N8" s="4">
        <v>1984</v>
      </c>
      <c r="O8" s="426">
        <v>16.2</v>
      </c>
      <c r="P8" s="426">
        <v>21.4</v>
      </c>
      <c r="Q8" s="426">
        <v>8.6</v>
      </c>
      <c r="R8" s="426">
        <v>14.6</v>
      </c>
      <c r="S8" s="426">
        <v>19.600000000000001</v>
      </c>
      <c r="T8" s="426">
        <v>19.3</v>
      </c>
      <c r="U8" s="426">
        <v>12.8</v>
      </c>
      <c r="V8" s="426">
        <v>17</v>
      </c>
      <c r="W8" s="426">
        <v>17.2</v>
      </c>
      <c r="X8" s="426">
        <v>19.100000000000001</v>
      </c>
      <c r="Y8" s="426">
        <v>15.4</v>
      </c>
    </row>
    <row r="9" spans="1:25" s="972" customFormat="1">
      <c r="A9" s="2">
        <v>1985</v>
      </c>
      <c r="B9" s="1004">
        <v>15.7</v>
      </c>
      <c r="C9" s="1004">
        <v>20</v>
      </c>
      <c r="D9" s="1004">
        <v>9</v>
      </c>
      <c r="E9" s="1004">
        <v>15.2</v>
      </c>
      <c r="F9" s="1004">
        <v>15.1</v>
      </c>
      <c r="G9" s="1004">
        <v>17.600000000000001</v>
      </c>
      <c r="H9" s="1004">
        <v>13.5</v>
      </c>
      <c r="I9" s="1004">
        <v>17.2</v>
      </c>
      <c r="J9" s="1004">
        <v>16.2</v>
      </c>
      <c r="K9" s="1004">
        <v>15.7</v>
      </c>
      <c r="L9" s="1004">
        <v>17.3</v>
      </c>
      <c r="M9" s="4"/>
      <c r="N9" s="4">
        <v>1985</v>
      </c>
      <c r="O9" s="426">
        <v>15.7</v>
      </c>
      <c r="P9" s="426">
        <v>20</v>
      </c>
      <c r="Q9" s="426">
        <v>9</v>
      </c>
      <c r="R9" s="426">
        <v>15.2</v>
      </c>
      <c r="S9" s="426">
        <v>15.1</v>
      </c>
      <c r="T9" s="426">
        <v>17.600000000000001</v>
      </c>
      <c r="U9" s="426">
        <v>13.5</v>
      </c>
      <c r="V9" s="426">
        <v>17.2</v>
      </c>
      <c r="W9" s="426">
        <v>16.2</v>
      </c>
      <c r="X9" s="426">
        <v>15.7</v>
      </c>
      <c r="Y9" s="426">
        <v>17.3</v>
      </c>
    </row>
    <row r="10" spans="1:25" s="972" customFormat="1">
      <c r="A10" s="2">
        <v>1986</v>
      </c>
      <c r="B10" s="1004">
        <v>13.9</v>
      </c>
      <c r="C10" s="1004">
        <v>17.5</v>
      </c>
      <c r="D10" s="1004">
        <v>8.1999999999999993</v>
      </c>
      <c r="E10" s="1004">
        <v>12.7</v>
      </c>
      <c r="F10" s="1004">
        <v>14.4</v>
      </c>
      <c r="G10" s="1004">
        <v>16.399999999999999</v>
      </c>
      <c r="H10" s="1004">
        <v>10.8</v>
      </c>
      <c r="I10" s="1004">
        <v>18.399999999999999</v>
      </c>
      <c r="J10" s="1004">
        <v>19.8</v>
      </c>
      <c r="K10" s="1004">
        <v>12.6</v>
      </c>
      <c r="L10" s="1004">
        <v>15.1</v>
      </c>
      <c r="M10" s="4"/>
      <c r="N10" s="4">
        <v>1986</v>
      </c>
      <c r="O10" s="426">
        <v>13.9</v>
      </c>
      <c r="P10" s="426">
        <v>17.5</v>
      </c>
      <c r="Q10" s="426">
        <v>8.1999999999999993</v>
      </c>
      <c r="R10" s="426">
        <v>12.7</v>
      </c>
      <c r="S10" s="426">
        <v>14.4</v>
      </c>
      <c r="T10" s="426">
        <v>16.399999999999999</v>
      </c>
      <c r="U10" s="426">
        <v>10.8</v>
      </c>
      <c r="V10" s="426">
        <v>18.399999999999999</v>
      </c>
      <c r="W10" s="426">
        <v>19.8</v>
      </c>
      <c r="X10" s="426">
        <v>12.6</v>
      </c>
      <c r="Y10" s="426">
        <v>15.1</v>
      </c>
    </row>
    <row r="11" spans="1:25" s="972" customFormat="1">
      <c r="A11" s="2">
        <v>1987</v>
      </c>
      <c r="B11" s="1004">
        <v>13.7</v>
      </c>
      <c r="C11" s="1004">
        <v>19</v>
      </c>
      <c r="D11" s="1004">
        <v>9.5</v>
      </c>
      <c r="E11" s="1004">
        <v>12.8</v>
      </c>
      <c r="F11" s="1004">
        <v>16</v>
      </c>
      <c r="G11" s="1004">
        <v>16.899999999999999</v>
      </c>
      <c r="H11" s="1004">
        <v>9.4</v>
      </c>
      <c r="I11" s="1004">
        <v>17</v>
      </c>
      <c r="J11" s="1004">
        <v>13.6</v>
      </c>
      <c r="K11" s="1004">
        <v>16.2</v>
      </c>
      <c r="L11" s="1004">
        <v>15.3</v>
      </c>
      <c r="M11" s="4"/>
      <c r="N11" s="4">
        <v>1987</v>
      </c>
      <c r="O11" s="426">
        <v>13.7</v>
      </c>
      <c r="P11" s="426">
        <v>19</v>
      </c>
      <c r="Q11" s="426">
        <v>9.5</v>
      </c>
      <c r="R11" s="426">
        <v>12.8</v>
      </c>
      <c r="S11" s="426">
        <v>16</v>
      </c>
      <c r="T11" s="426">
        <v>16.899999999999999</v>
      </c>
      <c r="U11" s="426">
        <v>9.4</v>
      </c>
      <c r="V11" s="426">
        <v>17</v>
      </c>
      <c r="W11" s="426">
        <v>13.6</v>
      </c>
      <c r="X11" s="426">
        <v>16.2</v>
      </c>
      <c r="Y11" s="426">
        <v>15.3</v>
      </c>
    </row>
    <row r="12" spans="1:25" s="972" customFormat="1">
      <c r="A12" s="2">
        <v>1988</v>
      </c>
      <c r="B12" s="1004">
        <v>12.2</v>
      </c>
      <c r="C12" s="1004">
        <v>14.8</v>
      </c>
      <c r="D12" s="1004">
        <v>7.5</v>
      </c>
      <c r="E12" s="1004">
        <v>9.6999999999999993</v>
      </c>
      <c r="F12" s="1004">
        <v>14.2</v>
      </c>
      <c r="G12" s="1004">
        <v>14.1</v>
      </c>
      <c r="H12" s="1004">
        <v>9.1999999999999993</v>
      </c>
      <c r="I12" s="1004">
        <v>16.8</v>
      </c>
      <c r="J12" s="1004">
        <v>15.7</v>
      </c>
      <c r="K12" s="1004">
        <v>13.9</v>
      </c>
      <c r="L12" s="1004">
        <v>13.1</v>
      </c>
      <c r="M12" s="4"/>
      <c r="N12" s="4">
        <v>1988</v>
      </c>
      <c r="O12" s="426">
        <v>12.2</v>
      </c>
      <c r="P12" s="426">
        <v>14.8</v>
      </c>
      <c r="Q12" s="426">
        <v>7.5</v>
      </c>
      <c r="R12" s="426">
        <v>9.6999999999999993</v>
      </c>
      <c r="S12" s="426">
        <v>14.2</v>
      </c>
      <c r="T12" s="426">
        <v>14.1</v>
      </c>
      <c r="U12" s="426">
        <v>9.1999999999999993</v>
      </c>
      <c r="V12" s="426">
        <v>16.8</v>
      </c>
      <c r="W12" s="426">
        <v>15.7</v>
      </c>
      <c r="X12" s="426">
        <v>13.9</v>
      </c>
      <c r="Y12" s="426">
        <v>13.1</v>
      </c>
    </row>
    <row r="13" spans="1:25" s="972" customFormat="1">
      <c r="A13" s="2">
        <v>1989</v>
      </c>
      <c r="B13" s="1004">
        <v>11.9</v>
      </c>
      <c r="C13" s="1004">
        <v>14.3</v>
      </c>
      <c r="D13" s="1004">
        <v>6.9</v>
      </c>
      <c r="E13" s="1004">
        <v>11.9</v>
      </c>
      <c r="F13" s="1004">
        <v>13.3</v>
      </c>
      <c r="G13" s="1004">
        <v>12.6</v>
      </c>
      <c r="H13" s="1004">
        <v>9.5</v>
      </c>
      <c r="I13" s="1004">
        <v>17.2</v>
      </c>
      <c r="J13" s="1004">
        <v>15.9</v>
      </c>
      <c r="K13" s="1004">
        <v>14.8</v>
      </c>
      <c r="L13" s="1004">
        <v>11.6</v>
      </c>
      <c r="M13" s="4"/>
      <c r="N13" s="4">
        <v>1989</v>
      </c>
      <c r="O13" s="426">
        <v>11.9</v>
      </c>
      <c r="P13" s="426">
        <v>14.3</v>
      </c>
      <c r="Q13" s="426">
        <v>6.9</v>
      </c>
      <c r="R13" s="426">
        <v>11.9</v>
      </c>
      <c r="S13" s="426">
        <v>13.3</v>
      </c>
      <c r="T13" s="426">
        <v>12.6</v>
      </c>
      <c r="U13" s="426">
        <v>9.5</v>
      </c>
      <c r="V13" s="426">
        <v>17.2</v>
      </c>
      <c r="W13" s="426">
        <v>15.9</v>
      </c>
      <c r="X13" s="426">
        <v>14.8</v>
      </c>
      <c r="Y13" s="426">
        <v>11.6</v>
      </c>
    </row>
    <row r="14" spans="1:25" s="972" customFormat="1">
      <c r="A14" s="2">
        <v>1990</v>
      </c>
      <c r="B14" s="1004">
        <v>14</v>
      </c>
      <c r="C14" s="1004">
        <v>18.100000000000001</v>
      </c>
      <c r="D14" s="1004">
        <v>6.7</v>
      </c>
      <c r="E14" s="1004">
        <v>11.7</v>
      </c>
      <c r="F14" s="1004">
        <v>13.7</v>
      </c>
      <c r="G14" s="1004">
        <v>14.6</v>
      </c>
      <c r="H14" s="1004">
        <v>12</v>
      </c>
      <c r="I14" s="1004">
        <v>19.399999999999999</v>
      </c>
      <c r="J14" s="1004">
        <v>17.2</v>
      </c>
      <c r="K14" s="1004">
        <v>15.3</v>
      </c>
      <c r="L14" s="1004">
        <v>14.9</v>
      </c>
      <c r="M14" s="4"/>
      <c r="N14" s="4">
        <v>1990</v>
      </c>
      <c r="O14" s="426">
        <v>14</v>
      </c>
      <c r="P14" s="426">
        <v>18.100000000000001</v>
      </c>
      <c r="Q14" s="426">
        <v>6.7</v>
      </c>
      <c r="R14" s="426">
        <v>11.7</v>
      </c>
      <c r="S14" s="426">
        <v>13.7</v>
      </c>
      <c r="T14" s="426">
        <v>14.6</v>
      </c>
      <c r="U14" s="426">
        <v>12</v>
      </c>
      <c r="V14" s="426">
        <v>19.399999999999999</v>
      </c>
      <c r="W14" s="426">
        <v>17.2</v>
      </c>
      <c r="X14" s="426">
        <v>15.3</v>
      </c>
      <c r="Y14" s="426">
        <v>14.9</v>
      </c>
    </row>
    <row r="15" spans="1:25" s="972" customFormat="1">
      <c r="A15" s="2">
        <v>1991</v>
      </c>
      <c r="B15" s="1004">
        <v>15.2</v>
      </c>
      <c r="C15" s="1004">
        <v>16.7</v>
      </c>
      <c r="D15" s="1004">
        <v>11.2</v>
      </c>
      <c r="E15" s="1004">
        <v>15.3</v>
      </c>
      <c r="F15" s="1004">
        <v>16.600000000000001</v>
      </c>
      <c r="G15" s="1004">
        <v>17</v>
      </c>
      <c r="H15" s="1004">
        <v>13.6</v>
      </c>
      <c r="I15" s="1004">
        <v>24.2</v>
      </c>
      <c r="J15" s="1004">
        <v>17.899999999999999</v>
      </c>
      <c r="K15" s="1004">
        <v>15.3</v>
      </c>
      <c r="L15" s="1004">
        <v>12</v>
      </c>
      <c r="M15" s="4"/>
      <c r="N15" s="4">
        <v>1991</v>
      </c>
      <c r="O15" s="426">
        <v>15.2</v>
      </c>
      <c r="P15" s="426">
        <v>16.7</v>
      </c>
      <c r="Q15" s="426">
        <v>11.2</v>
      </c>
      <c r="R15" s="426">
        <v>15.3</v>
      </c>
      <c r="S15" s="426">
        <v>16.600000000000001</v>
      </c>
      <c r="T15" s="426">
        <v>17</v>
      </c>
      <c r="U15" s="426">
        <v>13.6</v>
      </c>
      <c r="V15" s="426">
        <v>24.2</v>
      </c>
      <c r="W15" s="426">
        <v>17.899999999999999</v>
      </c>
      <c r="X15" s="426">
        <v>15.3</v>
      </c>
      <c r="Y15" s="426">
        <v>12</v>
      </c>
    </row>
    <row r="16" spans="1:25" s="972" customFormat="1">
      <c r="A16" s="2">
        <v>1992</v>
      </c>
      <c r="B16" s="1004">
        <v>15.1</v>
      </c>
      <c r="C16" s="1004">
        <v>21.2</v>
      </c>
      <c r="D16" s="1004">
        <v>9.6</v>
      </c>
      <c r="E16" s="1004">
        <v>12.6</v>
      </c>
      <c r="F16" s="1004">
        <v>13.7</v>
      </c>
      <c r="G16" s="1004">
        <v>14.4</v>
      </c>
      <c r="H16" s="1004">
        <v>12.4</v>
      </c>
      <c r="I16" s="1004">
        <v>18.8</v>
      </c>
      <c r="J16" s="1004">
        <v>19.399999999999999</v>
      </c>
      <c r="K16" s="1004">
        <v>21.5</v>
      </c>
      <c r="L16" s="1004">
        <v>16.399999999999999</v>
      </c>
      <c r="M16" s="4"/>
      <c r="N16" s="4">
        <v>1992</v>
      </c>
      <c r="O16" s="426">
        <v>15.1</v>
      </c>
      <c r="P16" s="426">
        <v>21.2</v>
      </c>
      <c r="Q16" s="426">
        <v>9.6</v>
      </c>
      <c r="R16" s="426">
        <v>12.6</v>
      </c>
      <c r="S16" s="426">
        <v>13.7</v>
      </c>
      <c r="T16" s="426">
        <v>14.4</v>
      </c>
      <c r="U16" s="426">
        <v>12.4</v>
      </c>
      <c r="V16" s="426">
        <v>18.8</v>
      </c>
      <c r="W16" s="426">
        <v>19.399999999999999</v>
      </c>
      <c r="X16" s="426">
        <v>21.5</v>
      </c>
      <c r="Y16" s="426">
        <v>16.399999999999999</v>
      </c>
    </row>
    <row r="17" spans="1:25" s="972" customFormat="1">
      <c r="A17" s="2">
        <v>1993</v>
      </c>
      <c r="B17" s="1004">
        <v>17</v>
      </c>
      <c r="C17" s="1004">
        <v>17.8</v>
      </c>
      <c r="D17" s="1004">
        <v>5.5</v>
      </c>
      <c r="E17" s="1004">
        <v>16.899999999999999</v>
      </c>
      <c r="F17" s="1004">
        <v>16.8</v>
      </c>
      <c r="G17" s="1004">
        <v>19.399999999999999</v>
      </c>
      <c r="H17" s="1004">
        <v>15.4</v>
      </c>
      <c r="I17" s="1004">
        <v>19.8</v>
      </c>
      <c r="J17" s="1004">
        <v>19.899999999999999</v>
      </c>
      <c r="K17" s="1004">
        <v>17.399999999999999</v>
      </c>
      <c r="L17" s="1004">
        <v>15.5</v>
      </c>
      <c r="M17" s="4"/>
      <c r="N17" s="4">
        <v>1993</v>
      </c>
      <c r="O17" s="426">
        <v>17</v>
      </c>
      <c r="P17" s="426">
        <v>17.8</v>
      </c>
      <c r="Q17" s="426">
        <v>5.5</v>
      </c>
      <c r="R17" s="426">
        <v>16.899999999999999</v>
      </c>
      <c r="S17" s="426">
        <v>16.8</v>
      </c>
      <c r="T17" s="426">
        <v>19.399999999999999</v>
      </c>
      <c r="U17" s="426">
        <v>15.4</v>
      </c>
      <c r="V17" s="426">
        <v>19.8</v>
      </c>
      <c r="W17" s="426">
        <v>19.899999999999999</v>
      </c>
      <c r="X17" s="426">
        <v>17.399999999999999</v>
      </c>
      <c r="Y17" s="426">
        <v>15.5</v>
      </c>
    </row>
    <row r="18" spans="1:25" s="972" customFormat="1">
      <c r="A18" s="2">
        <v>1994</v>
      </c>
      <c r="B18" s="1004">
        <v>16.3</v>
      </c>
      <c r="C18" s="1004">
        <v>19.100000000000001</v>
      </c>
      <c r="D18" s="1004">
        <v>6.9</v>
      </c>
      <c r="E18" s="1004">
        <v>16.100000000000001</v>
      </c>
      <c r="F18" s="1004">
        <v>17.100000000000001</v>
      </c>
      <c r="G18" s="1004">
        <v>18</v>
      </c>
      <c r="H18" s="1004">
        <v>14</v>
      </c>
      <c r="I18" s="1004">
        <v>18.8</v>
      </c>
      <c r="J18" s="1004">
        <v>18.600000000000001</v>
      </c>
      <c r="K18" s="1004">
        <v>17.399999999999999</v>
      </c>
      <c r="L18" s="1004">
        <v>16.899999999999999</v>
      </c>
      <c r="M18" s="4"/>
      <c r="N18" s="4">
        <v>1994</v>
      </c>
      <c r="O18" s="426">
        <v>16.3</v>
      </c>
      <c r="P18" s="426">
        <v>19.100000000000001</v>
      </c>
      <c r="Q18" s="426">
        <v>6.9</v>
      </c>
      <c r="R18" s="426">
        <v>16.100000000000001</v>
      </c>
      <c r="S18" s="426">
        <v>17.100000000000001</v>
      </c>
      <c r="T18" s="426">
        <v>18</v>
      </c>
      <c r="U18" s="426">
        <v>14</v>
      </c>
      <c r="V18" s="426">
        <v>18.8</v>
      </c>
      <c r="W18" s="426">
        <v>18.600000000000001</v>
      </c>
      <c r="X18" s="426">
        <v>17.399999999999999</v>
      </c>
      <c r="Y18" s="426">
        <v>16.899999999999999</v>
      </c>
    </row>
    <row r="19" spans="1:25" s="972" customFormat="1">
      <c r="A19" s="2">
        <v>1995</v>
      </c>
      <c r="B19" s="1004">
        <v>17.5</v>
      </c>
      <c r="C19" s="1004">
        <v>21.2</v>
      </c>
      <c r="D19" s="1004">
        <v>8.1</v>
      </c>
      <c r="E19" s="1004">
        <v>17.399999999999999</v>
      </c>
      <c r="F19" s="1004">
        <v>19.3</v>
      </c>
      <c r="G19" s="1004">
        <v>19.8</v>
      </c>
      <c r="H19" s="1004">
        <v>15.6</v>
      </c>
      <c r="I19" s="1004">
        <v>18.899999999999999</v>
      </c>
      <c r="J19" s="1004">
        <v>19.899999999999999</v>
      </c>
      <c r="K19" s="1004">
        <v>17.5</v>
      </c>
      <c r="L19" s="1004">
        <v>17</v>
      </c>
      <c r="M19" s="4"/>
      <c r="N19" s="4">
        <v>1995</v>
      </c>
      <c r="O19" s="426">
        <v>17.5</v>
      </c>
      <c r="P19" s="426">
        <v>21.2</v>
      </c>
      <c r="Q19" s="426">
        <v>8.1</v>
      </c>
      <c r="R19" s="426">
        <v>17.399999999999999</v>
      </c>
      <c r="S19" s="426">
        <v>19.3</v>
      </c>
      <c r="T19" s="426">
        <v>19.8</v>
      </c>
      <c r="U19" s="426">
        <v>15.6</v>
      </c>
      <c r="V19" s="426">
        <v>18.899999999999999</v>
      </c>
      <c r="W19" s="426">
        <v>19.899999999999999</v>
      </c>
      <c r="X19" s="426">
        <v>17.5</v>
      </c>
      <c r="Y19" s="426">
        <v>17</v>
      </c>
    </row>
    <row r="20" spans="1:25" s="972" customFormat="1">
      <c r="A20" s="2">
        <v>1996</v>
      </c>
      <c r="B20" s="1004">
        <v>18.399999999999999</v>
      </c>
      <c r="C20" s="1004">
        <v>20.3</v>
      </c>
      <c r="D20" s="1004">
        <v>10.6</v>
      </c>
      <c r="E20" s="1004">
        <v>18.3</v>
      </c>
      <c r="F20" s="1004">
        <v>15</v>
      </c>
      <c r="G20" s="1004">
        <v>19.3</v>
      </c>
      <c r="H20" s="1004">
        <v>18.100000000000001</v>
      </c>
      <c r="I20" s="1004">
        <v>21.8</v>
      </c>
      <c r="J20" s="1004">
        <v>17.8</v>
      </c>
      <c r="K20" s="1004">
        <v>19.100000000000001</v>
      </c>
      <c r="L20" s="1004">
        <v>16.8</v>
      </c>
      <c r="M20" s="4"/>
      <c r="N20" s="4">
        <v>1996</v>
      </c>
      <c r="O20" s="426">
        <v>18.399999999999999</v>
      </c>
      <c r="P20" s="426">
        <v>20.3</v>
      </c>
      <c r="Q20" s="426">
        <v>10.6</v>
      </c>
      <c r="R20" s="426">
        <v>18.3</v>
      </c>
      <c r="S20" s="426">
        <v>15</v>
      </c>
      <c r="T20" s="426">
        <v>19.3</v>
      </c>
      <c r="U20" s="426">
        <v>18.100000000000001</v>
      </c>
      <c r="V20" s="426">
        <v>21.8</v>
      </c>
      <c r="W20" s="426">
        <v>17.8</v>
      </c>
      <c r="X20" s="426">
        <v>19.100000000000001</v>
      </c>
      <c r="Y20" s="426">
        <v>16.8</v>
      </c>
    </row>
    <row r="21" spans="1:25" s="972" customFormat="1">
      <c r="A21" s="2">
        <v>1997</v>
      </c>
      <c r="B21" s="1004">
        <v>17.399999999999999</v>
      </c>
      <c r="C21" s="1004">
        <v>17.8</v>
      </c>
      <c r="D21" s="1004">
        <v>9.6999999999999993</v>
      </c>
      <c r="E21" s="1004">
        <v>18.899999999999999</v>
      </c>
      <c r="F21" s="1004">
        <v>16.100000000000001</v>
      </c>
      <c r="G21" s="1004">
        <v>20.6</v>
      </c>
      <c r="H21" s="1004">
        <v>16.8</v>
      </c>
      <c r="I21" s="1004">
        <v>20.9</v>
      </c>
      <c r="J21" s="1004">
        <v>13.8</v>
      </c>
      <c r="K21" s="1004">
        <v>14.2</v>
      </c>
      <c r="L21" s="1004">
        <v>15.8</v>
      </c>
      <c r="M21" s="4"/>
      <c r="N21" s="4">
        <v>1997</v>
      </c>
      <c r="O21" s="426">
        <v>17.399999999999999</v>
      </c>
      <c r="P21" s="426">
        <v>17.8</v>
      </c>
      <c r="Q21" s="426">
        <v>9.6999999999999993</v>
      </c>
      <c r="R21" s="426">
        <v>18.899999999999999</v>
      </c>
      <c r="S21" s="426">
        <v>16.100000000000001</v>
      </c>
      <c r="T21" s="426">
        <v>20.6</v>
      </c>
      <c r="U21" s="426">
        <v>16.8</v>
      </c>
      <c r="V21" s="426">
        <v>20.9</v>
      </c>
      <c r="W21" s="426">
        <v>13.8</v>
      </c>
      <c r="X21" s="426">
        <v>14.2</v>
      </c>
      <c r="Y21" s="426">
        <v>15.8</v>
      </c>
    </row>
    <row r="22" spans="1:25" s="972" customFormat="1">
      <c r="A22" s="2">
        <v>1998</v>
      </c>
      <c r="B22" s="1004">
        <v>15.7</v>
      </c>
      <c r="C22" s="1004">
        <v>19</v>
      </c>
      <c r="D22" s="1004">
        <v>7.5</v>
      </c>
      <c r="E22" s="1004">
        <v>16.8</v>
      </c>
      <c r="F22" s="1004">
        <v>14.4</v>
      </c>
      <c r="G22" s="1004">
        <v>18.7</v>
      </c>
      <c r="H22" s="1004">
        <v>15.1</v>
      </c>
      <c r="I22" s="1004">
        <v>17.5</v>
      </c>
      <c r="J22" s="1004">
        <v>11.2</v>
      </c>
      <c r="K22" s="1004">
        <v>14.1</v>
      </c>
      <c r="L22" s="1004">
        <v>13.9</v>
      </c>
      <c r="M22" s="4"/>
      <c r="N22" s="4">
        <v>1998</v>
      </c>
      <c r="O22" s="426">
        <v>15.7</v>
      </c>
      <c r="P22" s="426">
        <v>19</v>
      </c>
      <c r="Q22" s="426">
        <v>7.5</v>
      </c>
      <c r="R22" s="426">
        <v>16.8</v>
      </c>
      <c r="S22" s="426">
        <v>14.4</v>
      </c>
      <c r="T22" s="426">
        <v>18.7</v>
      </c>
      <c r="U22" s="426">
        <v>15.1</v>
      </c>
      <c r="V22" s="426">
        <v>17.5</v>
      </c>
      <c r="W22" s="426">
        <v>11.2</v>
      </c>
      <c r="X22" s="426">
        <v>14.1</v>
      </c>
      <c r="Y22" s="426">
        <v>13.9</v>
      </c>
    </row>
    <row r="23" spans="1:25" s="972" customFormat="1">
      <c r="A23" s="2">
        <v>1999</v>
      </c>
      <c r="B23" s="1004">
        <v>14.6</v>
      </c>
      <c r="C23" s="1004">
        <v>20</v>
      </c>
      <c r="D23" s="1004">
        <v>8.6</v>
      </c>
      <c r="E23" s="1004">
        <v>11.9</v>
      </c>
      <c r="F23" s="1004">
        <v>13.3</v>
      </c>
      <c r="G23" s="1004">
        <v>14.9</v>
      </c>
      <c r="H23" s="1004">
        <v>13.8</v>
      </c>
      <c r="I23" s="1004">
        <v>19.5</v>
      </c>
      <c r="J23" s="1004">
        <v>11.5</v>
      </c>
      <c r="K23" s="1004">
        <v>12.7</v>
      </c>
      <c r="L23" s="1004">
        <v>17.7</v>
      </c>
      <c r="M23" s="4"/>
      <c r="N23" s="4">
        <v>1999</v>
      </c>
      <c r="O23" s="426">
        <v>14.6</v>
      </c>
      <c r="P23" s="426">
        <v>20</v>
      </c>
      <c r="Q23" s="426">
        <v>8.6</v>
      </c>
      <c r="R23" s="426">
        <v>11.9</v>
      </c>
      <c r="S23" s="426">
        <v>13.3</v>
      </c>
      <c r="T23" s="426">
        <v>14.9</v>
      </c>
      <c r="U23" s="426">
        <v>13.8</v>
      </c>
      <c r="V23" s="426">
        <v>19.5</v>
      </c>
      <c r="W23" s="426">
        <v>11.5</v>
      </c>
      <c r="X23" s="426">
        <v>12.7</v>
      </c>
      <c r="Y23" s="426">
        <v>17.7</v>
      </c>
    </row>
    <row r="24" spans="1:25" s="972" customFormat="1">
      <c r="A24" s="2">
        <v>2000</v>
      </c>
      <c r="B24" s="1004">
        <v>13.9</v>
      </c>
      <c r="C24" s="1004">
        <v>17.899999999999999</v>
      </c>
      <c r="D24" s="1004">
        <v>7.7</v>
      </c>
      <c r="E24" s="1004">
        <v>12.6</v>
      </c>
      <c r="F24" s="1004">
        <v>10.8</v>
      </c>
      <c r="G24" s="1004">
        <v>16.100000000000001</v>
      </c>
      <c r="H24" s="1004">
        <v>13</v>
      </c>
      <c r="I24" s="1004">
        <v>16.899999999999999</v>
      </c>
      <c r="J24" s="1004">
        <v>13.2</v>
      </c>
      <c r="K24" s="1004">
        <v>12.5</v>
      </c>
      <c r="L24" s="1004">
        <v>14.2</v>
      </c>
      <c r="M24" s="4"/>
      <c r="N24" s="4">
        <v>2000</v>
      </c>
      <c r="O24" s="426">
        <v>13.9</v>
      </c>
      <c r="P24" s="426">
        <v>17.899999999999999</v>
      </c>
      <c r="Q24" s="426">
        <v>7.7</v>
      </c>
      <c r="R24" s="426">
        <v>12.6</v>
      </c>
      <c r="S24" s="426">
        <v>10.8</v>
      </c>
      <c r="T24" s="426">
        <v>16.100000000000001</v>
      </c>
      <c r="U24" s="426">
        <v>13</v>
      </c>
      <c r="V24" s="426">
        <v>16.899999999999999</v>
      </c>
      <c r="W24" s="426">
        <v>13.2</v>
      </c>
      <c r="X24" s="426">
        <v>12.5</v>
      </c>
      <c r="Y24" s="426">
        <v>14.2</v>
      </c>
    </row>
    <row r="25" spans="1:25" s="972" customFormat="1">
      <c r="A25" s="2">
        <v>2001</v>
      </c>
      <c r="B25" s="1004">
        <v>12.2</v>
      </c>
      <c r="C25" s="1004">
        <v>13.7</v>
      </c>
      <c r="D25" s="1004">
        <v>5.8</v>
      </c>
      <c r="E25" s="1004">
        <v>13.5</v>
      </c>
      <c r="F25" s="1004">
        <v>9.6999999999999993</v>
      </c>
      <c r="G25" s="1004">
        <v>14.6</v>
      </c>
      <c r="H25" s="1004">
        <v>10.4</v>
      </c>
      <c r="I25" s="1004">
        <v>15.9</v>
      </c>
      <c r="J25" s="1004">
        <v>11</v>
      </c>
      <c r="K25" s="1004">
        <v>10.9</v>
      </c>
      <c r="L25" s="1004">
        <v>14.2</v>
      </c>
      <c r="M25" s="4"/>
      <c r="N25" s="4">
        <v>2001</v>
      </c>
      <c r="O25" s="426">
        <v>12.2</v>
      </c>
      <c r="P25" s="426">
        <v>13.7</v>
      </c>
      <c r="Q25" s="426">
        <v>5.8</v>
      </c>
      <c r="R25" s="426">
        <v>13.5</v>
      </c>
      <c r="S25" s="426">
        <v>9.6999999999999993</v>
      </c>
      <c r="T25" s="426">
        <v>14.6</v>
      </c>
      <c r="U25" s="426">
        <v>10.4</v>
      </c>
      <c r="V25" s="426">
        <v>15.9</v>
      </c>
      <c r="W25" s="426">
        <v>11</v>
      </c>
      <c r="X25" s="426">
        <v>10.9</v>
      </c>
      <c r="Y25" s="426">
        <v>14.2</v>
      </c>
    </row>
    <row r="26" spans="1:25" s="972" customFormat="1">
      <c r="A26" s="2">
        <v>2002</v>
      </c>
      <c r="B26" s="1004">
        <v>12.4</v>
      </c>
      <c r="C26" s="1004">
        <v>14.8</v>
      </c>
      <c r="D26" s="1004">
        <v>7.1</v>
      </c>
      <c r="E26" s="1004">
        <v>12.7</v>
      </c>
      <c r="F26" s="1004">
        <v>10.4</v>
      </c>
      <c r="G26" s="1004">
        <v>11.3</v>
      </c>
      <c r="H26" s="1004">
        <v>11.7</v>
      </c>
      <c r="I26" s="1004">
        <v>16.399999999999999</v>
      </c>
      <c r="J26" s="1004">
        <v>9</v>
      </c>
      <c r="K26" s="1004">
        <v>9.6999999999999993</v>
      </c>
      <c r="L26" s="1004">
        <v>18.5</v>
      </c>
      <c r="M26" s="4"/>
      <c r="N26" s="4">
        <v>2002</v>
      </c>
      <c r="O26" s="426">
        <v>12.4</v>
      </c>
      <c r="P26" s="426">
        <v>14.8</v>
      </c>
      <c r="Q26" s="426">
        <v>7.1</v>
      </c>
      <c r="R26" s="426">
        <v>12.7</v>
      </c>
      <c r="S26" s="426">
        <v>10.4</v>
      </c>
      <c r="T26" s="426">
        <v>11.3</v>
      </c>
      <c r="U26" s="426">
        <v>11.7</v>
      </c>
      <c r="V26" s="426">
        <v>16.399999999999999</v>
      </c>
      <c r="W26" s="426">
        <v>9</v>
      </c>
      <c r="X26" s="426">
        <v>9.6999999999999993</v>
      </c>
      <c r="Y26" s="426">
        <v>18.5</v>
      </c>
    </row>
    <row r="27" spans="1:25" s="972" customFormat="1">
      <c r="A27" s="2">
        <v>2003</v>
      </c>
      <c r="B27" s="1004">
        <v>12.7</v>
      </c>
      <c r="C27" s="1004">
        <v>16.100000000000001</v>
      </c>
      <c r="D27" s="1004">
        <v>5.0999999999999996</v>
      </c>
      <c r="E27" s="1004">
        <v>14.4</v>
      </c>
      <c r="F27" s="1004">
        <v>11</v>
      </c>
      <c r="G27" s="1004">
        <v>10.9</v>
      </c>
      <c r="H27" s="1004">
        <v>11.5</v>
      </c>
      <c r="I27" s="1004">
        <v>17</v>
      </c>
      <c r="J27" s="1004">
        <v>13.2</v>
      </c>
      <c r="K27" s="1004">
        <v>12</v>
      </c>
      <c r="L27" s="1004">
        <v>19.2</v>
      </c>
      <c r="M27" s="4"/>
      <c r="N27" s="4">
        <v>2003</v>
      </c>
      <c r="O27" s="426">
        <v>12.7</v>
      </c>
      <c r="P27" s="426">
        <v>16.100000000000001</v>
      </c>
      <c r="Q27" s="426">
        <v>5.0999999999999996</v>
      </c>
      <c r="R27" s="426">
        <v>14.4</v>
      </c>
      <c r="S27" s="426">
        <v>11</v>
      </c>
      <c r="T27" s="426">
        <v>10.9</v>
      </c>
      <c r="U27" s="426">
        <v>11.5</v>
      </c>
      <c r="V27" s="426">
        <v>17</v>
      </c>
      <c r="W27" s="426">
        <v>13.2</v>
      </c>
      <c r="X27" s="426">
        <v>12</v>
      </c>
      <c r="Y27" s="426">
        <v>19.2</v>
      </c>
    </row>
    <row r="28" spans="1:25" s="972" customFormat="1">
      <c r="A28" s="2">
        <v>2004</v>
      </c>
      <c r="B28" s="1004">
        <v>13</v>
      </c>
      <c r="C28" s="1004">
        <v>16.3</v>
      </c>
      <c r="D28" s="1004">
        <v>4.4000000000000004</v>
      </c>
      <c r="E28" s="1004">
        <v>12</v>
      </c>
      <c r="F28" s="1004">
        <v>9.1</v>
      </c>
      <c r="G28" s="1004">
        <v>11.1</v>
      </c>
      <c r="H28" s="1004">
        <v>13.3</v>
      </c>
      <c r="I28" s="1004">
        <v>13.1</v>
      </c>
      <c r="J28" s="1004">
        <v>11.1</v>
      </c>
      <c r="K28" s="1004">
        <v>12</v>
      </c>
      <c r="L28" s="1004">
        <v>18</v>
      </c>
      <c r="M28" s="4"/>
      <c r="N28" s="4">
        <v>2004</v>
      </c>
      <c r="O28" s="426">
        <v>13</v>
      </c>
      <c r="P28" s="426">
        <v>16.3</v>
      </c>
      <c r="Q28" s="426">
        <v>4.4000000000000004</v>
      </c>
      <c r="R28" s="426">
        <v>12</v>
      </c>
      <c r="S28" s="426">
        <v>9.1</v>
      </c>
      <c r="T28" s="426">
        <v>11.1</v>
      </c>
      <c r="U28" s="426">
        <v>13.3</v>
      </c>
      <c r="V28" s="426">
        <v>13.1</v>
      </c>
      <c r="W28" s="426">
        <v>11.1</v>
      </c>
      <c r="X28" s="426">
        <v>12</v>
      </c>
      <c r="Y28" s="426">
        <v>18</v>
      </c>
    </row>
    <row r="29" spans="1:25" s="972" customFormat="1">
      <c r="A29" s="2">
        <v>2005</v>
      </c>
      <c r="B29" s="1004">
        <v>11.8</v>
      </c>
      <c r="C29" s="1004">
        <v>10.7</v>
      </c>
      <c r="D29" s="1004">
        <v>3.3</v>
      </c>
      <c r="E29" s="1004">
        <v>10.5</v>
      </c>
      <c r="F29" s="1004">
        <v>10.3</v>
      </c>
      <c r="G29" s="1004">
        <v>9.6999999999999993</v>
      </c>
      <c r="H29" s="1004">
        <v>12.7</v>
      </c>
      <c r="I29" s="1004">
        <v>14.3</v>
      </c>
      <c r="J29" s="1004">
        <v>13.3</v>
      </c>
      <c r="K29" s="1004">
        <v>8.6</v>
      </c>
      <c r="L29" s="1004">
        <v>15.3</v>
      </c>
      <c r="M29" s="4"/>
      <c r="N29" s="4">
        <v>2005</v>
      </c>
      <c r="O29" s="426">
        <v>11.8</v>
      </c>
      <c r="P29" s="426">
        <v>10.7</v>
      </c>
      <c r="Q29" s="426">
        <v>3.3</v>
      </c>
      <c r="R29" s="426">
        <v>10.5</v>
      </c>
      <c r="S29" s="426">
        <v>10.3</v>
      </c>
      <c r="T29" s="426">
        <v>9.6999999999999993</v>
      </c>
      <c r="U29" s="426">
        <v>12.7</v>
      </c>
      <c r="V29" s="426">
        <v>14.3</v>
      </c>
      <c r="W29" s="426">
        <v>13.3</v>
      </c>
      <c r="X29" s="426">
        <v>8.6</v>
      </c>
      <c r="Y29" s="426">
        <v>15.3</v>
      </c>
    </row>
    <row r="30" spans="1:25" s="972" customFormat="1">
      <c r="A30" s="2">
        <v>2006</v>
      </c>
      <c r="B30" s="1004">
        <v>11.4</v>
      </c>
      <c r="C30" s="1004">
        <v>9.3000000000000007</v>
      </c>
      <c r="D30" s="1004">
        <v>4</v>
      </c>
      <c r="E30" s="1004">
        <v>8.8000000000000007</v>
      </c>
      <c r="F30" s="1004">
        <v>11.5</v>
      </c>
      <c r="G30" s="1004">
        <v>9.9</v>
      </c>
      <c r="H30" s="1004">
        <v>11.9</v>
      </c>
      <c r="I30" s="1004">
        <v>12.7</v>
      </c>
      <c r="J30" s="1004">
        <v>14.6</v>
      </c>
      <c r="K30" s="1004">
        <v>7</v>
      </c>
      <c r="L30" s="1004">
        <v>16.5</v>
      </c>
      <c r="M30" s="4"/>
      <c r="N30" s="4">
        <v>2006</v>
      </c>
      <c r="O30" s="426">
        <v>11.4</v>
      </c>
      <c r="P30" s="426">
        <v>9.3000000000000007</v>
      </c>
      <c r="Q30" s="426">
        <v>4</v>
      </c>
      <c r="R30" s="426">
        <v>8.8000000000000007</v>
      </c>
      <c r="S30" s="426">
        <v>11.5</v>
      </c>
      <c r="T30" s="426">
        <v>9.9</v>
      </c>
      <c r="U30" s="426">
        <v>11.9</v>
      </c>
      <c r="V30" s="426">
        <v>12.7</v>
      </c>
      <c r="W30" s="426">
        <v>14.6</v>
      </c>
      <c r="X30" s="426">
        <v>7</v>
      </c>
      <c r="Y30" s="426">
        <v>16.5</v>
      </c>
    </row>
    <row r="31" spans="1:25" s="114" customFormat="1">
      <c r="A31" s="2">
        <v>2007</v>
      </c>
      <c r="B31" s="1004">
        <v>9.5</v>
      </c>
      <c r="C31" s="1004">
        <v>6.5</v>
      </c>
      <c r="D31" s="1004">
        <v>4.7</v>
      </c>
      <c r="E31" s="1004">
        <v>8.4</v>
      </c>
      <c r="F31" s="1004">
        <v>9.4</v>
      </c>
      <c r="G31" s="1004">
        <v>9.5</v>
      </c>
      <c r="H31" s="1004">
        <v>9.4</v>
      </c>
      <c r="I31" s="1004">
        <v>11.1</v>
      </c>
      <c r="J31" s="1004">
        <v>8.9</v>
      </c>
      <c r="K31" s="1004">
        <v>6.3</v>
      </c>
      <c r="L31" s="1004">
        <v>13</v>
      </c>
      <c r="N31" s="4">
        <v>2007</v>
      </c>
      <c r="O31" s="426">
        <v>9.5</v>
      </c>
      <c r="P31" s="426">
        <v>6.5</v>
      </c>
      <c r="Q31" s="426">
        <v>4.7</v>
      </c>
      <c r="R31" s="426">
        <v>8.4</v>
      </c>
      <c r="S31" s="426">
        <v>9.4</v>
      </c>
      <c r="T31" s="426">
        <v>9.5</v>
      </c>
      <c r="U31" s="426">
        <v>9.4</v>
      </c>
      <c r="V31" s="426">
        <v>11.1</v>
      </c>
      <c r="W31" s="426">
        <v>8.9</v>
      </c>
      <c r="X31" s="426">
        <v>6.3</v>
      </c>
      <c r="Y31" s="426">
        <v>13</v>
      </c>
    </row>
    <row r="32" spans="1:25" s="114" customFormat="1">
      <c r="A32" s="431"/>
      <c r="D32" s="967" t="s">
        <v>655</v>
      </c>
    </row>
    <row r="33" spans="1:36" s="114" customFormat="1">
      <c r="A33" s="431" t="s">
        <v>603</v>
      </c>
      <c r="B33" s="10">
        <f>B13-B5</f>
        <v>-0.69999999999999929</v>
      </c>
      <c r="C33" s="10">
        <f t="shared" ref="C33:L33" si="0">C13-C5</f>
        <v>-1.8000000000000007</v>
      </c>
      <c r="D33" s="10">
        <f t="shared" si="0"/>
        <v>-7.6</v>
      </c>
      <c r="E33" s="10">
        <f t="shared" si="0"/>
        <v>-1</v>
      </c>
      <c r="F33" s="10">
        <f t="shared" si="0"/>
        <v>-5</v>
      </c>
      <c r="G33" s="10">
        <f t="shared" si="0"/>
        <v>-2.4000000000000004</v>
      </c>
      <c r="H33" s="10">
        <f t="shared" si="0"/>
        <v>-1.4000000000000004</v>
      </c>
      <c r="I33" s="10">
        <f t="shared" si="0"/>
        <v>0.80000000000000071</v>
      </c>
      <c r="J33" s="10">
        <f t="shared" si="0"/>
        <v>1.5</v>
      </c>
      <c r="K33" s="10">
        <f t="shared" si="0"/>
        <v>6.3000000000000007</v>
      </c>
      <c r="L33" s="10">
        <f t="shared" si="0"/>
        <v>0.29999999999999893</v>
      </c>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row>
    <row r="34" spans="1:36" s="114" customFormat="1">
      <c r="A34" s="431" t="s">
        <v>604</v>
      </c>
      <c r="B34" s="10">
        <f>B24-B13</f>
        <v>2</v>
      </c>
      <c r="C34" s="10">
        <f t="shared" ref="C34:L34" si="1">C24-C13</f>
        <v>3.5999999999999979</v>
      </c>
      <c r="D34" s="10">
        <f t="shared" si="1"/>
        <v>0.79999999999999982</v>
      </c>
      <c r="E34" s="10">
        <f t="shared" si="1"/>
        <v>0.69999999999999929</v>
      </c>
      <c r="F34" s="10">
        <f t="shared" si="1"/>
        <v>-2.5</v>
      </c>
      <c r="G34" s="10">
        <f t="shared" si="1"/>
        <v>3.5000000000000018</v>
      </c>
      <c r="H34" s="10">
        <f t="shared" si="1"/>
        <v>3.5</v>
      </c>
      <c r="I34" s="10">
        <f t="shared" si="1"/>
        <v>-0.30000000000000071</v>
      </c>
      <c r="J34" s="10">
        <f t="shared" si="1"/>
        <v>-2.7000000000000011</v>
      </c>
      <c r="K34" s="10">
        <f t="shared" si="1"/>
        <v>-2.3000000000000007</v>
      </c>
      <c r="L34" s="10">
        <f t="shared" si="1"/>
        <v>2.5999999999999996</v>
      </c>
    </row>
    <row r="35" spans="1:36" s="114" customFormat="1">
      <c r="A35" s="431" t="s">
        <v>447</v>
      </c>
      <c r="B35" s="25">
        <f>B31-B5</f>
        <v>-3.0999999999999996</v>
      </c>
      <c r="C35" s="25">
        <f t="shared" ref="C35:L35" si="2">C31-C5</f>
        <v>-9.6000000000000014</v>
      </c>
      <c r="D35" s="25">
        <f t="shared" si="2"/>
        <v>-9.8000000000000007</v>
      </c>
      <c r="E35" s="25">
        <f t="shared" si="2"/>
        <v>-4.5</v>
      </c>
      <c r="F35" s="25">
        <f t="shared" si="2"/>
        <v>-8.9</v>
      </c>
      <c r="G35" s="25">
        <f t="shared" si="2"/>
        <v>-5.5</v>
      </c>
      <c r="H35" s="25">
        <f t="shared" si="2"/>
        <v>-1.5</v>
      </c>
      <c r="I35" s="25">
        <f t="shared" si="2"/>
        <v>-5.2999999999999989</v>
      </c>
      <c r="J35" s="25">
        <f t="shared" si="2"/>
        <v>-5.5</v>
      </c>
      <c r="K35" s="25">
        <f t="shared" si="2"/>
        <v>-2.2000000000000002</v>
      </c>
      <c r="L35" s="25">
        <f t="shared" si="2"/>
        <v>1.6999999999999993</v>
      </c>
    </row>
    <row r="36" spans="1:36" s="972" customFormat="1">
      <c r="A36" s="431" t="s">
        <v>449</v>
      </c>
      <c r="B36" s="10">
        <f>B31-B24</f>
        <v>-4.4000000000000004</v>
      </c>
      <c r="C36" s="10">
        <f t="shared" ref="C36:L36" si="3">C31-C24</f>
        <v>-11.399999999999999</v>
      </c>
      <c r="D36" s="10">
        <f t="shared" si="3"/>
        <v>-3</v>
      </c>
      <c r="E36" s="10">
        <f t="shared" si="3"/>
        <v>-4.1999999999999993</v>
      </c>
      <c r="F36" s="10">
        <f t="shared" si="3"/>
        <v>-1.4000000000000004</v>
      </c>
      <c r="G36" s="10">
        <f t="shared" si="3"/>
        <v>-6.6000000000000014</v>
      </c>
      <c r="H36" s="10">
        <f t="shared" si="3"/>
        <v>-3.5999999999999996</v>
      </c>
      <c r="I36" s="10">
        <f t="shared" si="3"/>
        <v>-5.7999999999999989</v>
      </c>
      <c r="J36" s="10">
        <f t="shared" si="3"/>
        <v>-4.2999999999999989</v>
      </c>
      <c r="K36" s="10">
        <f t="shared" si="3"/>
        <v>-6.2</v>
      </c>
      <c r="L36" s="10">
        <f t="shared" si="3"/>
        <v>-1.1999999999999993</v>
      </c>
      <c r="M36" s="4"/>
      <c r="N36" s="4"/>
    </row>
    <row r="37" spans="1:36" s="972" customFormat="1" ht="14.25" customHeight="1">
      <c r="A37" s="4"/>
      <c r="B37" s="4"/>
      <c r="M37" s="4"/>
      <c r="N37" s="4"/>
    </row>
    <row r="38" spans="1:36" s="972" customFormat="1" ht="25.5" customHeight="1">
      <c r="A38" s="1186" t="s">
        <v>102</v>
      </c>
      <c r="B38" s="1170"/>
      <c r="C38" s="1170"/>
      <c r="D38" s="1170"/>
      <c r="E38" s="1170"/>
      <c r="F38" s="1170"/>
      <c r="G38" s="1170"/>
      <c r="H38" s="1170"/>
      <c r="I38" s="1170"/>
      <c r="J38" s="1170"/>
      <c r="K38" s="1170"/>
      <c r="L38" s="1170"/>
      <c r="M38" s="4"/>
      <c r="N38" s="4"/>
    </row>
    <row r="39" spans="1:36" s="972" customFormat="1">
      <c r="A39" s="13" t="s">
        <v>1052</v>
      </c>
      <c r="B39" s="966"/>
      <c r="C39" s="966"/>
      <c r="D39" s="966"/>
      <c r="E39" s="966"/>
      <c r="F39" s="966"/>
      <c r="G39" s="966"/>
      <c r="H39" s="966"/>
      <c r="I39" s="966"/>
      <c r="J39" s="966"/>
      <c r="K39" s="966"/>
      <c r="L39" s="966"/>
      <c r="M39" s="4"/>
      <c r="N39" s="4"/>
    </row>
    <row r="40" spans="1:36" s="972" customFormat="1" ht="28.9" customHeight="1">
      <c r="A40" s="1168" t="s">
        <v>547</v>
      </c>
      <c r="B40" s="1169"/>
      <c r="C40" s="1169"/>
      <c r="D40" s="1169"/>
      <c r="E40" s="1169"/>
      <c r="F40" s="1169"/>
      <c r="G40" s="1169"/>
      <c r="H40" s="1169"/>
      <c r="I40" s="1169"/>
      <c r="J40" s="1169"/>
      <c r="K40" s="1169"/>
      <c r="L40" s="1169"/>
      <c r="M40" s="4"/>
      <c r="N40" s="4"/>
    </row>
    <row r="41" spans="1:36" s="972" customFormat="1">
      <c r="A41" s="4" t="s">
        <v>1868</v>
      </c>
      <c r="M41" s="4"/>
      <c r="N41" s="4"/>
    </row>
    <row r="42" spans="1:36">
      <c r="A42" s="1"/>
      <c r="B42" s="4"/>
      <c r="M42" s="4"/>
      <c r="N42" s="4"/>
    </row>
  </sheetData>
  <mergeCells count="13">
    <mergeCell ref="A38:L38"/>
    <mergeCell ref="I3:I4"/>
    <mergeCell ref="A40:L40"/>
    <mergeCell ref="B3:B4"/>
    <mergeCell ref="C3:C4"/>
    <mergeCell ref="D3:D4"/>
    <mergeCell ref="E3:E4"/>
    <mergeCell ref="F3:F4"/>
    <mergeCell ref="J3:J4"/>
    <mergeCell ref="K3:K4"/>
    <mergeCell ref="L3:L4"/>
    <mergeCell ref="G3:G4"/>
    <mergeCell ref="H3:H4"/>
  </mergeCells>
  <phoneticPr fontId="35" type="noConversion"/>
  <pageMargins left="0.75" right="0.75" top="1" bottom="1" header="0.5" footer="0.5"/>
  <pageSetup scale="83"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sheetPr codeName="Sheet47">
    <pageSetUpPr fitToPage="1"/>
  </sheetPr>
  <dimension ref="A1:AJ40"/>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2" width="9.28515625" style="1" bestFit="1" customWidth="1"/>
    <col min="13" max="16384" width="8.85546875" style="1"/>
  </cols>
  <sheetData>
    <row r="1" spans="1:14" ht="30.75" customHeight="1">
      <c r="A1" s="4"/>
      <c r="B1" s="1178" t="s">
        <v>2161</v>
      </c>
      <c r="C1" s="1178"/>
      <c r="D1" s="1178"/>
      <c r="E1" s="1178"/>
      <c r="F1" s="1178"/>
      <c r="G1" s="1178"/>
      <c r="H1" s="1178"/>
      <c r="I1" s="1178"/>
      <c r="J1" s="1178"/>
      <c r="K1" s="1178"/>
      <c r="L1" s="1178"/>
      <c r="M1" s="4"/>
      <c r="N1" s="4"/>
    </row>
    <row r="2" spans="1:14">
      <c r="A2" s="4"/>
      <c r="B2" s="4"/>
      <c r="M2" s="4"/>
      <c r="N2" s="4"/>
    </row>
    <row r="3" spans="1:14">
      <c r="B3" s="1166" t="s">
        <v>375</v>
      </c>
      <c r="C3" s="1164" t="s">
        <v>377</v>
      </c>
      <c r="D3" s="1164" t="s">
        <v>386</v>
      </c>
      <c r="E3" s="1164" t="s">
        <v>378</v>
      </c>
      <c r="F3" s="1164" t="s">
        <v>379</v>
      </c>
      <c r="G3" s="1164" t="s">
        <v>380</v>
      </c>
      <c r="H3" s="1164" t="s">
        <v>381</v>
      </c>
      <c r="I3" s="1164" t="s">
        <v>382</v>
      </c>
      <c r="J3" s="1164" t="s">
        <v>383</v>
      </c>
      <c r="K3" s="1164" t="s">
        <v>384</v>
      </c>
      <c r="L3" s="1164" t="s">
        <v>385</v>
      </c>
      <c r="M3" s="4"/>
      <c r="N3" s="4"/>
    </row>
    <row r="4" spans="1:14">
      <c r="A4" s="7"/>
      <c r="B4" s="1167"/>
      <c r="C4" s="1165"/>
      <c r="D4" s="1165"/>
      <c r="E4" s="1165"/>
      <c r="F4" s="1165"/>
      <c r="G4" s="1165"/>
      <c r="H4" s="1165"/>
      <c r="I4" s="1165"/>
      <c r="J4" s="1165"/>
      <c r="K4" s="1165"/>
      <c r="L4" s="1165"/>
      <c r="M4" s="4"/>
      <c r="N4" s="4"/>
    </row>
    <row r="5" spans="1:14">
      <c r="A5" s="2">
        <v>1981</v>
      </c>
      <c r="B5" s="1004">
        <f>'16b'!B5/'16b'!$B5*100</f>
        <v>100</v>
      </c>
      <c r="C5" s="1004">
        <f>'16b'!C5/'16b'!$B5*100</f>
        <v>114.65517241379311</v>
      </c>
      <c r="D5" s="1004">
        <f>'16b'!D5/'16b'!$B5*100</f>
        <v>103.44827586206897</v>
      </c>
      <c r="E5" s="1004">
        <f>'16b'!E5/'16b'!$B5*100</f>
        <v>104.31034482758621</v>
      </c>
      <c r="F5" s="1004">
        <f>'16b'!F5/'16b'!$B5*100</f>
        <v>129.31034482758622</v>
      </c>
      <c r="G5" s="1004">
        <f>'16b'!G5/'16b'!$B5*100</f>
        <v>123.27586206896552</v>
      </c>
      <c r="H5" s="1004">
        <f>'16b'!H5/'16b'!$B5*100</f>
        <v>86.206896551724142</v>
      </c>
      <c r="I5" s="1004">
        <f>'16b'!I5/'16b'!$B5*100</f>
        <v>122.41379310344827</v>
      </c>
      <c r="J5" s="1004">
        <f>'16b'!J5/'16b'!$B5*100</f>
        <v>105.17241379310344</v>
      </c>
      <c r="K5" s="1004">
        <f>'16b'!K5/'16b'!$B5*100</f>
        <v>68.965517241379317</v>
      </c>
      <c r="L5" s="1004">
        <f>'16b'!L5/'16b'!$B5*100</f>
        <v>93.965517241379317</v>
      </c>
      <c r="M5" s="4"/>
      <c r="N5" s="4"/>
    </row>
    <row r="6" spans="1:14">
      <c r="A6" s="2">
        <v>1982</v>
      </c>
      <c r="B6" s="1004">
        <f>'16b'!B6/'16b'!$B6*100</f>
        <v>100</v>
      </c>
      <c r="C6" s="1004">
        <f>'16b'!C6/'16b'!$B6*100</f>
        <v>120.16129032258065</v>
      </c>
      <c r="D6" s="1004">
        <f>'16b'!D6/'16b'!$B6*100</f>
        <v>86.290322580645153</v>
      </c>
      <c r="E6" s="1004">
        <f>'16b'!E6/'16b'!$B6*100</f>
        <v>100.80645161290323</v>
      </c>
      <c r="F6" s="1004">
        <f>'16b'!F6/'16b'!$B6*100</f>
        <v>121.7741935483871</v>
      </c>
      <c r="G6" s="1004">
        <f>'16b'!G6/'16b'!$B6*100</f>
        <v>120.96774193548387</v>
      </c>
      <c r="H6" s="1004">
        <f>'16b'!H6/'16b'!$B6*100</f>
        <v>87.903225806451616</v>
      </c>
      <c r="I6" s="1004">
        <f>'16b'!I6/'16b'!$B6*100</f>
        <v>125</v>
      </c>
      <c r="J6" s="1004">
        <f>'16b'!J6/'16b'!$B6*100</f>
        <v>88.709677419354833</v>
      </c>
      <c r="K6" s="1004">
        <f>'16b'!K6/'16b'!$B6*100</f>
        <v>73.387096774193537</v>
      </c>
      <c r="L6" s="1004">
        <f>'16b'!L6/'16b'!$B6*100</f>
        <v>97.58064516129032</v>
      </c>
      <c r="M6" s="4"/>
      <c r="N6" s="4"/>
    </row>
    <row r="7" spans="1:14">
      <c r="A7" s="2">
        <v>1983</v>
      </c>
      <c r="B7" s="1004">
        <f>'16b'!B7/'16b'!$B7*100</f>
        <v>100</v>
      </c>
      <c r="C7" s="1004">
        <f>'16b'!C7/'16b'!$B7*100</f>
        <v>144.28571428571428</v>
      </c>
      <c r="D7" s="1004">
        <f>'16b'!D7/'16b'!$B7*100</f>
        <v>65.714285714285708</v>
      </c>
      <c r="E7" s="1004">
        <f>'16b'!E7/'16b'!$B7*100</f>
        <v>87.142857142857139</v>
      </c>
      <c r="F7" s="1004">
        <f>'16b'!F7/'16b'!$B7*100</f>
        <v>130</v>
      </c>
      <c r="G7" s="1004">
        <f>'16b'!G7/'16b'!$B7*100</f>
        <v>113.57142857142857</v>
      </c>
      <c r="H7" s="1004">
        <f>'16b'!H7/'16b'!$B7*100</f>
        <v>91.428571428571431</v>
      </c>
      <c r="I7" s="1004">
        <f>'16b'!I7/'16b'!$B7*100</f>
        <v>97.857142857142847</v>
      </c>
      <c r="J7" s="1004">
        <f>'16b'!J7/'16b'!$B7*100</f>
        <v>85.714285714285708</v>
      </c>
      <c r="K7" s="1004">
        <f>'16b'!K7/'16b'!$B7*100</f>
        <v>93.571428571428569</v>
      </c>
      <c r="L7" s="1004">
        <f>'16b'!L7/'16b'!$B7*100</f>
        <v>96.428571428571431</v>
      </c>
      <c r="M7" s="4"/>
      <c r="N7" s="4"/>
    </row>
    <row r="8" spans="1:14">
      <c r="A8" s="2">
        <v>1984</v>
      </c>
      <c r="B8" s="1004">
        <f>'16b'!B8/'16b'!$B8*100</f>
        <v>100</v>
      </c>
      <c r="C8" s="1004">
        <f>'16b'!C8/'16b'!$B8*100</f>
        <v>120.43795620437956</v>
      </c>
      <c r="D8" s="1004">
        <f>'16b'!D8/'16b'!$B8*100</f>
        <v>62.773722627737229</v>
      </c>
      <c r="E8" s="1004">
        <f>'16b'!E8/'16b'!$B8*100</f>
        <v>89.051094890510953</v>
      </c>
      <c r="F8" s="1004">
        <f>'16b'!F8/'16b'!$B8*100</f>
        <v>113.13868613138686</v>
      </c>
      <c r="G8" s="1004">
        <f>'16b'!G8/'16b'!$B8*100</f>
        <v>119.70802919708028</v>
      </c>
      <c r="H8" s="1004">
        <f>'16b'!H8/'16b'!$B8*100</f>
        <v>81.751824817518255</v>
      </c>
      <c r="I8" s="1004">
        <f>'16b'!I8/'16b'!$B8*100</f>
        <v>103.64963503649636</v>
      </c>
      <c r="J8" s="1004">
        <f>'16b'!J8/'16b'!$B8*100</f>
        <v>100.72992700729928</v>
      </c>
      <c r="K8" s="1004">
        <f>'16b'!K8/'16b'!$B8*100</f>
        <v>108.75912408759125</v>
      </c>
      <c r="L8" s="1004">
        <f>'16b'!L8/'16b'!$B8*100</f>
        <v>103.64963503649636</v>
      </c>
      <c r="M8" s="4"/>
      <c r="N8" s="4"/>
    </row>
    <row r="9" spans="1:14">
      <c r="A9" s="2">
        <v>1985</v>
      </c>
      <c r="B9" s="1004">
        <f>'16b'!B9/'16b'!$B9*100</f>
        <v>100</v>
      </c>
      <c r="C9" s="1004">
        <f>'16b'!C9/'16b'!$B9*100</f>
        <v>129.23076923076923</v>
      </c>
      <c r="D9" s="1004">
        <f>'16b'!D9/'16b'!$B9*100</f>
        <v>65.384615384615387</v>
      </c>
      <c r="E9" s="1004">
        <f>'16b'!E9/'16b'!$B9*100</f>
        <v>89.999999999999986</v>
      </c>
      <c r="F9" s="1004">
        <f>'16b'!F9/'16b'!$B9*100</f>
        <v>93.07692307692308</v>
      </c>
      <c r="G9" s="1004">
        <f>'16b'!G9/'16b'!$B9*100</f>
        <v>120.76923076923076</v>
      </c>
      <c r="H9" s="1004">
        <f>'16b'!H9/'16b'!$B9*100</f>
        <v>80</v>
      </c>
      <c r="I9" s="1004">
        <f>'16b'!I9/'16b'!$B9*100</f>
        <v>106.15384615384616</v>
      </c>
      <c r="J9" s="1004">
        <f>'16b'!J9/'16b'!$B9*100</f>
        <v>102.30769230769232</v>
      </c>
      <c r="K9" s="1004">
        <f>'16b'!K9/'16b'!$B9*100</f>
        <v>96.15384615384616</v>
      </c>
      <c r="L9" s="1004">
        <f>'16b'!L9/'16b'!$B9*100</f>
        <v>116.15384615384615</v>
      </c>
      <c r="M9" s="4"/>
      <c r="N9" s="4"/>
    </row>
    <row r="10" spans="1:14">
      <c r="A10" s="2">
        <v>1986</v>
      </c>
      <c r="B10" s="1004">
        <f>'16b'!B10/'16b'!$B10*100</f>
        <v>100</v>
      </c>
      <c r="C10" s="1004">
        <f>'16b'!C10/'16b'!$B10*100</f>
        <v>123.14049586776861</v>
      </c>
      <c r="D10" s="1004">
        <f>'16b'!D10/'16b'!$B10*100</f>
        <v>57.851239669421496</v>
      </c>
      <c r="E10" s="1004">
        <f>'16b'!E10/'16b'!$B10*100</f>
        <v>89.256198347107457</v>
      </c>
      <c r="F10" s="1004">
        <f>'16b'!F10/'16b'!$B10*100</f>
        <v>97.520661157024804</v>
      </c>
      <c r="G10" s="1004">
        <f>'16b'!G10/'16b'!$B10*100</f>
        <v>126.44628099173553</v>
      </c>
      <c r="H10" s="1004">
        <f>'16b'!H10/'16b'!$B10*100</f>
        <v>75.206611570247929</v>
      </c>
      <c r="I10" s="1004">
        <f>'16b'!I10/'16b'!$B10*100</f>
        <v>114.87603305785126</v>
      </c>
      <c r="J10" s="1004">
        <f>'16b'!J10/'16b'!$B10*100</f>
        <v>126.44628099173553</v>
      </c>
      <c r="K10" s="1004">
        <f>'16b'!K10/'16b'!$B10*100</f>
        <v>94.214876033057863</v>
      </c>
      <c r="L10" s="1004">
        <f>'16b'!L10/'16b'!$B10*100</f>
        <v>109.91735537190084</v>
      </c>
      <c r="M10" s="4"/>
      <c r="N10" s="4"/>
    </row>
    <row r="11" spans="1:14">
      <c r="A11" s="2">
        <v>1987</v>
      </c>
      <c r="B11" s="1004">
        <f>'16b'!B11/'16b'!$B11*100</f>
        <v>100</v>
      </c>
      <c r="C11" s="1004">
        <f>'16b'!C11/'16b'!$B11*100</f>
        <v>126.05042016806722</v>
      </c>
      <c r="D11" s="1004">
        <f>'16b'!D11/'16b'!$B11*100</f>
        <v>65.546218487394952</v>
      </c>
      <c r="E11" s="1004">
        <f>'16b'!E11/'16b'!$B11*100</f>
        <v>89.075630252100837</v>
      </c>
      <c r="F11" s="1004">
        <f>'16b'!F11/'16b'!$B11*100</f>
        <v>106.72268907563026</v>
      </c>
      <c r="G11" s="1004">
        <f>'16b'!G11/'16b'!$B11*100</f>
        <v>126.890756302521</v>
      </c>
      <c r="H11" s="1004">
        <f>'16b'!H11/'16b'!$B11*100</f>
        <v>71.428571428571431</v>
      </c>
      <c r="I11" s="1004">
        <f>'16b'!I11/'16b'!$B11*100</f>
        <v>114.28571428571428</v>
      </c>
      <c r="J11" s="1004">
        <f>'16b'!J11/'16b'!$B11*100</f>
        <v>97.47899159663865</v>
      </c>
      <c r="K11" s="1004">
        <f>'16b'!K11/'16b'!$B11*100</f>
        <v>113.4453781512605</v>
      </c>
      <c r="L11" s="1004">
        <f>'16b'!L11/'16b'!$B11*100</f>
        <v>112.60504201680672</v>
      </c>
      <c r="M11" s="4"/>
      <c r="N11" s="4"/>
    </row>
    <row r="12" spans="1:14">
      <c r="A12" s="2">
        <v>1988</v>
      </c>
      <c r="B12" s="1004">
        <f>'16b'!B12/'16b'!$B12*100</f>
        <v>100</v>
      </c>
      <c r="C12" s="1004">
        <f>'16b'!C12/'16b'!$B12*100</f>
        <v>108.33333333333333</v>
      </c>
      <c r="D12" s="1004">
        <f>'16b'!D12/'16b'!$B12*100</f>
        <v>64.81481481481481</v>
      </c>
      <c r="E12" s="1004">
        <f>'16b'!E12/'16b'!$B12*100</f>
        <v>85.185185185185176</v>
      </c>
      <c r="F12" s="1004">
        <f>'16b'!F12/'16b'!$B12*100</f>
        <v>102.77777777777777</v>
      </c>
      <c r="G12" s="1004">
        <f>'16b'!G12/'16b'!$B12*100</f>
        <v>131.48148148148147</v>
      </c>
      <c r="H12" s="1004">
        <f>'16b'!H12/'16b'!$B12*100</f>
        <v>73.148148148148152</v>
      </c>
      <c r="I12" s="1004">
        <f>'16b'!I12/'16b'!$B12*100</f>
        <v>121.29629629629628</v>
      </c>
      <c r="J12" s="1004">
        <f>'16b'!J12/'16b'!$B12*100</f>
        <v>111.1111111111111</v>
      </c>
      <c r="K12" s="1004">
        <f>'16b'!K12/'16b'!$B12*100</f>
        <v>110.18518518518519</v>
      </c>
      <c r="L12" s="1004">
        <f>'16b'!L12/'16b'!$B12*100</f>
        <v>101.85185185185183</v>
      </c>
      <c r="M12" s="4"/>
      <c r="N12" s="4"/>
    </row>
    <row r="13" spans="1:14">
      <c r="A13" s="2">
        <v>1989</v>
      </c>
      <c r="B13" s="1004">
        <f>'16b'!B13/'16b'!$B13*100</f>
        <v>100</v>
      </c>
      <c r="C13" s="1004">
        <f>'16b'!C13/'16b'!$B13*100</f>
        <v>100.98039215686276</v>
      </c>
      <c r="D13" s="1004">
        <f>'16b'!D13/'16b'!$B13*100</f>
        <v>64.705882352941174</v>
      </c>
      <c r="E13" s="1004">
        <f>'16b'!E13/'16b'!$B13*100</f>
        <v>97.058823529411768</v>
      </c>
      <c r="F13" s="1004">
        <f>'16b'!F13/'16b'!$B13*100</f>
        <v>100.98039215686276</v>
      </c>
      <c r="G13" s="1004">
        <f>'16b'!G13/'16b'!$B13*100</f>
        <v>120.58823529411767</v>
      </c>
      <c r="H13" s="1004">
        <f>'16b'!H13/'16b'!$B13*100</f>
        <v>76.47058823529413</v>
      </c>
      <c r="I13" s="1004">
        <f>'16b'!I13/'16b'!$B13*100</f>
        <v>121.5686274509804</v>
      </c>
      <c r="J13" s="1004">
        <f>'16b'!J13/'16b'!$B13*100</f>
        <v>115.68627450980394</v>
      </c>
      <c r="K13" s="1004">
        <f>'16b'!K13/'16b'!$B13*100</f>
        <v>121.5686274509804</v>
      </c>
      <c r="L13" s="1004">
        <f>'16b'!L13/'16b'!$B13*100</f>
        <v>101.96078431372551</v>
      </c>
      <c r="M13" s="4"/>
      <c r="N13" s="4"/>
    </row>
    <row r="14" spans="1:14">
      <c r="A14" s="2">
        <v>1990</v>
      </c>
      <c r="B14" s="1004">
        <f>'16b'!B14/'16b'!$B14*100</f>
        <v>100</v>
      </c>
      <c r="C14" s="1004">
        <f>'16b'!C14/'16b'!$B14*100</f>
        <v>111.01694915254237</v>
      </c>
      <c r="D14" s="1004">
        <f>'16b'!D14/'16b'!$B14*100</f>
        <v>51.694915254237287</v>
      </c>
      <c r="E14" s="1004">
        <f>'16b'!E14/'16b'!$B14*100</f>
        <v>77.118644067796609</v>
      </c>
      <c r="F14" s="1004">
        <f>'16b'!F14/'16b'!$B14*100</f>
        <v>89.830508474576263</v>
      </c>
      <c r="G14" s="1004">
        <f>'16b'!G14/'16b'!$B14*100</f>
        <v>126.27118644067797</v>
      </c>
      <c r="H14" s="1004">
        <f>'16b'!H14/'16b'!$B14*100</f>
        <v>77.966101694915253</v>
      </c>
      <c r="I14" s="1004">
        <f>'16b'!I14/'16b'!$B14*100</f>
        <v>123.72881355932202</v>
      </c>
      <c r="J14" s="1004">
        <f>'16b'!J14/'16b'!$B14*100</f>
        <v>111.86440677966101</v>
      </c>
      <c r="K14" s="1004">
        <f>'16b'!K14/'16b'!$B14*100</f>
        <v>106.77966101694913</v>
      </c>
      <c r="L14" s="1004">
        <f>'16b'!L14/'16b'!$B14*100</f>
        <v>105.93220338983049</v>
      </c>
      <c r="M14" s="4"/>
      <c r="N14" s="4"/>
    </row>
    <row r="15" spans="1:14">
      <c r="A15" s="2">
        <v>1991</v>
      </c>
      <c r="B15" s="1004">
        <f>'16b'!B15/'16b'!$B15*100</f>
        <v>100</v>
      </c>
      <c r="C15" s="1004">
        <f>'16b'!C15/'16b'!$B15*100</f>
        <v>101.51515151515152</v>
      </c>
      <c r="D15" s="1004">
        <f>'16b'!D15/'16b'!$B15*100</f>
        <v>68.181818181818187</v>
      </c>
      <c r="E15" s="1004">
        <f>'16b'!E15/'16b'!$B15*100</f>
        <v>84.090909090909093</v>
      </c>
      <c r="F15" s="1004">
        <f>'16b'!F15/'16b'!$B15*100</f>
        <v>89.393939393939405</v>
      </c>
      <c r="G15" s="1004">
        <f>'16b'!G15/'16b'!$B15*100</f>
        <v>125.75757575757578</v>
      </c>
      <c r="H15" s="1004">
        <f>'16b'!H15/'16b'!$B15*100</f>
        <v>81.818181818181827</v>
      </c>
      <c r="I15" s="1004">
        <f>'16b'!I15/'16b'!$B15*100</f>
        <v>131.81818181818181</v>
      </c>
      <c r="J15" s="1004">
        <f>'16b'!J15/'16b'!$B15*100</f>
        <v>109.09090909090911</v>
      </c>
      <c r="K15" s="1004">
        <f>'16b'!K15/'16b'!$B15*100</f>
        <v>100.75757575757578</v>
      </c>
      <c r="L15" s="1004">
        <f>'16b'!L15/'16b'!$B15*100</f>
        <v>96.212121212121218</v>
      </c>
      <c r="M15" s="4"/>
      <c r="N15" s="4"/>
    </row>
    <row r="16" spans="1:14">
      <c r="A16" s="2">
        <v>1992</v>
      </c>
      <c r="B16" s="1004">
        <f>'16b'!B16/'16b'!$B16*100</f>
        <v>100</v>
      </c>
      <c r="C16" s="1004">
        <f>'16b'!C16/'16b'!$B16*100</f>
        <v>118.79699248120301</v>
      </c>
      <c r="D16" s="1004">
        <f>'16b'!D16/'16b'!$B16*100</f>
        <v>54.13533834586466</v>
      </c>
      <c r="E16" s="1004">
        <f>'16b'!E16/'16b'!$B16*100</f>
        <v>82.706766917293223</v>
      </c>
      <c r="F16" s="1004">
        <f>'16b'!F16/'16b'!$B16*100</f>
        <v>88.721804511278194</v>
      </c>
      <c r="G16" s="1004">
        <f>'16b'!G16/'16b'!$B16*100</f>
        <v>111.27819548872179</v>
      </c>
      <c r="H16" s="1004">
        <f>'16b'!H16/'16b'!$B16*100</f>
        <v>81.203007518796994</v>
      </c>
      <c r="I16" s="1004">
        <f>'16b'!I16/'16b'!$B16*100</f>
        <v>121.05263157894737</v>
      </c>
      <c r="J16" s="1004">
        <f>'16b'!J16/'16b'!$B16*100</f>
        <v>107.51879699248121</v>
      </c>
      <c r="K16" s="1004">
        <f>'16b'!K16/'16b'!$B16*100</f>
        <v>128.57142857142858</v>
      </c>
      <c r="L16" s="1004">
        <f>'16b'!L16/'16b'!$B16*100</f>
        <v>106.76691729323306</v>
      </c>
      <c r="M16" s="4"/>
      <c r="N16" s="4"/>
    </row>
    <row r="17" spans="1:14">
      <c r="A17" s="2">
        <v>1993</v>
      </c>
      <c r="B17" s="1004">
        <f>'16b'!B17/'16b'!$B17*100</f>
        <v>100</v>
      </c>
      <c r="C17" s="1004">
        <f>'16b'!C17/'16b'!$B17*100</f>
        <v>98.581560283687949</v>
      </c>
      <c r="D17" s="1004">
        <f>'16b'!D17/'16b'!$B17*100</f>
        <v>41.134751773049643</v>
      </c>
      <c r="E17" s="1004">
        <f>'16b'!E17/'16b'!$B17*100</f>
        <v>87.2340425531915</v>
      </c>
      <c r="F17" s="1004">
        <f>'16b'!F17/'16b'!$B17*100</f>
        <v>87.943262411347519</v>
      </c>
      <c r="G17" s="1004">
        <f>'16b'!G17/'16b'!$B17*100</f>
        <v>123.40425531914893</v>
      </c>
      <c r="H17" s="1004">
        <f>'16b'!H17/'16b'!$B17*100</f>
        <v>85.106382978723403</v>
      </c>
      <c r="I17" s="1004">
        <f>'16b'!I17/'16b'!$B17*100</f>
        <v>110.63829787234043</v>
      </c>
      <c r="J17" s="1004">
        <f>'16b'!J17/'16b'!$B17*100</f>
        <v>104.96453900709221</v>
      </c>
      <c r="K17" s="1004">
        <f>'16b'!K17/'16b'!$B17*100</f>
        <v>104.25531914893618</v>
      </c>
      <c r="L17" s="1004">
        <f>'16b'!L17/'16b'!$B17*100</f>
        <v>97.872340425531917</v>
      </c>
      <c r="M17" s="4"/>
      <c r="N17" s="4"/>
    </row>
    <row r="18" spans="1:14">
      <c r="A18" s="2">
        <v>1994</v>
      </c>
      <c r="B18" s="1004">
        <f>'16b'!B18/'16b'!$B18*100</f>
        <v>100</v>
      </c>
      <c r="C18" s="1004">
        <f>'16b'!C18/'16b'!$B18*100</f>
        <v>106.42857142857143</v>
      </c>
      <c r="D18" s="1004">
        <f>'16b'!D18/'16b'!$B18*100</f>
        <v>47.857142857142861</v>
      </c>
      <c r="E18" s="1004">
        <f>'16b'!E18/'16b'!$B18*100</f>
        <v>92.857142857142861</v>
      </c>
      <c r="F18" s="1004">
        <f>'16b'!F18/'16b'!$B18*100</f>
        <v>92.142857142857153</v>
      </c>
      <c r="G18" s="1004">
        <f>'16b'!G18/'16b'!$B18*100</f>
        <v>122.85714285714285</v>
      </c>
      <c r="H18" s="1004">
        <f>'16b'!H18/'16b'!$B18*100</f>
        <v>83.571428571428569</v>
      </c>
      <c r="I18" s="1004">
        <f>'16b'!I18/'16b'!$B18*100</f>
        <v>109.28571428571429</v>
      </c>
      <c r="J18" s="1004">
        <f>'16b'!J18/'16b'!$B18*100</f>
        <v>97.857142857142847</v>
      </c>
      <c r="K18" s="1004">
        <f>'16b'!K18/'16b'!$B18*100</f>
        <v>105</v>
      </c>
      <c r="L18" s="1004">
        <f>'16b'!L18/'16b'!$B18*100</f>
        <v>105</v>
      </c>
      <c r="M18" s="4"/>
      <c r="N18" s="4"/>
    </row>
    <row r="19" spans="1:14">
      <c r="A19" s="2">
        <v>1995</v>
      </c>
      <c r="B19" s="1004">
        <f>'16b'!B19/'16b'!$B19*100</f>
        <v>100</v>
      </c>
      <c r="C19" s="1004">
        <f>'16b'!C19/'16b'!$B19*100</f>
        <v>111.03448275862068</v>
      </c>
      <c r="D19" s="1004">
        <f>'16b'!D19/'16b'!$B19*100</f>
        <v>56.551724137931025</v>
      </c>
      <c r="E19" s="1004">
        <f>'16b'!E19/'16b'!$B19*100</f>
        <v>94.482758620689651</v>
      </c>
      <c r="F19" s="1004">
        <f>'16b'!F19/'16b'!$B19*100</f>
        <v>87.586206896551715</v>
      </c>
      <c r="G19" s="1004">
        <f>'16b'!G19/'16b'!$B19*100</f>
        <v>121.3793103448276</v>
      </c>
      <c r="H19" s="1004">
        <f>'16b'!H19/'16b'!$B19*100</f>
        <v>85.517241379310349</v>
      </c>
      <c r="I19" s="1004">
        <f>'16b'!I19/'16b'!$B19*100</f>
        <v>105.51724137931035</v>
      </c>
      <c r="J19" s="1004">
        <f>'16b'!J19/'16b'!$B19*100</f>
        <v>97.931034482758619</v>
      </c>
      <c r="K19" s="1004">
        <f>'16b'!K19/'16b'!$B19*100</f>
        <v>102.06896551724138</v>
      </c>
      <c r="L19" s="1004">
        <f>'16b'!L19/'16b'!$B19*100</f>
        <v>101.37931034482759</v>
      </c>
      <c r="M19" s="4"/>
      <c r="N19" s="4"/>
    </row>
    <row r="20" spans="1:14">
      <c r="A20" s="2">
        <v>1996</v>
      </c>
      <c r="B20" s="1004">
        <f>'16b'!B20/'16b'!$B20*100</f>
        <v>100</v>
      </c>
      <c r="C20" s="1004">
        <f>'16b'!C20/'16b'!$B20*100</f>
        <v>101.31578947368422</v>
      </c>
      <c r="D20" s="1004">
        <f>'16b'!D20/'16b'!$B20*100</f>
        <v>56.578947368421048</v>
      </c>
      <c r="E20" s="1004">
        <f>'16b'!E20/'16b'!$B20*100</f>
        <v>88.15789473684211</v>
      </c>
      <c r="F20" s="1004">
        <f>'16b'!F20/'16b'!$B20*100</f>
        <v>78.94736842105263</v>
      </c>
      <c r="G20" s="1004">
        <f>'16b'!G20/'16b'!$B20*100</f>
        <v>118.42105263157896</v>
      </c>
      <c r="H20" s="1004">
        <f>'16b'!H20/'16b'!$B20*100</f>
        <v>92.10526315789474</v>
      </c>
      <c r="I20" s="1004">
        <f>'16b'!I20/'16b'!$B20*100</f>
        <v>103.94736842105263</v>
      </c>
      <c r="J20" s="1004">
        <f>'16b'!J20/'16b'!$B20*100</f>
        <v>85.526315789473685</v>
      </c>
      <c r="K20" s="1004">
        <f>'16b'!K20/'16b'!$B20*100</f>
        <v>97.368421052631589</v>
      </c>
      <c r="L20" s="1004">
        <f>'16b'!L20/'16b'!$B20*100</f>
        <v>100</v>
      </c>
      <c r="M20" s="4"/>
      <c r="N20" s="4"/>
    </row>
    <row r="21" spans="1:14">
      <c r="A21" s="2">
        <v>1997</v>
      </c>
      <c r="B21" s="1004">
        <f>'16b'!B21/'16b'!$B21*100</f>
        <v>100</v>
      </c>
      <c r="C21" s="1004">
        <f>'16b'!C21/'16b'!$B21*100</f>
        <v>94</v>
      </c>
      <c r="D21" s="1004">
        <f>'16b'!D21/'16b'!$B21*100</f>
        <v>54.666666666666664</v>
      </c>
      <c r="E21" s="1004">
        <f>'16b'!E21/'16b'!$B21*100</f>
        <v>93.333333333333329</v>
      </c>
      <c r="F21" s="1004">
        <f>'16b'!F21/'16b'!$B21*100</f>
        <v>90</v>
      </c>
      <c r="G21" s="1004">
        <f>'16b'!G21/'16b'!$B21*100</f>
        <v>123.33333333333334</v>
      </c>
      <c r="H21" s="1004">
        <f>'16b'!H21/'16b'!$B21*100</f>
        <v>90</v>
      </c>
      <c r="I21" s="1004">
        <f>'16b'!I21/'16b'!$B21*100</f>
        <v>110.00000000000001</v>
      </c>
      <c r="J21" s="1004">
        <f>'16b'!J21/'16b'!$B21*100</f>
        <v>74</v>
      </c>
      <c r="K21" s="1004">
        <f>'16b'!K21/'16b'!$B21*100</f>
        <v>89.333333333333329</v>
      </c>
      <c r="L21" s="1004">
        <f>'16b'!L21/'16b'!$B21*100</f>
        <v>102</v>
      </c>
      <c r="M21" s="4"/>
      <c r="N21" s="4"/>
    </row>
    <row r="22" spans="1:14">
      <c r="A22" s="2">
        <v>1998</v>
      </c>
      <c r="B22" s="1004">
        <f>'16b'!B22/'16b'!$B22*100</f>
        <v>100</v>
      </c>
      <c r="C22" s="1004">
        <f>'16b'!C22/'16b'!$B22*100</f>
        <v>100.72992700729928</v>
      </c>
      <c r="D22" s="1004">
        <f>'16b'!D22/'16b'!$B22*100</f>
        <v>62.043795620437962</v>
      </c>
      <c r="E22" s="1004">
        <f>'16b'!E22/'16b'!$B22*100</f>
        <v>102.91970802919708</v>
      </c>
      <c r="F22" s="1004">
        <f>'16b'!F22/'16b'!$B22*100</f>
        <v>83.211678832116803</v>
      </c>
      <c r="G22" s="1004">
        <f>'16b'!G22/'16b'!$B22*100</f>
        <v>123.35766423357664</v>
      </c>
      <c r="H22" s="1004">
        <f>'16b'!H22/'16b'!$B22*100</f>
        <v>85.40145985401459</v>
      </c>
      <c r="I22" s="1004">
        <f>'16b'!I22/'16b'!$B22*100</f>
        <v>102.18978102189782</v>
      </c>
      <c r="J22" s="1004">
        <f>'16b'!J22/'16b'!$B22*100</f>
        <v>81.021897810218974</v>
      </c>
      <c r="K22" s="1004">
        <f>'16b'!K22/'16b'!$B22*100</f>
        <v>97.080291970802932</v>
      </c>
      <c r="L22" s="1004">
        <f>'16b'!L22/'16b'!$B22*100</f>
        <v>106.56934306569343</v>
      </c>
      <c r="M22" s="4"/>
      <c r="N22" s="4"/>
    </row>
    <row r="23" spans="1:14">
      <c r="A23" s="2">
        <v>1999</v>
      </c>
      <c r="B23" s="1004">
        <f>'16b'!B23/'16b'!$B23*100</f>
        <v>100</v>
      </c>
      <c r="C23" s="1004">
        <f>'16b'!C23/'16b'!$B23*100</f>
        <v>110.00000000000001</v>
      </c>
      <c r="D23" s="1004">
        <f>'16b'!D23/'16b'!$B23*100</f>
        <v>73.076923076923066</v>
      </c>
      <c r="E23" s="1004">
        <f>'16b'!E23/'16b'!$B23*100</f>
        <v>87.692307692307693</v>
      </c>
      <c r="F23" s="1004">
        <f>'16b'!F23/'16b'!$B23*100</f>
        <v>79.230769230769241</v>
      </c>
      <c r="G23" s="1004">
        <f>'16b'!G23/'16b'!$B23*100</f>
        <v>113.84615384615384</v>
      </c>
      <c r="H23" s="1004">
        <f>'16b'!H23/'16b'!$B23*100</f>
        <v>86.92307692307692</v>
      </c>
      <c r="I23" s="1004">
        <f>'16b'!I23/'16b'!$B23*100</f>
        <v>114.61538461538461</v>
      </c>
      <c r="J23" s="1004">
        <f>'16b'!J23/'16b'!$B23*100</f>
        <v>78.461538461538467</v>
      </c>
      <c r="K23" s="1004">
        <f>'16b'!K23/'16b'!$B23*100</f>
        <v>90.769230769230774</v>
      </c>
      <c r="L23" s="1004">
        <f>'16b'!L23/'16b'!$B23*100</f>
        <v>126.15384615384615</v>
      </c>
      <c r="M23" s="4"/>
      <c r="N23" s="4"/>
    </row>
    <row r="24" spans="1:14">
      <c r="A24" s="2">
        <v>2000</v>
      </c>
      <c r="B24" s="1004">
        <f>'16b'!B24/'16b'!$B24*100</f>
        <v>100</v>
      </c>
      <c r="C24" s="1004">
        <f>'16b'!C24/'16b'!$B24*100</f>
        <v>105.60000000000001</v>
      </c>
      <c r="D24" s="1004">
        <f>'16b'!D24/'16b'!$B24*100</f>
        <v>72.8</v>
      </c>
      <c r="E24" s="1004">
        <f>'16b'!E24/'16b'!$B24*100</f>
        <v>92.8</v>
      </c>
      <c r="F24" s="1004">
        <f>'16b'!F24/'16b'!$B24*100</f>
        <v>73.599999999999994</v>
      </c>
      <c r="G24" s="1004">
        <f>'16b'!G24/'16b'!$B24*100</f>
        <v>118.40000000000002</v>
      </c>
      <c r="H24" s="1004">
        <f>'16b'!H24/'16b'!$B24*100</f>
        <v>86.4</v>
      </c>
      <c r="I24" s="1004">
        <f>'16b'!I24/'16b'!$B24*100</f>
        <v>107.2</v>
      </c>
      <c r="J24" s="1004">
        <f>'16b'!J24/'16b'!$B24*100</f>
        <v>87.2</v>
      </c>
      <c r="K24" s="1004">
        <f>'16b'!K24/'16b'!$B24*100</f>
        <v>88.8</v>
      </c>
      <c r="L24" s="1004">
        <f>'16b'!L24/'16b'!$B24*100</f>
        <v>120.8</v>
      </c>
      <c r="M24" s="4"/>
      <c r="N24" s="4"/>
    </row>
    <row r="25" spans="1:14">
      <c r="A25" s="2">
        <v>2001</v>
      </c>
      <c r="B25" s="1004">
        <f>'16b'!B25/'16b'!$B25*100</f>
        <v>100</v>
      </c>
      <c r="C25" s="1004">
        <f>'16b'!C25/'16b'!$B25*100</f>
        <v>99.107142857142861</v>
      </c>
      <c r="D25" s="1004">
        <f>'16b'!D25/'16b'!$B25*100</f>
        <v>66.964285714285722</v>
      </c>
      <c r="E25" s="1004">
        <f>'16b'!E25/'16b'!$B25*100</f>
        <v>94.642857142857153</v>
      </c>
      <c r="F25" s="1004">
        <f>'16b'!F25/'16b'!$B25*100</f>
        <v>77.678571428571431</v>
      </c>
      <c r="G25" s="1004">
        <f>'16b'!G25/'16b'!$B25*100</f>
        <v>123.21428571428572</v>
      </c>
      <c r="H25" s="1004">
        <f>'16b'!H25/'16b'!$B25*100</f>
        <v>83.035714285714306</v>
      </c>
      <c r="I25" s="1004">
        <f>'16b'!I25/'16b'!$B25*100</f>
        <v>102.67857142857144</v>
      </c>
      <c r="J25" s="1004">
        <f>'16b'!J25/'16b'!$B25*100</f>
        <v>86.607142857142861</v>
      </c>
      <c r="K25" s="1004">
        <f>'16b'!K25/'16b'!$B25*100</f>
        <v>89.285714285714292</v>
      </c>
      <c r="L25" s="1004">
        <f>'16b'!L25/'16b'!$B25*100</f>
        <v>125.89285714285714</v>
      </c>
      <c r="M25" s="4"/>
      <c r="N25" s="4"/>
    </row>
    <row r="26" spans="1:14">
      <c r="A26" s="2">
        <v>2002</v>
      </c>
      <c r="B26" s="1004">
        <f>'16b'!B26/'16b'!$B26*100</f>
        <v>100</v>
      </c>
      <c r="C26" s="1004">
        <f>'16b'!C26/'16b'!$B26*100</f>
        <v>98.275862068965523</v>
      </c>
      <c r="D26" s="1004">
        <f>'16b'!D26/'16b'!$B26*100</f>
        <v>62.931034482758619</v>
      </c>
      <c r="E26" s="1004">
        <f>'16b'!E26/'16b'!$B26*100</f>
        <v>85.344827586206904</v>
      </c>
      <c r="F26" s="1004">
        <f>'16b'!F26/'16b'!$B26*100</f>
        <v>84.482758620689665</v>
      </c>
      <c r="G26" s="1004">
        <f>'16b'!G26/'16b'!$B26*100</f>
        <v>106.03448275862071</v>
      </c>
      <c r="H26" s="1004">
        <f>'16b'!H26/'16b'!$B26*100</f>
        <v>92.241379310344826</v>
      </c>
      <c r="I26" s="1004">
        <f>'16b'!I26/'16b'!$B26*100</f>
        <v>105.17241379310344</v>
      </c>
      <c r="J26" s="1004">
        <f>'16b'!J26/'16b'!$B26*100</f>
        <v>74.137931034482762</v>
      </c>
      <c r="K26" s="1004">
        <f>'16b'!K26/'16b'!$B26*100</f>
        <v>81.034482758620697</v>
      </c>
      <c r="L26" s="1004">
        <f>'16b'!L26/'16b'!$B26*100</f>
        <v>137.93103448275863</v>
      </c>
      <c r="M26" s="4"/>
      <c r="N26" s="4"/>
    </row>
    <row r="27" spans="1:14">
      <c r="A27" s="2">
        <v>2003</v>
      </c>
      <c r="B27" s="1004">
        <f>'16b'!B27/'16b'!$B27*100</f>
        <v>100</v>
      </c>
      <c r="C27" s="1004">
        <f>'16b'!C27/'16b'!$B27*100</f>
        <v>105.17241379310344</v>
      </c>
      <c r="D27" s="1004">
        <f>'16b'!D27/'16b'!$B27*100</f>
        <v>56.034482758620697</v>
      </c>
      <c r="E27" s="1004">
        <f>'16b'!E27/'16b'!$B27*100</f>
        <v>96.551724137931032</v>
      </c>
      <c r="F27" s="1004">
        <f>'16b'!F27/'16b'!$B27*100</f>
        <v>83.620689655172413</v>
      </c>
      <c r="G27" s="1004">
        <f>'16b'!G27/'16b'!$B27*100</f>
        <v>106.03448275862071</v>
      </c>
      <c r="H27" s="1004">
        <f>'16b'!H27/'16b'!$B27*100</f>
        <v>89.65517241379311</v>
      </c>
      <c r="I27" s="1004">
        <f>'16b'!I27/'16b'!$B27*100</f>
        <v>108.62068965517241</v>
      </c>
      <c r="J27" s="1004">
        <f>'16b'!J27/'16b'!$B27*100</f>
        <v>84.482758620689665</v>
      </c>
      <c r="K27" s="1004">
        <f>'16b'!K27/'16b'!$B27*100</f>
        <v>92.241379310344826</v>
      </c>
      <c r="L27" s="1004">
        <f>'16b'!L27/'16b'!$B27*100</f>
        <v>132.75862068965517</v>
      </c>
      <c r="M27" s="4"/>
      <c r="N27" s="4"/>
    </row>
    <row r="28" spans="1:14">
      <c r="A28" s="2">
        <v>2004</v>
      </c>
      <c r="B28" s="1004">
        <f>'16b'!B28/'16b'!$B28*100</f>
        <v>100</v>
      </c>
      <c r="C28" s="1004">
        <f>'16b'!C28/'16b'!$B28*100</f>
        <v>102.63157894736841</v>
      </c>
      <c r="D28" s="1004">
        <f>'16b'!D28/'16b'!$B28*100</f>
        <v>46.491228070175431</v>
      </c>
      <c r="E28" s="1004">
        <f>'16b'!E28/'16b'!$B28*100</f>
        <v>87.719298245614027</v>
      </c>
      <c r="F28" s="1004">
        <f>'16b'!F28/'16b'!$B28*100</f>
        <v>76.315789473684205</v>
      </c>
      <c r="G28" s="1004">
        <f>'16b'!G28/'16b'!$B28*100</f>
        <v>100.87719298245614</v>
      </c>
      <c r="H28" s="1004">
        <f>'16b'!H28/'16b'!$B28*100</f>
        <v>96.491228070175438</v>
      </c>
      <c r="I28" s="1004">
        <f>'16b'!I28/'16b'!$B28*100</f>
        <v>100</v>
      </c>
      <c r="J28" s="1004">
        <f>'16b'!J28/'16b'!$B28*100</f>
        <v>88.596491228070178</v>
      </c>
      <c r="K28" s="1004">
        <f>'16b'!K28/'16b'!$B28*100</f>
        <v>92.982456140350862</v>
      </c>
      <c r="L28" s="1004">
        <f>'16b'!L28/'16b'!$B28*100</f>
        <v>123.68421052631578</v>
      </c>
      <c r="M28" s="4"/>
      <c r="N28" s="4"/>
    </row>
    <row r="29" spans="1:14">
      <c r="A29" s="2">
        <v>2005</v>
      </c>
      <c r="B29" s="1004">
        <f>'16b'!B29/'16b'!$B29*100</f>
        <v>100</v>
      </c>
      <c r="C29" s="1004">
        <f>'16b'!C29/'16b'!$B29*100</f>
        <v>79.629629629629619</v>
      </c>
      <c r="D29" s="1004">
        <f>'16b'!D29/'16b'!$B29*100</f>
        <v>50</v>
      </c>
      <c r="E29" s="1004">
        <f>'16b'!E29/'16b'!$B29*100</f>
        <v>82.407407407407405</v>
      </c>
      <c r="F29" s="1004">
        <f>'16b'!F29/'16b'!$B29*100</f>
        <v>87.962962962962948</v>
      </c>
      <c r="G29" s="1004">
        <f>'16b'!G29/'16b'!$B29*100</f>
        <v>109.25925925925925</v>
      </c>
      <c r="H29" s="1004">
        <f>'16b'!H29/'16b'!$B29*100</f>
        <v>95.370370370370367</v>
      </c>
      <c r="I29" s="1004">
        <f>'16b'!I29/'16b'!$B29*100</f>
        <v>116.66666666666666</v>
      </c>
      <c r="J29" s="1004">
        <f>'16b'!J29/'16b'!$B29*100</f>
        <v>100</v>
      </c>
      <c r="K29" s="1004">
        <f>'16b'!K29/'16b'!$B29*100</f>
        <v>78.703703703703695</v>
      </c>
      <c r="L29" s="1004">
        <f>'16b'!L29/'16b'!$B29*100</f>
        <v>120.37037037037037</v>
      </c>
      <c r="M29" s="4"/>
      <c r="N29" s="4"/>
    </row>
    <row r="30" spans="1:14">
      <c r="A30" s="2">
        <v>2006</v>
      </c>
      <c r="B30" s="1004">
        <f>'16b'!B30/'16b'!$B30*100</f>
        <v>100</v>
      </c>
      <c r="C30" s="1004">
        <f>'16b'!C30/'16b'!$B30*100</f>
        <v>72.38095238095238</v>
      </c>
      <c r="D30" s="1004">
        <f>'16b'!D30/'16b'!$B30*100</f>
        <v>51.428571428571438</v>
      </c>
      <c r="E30" s="1004">
        <f>'16b'!E30/'16b'!$B30*100</f>
        <v>80</v>
      </c>
      <c r="F30" s="1004">
        <f>'16b'!F30/'16b'!$B30*100</f>
        <v>87.619047619047606</v>
      </c>
      <c r="G30" s="1004">
        <f>'16b'!G30/'16b'!$B30*100</f>
        <v>110.47619047619048</v>
      </c>
      <c r="H30" s="1004">
        <f>'16b'!H30/'16b'!$B30*100</f>
        <v>98.095238095238102</v>
      </c>
      <c r="I30" s="1004">
        <f>'16b'!I30/'16b'!$B30*100</f>
        <v>108.57142857142858</v>
      </c>
      <c r="J30" s="1004">
        <f>'16b'!J30/'16b'!$B30*100</f>
        <v>100</v>
      </c>
      <c r="K30" s="1004">
        <f>'16b'!K30/'16b'!$B30*100</f>
        <v>66.666666666666657</v>
      </c>
      <c r="L30" s="1004">
        <f>'16b'!L30/'16b'!$B30*100</f>
        <v>123.80952380952381</v>
      </c>
      <c r="M30" s="4"/>
      <c r="N30" s="4"/>
    </row>
    <row r="31" spans="1:14" s="972" customFormat="1">
      <c r="A31" s="2">
        <v>2007</v>
      </c>
      <c r="B31" s="1004">
        <f>'16b'!B31/'16b'!$B31*100</f>
        <v>100</v>
      </c>
      <c r="C31" s="1004">
        <f>'16b'!C31/'16b'!$B31*100</f>
        <v>70.652173913043484</v>
      </c>
      <c r="D31" s="1004">
        <f>'16b'!D31/'16b'!$B31*100</f>
        <v>54.34782608695653</v>
      </c>
      <c r="E31" s="1004">
        <f>'16b'!E31/'16b'!$B31*100</f>
        <v>89.130434782608688</v>
      </c>
      <c r="F31" s="1004">
        <f>'16b'!F31/'16b'!$B31*100</f>
        <v>89.130434782608688</v>
      </c>
      <c r="G31" s="1004">
        <f>'16b'!G31/'16b'!$B31*100</f>
        <v>116.30434782608697</v>
      </c>
      <c r="H31" s="1004">
        <f>'16b'!H31/'16b'!$B31*100</f>
        <v>95.652173913043498</v>
      </c>
      <c r="I31" s="1004">
        <f>'16b'!I31/'16b'!$B31*100</f>
        <v>106.5217391304348</v>
      </c>
      <c r="J31" s="1004">
        <f>'16b'!J31/'16b'!$B31*100</f>
        <v>79.34782608695653</v>
      </c>
      <c r="K31" s="1004">
        <f>'16b'!K31/'16b'!$B31*100</f>
        <v>66.304347826086968</v>
      </c>
      <c r="L31" s="1004">
        <f>'16b'!L31/'16b'!$B31*100</f>
        <v>120.65217391304348</v>
      </c>
      <c r="M31" s="4"/>
      <c r="N31" s="4"/>
    </row>
    <row r="32" spans="1:14" s="114" customFormat="1">
      <c r="A32" s="431"/>
      <c r="D32" s="644" t="s">
        <v>655</v>
      </c>
    </row>
    <row r="33" spans="1:36" s="114" customFormat="1">
      <c r="A33" s="431" t="s">
        <v>603</v>
      </c>
      <c r="B33" s="967">
        <f t="shared" ref="B33:L33" si="0">B13-B5</f>
        <v>0</v>
      </c>
      <c r="C33" s="967">
        <f t="shared" si="0"/>
        <v>-13.674780256930347</v>
      </c>
      <c r="D33" s="967">
        <f t="shared" si="0"/>
        <v>-38.742393509127794</v>
      </c>
      <c r="E33" s="967">
        <f t="shared" si="0"/>
        <v>-7.2515212981744384</v>
      </c>
      <c r="F33" s="967">
        <f t="shared" si="0"/>
        <v>-28.329952670723458</v>
      </c>
      <c r="G33" s="967">
        <f t="shared" si="0"/>
        <v>-2.6876267748478568</v>
      </c>
      <c r="H33" s="967">
        <f t="shared" si="0"/>
        <v>-9.7363083164300122</v>
      </c>
      <c r="I33" s="967">
        <f t="shared" si="0"/>
        <v>-0.84516565246786968</v>
      </c>
      <c r="J33" s="967">
        <f t="shared" si="0"/>
        <v>10.513860716700492</v>
      </c>
      <c r="K33" s="967">
        <f t="shared" si="0"/>
        <v>52.603110209601084</v>
      </c>
      <c r="L33" s="967">
        <f t="shared" si="0"/>
        <v>7.9952670723461949</v>
      </c>
    </row>
    <row r="34" spans="1:36" s="114" customFormat="1">
      <c r="A34" s="431" t="s">
        <v>604</v>
      </c>
      <c r="B34" s="967">
        <f t="shared" ref="B34:L34" si="1">B24-B13</f>
        <v>0</v>
      </c>
      <c r="C34" s="967">
        <f t="shared" si="1"/>
        <v>4.6196078431372456</v>
      </c>
      <c r="D34" s="967">
        <f t="shared" si="1"/>
        <v>8.0941176470588232</v>
      </c>
      <c r="E34" s="967">
        <f t="shared" si="1"/>
        <v>-4.2588235294117709</v>
      </c>
      <c r="F34" s="967">
        <f t="shared" si="1"/>
        <v>-27.380392156862769</v>
      </c>
      <c r="G34" s="967">
        <f t="shared" si="1"/>
        <v>-2.1882352941176464</v>
      </c>
      <c r="H34" s="967">
        <f t="shared" si="1"/>
        <v>9.9294117647058755</v>
      </c>
      <c r="I34" s="967">
        <f t="shared" si="1"/>
        <v>-14.368627450980398</v>
      </c>
      <c r="J34" s="967">
        <f t="shared" si="1"/>
        <v>-28.486274509803934</v>
      </c>
      <c r="K34" s="967">
        <f t="shared" si="1"/>
        <v>-32.768627450980404</v>
      </c>
      <c r="L34" s="967">
        <f t="shared" si="1"/>
        <v>18.839215686274486</v>
      </c>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row>
    <row r="35" spans="1:36" s="114" customFormat="1">
      <c r="A35" s="431" t="s">
        <v>447</v>
      </c>
      <c r="B35" s="23">
        <f>B30-B5</f>
        <v>0</v>
      </c>
      <c r="C35" s="23">
        <f>C31-C5</f>
        <v>-44.002998500749626</v>
      </c>
      <c r="D35" s="23">
        <f t="shared" ref="D35:L35" si="2">D31-D5</f>
        <v>-49.100449775112438</v>
      </c>
      <c r="E35" s="23">
        <f t="shared" si="2"/>
        <v>-15.179910044977518</v>
      </c>
      <c r="F35" s="23">
        <f t="shared" si="2"/>
        <v>-40.179910044977532</v>
      </c>
      <c r="G35" s="23">
        <f t="shared" si="2"/>
        <v>-6.9715142428785555</v>
      </c>
      <c r="H35" s="23">
        <f t="shared" si="2"/>
        <v>9.4452773613193557</v>
      </c>
      <c r="I35" s="23">
        <f t="shared" si="2"/>
        <v>-15.892053973013475</v>
      </c>
      <c r="J35" s="23">
        <f t="shared" si="2"/>
        <v>-25.824587706146914</v>
      </c>
      <c r="K35" s="23">
        <f t="shared" si="2"/>
        <v>-2.6611694152923491</v>
      </c>
      <c r="L35" s="23">
        <f t="shared" si="2"/>
        <v>26.686656671664167</v>
      </c>
    </row>
    <row r="36" spans="1:36" s="114" customFormat="1">
      <c r="A36" s="431" t="s">
        <v>449</v>
      </c>
      <c r="B36" s="967">
        <f>B30-B24</f>
        <v>0</v>
      </c>
      <c r="C36" s="967">
        <f>C31-C24</f>
        <v>-34.947826086956525</v>
      </c>
      <c r="D36" s="967">
        <f t="shared" ref="D36:L36" si="3">D31-D24</f>
        <v>-18.452173913043467</v>
      </c>
      <c r="E36" s="967">
        <f t="shared" si="3"/>
        <v>-3.6695652173913089</v>
      </c>
      <c r="F36" s="967">
        <f t="shared" si="3"/>
        <v>15.530434782608694</v>
      </c>
      <c r="G36" s="967">
        <f t="shared" si="3"/>
        <v>-2.0956521739130523</v>
      </c>
      <c r="H36" s="967">
        <f t="shared" si="3"/>
        <v>9.2521739130434923</v>
      </c>
      <c r="I36" s="967">
        <f t="shared" si="3"/>
        <v>-0.67826086956520726</v>
      </c>
      <c r="J36" s="967">
        <f t="shared" si="3"/>
        <v>-7.8521739130434725</v>
      </c>
      <c r="K36" s="967">
        <f t="shared" si="3"/>
        <v>-22.49565217391303</v>
      </c>
      <c r="L36" s="967">
        <f t="shared" si="3"/>
        <v>-0.14782608695651334</v>
      </c>
    </row>
    <row r="37" spans="1:36">
      <c r="A37" s="4"/>
      <c r="B37" s="4"/>
      <c r="M37" s="4"/>
      <c r="N37" s="4"/>
    </row>
    <row r="38" spans="1:36">
      <c r="A38" s="2" t="s">
        <v>207</v>
      </c>
      <c r="B38" s="114"/>
      <c r="C38" s="114"/>
      <c r="D38" s="114"/>
      <c r="E38" s="114"/>
      <c r="F38" s="114"/>
      <c r="G38" s="114"/>
      <c r="H38" s="114"/>
      <c r="I38" s="114"/>
      <c r="J38" s="114"/>
      <c r="K38" s="114"/>
      <c r="L38" s="114"/>
      <c r="M38" s="4"/>
      <c r="N38" s="4"/>
    </row>
    <row r="39" spans="1:36" ht="38.25" customHeight="1">
      <c r="A39" s="1168" t="s">
        <v>547</v>
      </c>
      <c r="B39" s="1168"/>
      <c r="C39" s="1168"/>
      <c r="D39" s="1168"/>
      <c r="E39" s="1168"/>
      <c r="F39" s="1168"/>
      <c r="G39" s="1168"/>
      <c r="H39" s="1168"/>
      <c r="I39" s="1168"/>
      <c r="J39" s="1168"/>
      <c r="K39" s="1168"/>
      <c r="L39" s="1168"/>
      <c r="M39" s="4"/>
      <c r="N39" s="4"/>
    </row>
    <row r="40" spans="1:36">
      <c r="A40" s="1"/>
      <c r="B40" s="4"/>
      <c r="M40" s="4"/>
      <c r="N40" s="4"/>
    </row>
  </sheetData>
  <mergeCells count="13">
    <mergeCell ref="L3:L4"/>
    <mergeCell ref="B1:L1"/>
    <mergeCell ref="A39:L39"/>
    <mergeCell ref="G3:G4"/>
    <mergeCell ref="H3:H4"/>
    <mergeCell ref="B3:B4"/>
    <mergeCell ref="C3:C4"/>
    <mergeCell ref="D3:D4"/>
    <mergeCell ref="E3:E4"/>
    <mergeCell ref="F3:F4"/>
    <mergeCell ref="I3:I4"/>
    <mergeCell ref="J3:J4"/>
    <mergeCell ref="K3:K4"/>
  </mergeCells>
  <phoneticPr fontId="35" type="noConversion"/>
  <pageMargins left="0.75" right="0.75" top="1" bottom="1" header="0.5" footer="0.5"/>
  <pageSetup scale="85"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sheetPr codeName="Sheet710">
    <pageSetUpPr fitToPage="1"/>
  </sheetPr>
  <dimension ref="A1:AJ44"/>
  <sheetViews>
    <sheetView view="pageBreakPreview" zoomScaleSheetLayoutView="100"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6384" width="9.140625" style="1"/>
  </cols>
  <sheetData>
    <row r="1" spans="1:25" ht="31.5" customHeight="1">
      <c r="A1" s="4"/>
      <c r="B1" s="1181" t="s">
        <v>2162</v>
      </c>
      <c r="C1" s="1181"/>
      <c r="D1" s="1181"/>
      <c r="E1" s="1181"/>
      <c r="F1" s="1181"/>
      <c r="G1" s="1181"/>
      <c r="H1" s="1181"/>
      <c r="I1" s="1181"/>
      <c r="J1" s="1181"/>
      <c r="K1" s="1181"/>
      <c r="L1" s="1181"/>
    </row>
    <row r="2" spans="1:25">
      <c r="A2" s="4"/>
      <c r="B2" s="4"/>
    </row>
    <row r="3" spans="1:25">
      <c r="B3" s="1166" t="s">
        <v>375</v>
      </c>
      <c r="C3" s="1164" t="s">
        <v>377</v>
      </c>
      <c r="D3" s="1164" t="s">
        <v>386</v>
      </c>
      <c r="E3" s="1164" t="s">
        <v>378</v>
      </c>
      <c r="F3" s="1164" t="s">
        <v>379</v>
      </c>
      <c r="G3" s="1164" t="s">
        <v>380</v>
      </c>
      <c r="H3" s="1164" t="s">
        <v>381</v>
      </c>
      <c r="I3" s="1164" t="s">
        <v>382</v>
      </c>
      <c r="J3" s="1164" t="s">
        <v>383</v>
      </c>
      <c r="K3" s="1164" t="s">
        <v>384</v>
      </c>
      <c r="L3" s="1164" t="s">
        <v>385</v>
      </c>
    </row>
    <row r="4" spans="1:25" s="4" customFormat="1" ht="13.5" customHeight="1">
      <c r="A4" s="7"/>
      <c r="B4" s="1167"/>
      <c r="C4" s="1165"/>
      <c r="D4" s="1165"/>
      <c r="E4" s="1165"/>
      <c r="F4" s="1165"/>
      <c r="G4" s="1165"/>
      <c r="H4" s="1165"/>
      <c r="I4" s="1165"/>
      <c r="J4" s="1165"/>
      <c r="K4" s="1165"/>
      <c r="L4" s="1165"/>
    </row>
    <row r="5" spans="1:25" s="972" customFormat="1">
      <c r="A5" s="2">
        <v>1981</v>
      </c>
      <c r="B5" s="1004">
        <v>1481</v>
      </c>
      <c r="C5" s="1004">
        <v>26</v>
      </c>
      <c r="D5" s="1004">
        <v>7</v>
      </c>
      <c r="E5" s="1004">
        <v>49</v>
      </c>
      <c r="F5" s="1004">
        <v>44</v>
      </c>
      <c r="G5" s="1004">
        <v>486</v>
      </c>
      <c r="H5" s="1004">
        <v>467</v>
      </c>
      <c r="I5" s="1004">
        <v>70</v>
      </c>
      <c r="J5" s="1004">
        <v>57</v>
      </c>
      <c r="K5" s="1004">
        <v>99</v>
      </c>
      <c r="L5" s="1004">
        <v>176</v>
      </c>
      <c r="N5" s="6">
        <v>1981</v>
      </c>
      <c r="O5" s="427">
        <v>1481</v>
      </c>
      <c r="P5" s="427">
        <v>26</v>
      </c>
      <c r="Q5" s="427">
        <v>7</v>
      </c>
      <c r="R5" s="427">
        <v>49</v>
      </c>
      <c r="S5" s="427">
        <v>44</v>
      </c>
      <c r="T5" s="427">
        <v>486</v>
      </c>
      <c r="U5" s="427">
        <v>467</v>
      </c>
      <c r="V5" s="427">
        <v>70</v>
      </c>
      <c r="W5" s="427">
        <v>57</v>
      </c>
      <c r="X5" s="427">
        <v>99</v>
      </c>
      <c r="Y5" s="427">
        <v>176</v>
      </c>
    </row>
    <row r="6" spans="1:25" s="972" customFormat="1">
      <c r="A6" s="2">
        <v>1982</v>
      </c>
      <c r="B6" s="1004">
        <v>1543</v>
      </c>
      <c r="C6" s="1004">
        <v>27</v>
      </c>
      <c r="D6" s="1004">
        <v>6</v>
      </c>
      <c r="E6" s="1004">
        <v>48</v>
      </c>
      <c r="F6" s="1004">
        <v>46</v>
      </c>
      <c r="G6" s="1004">
        <v>508</v>
      </c>
      <c r="H6" s="1004">
        <v>485</v>
      </c>
      <c r="I6" s="1004">
        <v>76</v>
      </c>
      <c r="J6" s="1004">
        <v>53</v>
      </c>
      <c r="K6" s="1004">
        <v>109</v>
      </c>
      <c r="L6" s="1004">
        <v>185</v>
      </c>
      <c r="N6" s="6">
        <v>1982</v>
      </c>
      <c r="O6" s="427">
        <v>1543</v>
      </c>
      <c r="P6" s="427">
        <v>27</v>
      </c>
      <c r="Q6" s="427">
        <v>6</v>
      </c>
      <c r="R6" s="427">
        <v>48</v>
      </c>
      <c r="S6" s="427">
        <v>46</v>
      </c>
      <c r="T6" s="427">
        <v>508</v>
      </c>
      <c r="U6" s="427">
        <v>485</v>
      </c>
      <c r="V6" s="427">
        <v>76</v>
      </c>
      <c r="W6" s="427">
        <v>53</v>
      </c>
      <c r="X6" s="427">
        <v>109</v>
      </c>
      <c r="Y6" s="427">
        <v>185</v>
      </c>
    </row>
    <row r="7" spans="1:25" s="972" customFormat="1">
      <c r="A7" s="2">
        <v>1983</v>
      </c>
      <c r="B7" s="1004">
        <v>1775</v>
      </c>
      <c r="C7" s="1004">
        <v>36</v>
      </c>
      <c r="D7" s="1004">
        <v>6</v>
      </c>
      <c r="E7" s="1004">
        <v>49</v>
      </c>
      <c r="F7" s="1004">
        <v>54</v>
      </c>
      <c r="G7" s="1004">
        <v>541</v>
      </c>
      <c r="H7" s="1004">
        <v>593</v>
      </c>
      <c r="I7" s="1004">
        <v>70</v>
      </c>
      <c r="J7" s="1004">
        <v>61</v>
      </c>
      <c r="K7" s="1004">
        <v>155</v>
      </c>
      <c r="L7" s="1004">
        <v>210</v>
      </c>
      <c r="N7" s="6">
        <v>1983</v>
      </c>
      <c r="O7" s="427">
        <v>1775</v>
      </c>
      <c r="P7" s="427">
        <v>36</v>
      </c>
      <c r="Q7" s="427">
        <v>6</v>
      </c>
      <c r="R7" s="427">
        <v>49</v>
      </c>
      <c r="S7" s="427">
        <v>54</v>
      </c>
      <c r="T7" s="427">
        <v>541</v>
      </c>
      <c r="U7" s="427">
        <v>593</v>
      </c>
      <c r="V7" s="427">
        <v>70</v>
      </c>
      <c r="W7" s="427">
        <v>61</v>
      </c>
      <c r="X7" s="427">
        <v>155</v>
      </c>
      <c r="Y7" s="427">
        <v>210</v>
      </c>
    </row>
    <row r="8" spans="1:25" s="972" customFormat="1">
      <c r="A8" s="2">
        <v>1984</v>
      </c>
      <c r="B8" s="1004">
        <v>1733</v>
      </c>
      <c r="C8" s="1004">
        <v>29</v>
      </c>
      <c r="D8" s="1004">
        <v>6</v>
      </c>
      <c r="E8" s="1004">
        <v>49</v>
      </c>
      <c r="F8" s="1004">
        <v>47</v>
      </c>
      <c r="G8" s="1004">
        <v>556</v>
      </c>
      <c r="H8" s="1004">
        <v>536</v>
      </c>
      <c r="I8" s="1004">
        <v>70</v>
      </c>
      <c r="J8" s="1004">
        <v>60</v>
      </c>
      <c r="K8" s="1004">
        <v>164</v>
      </c>
      <c r="L8" s="1004">
        <v>217</v>
      </c>
      <c r="N8" s="6">
        <v>1984</v>
      </c>
      <c r="O8" s="427">
        <v>1733</v>
      </c>
      <c r="P8" s="427">
        <v>29</v>
      </c>
      <c r="Q8" s="427">
        <v>6</v>
      </c>
      <c r="R8" s="427">
        <v>49</v>
      </c>
      <c r="S8" s="427">
        <v>47</v>
      </c>
      <c r="T8" s="427">
        <v>556</v>
      </c>
      <c r="U8" s="427">
        <v>536</v>
      </c>
      <c r="V8" s="427">
        <v>70</v>
      </c>
      <c r="W8" s="427">
        <v>60</v>
      </c>
      <c r="X8" s="427">
        <v>164</v>
      </c>
      <c r="Y8" s="427">
        <v>217</v>
      </c>
    </row>
    <row r="9" spans="1:25" s="972" customFormat="1">
      <c r="A9" s="2">
        <v>1985</v>
      </c>
      <c r="B9" s="1004">
        <v>1684</v>
      </c>
      <c r="C9" s="1004">
        <v>33</v>
      </c>
      <c r="D9" s="1004">
        <v>5</v>
      </c>
      <c r="E9" s="1004">
        <v>46</v>
      </c>
      <c r="F9" s="1004">
        <v>39</v>
      </c>
      <c r="G9" s="1004">
        <v>547</v>
      </c>
      <c r="H9" s="1004">
        <v>499</v>
      </c>
      <c r="I9" s="1004">
        <v>71</v>
      </c>
      <c r="J9" s="1004">
        <v>62</v>
      </c>
      <c r="K9" s="1004">
        <v>144</v>
      </c>
      <c r="L9" s="1004">
        <v>238</v>
      </c>
      <c r="N9" s="6">
        <v>1985</v>
      </c>
      <c r="O9" s="427">
        <v>1684</v>
      </c>
      <c r="P9" s="427">
        <v>33</v>
      </c>
      <c r="Q9" s="427">
        <v>5</v>
      </c>
      <c r="R9" s="427">
        <v>46</v>
      </c>
      <c r="S9" s="427">
        <v>39</v>
      </c>
      <c r="T9" s="427">
        <v>547</v>
      </c>
      <c r="U9" s="427">
        <v>499</v>
      </c>
      <c r="V9" s="427">
        <v>71</v>
      </c>
      <c r="W9" s="427">
        <v>62</v>
      </c>
      <c r="X9" s="427">
        <v>144</v>
      </c>
      <c r="Y9" s="427">
        <v>238</v>
      </c>
    </row>
    <row r="10" spans="1:25" s="972" customFormat="1">
      <c r="A10" s="2">
        <v>1986</v>
      </c>
      <c r="B10" s="1004">
        <v>1635</v>
      </c>
      <c r="C10" s="1004">
        <v>32</v>
      </c>
      <c r="D10" s="1004">
        <v>5</v>
      </c>
      <c r="E10" s="1004">
        <v>47</v>
      </c>
      <c r="F10" s="1004">
        <v>40</v>
      </c>
      <c r="G10" s="1004">
        <v>550</v>
      </c>
      <c r="H10" s="1004">
        <v>469</v>
      </c>
      <c r="I10" s="1004">
        <v>66</v>
      </c>
      <c r="J10" s="1004">
        <v>65</v>
      </c>
      <c r="K10" s="1004">
        <v>142</v>
      </c>
      <c r="L10" s="1004">
        <v>219</v>
      </c>
      <c r="N10" s="6">
        <v>1986</v>
      </c>
      <c r="O10" s="427">
        <v>1635</v>
      </c>
      <c r="P10" s="427">
        <v>32</v>
      </c>
      <c r="Q10" s="427">
        <v>5</v>
      </c>
      <c r="R10" s="427">
        <v>47</v>
      </c>
      <c r="S10" s="427">
        <v>40</v>
      </c>
      <c r="T10" s="427">
        <v>550</v>
      </c>
      <c r="U10" s="427">
        <v>469</v>
      </c>
      <c r="V10" s="427">
        <v>66</v>
      </c>
      <c r="W10" s="427">
        <v>65</v>
      </c>
      <c r="X10" s="427">
        <v>142</v>
      </c>
      <c r="Y10" s="427">
        <v>219</v>
      </c>
    </row>
    <row r="11" spans="1:25" s="972" customFormat="1">
      <c r="A11" s="2">
        <v>1987</v>
      </c>
      <c r="B11" s="1004">
        <v>1641</v>
      </c>
      <c r="C11" s="1004">
        <v>31</v>
      </c>
      <c r="D11" s="1004">
        <v>5</v>
      </c>
      <c r="E11" s="1004">
        <v>47</v>
      </c>
      <c r="F11" s="1004">
        <v>45</v>
      </c>
      <c r="G11" s="1004">
        <v>544</v>
      </c>
      <c r="H11" s="1004">
        <v>459</v>
      </c>
      <c r="I11" s="1004">
        <v>75</v>
      </c>
      <c r="J11" s="1004">
        <v>56</v>
      </c>
      <c r="K11" s="1004">
        <v>162</v>
      </c>
      <c r="L11" s="1004">
        <v>219</v>
      </c>
      <c r="N11" s="6">
        <v>1987</v>
      </c>
      <c r="O11" s="427">
        <v>1641</v>
      </c>
      <c r="P11" s="427">
        <v>31</v>
      </c>
      <c r="Q11" s="427">
        <v>5</v>
      </c>
      <c r="R11" s="427">
        <v>47</v>
      </c>
      <c r="S11" s="427">
        <v>45</v>
      </c>
      <c r="T11" s="427">
        <v>544</v>
      </c>
      <c r="U11" s="427">
        <v>459</v>
      </c>
      <c r="V11" s="427">
        <v>75</v>
      </c>
      <c r="W11" s="427">
        <v>56</v>
      </c>
      <c r="X11" s="427">
        <v>162</v>
      </c>
      <c r="Y11" s="427">
        <v>219</v>
      </c>
    </row>
    <row r="12" spans="1:25" s="972" customFormat="1">
      <c r="A12" s="2">
        <v>1988</v>
      </c>
      <c r="B12" s="1004">
        <v>1592</v>
      </c>
      <c r="C12" s="1004">
        <v>26</v>
      </c>
      <c r="D12" s="1004">
        <v>5</v>
      </c>
      <c r="E12" s="1004">
        <v>46</v>
      </c>
      <c r="F12" s="1004">
        <v>38</v>
      </c>
      <c r="G12" s="1004">
        <v>555</v>
      </c>
      <c r="H12" s="1004">
        <v>449</v>
      </c>
      <c r="I12" s="1004">
        <v>71</v>
      </c>
      <c r="J12" s="1004">
        <v>53</v>
      </c>
      <c r="K12" s="1004">
        <v>150</v>
      </c>
      <c r="L12" s="1004">
        <v>198</v>
      </c>
      <c r="N12" s="6">
        <v>1988</v>
      </c>
      <c r="O12" s="427">
        <v>1592</v>
      </c>
      <c r="P12" s="427">
        <v>26</v>
      </c>
      <c r="Q12" s="427">
        <v>5</v>
      </c>
      <c r="R12" s="427">
        <v>46</v>
      </c>
      <c r="S12" s="427">
        <v>38</v>
      </c>
      <c r="T12" s="427">
        <v>555</v>
      </c>
      <c r="U12" s="427">
        <v>449</v>
      </c>
      <c r="V12" s="427">
        <v>71</v>
      </c>
      <c r="W12" s="427">
        <v>53</v>
      </c>
      <c r="X12" s="427">
        <v>150</v>
      </c>
      <c r="Y12" s="427">
        <v>198</v>
      </c>
    </row>
    <row r="13" spans="1:25" s="972" customFormat="1">
      <c r="A13" s="2">
        <v>1989</v>
      </c>
      <c r="B13" s="1004">
        <v>1501</v>
      </c>
      <c r="C13" s="1004">
        <v>23</v>
      </c>
      <c r="D13" s="1004">
        <v>5</v>
      </c>
      <c r="E13" s="1004">
        <v>47</v>
      </c>
      <c r="F13" s="1004">
        <v>37</v>
      </c>
      <c r="G13" s="1004">
        <v>499</v>
      </c>
      <c r="H13" s="1004">
        <v>431</v>
      </c>
      <c r="I13" s="1004">
        <v>66</v>
      </c>
      <c r="J13" s="1004">
        <v>54</v>
      </c>
      <c r="K13" s="1004">
        <v>156</v>
      </c>
      <c r="L13" s="1004">
        <v>183</v>
      </c>
      <c r="N13" s="6">
        <v>1989</v>
      </c>
      <c r="O13" s="427">
        <v>1501</v>
      </c>
      <c r="P13" s="427">
        <v>23</v>
      </c>
      <c r="Q13" s="427">
        <v>5</v>
      </c>
      <c r="R13" s="427">
        <v>47</v>
      </c>
      <c r="S13" s="427">
        <v>37</v>
      </c>
      <c r="T13" s="427">
        <v>499</v>
      </c>
      <c r="U13" s="427">
        <v>431</v>
      </c>
      <c r="V13" s="427">
        <v>66</v>
      </c>
      <c r="W13" s="427">
        <v>54</v>
      </c>
      <c r="X13" s="427">
        <v>156</v>
      </c>
      <c r="Y13" s="427">
        <v>183</v>
      </c>
    </row>
    <row r="14" spans="1:25" s="972" customFormat="1">
      <c r="A14" s="2">
        <v>1990</v>
      </c>
      <c r="B14" s="1004">
        <v>1738</v>
      </c>
      <c r="C14" s="1004">
        <v>29</v>
      </c>
      <c r="D14" s="1004">
        <v>4</v>
      </c>
      <c r="E14" s="1004">
        <v>41</v>
      </c>
      <c r="F14" s="1004">
        <v>39</v>
      </c>
      <c r="G14" s="1004">
        <v>606</v>
      </c>
      <c r="H14" s="1004">
        <v>498</v>
      </c>
      <c r="I14" s="1004">
        <v>76</v>
      </c>
      <c r="J14" s="1004">
        <v>57</v>
      </c>
      <c r="K14" s="1004">
        <v>166</v>
      </c>
      <c r="L14" s="1004">
        <v>222</v>
      </c>
      <c r="N14" s="6">
        <v>1990</v>
      </c>
      <c r="O14" s="427">
        <v>1738</v>
      </c>
      <c r="P14" s="427">
        <v>29</v>
      </c>
      <c r="Q14" s="427">
        <v>4</v>
      </c>
      <c r="R14" s="427">
        <v>41</v>
      </c>
      <c r="S14" s="427">
        <v>39</v>
      </c>
      <c r="T14" s="427">
        <v>606</v>
      </c>
      <c r="U14" s="427">
        <v>498</v>
      </c>
      <c r="V14" s="427">
        <v>76</v>
      </c>
      <c r="W14" s="427">
        <v>57</v>
      </c>
      <c r="X14" s="427">
        <v>166</v>
      </c>
      <c r="Y14" s="427">
        <v>222</v>
      </c>
    </row>
    <row r="15" spans="1:25" s="972" customFormat="1">
      <c r="A15" s="2">
        <v>1991</v>
      </c>
      <c r="B15" s="1004">
        <v>1976</v>
      </c>
      <c r="C15" s="1004">
        <v>32</v>
      </c>
      <c r="D15" s="1004">
        <v>6</v>
      </c>
      <c r="E15" s="1004">
        <v>49</v>
      </c>
      <c r="F15" s="1004">
        <v>42</v>
      </c>
      <c r="G15" s="1004">
        <v>660</v>
      </c>
      <c r="H15" s="1004">
        <v>596</v>
      </c>
      <c r="I15" s="1004">
        <v>85</v>
      </c>
      <c r="J15" s="1004">
        <v>66</v>
      </c>
      <c r="K15" s="1004">
        <v>175</v>
      </c>
      <c r="L15" s="1004">
        <v>265</v>
      </c>
      <c r="N15" s="6">
        <v>1991</v>
      </c>
      <c r="O15" s="427">
        <v>1976</v>
      </c>
      <c r="P15" s="427">
        <v>32</v>
      </c>
      <c r="Q15" s="427">
        <v>6</v>
      </c>
      <c r="R15" s="427">
        <v>49</v>
      </c>
      <c r="S15" s="427">
        <v>42</v>
      </c>
      <c r="T15" s="427">
        <v>660</v>
      </c>
      <c r="U15" s="427">
        <v>596</v>
      </c>
      <c r="V15" s="427">
        <v>85</v>
      </c>
      <c r="W15" s="427">
        <v>66</v>
      </c>
      <c r="X15" s="427">
        <v>175</v>
      </c>
      <c r="Y15" s="427">
        <v>265</v>
      </c>
    </row>
    <row r="16" spans="1:25" s="972" customFormat="1">
      <c r="A16" s="2">
        <v>1992</v>
      </c>
      <c r="B16" s="1004">
        <v>2000</v>
      </c>
      <c r="C16" s="1004">
        <v>35</v>
      </c>
      <c r="D16" s="1004">
        <v>5</v>
      </c>
      <c r="E16" s="1004">
        <v>55</v>
      </c>
      <c r="F16" s="1004">
        <v>45</v>
      </c>
      <c r="G16" s="1004">
        <v>630</v>
      </c>
      <c r="H16" s="1004">
        <v>597</v>
      </c>
      <c r="I16" s="1004">
        <v>88</v>
      </c>
      <c r="J16" s="1004">
        <v>66</v>
      </c>
      <c r="K16" s="1004">
        <v>213</v>
      </c>
      <c r="L16" s="1004">
        <v>267</v>
      </c>
      <c r="N16" s="6">
        <v>1992</v>
      </c>
      <c r="O16" s="427">
        <v>2000</v>
      </c>
      <c r="P16" s="427">
        <v>35</v>
      </c>
      <c r="Q16" s="427">
        <v>5</v>
      </c>
      <c r="R16" s="427">
        <v>55</v>
      </c>
      <c r="S16" s="427">
        <v>45</v>
      </c>
      <c r="T16" s="427">
        <v>630</v>
      </c>
      <c r="U16" s="427">
        <v>597</v>
      </c>
      <c r="V16" s="427">
        <v>88</v>
      </c>
      <c r="W16" s="427">
        <v>66</v>
      </c>
      <c r="X16" s="427">
        <v>213</v>
      </c>
      <c r="Y16" s="427">
        <v>267</v>
      </c>
    </row>
    <row r="17" spans="1:25" s="972" customFormat="1">
      <c r="A17" s="2">
        <v>1993</v>
      </c>
      <c r="B17" s="1004">
        <v>2111</v>
      </c>
      <c r="C17" s="1004">
        <v>34</v>
      </c>
      <c r="D17" s="1004">
        <v>5</v>
      </c>
      <c r="E17" s="1004">
        <v>55</v>
      </c>
      <c r="F17" s="1004">
        <v>45</v>
      </c>
      <c r="G17" s="1004">
        <v>665</v>
      </c>
      <c r="H17" s="1004">
        <v>672</v>
      </c>
      <c r="I17" s="1004">
        <v>85</v>
      </c>
      <c r="J17" s="1004">
        <v>68</v>
      </c>
      <c r="K17" s="1004">
        <v>202</v>
      </c>
      <c r="L17" s="1004">
        <v>280</v>
      </c>
      <c r="N17" s="6">
        <v>1993</v>
      </c>
      <c r="O17" s="427">
        <v>2111</v>
      </c>
      <c r="P17" s="427">
        <v>34</v>
      </c>
      <c r="Q17" s="427">
        <v>5</v>
      </c>
      <c r="R17" s="427">
        <v>55</v>
      </c>
      <c r="S17" s="427">
        <v>45</v>
      </c>
      <c r="T17" s="427">
        <v>665</v>
      </c>
      <c r="U17" s="427">
        <v>672</v>
      </c>
      <c r="V17" s="427">
        <v>85</v>
      </c>
      <c r="W17" s="427">
        <v>68</v>
      </c>
      <c r="X17" s="427">
        <v>202</v>
      </c>
      <c r="Y17" s="427">
        <v>280</v>
      </c>
    </row>
    <row r="18" spans="1:25" s="972" customFormat="1">
      <c r="A18" s="2">
        <v>1994</v>
      </c>
      <c r="B18" s="1004">
        <v>2122</v>
      </c>
      <c r="C18" s="1004">
        <v>34</v>
      </c>
      <c r="D18" s="1004">
        <v>5</v>
      </c>
      <c r="E18" s="1004">
        <v>62</v>
      </c>
      <c r="F18" s="1004">
        <v>47</v>
      </c>
      <c r="G18" s="1004">
        <v>685</v>
      </c>
      <c r="H18" s="1004">
        <v>649</v>
      </c>
      <c r="I18" s="1004">
        <v>88</v>
      </c>
      <c r="J18" s="1004">
        <v>63</v>
      </c>
      <c r="K18" s="1004">
        <v>193</v>
      </c>
      <c r="L18" s="1004">
        <v>298</v>
      </c>
      <c r="N18" s="6">
        <v>1994</v>
      </c>
      <c r="O18" s="427">
        <v>2122</v>
      </c>
      <c r="P18" s="427">
        <v>34</v>
      </c>
      <c r="Q18" s="427">
        <v>5</v>
      </c>
      <c r="R18" s="427">
        <v>62</v>
      </c>
      <c r="S18" s="427">
        <v>47</v>
      </c>
      <c r="T18" s="427">
        <v>685</v>
      </c>
      <c r="U18" s="427">
        <v>649</v>
      </c>
      <c r="V18" s="427">
        <v>88</v>
      </c>
      <c r="W18" s="427">
        <v>63</v>
      </c>
      <c r="X18" s="427">
        <v>193</v>
      </c>
      <c r="Y18" s="427">
        <v>298</v>
      </c>
    </row>
    <row r="19" spans="1:25" s="972" customFormat="1">
      <c r="A19" s="2">
        <v>1995</v>
      </c>
      <c r="B19" s="1004">
        <v>2166</v>
      </c>
      <c r="C19" s="1004">
        <v>37</v>
      </c>
      <c r="D19" s="1004">
        <v>6</v>
      </c>
      <c r="E19" s="1004">
        <v>65</v>
      </c>
      <c r="F19" s="1004">
        <v>45</v>
      </c>
      <c r="G19" s="1004">
        <v>693</v>
      </c>
      <c r="H19" s="1004">
        <v>690</v>
      </c>
      <c r="I19" s="1004">
        <v>85</v>
      </c>
      <c r="J19" s="1004">
        <v>63</v>
      </c>
      <c r="K19" s="1004">
        <v>192</v>
      </c>
      <c r="L19" s="1004">
        <v>291</v>
      </c>
      <c r="N19" s="6">
        <v>1995</v>
      </c>
      <c r="O19" s="427">
        <v>2166</v>
      </c>
      <c r="P19" s="427">
        <v>37</v>
      </c>
      <c r="Q19" s="427">
        <v>6</v>
      </c>
      <c r="R19" s="427">
        <v>65</v>
      </c>
      <c r="S19" s="427">
        <v>45</v>
      </c>
      <c r="T19" s="427">
        <v>693</v>
      </c>
      <c r="U19" s="427">
        <v>690</v>
      </c>
      <c r="V19" s="427">
        <v>85</v>
      </c>
      <c r="W19" s="427">
        <v>63</v>
      </c>
      <c r="X19" s="427">
        <v>192</v>
      </c>
      <c r="Y19" s="427">
        <v>291</v>
      </c>
    </row>
    <row r="20" spans="1:25" s="972" customFormat="1">
      <c r="A20" s="2">
        <v>1996</v>
      </c>
      <c r="B20" s="1004">
        <v>2313</v>
      </c>
      <c r="C20" s="1004">
        <v>37</v>
      </c>
      <c r="D20" s="1004">
        <v>6</v>
      </c>
      <c r="E20" s="1004">
        <v>61</v>
      </c>
      <c r="F20" s="1004">
        <v>47</v>
      </c>
      <c r="G20" s="1004">
        <v>729</v>
      </c>
      <c r="H20" s="1004">
        <v>767</v>
      </c>
      <c r="I20" s="1004">
        <v>84</v>
      </c>
      <c r="J20" s="1004">
        <v>64</v>
      </c>
      <c r="K20" s="1004">
        <v>197</v>
      </c>
      <c r="L20" s="1004">
        <v>321</v>
      </c>
      <c r="N20" s="6">
        <v>1996</v>
      </c>
      <c r="O20" s="427">
        <v>2313</v>
      </c>
      <c r="P20" s="427">
        <v>37</v>
      </c>
      <c r="Q20" s="427">
        <v>6</v>
      </c>
      <c r="R20" s="427">
        <v>61</v>
      </c>
      <c r="S20" s="427">
        <v>47</v>
      </c>
      <c r="T20" s="427">
        <v>729</v>
      </c>
      <c r="U20" s="427">
        <v>767</v>
      </c>
      <c r="V20" s="427">
        <v>84</v>
      </c>
      <c r="W20" s="427">
        <v>64</v>
      </c>
      <c r="X20" s="427">
        <v>197</v>
      </c>
      <c r="Y20" s="427">
        <v>321</v>
      </c>
    </row>
    <row r="21" spans="1:25" s="972" customFormat="1">
      <c r="A21" s="2">
        <v>1997</v>
      </c>
      <c r="B21" s="1004">
        <v>2341</v>
      </c>
      <c r="C21" s="1004">
        <v>34</v>
      </c>
      <c r="D21" s="1004">
        <v>6</v>
      </c>
      <c r="E21" s="1004">
        <v>66</v>
      </c>
      <c r="F21" s="1004">
        <v>53</v>
      </c>
      <c r="G21" s="1004">
        <v>745</v>
      </c>
      <c r="H21" s="1004">
        <v>753</v>
      </c>
      <c r="I21" s="1004">
        <v>91</v>
      </c>
      <c r="J21" s="1004">
        <v>57</v>
      </c>
      <c r="K21" s="1004">
        <v>204</v>
      </c>
      <c r="L21" s="1004">
        <v>332</v>
      </c>
      <c r="N21" s="6">
        <v>1997</v>
      </c>
      <c r="O21" s="427">
        <v>2341</v>
      </c>
      <c r="P21" s="427">
        <v>34</v>
      </c>
      <c r="Q21" s="427">
        <v>6</v>
      </c>
      <c r="R21" s="427">
        <v>66</v>
      </c>
      <c r="S21" s="427">
        <v>53</v>
      </c>
      <c r="T21" s="427">
        <v>745</v>
      </c>
      <c r="U21" s="427">
        <v>753</v>
      </c>
      <c r="V21" s="427">
        <v>91</v>
      </c>
      <c r="W21" s="427">
        <v>57</v>
      </c>
      <c r="X21" s="427">
        <v>204</v>
      </c>
      <c r="Y21" s="427">
        <v>332</v>
      </c>
    </row>
    <row r="22" spans="1:25" s="972" customFormat="1">
      <c r="A22" s="2">
        <v>1998</v>
      </c>
      <c r="B22" s="1004">
        <v>2213</v>
      </c>
      <c r="C22" s="1004">
        <v>34</v>
      </c>
      <c r="D22" s="1004">
        <v>7</v>
      </c>
      <c r="E22" s="1004">
        <v>69</v>
      </c>
      <c r="F22" s="1004">
        <v>46</v>
      </c>
      <c r="G22" s="1004">
        <v>685</v>
      </c>
      <c r="H22" s="1004">
        <v>683</v>
      </c>
      <c r="I22" s="1004">
        <v>80</v>
      </c>
      <c r="J22" s="1004">
        <v>62</v>
      </c>
      <c r="K22" s="1004">
        <v>210</v>
      </c>
      <c r="L22" s="1004">
        <v>337</v>
      </c>
      <c r="N22" s="6">
        <v>1998</v>
      </c>
      <c r="O22" s="427">
        <v>2213</v>
      </c>
      <c r="P22" s="427">
        <v>34</v>
      </c>
      <c r="Q22" s="427">
        <v>7</v>
      </c>
      <c r="R22" s="427">
        <v>69</v>
      </c>
      <c r="S22" s="427">
        <v>46</v>
      </c>
      <c r="T22" s="427">
        <v>685</v>
      </c>
      <c r="U22" s="427">
        <v>683</v>
      </c>
      <c r="V22" s="427">
        <v>80</v>
      </c>
      <c r="W22" s="427">
        <v>62</v>
      </c>
      <c r="X22" s="427">
        <v>210</v>
      </c>
      <c r="Y22" s="427">
        <v>337</v>
      </c>
    </row>
    <row r="23" spans="1:25" s="972" customFormat="1">
      <c r="A23" s="2">
        <v>1999</v>
      </c>
      <c r="B23" s="1004">
        <v>2155</v>
      </c>
      <c r="C23" s="1004">
        <v>35</v>
      </c>
      <c r="D23" s="1004">
        <v>8</v>
      </c>
      <c r="E23" s="1004">
        <v>61</v>
      </c>
      <c r="F23" s="1004">
        <v>41</v>
      </c>
      <c r="G23" s="1004">
        <v>640</v>
      </c>
      <c r="H23" s="1004">
        <v>684</v>
      </c>
      <c r="I23" s="1004">
        <v>82</v>
      </c>
      <c r="J23" s="1004">
        <v>56</v>
      </c>
      <c r="K23" s="1004">
        <v>194</v>
      </c>
      <c r="L23" s="1004">
        <v>353</v>
      </c>
      <c r="N23" s="6">
        <v>1999</v>
      </c>
      <c r="O23" s="427">
        <v>2155</v>
      </c>
      <c r="P23" s="427">
        <v>35</v>
      </c>
      <c r="Q23" s="427">
        <v>8</v>
      </c>
      <c r="R23" s="427">
        <v>61</v>
      </c>
      <c r="S23" s="427">
        <v>41</v>
      </c>
      <c r="T23" s="427">
        <v>640</v>
      </c>
      <c r="U23" s="427">
        <v>684</v>
      </c>
      <c r="V23" s="427">
        <v>82</v>
      </c>
      <c r="W23" s="427">
        <v>56</v>
      </c>
      <c r="X23" s="427">
        <v>194</v>
      </c>
      <c r="Y23" s="427">
        <v>353</v>
      </c>
    </row>
    <row r="24" spans="1:25" s="972" customFormat="1">
      <c r="A24" s="2">
        <v>2000</v>
      </c>
      <c r="B24" s="1004">
        <v>2100</v>
      </c>
      <c r="C24" s="1004">
        <v>32</v>
      </c>
      <c r="D24" s="1004">
        <v>7</v>
      </c>
      <c r="E24" s="1004">
        <v>61</v>
      </c>
      <c r="F24" s="1004">
        <v>39</v>
      </c>
      <c r="G24" s="1004">
        <v>637</v>
      </c>
      <c r="H24" s="1004">
        <v>670</v>
      </c>
      <c r="I24" s="1004">
        <v>78</v>
      </c>
      <c r="J24" s="1004">
        <v>58</v>
      </c>
      <c r="K24" s="1004">
        <v>182</v>
      </c>
      <c r="L24" s="1004">
        <v>336</v>
      </c>
      <c r="N24" s="6">
        <v>2000</v>
      </c>
      <c r="O24" s="427">
        <v>2100</v>
      </c>
      <c r="P24" s="427">
        <v>32</v>
      </c>
      <c r="Q24" s="427">
        <v>7</v>
      </c>
      <c r="R24" s="427">
        <v>61</v>
      </c>
      <c r="S24" s="427">
        <v>39</v>
      </c>
      <c r="T24" s="427">
        <v>637</v>
      </c>
      <c r="U24" s="427">
        <v>670</v>
      </c>
      <c r="V24" s="427">
        <v>78</v>
      </c>
      <c r="W24" s="427">
        <v>58</v>
      </c>
      <c r="X24" s="427">
        <v>182</v>
      </c>
      <c r="Y24" s="427">
        <v>336</v>
      </c>
    </row>
    <row r="25" spans="1:25" s="972" customFormat="1">
      <c r="A25" s="2">
        <v>2001</v>
      </c>
      <c r="B25" s="1004">
        <v>1963</v>
      </c>
      <c r="C25" s="1004">
        <v>29</v>
      </c>
      <c r="D25" s="1004">
        <v>6</v>
      </c>
      <c r="E25" s="1004">
        <v>54</v>
      </c>
      <c r="F25" s="1004">
        <v>39</v>
      </c>
      <c r="G25" s="1004">
        <v>602</v>
      </c>
      <c r="H25" s="1004">
        <v>616</v>
      </c>
      <c r="I25" s="1004">
        <v>67</v>
      </c>
      <c r="J25" s="1004">
        <v>53</v>
      </c>
      <c r="K25" s="1004">
        <v>168</v>
      </c>
      <c r="L25" s="1004">
        <v>328</v>
      </c>
      <c r="N25" s="6">
        <v>2001</v>
      </c>
      <c r="O25" s="427">
        <v>1963</v>
      </c>
      <c r="P25" s="427">
        <v>29</v>
      </c>
      <c r="Q25" s="427">
        <v>6</v>
      </c>
      <c r="R25" s="427">
        <v>54</v>
      </c>
      <c r="S25" s="427">
        <v>39</v>
      </c>
      <c r="T25" s="427">
        <v>602</v>
      </c>
      <c r="U25" s="427">
        <v>616</v>
      </c>
      <c r="V25" s="427">
        <v>67</v>
      </c>
      <c r="W25" s="427">
        <v>53</v>
      </c>
      <c r="X25" s="427">
        <v>168</v>
      </c>
      <c r="Y25" s="427">
        <v>328</v>
      </c>
    </row>
    <row r="26" spans="1:25" s="972" customFormat="1">
      <c r="A26" s="2">
        <v>2002</v>
      </c>
      <c r="B26" s="1004">
        <v>2000</v>
      </c>
      <c r="C26" s="1004">
        <v>32</v>
      </c>
      <c r="D26" s="1004">
        <v>6</v>
      </c>
      <c r="E26" s="1004">
        <v>53</v>
      </c>
      <c r="F26" s="1004">
        <v>41</v>
      </c>
      <c r="G26" s="1004">
        <v>556</v>
      </c>
      <c r="H26" s="1004">
        <v>673</v>
      </c>
      <c r="I26" s="1004">
        <v>70</v>
      </c>
      <c r="J26" s="1004">
        <v>49</v>
      </c>
      <c r="K26" s="1004">
        <v>173</v>
      </c>
      <c r="L26" s="1004">
        <v>348</v>
      </c>
      <c r="N26" s="6">
        <v>2002</v>
      </c>
      <c r="O26" s="427">
        <v>2000</v>
      </c>
      <c r="P26" s="427">
        <v>32</v>
      </c>
      <c r="Q26" s="427">
        <v>6</v>
      </c>
      <c r="R26" s="427">
        <v>53</v>
      </c>
      <c r="S26" s="427">
        <v>41</v>
      </c>
      <c r="T26" s="427">
        <v>556</v>
      </c>
      <c r="U26" s="427">
        <v>673</v>
      </c>
      <c r="V26" s="427">
        <v>70</v>
      </c>
      <c r="W26" s="427">
        <v>49</v>
      </c>
      <c r="X26" s="427">
        <v>173</v>
      </c>
      <c r="Y26" s="427">
        <v>348</v>
      </c>
    </row>
    <row r="27" spans="1:25" s="972" customFormat="1">
      <c r="A27" s="2">
        <v>2003</v>
      </c>
      <c r="B27" s="1004">
        <v>2033</v>
      </c>
      <c r="C27" s="1004">
        <v>34</v>
      </c>
      <c r="D27" s="1004">
        <v>6</v>
      </c>
      <c r="E27" s="1004">
        <v>58</v>
      </c>
      <c r="F27" s="1004">
        <v>39</v>
      </c>
      <c r="G27" s="1004">
        <v>561</v>
      </c>
      <c r="H27" s="1004">
        <v>678</v>
      </c>
      <c r="I27" s="1004">
        <v>72</v>
      </c>
      <c r="J27" s="1004">
        <v>51</v>
      </c>
      <c r="K27" s="1004">
        <v>198</v>
      </c>
      <c r="L27" s="1004">
        <v>336</v>
      </c>
      <c r="N27" s="6">
        <v>2003</v>
      </c>
      <c r="O27" s="427">
        <v>2033</v>
      </c>
      <c r="P27" s="427">
        <v>34</v>
      </c>
      <c r="Q27" s="427">
        <v>6</v>
      </c>
      <c r="R27" s="427">
        <v>58</v>
      </c>
      <c r="S27" s="427">
        <v>39</v>
      </c>
      <c r="T27" s="427">
        <v>561</v>
      </c>
      <c r="U27" s="427">
        <v>678</v>
      </c>
      <c r="V27" s="427">
        <v>72</v>
      </c>
      <c r="W27" s="427">
        <v>51</v>
      </c>
      <c r="X27" s="427">
        <v>198</v>
      </c>
      <c r="Y27" s="427">
        <v>336</v>
      </c>
    </row>
    <row r="28" spans="1:25" s="972" customFormat="1">
      <c r="A28" s="2">
        <v>2004</v>
      </c>
      <c r="B28" s="1004">
        <v>2041</v>
      </c>
      <c r="C28" s="1004">
        <v>31</v>
      </c>
      <c r="D28" s="1004">
        <v>5</v>
      </c>
      <c r="E28" s="1004">
        <v>57</v>
      </c>
      <c r="F28" s="1004">
        <v>38</v>
      </c>
      <c r="G28" s="1004">
        <v>545</v>
      </c>
      <c r="H28" s="1004">
        <v>727</v>
      </c>
      <c r="I28" s="1004">
        <v>72</v>
      </c>
      <c r="J28" s="1004">
        <v>56</v>
      </c>
      <c r="K28" s="1004">
        <v>190</v>
      </c>
      <c r="L28" s="1004">
        <v>319</v>
      </c>
      <c r="N28" s="6">
        <v>2004</v>
      </c>
      <c r="O28" s="427">
        <v>2041</v>
      </c>
      <c r="P28" s="427">
        <v>31</v>
      </c>
      <c r="Q28" s="427">
        <v>5</v>
      </c>
      <c r="R28" s="427">
        <v>57</v>
      </c>
      <c r="S28" s="427">
        <v>38</v>
      </c>
      <c r="T28" s="427">
        <v>545</v>
      </c>
      <c r="U28" s="427">
        <v>727</v>
      </c>
      <c r="V28" s="427">
        <v>72</v>
      </c>
      <c r="W28" s="427">
        <v>56</v>
      </c>
      <c r="X28" s="427">
        <v>190</v>
      </c>
      <c r="Y28" s="427">
        <v>319</v>
      </c>
    </row>
    <row r="29" spans="1:25" s="972" customFormat="1">
      <c r="A29" s="2">
        <v>2005</v>
      </c>
      <c r="B29" s="1004">
        <v>2044</v>
      </c>
      <c r="C29" s="1004">
        <v>24</v>
      </c>
      <c r="D29" s="1004">
        <v>5</v>
      </c>
      <c r="E29" s="1004">
        <v>52</v>
      </c>
      <c r="F29" s="1004">
        <v>44</v>
      </c>
      <c r="G29" s="1004">
        <v>602</v>
      </c>
      <c r="H29" s="1004">
        <v>703</v>
      </c>
      <c r="I29" s="1004">
        <v>77</v>
      </c>
      <c r="J29" s="1004">
        <v>56</v>
      </c>
      <c r="K29" s="1004">
        <v>166</v>
      </c>
      <c r="L29" s="1004">
        <v>314</v>
      </c>
      <c r="N29" s="6">
        <v>2005</v>
      </c>
      <c r="O29" s="427">
        <v>2044</v>
      </c>
      <c r="P29" s="427">
        <v>24</v>
      </c>
      <c r="Q29" s="427">
        <v>5</v>
      </c>
      <c r="R29" s="427">
        <v>52</v>
      </c>
      <c r="S29" s="427">
        <v>44</v>
      </c>
      <c r="T29" s="427">
        <v>602</v>
      </c>
      <c r="U29" s="427">
        <v>703</v>
      </c>
      <c r="V29" s="427">
        <v>77</v>
      </c>
      <c r="W29" s="427">
        <v>56</v>
      </c>
      <c r="X29" s="427">
        <v>166</v>
      </c>
      <c r="Y29" s="427">
        <v>314</v>
      </c>
    </row>
    <row r="30" spans="1:25" s="972" customFormat="1">
      <c r="A30" s="2">
        <v>2006</v>
      </c>
      <c r="B30" s="1004">
        <v>1996</v>
      </c>
      <c r="C30" s="1004">
        <v>25</v>
      </c>
      <c r="D30" s="1004">
        <v>5</v>
      </c>
      <c r="E30" s="1004">
        <v>52</v>
      </c>
      <c r="F30" s="1004">
        <v>40</v>
      </c>
      <c r="G30" s="1004">
        <v>584</v>
      </c>
      <c r="H30" s="1004">
        <v>710</v>
      </c>
      <c r="I30" s="1004">
        <v>67</v>
      </c>
      <c r="J30" s="1004">
        <v>52</v>
      </c>
      <c r="K30" s="1004">
        <v>153</v>
      </c>
      <c r="L30" s="1004">
        <v>307</v>
      </c>
      <c r="N30" s="6">
        <v>2006</v>
      </c>
      <c r="O30" s="427">
        <v>1996</v>
      </c>
      <c r="P30" s="427">
        <v>25</v>
      </c>
      <c r="Q30" s="427">
        <v>5</v>
      </c>
      <c r="R30" s="427">
        <v>52</v>
      </c>
      <c r="S30" s="427">
        <v>40</v>
      </c>
      <c r="T30" s="427">
        <v>584</v>
      </c>
      <c r="U30" s="427">
        <v>710</v>
      </c>
      <c r="V30" s="427">
        <v>67</v>
      </c>
      <c r="W30" s="427">
        <v>52</v>
      </c>
      <c r="X30" s="427">
        <v>153</v>
      </c>
      <c r="Y30" s="427">
        <v>307</v>
      </c>
    </row>
    <row r="31" spans="1:25" s="114" customFormat="1">
      <c r="A31" s="2">
        <v>2007</v>
      </c>
      <c r="B31" s="1004">
        <v>1834</v>
      </c>
      <c r="C31" s="1004">
        <v>22</v>
      </c>
      <c r="D31" s="1004">
        <v>5</v>
      </c>
      <c r="E31" s="1004">
        <v>48</v>
      </c>
      <c r="F31" s="1004">
        <v>37</v>
      </c>
      <c r="G31" s="1004">
        <v>552</v>
      </c>
      <c r="H31" s="1004">
        <v>646</v>
      </c>
      <c r="I31" s="1004">
        <v>63</v>
      </c>
      <c r="J31" s="1004">
        <v>43</v>
      </c>
      <c r="K31" s="1004">
        <v>131</v>
      </c>
      <c r="L31" s="1004">
        <v>287</v>
      </c>
      <c r="N31" s="4">
        <v>2007</v>
      </c>
      <c r="O31" s="427">
        <v>1834</v>
      </c>
      <c r="P31" s="427">
        <v>22</v>
      </c>
      <c r="Q31" s="427">
        <v>5</v>
      </c>
      <c r="R31" s="427">
        <v>48</v>
      </c>
      <c r="S31" s="427">
        <v>37</v>
      </c>
      <c r="T31" s="427">
        <v>552</v>
      </c>
      <c r="U31" s="427">
        <v>646</v>
      </c>
      <c r="V31" s="427">
        <v>63</v>
      </c>
      <c r="W31" s="427">
        <v>43</v>
      </c>
      <c r="X31" s="427">
        <v>131</v>
      </c>
      <c r="Y31" s="427">
        <v>287</v>
      </c>
    </row>
    <row r="32" spans="1:25" s="114" customFormat="1">
      <c r="A32" s="738"/>
      <c r="B32" s="967"/>
      <c r="C32" s="967"/>
      <c r="D32" s="967" t="s">
        <v>802</v>
      </c>
      <c r="E32" s="967"/>
      <c r="F32" s="967"/>
      <c r="H32" s="967"/>
      <c r="I32" s="967"/>
      <c r="J32" s="967"/>
      <c r="K32" s="967"/>
      <c r="L32" s="967"/>
    </row>
    <row r="33" spans="1:36" s="114" customFormat="1">
      <c r="A33" s="431" t="s">
        <v>603</v>
      </c>
      <c r="B33" s="967">
        <f t="shared" ref="B33:L33" si="0">((((B13/B5))^(1/8))-1)*100</f>
        <v>0.16781587056557967</v>
      </c>
      <c r="C33" s="967">
        <f t="shared" si="0"/>
        <v>-1.5208455603872961</v>
      </c>
      <c r="D33" s="967">
        <f t="shared" si="0"/>
        <v>-4.118681943513181</v>
      </c>
      <c r="E33" s="967">
        <f t="shared" si="0"/>
        <v>-0.51955432832151427</v>
      </c>
      <c r="F33" s="967">
        <f t="shared" si="0"/>
        <v>-2.1426094052552025</v>
      </c>
      <c r="G33" s="967">
        <f t="shared" si="0"/>
        <v>0.33051339312888395</v>
      </c>
      <c r="H33" s="967">
        <f t="shared" si="0"/>
        <v>-0.9977536736377135</v>
      </c>
      <c r="I33" s="967">
        <f t="shared" si="0"/>
        <v>-0.73280802232998932</v>
      </c>
      <c r="J33" s="967">
        <f t="shared" si="0"/>
        <v>-0.67356160181976099</v>
      </c>
      <c r="K33" s="967">
        <f t="shared" si="0"/>
        <v>5.8488576778950474</v>
      </c>
      <c r="L33" s="967">
        <f t="shared" si="0"/>
        <v>0.48871731891937387</v>
      </c>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row>
    <row r="34" spans="1:36" s="114" customFormat="1">
      <c r="A34" s="431" t="s">
        <v>604</v>
      </c>
      <c r="B34" s="967">
        <f t="shared" ref="B34:L34" si="1">((((B24/B13))^(1/11))-1)*100</f>
        <v>3.0998550667613811</v>
      </c>
      <c r="C34" s="967">
        <f t="shared" si="1"/>
        <v>3.0477174868751344</v>
      </c>
      <c r="D34" s="967">
        <f>((((D24/D13))^(1/11))-1)*100</f>
        <v>3.1061016501513494</v>
      </c>
      <c r="E34" s="967">
        <f t="shared" si="1"/>
        <v>2.398552164280332</v>
      </c>
      <c r="F34" s="967">
        <f t="shared" si="1"/>
        <v>0.47972641558102769</v>
      </c>
      <c r="G34" s="967">
        <f t="shared" si="1"/>
        <v>2.244486657029543</v>
      </c>
      <c r="H34" s="967">
        <f t="shared" si="1"/>
        <v>4.0921448755537826</v>
      </c>
      <c r="I34" s="967">
        <f t="shared" si="1"/>
        <v>1.5302639422327902</v>
      </c>
      <c r="J34" s="967">
        <f t="shared" si="1"/>
        <v>0.65174159776990592</v>
      </c>
      <c r="K34" s="967">
        <f t="shared" si="1"/>
        <v>1.4112350322782241</v>
      </c>
      <c r="L34" s="967">
        <f t="shared" si="1"/>
        <v>5.6792774455987294</v>
      </c>
    </row>
    <row r="35" spans="1:36" s="114" customFormat="1">
      <c r="A35" s="431" t="s">
        <v>447</v>
      </c>
      <c r="B35" s="23">
        <f>((((B31/B5))^(1/26))-1)*100</f>
        <v>0.82562749988854822</v>
      </c>
      <c r="C35" s="23">
        <f t="shared" ref="C35:L35" si="2">((((C31/C5))^(1/26))-1)*100</f>
        <v>-0.64045599175264201</v>
      </c>
      <c r="D35" s="23">
        <f t="shared" si="2"/>
        <v>-1.2857862083551552</v>
      </c>
      <c r="E35" s="23">
        <f t="shared" si="2"/>
        <v>-7.9273512714861383E-2</v>
      </c>
      <c r="F35" s="23">
        <f t="shared" si="2"/>
        <v>-0.66421397930090942</v>
      </c>
      <c r="G35" s="23">
        <f t="shared" si="2"/>
        <v>0.49096832817772107</v>
      </c>
      <c r="H35" s="23">
        <f t="shared" si="2"/>
        <v>1.2557820313514156</v>
      </c>
      <c r="I35" s="23">
        <f t="shared" si="2"/>
        <v>-0.40441279256752116</v>
      </c>
      <c r="J35" s="23">
        <f t="shared" si="2"/>
        <v>-1.0781883223313971</v>
      </c>
      <c r="K35" s="23">
        <f t="shared" si="2"/>
        <v>1.0830439659868185</v>
      </c>
      <c r="L35" s="23">
        <f t="shared" si="2"/>
        <v>1.89856012580778</v>
      </c>
    </row>
    <row r="36" spans="1:36" s="114" customFormat="1">
      <c r="A36" s="431" t="s">
        <v>449</v>
      </c>
      <c r="B36" s="967">
        <f>((((B31/B24))^(1/7))-1)*100</f>
        <v>-1.9162304930984919</v>
      </c>
      <c r="C36" s="967">
        <f t="shared" ref="C36:L36" si="3">((((C31/C24))^(1/7))-1)*100</f>
        <v>-5.2120254616342727</v>
      </c>
      <c r="D36" s="967">
        <f t="shared" si="3"/>
        <v>-4.6930511422059507</v>
      </c>
      <c r="E36" s="967">
        <f t="shared" si="3"/>
        <v>-3.3659458092025085</v>
      </c>
      <c r="F36" s="967">
        <f t="shared" si="3"/>
        <v>-0.74923249025856675</v>
      </c>
      <c r="G36" s="967">
        <f t="shared" si="3"/>
        <v>-2.0252339637168437</v>
      </c>
      <c r="H36" s="967">
        <f t="shared" si="3"/>
        <v>-0.51976180526041027</v>
      </c>
      <c r="I36" s="967">
        <f t="shared" si="3"/>
        <v>-3.0049835643746747</v>
      </c>
      <c r="J36" s="967">
        <f t="shared" si="3"/>
        <v>-4.1848129604431294</v>
      </c>
      <c r="K36" s="967">
        <f t="shared" si="3"/>
        <v>-4.5886618695274546</v>
      </c>
      <c r="L36" s="967">
        <f t="shared" si="3"/>
        <v>-2.2266773405720475</v>
      </c>
    </row>
    <row r="37" spans="1:36" s="114" customFormat="1">
      <c r="A37" s="431"/>
      <c r="D37" s="967" t="s">
        <v>276</v>
      </c>
    </row>
    <row r="38" spans="1:36" s="972" customFormat="1">
      <c r="A38" s="431" t="s">
        <v>447</v>
      </c>
      <c r="B38" s="10">
        <f>(B31/B5-1)*100</f>
        <v>23.835246455097913</v>
      </c>
      <c r="C38" s="10">
        <f t="shared" ref="C38:L38" si="4">(C31/C5-1)*100</f>
        <v>-15.384615384615385</v>
      </c>
      <c r="D38" s="10">
        <f t="shared" si="4"/>
        <v>-28.571428571428569</v>
      </c>
      <c r="E38" s="10">
        <f t="shared" si="4"/>
        <v>-2.0408163265306145</v>
      </c>
      <c r="F38" s="10">
        <f t="shared" si="4"/>
        <v>-15.909090909090907</v>
      </c>
      <c r="G38" s="10">
        <f t="shared" si="4"/>
        <v>13.58024691358024</v>
      </c>
      <c r="H38" s="10">
        <f t="shared" si="4"/>
        <v>38.329764453961459</v>
      </c>
      <c r="I38" s="10">
        <f t="shared" si="4"/>
        <v>-9.9999999999999982</v>
      </c>
      <c r="J38" s="10">
        <f t="shared" si="4"/>
        <v>-24.561403508771928</v>
      </c>
      <c r="K38" s="10">
        <f t="shared" si="4"/>
        <v>32.323232323232332</v>
      </c>
      <c r="L38" s="10">
        <f t="shared" si="4"/>
        <v>63.068181818181813</v>
      </c>
    </row>
    <row r="39" spans="1:36" s="969" customFormat="1" ht="15" customHeight="1"/>
    <row r="40" spans="1:36" s="972" customFormat="1" ht="25.5" customHeight="1">
      <c r="A40" s="1170" t="s">
        <v>1194</v>
      </c>
      <c r="B40" s="1170"/>
      <c r="C40" s="1170"/>
      <c r="D40" s="1170"/>
      <c r="E40" s="1170"/>
      <c r="F40" s="1170"/>
      <c r="G40" s="1170"/>
      <c r="H40" s="1170"/>
      <c r="I40" s="1170"/>
      <c r="J40" s="1170"/>
      <c r="K40" s="1170"/>
      <c r="L40" s="1170"/>
    </row>
    <row r="41" spans="1:36" s="972" customFormat="1">
      <c r="A41" s="13" t="s">
        <v>388</v>
      </c>
      <c r="B41" s="13"/>
      <c r="C41" s="13"/>
      <c r="D41" s="13"/>
      <c r="E41" s="13"/>
      <c r="F41" s="13"/>
      <c r="G41" s="13"/>
      <c r="H41" s="13"/>
      <c r="I41" s="13"/>
      <c r="J41" s="13"/>
      <c r="K41" s="13"/>
      <c r="L41" s="13"/>
    </row>
    <row r="42" spans="1:36" s="974" customFormat="1" ht="39.75" customHeight="1">
      <c r="A42" s="1168" t="s">
        <v>547</v>
      </c>
      <c r="B42" s="1169"/>
      <c r="C42" s="1169"/>
      <c r="D42" s="1169"/>
      <c r="E42" s="1169"/>
      <c r="F42" s="1169"/>
      <c r="G42" s="1169"/>
      <c r="H42" s="1169"/>
      <c r="I42" s="1169"/>
      <c r="J42" s="1169"/>
      <c r="K42" s="1169"/>
      <c r="L42" s="1169"/>
    </row>
    <row r="43" spans="1:36" s="972" customFormat="1">
      <c r="A43" s="4" t="s">
        <v>1868</v>
      </c>
    </row>
    <row r="44" spans="1:36">
      <c r="A44" s="1"/>
      <c r="B44" s="4"/>
    </row>
  </sheetData>
  <mergeCells count="14">
    <mergeCell ref="B1:L1"/>
    <mergeCell ref="A42:L42"/>
    <mergeCell ref="G3:G4"/>
    <mergeCell ref="H3:H4"/>
    <mergeCell ref="I3:I4"/>
    <mergeCell ref="A40:L40"/>
    <mergeCell ref="B3:B4"/>
    <mergeCell ref="C3:C4"/>
    <mergeCell ref="D3:D4"/>
    <mergeCell ref="E3:E4"/>
    <mergeCell ref="J3:J4"/>
    <mergeCell ref="K3:K4"/>
    <mergeCell ref="L3:L4"/>
    <mergeCell ref="F3:F4"/>
  </mergeCells>
  <phoneticPr fontId="35" type="noConversion"/>
  <pageMargins left="0.75" right="0.75" top="1" bottom="1" header="0.5" footer="0.5"/>
  <pageSetup scale="76"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sheetPr codeName="Sheet98">
    <pageSetUpPr fitToPage="1"/>
  </sheetPr>
  <dimension ref="A1:AJ44"/>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7109375" style="1" bestFit="1" customWidth="1"/>
    <col min="3" max="12" width="9.28515625" style="1" bestFit="1" customWidth="1"/>
    <col min="13" max="16384" width="9.140625" style="1"/>
  </cols>
  <sheetData>
    <row r="1" spans="1:25" ht="15.75">
      <c r="A1" s="4"/>
      <c r="B1" s="3" t="s">
        <v>2163</v>
      </c>
      <c r="M1" s="4"/>
      <c r="N1" s="4"/>
    </row>
    <row r="2" spans="1:25">
      <c r="A2" s="4"/>
      <c r="B2" s="4"/>
      <c r="M2" s="4"/>
      <c r="N2" s="4"/>
    </row>
    <row r="3" spans="1:25">
      <c r="B3" s="1166" t="s">
        <v>375</v>
      </c>
      <c r="C3" s="1164" t="s">
        <v>377</v>
      </c>
      <c r="D3" s="1164" t="s">
        <v>386</v>
      </c>
      <c r="E3" s="1164" t="s">
        <v>378</v>
      </c>
      <c r="F3" s="1164" t="s">
        <v>379</v>
      </c>
      <c r="G3" s="1164" t="s">
        <v>380</v>
      </c>
      <c r="H3" s="1164" t="s">
        <v>381</v>
      </c>
      <c r="I3" s="1164" t="s">
        <v>382</v>
      </c>
      <c r="J3" s="1164" t="s">
        <v>383</v>
      </c>
      <c r="K3" s="1164" t="s">
        <v>384</v>
      </c>
      <c r="L3" s="1164" t="s">
        <v>385</v>
      </c>
      <c r="M3" s="4"/>
      <c r="N3" s="4"/>
    </row>
    <row r="4" spans="1:25">
      <c r="A4" s="7"/>
      <c r="B4" s="1167"/>
      <c r="C4" s="1165"/>
      <c r="D4" s="1165"/>
      <c r="E4" s="1165"/>
      <c r="F4" s="1165"/>
      <c r="G4" s="1165"/>
      <c r="H4" s="1165"/>
      <c r="I4" s="1165"/>
      <c r="J4" s="1165"/>
      <c r="K4" s="1165"/>
      <c r="L4" s="1165"/>
      <c r="M4" s="4"/>
      <c r="N4" s="4"/>
    </row>
    <row r="5" spans="1:25" s="972" customFormat="1">
      <c r="A5" s="2">
        <v>1981</v>
      </c>
      <c r="B5" s="428">
        <v>16.2</v>
      </c>
      <c r="C5" s="428">
        <v>16</v>
      </c>
      <c r="D5" s="428">
        <v>16.2</v>
      </c>
      <c r="E5" s="428">
        <v>16.8</v>
      </c>
      <c r="F5" s="428">
        <v>18.899999999999999</v>
      </c>
      <c r="G5" s="428">
        <v>20.399999999999999</v>
      </c>
      <c r="H5" s="428">
        <v>14.3</v>
      </c>
      <c r="I5" s="428">
        <v>18.399999999999999</v>
      </c>
      <c r="J5" s="428">
        <v>15.8</v>
      </c>
      <c r="K5" s="428">
        <v>11.1</v>
      </c>
      <c r="L5" s="428">
        <v>15.7</v>
      </c>
      <c r="M5" s="4"/>
      <c r="N5" s="2">
        <v>1981</v>
      </c>
      <c r="O5" s="428">
        <v>16.2</v>
      </c>
      <c r="P5" s="428">
        <v>16</v>
      </c>
      <c r="Q5" s="428">
        <v>16.2</v>
      </c>
      <c r="R5" s="428">
        <v>16.8</v>
      </c>
      <c r="S5" s="428">
        <v>18.899999999999999</v>
      </c>
      <c r="T5" s="428">
        <v>20.399999999999999</v>
      </c>
      <c r="U5" s="428">
        <v>14.3</v>
      </c>
      <c r="V5" s="428">
        <v>18.399999999999999</v>
      </c>
      <c r="W5" s="428">
        <v>15.8</v>
      </c>
      <c r="X5" s="428">
        <v>11.1</v>
      </c>
      <c r="Y5" s="428">
        <v>15.7</v>
      </c>
    </row>
    <row r="6" spans="1:25" s="972" customFormat="1">
      <c r="A6" s="2">
        <v>1982</v>
      </c>
      <c r="B6" s="428">
        <v>16.600000000000001</v>
      </c>
      <c r="C6" s="428">
        <v>16.5</v>
      </c>
      <c r="D6" s="428">
        <v>14.3</v>
      </c>
      <c r="E6" s="428">
        <v>16</v>
      </c>
      <c r="F6" s="428">
        <v>19.2</v>
      </c>
      <c r="G6" s="428">
        <v>21</v>
      </c>
      <c r="H6" s="428">
        <v>14.5</v>
      </c>
      <c r="I6" s="428">
        <v>19.7</v>
      </c>
      <c r="J6" s="428">
        <v>14.6</v>
      </c>
      <c r="K6" s="428">
        <v>12.1</v>
      </c>
      <c r="L6" s="428">
        <v>16.2</v>
      </c>
      <c r="M6" s="4"/>
      <c r="N6" s="2">
        <v>1982</v>
      </c>
      <c r="O6" s="428">
        <v>16.600000000000001</v>
      </c>
      <c r="P6" s="428">
        <v>16.5</v>
      </c>
      <c r="Q6" s="428">
        <v>14.3</v>
      </c>
      <c r="R6" s="428">
        <v>16</v>
      </c>
      <c r="S6" s="428">
        <v>19.2</v>
      </c>
      <c r="T6" s="428">
        <v>21</v>
      </c>
      <c r="U6" s="428">
        <v>14.5</v>
      </c>
      <c r="V6" s="428">
        <v>19.7</v>
      </c>
      <c r="W6" s="428">
        <v>14.6</v>
      </c>
      <c r="X6" s="428">
        <v>12.1</v>
      </c>
      <c r="Y6" s="428">
        <v>16.2</v>
      </c>
    </row>
    <row r="7" spans="1:25" s="972" customFormat="1">
      <c r="A7" s="2">
        <v>1983</v>
      </c>
      <c r="B7" s="428">
        <v>18.7</v>
      </c>
      <c r="C7" s="428">
        <v>21.6</v>
      </c>
      <c r="D7" s="428">
        <v>14.9</v>
      </c>
      <c r="E7" s="428">
        <v>15.9</v>
      </c>
      <c r="F7" s="428">
        <v>21.9</v>
      </c>
      <c r="G7" s="428">
        <v>21.9</v>
      </c>
      <c r="H7" s="428">
        <v>17.5</v>
      </c>
      <c r="I7" s="428">
        <v>17.5</v>
      </c>
      <c r="J7" s="428">
        <v>16.399999999999999</v>
      </c>
      <c r="K7" s="428">
        <v>17</v>
      </c>
      <c r="L7" s="428">
        <v>17.899999999999999</v>
      </c>
      <c r="M7" s="4"/>
      <c r="N7" s="2">
        <v>1983</v>
      </c>
      <c r="O7" s="428">
        <v>18.7</v>
      </c>
      <c r="P7" s="428">
        <v>21.6</v>
      </c>
      <c r="Q7" s="428">
        <v>14.9</v>
      </c>
      <c r="R7" s="428">
        <v>15.9</v>
      </c>
      <c r="S7" s="428">
        <v>21.9</v>
      </c>
      <c r="T7" s="428">
        <v>21.9</v>
      </c>
      <c r="U7" s="428">
        <v>17.5</v>
      </c>
      <c r="V7" s="428">
        <v>17.5</v>
      </c>
      <c r="W7" s="428">
        <v>16.399999999999999</v>
      </c>
      <c r="X7" s="428">
        <v>17</v>
      </c>
      <c r="Y7" s="428">
        <v>17.899999999999999</v>
      </c>
    </row>
    <row r="8" spans="1:25" s="972" customFormat="1">
      <c r="A8" s="2">
        <v>1984</v>
      </c>
      <c r="B8" s="428">
        <v>17.899999999999999</v>
      </c>
      <c r="C8" s="428">
        <v>17.2</v>
      </c>
      <c r="D8" s="428">
        <v>13.1</v>
      </c>
      <c r="E8" s="428">
        <v>15.7</v>
      </c>
      <c r="F8" s="428">
        <v>18.8</v>
      </c>
      <c r="G8" s="428">
        <v>22.1</v>
      </c>
      <c r="H8" s="428">
        <v>15.4</v>
      </c>
      <c r="I8" s="428">
        <v>17.5</v>
      </c>
      <c r="J8" s="428">
        <v>15.8</v>
      </c>
      <c r="K8" s="428">
        <v>17.8</v>
      </c>
      <c r="L8" s="428">
        <v>18.3</v>
      </c>
      <c r="M8" s="4"/>
      <c r="N8" s="2">
        <v>1984</v>
      </c>
      <c r="O8" s="428">
        <v>17.899999999999999</v>
      </c>
      <c r="P8" s="428">
        <v>17.2</v>
      </c>
      <c r="Q8" s="428">
        <v>13.1</v>
      </c>
      <c r="R8" s="428">
        <v>15.7</v>
      </c>
      <c r="S8" s="428">
        <v>18.8</v>
      </c>
      <c r="T8" s="428">
        <v>22.1</v>
      </c>
      <c r="U8" s="428">
        <v>15.4</v>
      </c>
      <c r="V8" s="428">
        <v>17.5</v>
      </c>
      <c r="W8" s="428">
        <v>15.8</v>
      </c>
      <c r="X8" s="428">
        <v>17.8</v>
      </c>
      <c r="Y8" s="428">
        <v>18.3</v>
      </c>
    </row>
    <row r="9" spans="1:25" s="972" customFormat="1">
      <c r="A9" s="2">
        <v>1985</v>
      </c>
      <c r="B9" s="428">
        <v>17.100000000000001</v>
      </c>
      <c r="C9" s="428">
        <v>18.899999999999999</v>
      </c>
      <c r="D9" s="428">
        <v>12.1</v>
      </c>
      <c r="E9" s="428">
        <v>14.6</v>
      </c>
      <c r="F9" s="428">
        <v>15.5</v>
      </c>
      <c r="G9" s="428">
        <v>21.3</v>
      </c>
      <c r="H9" s="428">
        <v>14</v>
      </c>
      <c r="I9" s="428">
        <v>17.399999999999999</v>
      </c>
      <c r="J9" s="428">
        <v>16.100000000000001</v>
      </c>
      <c r="K9" s="428">
        <v>15.5</v>
      </c>
      <c r="L9" s="428">
        <v>19.7</v>
      </c>
      <c r="M9" s="4"/>
      <c r="N9" s="2">
        <v>1985</v>
      </c>
      <c r="O9" s="428">
        <v>17.100000000000001</v>
      </c>
      <c r="P9" s="428">
        <v>18.899999999999999</v>
      </c>
      <c r="Q9" s="428">
        <v>12.1</v>
      </c>
      <c r="R9" s="428">
        <v>14.6</v>
      </c>
      <c r="S9" s="428">
        <v>15.5</v>
      </c>
      <c r="T9" s="428">
        <v>21.3</v>
      </c>
      <c r="U9" s="428">
        <v>14</v>
      </c>
      <c r="V9" s="428">
        <v>17.399999999999999</v>
      </c>
      <c r="W9" s="428">
        <v>16.100000000000001</v>
      </c>
      <c r="X9" s="428">
        <v>15.5</v>
      </c>
      <c r="Y9" s="428">
        <v>19.7</v>
      </c>
    </row>
    <row r="10" spans="1:25" s="972" customFormat="1">
      <c r="A10" s="2">
        <v>1986</v>
      </c>
      <c r="B10" s="428">
        <v>16.3</v>
      </c>
      <c r="C10" s="428">
        <v>18.2</v>
      </c>
      <c r="D10" s="428">
        <v>10.6</v>
      </c>
      <c r="E10" s="428">
        <v>14.4</v>
      </c>
      <c r="F10" s="428">
        <v>15.5</v>
      </c>
      <c r="G10" s="428">
        <v>21.1</v>
      </c>
      <c r="H10" s="428">
        <v>12.9</v>
      </c>
      <c r="I10" s="428">
        <v>16</v>
      </c>
      <c r="J10" s="428">
        <v>17</v>
      </c>
      <c r="K10" s="428">
        <v>15.3</v>
      </c>
      <c r="L10" s="428">
        <v>17.8</v>
      </c>
      <c r="M10" s="4"/>
      <c r="N10" s="2">
        <v>1986</v>
      </c>
      <c r="O10" s="428">
        <v>16.3</v>
      </c>
      <c r="P10" s="428">
        <v>18.2</v>
      </c>
      <c r="Q10" s="428">
        <v>10.6</v>
      </c>
      <c r="R10" s="428">
        <v>14.4</v>
      </c>
      <c r="S10" s="428">
        <v>15.5</v>
      </c>
      <c r="T10" s="428">
        <v>21.1</v>
      </c>
      <c r="U10" s="428">
        <v>12.9</v>
      </c>
      <c r="V10" s="428">
        <v>16</v>
      </c>
      <c r="W10" s="428">
        <v>17</v>
      </c>
      <c r="X10" s="428">
        <v>15.3</v>
      </c>
      <c r="Y10" s="428">
        <v>17.8</v>
      </c>
    </row>
    <row r="11" spans="1:25" s="972" customFormat="1">
      <c r="A11" s="2">
        <v>1987</v>
      </c>
      <c r="B11" s="428">
        <v>16.100000000000001</v>
      </c>
      <c r="C11" s="428">
        <v>17.2</v>
      </c>
      <c r="D11" s="428">
        <v>10.8</v>
      </c>
      <c r="E11" s="428">
        <v>14.4</v>
      </c>
      <c r="F11" s="428">
        <v>17.2</v>
      </c>
      <c r="G11" s="428">
        <v>20.399999999999999</v>
      </c>
      <c r="H11" s="428">
        <v>12.3</v>
      </c>
      <c r="I11" s="428">
        <v>17.899999999999999</v>
      </c>
      <c r="J11" s="428">
        <v>14.4</v>
      </c>
      <c r="K11" s="428">
        <v>17.2</v>
      </c>
      <c r="L11" s="428">
        <v>17.399999999999999</v>
      </c>
      <c r="M11" s="4"/>
      <c r="N11" s="2">
        <v>1987</v>
      </c>
      <c r="O11" s="428">
        <v>16.100000000000001</v>
      </c>
      <c r="P11" s="428">
        <v>17.2</v>
      </c>
      <c r="Q11" s="428">
        <v>10.8</v>
      </c>
      <c r="R11" s="428">
        <v>14.4</v>
      </c>
      <c r="S11" s="428">
        <v>17.2</v>
      </c>
      <c r="T11" s="428">
        <v>20.399999999999999</v>
      </c>
      <c r="U11" s="428">
        <v>12.3</v>
      </c>
      <c r="V11" s="428">
        <v>17.899999999999999</v>
      </c>
      <c r="W11" s="428">
        <v>14.4</v>
      </c>
      <c r="X11" s="428">
        <v>17.2</v>
      </c>
      <c r="Y11" s="428">
        <v>17.399999999999999</v>
      </c>
    </row>
    <row r="12" spans="1:25" s="972" customFormat="1">
      <c r="A12" s="2">
        <v>1988</v>
      </c>
      <c r="B12" s="428">
        <v>15.2</v>
      </c>
      <c r="C12" s="428">
        <v>14.1</v>
      </c>
      <c r="D12" s="428">
        <v>10.5</v>
      </c>
      <c r="E12" s="428">
        <v>13.8</v>
      </c>
      <c r="F12" s="428">
        <v>14.4</v>
      </c>
      <c r="G12" s="428">
        <v>20.399999999999999</v>
      </c>
      <c r="H12" s="428">
        <v>11.7</v>
      </c>
      <c r="I12" s="428">
        <v>16.899999999999999</v>
      </c>
      <c r="J12" s="428">
        <v>13.8</v>
      </c>
      <c r="K12" s="428">
        <v>15.6</v>
      </c>
      <c r="L12" s="428">
        <v>15.4</v>
      </c>
      <c r="M12" s="4"/>
      <c r="N12" s="2">
        <v>1988</v>
      </c>
      <c r="O12" s="428">
        <v>15.2</v>
      </c>
      <c r="P12" s="428">
        <v>14.1</v>
      </c>
      <c r="Q12" s="428">
        <v>10.5</v>
      </c>
      <c r="R12" s="428">
        <v>13.8</v>
      </c>
      <c r="S12" s="428">
        <v>14.4</v>
      </c>
      <c r="T12" s="428">
        <v>20.399999999999999</v>
      </c>
      <c r="U12" s="428">
        <v>11.7</v>
      </c>
      <c r="V12" s="428">
        <v>16.899999999999999</v>
      </c>
      <c r="W12" s="428">
        <v>13.8</v>
      </c>
      <c r="X12" s="428">
        <v>15.6</v>
      </c>
      <c r="Y12" s="428">
        <v>15.4</v>
      </c>
    </row>
    <row r="13" spans="1:25" s="972" customFormat="1">
      <c r="A13" s="2">
        <v>1989</v>
      </c>
      <c r="B13" s="428">
        <v>14.1</v>
      </c>
      <c r="C13" s="428">
        <v>12.1</v>
      </c>
      <c r="D13" s="428">
        <v>10.6</v>
      </c>
      <c r="E13" s="428">
        <v>14</v>
      </c>
      <c r="F13" s="428">
        <v>13.6</v>
      </c>
      <c r="G13" s="428">
        <v>17.899999999999999</v>
      </c>
      <c r="H13" s="428">
        <v>11</v>
      </c>
      <c r="I13" s="428">
        <v>15.5</v>
      </c>
      <c r="J13" s="428">
        <v>14.1</v>
      </c>
      <c r="K13" s="428">
        <v>16</v>
      </c>
      <c r="L13" s="428">
        <v>13.8</v>
      </c>
      <c r="M13" s="4"/>
      <c r="N13" s="2">
        <v>1989</v>
      </c>
      <c r="O13" s="428">
        <v>14.1</v>
      </c>
      <c r="P13" s="428">
        <v>12.1</v>
      </c>
      <c r="Q13" s="428">
        <v>10.6</v>
      </c>
      <c r="R13" s="428">
        <v>14</v>
      </c>
      <c r="S13" s="428">
        <v>13.6</v>
      </c>
      <c r="T13" s="428">
        <v>17.899999999999999</v>
      </c>
      <c r="U13" s="428">
        <v>11</v>
      </c>
      <c r="V13" s="428">
        <v>15.5</v>
      </c>
      <c r="W13" s="428">
        <v>14.1</v>
      </c>
      <c r="X13" s="428">
        <v>16</v>
      </c>
      <c r="Y13" s="428">
        <v>13.8</v>
      </c>
    </row>
    <row r="14" spans="1:25" s="972" customFormat="1">
      <c r="A14" s="2">
        <v>1990</v>
      </c>
      <c r="B14" s="428">
        <v>15.9</v>
      </c>
      <c r="C14" s="428">
        <v>15.1</v>
      </c>
      <c r="D14" s="428">
        <v>8.9</v>
      </c>
      <c r="E14" s="428">
        <v>11.9</v>
      </c>
      <c r="F14" s="428">
        <v>14</v>
      </c>
      <c r="G14" s="428">
        <v>21.4</v>
      </c>
      <c r="H14" s="428">
        <v>12.4</v>
      </c>
      <c r="I14" s="428">
        <v>17.7</v>
      </c>
      <c r="J14" s="428">
        <v>15</v>
      </c>
      <c r="K14" s="428">
        <v>16.7</v>
      </c>
      <c r="L14" s="428">
        <v>16.2</v>
      </c>
      <c r="M14" s="4"/>
      <c r="N14" s="2">
        <v>1990</v>
      </c>
      <c r="O14" s="428">
        <v>15.9</v>
      </c>
      <c r="P14" s="428">
        <v>15.1</v>
      </c>
      <c r="Q14" s="428">
        <v>8.9</v>
      </c>
      <c r="R14" s="428">
        <v>11.9</v>
      </c>
      <c r="S14" s="428">
        <v>14</v>
      </c>
      <c r="T14" s="428">
        <v>21.4</v>
      </c>
      <c r="U14" s="428">
        <v>12.4</v>
      </c>
      <c r="V14" s="428">
        <v>17.7</v>
      </c>
      <c r="W14" s="428">
        <v>15</v>
      </c>
      <c r="X14" s="428">
        <v>16.7</v>
      </c>
      <c r="Y14" s="428">
        <v>16.2</v>
      </c>
    </row>
    <row r="15" spans="1:25" s="972" customFormat="1">
      <c r="A15" s="2">
        <v>1991</v>
      </c>
      <c r="B15" s="428">
        <v>17.899999999999999</v>
      </c>
      <c r="C15" s="428">
        <v>16.7</v>
      </c>
      <c r="D15" s="428">
        <v>13</v>
      </c>
      <c r="E15" s="428">
        <v>13.9</v>
      </c>
      <c r="F15" s="428">
        <v>15</v>
      </c>
      <c r="G15" s="428">
        <v>23</v>
      </c>
      <c r="H15" s="428">
        <v>14.6</v>
      </c>
      <c r="I15" s="428">
        <v>19.8</v>
      </c>
      <c r="J15" s="428">
        <v>17.2</v>
      </c>
      <c r="K15" s="428">
        <v>17.2</v>
      </c>
      <c r="L15" s="428">
        <v>18.8</v>
      </c>
      <c r="M15" s="4"/>
      <c r="N15" s="2">
        <v>1991</v>
      </c>
      <c r="O15" s="428">
        <v>17.899999999999999</v>
      </c>
      <c r="P15" s="428">
        <v>16.7</v>
      </c>
      <c r="Q15" s="428">
        <v>13</v>
      </c>
      <c r="R15" s="428">
        <v>13.9</v>
      </c>
      <c r="S15" s="428">
        <v>15</v>
      </c>
      <c r="T15" s="428">
        <v>23</v>
      </c>
      <c r="U15" s="428">
        <v>14.6</v>
      </c>
      <c r="V15" s="428">
        <v>19.8</v>
      </c>
      <c r="W15" s="428">
        <v>17.2</v>
      </c>
      <c r="X15" s="428">
        <v>17.2</v>
      </c>
      <c r="Y15" s="428">
        <v>18.8</v>
      </c>
    </row>
    <row r="16" spans="1:25" s="972" customFormat="1">
      <c r="A16" s="2">
        <v>1992</v>
      </c>
      <c r="B16" s="428">
        <v>17.8</v>
      </c>
      <c r="C16" s="428">
        <v>18</v>
      </c>
      <c r="D16" s="428">
        <v>9.6999999999999993</v>
      </c>
      <c r="E16" s="428">
        <v>15.7</v>
      </c>
      <c r="F16" s="428">
        <v>16</v>
      </c>
      <c r="G16" s="428">
        <v>21.6</v>
      </c>
      <c r="H16" s="428">
        <v>14.4</v>
      </c>
      <c r="I16" s="428">
        <v>20.399999999999999</v>
      </c>
      <c r="J16" s="428">
        <v>16.899999999999999</v>
      </c>
      <c r="K16" s="428">
        <v>20.5</v>
      </c>
      <c r="L16" s="428">
        <v>18.399999999999999</v>
      </c>
      <c r="M16" s="4"/>
      <c r="N16" s="2">
        <v>1992</v>
      </c>
      <c r="O16" s="428">
        <v>17.8</v>
      </c>
      <c r="P16" s="428">
        <v>18</v>
      </c>
      <c r="Q16" s="428">
        <v>9.6999999999999993</v>
      </c>
      <c r="R16" s="428">
        <v>15.7</v>
      </c>
      <c r="S16" s="428">
        <v>16</v>
      </c>
      <c r="T16" s="428">
        <v>21.6</v>
      </c>
      <c r="U16" s="428">
        <v>14.4</v>
      </c>
      <c r="V16" s="428">
        <v>20.399999999999999</v>
      </c>
      <c r="W16" s="428">
        <v>16.899999999999999</v>
      </c>
      <c r="X16" s="428">
        <v>20.5</v>
      </c>
      <c r="Y16" s="428">
        <v>18.399999999999999</v>
      </c>
    </row>
    <row r="17" spans="1:25" s="972" customFormat="1">
      <c r="A17" s="2">
        <v>1993</v>
      </c>
      <c r="B17" s="428">
        <v>18.5</v>
      </c>
      <c r="C17" s="428">
        <v>17.100000000000001</v>
      </c>
      <c r="D17" s="428">
        <v>9.4</v>
      </c>
      <c r="E17" s="428">
        <v>15.3</v>
      </c>
      <c r="F17" s="428">
        <v>16</v>
      </c>
      <c r="G17" s="428">
        <v>22.6</v>
      </c>
      <c r="H17" s="428">
        <v>16</v>
      </c>
      <c r="I17" s="428">
        <v>19.7</v>
      </c>
      <c r="J17" s="428">
        <v>17.399999999999999</v>
      </c>
      <c r="K17" s="428">
        <v>19.399999999999999</v>
      </c>
      <c r="L17" s="428">
        <v>18.7</v>
      </c>
      <c r="M17" s="4"/>
      <c r="N17" s="2">
        <v>1993</v>
      </c>
      <c r="O17" s="428">
        <v>18.5</v>
      </c>
      <c r="P17" s="428">
        <v>17.100000000000001</v>
      </c>
      <c r="Q17" s="428">
        <v>9.4</v>
      </c>
      <c r="R17" s="428">
        <v>15.3</v>
      </c>
      <c r="S17" s="428">
        <v>16</v>
      </c>
      <c r="T17" s="428">
        <v>22.6</v>
      </c>
      <c r="U17" s="428">
        <v>16</v>
      </c>
      <c r="V17" s="428">
        <v>19.7</v>
      </c>
      <c r="W17" s="428">
        <v>17.399999999999999</v>
      </c>
      <c r="X17" s="428">
        <v>19.399999999999999</v>
      </c>
      <c r="Y17" s="428">
        <v>18.7</v>
      </c>
    </row>
    <row r="18" spans="1:25" s="972" customFormat="1">
      <c r="A18" s="2">
        <v>1994</v>
      </c>
      <c r="B18" s="428">
        <v>18.399999999999999</v>
      </c>
      <c r="C18" s="428">
        <v>17</v>
      </c>
      <c r="D18" s="428">
        <v>10.3</v>
      </c>
      <c r="E18" s="428">
        <v>17</v>
      </c>
      <c r="F18" s="428">
        <v>16.399999999999999</v>
      </c>
      <c r="G18" s="428">
        <v>23</v>
      </c>
      <c r="H18" s="428">
        <v>15.3</v>
      </c>
      <c r="I18" s="428">
        <v>20.2</v>
      </c>
      <c r="J18" s="428">
        <v>16</v>
      </c>
      <c r="K18" s="428">
        <v>18.3</v>
      </c>
      <c r="L18" s="428">
        <v>19.3</v>
      </c>
      <c r="M18" s="4"/>
      <c r="N18" s="2">
        <v>1994</v>
      </c>
      <c r="O18" s="428">
        <v>18.399999999999999</v>
      </c>
      <c r="P18" s="428">
        <v>17</v>
      </c>
      <c r="Q18" s="428">
        <v>10.3</v>
      </c>
      <c r="R18" s="428">
        <v>17</v>
      </c>
      <c r="S18" s="428">
        <v>16.399999999999999</v>
      </c>
      <c r="T18" s="428">
        <v>23</v>
      </c>
      <c r="U18" s="428">
        <v>15.3</v>
      </c>
      <c r="V18" s="428">
        <v>20.2</v>
      </c>
      <c r="W18" s="428">
        <v>16</v>
      </c>
      <c r="X18" s="428">
        <v>18.3</v>
      </c>
      <c r="Y18" s="428">
        <v>19.3</v>
      </c>
    </row>
    <row r="19" spans="1:25" s="972" customFormat="1">
      <c r="A19" s="2">
        <v>1995</v>
      </c>
      <c r="B19" s="428">
        <v>18.5</v>
      </c>
      <c r="C19" s="428">
        <v>18.5</v>
      </c>
      <c r="D19" s="428">
        <v>12.3</v>
      </c>
      <c r="E19" s="428">
        <v>17.8</v>
      </c>
      <c r="F19" s="428">
        <v>15.4</v>
      </c>
      <c r="G19" s="428">
        <v>23.1</v>
      </c>
      <c r="H19" s="428">
        <v>16</v>
      </c>
      <c r="I19" s="428">
        <v>19.399999999999999</v>
      </c>
      <c r="J19" s="428">
        <v>16</v>
      </c>
      <c r="K19" s="428">
        <v>17.8</v>
      </c>
      <c r="L19" s="428">
        <v>18.3</v>
      </c>
      <c r="M19" s="4"/>
      <c r="N19" s="2">
        <v>1995</v>
      </c>
      <c r="O19" s="428">
        <v>18.5</v>
      </c>
      <c r="P19" s="428">
        <v>18.5</v>
      </c>
      <c r="Q19" s="428">
        <v>12.3</v>
      </c>
      <c r="R19" s="428">
        <v>17.8</v>
      </c>
      <c r="S19" s="428">
        <v>15.4</v>
      </c>
      <c r="T19" s="428">
        <v>23.1</v>
      </c>
      <c r="U19" s="428">
        <v>16</v>
      </c>
      <c r="V19" s="428">
        <v>19.399999999999999</v>
      </c>
      <c r="W19" s="428">
        <v>16</v>
      </c>
      <c r="X19" s="428">
        <v>17.8</v>
      </c>
      <c r="Y19" s="428">
        <v>18.3</v>
      </c>
    </row>
    <row r="20" spans="1:25" s="972" customFormat="1">
      <c r="A20" s="2">
        <v>1996</v>
      </c>
      <c r="B20" s="428">
        <v>19.5</v>
      </c>
      <c r="C20" s="428">
        <v>18.5</v>
      </c>
      <c r="D20" s="428">
        <v>12.3</v>
      </c>
      <c r="E20" s="428">
        <v>16.600000000000001</v>
      </c>
      <c r="F20" s="428">
        <v>15.9</v>
      </c>
      <c r="G20" s="428">
        <v>24</v>
      </c>
      <c r="H20" s="428">
        <v>17.600000000000001</v>
      </c>
      <c r="I20" s="428">
        <v>19.100000000000001</v>
      </c>
      <c r="J20" s="428">
        <v>16</v>
      </c>
      <c r="K20" s="428">
        <v>18</v>
      </c>
      <c r="L20" s="428">
        <v>19.8</v>
      </c>
      <c r="M20" s="4"/>
      <c r="N20" s="2">
        <v>1996</v>
      </c>
      <c r="O20" s="428">
        <v>19.5</v>
      </c>
      <c r="P20" s="428">
        <v>18.5</v>
      </c>
      <c r="Q20" s="428">
        <v>12.3</v>
      </c>
      <c r="R20" s="428">
        <v>16.600000000000001</v>
      </c>
      <c r="S20" s="428">
        <v>15.9</v>
      </c>
      <c r="T20" s="428">
        <v>24</v>
      </c>
      <c r="U20" s="428">
        <v>17.600000000000001</v>
      </c>
      <c r="V20" s="428">
        <v>19.100000000000001</v>
      </c>
      <c r="W20" s="428">
        <v>16</v>
      </c>
      <c r="X20" s="428">
        <v>18</v>
      </c>
      <c r="Y20" s="428">
        <v>19.8</v>
      </c>
    </row>
    <row r="21" spans="1:25" s="972" customFormat="1">
      <c r="A21" s="2">
        <v>1997</v>
      </c>
      <c r="B21" s="428">
        <v>19.5</v>
      </c>
      <c r="C21" s="428">
        <v>17.3</v>
      </c>
      <c r="D21" s="428">
        <v>12.1</v>
      </c>
      <c r="E21" s="428">
        <v>17.7</v>
      </c>
      <c r="F21" s="428">
        <v>17.899999999999999</v>
      </c>
      <c r="G21" s="428">
        <v>24.3</v>
      </c>
      <c r="H21" s="428">
        <v>17.100000000000001</v>
      </c>
      <c r="I21" s="428">
        <v>20.8</v>
      </c>
      <c r="J21" s="428">
        <v>14.3</v>
      </c>
      <c r="K21" s="428">
        <v>18</v>
      </c>
      <c r="L21" s="428">
        <v>20.100000000000001</v>
      </c>
      <c r="M21" s="4"/>
      <c r="N21" s="2">
        <v>1997</v>
      </c>
      <c r="O21" s="428">
        <v>19.5</v>
      </c>
      <c r="P21" s="428">
        <v>17.3</v>
      </c>
      <c r="Q21" s="428">
        <v>12.1</v>
      </c>
      <c r="R21" s="428">
        <v>17.7</v>
      </c>
      <c r="S21" s="428">
        <v>17.899999999999999</v>
      </c>
      <c r="T21" s="428">
        <v>24.3</v>
      </c>
      <c r="U21" s="428">
        <v>17.100000000000001</v>
      </c>
      <c r="V21" s="428">
        <v>20.8</v>
      </c>
      <c r="W21" s="428">
        <v>14.3</v>
      </c>
      <c r="X21" s="428">
        <v>18</v>
      </c>
      <c r="Y21" s="428">
        <v>20.100000000000001</v>
      </c>
    </row>
    <row r="22" spans="1:25" s="972" customFormat="1">
      <c r="A22" s="2">
        <v>1998</v>
      </c>
      <c r="B22" s="428">
        <v>18.2</v>
      </c>
      <c r="C22" s="428">
        <v>17</v>
      </c>
      <c r="D22" s="428">
        <v>12.8</v>
      </c>
      <c r="E22" s="428">
        <v>18.5</v>
      </c>
      <c r="F22" s="428">
        <v>15.2</v>
      </c>
      <c r="G22" s="428">
        <v>22.2</v>
      </c>
      <c r="H22" s="428">
        <v>15.3</v>
      </c>
      <c r="I22" s="428">
        <v>18.100000000000001</v>
      </c>
      <c r="J22" s="428">
        <v>15.6</v>
      </c>
      <c r="K22" s="428">
        <v>18</v>
      </c>
      <c r="L22" s="428">
        <v>20.3</v>
      </c>
      <c r="M22" s="4"/>
      <c r="N22" s="2">
        <v>1998</v>
      </c>
      <c r="O22" s="428">
        <v>18.2</v>
      </c>
      <c r="P22" s="428">
        <v>17</v>
      </c>
      <c r="Q22" s="428">
        <v>12.8</v>
      </c>
      <c r="R22" s="428">
        <v>18.5</v>
      </c>
      <c r="S22" s="428">
        <v>15.2</v>
      </c>
      <c r="T22" s="428">
        <v>22.2</v>
      </c>
      <c r="U22" s="428">
        <v>15.3</v>
      </c>
      <c r="V22" s="428">
        <v>18.100000000000001</v>
      </c>
      <c r="W22" s="428">
        <v>15.6</v>
      </c>
      <c r="X22" s="428">
        <v>18</v>
      </c>
      <c r="Y22" s="428">
        <v>20.3</v>
      </c>
    </row>
    <row r="23" spans="1:25" s="972" customFormat="1">
      <c r="A23" s="2">
        <v>1999</v>
      </c>
      <c r="B23" s="428">
        <v>17.5</v>
      </c>
      <c r="C23" s="428">
        <v>17.8</v>
      </c>
      <c r="D23" s="428">
        <v>14.7</v>
      </c>
      <c r="E23" s="428">
        <v>16.2</v>
      </c>
      <c r="F23" s="428">
        <v>13.5</v>
      </c>
      <c r="G23" s="428">
        <v>20.5</v>
      </c>
      <c r="H23" s="428">
        <v>15.2</v>
      </c>
      <c r="I23" s="428">
        <v>18.5</v>
      </c>
      <c r="J23" s="428">
        <v>14.1</v>
      </c>
      <c r="K23" s="428">
        <v>16.3</v>
      </c>
      <c r="L23" s="428">
        <v>21</v>
      </c>
      <c r="M23" s="4"/>
      <c r="N23" s="2">
        <v>1999</v>
      </c>
      <c r="O23" s="428">
        <v>17.5</v>
      </c>
      <c r="P23" s="428">
        <v>17.8</v>
      </c>
      <c r="Q23" s="428">
        <v>14.7</v>
      </c>
      <c r="R23" s="428">
        <v>16.2</v>
      </c>
      <c r="S23" s="428">
        <v>13.5</v>
      </c>
      <c r="T23" s="428">
        <v>20.5</v>
      </c>
      <c r="U23" s="428">
        <v>15.2</v>
      </c>
      <c r="V23" s="428">
        <v>18.5</v>
      </c>
      <c r="W23" s="428">
        <v>14.1</v>
      </c>
      <c r="X23" s="428">
        <v>16.3</v>
      </c>
      <c r="Y23" s="428">
        <v>21</v>
      </c>
    </row>
    <row r="24" spans="1:25" s="972" customFormat="1">
      <c r="A24" s="2">
        <v>2000</v>
      </c>
      <c r="B24" s="428">
        <v>16.8</v>
      </c>
      <c r="C24" s="428">
        <v>16.100000000000001</v>
      </c>
      <c r="D24" s="428">
        <v>13.4</v>
      </c>
      <c r="E24" s="428">
        <v>15.8</v>
      </c>
      <c r="F24" s="428">
        <v>13.1</v>
      </c>
      <c r="G24" s="428">
        <v>20.100000000000001</v>
      </c>
      <c r="H24" s="428">
        <v>14.5</v>
      </c>
      <c r="I24" s="428">
        <v>17.3</v>
      </c>
      <c r="J24" s="428">
        <v>14.5</v>
      </c>
      <c r="K24" s="428">
        <v>15</v>
      </c>
      <c r="L24" s="428">
        <v>19.8</v>
      </c>
      <c r="M24" s="4"/>
      <c r="N24" s="2">
        <v>2000</v>
      </c>
      <c r="O24" s="428">
        <v>16.8</v>
      </c>
      <c r="P24" s="428">
        <v>16.100000000000001</v>
      </c>
      <c r="Q24" s="428">
        <v>13.4</v>
      </c>
      <c r="R24" s="428">
        <v>15.8</v>
      </c>
      <c r="S24" s="428">
        <v>13.1</v>
      </c>
      <c r="T24" s="428">
        <v>20.100000000000001</v>
      </c>
      <c r="U24" s="428">
        <v>14.5</v>
      </c>
      <c r="V24" s="428">
        <v>17.3</v>
      </c>
      <c r="W24" s="428">
        <v>14.5</v>
      </c>
      <c r="X24" s="428">
        <v>15</v>
      </c>
      <c r="Y24" s="428">
        <v>19.8</v>
      </c>
    </row>
    <row r="25" spans="1:25" s="972" customFormat="1">
      <c r="A25" s="2">
        <v>2001</v>
      </c>
      <c r="B25" s="428">
        <v>15.5</v>
      </c>
      <c r="C25" s="428">
        <v>14.4</v>
      </c>
      <c r="D25" s="428">
        <v>11.1</v>
      </c>
      <c r="E25" s="428">
        <v>14.1</v>
      </c>
      <c r="F25" s="428">
        <v>12.8</v>
      </c>
      <c r="G25" s="428">
        <v>18.8</v>
      </c>
      <c r="H25" s="428">
        <v>13.1</v>
      </c>
      <c r="I25" s="428">
        <v>14.8</v>
      </c>
      <c r="J25" s="428">
        <v>13.4</v>
      </c>
      <c r="K25" s="428">
        <v>13.5</v>
      </c>
      <c r="L25" s="428">
        <v>19.100000000000001</v>
      </c>
      <c r="M25" s="4"/>
      <c r="N25" s="2">
        <v>2001</v>
      </c>
      <c r="O25" s="428">
        <v>15.5</v>
      </c>
      <c r="P25" s="428">
        <v>14.4</v>
      </c>
      <c r="Q25" s="428">
        <v>11.1</v>
      </c>
      <c r="R25" s="428">
        <v>14.1</v>
      </c>
      <c r="S25" s="428">
        <v>12.8</v>
      </c>
      <c r="T25" s="428">
        <v>18.8</v>
      </c>
      <c r="U25" s="428">
        <v>13.1</v>
      </c>
      <c r="V25" s="428">
        <v>14.8</v>
      </c>
      <c r="W25" s="428">
        <v>13.4</v>
      </c>
      <c r="X25" s="428">
        <v>13.5</v>
      </c>
      <c r="Y25" s="428">
        <v>19.100000000000001</v>
      </c>
    </row>
    <row r="26" spans="1:25" s="972" customFormat="1">
      <c r="A26" s="2">
        <v>2002</v>
      </c>
      <c r="B26" s="428">
        <v>15.6</v>
      </c>
      <c r="C26" s="428">
        <v>15.6</v>
      </c>
      <c r="D26" s="428">
        <v>11.2</v>
      </c>
      <c r="E26" s="428">
        <v>13.6</v>
      </c>
      <c r="F26" s="428">
        <v>13.3</v>
      </c>
      <c r="G26" s="428">
        <v>17.100000000000001</v>
      </c>
      <c r="H26" s="428">
        <v>14.1</v>
      </c>
      <c r="I26" s="428">
        <v>15.2</v>
      </c>
      <c r="J26" s="428">
        <v>12.4</v>
      </c>
      <c r="K26" s="428">
        <v>13.5</v>
      </c>
      <c r="L26" s="428">
        <v>20</v>
      </c>
      <c r="M26" s="4"/>
      <c r="N26" s="2">
        <v>2002</v>
      </c>
      <c r="O26" s="428">
        <v>15.6</v>
      </c>
      <c r="P26" s="428">
        <v>15.6</v>
      </c>
      <c r="Q26" s="428">
        <v>11.2</v>
      </c>
      <c r="R26" s="428">
        <v>13.6</v>
      </c>
      <c r="S26" s="428">
        <v>13.3</v>
      </c>
      <c r="T26" s="428">
        <v>17.100000000000001</v>
      </c>
      <c r="U26" s="428">
        <v>14.1</v>
      </c>
      <c r="V26" s="428">
        <v>15.2</v>
      </c>
      <c r="W26" s="428">
        <v>12.4</v>
      </c>
      <c r="X26" s="428">
        <v>13.5</v>
      </c>
      <c r="Y26" s="428">
        <v>20</v>
      </c>
    </row>
    <row r="27" spans="1:25" s="972" customFormat="1">
      <c r="A27" s="2">
        <v>2003</v>
      </c>
      <c r="B27" s="428">
        <v>15.6</v>
      </c>
      <c r="C27" s="428">
        <v>16.399999999999999</v>
      </c>
      <c r="D27" s="428">
        <v>10.8</v>
      </c>
      <c r="E27" s="428">
        <v>14.7</v>
      </c>
      <c r="F27" s="428">
        <v>12.8</v>
      </c>
      <c r="G27" s="428">
        <v>17</v>
      </c>
      <c r="H27" s="428">
        <v>14</v>
      </c>
      <c r="I27" s="428">
        <v>15.5</v>
      </c>
      <c r="J27" s="428">
        <v>12.8</v>
      </c>
      <c r="K27" s="428">
        <v>15.1</v>
      </c>
      <c r="L27" s="428">
        <v>19.100000000000001</v>
      </c>
      <c r="M27" s="4"/>
      <c r="N27" s="2">
        <v>2003</v>
      </c>
      <c r="O27" s="428">
        <v>15.6</v>
      </c>
      <c r="P27" s="428">
        <v>16.399999999999999</v>
      </c>
      <c r="Q27" s="428">
        <v>10.8</v>
      </c>
      <c r="R27" s="428">
        <v>14.7</v>
      </c>
      <c r="S27" s="428">
        <v>12.8</v>
      </c>
      <c r="T27" s="428">
        <v>17</v>
      </c>
      <c r="U27" s="428">
        <v>14</v>
      </c>
      <c r="V27" s="428">
        <v>15.5</v>
      </c>
      <c r="W27" s="428">
        <v>12.8</v>
      </c>
      <c r="X27" s="428">
        <v>15.1</v>
      </c>
      <c r="Y27" s="428">
        <v>19.100000000000001</v>
      </c>
    </row>
    <row r="28" spans="1:25" s="972" customFormat="1">
      <c r="A28" s="2">
        <v>2004</v>
      </c>
      <c r="B28" s="428">
        <v>15.4</v>
      </c>
      <c r="C28" s="428">
        <v>15.1</v>
      </c>
      <c r="D28" s="428">
        <v>8.8000000000000007</v>
      </c>
      <c r="E28" s="428">
        <v>14.4</v>
      </c>
      <c r="F28" s="428">
        <v>12.4</v>
      </c>
      <c r="G28" s="428">
        <v>16.3</v>
      </c>
      <c r="H28" s="428">
        <v>14.7</v>
      </c>
      <c r="I28" s="428">
        <v>15.4</v>
      </c>
      <c r="J28" s="428">
        <v>13.9</v>
      </c>
      <c r="K28" s="428">
        <v>14.3</v>
      </c>
      <c r="L28" s="428">
        <v>17.8</v>
      </c>
      <c r="M28" s="4"/>
      <c r="N28" s="2">
        <v>2004</v>
      </c>
      <c r="O28" s="428">
        <v>15.4</v>
      </c>
      <c r="P28" s="428">
        <v>15.1</v>
      </c>
      <c r="Q28" s="428">
        <v>8.8000000000000007</v>
      </c>
      <c r="R28" s="428">
        <v>14.4</v>
      </c>
      <c r="S28" s="428">
        <v>12.4</v>
      </c>
      <c r="T28" s="428">
        <v>16.3</v>
      </c>
      <c r="U28" s="428">
        <v>14.7</v>
      </c>
      <c r="V28" s="428">
        <v>15.4</v>
      </c>
      <c r="W28" s="428">
        <v>13.9</v>
      </c>
      <c r="X28" s="428">
        <v>14.3</v>
      </c>
      <c r="Y28" s="428">
        <v>17.8</v>
      </c>
    </row>
    <row r="29" spans="1:25" s="972" customFormat="1">
      <c r="A29" s="2">
        <v>2005</v>
      </c>
      <c r="B29" s="428">
        <v>15.2</v>
      </c>
      <c r="C29" s="428">
        <v>11.6</v>
      </c>
      <c r="D29" s="428">
        <v>9.4</v>
      </c>
      <c r="E29" s="428">
        <v>13</v>
      </c>
      <c r="F29" s="428">
        <v>14</v>
      </c>
      <c r="G29" s="428">
        <v>17.7</v>
      </c>
      <c r="H29" s="428">
        <v>14</v>
      </c>
      <c r="I29" s="428">
        <v>16.399999999999999</v>
      </c>
      <c r="J29" s="428">
        <v>14.1</v>
      </c>
      <c r="K29" s="428">
        <v>12.1</v>
      </c>
      <c r="L29" s="428">
        <v>17.3</v>
      </c>
      <c r="M29" s="4"/>
      <c r="N29" s="4">
        <v>2005</v>
      </c>
      <c r="O29" s="428">
        <v>15.2</v>
      </c>
      <c r="P29" s="428">
        <v>11.6</v>
      </c>
      <c r="Q29" s="428">
        <v>9.4</v>
      </c>
      <c r="R29" s="428">
        <v>13</v>
      </c>
      <c r="S29" s="428">
        <v>14</v>
      </c>
      <c r="T29" s="428">
        <v>17.7</v>
      </c>
      <c r="U29" s="428">
        <v>14</v>
      </c>
      <c r="V29" s="428">
        <v>16.399999999999999</v>
      </c>
      <c r="W29" s="428">
        <v>14.1</v>
      </c>
      <c r="X29" s="428">
        <v>12.1</v>
      </c>
      <c r="Y29" s="428">
        <v>17.3</v>
      </c>
    </row>
    <row r="30" spans="1:25" s="972" customFormat="1">
      <c r="A30" s="2">
        <v>2006</v>
      </c>
      <c r="B30" s="428">
        <v>14.6</v>
      </c>
      <c r="C30" s="428">
        <v>11.7</v>
      </c>
      <c r="D30" s="428">
        <v>9.6</v>
      </c>
      <c r="E30" s="428">
        <v>12.9</v>
      </c>
      <c r="F30" s="428">
        <v>12.7</v>
      </c>
      <c r="G30" s="428">
        <v>17</v>
      </c>
      <c r="H30" s="428">
        <v>14</v>
      </c>
      <c r="I30" s="428">
        <v>14.3</v>
      </c>
      <c r="J30" s="428">
        <v>13</v>
      </c>
      <c r="K30" s="428">
        <v>10.7</v>
      </c>
      <c r="L30" s="428">
        <v>16.600000000000001</v>
      </c>
      <c r="M30" s="4"/>
      <c r="N30" s="4">
        <v>2006</v>
      </c>
      <c r="O30" s="428">
        <v>14.6</v>
      </c>
      <c r="P30" s="428">
        <v>11.7</v>
      </c>
      <c r="Q30" s="428">
        <v>9.6</v>
      </c>
      <c r="R30" s="428">
        <v>12.9</v>
      </c>
      <c r="S30" s="428">
        <v>12.7</v>
      </c>
      <c r="T30" s="428">
        <v>17</v>
      </c>
      <c r="U30" s="428">
        <v>14</v>
      </c>
      <c r="V30" s="428">
        <v>14.3</v>
      </c>
      <c r="W30" s="428">
        <v>13</v>
      </c>
      <c r="X30" s="428">
        <v>10.7</v>
      </c>
      <c r="Y30" s="428">
        <v>16.600000000000001</v>
      </c>
    </row>
    <row r="31" spans="1:25" s="114" customFormat="1">
      <c r="A31" s="2">
        <v>2007</v>
      </c>
      <c r="B31" s="428">
        <v>13.3</v>
      </c>
      <c r="C31" s="428">
        <v>10.6</v>
      </c>
      <c r="D31" s="428">
        <v>8</v>
      </c>
      <c r="E31" s="428">
        <v>11.8</v>
      </c>
      <c r="F31" s="428">
        <v>11.5</v>
      </c>
      <c r="G31" s="428">
        <v>15.8</v>
      </c>
      <c r="H31" s="428">
        <v>12.6</v>
      </c>
      <c r="I31" s="428">
        <v>13.3</v>
      </c>
      <c r="J31" s="428">
        <v>10.5</v>
      </c>
      <c r="K31" s="428">
        <v>8.9</v>
      </c>
      <c r="L31" s="428">
        <v>15.3</v>
      </c>
      <c r="N31" s="4">
        <v>2007</v>
      </c>
      <c r="O31" s="428">
        <v>13.3</v>
      </c>
      <c r="P31" s="428">
        <v>10.6</v>
      </c>
      <c r="Q31" s="428">
        <v>8</v>
      </c>
      <c r="R31" s="428">
        <v>11.8</v>
      </c>
      <c r="S31" s="428">
        <v>11.5</v>
      </c>
      <c r="T31" s="428">
        <v>15.8</v>
      </c>
      <c r="U31" s="428">
        <v>12.6</v>
      </c>
      <c r="V31" s="428">
        <v>13.3</v>
      </c>
      <c r="W31" s="428">
        <v>10.5</v>
      </c>
      <c r="X31" s="428">
        <v>8.9</v>
      </c>
      <c r="Y31" s="428">
        <v>15.3</v>
      </c>
    </row>
    <row r="32" spans="1:25" s="114" customFormat="1">
      <c r="A32" s="738"/>
      <c r="B32" s="967"/>
      <c r="C32" s="967"/>
      <c r="D32" s="967" t="s">
        <v>802</v>
      </c>
      <c r="E32" s="967"/>
      <c r="F32" s="967"/>
      <c r="H32" s="967"/>
      <c r="I32" s="967"/>
      <c r="J32" s="967"/>
      <c r="K32" s="967"/>
      <c r="L32" s="967"/>
    </row>
    <row r="33" spans="1:36" s="114" customFormat="1">
      <c r="A33" s="431" t="s">
        <v>603</v>
      </c>
      <c r="B33" s="967">
        <f t="shared" ref="B33:L33" si="0">((((B13/B5))^(1/8))-1)*100</f>
        <v>-1.7204832682709559</v>
      </c>
      <c r="C33" s="967">
        <f t="shared" si="0"/>
        <v>-3.432014110068049</v>
      </c>
      <c r="D33" s="967">
        <f t="shared" si="0"/>
        <v>-5.1638627876467886</v>
      </c>
      <c r="E33" s="967">
        <f t="shared" si="0"/>
        <v>-2.253245976944751</v>
      </c>
      <c r="F33" s="967">
        <f t="shared" si="0"/>
        <v>-4.0301893300908382</v>
      </c>
      <c r="G33" s="967">
        <f t="shared" si="0"/>
        <v>-1.6208971112783299</v>
      </c>
      <c r="H33" s="967">
        <f t="shared" si="0"/>
        <v>-3.2263590534653663</v>
      </c>
      <c r="I33" s="967">
        <f t="shared" si="0"/>
        <v>-2.1210651901977129</v>
      </c>
      <c r="J33" s="967">
        <f t="shared" si="0"/>
        <v>-1.4128633501786392</v>
      </c>
      <c r="K33" s="967">
        <f t="shared" si="0"/>
        <v>4.6766042428231014</v>
      </c>
      <c r="L33" s="967">
        <f t="shared" si="0"/>
        <v>-1.5994718950328779</v>
      </c>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row>
    <row r="34" spans="1:36" s="114" customFormat="1">
      <c r="A34" s="431" t="s">
        <v>604</v>
      </c>
      <c r="B34" s="967">
        <f t="shared" ref="B34:L34" si="1">((((B24/B13))^(1/11))-1)*100</f>
        <v>1.6055165522945725</v>
      </c>
      <c r="C34" s="967">
        <f t="shared" si="1"/>
        <v>2.6304917017212937</v>
      </c>
      <c r="D34" s="967">
        <f t="shared" si="1"/>
        <v>2.1537816426408396</v>
      </c>
      <c r="E34" s="967">
        <f t="shared" si="1"/>
        <v>1.1056366659069949</v>
      </c>
      <c r="F34" s="967">
        <f t="shared" si="1"/>
        <v>-0.33994417273311983</v>
      </c>
      <c r="G34" s="967">
        <f t="shared" si="1"/>
        <v>1.0593821539936599</v>
      </c>
      <c r="H34" s="967">
        <f t="shared" si="1"/>
        <v>2.5431954999517226</v>
      </c>
      <c r="I34" s="967">
        <f t="shared" si="1"/>
        <v>1.0037906763659121</v>
      </c>
      <c r="J34" s="967">
        <f t="shared" si="1"/>
        <v>0.25463138227403981</v>
      </c>
      <c r="K34" s="967">
        <f t="shared" si="1"/>
        <v>-0.58499602411440366</v>
      </c>
      <c r="L34" s="967">
        <f t="shared" si="1"/>
        <v>3.3363891751890584</v>
      </c>
    </row>
    <row r="35" spans="1:36" s="114" customFormat="1">
      <c r="A35" s="431" t="s">
        <v>447</v>
      </c>
      <c r="B35" s="23">
        <f>((((B31/B5))^(1/26))-1)*100</f>
        <v>-0.75577267046010865</v>
      </c>
      <c r="C35" s="23">
        <f t="shared" ref="C35:L35" si="2">((((C31/C5))^(1/26))-1)*100</f>
        <v>-1.5711221414132281</v>
      </c>
      <c r="D35" s="23">
        <f t="shared" si="2"/>
        <v>-2.6772388077709541</v>
      </c>
      <c r="E35" s="23">
        <f t="shared" si="2"/>
        <v>-1.3495771830366987</v>
      </c>
      <c r="F35" s="23">
        <f t="shared" si="2"/>
        <v>-1.8926859266043983</v>
      </c>
      <c r="G35" s="23">
        <f t="shared" si="2"/>
        <v>-0.97797472853035083</v>
      </c>
      <c r="H35" s="23">
        <f t="shared" si="2"/>
        <v>-0.48559685269959907</v>
      </c>
      <c r="I35" s="23">
        <f t="shared" si="2"/>
        <v>-1.2406498010510636</v>
      </c>
      <c r="J35" s="23">
        <f t="shared" si="2"/>
        <v>-1.5593855461024653</v>
      </c>
      <c r="K35" s="23">
        <f t="shared" si="2"/>
        <v>-0.84599282898156769</v>
      </c>
      <c r="L35" s="23">
        <f t="shared" si="2"/>
        <v>-9.9211844611801769E-2</v>
      </c>
    </row>
    <row r="36" spans="1:36" s="114" customFormat="1">
      <c r="A36" s="431" t="s">
        <v>449</v>
      </c>
      <c r="B36" s="967">
        <f>((((B31/B24))^(1/7))-1)*100</f>
        <v>-3.2822797106580648</v>
      </c>
      <c r="C36" s="967">
        <f t="shared" ref="C36:L36" si="3">((((C31/C24))^(1/6))-1)*100</f>
        <v>-6.7289931663131348</v>
      </c>
      <c r="D36" s="967">
        <f t="shared" si="3"/>
        <v>-8.2377195257642644</v>
      </c>
      <c r="E36" s="967">
        <f t="shared" si="3"/>
        <v>-4.7487200960944946</v>
      </c>
      <c r="F36" s="967">
        <f t="shared" si="3"/>
        <v>-2.1476881353510668</v>
      </c>
      <c r="G36" s="967">
        <f t="shared" si="3"/>
        <v>-3.9324227529110689</v>
      </c>
      <c r="H36" s="967">
        <f t="shared" si="3"/>
        <v>-2.313678244663242</v>
      </c>
      <c r="I36" s="967">
        <f t="shared" si="3"/>
        <v>-4.2877359147973415</v>
      </c>
      <c r="J36" s="967">
        <f t="shared" si="3"/>
        <v>-5.2374185773248705</v>
      </c>
      <c r="K36" s="967">
        <f t="shared" si="3"/>
        <v>-8.3322740031703262</v>
      </c>
      <c r="L36" s="967">
        <f t="shared" si="3"/>
        <v>-4.2061326520101865</v>
      </c>
    </row>
    <row r="37" spans="1:36" s="114" customFormat="1">
      <c r="A37" s="431"/>
      <c r="D37" s="967" t="s">
        <v>276</v>
      </c>
    </row>
    <row r="38" spans="1:36" s="972" customFormat="1">
      <c r="A38" s="431" t="s">
        <v>447</v>
      </c>
      <c r="B38" s="10">
        <f>(B31/B5-1)*100</f>
        <v>-17.901234567901227</v>
      </c>
      <c r="C38" s="10">
        <f t="shared" ref="C38:L38" si="4">(C31/C5-1)*100</f>
        <v>-33.75</v>
      </c>
      <c r="D38" s="10">
        <f t="shared" si="4"/>
        <v>-50.617283950617285</v>
      </c>
      <c r="E38" s="10">
        <f t="shared" si="4"/>
        <v>-29.761904761904756</v>
      </c>
      <c r="F38" s="10">
        <f t="shared" si="4"/>
        <v>-39.153439153439152</v>
      </c>
      <c r="G38" s="10">
        <f t="shared" si="4"/>
        <v>-22.549019607843125</v>
      </c>
      <c r="H38" s="10">
        <f t="shared" si="4"/>
        <v>-11.888111888111897</v>
      </c>
      <c r="I38" s="10">
        <f t="shared" si="4"/>
        <v>-27.717391304347817</v>
      </c>
      <c r="J38" s="10">
        <f t="shared" si="4"/>
        <v>-33.544303797468359</v>
      </c>
      <c r="K38" s="10">
        <f t="shared" si="4"/>
        <v>-19.819819819819816</v>
      </c>
      <c r="L38" s="10">
        <f t="shared" si="4"/>
        <v>-2.547770700636931</v>
      </c>
      <c r="M38" s="4"/>
      <c r="N38" s="4"/>
    </row>
    <row r="39" spans="1:36">
      <c r="A39" s="114"/>
      <c r="B39" s="114"/>
      <c r="C39" s="114"/>
      <c r="D39" s="114"/>
      <c r="E39" s="114"/>
      <c r="F39" s="114"/>
      <c r="G39" s="114"/>
      <c r="H39" s="114"/>
      <c r="I39" s="114"/>
      <c r="J39" s="114"/>
      <c r="K39" s="114"/>
      <c r="L39" s="114"/>
      <c r="M39" s="4"/>
      <c r="N39" s="4"/>
    </row>
    <row r="40" spans="1:36" ht="25.5" customHeight="1">
      <c r="A40" s="1170" t="s">
        <v>1195</v>
      </c>
      <c r="B40" s="1170"/>
      <c r="C40" s="1170"/>
      <c r="D40" s="1170"/>
      <c r="E40" s="1170"/>
      <c r="F40" s="1170"/>
      <c r="G40" s="1170"/>
      <c r="H40" s="1170"/>
      <c r="I40" s="1170"/>
      <c r="J40" s="1170"/>
      <c r="K40" s="1170"/>
      <c r="L40" s="1170"/>
      <c r="M40" s="4"/>
      <c r="N40" s="4"/>
    </row>
    <row r="41" spans="1:36" ht="15" customHeight="1">
      <c r="A41" s="13" t="s">
        <v>388</v>
      </c>
      <c r="B41" s="643"/>
      <c r="C41" s="643"/>
      <c r="D41" s="643"/>
      <c r="E41" s="643"/>
      <c r="F41" s="643"/>
      <c r="G41" s="643"/>
      <c r="H41" s="643"/>
      <c r="I41" s="643"/>
      <c r="J41" s="643"/>
      <c r="K41" s="643"/>
      <c r="L41" s="643"/>
      <c r="M41" s="4"/>
      <c r="N41" s="4"/>
    </row>
    <row r="42" spans="1:36">
      <c r="A42" s="4" t="s">
        <v>1868</v>
      </c>
      <c r="M42" s="4"/>
      <c r="N42" s="4"/>
    </row>
    <row r="43" spans="1:36" ht="30" customHeight="1">
      <c r="A43" s="1168" t="s">
        <v>547</v>
      </c>
      <c r="B43" s="1169"/>
      <c r="C43" s="1169"/>
      <c r="D43" s="1169"/>
      <c r="E43" s="1169"/>
      <c r="F43" s="1169"/>
      <c r="G43" s="1169"/>
      <c r="H43" s="1169"/>
      <c r="I43" s="1169"/>
      <c r="J43" s="1169"/>
      <c r="K43" s="1169"/>
      <c r="L43" s="1169"/>
      <c r="M43" s="4"/>
      <c r="N43" s="4"/>
    </row>
    <row r="44" spans="1:36">
      <c r="A44" s="1"/>
      <c r="B44" s="4"/>
      <c r="M44" s="4"/>
      <c r="N44" s="4"/>
    </row>
  </sheetData>
  <mergeCells count="13">
    <mergeCell ref="A43:L43"/>
    <mergeCell ref="G3:G4"/>
    <mergeCell ref="H3:H4"/>
    <mergeCell ref="B3:B4"/>
    <mergeCell ref="C3:C4"/>
    <mergeCell ref="D3:D4"/>
    <mergeCell ref="E3:E4"/>
    <mergeCell ref="F3:F4"/>
    <mergeCell ref="A40:L40"/>
    <mergeCell ref="I3:I4"/>
    <mergeCell ref="J3:J4"/>
    <mergeCell ref="K3:K4"/>
    <mergeCell ref="L3:L4"/>
  </mergeCells>
  <phoneticPr fontId="35" type="noConversion"/>
  <pageMargins left="0.75" right="0.75" top="1" bottom="1" header="0.5" footer="0.5"/>
  <pageSetup scale="80"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sheetPr codeName="Sheet21">
    <pageSetUpPr fitToPage="1"/>
  </sheetPr>
  <dimension ref="A1:L40"/>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85546875" style="1" customWidth="1"/>
    <col min="2" max="2" width="10.42578125" style="1" customWidth="1"/>
    <col min="3" max="6" width="9.28515625" style="1" bestFit="1" customWidth="1"/>
    <col min="7" max="8" width="9.7109375" style="1" bestFit="1" customWidth="1"/>
    <col min="9" max="10" width="9.28515625" style="1" bestFit="1" customWidth="1"/>
    <col min="11" max="12" width="9.28515625" style="1" customWidth="1"/>
    <col min="13" max="16384" width="8.85546875" style="1"/>
  </cols>
  <sheetData>
    <row r="1" spans="1:12" ht="15.75">
      <c r="A1" s="3" t="s">
        <v>2093</v>
      </c>
    </row>
    <row r="2" spans="1:12">
      <c r="A2" s="4"/>
      <c r="B2" s="4"/>
    </row>
    <row r="3" spans="1:12">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5"/>
      <c r="C4" s="1165"/>
      <c r="D4" s="1165"/>
      <c r="E4" s="1165"/>
      <c r="F4" s="1165"/>
      <c r="G4" s="1165"/>
      <c r="H4" s="1165"/>
      <c r="I4" s="1165"/>
      <c r="J4" s="1165"/>
      <c r="K4" s="1165"/>
      <c r="L4" s="1165"/>
    </row>
    <row r="5" spans="1:12">
      <c r="A5" s="120">
        <v>1981</v>
      </c>
      <c r="B5" s="959">
        <f>'[1]1'!B15/'[1]2a'!B5</f>
        <v>2.7179057161629436</v>
      </c>
      <c r="C5" s="959">
        <f>'[1]1'!C15/'[1]2a'!C5</f>
        <v>3.5512469135802469</v>
      </c>
      <c r="D5" s="959">
        <f>'[1]1'!D15/'[1]2a'!D5</f>
        <v>3.013439024390244</v>
      </c>
      <c r="E5" s="959">
        <f>'[1]1'!E15/'[1]2a'!E5</f>
        <v>2.9077244897959185</v>
      </c>
      <c r="F5" s="959">
        <f>'[1]1'!F15/'[1]2a'!F5</f>
        <v>3.018965811965812</v>
      </c>
      <c r="G5" s="959">
        <f>'[1]1'!G15/'[1]2a'!G5</f>
        <v>2.744009639564124</v>
      </c>
      <c r="H5" s="959">
        <f>'[1]1'!H15/'[1]2a'!H5</f>
        <v>2.7014978540772532</v>
      </c>
      <c r="I5" s="959">
        <f>'[1]1'!I15/'[1]2a'!I5</f>
        <v>2.7108507853403143</v>
      </c>
      <c r="J5" s="959">
        <f>'[1]1'!J15/'[1]2a'!J5</f>
        <v>2.7104416666666666</v>
      </c>
      <c r="K5" s="959">
        <f>'[1]1'!K15/'[1]2a'!K5</f>
        <v>2.5771698537682788</v>
      </c>
      <c r="L5" s="959">
        <f>'[1]1'!L15/'[1]2a'!L5</f>
        <v>2.5192139037433154</v>
      </c>
    </row>
    <row r="6" spans="1:12">
      <c r="A6" s="120">
        <v>1982</v>
      </c>
      <c r="B6" s="959">
        <f>'[1]1'!B16/'[1]2a'!B6</f>
        <v>2.7013273822327379</v>
      </c>
      <c r="C6" s="959">
        <f>'[1]1'!C16/'[1]2a'!C6</f>
        <v>3.4775454545454543</v>
      </c>
      <c r="D6" s="959">
        <f>'[1]1'!D16/'[1]2a'!D6</f>
        <v>2.9425714285714286</v>
      </c>
      <c r="E6" s="959">
        <f>'[1]1'!E16/'[1]2a'!E6</f>
        <v>2.8634599999999999</v>
      </c>
      <c r="F6" s="959">
        <f>'[1]1'!F16/'[1]2a'!F6</f>
        <v>2.9600711297071127</v>
      </c>
      <c r="G6" s="959">
        <f>'[1]1'!G16/'[1]2a'!G6</f>
        <v>2.7170235342691993</v>
      </c>
      <c r="H6" s="959">
        <f>'[1]1'!H16/'[1]2a'!H6</f>
        <v>2.6723451168364289</v>
      </c>
      <c r="I6" s="959">
        <f>'[1]1'!I16/'[1]2a'!I6</f>
        <v>2.6938762886597938</v>
      </c>
      <c r="J6" s="959">
        <f>'[1]1'!J16/'[1]2a'!J6</f>
        <v>2.7029643835616439</v>
      </c>
      <c r="K6" s="959">
        <f>'[1]1'!K16/'[1]2a'!K6</f>
        <v>2.6331411111111112</v>
      </c>
      <c r="L6" s="959">
        <f>'[1]1'!L16/'[1]2a'!L6</f>
        <v>2.5232570175438598</v>
      </c>
    </row>
    <row r="7" spans="1:12">
      <c r="A7" s="120">
        <v>1983</v>
      </c>
      <c r="B7" s="959">
        <f>'[1]1'!B17/'[1]2a'!B7</f>
        <v>2.6757859704641351</v>
      </c>
      <c r="C7" s="959">
        <f>'[1]1'!C17/'[1]2a'!C7</f>
        <v>3.4270059171597631</v>
      </c>
      <c r="D7" s="959">
        <f>'[1]1'!D17/'[1]2a'!D7</f>
        <v>2.9786190476190475</v>
      </c>
      <c r="E7" s="959">
        <f>'[1]1'!E17/'[1]2a'!E7</f>
        <v>2.8099967637540453</v>
      </c>
      <c r="F7" s="959">
        <f>'[1]1'!F17/'[1]2a'!F7</f>
        <v>2.9058617886178859</v>
      </c>
      <c r="G7" s="959">
        <f>'[1]1'!G17/'[1]2a'!G7</f>
        <v>2.6776058394160582</v>
      </c>
      <c r="H7" s="959">
        <f>'[1]1'!H17/'[1]2a'!H7</f>
        <v>2.6626108983799708</v>
      </c>
      <c r="I7" s="959">
        <f>'[1]1'!I17/'[1]2a'!I7</f>
        <v>2.6626934673366831</v>
      </c>
      <c r="J7" s="959">
        <f>'[1]1'!J17/'[1]2a'!J7</f>
        <v>2.6915295698924733</v>
      </c>
      <c r="K7" s="959">
        <f>'[1]1'!K17/'[1]2a'!K7</f>
        <v>2.6303153846153844</v>
      </c>
      <c r="L7" s="959">
        <f>'[1]1'!L17/'[1]2a'!L7</f>
        <v>2.4808037542662116</v>
      </c>
    </row>
    <row r="8" spans="1:12">
      <c r="A8" s="120">
        <v>1984</v>
      </c>
      <c r="B8" s="959">
        <f>'[1]1'!B18/'[1]2a'!B8</f>
        <v>2.6519317522783763</v>
      </c>
      <c r="C8" s="959">
        <f>'[1]1'!C18/'[1]2a'!C8</f>
        <v>3.4121470588235296</v>
      </c>
      <c r="D8" s="959">
        <f>'[1]1'!D18/'[1]2a'!D8</f>
        <v>2.9433255813953489</v>
      </c>
      <c r="E8" s="959">
        <f>'[1]1'!E18/'[1]2a'!E8</f>
        <v>2.8034217252396165</v>
      </c>
      <c r="F8" s="959">
        <f>'[1]1'!F18/'[1]2a'!F8</f>
        <v>2.9051935483870972</v>
      </c>
      <c r="G8" s="959">
        <f>'[1]1'!G18/'[1]2a'!G8</f>
        <v>2.6345729042510926</v>
      </c>
      <c r="H8" s="959">
        <f>'[1]1'!H18/'[1]2a'!H8</f>
        <v>2.6320654608096468</v>
      </c>
      <c r="I8" s="959">
        <f>'[1]1'!I18/'[1]2a'!I8</f>
        <v>2.6728428927680796</v>
      </c>
      <c r="J8" s="959">
        <f>'[1]1'!J18/'[1]2a'!J8</f>
        <v>2.6841666666666666</v>
      </c>
      <c r="K8" s="959">
        <f>'[1]1'!K18/'[1]2a'!K8</f>
        <v>2.6105856052344603</v>
      </c>
      <c r="L8" s="959">
        <f>'[1]1'!L18/'[1]2a'!L8</f>
        <v>2.4849755480607083</v>
      </c>
    </row>
    <row r="9" spans="1:12">
      <c r="A9" s="120">
        <v>1985</v>
      </c>
      <c r="B9" s="959">
        <f>'[1]1'!B19/'[1]2a'!B9</f>
        <v>2.6270322252719325</v>
      </c>
      <c r="C9" s="959">
        <f>'[1]1'!C19/'[1]2a'!C9</f>
        <v>3.3678779069767439</v>
      </c>
      <c r="D9" s="959">
        <f>'[1]1'!D19/'[1]2a'!D9</f>
        <v>2.9678837209302324</v>
      </c>
      <c r="E9" s="959">
        <f>'[1]1'!E19/'[1]2a'!E9</f>
        <v>2.7944731861198737</v>
      </c>
      <c r="F9" s="959">
        <f>'[1]1'!F19/'[1]2a'!F9</f>
        <v>2.8701865079365079</v>
      </c>
      <c r="G9" s="959">
        <f>'[1]1'!G19/'[1]2a'!G9</f>
        <v>2.6007811158798284</v>
      </c>
      <c r="H9" s="959">
        <f>'[1]1'!H19/'[1]2a'!H9</f>
        <v>2.6123263069139964</v>
      </c>
      <c r="I9" s="959">
        <f>'[1]1'!I19/'[1]2a'!I9</f>
        <v>2.6466870415647921</v>
      </c>
      <c r="J9" s="959">
        <f>'[1]1'!J19/'[1]2a'!J9</f>
        <v>2.6760522193211491</v>
      </c>
      <c r="K9" s="959">
        <f>'[1]1'!K19/'[1]2a'!K9</f>
        <v>2.5938403451995682</v>
      </c>
      <c r="L9" s="959">
        <f>'[1]1'!L19/'[1]2a'!L9</f>
        <v>2.4567555739058626</v>
      </c>
    </row>
    <row r="10" spans="1:12">
      <c r="A10" s="120">
        <v>1986</v>
      </c>
      <c r="B10" s="959">
        <f>'[1]1'!B20/'[1]2a'!B10</f>
        <v>2.6087234382808595</v>
      </c>
      <c r="C10" s="959">
        <f>'[1]1'!C20/'[1]2a'!C10</f>
        <v>3.2376741573033709</v>
      </c>
      <c r="D10" s="959">
        <f>'[1]1'!D20/'[1]2a'!D10</f>
        <v>2.919</v>
      </c>
      <c r="E10" s="959">
        <f>'[1]1'!E20/'[1]2a'!E10</f>
        <v>2.7440956790123456</v>
      </c>
      <c r="F10" s="959">
        <f>'[1]1'!F20/'[1]2a'!F10</f>
        <v>2.83210546875</v>
      </c>
      <c r="G10" s="959">
        <f>'[1]1'!G20/'[1]2a'!G10</f>
        <v>2.573137706175681</v>
      </c>
      <c r="H10" s="959">
        <f>'[1]1'!H20/'[1]2a'!H10</f>
        <v>2.5955332783278329</v>
      </c>
      <c r="I10" s="959">
        <f>'[1]1'!I20/'[1]2a'!I10</f>
        <v>2.6558442822384425</v>
      </c>
      <c r="J10" s="959">
        <f>'[1]1'!J20/'[1]2a'!J10</f>
        <v>2.6719922077922083</v>
      </c>
      <c r="K10" s="959">
        <f>'[1]1'!K20/'[1]2a'!K10</f>
        <v>2.6132438238453273</v>
      </c>
      <c r="L10" s="959">
        <f>'[1]1'!L20/'[1]2a'!L10</f>
        <v>2.4360267639902675</v>
      </c>
    </row>
    <row r="11" spans="1:12">
      <c r="A11" s="120">
        <v>1987</v>
      </c>
      <c r="B11" s="959">
        <f>'[1]1'!B21/'[1]2a'!B11</f>
        <v>2.5915336599706027</v>
      </c>
      <c r="C11" s="959">
        <f>'[1]1'!C21/'[1]2a'!C11</f>
        <v>3.2136424581005585</v>
      </c>
      <c r="D11" s="959">
        <f>'[1]1'!D21/'[1]2a'!D11</f>
        <v>2.8586888888888886</v>
      </c>
      <c r="E11" s="959">
        <f>'[1]1'!E21/'[1]2a'!E11</f>
        <v>2.7327400611620796</v>
      </c>
      <c r="F11" s="959">
        <f>'[1]1'!F21/'[1]2a'!F11</f>
        <v>2.7991076923076923</v>
      </c>
      <c r="G11" s="959">
        <f>'[1]1'!G21/'[1]2a'!G11</f>
        <v>2.5496180451127821</v>
      </c>
      <c r="H11" s="959">
        <f>'[1]1'!H21/'[1]2a'!H11</f>
        <v>2.5866733762748253</v>
      </c>
      <c r="I11" s="959">
        <f>'[1]1'!I21/'[1]2a'!I11</f>
        <v>2.6403197115384618</v>
      </c>
      <c r="J11" s="959">
        <f>'[1]1'!J21/'[1]2a'!J11</f>
        <v>2.6618530927835051</v>
      </c>
      <c r="K11" s="959">
        <f>'[1]1'!K21/'[1]2a'!K11</f>
        <v>2.5911645435244162</v>
      </c>
      <c r="L11" s="959">
        <f>'[1]1'!L21/'[1]2a'!L11</f>
        <v>2.4157297939778131</v>
      </c>
    </row>
    <row r="12" spans="1:12">
      <c r="A12" s="120">
        <v>1988</v>
      </c>
      <c r="B12" s="959">
        <f>'[1]1'!B22/'[1]2a'!B12</f>
        <v>2.5628225559594413</v>
      </c>
      <c r="C12" s="959">
        <f>'[1]1'!C22/'[1]2a'!C12</f>
        <v>3.1249021739130431</v>
      </c>
      <c r="D12" s="959">
        <f>'[1]1'!D22/'[1]2a'!D12</f>
        <v>2.8106304347826083</v>
      </c>
      <c r="E12" s="959">
        <f>'[1]1'!E22/'[1]2a'!E12</f>
        <v>2.6782567164179105</v>
      </c>
      <c r="F12" s="959">
        <f>'[1]1'!F22/'[1]2a'!F12</f>
        <v>2.7456729323308271</v>
      </c>
      <c r="G12" s="959">
        <f>'[1]1'!G22/'[1]2a'!G12</f>
        <v>2.5090190825688072</v>
      </c>
      <c r="H12" s="959">
        <f>'[1]1'!H22/'[1]2a'!H12</f>
        <v>2.5608068714211352</v>
      </c>
      <c r="I12" s="959">
        <f>'[1]1'!I22/'[1]2a'!I12</f>
        <v>2.6179382422802853</v>
      </c>
      <c r="J12" s="959">
        <f>'[1]1'!J22/'[1]2a'!J12</f>
        <v>2.6500644329896903</v>
      </c>
      <c r="K12" s="959">
        <f>'[1]1'!K22/'[1]2a'!K12</f>
        <v>2.5616412930135559</v>
      </c>
      <c r="L12" s="959">
        <f>'[1]1'!L22/'[1]2a'!L12</f>
        <v>2.4182927018633542</v>
      </c>
    </row>
    <row r="13" spans="1:12">
      <c r="A13" s="120">
        <v>1989</v>
      </c>
      <c r="B13" s="959">
        <f>'[1]1'!B23/'[1]2a'!B13</f>
        <v>2.5590375269725114</v>
      </c>
      <c r="C13" s="959">
        <f>'[1]1'!C23/'[1]2a'!C13</f>
        <v>3.0997365591397852</v>
      </c>
      <c r="D13" s="959">
        <f>'[1]1'!D23/'[1]2a'!D13</f>
        <v>2.8294130434782607</v>
      </c>
      <c r="E13" s="959">
        <f>'[1]1'!E23/'[1]2a'!E13</f>
        <v>2.6661976401179941</v>
      </c>
      <c r="F13" s="959">
        <f>'[1]1'!F23/'[1]2a'!F13</f>
        <v>2.7227000000000001</v>
      </c>
      <c r="G13" s="959">
        <f>'[1]1'!G23/'[1]2a'!G13</f>
        <v>2.4919496221662469</v>
      </c>
      <c r="H13" s="959">
        <f>'[1]1'!H23/'[1]2a'!H13</f>
        <v>2.5780313855575403</v>
      </c>
      <c r="I13" s="959">
        <f>'[1]1'!I23/'[1]2a'!I13</f>
        <v>2.6032830188679243</v>
      </c>
      <c r="J13" s="959">
        <f>'[1]1'!J23/'[1]2a'!J13</f>
        <v>2.6478935064935065</v>
      </c>
      <c r="K13" s="959">
        <f>'[1]1'!K23/'[1]2a'!K13</f>
        <v>2.5571392016376659</v>
      </c>
      <c r="L13" s="959">
        <f>'[1]1'!L23/'[1]2a'!L13</f>
        <v>2.3999436936936935</v>
      </c>
    </row>
    <row r="14" spans="1:12">
      <c r="A14" s="120">
        <v>1990</v>
      </c>
      <c r="B14" s="959">
        <f>'[1]1'!B24/'[1]2a'!B14</f>
        <v>2.5411707809488848</v>
      </c>
      <c r="C14" s="959">
        <f>'[1]1'!C24/'[1]2a'!C14</f>
        <v>3.0228691099476444</v>
      </c>
      <c r="D14" s="959">
        <f>'[1]1'!D24/'[1]2a'!D14</f>
        <v>2.7745531914893617</v>
      </c>
      <c r="E14" s="959">
        <f>'[1]1'!E24/'[1]2a'!E14</f>
        <v>2.6237780979827088</v>
      </c>
      <c r="F14" s="959">
        <f>'[1]1'!F24/'[1]2a'!F14</f>
        <v>2.6720433212996388</v>
      </c>
      <c r="G14" s="959">
        <f>'[1]1'!G24/'[1]2a'!G14</f>
        <v>2.4698150370631837</v>
      </c>
      <c r="H14" s="959">
        <f>'[1]1'!H24/'[1]2a'!H14</f>
        <v>2.5598786673296869</v>
      </c>
      <c r="I14" s="959">
        <f>'[1]1'!I24/'[1]2a'!I14</f>
        <v>2.5888079625292741</v>
      </c>
      <c r="J14" s="959">
        <f>'[1]1'!J24/'[1]2a'!J14</f>
        <v>2.6242890624999999</v>
      </c>
      <c r="K14" s="959">
        <f>'[1]1'!K24/'[1]2a'!K14</f>
        <v>2.5528937875751505</v>
      </c>
      <c r="L14" s="959">
        <f>'[1]1'!L24/'[1]2a'!L14</f>
        <v>2.401247994164843</v>
      </c>
    </row>
    <row r="15" spans="1:12">
      <c r="A15" s="120">
        <v>1991</v>
      </c>
      <c r="B15" s="959">
        <f>'[1]1'!B25/'[1]2a'!B15</f>
        <v>2.5345706020611098</v>
      </c>
      <c r="C15" s="959">
        <f>'[1]1'!C25/'[1]2a'!C15</f>
        <v>3.0189791666666665</v>
      </c>
      <c r="D15" s="959">
        <f>'[1]1'!D25/'[1]2a'!D15</f>
        <v>2.7160208333333333</v>
      </c>
      <c r="E15" s="959">
        <f>'[1]1'!E25/'[1]2a'!E15</f>
        <v>2.5993437500000001</v>
      </c>
      <c r="F15" s="959">
        <f>'[1]1'!F25/'[1]2a'!F15</f>
        <v>2.6532633451957297</v>
      </c>
      <c r="G15" s="959">
        <f>'[1]1'!G25/'[1]2a'!G15</f>
        <v>2.4650840599930239</v>
      </c>
      <c r="H15" s="959">
        <f>'[1]1'!H25/'[1]2a'!H15</f>
        <v>2.5541909892262491</v>
      </c>
      <c r="I15" s="959">
        <f>'[1]1'!I25/'[1]2a'!I15</f>
        <v>2.5804744186046511</v>
      </c>
      <c r="J15" s="959">
        <f>'[1]1'!J25/'[1]2a'!J15</f>
        <v>2.6044493506493507</v>
      </c>
      <c r="K15" s="959">
        <f>'[1]1'!K25/'[1]2a'!K15</f>
        <v>2.5489734513274338</v>
      </c>
      <c r="L15" s="959">
        <f>'[1]1'!L25/'[1]2a'!L15</f>
        <v>2.4012718861209965</v>
      </c>
    </row>
    <row r="16" spans="1:12">
      <c r="A16" s="120">
        <v>1992</v>
      </c>
      <c r="B16" s="959">
        <f>'[1]1'!B26/'[1]2a'!B16</f>
        <v>2.5203219330194546</v>
      </c>
      <c r="C16" s="959">
        <f>'[1]1'!C26/'[1]2a'!C16</f>
        <v>2.9447157360406093</v>
      </c>
      <c r="D16" s="959">
        <f>'[1]1'!D26/'[1]2a'!D16</f>
        <v>2.6699387755102042</v>
      </c>
      <c r="E16" s="959">
        <f>'[1]1'!E26/'[1]2a'!E16</f>
        <v>2.6046770538243629</v>
      </c>
      <c r="F16" s="959">
        <f>'[1]1'!F26/'[1]2a'!F16</f>
        <v>2.6435371024734984</v>
      </c>
      <c r="G16" s="959">
        <f>'[1]1'!G26/'[1]2a'!G16</f>
        <v>2.433268309377139</v>
      </c>
      <c r="H16" s="959">
        <f>'[1]1'!H26/'[1]2a'!H16</f>
        <v>2.5475192771084338</v>
      </c>
      <c r="I16" s="959">
        <f>'[1]1'!I26/'[1]2a'!I16</f>
        <v>2.5876488372093025</v>
      </c>
      <c r="J16" s="959">
        <f>'[1]1'!J26/'[1]2a'!J16</f>
        <v>2.5876159793814435</v>
      </c>
      <c r="K16" s="959">
        <f>'[1]1'!K26/'[1]2a'!K16</f>
        <v>2.5362928709055876</v>
      </c>
      <c r="L16" s="959">
        <f>'[1]1'!L26/'[1]2a'!L16</f>
        <v>2.3955814917127074</v>
      </c>
    </row>
    <row r="17" spans="1:12">
      <c r="A17" s="120">
        <v>1993</v>
      </c>
      <c r="B17" s="959">
        <f>'[1]1'!B27/'[1]2a'!B17</f>
        <v>2.5190800035127778</v>
      </c>
      <c r="C17" s="959">
        <f>'[1]1'!C27/'[1]2a'!C17</f>
        <v>2.9144572864321607</v>
      </c>
      <c r="D17" s="959">
        <f>'[1]1'!D27/'[1]2a'!D17</f>
        <v>2.6435399999999998</v>
      </c>
      <c r="E17" s="959">
        <f>'[1]1'!E27/'[1]2a'!E17</f>
        <v>2.5880252100840333</v>
      </c>
      <c r="F17" s="959">
        <f>'[1]1'!F27/'[1]2a'!F17</f>
        <v>2.6366619718309861</v>
      </c>
      <c r="G17" s="959">
        <f>'[1]1'!G27/'[1]2a'!G17</f>
        <v>2.4341962585034014</v>
      </c>
      <c r="H17" s="959">
        <f>'[1]1'!H27/'[1]2a'!H17</f>
        <v>2.5482808104886772</v>
      </c>
      <c r="I17" s="959">
        <f>'[1]1'!I27/'[1]2a'!I17</f>
        <v>2.5870787037037037</v>
      </c>
      <c r="J17" s="959">
        <f>'[1]1'!J27/'[1]2a'!J17</f>
        <v>2.5817948717948718</v>
      </c>
      <c r="K17" s="959">
        <f>'[1]1'!K27/'[1]2a'!K17</f>
        <v>2.557326941514861</v>
      </c>
      <c r="L17" s="959">
        <f>'[1]1'!L27/'[1]2a'!L17</f>
        <v>2.3848743315508023</v>
      </c>
    </row>
    <row r="18" spans="1:12">
      <c r="A18" s="120">
        <v>1994</v>
      </c>
      <c r="B18" s="959">
        <f>'[1]1'!B28/'[1]2a'!B18</f>
        <v>2.5172001562364379</v>
      </c>
      <c r="C18" s="959">
        <f>'[1]1'!C28/'[1]2a'!C18</f>
        <v>2.9013434343434343</v>
      </c>
      <c r="D18" s="959">
        <f>'[1]1'!D28/'[1]2a'!D18</f>
        <v>2.6687400000000001</v>
      </c>
      <c r="E18" s="959">
        <f>'[1]1'!E28/'[1]2a'!E18</f>
        <v>2.560417127071823</v>
      </c>
      <c r="F18" s="959">
        <f>'[1]1'!F28/'[1]2a'!F18</f>
        <v>2.6048090277777778</v>
      </c>
      <c r="G18" s="959">
        <f>'[1]1'!G28/'[1]2a'!G18</f>
        <v>2.4208694042409964</v>
      </c>
      <c r="H18" s="959">
        <f>'[1]1'!H28/'[1]2a'!H18</f>
        <v>2.5577177304964542</v>
      </c>
      <c r="I18" s="959">
        <f>'[1]1'!I28/'[1]2a'!I18</f>
        <v>2.5880875576036866</v>
      </c>
      <c r="J18" s="959">
        <f>'[1]1'!J28/'[1]2a'!J18</f>
        <v>2.5688931297709923</v>
      </c>
      <c r="K18" s="959">
        <f>'[1]1'!K28/'[1]2a'!K18</f>
        <v>2.564678062678063</v>
      </c>
      <c r="L18" s="959">
        <f>'[1]1'!L28/'[1]2a'!L18</f>
        <v>2.3855126541207006</v>
      </c>
    </row>
    <row r="19" spans="1:12">
      <c r="A19" s="120">
        <v>1995</v>
      </c>
      <c r="B19" s="959">
        <f>'[1]1'!B29/'[1]2a'!B19</f>
        <v>2.5023322801024768</v>
      </c>
      <c r="C19" s="959">
        <f>'[1]1'!C29/'[1]2a'!C19</f>
        <v>2.8512412060301511</v>
      </c>
      <c r="D19" s="959">
        <f>'[1]1'!D29/'[1]2a'!D19</f>
        <v>2.6355882352941173</v>
      </c>
      <c r="E19" s="959">
        <f>'[1]1'!E29/'[1]2a'!E19</f>
        <v>2.5358469945355191</v>
      </c>
      <c r="F19" s="959">
        <f>'[1]1'!F29/'[1]2a'!F19</f>
        <v>2.571722602739726</v>
      </c>
      <c r="G19" s="959">
        <f>'[1]1'!G29/'[1]2a'!G19</f>
        <v>2.4072087362454151</v>
      </c>
      <c r="H19" s="959">
        <f>'[1]1'!H29/'[1]2a'!H19</f>
        <v>2.5465393023255816</v>
      </c>
      <c r="I19" s="959">
        <f>'[1]1'!I29/'[1]2a'!I19</f>
        <v>2.5838672768878719</v>
      </c>
      <c r="J19" s="959">
        <f>'[1]1'!J29/'[1]2a'!J19</f>
        <v>2.5740786802030455</v>
      </c>
      <c r="K19" s="959">
        <f>'[1]1'!K29/'[1]2a'!K19</f>
        <v>2.5343086190917514</v>
      </c>
      <c r="L19" s="959">
        <f>'[1]1'!L29/'[1]2a'!L19</f>
        <v>2.369755332496863</v>
      </c>
    </row>
    <row r="20" spans="1:12">
      <c r="A20" s="120">
        <v>1996</v>
      </c>
      <c r="B20" s="959">
        <f>'[1]1'!B30/'[1]2a'!B20</f>
        <v>2.4970667903525046</v>
      </c>
      <c r="C20" s="959">
        <f>'[1]1'!C30/'[1]2a'!C20</f>
        <v>2.8267575757575756</v>
      </c>
      <c r="D20" s="959">
        <f>'[1]1'!D30/'[1]2a'!D20</f>
        <v>2.610326923076923</v>
      </c>
      <c r="E20" s="959">
        <f>'[1]1'!E30/'[1]2a'!E20</f>
        <v>2.5376757493188009</v>
      </c>
      <c r="F20" s="959">
        <f>'[1]1'!F30/'[1]2a'!F20</f>
        <v>2.5587346938775513</v>
      </c>
      <c r="G20" s="959">
        <f>'[1]1'!G30/'[1]2a'!G20</f>
        <v>2.3917151815181517</v>
      </c>
      <c r="H20" s="959">
        <f>'[1]1'!H30/'[1]2a'!H20</f>
        <v>2.5407847317744157</v>
      </c>
      <c r="I20" s="959">
        <f>'[1]1'!I30/'[1]2a'!I20</f>
        <v>2.5835899772209565</v>
      </c>
      <c r="J20" s="959">
        <f>'[1]1'!J30/'[1]2a'!J20</f>
        <v>2.5730934343434346</v>
      </c>
      <c r="K20" s="959">
        <f>'[1]1'!K30/'[1]2a'!K20</f>
        <v>2.5366846435100547</v>
      </c>
      <c r="L20" s="959">
        <f>'[1]1'!L30/'[1]2a'!L20</f>
        <v>2.3827287822878227</v>
      </c>
    </row>
    <row r="21" spans="1:12">
      <c r="A21" s="120">
        <v>1997</v>
      </c>
      <c r="B21" s="959">
        <f>'[1]1'!B31/'[1]2a'!B21</f>
        <v>2.4919546704441298</v>
      </c>
      <c r="C21" s="959">
        <f>'[1]1'!C31/'[1]2a'!C21</f>
        <v>2.7823787878787876</v>
      </c>
      <c r="D21" s="959">
        <f>'[1]1'!D31/'[1]2a'!D21</f>
        <v>2.6172115384615386</v>
      </c>
      <c r="E21" s="959">
        <f>'[1]1'!E31/'[1]2a'!E21</f>
        <v>2.5200054054054055</v>
      </c>
      <c r="F21" s="959">
        <f>'[1]1'!F31/'[1]2a'!F21</f>
        <v>2.5422668918918916</v>
      </c>
      <c r="G21" s="959">
        <f>'[1]1'!G31/'[1]2a'!G21</f>
        <v>2.3812147299509001</v>
      </c>
      <c r="H21" s="959">
        <f>'[1]1'!H31/'[1]2a'!H21</f>
        <v>2.5442218445501927</v>
      </c>
      <c r="I21" s="959">
        <f>'[1]1'!I31/'[1]2a'!I21</f>
        <v>2.5879908883826879</v>
      </c>
      <c r="J21" s="959">
        <f>'[1]1'!J31/'[1]2a'!J21</f>
        <v>2.5575427135678392</v>
      </c>
      <c r="K21" s="959">
        <f>'[1]1'!K31/'[1]2a'!K21</f>
        <v>2.4976593115622241</v>
      </c>
      <c r="L21" s="959">
        <f>'[1]1'!L31/'[1]2a'!L21</f>
        <v>2.3974395871281118</v>
      </c>
    </row>
    <row r="22" spans="1:12">
      <c r="A22" s="120">
        <v>1998</v>
      </c>
      <c r="B22" s="959">
        <f>'[1]1'!B32/'[1]2a'!B22</f>
        <v>2.4851799076973791</v>
      </c>
      <c r="C22" s="959">
        <f>'[1]1'!C32/'[1]2a'!C22</f>
        <v>2.7264797979797977</v>
      </c>
      <c r="D22" s="959">
        <f>'[1]1'!D32/'[1]2a'!D22</f>
        <v>2.5623396226415096</v>
      </c>
      <c r="E22" s="959">
        <f>'[1]1'!E32/'[1]2a'!E22</f>
        <v>2.4982198391420911</v>
      </c>
      <c r="F22" s="959">
        <f>'[1]1'!F32/'[1]2a'!F22</f>
        <v>2.5101337792642138</v>
      </c>
      <c r="G22" s="959">
        <f>'[1]1'!G32/'[1]2a'!G22</f>
        <v>2.3657376783398187</v>
      </c>
      <c r="H22" s="959">
        <f>'[1]1'!H32/'[1]2a'!H22</f>
        <v>2.5478370320555928</v>
      </c>
      <c r="I22" s="959">
        <f>'[1]1'!I32/'[1]2a'!I22</f>
        <v>2.5735045248868778</v>
      </c>
      <c r="J22" s="959">
        <f>'[1]1'!J32/'[1]2a'!J22</f>
        <v>2.5497042606516289</v>
      </c>
      <c r="K22" s="959">
        <f>'[1]1'!K32/'[1]2a'!K22</f>
        <v>2.4948932874354561</v>
      </c>
      <c r="L22" s="959">
        <f>'[1]1'!L32/'[1]2a'!L22</f>
        <v>2.3965782190132368</v>
      </c>
    </row>
    <row r="23" spans="1:12">
      <c r="A23" s="120">
        <v>1999</v>
      </c>
      <c r="B23" s="959">
        <f>'[1]1'!B33/'[1]2a'!B23</f>
        <v>2.4740629882812502</v>
      </c>
      <c r="C23" s="959">
        <f>'[1]1'!C33/'[1]2a'!C23</f>
        <v>2.6800452261306531</v>
      </c>
      <c r="D23" s="959">
        <f>'[1]1'!D33/'[1]2a'!D23</f>
        <v>2.5713396226415095</v>
      </c>
      <c r="E23" s="959">
        <f>'[1]1'!E33/'[1]2a'!E23</f>
        <v>2.4703280423280423</v>
      </c>
      <c r="F23" s="959">
        <f>'[1]1'!F33/'[1]2a'!F23</f>
        <v>2.4936910299003321</v>
      </c>
      <c r="G23" s="959">
        <f>'[1]1'!G33/'[1]2a'!G23</f>
        <v>2.3441901408450705</v>
      </c>
      <c r="H23" s="959">
        <f>'[1]1'!H33/'[1]2a'!H23</f>
        <v>2.5481193798449611</v>
      </c>
      <c r="I23" s="959">
        <f>'[1]1'!I33/'[1]2a'!I23</f>
        <v>2.5615426008968614</v>
      </c>
      <c r="J23" s="959">
        <f>'[1]1'!J33/'[1]2a'!J23</f>
        <v>2.5490552763819094</v>
      </c>
      <c r="K23" s="959">
        <f>'[1]1'!K33/'[1]2a'!K23</f>
        <v>2.4770906040268454</v>
      </c>
      <c r="L23" s="959">
        <f>'[1]1'!L33/'[1]2a'!L23</f>
        <v>2.3863027959547889</v>
      </c>
    </row>
    <row r="24" spans="1:12">
      <c r="A24" s="120">
        <v>2000</v>
      </c>
      <c r="B24" s="959">
        <f>'[1]1'!B34/'[1]2a'!B24</f>
        <v>2.4617513036502205</v>
      </c>
      <c r="C24" s="959">
        <f>'[1]1'!C34/'[1]2a'!C24</f>
        <v>2.6398299999999999</v>
      </c>
      <c r="D24" s="959">
        <f>'[1]1'!D34/'[1]2a'!D24</f>
        <v>2.527222222222222</v>
      </c>
      <c r="E24" s="959">
        <f>'[1]1'!E34/'[1]2a'!E24</f>
        <v>2.4381749347258488</v>
      </c>
      <c r="F24" s="959">
        <f>'[1]1'!F34/'[1]2a'!F24</f>
        <v>2.4851556291390731</v>
      </c>
      <c r="G24" s="959">
        <f>'[1]1'!G34/'[1]2a'!G24</f>
        <v>2.3252057522123892</v>
      </c>
      <c r="H24" s="959">
        <f>'[1]1'!H34/'[1]2a'!H24</f>
        <v>2.5387418513689703</v>
      </c>
      <c r="I24" s="959">
        <f>'[1]1'!I34/'[1]2a'!I24</f>
        <v>2.5495844444444447</v>
      </c>
      <c r="J24" s="959">
        <f>'[1]1'!J34/'[1]2a'!J24</f>
        <v>2.531570351758794</v>
      </c>
      <c r="K24" s="959">
        <f>'[1]1'!K34/'[1]2a'!K24</f>
        <v>2.4665008210180623</v>
      </c>
      <c r="L24" s="959">
        <f>'[1]1'!L34/'[1]2a'!L24</f>
        <v>2.3830265486725666</v>
      </c>
    </row>
    <row r="25" spans="1:12">
      <c r="A25" s="120">
        <v>2001</v>
      </c>
      <c r="B25" s="959">
        <f>'[1]1'!B35/'[1]2a'!B25</f>
        <v>2.4519026163939608</v>
      </c>
      <c r="C25" s="959">
        <f>'[1]1'!C35/'[1]2a'!C25</f>
        <v>2.597179104477612</v>
      </c>
      <c r="D25" s="959">
        <f>'[1]1'!D35/'[1]2a'!D25</f>
        <v>2.5307962962962964</v>
      </c>
      <c r="E25" s="959">
        <f>'[1]1'!E35/'[1]2a'!E25</f>
        <v>2.4156839378238342</v>
      </c>
      <c r="F25" s="959">
        <f>'[1]1'!F35/'[1]2a'!F25</f>
        <v>2.4664506578947369</v>
      </c>
      <c r="G25" s="959">
        <f>'[1]1'!G35/'[1]2a'!G25</f>
        <v>2.3091885732126132</v>
      </c>
      <c r="H25" s="959">
        <f>'[1]1'!H35/'[1]2a'!H25</f>
        <v>2.5371428876092983</v>
      </c>
      <c r="I25" s="959">
        <f>'[1]1'!I35/'[1]2a'!I25</f>
        <v>2.5474314159292035</v>
      </c>
      <c r="J25" s="959">
        <f>'[1]1'!J35/'[1]2a'!J25</f>
        <v>2.5194483627204032</v>
      </c>
      <c r="K25" s="959">
        <f>'[1]1'!K35/'[1]2a'!K25</f>
        <v>2.4503341346153844</v>
      </c>
      <c r="L25" s="959">
        <f>'[1]1'!L35/'[1]2a'!L25</f>
        <v>2.3754452214452213</v>
      </c>
    </row>
    <row r="26" spans="1:12">
      <c r="A26" s="120">
        <v>2002</v>
      </c>
      <c r="B26" s="959">
        <f>'[1]1'!B36/'[1]2a'!B26</f>
        <v>2.4382654949840576</v>
      </c>
      <c r="C26" s="959">
        <f>'[1]1'!C36/'[1]2a'!C26</f>
        <v>2.5467205882352939</v>
      </c>
      <c r="D26" s="959">
        <f>'[1]1'!D36/'[1]2a'!D26</f>
        <v>2.4886545454545455</v>
      </c>
      <c r="E26" s="959">
        <f>'[1]1'!E36/'[1]2a'!E26</f>
        <v>2.397474358974359</v>
      </c>
      <c r="F26" s="959">
        <f>'[1]1'!F36/'[1]2a'!F26</f>
        <v>2.4328928571428574</v>
      </c>
      <c r="G26" s="959">
        <f>'[1]1'!G36/'[1]2a'!G26</f>
        <v>2.2867473878303626</v>
      </c>
      <c r="H26" s="959">
        <f>'[1]1'!H36/'[1]2a'!H26</f>
        <v>2.5337445515507127</v>
      </c>
      <c r="I26" s="959">
        <f>'[1]1'!I36/'[1]2a'!I26</f>
        <v>2.5364320175438597</v>
      </c>
      <c r="J26" s="959">
        <f>'[1]1'!J36/'[1]2a'!J26</f>
        <v>2.5171742424242427</v>
      </c>
      <c r="K26" s="959">
        <f>'[1]1'!K36/'[1]2a'!K26</f>
        <v>2.4459452697419861</v>
      </c>
      <c r="L26" s="959">
        <f>'[1]1'!L36/'[1]2a'!L26</f>
        <v>2.3485260744985674</v>
      </c>
    </row>
    <row r="27" spans="1:12">
      <c r="A27" s="120">
        <v>2003</v>
      </c>
      <c r="B27" s="959">
        <f>'[1]1'!B37/'[1]2a'!B27</f>
        <v>2.4276582521292105</v>
      </c>
      <c r="C27" s="959">
        <f>'[1]1'!C37/'[1]2a'!C27</f>
        <v>2.5049275362318841</v>
      </c>
      <c r="D27" s="959">
        <f>'[1]1'!D37/'[1]2a'!D27</f>
        <v>2.4949272727272729</v>
      </c>
      <c r="E27" s="959">
        <f>'[1]1'!E37/'[1]2a'!E27</f>
        <v>2.3794187817258883</v>
      </c>
      <c r="F27" s="959">
        <f>'[1]1'!F37/'[1]2a'!F27</f>
        <v>2.4252071197411005</v>
      </c>
      <c r="G27" s="959">
        <f>'[1]1'!G37/'[1]2a'!G27</f>
        <v>2.2732578196173701</v>
      </c>
      <c r="H27" s="959">
        <f>'[1]1'!H37/'[1]2a'!H27</f>
        <v>2.5267849329205365</v>
      </c>
      <c r="I27" s="959">
        <f>'[1]1'!I37/'[1]2a'!I27</f>
        <v>2.5190887445887444</v>
      </c>
      <c r="J27" s="959">
        <f>'[1]1'!J37/'[1]2a'!J27</f>
        <v>2.5037261306532663</v>
      </c>
      <c r="K27" s="959">
        <f>'[1]1'!K37/'[1]2a'!K27</f>
        <v>2.4393839080459769</v>
      </c>
      <c r="L27" s="959">
        <f>'[1]1'!L37/'[1]2a'!L27</f>
        <v>2.3356351274787532</v>
      </c>
    </row>
    <row r="28" spans="1:12">
      <c r="A28" s="120">
        <v>2004</v>
      </c>
      <c r="B28" s="959">
        <f>'[1]1'!B38/'[1]2a'!B28</f>
        <v>2.4146262473540974</v>
      </c>
      <c r="C28" s="959">
        <f>'[1]1'!C38/'[1]2a'!C28</f>
        <v>2.4877259615384615</v>
      </c>
      <c r="D28" s="959">
        <f>'[1]1'!D38/'[1]2a'!D28</f>
        <v>2.4584642857142858</v>
      </c>
      <c r="E28" s="959">
        <f>'[1]1'!E38/'[1]2a'!E28</f>
        <v>2.3661863979848867</v>
      </c>
      <c r="F28" s="959">
        <f>'[1]1'!F38/'[1]2a'!F28</f>
        <v>2.41731935483871</v>
      </c>
      <c r="G28" s="959">
        <f>'[1]1'!G38/'[1]2a'!G28</f>
        <v>2.2555908410655494</v>
      </c>
      <c r="H28" s="959">
        <f>'[1]1'!H38/'[1]2a'!H28</f>
        <v>2.5148364116094988</v>
      </c>
      <c r="I28" s="959">
        <f>'[1]1'!I38/'[1]2a'!I28</f>
        <v>2.5183819742489271</v>
      </c>
      <c r="J28" s="959">
        <f>'[1]1'!J38/'[1]2a'!J28</f>
        <v>2.4873990024937656</v>
      </c>
      <c r="K28" s="959">
        <f>'[1]1'!K38/'[1]2a'!K28</f>
        <v>2.4356924812030076</v>
      </c>
      <c r="L28" s="959">
        <f>'[1]1'!L38/'[1]2a'!L28</f>
        <v>2.3187332589285714</v>
      </c>
    </row>
    <row r="29" spans="1:12">
      <c r="A29" s="120">
        <v>2005</v>
      </c>
      <c r="B29" s="959">
        <f>'[1]1'!B39/'[1]2a'!B29</f>
        <v>2.3958101642023926</v>
      </c>
      <c r="C29" s="959">
        <f>'[1]1'!C39/'[1]2a'!C29</f>
        <v>2.4493476190476193</v>
      </c>
      <c r="D29" s="959">
        <f>'[1]1'!D39/'[1]2a'!D29</f>
        <v>2.4220175438596492</v>
      </c>
      <c r="E29" s="959">
        <f>'[1]1'!E39/'[1]2a'!E29</f>
        <v>2.339004987531172</v>
      </c>
      <c r="F29" s="959">
        <f>'[1]1'!F39/'[1]2a'!F29</f>
        <v>2.3744761904761904</v>
      </c>
      <c r="G29" s="959">
        <f>'[1]1'!G39/'[1]2a'!G29</f>
        <v>2.2319431851633795</v>
      </c>
      <c r="H29" s="959">
        <f>'[1]1'!H39/'[1]2a'!H29</f>
        <v>2.4957131474103584</v>
      </c>
      <c r="I29" s="959">
        <f>'[1]1'!I39/'[1]2a'!I29</f>
        <v>2.5177371794871792</v>
      </c>
      <c r="J29" s="959">
        <f>'[1]1'!J39/'[1]2a'!J29</f>
        <v>2.4777531172069822</v>
      </c>
      <c r="K29" s="959">
        <f>'[1]1'!K39/'[1]2a'!K29</f>
        <v>2.4214285714285713</v>
      </c>
      <c r="L29" s="959">
        <f>'[1]1'!L39/'[1]2a'!L29</f>
        <v>2.3084642464246423</v>
      </c>
    </row>
    <row r="30" spans="1:12">
      <c r="A30" s="120">
        <v>2006</v>
      </c>
      <c r="B30" s="959">
        <f>'[1]1'!B40/'[1]2a'!B30</f>
        <v>2.3861759449164959</v>
      </c>
      <c r="C30" s="959">
        <f>'[1]1'!C40/'[1]2a'!C30</f>
        <v>2.4300619047619048</v>
      </c>
      <c r="D30" s="959">
        <f>'[1]1'!D40/'[1]2a'!D30</f>
        <v>2.4196491228070172</v>
      </c>
      <c r="E30" s="959">
        <f>'[1]1'!E40/'[1]2a'!E30</f>
        <v>2.316074074074074</v>
      </c>
      <c r="F30" s="959">
        <f>'[1]1'!F40/'[1]2a'!F30</f>
        <v>2.3597278481012656</v>
      </c>
      <c r="G30" s="959">
        <f>'[1]1'!G40/'[1]2a'!G30</f>
        <v>2.218474418604651</v>
      </c>
      <c r="H30" s="959">
        <f>'[1]1'!H40/'[1]2a'!H30</f>
        <v>2.4971108044164039</v>
      </c>
      <c r="I30" s="959">
        <f>'[1]1'!I40/'[1]2a'!I30</f>
        <v>2.5192148936170211</v>
      </c>
      <c r="J30" s="959">
        <f>'[1]1'!J40/'[1]2a'!J30</f>
        <v>2.480305</v>
      </c>
      <c r="K30" s="959">
        <f>'[1]1'!K40/'[1]2a'!K30</f>
        <v>2.3874759246336357</v>
      </c>
      <c r="L30" s="959">
        <f>'[1]1'!L40/'[1]2a'!L30</f>
        <v>2.2963095238095237</v>
      </c>
    </row>
    <row r="31" spans="1:12" s="961" customFormat="1">
      <c r="A31" s="120">
        <v>2007</v>
      </c>
      <c r="B31" s="959">
        <f>'[1]1'!B41/'[1]2a'!B31</f>
        <v>2.379661198236612</v>
      </c>
      <c r="C31" s="959">
        <f>'[1]1'!C41/'[1]2a'!C31</f>
        <v>2.3889575471698112</v>
      </c>
      <c r="D31" s="959">
        <f>'[1]1'!D41/'[1]2a'!D31</f>
        <v>2.381344827586207</v>
      </c>
      <c r="E31" s="959">
        <f>'[1]1'!E41/'[1]2a'!E31</f>
        <v>2.2942132352941176</v>
      </c>
      <c r="F31" s="959">
        <f>'[1]1'!F41/'[1]2a'!F31</f>
        <v>2.3365830721003134</v>
      </c>
      <c r="G31" s="959">
        <f>'[1]1'!G41/'[1]2a'!G31</f>
        <v>2.2067292563881709</v>
      </c>
      <c r="H31" s="959">
        <f>'[1]1'!H41/'[1]2a'!H31</f>
        <v>2.495332943241662</v>
      </c>
      <c r="I31" s="959">
        <f>'[1]1'!I41/'[1]2a'!I31</f>
        <v>2.5021257861635218</v>
      </c>
      <c r="J31" s="959">
        <f>'[1]1'!J41/'[1]2a'!J31</f>
        <v>2.4502377450980393</v>
      </c>
      <c r="K31" s="959">
        <f>'[1]1'!K41/'[1]2a'!K31</f>
        <v>2.3883619047619047</v>
      </c>
      <c r="L31" s="959">
        <f>'[1]1'!L41/'[1]2a'!L31</f>
        <v>2.300056029882604</v>
      </c>
    </row>
    <row r="32" spans="1:12">
      <c r="A32" s="2"/>
      <c r="B32" s="960"/>
      <c r="C32" s="960"/>
      <c r="D32" s="962" t="s">
        <v>802</v>
      </c>
      <c r="E32" s="960"/>
      <c r="F32" s="960"/>
      <c r="G32" s="960"/>
      <c r="H32" s="960"/>
      <c r="I32" s="960"/>
      <c r="J32" s="960"/>
      <c r="K32" s="960"/>
      <c r="L32" s="960"/>
    </row>
    <row r="33" spans="1:12">
      <c r="A33" s="448" t="s">
        <v>603</v>
      </c>
      <c r="B33" s="27">
        <f>((((B13/B5))^(1/8))-1)*100</f>
        <v>-0.75005301570103544</v>
      </c>
      <c r="C33" s="27">
        <f t="shared" ref="C33:L33" si="0">((((C13/C5))^(1/8))-1)*100</f>
        <v>-1.6854061274634957</v>
      </c>
      <c r="D33" s="27">
        <f t="shared" si="0"/>
        <v>-0.78456453160181683</v>
      </c>
      <c r="E33" s="27">
        <f t="shared" si="0"/>
        <v>-1.0781144896305106</v>
      </c>
      <c r="F33" s="27">
        <f t="shared" si="0"/>
        <v>-1.2828293326915707</v>
      </c>
      <c r="G33" s="27">
        <f t="shared" si="0"/>
        <v>-1.1972111830247711</v>
      </c>
      <c r="H33" s="27">
        <f t="shared" si="0"/>
        <v>-0.58304740693758683</v>
      </c>
      <c r="I33" s="27">
        <f t="shared" si="0"/>
        <v>-0.50483615342390431</v>
      </c>
      <c r="J33" s="27">
        <f t="shared" si="0"/>
        <v>-0.29141428132063441</v>
      </c>
      <c r="K33" s="27">
        <f t="shared" si="0"/>
        <v>-9.7486284592585015E-2</v>
      </c>
      <c r="L33" s="27">
        <f t="shared" si="0"/>
        <v>-0.60443631158261235</v>
      </c>
    </row>
    <row r="34" spans="1:12">
      <c r="A34" s="448" t="s">
        <v>604</v>
      </c>
      <c r="B34" s="27">
        <f>((((B24/B13))^(1/11))-1)*100</f>
        <v>-0.35172737648668795</v>
      </c>
      <c r="C34" s="27">
        <f t="shared" ref="C34:L34" si="1">((((C24/C13))^(1/11))-1)*100</f>
        <v>-1.4494170260099137</v>
      </c>
      <c r="D34" s="27">
        <f t="shared" si="1"/>
        <v>-1.0215510963966445</v>
      </c>
      <c r="E34" s="27">
        <f t="shared" si="1"/>
        <v>-0.80946577200039505</v>
      </c>
      <c r="F34" s="27">
        <f t="shared" si="1"/>
        <v>-0.82646358270974662</v>
      </c>
      <c r="G34" s="27">
        <f t="shared" si="1"/>
        <v>-0.62762988887383742</v>
      </c>
      <c r="H34" s="27">
        <f t="shared" si="1"/>
        <v>-0.13951580989547407</v>
      </c>
      <c r="I34" s="27">
        <f t="shared" si="1"/>
        <v>-0.18930209831422573</v>
      </c>
      <c r="J34" s="27">
        <f t="shared" si="1"/>
        <v>-0.40757277752503374</v>
      </c>
      <c r="K34" s="27">
        <f t="shared" si="1"/>
        <v>-0.32754113440081056</v>
      </c>
      <c r="L34" s="27">
        <f t="shared" si="1"/>
        <v>-6.4287846519861525E-2</v>
      </c>
    </row>
    <row r="35" spans="1:12">
      <c r="A35" s="448" t="s">
        <v>447</v>
      </c>
      <c r="B35" s="27">
        <f>((((B31/B5))^(1/26))-1)*100</f>
        <v>-0.50986308069663755</v>
      </c>
      <c r="C35" s="27">
        <f t="shared" ref="C35:L35" si="2">((((C31/C5))^(1/26))-1)*100</f>
        <v>-1.5132098733500299</v>
      </c>
      <c r="D35" s="27">
        <f t="shared" si="2"/>
        <v>-0.90136153668580743</v>
      </c>
      <c r="E35" s="27">
        <f t="shared" si="2"/>
        <v>-0.90732354028884021</v>
      </c>
      <c r="F35" s="27">
        <f t="shared" si="2"/>
        <v>-0.98063963796681808</v>
      </c>
      <c r="G35" s="27">
        <f t="shared" si="2"/>
        <v>-0.83460832845420052</v>
      </c>
      <c r="H35" s="27">
        <f t="shared" si="2"/>
        <v>-0.30485826624474521</v>
      </c>
      <c r="I35" s="27">
        <f t="shared" si="2"/>
        <v>-0.30768660817636073</v>
      </c>
      <c r="J35" s="27">
        <f t="shared" si="2"/>
        <v>-0.3874265576232605</v>
      </c>
      <c r="K35" s="27">
        <f t="shared" si="2"/>
        <v>-0.29220342723486059</v>
      </c>
      <c r="L35" s="27">
        <f t="shared" si="2"/>
        <v>-0.34943967368632478</v>
      </c>
    </row>
    <row r="36" spans="1:12">
      <c r="A36" s="448" t="s">
        <v>449</v>
      </c>
      <c r="B36" s="27">
        <f>((((B31/B24))^(1/7))-1)*100</f>
        <v>-0.4833265547921628</v>
      </c>
      <c r="C36" s="27">
        <f t="shared" ref="C36:L36" si="3">((((C31/C24))^(1/7))-1)*100</f>
        <v>-1.4164078217214326</v>
      </c>
      <c r="D36" s="27">
        <f t="shared" si="3"/>
        <v>-0.84576570630791048</v>
      </c>
      <c r="E36" s="27">
        <f t="shared" si="3"/>
        <v>-0.86565733656934762</v>
      </c>
      <c r="F36" s="27">
        <f t="shared" si="3"/>
        <v>-0.87678573740191945</v>
      </c>
      <c r="G36" s="27">
        <f t="shared" si="3"/>
        <v>-0.74431736297657647</v>
      </c>
      <c r="H36" s="27">
        <f t="shared" si="3"/>
        <v>-0.2460747345179759</v>
      </c>
      <c r="I36" s="27">
        <f t="shared" si="3"/>
        <v>-0.2680643199389765</v>
      </c>
      <c r="J36" s="27">
        <f t="shared" si="3"/>
        <v>-0.46540993753412252</v>
      </c>
      <c r="K36" s="27">
        <f t="shared" si="3"/>
        <v>-0.45884036930976535</v>
      </c>
      <c r="L36" s="27">
        <f t="shared" si="3"/>
        <v>-0.50497576673529387</v>
      </c>
    </row>
    <row r="37" spans="1:12">
      <c r="A37" s="448"/>
      <c r="B37" s="961"/>
      <c r="C37" s="961"/>
      <c r="D37" s="27" t="s">
        <v>276</v>
      </c>
      <c r="E37" s="961"/>
      <c r="F37" s="961"/>
      <c r="G37" s="961"/>
      <c r="H37" s="961"/>
      <c r="I37" s="961"/>
      <c r="J37" s="961"/>
      <c r="K37" s="961"/>
      <c r="L37" s="961"/>
    </row>
    <row r="38" spans="1:12">
      <c r="A38" s="448" t="s">
        <v>447</v>
      </c>
      <c r="B38" s="12">
        <f>(B31/B5-1)*100</f>
        <v>-12.445042369013992</v>
      </c>
      <c r="C38" s="12">
        <f t="shared" ref="C38:L38" si="4">(C31/C5-1)*100</f>
        <v>-32.729049674517142</v>
      </c>
      <c r="D38" s="12">
        <f t="shared" si="4"/>
        <v>-20.975841611128622</v>
      </c>
      <c r="E38" s="12">
        <f t="shared" si="4"/>
        <v>-21.099359882781076</v>
      </c>
      <c r="F38" s="12">
        <f t="shared" si="4"/>
        <v>-22.603195344605854</v>
      </c>
      <c r="G38" s="12">
        <f t="shared" si="4"/>
        <v>-19.580120107059763</v>
      </c>
      <c r="H38" s="12">
        <f t="shared" si="4"/>
        <v>-7.6315037794472236</v>
      </c>
      <c r="I38" s="12">
        <f t="shared" si="4"/>
        <v>-7.6996122510885279</v>
      </c>
      <c r="J38" s="12">
        <f t="shared" si="4"/>
        <v>-9.6000561372947431</v>
      </c>
      <c r="K38" s="12">
        <f t="shared" si="4"/>
        <v>-7.326174048260869</v>
      </c>
      <c r="L38" s="12">
        <f t="shared" si="4"/>
        <v>-8.6994547598782006</v>
      </c>
    </row>
    <row r="40" spans="1:12">
      <c r="A40" s="9" t="s">
        <v>292</v>
      </c>
      <c r="B40" s="9"/>
      <c r="C40" s="9"/>
      <c r="D40" s="9"/>
      <c r="E40" s="9"/>
      <c r="F40" s="9"/>
      <c r="G40" s="9"/>
      <c r="H40" s="9"/>
      <c r="I40" s="9"/>
      <c r="J40" s="9"/>
      <c r="K40" s="9"/>
      <c r="L40" s="9"/>
    </row>
  </sheetData>
  <mergeCells count="11">
    <mergeCell ref="B3:B4"/>
    <mergeCell ref="C3:C4"/>
    <mergeCell ref="D3:D4"/>
    <mergeCell ref="E3:E4"/>
    <mergeCell ref="J3:J4"/>
    <mergeCell ref="L3:L4"/>
    <mergeCell ref="F3:F4"/>
    <mergeCell ref="G3:G4"/>
    <mergeCell ref="H3:H4"/>
    <mergeCell ref="I3:I4"/>
    <mergeCell ref="K3:K4"/>
  </mergeCells>
  <phoneticPr fontId="35" type="noConversion"/>
  <pageMargins left="0.75" right="0.75" top="1" bottom="1" header="0.5" footer="0.5"/>
  <pageSetup scale="91" orientation="landscape" horizontalDpi="300" verticalDpi="300" r:id="rId1"/>
  <headerFooter alignWithMargins="0"/>
</worksheet>
</file>

<file path=xl/worksheets/sheet80.xml><?xml version="1.0" encoding="utf-8"?>
<worksheet xmlns="http://schemas.openxmlformats.org/spreadsheetml/2006/main" xmlns:r="http://schemas.openxmlformats.org/officeDocument/2006/relationships">
  <sheetPr codeName="Sheet471">
    <pageSetUpPr fitToPage="1"/>
  </sheetPr>
  <dimension ref="A1:AJ42"/>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7109375" style="1" bestFit="1" customWidth="1"/>
    <col min="3" max="12" width="9.28515625" style="1" bestFit="1" customWidth="1"/>
    <col min="13" max="16384" width="8.85546875" style="1"/>
  </cols>
  <sheetData>
    <row r="1" spans="1:14" ht="30.75" customHeight="1">
      <c r="A1" s="4"/>
      <c r="B1" s="1178" t="s">
        <v>2164</v>
      </c>
      <c r="C1" s="1178"/>
      <c r="D1" s="1178"/>
      <c r="E1" s="1178"/>
      <c r="F1" s="1178"/>
      <c r="G1" s="1178"/>
      <c r="H1" s="1178"/>
      <c r="I1" s="1178"/>
      <c r="J1" s="1178"/>
      <c r="K1" s="1178"/>
      <c r="L1" s="1178"/>
      <c r="M1" s="4"/>
      <c r="N1" s="4"/>
    </row>
    <row r="2" spans="1:14">
      <c r="A2" s="4"/>
      <c r="B2" s="4"/>
      <c r="M2" s="4"/>
      <c r="N2" s="4"/>
    </row>
    <row r="3" spans="1:14">
      <c r="B3" s="1166" t="s">
        <v>375</v>
      </c>
      <c r="C3" s="1164" t="s">
        <v>377</v>
      </c>
      <c r="D3" s="1164" t="s">
        <v>386</v>
      </c>
      <c r="E3" s="1164" t="s">
        <v>378</v>
      </c>
      <c r="F3" s="1164" t="s">
        <v>379</v>
      </c>
      <c r="G3" s="1164" t="s">
        <v>380</v>
      </c>
      <c r="H3" s="1164" t="s">
        <v>381</v>
      </c>
      <c r="I3" s="1164" t="s">
        <v>382</v>
      </c>
      <c r="J3" s="1164" t="s">
        <v>383</v>
      </c>
      <c r="K3" s="1164" t="s">
        <v>384</v>
      </c>
      <c r="L3" s="1164" t="s">
        <v>385</v>
      </c>
      <c r="M3" s="4"/>
      <c r="N3" s="4"/>
    </row>
    <row r="4" spans="1:14">
      <c r="A4" s="7"/>
      <c r="B4" s="1167"/>
      <c r="C4" s="1165"/>
      <c r="D4" s="1165"/>
      <c r="E4" s="1165"/>
      <c r="F4" s="1165"/>
      <c r="G4" s="1165"/>
      <c r="H4" s="1165"/>
      <c r="I4" s="1165"/>
      <c r="J4" s="1165"/>
      <c r="K4" s="1165"/>
      <c r="L4" s="1165"/>
      <c r="M4" s="4"/>
      <c r="N4" s="4"/>
    </row>
    <row r="5" spans="1:14">
      <c r="A5" s="2">
        <v>1981</v>
      </c>
      <c r="B5" s="19">
        <f>'16g'!B5/'16g'!$B5*100</f>
        <v>100</v>
      </c>
      <c r="C5" s="21">
        <f>'16g'!C5/'16g'!$B5*100</f>
        <v>98.765432098765444</v>
      </c>
      <c r="D5" s="21">
        <f>'16g'!D5/'16g'!$B5*100</f>
        <v>100</v>
      </c>
      <c r="E5" s="21">
        <f>'16g'!E5/'16g'!$B5*100</f>
        <v>103.70370370370372</v>
      </c>
      <c r="F5" s="21">
        <f>'16g'!F5/'16g'!$B5*100</f>
        <v>116.66666666666667</v>
      </c>
      <c r="G5" s="21">
        <f>'16g'!G5/'16g'!$B5*100</f>
        <v>125.92592592592592</v>
      </c>
      <c r="H5" s="21">
        <f>'16g'!H5/'16g'!$B5*100</f>
        <v>88.271604938271608</v>
      </c>
      <c r="I5" s="21">
        <f>'16g'!I5/'16g'!$B5*100</f>
        <v>113.58024691358024</v>
      </c>
      <c r="J5" s="21">
        <f>'16g'!J5/'16g'!$B5*100</f>
        <v>97.530864197530875</v>
      </c>
      <c r="K5" s="21">
        <f>'16g'!K5/'16g'!$B5*100</f>
        <v>68.518518518518519</v>
      </c>
      <c r="L5" s="21">
        <f>'16g'!L5/'16g'!$B5*100</f>
        <v>96.913580246913583</v>
      </c>
      <c r="M5" s="4"/>
      <c r="N5" s="4"/>
    </row>
    <row r="6" spans="1:14">
      <c r="A6" s="2">
        <v>1982</v>
      </c>
      <c r="B6" s="19">
        <f>'16g'!B6/'16g'!$B6*100</f>
        <v>100</v>
      </c>
      <c r="C6" s="21">
        <f>'16g'!C6/'16g'!$B6*100</f>
        <v>99.397590361445779</v>
      </c>
      <c r="D6" s="21">
        <f>'16g'!D6/'16g'!$B6*100</f>
        <v>86.144578313253007</v>
      </c>
      <c r="E6" s="21">
        <f>'16g'!E6/'16g'!$B6*100</f>
        <v>96.385542168674689</v>
      </c>
      <c r="F6" s="21">
        <f>'16g'!F6/'16g'!$B6*100</f>
        <v>115.66265060240963</v>
      </c>
      <c r="G6" s="21">
        <f>'16g'!G6/'16g'!$B6*100</f>
        <v>126.50602409638554</v>
      </c>
      <c r="H6" s="21">
        <f>'16g'!H6/'16g'!$B6*100</f>
        <v>87.349397590361434</v>
      </c>
      <c r="I6" s="21">
        <f>'16g'!I6/'16g'!$B6*100</f>
        <v>118.67469879518072</v>
      </c>
      <c r="J6" s="21">
        <f>'16g'!J6/'16g'!$B6*100</f>
        <v>87.951807228915655</v>
      </c>
      <c r="K6" s="21">
        <f>'16g'!K6/'16g'!$B6*100</f>
        <v>72.891566265060234</v>
      </c>
      <c r="L6" s="21">
        <f>'16g'!L6/'16g'!$B6*100</f>
        <v>97.590361445783131</v>
      </c>
      <c r="M6" s="4"/>
      <c r="N6" s="4"/>
    </row>
    <row r="7" spans="1:14">
      <c r="A7" s="2">
        <v>1983</v>
      </c>
      <c r="B7" s="19">
        <f>'16g'!B7/'16g'!$B7*100</f>
        <v>100</v>
      </c>
      <c r="C7" s="21">
        <f>'16g'!C7/'16g'!$B7*100</f>
        <v>115.50802139037435</v>
      </c>
      <c r="D7" s="21">
        <f>'16g'!D7/'16g'!$B7*100</f>
        <v>79.679144385026746</v>
      </c>
      <c r="E7" s="21">
        <f>'16g'!E7/'16g'!$B7*100</f>
        <v>85.026737967914443</v>
      </c>
      <c r="F7" s="21">
        <f>'16g'!F7/'16g'!$B7*100</f>
        <v>117.11229946524064</v>
      </c>
      <c r="G7" s="21">
        <f>'16g'!G7/'16g'!$B7*100</f>
        <v>117.11229946524064</v>
      </c>
      <c r="H7" s="21">
        <f>'16g'!H7/'16g'!$B7*100</f>
        <v>93.582887700534769</v>
      </c>
      <c r="I7" s="21">
        <f>'16g'!I7/'16g'!$B7*100</f>
        <v>93.582887700534769</v>
      </c>
      <c r="J7" s="21">
        <f>'16g'!J7/'16g'!$B7*100</f>
        <v>87.700534759358277</v>
      </c>
      <c r="K7" s="21">
        <f>'16g'!K7/'16g'!$B7*100</f>
        <v>90.909090909090921</v>
      </c>
      <c r="L7" s="21">
        <f>'16g'!L7/'16g'!$B7*100</f>
        <v>95.721925133689837</v>
      </c>
      <c r="M7" s="4"/>
      <c r="N7" s="4"/>
    </row>
    <row r="8" spans="1:14">
      <c r="A8" s="2">
        <v>1984</v>
      </c>
      <c r="B8" s="19">
        <f>'16g'!B8/'16g'!$B8*100</f>
        <v>100</v>
      </c>
      <c r="C8" s="21">
        <f>'16g'!C8/'16g'!$B8*100</f>
        <v>96.089385474860336</v>
      </c>
      <c r="D8" s="21">
        <f>'16g'!D8/'16g'!$B8*100</f>
        <v>73.184357541899445</v>
      </c>
      <c r="E8" s="21">
        <f>'16g'!E8/'16g'!$B8*100</f>
        <v>87.709497206703915</v>
      </c>
      <c r="F8" s="21">
        <f>'16g'!F8/'16g'!$B8*100</f>
        <v>105.02793296089388</v>
      </c>
      <c r="G8" s="21">
        <f>'16g'!G8/'16g'!$B8*100</f>
        <v>123.463687150838</v>
      </c>
      <c r="H8" s="21">
        <f>'16g'!H8/'16g'!$B8*100</f>
        <v>86.033519553072637</v>
      </c>
      <c r="I8" s="21">
        <f>'16g'!I8/'16g'!$B8*100</f>
        <v>97.765363128491629</v>
      </c>
      <c r="J8" s="21">
        <f>'16g'!J8/'16g'!$B8*100</f>
        <v>88.268156424581008</v>
      </c>
      <c r="K8" s="21">
        <f>'16g'!K8/'16g'!$B8*100</f>
        <v>99.441340782122921</v>
      </c>
      <c r="L8" s="21">
        <f>'16g'!L8/'16g'!$B8*100</f>
        <v>102.2346368715084</v>
      </c>
      <c r="M8" s="4"/>
      <c r="N8" s="4"/>
    </row>
    <row r="9" spans="1:14">
      <c r="A9" s="2">
        <v>1985</v>
      </c>
      <c r="B9" s="19">
        <f>'16g'!B9/'16g'!$B9*100</f>
        <v>100</v>
      </c>
      <c r="C9" s="21">
        <f>'16g'!C9/'16g'!$B9*100</f>
        <v>110.52631578947367</v>
      </c>
      <c r="D9" s="21">
        <f>'16g'!D9/'16g'!$B9*100</f>
        <v>70.760233918128648</v>
      </c>
      <c r="E9" s="21">
        <f>'16g'!E9/'16g'!$B9*100</f>
        <v>85.380116959064324</v>
      </c>
      <c r="F9" s="21">
        <f>'16g'!F9/'16g'!$B9*100</f>
        <v>90.643274853801159</v>
      </c>
      <c r="G9" s="21">
        <f>'16g'!G9/'16g'!$B9*100</f>
        <v>124.56140350877192</v>
      </c>
      <c r="H9" s="21">
        <f>'16g'!H9/'16g'!$B9*100</f>
        <v>81.871345029239762</v>
      </c>
      <c r="I9" s="21">
        <f>'16g'!I9/'16g'!$B9*100</f>
        <v>101.75438596491226</v>
      </c>
      <c r="J9" s="21">
        <f>'16g'!J9/'16g'!$B9*100</f>
        <v>94.152046783625735</v>
      </c>
      <c r="K9" s="21">
        <f>'16g'!K9/'16g'!$B9*100</f>
        <v>90.643274853801159</v>
      </c>
      <c r="L9" s="21">
        <f>'16g'!L9/'16g'!$B9*100</f>
        <v>115.20467836257309</v>
      </c>
      <c r="M9" s="4"/>
      <c r="N9" s="4"/>
    </row>
    <row r="10" spans="1:14">
      <c r="A10" s="2">
        <v>1986</v>
      </c>
      <c r="B10" s="19">
        <f>'16g'!B10/'16g'!$B10*100</f>
        <v>100</v>
      </c>
      <c r="C10" s="21">
        <f>'16g'!C10/'16g'!$B10*100</f>
        <v>111.65644171779141</v>
      </c>
      <c r="D10" s="21">
        <f>'16g'!D10/'16g'!$B10*100</f>
        <v>65.030674846625757</v>
      </c>
      <c r="E10" s="21">
        <f>'16g'!E10/'16g'!$B10*100</f>
        <v>88.343558282208591</v>
      </c>
      <c r="F10" s="21">
        <f>'16g'!F10/'16g'!$B10*100</f>
        <v>95.092024539877301</v>
      </c>
      <c r="G10" s="21">
        <f>'16g'!G10/'16g'!$B10*100</f>
        <v>129.4478527607362</v>
      </c>
      <c r="H10" s="21">
        <f>'16g'!H10/'16g'!$B10*100</f>
        <v>79.141104294478524</v>
      </c>
      <c r="I10" s="21">
        <f>'16g'!I10/'16g'!$B10*100</f>
        <v>98.159509202453989</v>
      </c>
      <c r="J10" s="21">
        <f>'16g'!J10/'16g'!$B10*100</f>
        <v>104.29447852760735</v>
      </c>
      <c r="K10" s="21">
        <f>'16g'!K10/'16g'!$B10*100</f>
        <v>93.865030674846622</v>
      </c>
      <c r="L10" s="21">
        <f>'16g'!L10/'16g'!$B10*100</f>
        <v>109.20245398773005</v>
      </c>
      <c r="M10" s="4"/>
      <c r="N10" s="4"/>
    </row>
    <row r="11" spans="1:14">
      <c r="A11" s="2">
        <v>1987</v>
      </c>
      <c r="B11" s="19">
        <f>'16g'!B11/'16g'!$B11*100</f>
        <v>100</v>
      </c>
      <c r="C11" s="21">
        <f>'16g'!C11/'16g'!$B11*100</f>
        <v>106.83229813664595</v>
      </c>
      <c r="D11" s="21">
        <f>'16g'!D11/'16g'!$B11*100</f>
        <v>67.0807453416149</v>
      </c>
      <c r="E11" s="21">
        <f>'16g'!E11/'16g'!$B11*100</f>
        <v>89.440993788819867</v>
      </c>
      <c r="F11" s="21">
        <f>'16g'!F11/'16g'!$B11*100</f>
        <v>106.83229813664595</v>
      </c>
      <c r="G11" s="21">
        <f>'16g'!G11/'16g'!$B11*100</f>
        <v>126.70807453416147</v>
      </c>
      <c r="H11" s="21">
        <f>'16g'!H11/'16g'!$B11*100</f>
        <v>76.397515527950304</v>
      </c>
      <c r="I11" s="21">
        <f>'16g'!I11/'16g'!$B11*100</f>
        <v>111.18012422360246</v>
      </c>
      <c r="J11" s="21">
        <f>'16g'!J11/'16g'!$B11*100</f>
        <v>89.440993788819867</v>
      </c>
      <c r="K11" s="21">
        <f>'16g'!K11/'16g'!$B11*100</f>
        <v>106.83229813664595</v>
      </c>
      <c r="L11" s="21">
        <f>'16g'!L11/'16g'!$B11*100</f>
        <v>108.07453416149066</v>
      </c>
      <c r="M11" s="4"/>
      <c r="N11" s="4"/>
    </row>
    <row r="12" spans="1:14">
      <c r="A12" s="2">
        <v>1988</v>
      </c>
      <c r="B12" s="19">
        <f>'16g'!B12/'16g'!$B12*100</f>
        <v>100</v>
      </c>
      <c r="C12" s="21">
        <f>'16g'!C12/'16g'!$B12*100</f>
        <v>92.76315789473685</v>
      </c>
      <c r="D12" s="21">
        <f>'16g'!D12/'16g'!$B12*100</f>
        <v>69.078947368421055</v>
      </c>
      <c r="E12" s="21">
        <f>'16g'!E12/'16g'!$B12*100</f>
        <v>90.789473684210535</v>
      </c>
      <c r="F12" s="21">
        <f>'16g'!F12/'16g'!$B12*100</f>
        <v>94.736842105263165</v>
      </c>
      <c r="G12" s="21">
        <f>'16g'!G12/'16g'!$B12*100</f>
        <v>134.21052631578948</v>
      </c>
      <c r="H12" s="21">
        <f>'16g'!H12/'16g'!$B12*100</f>
        <v>76.973684210526315</v>
      </c>
      <c r="I12" s="21">
        <f>'16g'!I12/'16g'!$B12*100</f>
        <v>111.18421052631578</v>
      </c>
      <c r="J12" s="21">
        <f>'16g'!J12/'16g'!$B12*100</f>
        <v>90.789473684210535</v>
      </c>
      <c r="K12" s="21">
        <f>'16g'!K12/'16g'!$B12*100</f>
        <v>102.63157894736842</v>
      </c>
      <c r="L12" s="21">
        <f>'16g'!L12/'16g'!$B12*100</f>
        <v>101.31578947368422</v>
      </c>
      <c r="M12" s="4"/>
      <c r="N12" s="4"/>
    </row>
    <row r="13" spans="1:14">
      <c r="A13" s="2">
        <v>1989</v>
      </c>
      <c r="B13" s="19">
        <f>'16g'!B13/'16g'!$B13*100</f>
        <v>100</v>
      </c>
      <c r="C13" s="21">
        <f>'16g'!C13/'16g'!$B13*100</f>
        <v>85.815602836879435</v>
      </c>
      <c r="D13" s="21">
        <f>'16g'!D13/'16g'!$B13*100</f>
        <v>75.177304964539005</v>
      </c>
      <c r="E13" s="21">
        <f>'16g'!E13/'16g'!$B13*100</f>
        <v>99.290780141843967</v>
      </c>
      <c r="F13" s="21">
        <f>'16g'!F13/'16g'!$B13*100</f>
        <v>96.453900709219852</v>
      </c>
      <c r="G13" s="21">
        <f>'16g'!G13/'16g'!$B13*100</f>
        <v>126.95035460992908</v>
      </c>
      <c r="H13" s="21">
        <f>'16g'!H13/'16g'!$B13*100</f>
        <v>78.01418439716312</v>
      </c>
      <c r="I13" s="21">
        <f>'16g'!I13/'16g'!$B13*100</f>
        <v>109.92907801418438</v>
      </c>
      <c r="J13" s="21">
        <f>'16g'!J13/'16g'!$B13*100</f>
        <v>100</v>
      </c>
      <c r="K13" s="21">
        <f>'16g'!K13/'16g'!$B13*100</f>
        <v>113.47517730496455</v>
      </c>
      <c r="L13" s="21">
        <f>'16g'!L13/'16g'!$B13*100</f>
        <v>97.872340425531917</v>
      </c>
      <c r="M13" s="4"/>
      <c r="N13" s="4"/>
    </row>
    <row r="14" spans="1:14">
      <c r="A14" s="2">
        <v>1990</v>
      </c>
      <c r="B14" s="19">
        <f>'16g'!B14/'16g'!$B14*100</f>
        <v>100</v>
      </c>
      <c r="C14" s="21">
        <f>'16g'!C14/'16g'!$B14*100</f>
        <v>94.968553459119505</v>
      </c>
      <c r="D14" s="21">
        <f>'16g'!D14/'16g'!$B14*100</f>
        <v>55.974842767295598</v>
      </c>
      <c r="E14" s="21">
        <f>'16g'!E14/'16g'!$B14*100</f>
        <v>74.842767295597497</v>
      </c>
      <c r="F14" s="21">
        <f>'16g'!F14/'16g'!$B14*100</f>
        <v>88.050314465408803</v>
      </c>
      <c r="G14" s="21">
        <f>'16g'!G14/'16g'!$B14*100</f>
        <v>134.59119496855345</v>
      </c>
      <c r="H14" s="21">
        <f>'16g'!H14/'16g'!$B14*100</f>
        <v>77.987421383647799</v>
      </c>
      <c r="I14" s="21">
        <f>'16g'!I14/'16g'!$B14*100</f>
        <v>111.32075471698113</v>
      </c>
      <c r="J14" s="21">
        <f>'16g'!J14/'16g'!$B14*100</f>
        <v>94.339622641509436</v>
      </c>
      <c r="K14" s="21">
        <f>'16g'!K14/'16g'!$B14*100</f>
        <v>105.03144654088049</v>
      </c>
      <c r="L14" s="21">
        <f>'16g'!L14/'16g'!$B14*100</f>
        <v>101.88679245283019</v>
      </c>
      <c r="M14" s="4"/>
      <c r="N14" s="4"/>
    </row>
    <row r="15" spans="1:14">
      <c r="A15" s="2">
        <v>1991</v>
      </c>
      <c r="B15" s="19">
        <f>'16g'!B15/'16g'!$B15*100</f>
        <v>100</v>
      </c>
      <c r="C15" s="21">
        <f>'16g'!C15/'16g'!$B15*100</f>
        <v>93.296089385474872</v>
      </c>
      <c r="D15" s="21">
        <f>'16g'!D15/'16g'!$B15*100</f>
        <v>72.625698324022352</v>
      </c>
      <c r="E15" s="21">
        <f>'16g'!E15/'16g'!$B15*100</f>
        <v>77.653631284916216</v>
      </c>
      <c r="F15" s="21">
        <f>'16g'!F15/'16g'!$B15*100</f>
        <v>83.798882681564251</v>
      </c>
      <c r="G15" s="21">
        <f>'16g'!G15/'16g'!$B15*100</f>
        <v>128.49162011173186</v>
      </c>
      <c r="H15" s="21">
        <f>'16g'!H15/'16g'!$B15*100</f>
        <v>81.564245810055866</v>
      </c>
      <c r="I15" s="21">
        <f>'16g'!I15/'16g'!$B15*100</f>
        <v>110.61452513966481</v>
      </c>
      <c r="J15" s="21">
        <f>'16g'!J15/'16g'!$B15*100</f>
        <v>96.089385474860336</v>
      </c>
      <c r="K15" s="21">
        <f>'16g'!K15/'16g'!$B15*100</f>
        <v>96.089385474860336</v>
      </c>
      <c r="L15" s="21">
        <f>'16g'!L15/'16g'!$B15*100</f>
        <v>105.02793296089388</v>
      </c>
      <c r="M15" s="4"/>
      <c r="N15" s="4"/>
    </row>
    <row r="16" spans="1:14">
      <c r="A16" s="2">
        <v>1992</v>
      </c>
      <c r="B16" s="19">
        <f>'16g'!B16/'16g'!$B16*100</f>
        <v>100</v>
      </c>
      <c r="C16" s="21">
        <f>'16g'!C16/'16g'!$B16*100</f>
        <v>101.12359550561798</v>
      </c>
      <c r="D16" s="21">
        <f>'16g'!D16/'16g'!$B16*100</f>
        <v>54.494382022471896</v>
      </c>
      <c r="E16" s="21">
        <f>'16g'!E16/'16g'!$B16*100</f>
        <v>88.202247191011224</v>
      </c>
      <c r="F16" s="21">
        <f>'16g'!F16/'16g'!$B16*100</f>
        <v>89.887640449438194</v>
      </c>
      <c r="G16" s="21">
        <f>'16g'!G16/'16g'!$B16*100</f>
        <v>121.34831460674158</v>
      </c>
      <c r="H16" s="21">
        <f>'16g'!H16/'16g'!$B16*100</f>
        <v>80.898876404494374</v>
      </c>
      <c r="I16" s="21">
        <f>'16g'!I16/'16g'!$B16*100</f>
        <v>114.6067415730337</v>
      </c>
      <c r="J16" s="21">
        <f>'16g'!J16/'16g'!$B16*100</f>
        <v>94.94382022471909</v>
      </c>
      <c r="K16" s="21">
        <f>'16g'!K16/'16g'!$B16*100</f>
        <v>115.1685393258427</v>
      </c>
      <c r="L16" s="21">
        <f>'16g'!L16/'16g'!$B16*100</f>
        <v>103.37078651685391</v>
      </c>
      <c r="M16" s="4"/>
      <c r="N16" s="4"/>
    </row>
    <row r="17" spans="1:14">
      <c r="A17" s="2">
        <v>1993</v>
      </c>
      <c r="B17" s="19">
        <f>'16g'!B17/'16g'!$B17*100</f>
        <v>100</v>
      </c>
      <c r="C17" s="21">
        <f>'16g'!C17/'16g'!$B17*100</f>
        <v>92.432432432432449</v>
      </c>
      <c r="D17" s="21">
        <f>'16g'!D17/'16g'!$B17*100</f>
        <v>50.810810810810814</v>
      </c>
      <c r="E17" s="21">
        <f>'16g'!E17/'16g'!$B17*100</f>
        <v>82.702702702702709</v>
      </c>
      <c r="F17" s="21">
        <f>'16g'!F17/'16g'!$B17*100</f>
        <v>86.486486486486484</v>
      </c>
      <c r="G17" s="21">
        <f>'16g'!G17/'16g'!$B17*100</f>
        <v>122.16216216216218</v>
      </c>
      <c r="H17" s="21">
        <f>'16g'!H17/'16g'!$B17*100</f>
        <v>86.486486486486484</v>
      </c>
      <c r="I17" s="21">
        <f>'16g'!I17/'16g'!$B17*100</f>
        <v>106.48648648648648</v>
      </c>
      <c r="J17" s="21">
        <f>'16g'!J17/'16g'!$B17*100</f>
        <v>94.054054054054049</v>
      </c>
      <c r="K17" s="21">
        <f>'16g'!K17/'16g'!$B17*100</f>
        <v>104.86486486486486</v>
      </c>
      <c r="L17" s="21">
        <f>'16g'!L17/'16g'!$B17*100</f>
        <v>101.08108108108107</v>
      </c>
      <c r="M17" s="4"/>
      <c r="N17" s="4"/>
    </row>
    <row r="18" spans="1:14">
      <c r="A18" s="2">
        <v>1994</v>
      </c>
      <c r="B18" s="19">
        <f>'16g'!B18/'16g'!$B18*100</f>
        <v>100</v>
      </c>
      <c r="C18" s="21">
        <f>'16g'!C18/'16g'!$B18*100</f>
        <v>92.391304347826093</v>
      </c>
      <c r="D18" s="21">
        <f>'16g'!D18/'16g'!$B18*100</f>
        <v>55.978260869565219</v>
      </c>
      <c r="E18" s="21">
        <f>'16g'!E18/'16g'!$B18*100</f>
        <v>92.391304347826093</v>
      </c>
      <c r="F18" s="21">
        <f>'16g'!F18/'16g'!$B18*100</f>
        <v>89.130434782608688</v>
      </c>
      <c r="G18" s="21">
        <f>'16g'!G18/'16g'!$B18*100</f>
        <v>125</v>
      </c>
      <c r="H18" s="21">
        <f>'16g'!H18/'16g'!$B18*100</f>
        <v>83.152173913043498</v>
      </c>
      <c r="I18" s="21">
        <f>'16g'!I18/'16g'!$B18*100</f>
        <v>109.78260869565217</v>
      </c>
      <c r="J18" s="21">
        <f>'16g'!J18/'16g'!$B18*100</f>
        <v>86.956521739130437</v>
      </c>
      <c r="K18" s="21">
        <f>'16g'!K18/'16g'!$B18*100</f>
        <v>99.456521739130437</v>
      </c>
      <c r="L18" s="21">
        <f>'16g'!L18/'16g'!$B18*100</f>
        <v>104.89130434782609</v>
      </c>
      <c r="M18" s="4"/>
      <c r="N18" s="4"/>
    </row>
    <row r="19" spans="1:14">
      <c r="A19" s="2">
        <v>1995</v>
      </c>
      <c r="B19" s="19">
        <f>'16g'!B19/'16g'!$B19*100</f>
        <v>100</v>
      </c>
      <c r="C19" s="21">
        <f>'16g'!C19/'16g'!$B19*100</f>
        <v>100</v>
      </c>
      <c r="D19" s="21">
        <f>'16g'!D19/'16g'!$B19*100</f>
        <v>66.486486486486498</v>
      </c>
      <c r="E19" s="21">
        <f>'16g'!E19/'16g'!$B19*100</f>
        <v>96.216216216216225</v>
      </c>
      <c r="F19" s="21">
        <f>'16g'!F19/'16g'!$B19*100</f>
        <v>83.243243243243242</v>
      </c>
      <c r="G19" s="21">
        <f>'16g'!G19/'16g'!$B19*100</f>
        <v>124.86486486486487</v>
      </c>
      <c r="H19" s="21">
        <f>'16g'!H19/'16g'!$B19*100</f>
        <v>86.486486486486484</v>
      </c>
      <c r="I19" s="21">
        <f>'16g'!I19/'16g'!$B19*100</f>
        <v>104.86486486486486</v>
      </c>
      <c r="J19" s="21">
        <f>'16g'!J19/'16g'!$B19*100</f>
        <v>86.486486486486484</v>
      </c>
      <c r="K19" s="21">
        <f>'16g'!K19/'16g'!$B19*100</f>
        <v>96.216216216216225</v>
      </c>
      <c r="L19" s="21">
        <f>'16g'!L19/'16g'!$B19*100</f>
        <v>98.918918918918919</v>
      </c>
      <c r="M19" s="4"/>
      <c r="N19" s="4"/>
    </row>
    <row r="20" spans="1:14">
      <c r="A20" s="2">
        <v>1996</v>
      </c>
      <c r="B20" s="19">
        <f>'16g'!B20/'16g'!$B20*100</f>
        <v>100</v>
      </c>
      <c r="C20" s="21">
        <f>'16g'!C20/'16g'!$B20*100</f>
        <v>94.871794871794862</v>
      </c>
      <c r="D20" s="21">
        <f>'16g'!D20/'16g'!$B20*100</f>
        <v>63.076923076923087</v>
      </c>
      <c r="E20" s="21">
        <f>'16g'!E20/'16g'!$B20*100</f>
        <v>85.128205128205138</v>
      </c>
      <c r="F20" s="21">
        <f>'16g'!F20/'16g'!$B20*100</f>
        <v>81.538461538461533</v>
      </c>
      <c r="G20" s="21">
        <f>'16g'!G20/'16g'!$B20*100</f>
        <v>123.07692307692308</v>
      </c>
      <c r="H20" s="21">
        <f>'16g'!H20/'16g'!$B20*100</f>
        <v>90.256410256410263</v>
      </c>
      <c r="I20" s="21">
        <f>'16g'!I20/'16g'!$B20*100</f>
        <v>97.948717948717956</v>
      </c>
      <c r="J20" s="21">
        <f>'16g'!J20/'16g'!$B20*100</f>
        <v>82.051282051282044</v>
      </c>
      <c r="K20" s="21">
        <f>'16g'!K20/'16g'!$B20*100</f>
        <v>92.307692307692307</v>
      </c>
      <c r="L20" s="21">
        <f>'16g'!L20/'16g'!$B20*100</f>
        <v>101.53846153846153</v>
      </c>
      <c r="M20" s="4"/>
      <c r="N20" s="4"/>
    </row>
    <row r="21" spans="1:14">
      <c r="A21" s="2">
        <v>1997</v>
      </c>
      <c r="B21" s="19">
        <f>'16g'!B21/'16g'!$B21*100</f>
        <v>100</v>
      </c>
      <c r="C21" s="21">
        <f>'16g'!C21/'16g'!$B21*100</f>
        <v>88.71794871794873</v>
      </c>
      <c r="D21" s="21">
        <f>'16g'!D21/'16g'!$B21*100</f>
        <v>62.051282051282051</v>
      </c>
      <c r="E21" s="21">
        <f>'16g'!E21/'16g'!$B21*100</f>
        <v>90.769230769230774</v>
      </c>
      <c r="F21" s="21">
        <f>'16g'!F21/'16g'!$B21*100</f>
        <v>91.794871794871796</v>
      </c>
      <c r="G21" s="21">
        <f>'16g'!G21/'16g'!$B21*100</f>
        <v>124.61538461538461</v>
      </c>
      <c r="H21" s="21">
        <f>'16g'!H21/'16g'!$B21*100</f>
        <v>87.692307692307708</v>
      </c>
      <c r="I21" s="21">
        <f>'16g'!I21/'16g'!$B21*100</f>
        <v>106.66666666666667</v>
      </c>
      <c r="J21" s="21">
        <f>'16g'!J21/'16g'!$B21*100</f>
        <v>73.333333333333343</v>
      </c>
      <c r="K21" s="21">
        <f>'16g'!K21/'16g'!$B21*100</f>
        <v>92.307692307692307</v>
      </c>
      <c r="L21" s="21">
        <f>'16g'!L21/'16g'!$B21*100</f>
        <v>103.07692307692309</v>
      </c>
      <c r="M21" s="4"/>
      <c r="N21" s="4"/>
    </row>
    <row r="22" spans="1:14">
      <c r="A22" s="2">
        <v>1998</v>
      </c>
      <c r="B22" s="19">
        <f>'16g'!B22/'16g'!$B22*100</f>
        <v>100</v>
      </c>
      <c r="C22" s="21">
        <f>'16g'!C22/'16g'!$B22*100</f>
        <v>93.406593406593402</v>
      </c>
      <c r="D22" s="21">
        <f>'16g'!D22/'16g'!$B22*100</f>
        <v>70.329670329670336</v>
      </c>
      <c r="E22" s="21">
        <f>'16g'!E22/'16g'!$B22*100</f>
        <v>101.64835164835165</v>
      </c>
      <c r="F22" s="21">
        <f>'16g'!F22/'16g'!$B22*100</f>
        <v>83.516483516483518</v>
      </c>
      <c r="G22" s="21">
        <f>'16g'!G22/'16g'!$B22*100</f>
        <v>121.97802197802199</v>
      </c>
      <c r="H22" s="21">
        <f>'16g'!H22/'16g'!$B22*100</f>
        <v>84.065934065934073</v>
      </c>
      <c r="I22" s="21">
        <f>'16g'!I22/'16g'!$B22*100</f>
        <v>99.45054945054946</v>
      </c>
      <c r="J22" s="21">
        <f>'16g'!J22/'16g'!$B22*100</f>
        <v>85.714285714285722</v>
      </c>
      <c r="K22" s="21">
        <f>'16g'!K22/'16g'!$B22*100</f>
        <v>98.901098901098905</v>
      </c>
      <c r="L22" s="21">
        <f>'16g'!L22/'16g'!$B22*100</f>
        <v>111.53846153846155</v>
      </c>
      <c r="M22" s="4"/>
      <c r="N22" s="4"/>
    </row>
    <row r="23" spans="1:14">
      <c r="A23" s="2">
        <v>1999</v>
      </c>
      <c r="B23" s="19">
        <f>'16g'!B23/'16g'!$B23*100</f>
        <v>100</v>
      </c>
      <c r="C23" s="21">
        <f>'16g'!C23/'16g'!$B23*100</f>
        <v>101.71428571428571</v>
      </c>
      <c r="D23" s="21">
        <f>'16g'!D23/'16g'!$B23*100</f>
        <v>84</v>
      </c>
      <c r="E23" s="21">
        <f>'16g'!E23/'16g'!$B23*100</f>
        <v>92.571428571428569</v>
      </c>
      <c r="F23" s="21">
        <f>'16g'!F23/'16g'!$B23*100</f>
        <v>77.142857142857153</v>
      </c>
      <c r="G23" s="21">
        <f>'16g'!G23/'16g'!$B23*100</f>
        <v>117.14285714285715</v>
      </c>
      <c r="H23" s="21">
        <f>'16g'!H23/'16g'!$B23*100</f>
        <v>86.857142857142861</v>
      </c>
      <c r="I23" s="21">
        <f>'16g'!I23/'16g'!$B23*100</f>
        <v>105.71428571428572</v>
      </c>
      <c r="J23" s="21">
        <f>'16g'!J23/'16g'!$B23*100</f>
        <v>80.571428571428569</v>
      </c>
      <c r="K23" s="21">
        <f>'16g'!K23/'16g'!$B23*100</f>
        <v>93.142857142857153</v>
      </c>
      <c r="L23" s="21">
        <f>'16g'!L23/'16g'!$B23*100</f>
        <v>120</v>
      </c>
      <c r="M23" s="4"/>
      <c r="N23" s="4"/>
    </row>
    <row r="24" spans="1:14">
      <c r="A24" s="2">
        <v>2000</v>
      </c>
      <c r="B24" s="19">
        <f>'16g'!B24/'16g'!$B24*100</f>
        <v>100</v>
      </c>
      <c r="C24" s="21">
        <f>'16g'!C24/'16g'!$B24*100</f>
        <v>95.833333333333343</v>
      </c>
      <c r="D24" s="21">
        <f>'16g'!D24/'16g'!$B24*100</f>
        <v>79.761904761904759</v>
      </c>
      <c r="E24" s="21">
        <f>'16g'!E24/'16g'!$B24*100</f>
        <v>94.047619047619051</v>
      </c>
      <c r="F24" s="21">
        <f>'16g'!F24/'16g'!$B24*100</f>
        <v>77.976190476190467</v>
      </c>
      <c r="G24" s="21">
        <f>'16g'!G24/'16g'!$B24*100</f>
        <v>119.64285714285714</v>
      </c>
      <c r="H24" s="21">
        <f>'16g'!H24/'16g'!$B24*100</f>
        <v>86.309523809523796</v>
      </c>
      <c r="I24" s="21">
        <f>'16g'!I24/'16g'!$B24*100</f>
        <v>102.97619047619047</v>
      </c>
      <c r="J24" s="21">
        <f>'16g'!J24/'16g'!$B24*100</f>
        <v>86.309523809523796</v>
      </c>
      <c r="K24" s="21">
        <f>'16g'!K24/'16g'!$B24*100</f>
        <v>89.285714285714278</v>
      </c>
      <c r="L24" s="21">
        <f>'16g'!L24/'16g'!$B24*100</f>
        <v>117.85714285714286</v>
      </c>
      <c r="M24" s="4"/>
      <c r="N24" s="4"/>
    </row>
    <row r="25" spans="1:14">
      <c r="A25" s="2">
        <v>2001</v>
      </c>
      <c r="B25" s="19">
        <f>'16g'!B25/'16g'!$B25*100</f>
        <v>100</v>
      </c>
      <c r="C25" s="21">
        <f>'16g'!C25/'16g'!$B25*100</f>
        <v>92.903225806451616</v>
      </c>
      <c r="D25" s="21">
        <f>'16g'!D25/'16g'!$B25*100</f>
        <v>71.612903225806448</v>
      </c>
      <c r="E25" s="21">
        <f>'16g'!E25/'16g'!$B25*100</f>
        <v>90.967741935483872</v>
      </c>
      <c r="F25" s="21">
        <f>'16g'!F25/'16g'!$B25*100</f>
        <v>82.58064516129032</v>
      </c>
      <c r="G25" s="21">
        <f>'16g'!G25/'16g'!$B25*100</f>
        <v>121.29032258064515</v>
      </c>
      <c r="H25" s="21">
        <f>'16g'!H25/'16g'!$B25*100</f>
        <v>84.516129032258064</v>
      </c>
      <c r="I25" s="21">
        <f>'16g'!I25/'16g'!$B25*100</f>
        <v>95.483870967741936</v>
      </c>
      <c r="J25" s="21">
        <f>'16g'!J25/'16g'!$B25*100</f>
        <v>86.451612903225808</v>
      </c>
      <c r="K25" s="21">
        <f>'16g'!K25/'16g'!$B25*100</f>
        <v>87.096774193548384</v>
      </c>
      <c r="L25" s="21">
        <f>'16g'!L25/'16g'!$B25*100</f>
        <v>123.22580645161293</v>
      </c>
      <c r="M25" s="4"/>
      <c r="N25" s="4"/>
    </row>
    <row r="26" spans="1:14">
      <c r="A26" s="2">
        <v>2002</v>
      </c>
      <c r="B26" s="19">
        <f>'16g'!B26/'16g'!$B26*100</f>
        <v>100</v>
      </c>
      <c r="C26" s="21">
        <f>'16g'!C26/'16g'!$B26*100</f>
        <v>100</v>
      </c>
      <c r="D26" s="21">
        <f>'16g'!D26/'16g'!$B26*100</f>
        <v>71.794871794871796</v>
      </c>
      <c r="E26" s="21">
        <f>'16g'!E26/'16g'!$B26*100</f>
        <v>87.179487179487182</v>
      </c>
      <c r="F26" s="21">
        <f>'16g'!F26/'16g'!$B26*100</f>
        <v>85.256410256410263</v>
      </c>
      <c r="G26" s="21">
        <f>'16g'!G26/'16g'!$B26*100</f>
        <v>109.61538461538463</v>
      </c>
      <c r="H26" s="21">
        <f>'16g'!H26/'16g'!$B26*100</f>
        <v>90.384615384615387</v>
      </c>
      <c r="I26" s="21">
        <f>'16g'!I26/'16g'!$B26*100</f>
        <v>97.435897435897431</v>
      </c>
      <c r="J26" s="21">
        <f>'16g'!J26/'16g'!$B26*100</f>
        <v>79.487179487179489</v>
      </c>
      <c r="K26" s="21">
        <f>'16g'!K26/'16g'!$B26*100</f>
        <v>86.538461538461547</v>
      </c>
      <c r="L26" s="21">
        <f>'16g'!L26/'16g'!$B26*100</f>
        <v>128.2051282051282</v>
      </c>
      <c r="M26" s="4"/>
      <c r="N26" s="4"/>
    </row>
    <row r="27" spans="1:14">
      <c r="A27" s="2">
        <v>2003</v>
      </c>
      <c r="B27" s="19">
        <f>'16g'!B27/'16g'!$B27*100</f>
        <v>100</v>
      </c>
      <c r="C27" s="21">
        <f>'16g'!C27/'16g'!$B27*100</f>
        <v>105.12820512820514</v>
      </c>
      <c r="D27" s="21">
        <f>'16g'!D27/'16g'!$B27*100</f>
        <v>69.230769230769241</v>
      </c>
      <c r="E27" s="21">
        <f>'16g'!E27/'16g'!$B27*100</f>
        <v>94.230769230769226</v>
      </c>
      <c r="F27" s="21">
        <f>'16g'!F27/'16g'!$B27*100</f>
        <v>82.051282051282058</v>
      </c>
      <c r="G27" s="21">
        <f>'16g'!G27/'16g'!$B27*100</f>
        <v>108.97435897435899</v>
      </c>
      <c r="H27" s="21">
        <f>'16g'!H27/'16g'!$B27*100</f>
        <v>89.743589743589752</v>
      </c>
      <c r="I27" s="21">
        <f>'16g'!I27/'16g'!$B27*100</f>
        <v>99.358974358974365</v>
      </c>
      <c r="J27" s="21">
        <f>'16g'!J27/'16g'!$B27*100</f>
        <v>82.051282051282058</v>
      </c>
      <c r="K27" s="21">
        <f>'16g'!K27/'16g'!$B27*100</f>
        <v>96.794871794871796</v>
      </c>
      <c r="L27" s="21">
        <f>'16g'!L27/'16g'!$B27*100</f>
        <v>122.43589743589745</v>
      </c>
      <c r="M27" s="4"/>
      <c r="N27" s="4"/>
    </row>
    <row r="28" spans="1:14">
      <c r="A28" s="2">
        <v>2004</v>
      </c>
      <c r="B28" s="19">
        <f>'16g'!B28/'16g'!$B28*100</f>
        <v>100</v>
      </c>
      <c r="C28" s="21">
        <f>'16g'!C28/'16g'!$B28*100</f>
        <v>98.051948051948045</v>
      </c>
      <c r="D28" s="21">
        <f>'16g'!D28/'16g'!$B28*100</f>
        <v>57.142857142857153</v>
      </c>
      <c r="E28" s="21">
        <f>'16g'!E28/'16g'!$B28*100</f>
        <v>93.506493506493499</v>
      </c>
      <c r="F28" s="21">
        <f>'16g'!F28/'16g'!$B28*100</f>
        <v>80.519480519480524</v>
      </c>
      <c r="G28" s="21">
        <f>'16g'!G28/'16g'!$B28*100</f>
        <v>105.84415584415585</v>
      </c>
      <c r="H28" s="21">
        <f>'16g'!H28/'16g'!$B28*100</f>
        <v>95.454545454545453</v>
      </c>
      <c r="I28" s="21">
        <f>'16g'!I28/'16g'!$B28*100</f>
        <v>100</v>
      </c>
      <c r="J28" s="21">
        <f>'16g'!J28/'16g'!$B28*100</f>
        <v>90.259740259740255</v>
      </c>
      <c r="K28" s="21">
        <f>'16g'!K28/'16g'!$B28*100</f>
        <v>92.857142857142861</v>
      </c>
      <c r="L28" s="21">
        <f>'16g'!L28/'16g'!$B28*100</f>
        <v>115.58441558441559</v>
      </c>
      <c r="M28" s="4"/>
      <c r="N28" s="4"/>
    </row>
    <row r="29" spans="1:14">
      <c r="A29" s="2">
        <v>2005</v>
      </c>
      <c r="B29" s="19">
        <f>'16g'!B29/'16g'!$B29*100</f>
        <v>100</v>
      </c>
      <c r="C29" s="21">
        <f>'16g'!C29/'16g'!$B29*100</f>
        <v>76.31578947368422</v>
      </c>
      <c r="D29" s="21">
        <f>'16g'!D29/'16g'!$B29*100</f>
        <v>61.842105263157897</v>
      </c>
      <c r="E29" s="21">
        <f>'16g'!E29/'16g'!$B29*100</f>
        <v>85.526315789473685</v>
      </c>
      <c r="F29" s="21">
        <f>'16g'!F29/'16g'!$B29*100</f>
        <v>92.10526315789474</v>
      </c>
      <c r="G29" s="21">
        <f>'16g'!G29/'16g'!$B29*100</f>
        <v>116.44736842105263</v>
      </c>
      <c r="H29" s="21">
        <f>'16g'!H29/'16g'!$B29*100</f>
        <v>92.10526315789474</v>
      </c>
      <c r="I29" s="21">
        <f>'16g'!I29/'16g'!$B29*100</f>
        <v>107.89473684210526</v>
      </c>
      <c r="J29" s="21">
        <f>'16g'!J29/'16g'!$B29*100</f>
        <v>92.76315789473685</v>
      </c>
      <c r="K29" s="21">
        <f>'16g'!K29/'16g'!$B29*100</f>
        <v>79.60526315789474</v>
      </c>
      <c r="L29" s="21">
        <f>'16g'!L29/'16g'!$B29*100</f>
        <v>113.81578947368422</v>
      </c>
      <c r="M29" s="4"/>
      <c r="N29" s="4"/>
    </row>
    <row r="30" spans="1:14">
      <c r="A30" s="2">
        <v>2006</v>
      </c>
      <c r="B30" s="19">
        <f>'16g'!B30/'16g'!$B30*100</f>
        <v>100</v>
      </c>
      <c r="C30" s="21">
        <f>'16g'!C30/'16g'!$B30*100</f>
        <v>80.136986301369859</v>
      </c>
      <c r="D30" s="21">
        <f>'16g'!D30/'16g'!$B30*100</f>
        <v>65.753424657534239</v>
      </c>
      <c r="E30" s="21">
        <f>'16g'!E30/'16g'!$B30*100</f>
        <v>88.356164383561648</v>
      </c>
      <c r="F30" s="21">
        <f>'16g'!F30/'16g'!$B30*100</f>
        <v>86.986301369863</v>
      </c>
      <c r="G30" s="21">
        <f>'16g'!G30/'16g'!$B30*100</f>
        <v>116.43835616438356</v>
      </c>
      <c r="H30" s="21">
        <f>'16g'!H30/'16g'!$B30*100</f>
        <v>95.890410958904113</v>
      </c>
      <c r="I30" s="21">
        <f>'16g'!I30/'16g'!$B30*100</f>
        <v>97.945205479452056</v>
      </c>
      <c r="J30" s="21">
        <f>'16g'!J30/'16g'!$B30*100</f>
        <v>89.041095890410958</v>
      </c>
      <c r="K30" s="21">
        <f>'16g'!K30/'16g'!$B30*100</f>
        <v>73.287671232876704</v>
      </c>
      <c r="L30" s="21">
        <f>'16g'!L30/'16g'!$B30*100</f>
        <v>113.69863013698631</v>
      </c>
      <c r="M30" s="4"/>
      <c r="N30" s="4"/>
    </row>
    <row r="31" spans="1:14" s="972" customFormat="1">
      <c r="A31" s="2">
        <v>2007</v>
      </c>
      <c r="B31" s="19">
        <f>'16g'!B31/'16g'!$B31*100</f>
        <v>100</v>
      </c>
      <c r="C31" s="21">
        <f>'16g'!C31/'16g'!$B31*100</f>
        <v>79.699248120300751</v>
      </c>
      <c r="D31" s="21">
        <f>'16g'!D31/'16g'!$B31*100</f>
        <v>60.150375939849624</v>
      </c>
      <c r="E31" s="21">
        <f>'16g'!E31/'16g'!$B31*100</f>
        <v>88.721804511278194</v>
      </c>
      <c r="F31" s="21">
        <f>'16g'!F31/'16g'!$B31*100</f>
        <v>86.46616541353383</v>
      </c>
      <c r="G31" s="21">
        <f>'16g'!G31/'16g'!$B31*100</f>
        <v>118.79699248120301</v>
      </c>
      <c r="H31" s="21">
        <f>'16g'!H31/'16g'!$B31*100</f>
        <v>94.73684210526315</v>
      </c>
      <c r="I31" s="21">
        <f>'16g'!I31/'16g'!$B31*100</f>
        <v>100</v>
      </c>
      <c r="J31" s="21">
        <f>'16g'!J31/'16g'!$B31*100</f>
        <v>78.94736842105263</v>
      </c>
      <c r="K31" s="21">
        <f>'16g'!K31/'16g'!$B31*100</f>
        <v>66.917293233082702</v>
      </c>
      <c r="L31" s="21">
        <f>'16g'!L31/'16g'!$B31*100</f>
        <v>115.0375939849624</v>
      </c>
      <c r="M31" s="4"/>
      <c r="N31" s="4"/>
    </row>
    <row r="32" spans="1:14" s="114" customFormat="1">
      <c r="A32" s="738"/>
      <c r="B32" s="644"/>
      <c r="C32" s="644"/>
      <c r="D32" s="644" t="s">
        <v>802</v>
      </c>
      <c r="E32" s="644"/>
      <c r="F32" s="644"/>
      <c r="H32" s="644"/>
      <c r="I32" s="644"/>
      <c r="J32" s="644"/>
      <c r="K32" s="644"/>
      <c r="L32" s="644"/>
    </row>
    <row r="33" spans="1:36" s="114" customFormat="1">
      <c r="A33" s="431" t="s">
        <v>603</v>
      </c>
      <c r="B33" s="967">
        <f t="shared" ref="B33:L33" si="0">((((B13/B5))^(1/8))-1)*100</f>
        <v>0</v>
      </c>
      <c r="C33" s="967">
        <f t="shared" si="0"/>
        <v>-1.7414929363857357</v>
      </c>
      <c r="D33" s="967">
        <f t="shared" si="0"/>
        <v>-3.5036593930097726</v>
      </c>
      <c r="E33" s="967">
        <f t="shared" si="0"/>
        <v>-0.54208926375580724</v>
      </c>
      <c r="F33" s="967">
        <f t="shared" si="0"/>
        <v>-2.3501398242775529</v>
      </c>
      <c r="G33" s="967">
        <f t="shared" si="0"/>
        <v>0.10132951433252657</v>
      </c>
      <c r="H33" s="967">
        <f t="shared" si="0"/>
        <v>-1.532237678075854</v>
      </c>
      <c r="I33" s="967">
        <f t="shared" si="0"/>
        <v>-0.40759451740104424</v>
      </c>
      <c r="J33" s="967">
        <f t="shared" si="0"/>
        <v>0.31300511878991077</v>
      </c>
      <c r="K33" s="967">
        <f t="shared" si="0"/>
        <v>6.509075058392888</v>
      </c>
      <c r="L33" s="967">
        <f t="shared" si="0"/>
        <v>0.12312980086013336</v>
      </c>
    </row>
    <row r="34" spans="1:36" s="114" customFormat="1">
      <c r="A34" s="431" t="s">
        <v>604</v>
      </c>
      <c r="B34" s="967">
        <f t="shared" ref="B34:L34" si="1">((((B24/B13))^(1/11))-1)*100</f>
        <v>0</v>
      </c>
      <c r="C34" s="967">
        <f t="shared" si="1"/>
        <v>1.0087790350430392</v>
      </c>
      <c r="D34" s="967">
        <f t="shared" si="1"/>
        <v>0.5396016958036709</v>
      </c>
      <c r="E34" s="967">
        <f t="shared" si="1"/>
        <v>-0.4919810492083676</v>
      </c>
      <c r="F34" s="967">
        <f t="shared" si="1"/>
        <v>-1.9147195851579424</v>
      </c>
      <c r="G34" s="967">
        <f t="shared" si="1"/>
        <v>-0.53750467182540618</v>
      </c>
      <c r="H34" s="967">
        <f t="shared" si="1"/>
        <v>0.92286224161317598</v>
      </c>
      <c r="I34" s="967">
        <f t="shared" si="1"/>
        <v>-0.59221772237036951</v>
      </c>
      <c r="J34" s="967">
        <f t="shared" si="1"/>
        <v>-1.3295391981253624</v>
      </c>
      <c r="K34" s="967">
        <f t="shared" si="1"/>
        <v>-2.1558992569872371</v>
      </c>
      <c r="L34" s="967">
        <f t="shared" si="1"/>
        <v>1.7035222905477321</v>
      </c>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row>
    <row r="35" spans="1:36" s="114" customFormat="1">
      <c r="A35" s="431" t="s">
        <v>447</v>
      </c>
      <c r="B35" s="23">
        <f>((((B31/B5))^(1/26))-1)*100</f>
        <v>0</v>
      </c>
      <c r="C35" s="23">
        <f t="shared" ref="C35:L35" si="2">((((C31/C5))^(1/26))-1)*100</f>
        <v>-0.8215585862195951</v>
      </c>
      <c r="D35" s="23">
        <f t="shared" si="2"/>
        <v>-1.9360986417180981</v>
      </c>
      <c r="E35" s="23">
        <f t="shared" si="2"/>
        <v>-0.59832650074936877</v>
      </c>
      <c r="F35" s="23">
        <f t="shared" si="2"/>
        <v>-1.1455711699675741</v>
      </c>
      <c r="G35" s="23">
        <f t="shared" si="2"/>
        <v>-0.22389418916268777</v>
      </c>
      <c r="H35" s="23">
        <f t="shared" si="2"/>
        <v>0.2722332825096041</v>
      </c>
      <c r="I35" s="23">
        <f t="shared" si="2"/>
        <v>-0.488569606150413</v>
      </c>
      <c r="J35" s="23">
        <f t="shared" si="2"/>
        <v>-0.80973261343852965</v>
      </c>
      <c r="K35" s="23">
        <f t="shared" si="2"/>
        <v>-9.090721037293692E-2</v>
      </c>
      <c r="L35" s="23">
        <f t="shared" si="2"/>
        <v>0.66156072097593999</v>
      </c>
    </row>
    <row r="36" spans="1:36" s="114" customFormat="1">
      <c r="A36" s="431" t="s">
        <v>449</v>
      </c>
      <c r="B36" s="967">
        <f>((((B31/B24))^(1/7))-1)*100</f>
        <v>0</v>
      </c>
      <c r="C36" s="967">
        <f t="shared" ref="C36:L36" si="3">((((C31/C24))^(1/7))-1)*100</f>
        <v>-2.5992012097748374</v>
      </c>
      <c r="D36" s="967">
        <f t="shared" si="3"/>
        <v>-3.9512244469374624</v>
      </c>
      <c r="E36" s="967">
        <f t="shared" si="3"/>
        <v>-0.82933555664044256</v>
      </c>
      <c r="F36" s="967">
        <f t="shared" si="3"/>
        <v>1.4873766339039252</v>
      </c>
      <c r="G36" s="967">
        <f t="shared" si="3"/>
        <v>-0.10130613423293688</v>
      </c>
      <c r="H36" s="967">
        <f t="shared" si="3"/>
        <v>1.339796122868675</v>
      </c>
      <c r="I36" s="967">
        <f t="shared" si="3"/>
        <v>-0.41808949208873569</v>
      </c>
      <c r="J36" s="967">
        <f t="shared" si="3"/>
        <v>-1.2656162981356078</v>
      </c>
      <c r="K36" s="967">
        <f t="shared" si="3"/>
        <v>-4.0360633256664062</v>
      </c>
      <c r="L36" s="967">
        <f t="shared" si="3"/>
        <v>-0.34532036620581463</v>
      </c>
    </row>
    <row r="37" spans="1:36" s="114" customFormat="1">
      <c r="A37" s="431"/>
      <c r="D37" s="644" t="s">
        <v>276</v>
      </c>
    </row>
    <row r="38" spans="1:36" s="114" customFormat="1">
      <c r="A38" s="431" t="s">
        <v>447</v>
      </c>
      <c r="B38" s="967">
        <f>(B31/B5-1)*100</f>
        <v>0</v>
      </c>
      <c r="C38" s="967">
        <f t="shared" ref="C38:L38" si="4">(C31/C5-1)*100</f>
        <v>-19.304511278195502</v>
      </c>
      <c r="D38" s="967">
        <f t="shared" si="4"/>
        <v>-39.849624060150376</v>
      </c>
      <c r="E38" s="967">
        <f t="shared" si="4"/>
        <v>-14.446831364124613</v>
      </c>
      <c r="F38" s="967">
        <f t="shared" si="4"/>
        <v>-25.886143931256722</v>
      </c>
      <c r="G38" s="967">
        <f t="shared" si="4"/>
        <v>-5.6612118531623175</v>
      </c>
      <c r="H38" s="967">
        <f t="shared" si="4"/>
        <v>7.3242546926757246</v>
      </c>
      <c r="I38" s="967">
        <f t="shared" si="4"/>
        <v>-11.956521739130432</v>
      </c>
      <c r="J38" s="967">
        <f t="shared" si="4"/>
        <v>-19.053964023984015</v>
      </c>
      <c r="K38" s="967">
        <f t="shared" si="4"/>
        <v>-2.336923389554979</v>
      </c>
      <c r="L38" s="967">
        <f t="shared" si="4"/>
        <v>18.701211627795587</v>
      </c>
    </row>
    <row r="39" spans="1:36">
      <c r="A39" s="4"/>
      <c r="B39" s="4"/>
      <c r="M39" s="4"/>
      <c r="N39" s="4"/>
    </row>
    <row r="40" spans="1:36">
      <c r="A40" s="4" t="s">
        <v>206</v>
      </c>
      <c r="M40" s="4"/>
      <c r="N40" s="4"/>
    </row>
    <row r="41" spans="1:36" ht="26.45" customHeight="1">
      <c r="A41" s="1168" t="s">
        <v>547</v>
      </c>
      <c r="B41" s="1169"/>
      <c r="C41" s="1169"/>
      <c r="D41" s="1169"/>
      <c r="E41" s="1169"/>
      <c r="F41" s="1169"/>
      <c r="G41" s="1169"/>
      <c r="H41" s="1169"/>
      <c r="I41" s="1169"/>
      <c r="J41" s="1169"/>
      <c r="K41" s="1169"/>
      <c r="L41" s="1169"/>
      <c r="M41" s="4"/>
      <c r="N41" s="4"/>
    </row>
    <row r="42" spans="1:36">
      <c r="A42" s="1"/>
      <c r="B42" s="4"/>
      <c r="M42" s="4"/>
      <c r="N42" s="4"/>
    </row>
  </sheetData>
  <mergeCells count="13">
    <mergeCell ref="L3:L4"/>
    <mergeCell ref="B1:L1"/>
    <mergeCell ref="A41:L41"/>
    <mergeCell ref="G3:G4"/>
    <mergeCell ref="H3:H4"/>
    <mergeCell ref="B3:B4"/>
    <mergeCell ref="C3:C4"/>
    <mergeCell ref="D3:D4"/>
    <mergeCell ref="E3:E4"/>
    <mergeCell ref="F3:F4"/>
    <mergeCell ref="I3:I4"/>
    <mergeCell ref="J3:J4"/>
    <mergeCell ref="K3:K4"/>
  </mergeCells>
  <phoneticPr fontId="35" type="noConversion"/>
  <pageMargins left="0.75" right="0.75" top="1" bottom="1" header="0.5" footer="0.5"/>
  <pageSetup scale="8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sheetPr codeName="Sheet105">
    <pageSetUpPr fitToPage="1"/>
  </sheetPr>
  <dimension ref="A1:BF58"/>
  <sheetViews>
    <sheetView view="pageBreakPreview" topLeftCell="B1" zoomScale="70" zoomScaleSheetLayoutView="70" workbookViewId="0">
      <pane xSplit="7" ySplit="4" topLeftCell="I14"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42578125" style="1" customWidth="1"/>
    <col min="9" max="25" width="7.140625" style="652" customWidth="1"/>
    <col min="26" max="27" width="7.140625" style="1" customWidth="1"/>
    <col min="28" max="29" width="7.140625" style="972" customWidth="1"/>
    <col min="30" max="30" width="8.140625" style="1" customWidth="1"/>
    <col min="31" max="34" width="7.140625" style="1" customWidth="1"/>
    <col min="35" max="35" width="7.5703125" style="1" customWidth="1"/>
    <col min="36" max="36" width="6" style="1" customWidth="1"/>
    <col min="37" max="16384" width="9.140625" style="1"/>
  </cols>
  <sheetData>
    <row r="1" spans="1:58" ht="15.75" customHeight="1">
      <c r="A1" s="1178" t="s">
        <v>2165</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row>
    <row r="2" spans="1:58">
      <c r="A2" s="4"/>
      <c r="B2" s="4"/>
    </row>
    <row r="3" spans="1:58" s="9" customFormat="1">
      <c r="H3" s="235"/>
      <c r="I3" s="665"/>
      <c r="J3" s="238"/>
      <c r="K3" s="666"/>
      <c r="L3" s="666"/>
      <c r="M3" s="666"/>
      <c r="N3" s="666"/>
      <c r="O3" s="666"/>
      <c r="P3" s="666"/>
      <c r="Q3" s="666"/>
      <c r="R3" s="666"/>
      <c r="S3" s="666"/>
      <c r="T3" s="666"/>
      <c r="U3" s="666"/>
      <c r="V3" s="666"/>
      <c r="W3" s="666"/>
      <c r="X3" s="666"/>
      <c r="Y3" s="666"/>
      <c r="AD3" s="1171" t="s">
        <v>802</v>
      </c>
      <c r="AE3" s="1171"/>
      <c r="AF3" s="1171"/>
      <c r="AG3" s="1171"/>
      <c r="AI3" s="644" t="s">
        <v>276</v>
      </c>
    </row>
    <row r="4" spans="1:58" s="235" customFormat="1">
      <c r="A4" s="973"/>
      <c r="B4" s="973"/>
      <c r="C4" s="973"/>
      <c r="D4" s="973"/>
      <c r="E4" s="973"/>
      <c r="F4" s="973"/>
      <c r="G4" s="973"/>
      <c r="H4" s="7"/>
      <c r="I4" s="237">
        <v>1981</v>
      </c>
      <c r="J4" s="239">
        <v>1989</v>
      </c>
      <c r="K4" s="132">
        <v>1990</v>
      </c>
      <c r="L4" s="132">
        <v>1991</v>
      </c>
      <c r="M4" s="132">
        <v>1992</v>
      </c>
      <c r="N4" s="132">
        <v>1993</v>
      </c>
      <c r="O4" s="132">
        <v>1994</v>
      </c>
      <c r="P4" s="132">
        <v>1995</v>
      </c>
      <c r="Q4" s="132">
        <v>1996</v>
      </c>
      <c r="R4" s="132">
        <v>1997</v>
      </c>
      <c r="S4" s="132">
        <v>1998</v>
      </c>
      <c r="T4" s="132">
        <v>1999</v>
      </c>
      <c r="U4" s="132">
        <v>2000</v>
      </c>
      <c r="V4" s="132">
        <v>2001</v>
      </c>
      <c r="W4" s="132">
        <v>2002</v>
      </c>
      <c r="X4" s="132">
        <v>2003</v>
      </c>
      <c r="Y4" s="132">
        <v>2004</v>
      </c>
      <c r="Z4" s="132">
        <v>2005</v>
      </c>
      <c r="AA4" s="132">
        <v>2006</v>
      </c>
      <c r="AB4" s="132">
        <v>2007</v>
      </c>
      <c r="AC4" s="132"/>
      <c r="AD4" s="241" t="s">
        <v>603</v>
      </c>
      <c r="AE4" s="241" t="s">
        <v>604</v>
      </c>
      <c r="AF4" s="241" t="s">
        <v>447</v>
      </c>
      <c r="AG4" s="241" t="s">
        <v>449</v>
      </c>
      <c r="AH4" s="241"/>
      <c r="AI4" s="241" t="s">
        <v>447</v>
      </c>
      <c r="AJ4" s="9"/>
      <c r="AK4" s="9"/>
      <c r="AL4" s="9"/>
      <c r="AM4" s="9">
        <v>1981</v>
      </c>
      <c r="AN4" s="9">
        <v>1989</v>
      </c>
      <c r="AO4" s="9">
        <v>1990</v>
      </c>
      <c r="AP4" s="9">
        <v>1991</v>
      </c>
      <c r="AQ4" s="9">
        <v>1992</v>
      </c>
      <c r="AR4" s="9">
        <v>1993</v>
      </c>
      <c r="AS4" s="9">
        <v>1994</v>
      </c>
      <c r="AT4" s="9">
        <v>1995</v>
      </c>
      <c r="AU4" s="9">
        <v>1996</v>
      </c>
      <c r="AV4" s="9">
        <v>1997</v>
      </c>
      <c r="AW4" s="9">
        <v>1998</v>
      </c>
      <c r="AX4" s="9">
        <v>1999</v>
      </c>
      <c r="AY4" s="235">
        <v>2000</v>
      </c>
      <c r="AZ4" s="235">
        <v>2001</v>
      </c>
      <c r="BA4" s="235">
        <v>2002</v>
      </c>
      <c r="BB4" s="235">
        <v>2003</v>
      </c>
      <c r="BC4" s="235">
        <v>2004</v>
      </c>
      <c r="BD4" s="235">
        <v>2005</v>
      </c>
      <c r="BE4" s="235">
        <v>2006</v>
      </c>
      <c r="BF4" s="235">
        <v>2007</v>
      </c>
    </row>
    <row r="5" spans="1:58" s="972" customFormat="1">
      <c r="A5" s="128" t="s">
        <v>964</v>
      </c>
      <c r="H5" s="2"/>
      <c r="I5" s="41">
        <v>1481</v>
      </c>
      <c r="J5" s="330">
        <v>1501</v>
      </c>
      <c r="K5" s="232">
        <v>1738</v>
      </c>
      <c r="L5" s="232">
        <v>1976</v>
      </c>
      <c r="M5" s="232">
        <v>2000</v>
      </c>
      <c r="N5" s="232">
        <v>2111</v>
      </c>
      <c r="O5" s="232">
        <v>2122</v>
      </c>
      <c r="P5" s="232">
        <v>2166</v>
      </c>
      <c r="Q5" s="232">
        <v>2313</v>
      </c>
      <c r="R5" s="232">
        <v>2341</v>
      </c>
      <c r="S5" s="232">
        <v>2213</v>
      </c>
      <c r="T5" s="232">
        <v>2155</v>
      </c>
      <c r="U5" s="232">
        <v>2100</v>
      </c>
      <c r="V5" s="232">
        <v>1963</v>
      </c>
      <c r="W5" s="232">
        <v>2000</v>
      </c>
      <c r="X5" s="232">
        <v>2033</v>
      </c>
      <c r="Y5" s="232">
        <v>2041</v>
      </c>
      <c r="Z5" s="232">
        <v>2044</v>
      </c>
      <c r="AA5" s="1006">
        <v>1996</v>
      </c>
      <c r="AB5" s="135">
        <v>1834</v>
      </c>
      <c r="AC5" s="232"/>
      <c r="AD5" s="10">
        <f>((((J5/I5))^(1/8))-1)*100</f>
        <v>0.16781587056557967</v>
      </c>
      <c r="AE5" s="10">
        <f>((((U5/J5))^(1/11))-1)*100</f>
        <v>3.0998550667613811</v>
      </c>
      <c r="AF5" s="10">
        <f>((((AB5/I5))^(1/26))-1)*100</f>
        <v>0.82562749988854822</v>
      </c>
      <c r="AG5" s="10">
        <f>((((AB5/U5))^(1/7))-1)*100</f>
        <v>-1.9162304930984919</v>
      </c>
      <c r="AH5" s="25"/>
      <c r="AI5" s="10">
        <f>((AB5/I5)-1)*100</f>
        <v>23.835246455097913</v>
      </c>
      <c r="AL5" s="972" t="s">
        <v>964</v>
      </c>
      <c r="AM5" s="41">
        <v>1481</v>
      </c>
      <c r="AN5" s="330">
        <v>1501</v>
      </c>
      <c r="AO5" s="232">
        <v>1738</v>
      </c>
      <c r="AP5" s="232">
        <v>1976</v>
      </c>
      <c r="AQ5" s="232">
        <v>2000</v>
      </c>
      <c r="AR5" s="232">
        <v>2111</v>
      </c>
      <c r="AS5" s="232">
        <v>2122</v>
      </c>
      <c r="AT5" s="232">
        <v>2166</v>
      </c>
      <c r="AU5" s="232">
        <v>2313</v>
      </c>
      <c r="AV5" s="232">
        <v>2341</v>
      </c>
      <c r="AW5" s="232">
        <v>2213</v>
      </c>
      <c r="AX5" s="232">
        <v>2155</v>
      </c>
      <c r="AY5" s="232">
        <v>2100</v>
      </c>
      <c r="AZ5" s="232">
        <v>1963</v>
      </c>
      <c r="BA5" s="232">
        <v>2000</v>
      </c>
      <c r="BB5" s="232">
        <v>2033</v>
      </c>
      <c r="BC5" s="232">
        <v>2041</v>
      </c>
      <c r="BD5" s="232">
        <v>2044</v>
      </c>
      <c r="BE5" s="232">
        <v>1996</v>
      </c>
      <c r="BF5" s="41">
        <v>1834</v>
      </c>
    </row>
    <row r="6" spans="1:58" s="972" customFormat="1">
      <c r="H6" s="2"/>
      <c r="I6" s="41"/>
      <c r="J6" s="330"/>
      <c r="K6" s="232"/>
      <c r="L6" s="232"/>
      <c r="M6" s="232"/>
      <c r="N6" s="232"/>
      <c r="O6" s="232"/>
      <c r="P6" s="232"/>
      <c r="Q6" s="232"/>
      <c r="R6" s="232"/>
      <c r="S6" s="232"/>
      <c r="T6" s="232"/>
      <c r="U6" s="232"/>
      <c r="V6" s="232"/>
      <c r="W6" s="232"/>
      <c r="X6" s="232"/>
      <c r="Y6" s="232"/>
      <c r="Z6" s="232"/>
      <c r="AA6" s="135"/>
      <c r="AB6" s="232"/>
      <c r="AC6" s="232"/>
      <c r="AD6" s="10"/>
      <c r="AE6" s="10"/>
      <c r="AF6" s="10"/>
      <c r="AG6" s="10"/>
      <c r="AH6" s="25"/>
      <c r="AI6" s="10"/>
      <c r="AM6" s="41"/>
      <c r="AN6" s="330"/>
      <c r="AO6" s="232"/>
      <c r="AP6" s="232"/>
      <c r="AQ6" s="232"/>
      <c r="AR6" s="232"/>
      <c r="AS6" s="232"/>
      <c r="AT6" s="232"/>
      <c r="AU6" s="232"/>
      <c r="AV6" s="232"/>
      <c r="AW6" s="232"/>
      <c r="AX6" s="232"/>
      <c r="AY6" s="232"/>
      <c r="AZ6" s="232"/>
      <c r="BA6" s="232"/>
      <c r="BB6" s="232"/>
      <c r="BC6" s="232"/>
      <c r="BD6" s="232"/>
      <c r="BE6" s="232"/>
      <c r="BF6" s="232"/>
    </row>
    <row r="7" spans="1:58" s="972" customFormat="1">
      <c r="B7" s="128" t="s">
        <v>610</v>
      </c>
      <c r="H7" s="2"/>
      <c r="I7" s="41">
        <v>586</v>
      </c>
      <c r="J7" s="330">
        <v>558</v>
      </c>
      <c r="K7" s="232">
        <v>682</v>
      </c>
      <c r="L7" s="232">
        <v>755</v>
      </c>
      <c r="M7" s="232">
        <v>767</v>
      </c>
      <c r="N7" s="232">
        <v>870</v>
      </c>
      <c r="O7" s="232">
        <v>856</v>
      </c>
      <c r="P7" s="232">
        <v>871</v>
      </c>
      <c r="Q7" s="232">
        <v>947</v>
      </c>
      <c r="R7" s="232">
        <v>943</v>
      </c>
      <c r="S7" s="232">
        <v>832</v>
      </c>
      <c r="T7" s="232">
        <v>789</v>
      </c>
      <c r="U7" s="232">
        <v>753</v>
      </c>
      <c r="V7" s="232">
        <v>672</v>
      </c>
      <c r="W7" s="232">
        <v>737</v>
      </c>
      <c r="X7" s="232">
        <v>738</v>
      </c>
      <c r="Y7" s="232">
        <v>699</v>
      </c>
      <c r="Z7" s="232">
        <v>655</v>
      </c>
      <c r="AA7" s="135">
        <v>633</v>
      </c>
      <c r="AB7" s="135">
        <v>525</v>
      </c>
      <c r="AC7" s="232"/>
      <c r="AD7" s="10">
        <f>((((J7/I7))^(1/8))-1)*100</f>
        <v>-0.61014137136932156</v>
      </c>
      <c r="AE7" s="10">
        <f>((((U7/J7))^(1/11))-1)*100</f>
        <v>2.7620591127031302</v>
      </c>
      <c r="AF7" s="10">
        <f t="shared" ref="AF7:AF51" si="0">((((AB7/I7))^(1/26))-1)*100</f>
        <v>-0.42188266795650797</v>
      </c>
      <c r="AG7" s="10">
        <f t="shared" ref="AG7:AG51" si="1">((((AB7/U7))^(1/7))-1)*100</f>
        <v>-5.0219004648223038</v>
      </c>
      <c r="AH7" s="25"/>
      <c r="AI7" s="10">
        <f t="shared" ref="AI7:AI51" si="2">((AB7/I7)-1)*100</f>
        <v>-10.409556313993173</v>
      </c>
      <c r="AL7" s="972" t="s">
        <v>1878</v>
      </c>
      <c r="AM7" s="41">
        <v>586</v>
      </c>
      <c r="AN7" s="330">
        <v>558</v>
      </c>
      <c r="AO7" s="232">
        <v>682</v>
      </c>
      <c r="AP7" s="232">
        <v>755</v>
      </c>
      <c r="AQ7" s="232">
        <v>767</v>
      </c>
      <c r="AR7" s="232">
        <v>870</v>
      </c>
      <c r="AS7" s="232">
        <v>856</v>
      </c>
      <c r="AT7" s="232">
        <v>871</v>
      </c>
      <c r="AU7" s="232">
        <v>947</v>
      </c>
      <c r="AV7" s="232">
        <v>943</v>
      </c>
      <c r="AW7" s="232">
        <v>832</v>
      </c>
      <c r="AX7" s="232">
        <v>789</v>
      </c>
      <c r="AY7" s="232">
        <v>753</v>
      </c>
      <c r="AZ7" s="232">
        <v>672</v>
      </c>
      <c r="BA7" s="232">
        <v>737</v>
      </c>
      <c r="BB7" s="232">
        <v>738</v>
      </c>
      <c r="BC7" s="232">
        <v>699</v>
      </c>
      <c r="BD7" s="232">
        <v>655</v>
      </c>
      <c r="BE7" s="232">
        <v>633</v>
      </c>
      <c r="BF7" s="41">
        <v>525</v>
      </c>
    </row>
    <row r="8" spans="1:58" s="972" customFormat="1">
      <c r="B8" s="128"/>
      <c r="H8" s="2"/>
      <c r="I8" s="41"/>
      <c r="J8" s="330"/>
      <c r="K8" s="232"/>
      <c r="L8" s="232"/>
      <c r="M8" s="232"/>
      <c r="N8" s="232"/>
      <c r="O8" s="232"/>
      <c r="P8" s="232"/>
      <c r="Q8" s="232"/>
      <c r="R8" s="232"/>
      <c r="S8" s="232"/>
      <c r="T8" s="232"/>
      <c r="U8" s="232"/>
      <c r="V8" s="232"/>
      <c r="W8" s="232"/>
      <c r="X8" s="232"/>
      <c r="Y8" s="232"/>
      <c r="Z8" s="232"/>
      <c r="AA8" s="135"/>
      <c r="AB8" s="232"/>
      <c r="AC8" s="232"/>
      <c r="AD8" s="10"/>
      <c r="AE8" s="10"/>
      <c r="AF8" s="10"/>
      <c r="AG8" s="10"/>
      <c r="AH8" s="25"/>
      <c r="AI8" s="10"/>
      <c r="AM8" s="41"/>
      <c r="AN8" s="330"/>
      <c r="AO8" s="232"/>
      <c r="AP8" s="232"/>
      <c r="AQ8" s="232"/>
      <c r="AR8" s="232"/>
      <c r="AS8" s="232"/>
      <c r="AT8" s="232"/>
      <c r="AU8" s="232"/>
      <c r="AV8" s="232"/>
      <c r="AW8" s="232"/>
      <c r="AX8" s="232"/>
      <c r="AY8" s="232"/>
      <c r="AZ8" s="232"/>
      <c r="BA8" s="232"/>
      <c r="BB8" s="232"/>
      <c r="BC8" s="232"/>
      <c r="BD8" s="232"/>
      <c r="BE8" s="232"/>
      <c r="BF8" s="232"/>
    </row>
    <row r="9" spans="1:58" s="972" customFormat="1">
      <c r="C9" s="128" t="s">
        <v>921</v>
      </c>
      <c r="H9" s="2"/>
      <c r="I9" s="41">
        <v>77</v>
      </c>
      <c r="J9" s="330">
        <v>40</v>
      </c>
      <c r="K9" s="232">
        <v>30</v>
      </c>
      <c r="L9" s="232">
        <v>37</v>
      </c>
      <c r="M9" s="232">
        <v>33</v>
      </c>
      <c r="N9" s="232">
        <v>44</v>
      </c>
      <c r="O9" s="232">
        <v>36</v>
      </c>
      <c r="P9" s="232">
        <v>29</v>
      </c>
      <c r="Q9" s="232">
        <v>31</v>
      </c>
      <c r="R9" s="232">
        <v>40</v>
      </c>
      <c r="S9" s="232">
        <v>44</v>
      </c>
      <c r="T9" s="232">
        <v>36</v>
      </c>
      <c r="U9" s="232">
        <v>37</v>
      </c>
      <c r="V9" s="232">
        <v>30</v>
      </c>
      <c r="W9" s="232">
        <v>35</v>
      </c>
      <c r="X9" s="232">
        <v>34</v>
      </c>
      <c r="Y9" s="232">
        <v>28</v>
      </c>
      <c r="Z9" s="232">
        <v>21</v>
      </c>
      <c r="AA9" s="135">
        <v>31</v>
      </c>
      <c r="AB9" s="135">
        <v>21</v>
      </c>
      <c r="AC9" s="232"/>
      <c r="AD9" s="10">
        <f>((((J9/I9))^(1/8))-1)*100</f>
        <v>-7.8604348525196706</v>
      </c>
      <c r="AE9" s="10">
        <f>((((U9/J9))^(1/11))-1)*100</f>
        <v>-0.70623563805048972</v>
      </c>
      <c r="AF9" s="10">
        <f t="shared" si="0"/>
        <v>-4.8744342576293782</v>
      </c>
      <c r="AG9" s="10">
        <f t="shared" si="1"/>
        <v>-7.7726663800015245</v>
      </c>
      <c r="AH9" s="25"/>
      <c r="AI9" s="10">
        <f t="shared" si="2"/>
        <v>-72.727272727272734</v>
      </c>
      <c r="AL9" s="972" t="s">
        <v>1879</v>
      </c>
      <c r="AM9" s="41">
        <v>77</v>
      </c>
      <c r="AN9" s="330">
        <v>40</v>
      </c>
      <c r="AO9" s="232">
        <v>30</v>
      </c>
      <c r="AP9" s="232">
        <v>37</v>
      </c>
      <c r="AQ9" s="232">
        <v>33</v>
      </c>
      <c r="AR9" s="232">
        <v>44</v>
      </c>
      <c r="AS9" s="232">
        <v>36</v>
      </c>
      <c r="AT9" s="232">
        <v>29</v>
      </c>
      <c r="AU9" s="232">
        <v>31</v>
      </c>
      <c r="AV9" s="232">
        <v>40</v>
      </c>
      <c r="AW9" s="232">
        <v>44</v>
      </c>
      <c r="AX9" s="232">
        <v>36</v>
      </c>
      <c r="AY9" s="232">
        <v>37</v>
      </c>
      <c r="AZ9" s="232">
        <v>30</v>
      </c>
      <c r="BA9" s="232">
        <v>35</v>
      </c>
      <c r="BB9" s="232">
        <v>34</v>
      </c>
      <c r="BC9" s="232">
        <v>28</v>
      </c>
      <c r="BD9" s="232">
        <v>21</v>
      </c>
      <c r="BE9" s="232">
        <v>31</v>
      </c>
      <c r="BF9" s="41">
        <v>21</v>
      </c>
    </row>
    <row r="10" spans="1:58" s="972" customFormat="1">
      <c r="C10" s="972" t="s">
        <v>611</v>
      </c>
      <c r="H10" s="2"/>
      <c r="I10" s="41">
        <v>44</v>
      </c>
      <c r="J10" s="330">
        <v>23</v>
      </c>
      <c r="K10" s="232">
        <v>20</v>
      </c>
      <c r="L10" s="232">
        <v>25</v>
      </c>
      <c r="M10" s="232">
        <v>13</v>
      </c>
      <c r="N10" s="232">
        <v>19</v>
      </c>
      <c r="O10" s="232">
        <v>15</v>
      </c>
      <c r="P10" s="232">
        <v>14</v>
      </c>
      <c r="Q10" s="232">
        <v>14</v>
      </c>
      <c r="R10" s="232">
        <v>19</v>
      </c>
      <c r="S10" s="232">
        <v>15</v>
      </c>
      <c r="T10" s="232">
        <v>13</v>
      </c>
      <c r="U10" s="232">
        <v>11</v>
      </c>
      <c r="V10" s="232">
        <v>15</v>
      </c>
      <c r="W10" s="232">
        <v>18</v>
      </c>
      <c r="X10" s="232">
        <v>17</v>
      </c>
      <c r="Y10" s="232">
        <v>13</v>
      </c>
      <c r="Z10" s="232">
        <v>10</v>
      </c>
      <c r="AA10" s="135" t="s">
        <v>593</v>
      </c>
      <c r="AB10" s="135" t="s">
        <v>593</v>
      </c>
      <c r="AC10" s="232"/>
      <c r="AD10" s="10">
        <f>((((J10/I10))^(1/8))-1)*100</f>
        <v>-7.788646883159478</v>
      </c>
      <c r="AE10" s="10">
        <f>((((U10/J10))^(1/11))-1)*100</f>
        <v>-6.4855718071653019</v>
      </c>
      <c r="AF10" s="10" t="s">
        <v>374</v>
      </c>
      <c r="AG10" s="10" t="s">
        <v>374</v>
      </c>
      <c r="AH10" s="25"/>
      <c r="AI10" s="10" t="s">
        <v>374</v>
      </c>
      <c r="AL10" s="972" t="s">
        <v>1880</v>
      </c>
      <c r="AM10" s="41">
        <v>44</v>
      </c>
      <c r="AN10" s="330">
        <v>23</v>
      </c>
      <c r="AO10" s="232">
        <v>20</v>
      </c>
      <c r="AP10" s="232">
        <v>25</v>
      </c>
      <c r="AQ10" s="232">
        <v>13</v>
      </c>
      <c r="AR10" s="232">
        <v>19</v>
      </c>
      <c r="AS10" s="232">
        <v>15</v>
      </c>
      <c r="AT10" s="232">
        <v>14</v>
      </c>
      <c r="AU10" s="232">
        <v>14</v>
      </c>
      <c r="AV10" s="232">
        <v>19</v>
      </c>
      <c r="AW10" s="232">
        <v>15</v>
      </c>
      <c r="AX10" s="232">
        <v>13</v>
      </c>
      <c r="AY10" s="232">
        <v>11</v>
      </c>
      <c r="AZ10" s="232">
        <v>15</v>
      </c>
      <c r="BA10" s="232">
        <v>18</v>
      </c>
      <c r="BB10" s="232">
        <v>17</v>
      </c>
      <c r="BC10" s="232">
        <v>13</v>
      </c>
      <c r="BD10" s="232">
        <v>10</v>
      </c>
      <c r="BE10" s="232" t="s">
        <v>593</v>
      </c>
      <c r="BF10" s="41" t="s">
        <v>593</v>
      </c>
    </row>
    <row r="11" spans="1:58" s="972" customFormat="1">
      <c r="C11" s="972" t="s">
        <v>612</v>
      </c>
      <c r="H11" s="2"/>
      <c r="I11" s="41">
        <v>33</v>
      </c>
      <c r="J11" s="330">
        <v>17</v>
      </c>
      <c r="K11" s="232">
        <v>10</v>
      </c>
      <c r="L11" s="232">
        <v>12</v>
      </c>
      <c r="M11" s="232">
        <v>20</v>
      </c>
      <c r="N11" s="232">
        <v>25</v>
      </c>
      <c r="O11" s="232">
        <v>21</v>
      </c>
      <c r="P11" s="232">
        <v>16</v>
      </c>
      <c r="Q11" s="232">
        <v>16</v>
      </c>
      <c r="R11" s="232">
        <v>21</v>
      </c>
      <c r="S11" s="232">
        <v>29</v>
      </c>
      <c r="T11" s="232">
        <v>23</v>
      </c>
      <c r="U11" s="232">
        <v>26</v>
      </c>
      <c r="V11" s="232">
        <v>14</v>
      </c>
      <c r="W11" s="232">
        <v>18</v>
      </c>
      <c r="X11" s="232">
        <v>17</v>
      </c>
      <c r="Y11" s="232">
        <v>14</v>
      </c>
      <c r="Z11" s="232" t="s">
        <v>593</v>
      </c>
      <c r="AA11" s="135" t="s">
        <v>593</v>
      </c>
      <c r="AB11" s="135" t="s">
        <v>593</v>
      </c>
      <c r="AC11" s="232"/>
      <c r="AD11" s="10">
        <f>((((J11/I11))^(1/8))-1)*100</f>
        <v>-7.9567653221081835</v>
      </c>
      <c r="AE11" s="10">
        <f>((((U11/J11))^(1/11))-1)*100</f>
        <v>3.9381417059609625</v>
      </c>
      <c r="AF11" s="10" t="s">
        <v>374</v>
      </c>
      <c r="AG11" s="10" t="s">
        <v>374</v>
      </c>
      <c r="AH11" s="25"/>
      <c r="AI11" s="10" t="s">
        <v>374</v>
      </c>
      <c r="AL11" s="972" t="s">
        <v>1881</v>
      </c>
      <c r="AM11" s="41">
        <v>33</v>
      </c>
      <c r="AN11" s="330">
        <v>17</v>
      </c>
      <c r="AO11" s="232">
        <v>10</v>
      </c>
      <c r="AP11" s="232">
        <v>12</v>
      </c>
      <c r="AQ11" s="232">
        <v>20</v>
      </c>
      <c r="AR11" s="232">
        <v>25</v>
      </c>
      <c r="AS11" s="232">
        <v>21</v>
      </c>
      <c r="AT11" s="232">
        <v>16</v>
      </c>
      <c r="AU11" s="232">
        <v>16</v>
      </c>
      <c r="AV11" s="232">
        <v>21</v>
      </c>
      <c r="AW11" s="232">
        <v>29</v>
      </c>
      <c r="AX11" s="232">
        <v>23</v>
      </c>
      <c r="AY11" s="232">
        <v>26</v>
      </c>
      <c r="AZ11" s="232">
        <v>14</v>
      </c>
      <c r="BA11" s="232">
        <v>18</v>
      </c>
      <c r="BB11" s="232">
        <v>17</v>
      </c>
      <c r="BC11" s="232">
        <v>14</v>
      </c>
      <c r="BD11" s="232" t="s">
        <v>593</v>
      </c>
      <c r="BE11" s="232" t="s">
        <v>593</v>
      </c>
      <c r="BF11" s="41" t="s">
        <v>593</v>
      </c>
    </row>
    <row r="12" spans="1:58" s="972" customFormat="1">
      <c r="H12" s="2"/>
      <c r="I12" s="41"/>
      <c r="J12" s="330"/>
      <c r="K12" s="232"/>
      <c r="L12" s="232"/>
      <c r="M12" s="232"/>
      <c r="N12" s="232"/>
      <c r="O12" s="232"/>
      <c r="P12" s="232"/>
      <c r="Q12" s="232"/>
      <c r="R12" s="232"/>
      <c r="S12" s="232"/>
      <c r="T12" s="232"/>
      <c r="U12" s="232"/>
      <c r="V12" s="232"/>
      <c r="W12" s="232"/>
      <c r="X12" s="232"/>
      <c r="Y12" s="232"/>
      <c r="Z12" s="232"/>
      <c r="AA12" s="135"/>
      <c r="AB12" s="232"/>
      <c r="AC12" s="232"/>
      <c r="AD12" s="10"/>
      <c r="AE12" s="10"/>
      <c r="AF12" s="10"/>
      <c r="AG12" s="10"/>
      <c r="AH12" s="25"/>
      <c r="AI12" s="10"/>
      <c r="AM12" s="41"/>
      <c r="AN12" s="330"/>
      <c r="AO12" s="232"/>
      <c r="AP12" s="232"/>
      <c r="AQ12" s="232"/>
      <c r="AR12" s="232"/>
      <c r="AS12" s="232"/>
      <c r="AT12" s="232"/>
      <c r="AU12" s="232"/>
      <c r="AV12" s="232"/>
      <c r="AW12" s="232"/>
      <c r="AX12" s="232"/>
      <c r="AY12" s="232"/>
      <c r="AZ12" s="232"/>
      <c r="BA12" s="232"/>
      <c r="BB12" s="232"/>
      <c r="BC12" s="232"/>
      <c r="BD12" s="232"/>
      <c r="BE12" s="232"/>
      <c r="BF12" s="232"/>
    </row>
    <row r="13" spans="1:58" s="972" customFormat="1">
      <c r="C13" s="128" t="s">
        <v>922</v>
      </c>
      <c r="H13" s="2"/>
      <c r="I13" s="41">
        <v>509</v>
      </c>
      <c r="J13" s="330">
        <v>518</v>
      </c>
      <c r="K13" s="232">
        <v>652</v>
      </c>
      <c r="L13" s="232">
        <v>718</v>
      </c>
      <c r="M13" s="232">
        <v>734</v>
      </c>
      <c r="N13" s="232">
        <v>826</v>
      </c>
      <c r="O13" s="232">
        <v>820</v>
      </c>
      <c r="P13" s="232">
        <v>841</v>
      </c>
      <c r="Q13" s="232">
        <v>916</v>
      </c>
      <c r="R13" s="232">
        <v>904</v>
      </c>
      <c r="S13" s="232">
        <v>787</v>
      </c>
      <c r="T13" s="232">
        <v>753</v>
      </c>
      <c r="U13" s="232">
        <v>717</v>
      </c>
      <c r="V13" s="232">
        <v>642</v>
      </c>
      <c r="W13" s="232">
        <v>702</v>
      </c>
      <c r="X13" s="232">
        <v>704</v>
      </c>
      <c r="Y13" s="232">
        <v>671</v>
      </c>
      <c r="Z13" s="232">
        <v>633</v>
      </c>
      <c r="AA13" s="135">
        <v>602</v>
      </c>
      <c r="AB13" s="135">
        <v>504</v>
      </c>
      <c r="AC13" s="232"/>
      <c r="AD13" s="10">
        <f>((((J13/I13))^(1/8))-1)*100</f>
        <v>0.21933049957696404</v>
      </c>
      <c r="AE13" s="10">
        <f>((((U13/J13))^(1/11))-1)*100</f>
        <v>2.9995671544880809</v>
      </c>
      <c r="AF13" s="10">
        <f t="shared" si="0"/>
        <v>-3.796105634840119E-2</v>
      </c>
      <c r="AG13" s="10">
        <f t="shared" si="1"/>
        <v>-4.9110181567469935</v>
      </c>
      <c r="AH13" s="25"/>
      <c r="AI13" s="10">
        <f t="shared" si="2"/>
        <v>-0.98231827111984193</v>
      </c>
      <c r="AL13" s="972" t="s">
        <v>1882</v>
      </c>
      <c r="AM13" s="41">
        <v>509</v>
      </c>
      <c r="AN13" s="330">
        <v>518</v>
      </c>
      <c r="AO13" s="232">
        <v>652</v>
      </c>
      <c r="AP13" s="232">
        <v>718</v>
      </c>
      <c r="AQ13" s="232">
        <v>734</v>
      </c>
      <c r="AR13" s="232">
        <v>826</v>
      </c>
      <c r="AS13" s="232">
        <v>820</v>
      </c>
      <c r="AT13" s="232">
        <v>841</v>
      </c>
      <c r="AU13" s="232">
        <v>916</v>
      </c>
      <c r="AV13" s="232">
        <v>904</v>
      </c>
      <c r="AW13" s="232">
        <v>787</v>
      </c>
      <c r="AX13" s="232">
        <v>753</v>
      </c>
      <c r="AY13" s="232">
        <v>717</v>
      </c>
      <c r="AZ13" s="232">
        <v>642</v>
      </c>
      <c r="BA13" s="232">
        <v>702</v>
      </c>
      <c r="BB13" s="232">
        <v>704</v>
      </c>
      <c r="BC13" s="232">
        <v>671</v>
      </c>
      <c r="BD13" s="232">
        <v>633</v>
      </c>
      <c r="BE13" s="232">
        <v>602</v>
      </c>
      <c r="BF13" s="41">
        <v>504</v>
      </c>
    </row>
    <row r="14" spans="1:58" s="972" customFormat="1">
      <c r="C14" s="128"/>
      <c r="H14" s="2"/>
      <c r="I14" s="41"/>
      <c r="J14" s="330"/>
      <c r="K14" s="232"/>
      <c r="L14" s="232"/>
      <c r="M14" s="232"/>
      <c r="N14" s="232"/>
      <c r="O14" s="232"/>
      <c r="P14" s="232"/>
      <c r="Q14" s="232"/>
      <c r="R14" s="232"/>
      <c r="S14" s="232"/>
      <c r="T14" s="232"/>
      <c r="U14" s="232"/>
      <c r="V14" s="232"/>
      <c r="W14" s="232"/>
      <c r="X14" s="232"/>
      <c r="Y14" s="232"/>
      <c r="Z14" s="232"/>
      <c r="AA14" s="135"/>
      <c r="AB14" s="232"/>
      <c r="AC14" s="232"/>
      <c r="AD14" s="10"/>
      <c r="AE14" s="10"/>
      <c r="AF14" s="10"/>
      <c r="AG14" s="10"/>
      <c r="AH14" s="25"/>
      <c r="AI14" s="10"/>
      <c r="AM14" s="41"/>
      <c r="AN14" s="330"/>
      <c r="AO14" s="232"/>
      <c r="AP14" s="232"/>
      <c r="AQ14" s="232"/>
      <c r="AR14" s="232"/>
      <c r="AS14" s="232"/>
      <c r="AT14" s="232"/>
      <c r="AU14" s="232"/>
      <c r="AV14" s="232"/>
      <c r="AW14" s="232"/>
      <c r="AX14" s="232"/>
      <c r="AY14" s="232"/>
      <c r="AZ14" s="232"/>
      <c r="BA14" s="232"/>
      <c r="BB14" s="232"/>
      <c r="BC14" s="232"/>
      <c r="BD14" s="232"/>
      <c r="BE14" s="232"/>
      <c r="BF14" s="232"/>
    </row>
    <row r="15" spans="1:58" s="972" customFormat="1">
      <c r="D15" s="128" t="s">
        <v>923</v>
      </c>
      <c r="H15" s="2"/>
      <c r="I15" s="41">
        <v>67</v>
      </c>
      <c r="J15" s="330">
        <v>82</v>
      </c>
      <c r="K15" s="232">
        <v>109</v>
      </c>
      <c r="L15" s="232">
        <v>125</v>
      </c>
      <c r="M15" s="232">
        <v>107</v>
      </c>
      <c r="N15" s="232">
        <v>128</v>
      </c>
      <c r="O15" s="232">
        <v>131</v>
      </c>
      <c r="P15" s="232">
        <v>126</v>
      </c>
      <c r="Q15" s="232">
        <v>146</v>
      </c>
      <c r="R15" s="232">
        <v>150</v>
      </c>
      <c r="S15" s="232">
        <v>119</v>
      </c>
      <c r="T15" s="232">
        <v>145</v>
      </c>
      <c r="U15" s="232">
        <v>129</v>
      </c>
      <c r="V15" s="232">
        <v>124</v>
      </c>
      <c r="W15" s="232">
        <v>144</v>
      </c>
      <c r="X15" s="232">
        <v>135</v>
      </c>
      <c r="Y15" s="232">
        <v>134</v>
      </c>
      <c r="Z15" s="232">
        <v>137</v>
      </c>
      <c r="AA15" s="135">
        <v>123</v>
      </c>
      <c r="AB15" s="135">
        <v>105</v>
      </c>
      <c r="AC15" s="232"/>
      <c r="AD15" s="10">
        <f>((((J15/I15))^(1/8))-1)*100</f>
        <v>2.5574894952440363</v>
      </c>
      <c r="AE15" s="10">
        <f>((((U15/J15))^(1/11))-1)*100</f>
        <v>4.2050375329798273</v>
      </c>
      <c r="AF15" s="10">
        <f t="shared" si="0"/>
        <v>1.7429682772647226</v>
      </c>
      <c r="AG15" s="10">
        <f t="shared" si="1"/>
        <v>-2.8979245259159292</v>
      </c>
      <c r="AH15" s="25"/>
      <c r="AI15" s="10">
        <f t="shared" si="2"/>
        <v>56.716417910447767</v>
      </c>
      <c r="AL15" s="972" t="s">
        <v>1883</v>
      </c>
      <c r="AM15" s="41">
        <v>67</v>
      </c>
      <c r="AN15" s="330">
        <v>82</v>
      </c>
      <c r="AO15" s="232">
        <v>109</v>
      </c>
      <c r="AP15" s="232">
        <v>125</v>
      </c>
      <c r="AQ15" s="232">
        <v>107</v>
      </c>
      <c r="AR15" s="232">
        <v>128</v>
      </c>
      <c r="AS15" s="232">
        <v>131</v>
      </c>
      <c r="AT15" s="232">
        <v>126</v>
      </c>
      <c r="AU15" s="232">
        <v>146</v>
      </c>
      <c r="AV15" s="232">
        <v>150</v>
      </c>
      <c r="AW15" s="232">
        <v>119</v>
      </c>
      <c r="AX15" s="232">
        <v>145</v>
      </c>
      <c r="AY15" s="232">
        <v>129</v>
      </c>
      <c r="AZ15" s="232">
        <v>124</v>
      </c>
      <c r="BA15" s="232">
        <v>144</v>
      </c>
      <c r="BB15" s="232">
        <v>135</v>
      </c>
      <c r="BC15" s="232">
        <v>134</v>
      </c>
      <c r="BD15" s="232">
        <v>137</v>
      </c>
      <c r="BE15" s="232">
        <v>123</v>
      </c>
      <c r="BF15" s="41">
        <v>105</v>
      </c>
    </row>
    <row r="16" spans="1:58" s="972" customFormat="1">
      <c r="D16" s="972" t="s">
        <v>613</v>
      </c>
      <c r="H16" s="2"/>
      <c r="I16" s="41">
        <v>27</v>
      </c>
      <c r="J16" s="330">
        <v>39</v>
      </c>
      <c r="K16" s="232">
        <v>43</v>
      </c>
      <c r="L16" s="232">
        <v>54</v>
      </c>
      <c r="M16" s="232">
        <v>49</v>
      </c>
      <c r="N16" s="232">
        <v>61</v>
      </c>
      <c r="O16" s="232">
        <v>59</v>
      </c>
      <c r="P16" s="232">
        <v>52</v>
      </c>
      <c r="Q16" s="232">
        <v>68</v>
      </c>
      <c r="R16" s="232">
        <v>66</v>
      </c>
      <c r="S16" s="232">
        <v>53</v>
      </c>
      <c r="T16" s="232">
        <v>72</v>
      </c>
      <c r="U16" s="232">
        <v>57</v>
      </c>
      <c r="V16" s="232">
        <v>53</v>
      </c>
      <c r="W16" s="232">
        <v>54</v>
      </c>
      <c r="X16" s="232">
        <v>46</v>
      </c>
      <c r="Y16" s="232">
        <v>58</v>
      </c>
      <c r="Z16" s="232">
        <v>56</v>
      </c>
      <c r="AA16" s="135">
        <v>44</v>
      </c>
      <c r="AB16" s="135">
        <v>37</v>
      </c>
      <c r="AC16" s="232"/>
      <c r="AD16" s="10">
        <f>((((J16/I16))^(1/8))-1)*100</f>
        <v>4.703838961553175</v>
      </c>
      <c r="AE16" s="10">
        <f>((((U16/J16))^(1/11))-1)*100</f>
        <v>3.5101051777092662</v>
      </c>
      <c r="AF16" s="10">
        <f t="shared" si="0"/>
        <v>1.2192228354188206</v>
      </c>
      <c r="AG16" s="10">
        <f t="shared" si="1"/>
        <v>-5.9866447286903384</v>
      </c>
      <c r="AH16" s="25"/>
      <c r="AI16" s="10">
        <f t="shared" si="2"/>
        <v>37.037037037037045</v>
      </c>
      <c r="AL16" s="972" t="s">
        <v>1884</v>
      </c>
      <c r="AM16" s="41">
        <v>27</v>
      </c>
      <c r="AN16" s="330">
        <v>39</v>
      </c>
      <c r="AO16" s="232">
        <v>43</v>
      </c>
      <c r="AP16" s="232">
        <v>54</v>
      </c>
      <c r="AQ16" s="232">
        <v>49</v>
      </c>
      <c r="AR16" s="232">
        <v>61</v>
      </c>
      <c r="AS16" s="232">
        <v>59</v>
      </c>
      <c r="AT16" s="232">
        <v>52</v>
      </c>
      <c r="AU16" s="232">
        <v>68</v>
      </c>
      <c r="AV16" s="232">
        <v>66</v>
      </c>
      <c r="AW16" s="232">
        <v>53</v>
      </c>
      <c r="AX16" s="232">
        <v>72</v>
      </c>
      <c r="AY16" s="232">
        <v>57</v>
      </c>
      <c r="AZ16" s="232">
        <v>53</v>
      </c>
      <c r="BA16" s="232">
        <v>54</v>
      </c>
      <c r="BB16" s="232">
        <v>46</v>
      </c>
      <c r="BC16" s="232">
        <v>58</v>
      </c>
      <c r="BD16" s="232">
        <v>56</v>
      </c>
      <c r="BE16" s="232">
        <v>44</v>
      </c>
      <c r="BF16" s="41">
        <v>37</v>
      </c>
    </row>
    <row r="17" spans="1:58" s="972" customFormat="1">
      <c r="D17" s="972" t="s">
        <v>614</v>
      </c>
      <c r="H17" s="2"/>
      <c r="I17" s="41">
        <v>27</v>
      </c>
      <c r="J17" s="330">
        <v>23</v>
      </c>
      <c r="K17" s="232">
        <v>37</v>
      </c>
      <c r="L17" s="232">
        <v>41</v>
      </c>
      <c r="M17" s="232">
        <v>31</v>
      </c>
      <c r="N17" s="232">
        <v>35</v>
      </c>
      <c r="O17" s="232">
        <v>38</v>
      </c>
      <c r="P17" s="232">
        <v>43</v>
      </c>
      <c r="Q17" s="232">
        <v>42</v>
      </c>
      <c r="R17" s="232">
        <v>44</v>
      </c>
      <c r="S17" s="232">
        <v>35</v>
      </c>
      <c r="T17" s="232">
        <v>41</v>
      </c>
      <c r="U17" s="232">
        <v>45</v>
      </c>
      <c r="V17" s="232">
        <v>42</v>
      </c>
      <c r="W17" s="232">
        <v>48</v>
      </c>
      <c r="X17" s="232">
        <v>48</v>
      </c>
      <c r="Y17" s="232">
        <v>44</v>
      </c>
      <c r="Z17" s="232">
        <v>37</v>
      </c>
      <c r="AA17" s="135">
        <v>37</v>
      </c>
      <c r="AB17" s="135">
        <v>32</v>
      </c>
      <c r="AC17" s="232"/>
      <c r="AD17" s="10">
        <f>((((J17/I17))^(1/8))-1)*100</f>
        <v>-1.9843308937799509</v>
      </c>
      <c r="AE17" s="10">
        <f>((((U17/J17))^(1/11))-1)*100</f>
        <v>6.2915174137297525</v>
      </c>
      <c r="AF17" s="10">
        <f t="shared" si="0"/>
        <v>0.65559752765800283</v>
      </c>
      <c r="AG17" s="10">
        <f t="shared" si="1"/>
        <v>-4.7536790704353464</v>
      </c>
      <c r="AH17" s="25"/>
      <c r="AI17" s="10">
        <f t="shared" si="2"/>
        <v>18.518518518518512</v>
      </c>
      <c r="AL17" s="972" t="s">
        <v>1885</v>
      </c>
      <c r="AM17" s="41">
        <v>27</v>
      </c>
      <c r="AN17" s="330">
        <v>23</v>
      </c>
      <c r="AO17" s="232">
        <v>37</v>
      </c>
      <c r="AP17" s="232">
        <v>41</v>
      </c>
      <c r="AQ17" s="232">
        <v>31</v>
      </c>
      <c r="AR17" s="232">
        <v>35</v>
      </c>
      <c r="AS17" s="232">
        <v>38</v>
      </c>
      <c r="AT17" s="232">
        <v>43</v>
      </c>
      <c r="AU17" s="232">
        <v>42</v>
      </c>
      <c r="AV17" s="232">
        <v>44</v>
      </c>
      <c r="AW17" s="232">
        <v>35</v>
      </c>
      <c r="AX17" s="232">
        <v>41</v>
      </c>
      <c r="AY17" s="232">
        <v>45</v>
      </c>
      <c r="AZ17" s="232">
        <v>42</v>
      </c>
      <c r="BA17" s="232">
        <v>48</v>
      </c>
      <c r="BB17" s="232">
        <v>48</v>
      </c>
      <c r="BC17" s="232">
        <v>44</v>
      </c>
      <c r="BD17" s="232">
        <v>37</v>
      </c>
      <c r="BE17" s="232">
        <v>37</v>
      </c>
      <c r="BF17" s="41">
        <v>32</v>
      </c>
    </row>
    <row r="18" spans="1:58" s="972" customFormat="1">
      <c r="D18" s="972" t="s">
        <v>615</v>
      </c>
      <c r="H18" s="2"/>
      <c r="I18" s="41">
        <v>14</v>
      </c>
      <c r="J18" s="330">
        <v>20</v>
      </c>
      <c r="K18" s="232">
        <v>29</v>
      </c>
      <c r="L18" s="232">
        <v>30</v>
      </c>
      <c r="M18" s="232">
        <v>27</v>
      </c>
      <c r="N18" s="232">
        <v>32</v>
      </c>
      <c r="O18" s="232">
        <v>34</v>
      </c>
      <c r="P18" s="232">
        <v>31</v>
      </c>
      <c r="Q18" s="232">
        <v>35</v>
      </c>
      <c r="R18" s="232">
        <v>40</v>
      </c>
      <c r="S18" s="232">
        <v>31</v>
      </c>
      <c r="T18" s="232">
        <v>32</v>
      </c>
      <c r="U18" s="232">
        <v>27</v>
      </c>
      <c r="V18" s="232">
        <v>29</v>
      </c>
      <c r="W18" s="232">
        <v>42</v>
      </c>
      <c r="X18" s="232">
        <v>40</v>
      </c>
      <c r="Y18" s="232">
        <v>32</v>
      </c>
      <c r="Z18" s="232">
        <v>44</v>
      </c>
      <c r="AA18" s="135">
        <v>42</v>
      </c>
      <c r="AB18" s="135">
        <v>36</v>
      </c>
      <c r="AC18" s="232"/>
      <c r="AD18" s="10">
        <f>((((J18/I18))^(1/8))-1)*100</f>
        <v>4.5593187587358752</v>
      </c>
      <c r="AE18" s="10">
        <f>((((U18/J18))^(1/11))-1)*100</f>
        <v>2.7657803533498893</v>
      </c>
      <c r="AF18" s="10">
        <f t="shared" si="0"/>
        <v>3.6993277406399239</v>
      </c>
      <c r="AG18" s="10">
        <f t="shared" si="1"/>
        <v>4.195362743720854</v>
      </c>
      <c r="AH18" s="25"/>
      <c r="AI18" s="10">
        <f t="shared" si="2"/>
        <v>157.14285714285717</v>
      </c>
      <c r="AL18" s="972" t="s">
        <v>1886</v>
      </c>
      <c r="AM18" s="41">
        <v>14</v>
      </c>
      <c r="AN18" s="330">
        <v>20</v>
      </c>
      <c r="AO18" s="232">
        <v>29</v>
      </c>
      <c r="AP18" s="232">
        <v>30</v>
      </c>
      <c r="AQ18" s="232">
        <v>27</v>
      </c>
      <c r="AR18" s="232">
        <v>32</v>
      </c>
      <c r="AS18" s="232">
        <v>34</v>
      </c>
      <c r="AT18" s="232">
        <v>31</v>
      </c>
      <c r="AU18" s="232">
        <v>35</v>
      </c>
      <c r="AV18" s="232">
        <v>40</v>
      </c>
      <c r="AW18" s="232">
        <v>31</v>
      </c>
      <c r="AX18" s="232">
        <v>32</v>
      </c>
      <c r="AY18" s="232">
        <v>27</v>
      </c>
      <c r="AZ18" s="232">
        <v>29</v>
      </c>
      <c r="BA18" s="232">
        <v>42</v>
      </c>
      <c r="BB18" s="232">
        <v>40</v>
      </c>
      <c r="BC18" s="232">
        <v>32</v>
      </c>
      <c r="BD18" s="232">
        <v>44</v>
      </c>
      <c r="BE18" s="232">
        <v>42</v>
      </c>
      <c r="BF18" s="41">
        <v>36</v>
      </c>
    </row>
    <row r="19" spans="1:58" s="972" customFormat="1">
      <c r="H19" s="2"/>
      <c r="I19" s="41"/>
      <c r="J19" s="330"/>
      <c r="K19" s="232"/>
      <c r="L19" s="232"/>
      <c r="M19" s="232"/>
      <c r="N19" s="232"/>
      <c r="O19" s="232"/>
      <c r="P19" s="232"/>
      <c r="Q19" s="232"/>
      <c r="R19" s="232"/>
      <c r="S19" s="232"/>
      <c r="T19" s="232"/>
      <c r="U19" s="232"/>
      <c r="V19" s="232"/>
      <c r="W19" s="232"/>
      <c r="X19" s="232"/>
      <c r="Y19" s="232"/>
      <c r="Z19" s="232"/>
      <c r="AA19" s="135"/>
      <c r="AB19" s="232"/>
      <c r="AC19" s="232"/>
      <c r="AD19" s="10"/>
      <c r="AE19" s="10"/>
      <c r="AF19" s="10"/>
      <c r="AG19" s="10"/>
      <c r="AH19" s="25"/>
      <c r="AI19" s="10"/>
      <c r="AM19" s="41"/>
      <c r="AN19" s="330"/>
      <c r="AO19" s="232"/>
      <c r="AP19" s="232"/>
      <c r="AQ19" s="232"/>
      <c r="AR19" s="232"/>
      <c r="AS19" s="232"/>
      <c r="AT19" s="232"/>
      <c r="AU19" s="232"/>
      <c r="AV19" s="232"/>
      <c r="AW19" s="232"/>
      <c r="AX19" s="232"/>
      <c r="AY19" s="232"/>
      <c r="AZ19" s="232"/>
      <c r="BA19" s="232"/>
      <c r="BB19" s="232"/>
      <c r="BC19" s="232"/>
      <c r="BD19" s="232"/>
      <c r="BE19" s="232"/>
      <c r="BF19" s="232"/>
    </row>
    <row r="20" spans="1:58" s="972" customFormat="1">
      <c r="D20" s="128" t="s">
        <v>619</v>
      </c>
      <c r="H20" s="2"/>
      <c r="I20" s="41">
        <v>220</v>
      </c>
      <c r="J20" s="330">
        <v>194</v>
      </c>
      <c r="K20" s="232">
        <v>218</v>
      </c>
      <c r="L20" s="232">
        <v>252</v>
      </c>
      <c r="M20" s="232">
        <v>238</v>
      </c>
      <c r="N20" s="232">
        <v>287</v>
      </c>
      <c r="O20" s="232">
        <v>293</v>
      </c>
      <c r="P20" s="232">
        <v>325</v>
      </c>
      <c r="Q20" s="232">
        <v>317</v>
      </c>
      <c r="R20" s="232">
        <v>321</v>
      </c>
      <c r="S20" s="232">
        <v>260</v>
      </c>
      <c r="T20" s="232">
        <v>248</v>
      </c>
      <c r="U20" s="232">
        <v>253</v>
      </c>
      <c r="V20" s="232">
        <v>209</v>
      </c>
      <c r="W20" s="232">
        <v>199</v>
      </c>
      <c r="X20" s="232">
        <v>202</v>
      </c>
      <c r="Y20" s="232">
        <v>203</v>
      </c>
      <c r="Z20" s="232">
        <v>198</v>
      </c>
      <c r="AA20" s="135">
        <v>195</v>
      </c>
      <c r="AB20" s="135">
        <v>146</v>
      </c>
      <c r="AC20" s="232"/>
      <c r="AD20" s="10">
        <f>((((J20/I20))^(1/8))-1)*100</f>
        <v>-1.5598240822365161</v>
      </c>
      <c r="AE20" s="10">
        <f>((((U20/J20))^(1/11))-1)*100</f>
        <v>2.4432921102645278</v>
      </c>
      <c r="AF20" s="10">
        <f t="shared" si="0"/>
        <v>-1.5646339635736695</v>
      </c>
      <c r="AG20" s="10">
        <f t="shared" si="1"/>
        <v>-7.5535298048192034</v>
      </c>
      <c r="AH20" s="25"/>
      <c r="AI20" s="10">
        <f t="shared" si="2"/>
        <v>-33.636363636363633</v>
      </c>
      <c r="AL20" s="972" t="s">
        <v>1887</v>
      </c>
      <c r="AM20" s="41">
        <v>220</v>
      </c>
      <c r="AN20" s="330">
        <v>194</v>
      </c>
      <c r="AO20" s="232">
        <v>218</v>
      </c>
      <c r="AP20" s="232">
        <v>252</v>
      </c>
      <c r="AQ20" s="232">
        <v>238</v>
      </c>
      <c r="AR20" s="232">
        <v>287</v>
      </c>
      <c r="AS20" s="232">
        <v>293</v>
      </c>
      <c r="AT20" s="232">
        <v>325</v>
      </c>
      <c r="AU20" s="232">
        <v>317</v>
      </c>
      <c r="AV20" s="232">
        <v>321</v>
      </c>
      <c r="AW20" s="232">
        <v>260</v>
      </c>
      <c r="AX20" s="232">
        <v>248</v>
      </c>
      <c r="AY20" s="232">
        <v>253</v>
      </c>
      <c r="AZ20" s="232">
        <v>209</v>
      </c>
      <c r="BA20" s="232">
        <v>199</v>
      </c>
      <c r="BB20" s="232">
        <v>202</v>
      </c>
      <c r="BC20" s="232">
        <v>203</v>
      </c>
      <c r="BD20" s="232">
        <v>198</v>
      </c>
      <c r="BE20" s="232">
        <v>195</v>
      </c>
      <c r="BF20" s="41">
        <v>146</v>
      </c>
    </row>
    <row r="21" spans="1:58" s="972" customFormat="1">
      <c r="D21" s="972" t="s">
        <v>613</v>
      </c>
      <c r="H21" s="2"/>
      <c r="I21" s="41">
        <v>32</v>
      </c>
      <c r="J21" s="330">
        <v>30</v>
      </c>
      <c r="K21" s="232">
        <v>32</v>
      </c>
      <c r="L21" s="232">
        <v>49</v>
      </c>
      <c r="M21" s="232">
        <v>47</v>
      </c>
      <c r="N21" s="232">
        <v>77</v>
      </c>
      <c r="O21" s="232">
        <v>83</v>
      </c>
      <c r="P21" s="232">
        <v>73</v>
      </c>
      <c r="Q21" s="232">
        <v>79</v>
      </c>
      <c r="R21" s="232">
        <v>75</v>
      </c>
      <c r="S21" s="232">
        <v>69</v>
      </c>
      <c r="T21" s="232">
        <v>52</v>
      </c>
      <c r="U21" s="232">
        <v>54</v>
      </c>
      <c r="V21" s="232">
        <v>48</v>
      </c>
      <c r="W21" s="232">
        <v>39</v>
      </c>
      <c r="X21" s="232">
        <v>41</v>
      </c>
      <c r="Y21" s="232">
        <v>34</v>
      </c>
      <c r="Z21" s="232">
        <v>43</v>
      </c>
      <c r="AA21" s="135">
        <v>36</v>
      </c>
      <c r="AB21" s="135">
        <v>20</v>
      </c>
      <c r="AC21" s="232"/>
      <c r="AD21" s="10">
        <f>((((J21/I21))^(1/8))-1)*100</f>
        <v>-0.80348616847892851</v>
      </c>
      <c r="AE21" s="10">
        <f>((((U21/J21))^(1/11))-1)*100</f>
        <v>5.4888581454047625</v>
      </c>
      <c r="AF21" s="10">
        <f t="shared" si="0"/>
        <v>-1.7914652670357412</v>
      </c>
      <c r="AG21" s="10">
        <f t="shared" si="1"/>
        <v>-13.228599889446446</v>
      </c>
      <c r="AH21" s="25"/>
      <c r="AI21" s="10">
        <f t="shared" si="2"/>
        <v>-37.5</v>
      </c>
      <c r="AL21" s="972" t="s">
        <v>1888</v>
      </c>
      <c r="AM21" s="41">
        <v>32</v>
      </c>
      <c r="AN21" s="330">
        <v>30</v>
      </c>
      <c r="AO21" s="232">
        <v>32</v>
      </c>
      <c r="AP21" s="232">
        <v>49</v>
      </c>
      <c r="AQ21" s="232">
        <v>47</v>
      </c>
      <c r="AR21" s="232">
        <v>77</v>
      </c>
      <c r="AS21" s="232">
        <v>83</v>
      </c>
      <c r="AT21" s="232">
        <v>73</v>
      </c>
      <c r="AU21" s="232">
        <v>79</v>
      </c>
      <c r="AV21" s="232">
        <v>75</v>
      </c>
      <c r="AW21" s="232">
        <v>69</v>
      </c>
      <c r="AX21" s="232">
        <v>52</v>
      </c>
      <c r="AY21" s="232">
        <v>54</v>
      </c>
      <c r="AZ21" s="232">
        <v>48</v>
      </c>
      <c r="BA21" s="232">
        <v>39</v>
      </c>
      <c r="BB21" s="232">
        <v>41</v>
      </c>
      <c r="BC21" s="232">
        <v>34</v>
      </c>
      <c r="BD21" s="232">
        <v>43</v>
      </c>
      <c r="BE21" s="232">
        <v>36</v>
      </c>
      <c r="BF21" s="41">
        <v>20</v>
      </c>
    </row>
    <row r="22" spans="1:58" s="972" customFormat="1">
      <c r="D22" s="972" t="s">
        <v>620</v>
      </c>
      <c r="H22" s="2"/>
      <c r="I22" s="41">
        <v>119</v>
      </c>
      <c r="J22" s="330">
        <v>83</v>
      </c>
      <c r="K22" s="232">
        <v>96</v>
      </c>
      <c r="L22" s="232">
        <v>110</v>
      </c>
      <c r="M22" s="232">
        <v>90</v>
      </c>
      <c r="N22" s="232">
        <v>108</v>
      </c>
      <c r="O22" s="232">
        <v>112</v>
      </c>
      <c r="P22" s="232">
        <v>134</v>
      </c>
      <c r="Q22" s="232">
        <v>131</v>
      </c>
      <c r="R22" s="232">
        <v>130</v>
      </c>
      <c r="S22" s="232">
        <v>103</v>
      </c>
      <c r="T22" s="232">
        <v>108</v>
      </c>
      <c r="U22" s="232">
        <v>115</v>
      </c>
      <c r="V22" s="232">
        <v>97</v>
      </c>
      <c r="W22" s="232">
        <v>79</v>
      </c>
      <c r="X22" s="232">
        <v>75</v>
      </c>
      <c r="Y22" s="232">
        <v>82</v>
      </c>
      <c r="Z22" s="232">
        <v>78</v>
      </c>
      <c r="AA22" s="135">
        <v>84</v>
      </c>
      <c r="AB22" s="135">
        <v>79</v>
      </c>
      <c r="AC22" s="232"/>
      <c r="AD22" s="10">
        <f>((((J22/I22))^(1/8))-1)*100</f>
        <v>-4.4036322275318955</v>
      </c>
      <c r="AE22" s="10">
        <f>((((U22/J22))^(1/11))-1)*100</f>
        <v>3.0088461688277501</v>
      </c>
      <c r="AF22" s="10">
        <f t="shared" si="0"/>
        <v>-1.5633267180904409</v>
      </c>
      <c r="AG22" s="10">
        <f t="shared" si="1"/>
        <v>-5.2227335478721155</v>
      </c>
      <c r="AH22" s="25"/>
      <c r="AI22" s="10">
        <f t="shared" si="2"/>
        <v>-33.613445378151262</v>
      </c>
      <c r="AL22" s="972" t="s">
        <v>1889</v>
      </c>
      <c r="AM22" s="41">
        <v>119</v>
      </c>
      <c r="AN22" s="330">
        <v>83</v>
      </c>
      <c r="AO22" s="232">
        <v>96</v>
      </c>
      <c r="AP22" s="232">
        <v>110</v>
      </c>
      <c r="AQ22" s="232">
        <v>90</v>
      </c>
      <c r="AR22" s="232">
        <v>108</v>
      </c>
      <c r="AS22" s="232">
        <v>112</v>
      </c>
      <c r="AT22" s="232">
        <v>134</v>
      </c>
      <c r="AU22" s="232">
        <v>131</v>
      </c>
      <c r="AV22" s="232">
        <v>130</v>
      </c>
      <c r="AW22" s="232">
        <v>103</v>
      </c>
      <c r="AX22" s="232">
        <v>108</v>
      </c>
      <c r="AY22" s="232">
        <v>115</v>
      </c>
      <c r="AZ22" s="232">
        <v>97</v>
      </c>
      <c r="BA22" s="232">
        <v>79</v>
      </c>
      <c r="BB22" s="232">
        <v>75</v>
      </c>
      <c r="BC22" s="232">
        <v>82</v>
      </c>
      <c r="BD22" s="232">
        <v>78</v>
      </c>
      <c r="BE22" s="232">
        <v>84</v>
      </c>
      <c r="BF22" s="41">
        <v>79</v>
      </c>
    </row>
    <row r="23" spans="1:58" s="972" customFormat="1">
      <c r="D23" s="972" t="s">
        <v>615</v>
      </c>
      <c r="H23" s="2"/>
      <c r="I23" s="41">
        <v>54</v>
      </c>
      <c r="J23" s="330">
        <v>71</v>
      </c>
      <c r="K23" s="232">
        <v>77</v>
      </c>
      <c r="L23" s="232">
        <v>78</v>
      </c>
      <c r="M23" s="232">
        <v>72</v>
      </c>
      <c r="N23" s="232">
        <v>89</v>
      </c>
      <c r="O23" s="232">
        <v>84</v>
      </c>
      <c r="P23" s="232">
        <v>101</v>
      </c>
      <c r="Q23" s="232">
        <v>93</v>
      </c>
      <c r="R23" s="232">
        <v>103</v>
      </c>
      <c r="S23" s="232">
        <v>80</v>
      </c>
      <c r="T23" s="232">
        <v>75</v>
      </c>
      <c r="U23" s="232">
        <v>77</v>
      </c>
      <c r="V23" s="232">
        <v>58</v>
      </c>
      <c r="W23" s="232">
        <v>71</v>
      </c>
      <c r="X23" s="232">
        <v>68</v>
      </c>
      <c r="Y23" s="232">
        <v>71</v>
      </c>
      <c r="Z23" s="232">
        <v>67</v>
      </c>
      <c r="AA23" s="135">
        <v>68</v>
      </c>
      <c r="AB23" s="135">
        <v>43</v>
      </c>
      <c r="AC23" s="232"/>
      <c r="AD23" s="10">
        <f>((((J23/I23))^(1/8))-1)*100</f>
        <v>3.4803939987694044</v>
      </c>
      <c r="AE23" s="10">
        <f>((((U23/J23))^(1/11))-1)*100</f>
        <v>0.74023121861099828</v>
      </c>
      <c r="AF23" s="10">
        <f t="shared" si="0"/>
        <v>-0.87226553819986785</v>
      </c>
      <c r="AG23" s="10">
        <f t="shared" si="1"/>
        <v>-7.9859892203902323</v>
      </c>
      <c r="AH23" s="25"/>
      <c r="AI23" s="10">
        <f t="shared" si="2"/>
        <v>-20.370370370370374</v>
      </c>
      <c r="AL23" s="972" t="s">
        <v>1890</v>
      </c>
      <c r="AM23" s="41">
        <v>54</v>
      </c>
      <c r="AN23" s="330">
        <v>71</v>
      </c>
      <c r="AO23" s="232">
        <v>77</v>
      </c>
      <c r="AP23" s="232">
        <v>78</v>
      </c>
      <c r="AQ23" s="232">
        <v>72</v>
      </c>
      <c r="AR23" s="232">
        <v>89</v>
      </c>
      <c r="AS23" s="232">
        <v>84</v>
      </c>
      <c r="AT23" s="232">
        <v>101</v>
      </c>
      <c r="AU23" s="232">
        <v>93</v>
      </c>
      <c r="AV23" s="232">
        <v>103</v>
      </c>
      <c r="AW23" s="232">
        <v>80</v>
      </c>
      <c r="AX23" s="232">
        <v>75</v>
      </c>
      <c r="AY23" s="232">
        <v>77</v>
      </c>
      <c r="AZ23" s="232">
        <v>58</v>
      </c>
      <c r="BA23" s="232">
        <v>71</v>
      </c>
      <c r="BB23" s="232">
        <v>68</v>
      </c>
      <c r="BC23" s="232">
        <v>71</v>
      </c>
      <c r="BD23" s="232">
        <v>67</v>
      </c>
      <c r="BE23" s="232">
        <v>68</v>
      </c>
      <c r="BF23" s="41">
        <v>43</v>
      </c>
    </row>
    <row r="24" spans="1:58" s="972" customFormat="1">
      <c r="D24" s="972" t="s">
        <v>621</v>
      </c>
      <c r="H24" s="2"/>
      <c r="I24" s="41">
        <v>15</v>
      </c>
      <c r="J24" s="330">
        <v>10</v>
      </c>
      <c r="K24" s="232">
        <v>13</v>
      </c>
      <c r="L24" s="232">
        <v>15</v>
      </c>
      <c r="M24" s="232">
        <v>29</v>
      </c>
      <c r="N24" s="232">
        <v>14</v>
      </c>
      <c r="O24" s="232">
        <v>14</v>
      </c>
      <c r="P24" s="232">
        <v>17</v>
      </c>
      <c r="Q24" s="232">
        <v>14</v>
      </c>
      <c r="R24" s="232">
        <v>14</v>
      </c>
      <c r="S24" s="232" t="s">
        <v>813</v>
      </c>
      <c r="T24" s="232" t="s">
        <v>813</v>
      </c>
      <c r="U24" s="232" t="s">
        <v>813</v>
      </c>
      <c r="V24" s="232" t="s">
        <v>813</v>
      </c>
      <c r="W24" s="232" t="s">
        <v>813</v>
      </c>
      <c r="X24" s="232">
        <v>17</v>
      </c>
      <c r="Y24" s="232">
        <v>16</v>
      </c>
      <c r="Z24" s="232" t="s">
        <v>813</v>
      </c>
      <c r="AA24" s="135" t="s">
        <v>813</v>
      </c>
      <c r="AB24" s="135" t="s">
        <v>813</v>
      </c>
      <c r="AC24" s="232"/>
      <c r="AD24" s="10">
        <f>((((J24/I24))^(1/8))-1)*100</f>
        <v>-4.9420175045859267</v>
      </c>
      <c r="AE24" s="10" t="s">
        <v>374</v>
      </c>
      <c r="AF24" s="10" t="s">
        <v>374</v>
      </c>
      <c r="AG24" s="10" t="s">
        <v>374</v>
      </c>
      <c r="AH24" s="25"/>
      <c r="AI24" s="10" t="s">
        <v>374</v>
      </c>
      <c r="AL24" s="972" t="s">
        <v>1891</v>
      </c>
      <c r="AM24" s="41">
        <v>15</v>
      </c>
      <c r="AN24" s="330">
        <v>10</v>
      </c>
      <c r="AO24" s="232">
        <v>13</v>
      </c>
      <c r="AP24" s="232">
        <v>15</v>
      </c>
      <c r="AQ24" s="232">
        <v>29</v>
      </c>
      <c r="AR24" s="232">
        <v>14</v>
      </c>
      <c r="AS24" s="232">
        <v>14</v>
      </c>
      <c r="AT24" s="232">
        <v>17</v>
      </c>
      <c r="AU24" s="232">
        <v>14</v>
      </c>
      <c r="AV24" s="232">
        <v>14</v>
      </c>
      <c r="AW24" s="232" t="s">
        <v>593</v>
      </c>
      <c r="AX24" s="232" t="s">
        <v>593</v>
      </c>
      <c r="AY24" s="232" t="s">
        <v>593</v>
      </c>
      <c r="AZ24" s="232" t="s">
        <v>593</v>
      </c>
      <c r="BA24" s="232" t="s">
        <v>593</v>
      </c>
      <c r="BB24" s="232">
        <v>17</v>
      </c>
      <c r="BC24" s="232">
        <v>16</v>
      </c>
      <c r="BD24" s="232" t="s">
        <v>593</v>
      </c>
      <c r="BE24" s="232" t="s">
        <v>593</v>
      </c>
      <c r="BF24" s="41" t="s">
        <v>593</v>
      </c>
    </row>
    <row r="25" spans="1:58" s="972" customFormat="1">
      <c r="H25" s="2"/>
      <c r="I25" s="41"/>
      <c r="J25" s="330"/>
      <c r="K25" s="232"/>
      <c r="L25" s="232"/>
      <c r="M25" s="232"/>
      <c r="N25" s="232"/>
      <c r="O25" s="232"/>
      <c r="P25" s="232"/>
      <c r="Q25" s="232"/>
      <c r="R25" s="232"/>
      <c r="S25" s="232"/>
      <c r="T25" s="232"/>
      <c r="U25" s="232"/>
      <c r="V25" s="232"/>
      <c r="W25" s="232"/>
      <c r="X25" s="232"/>
      <c r="Y25" s="232"/>
      <c r="Z25" s="232"/>
      <c r="AA25" s="135"/>
      <c r="AB25" s="232"/>
      <c r="AC25" s="232"/>
      <c r="AD25" s="10"/>
      <c r="AE25" s="10"/>
      <c r="AF25" s="10"/>
      <c r="AG25" s="10"/>
      <c r="AH25" s="25"/>
      <c r="AI25" s="10"/>
      <c r="AM25" s="41"/>
      <c r="AN25" s="330"/>
      <c r="AO25" s="232"/>
      <c r="AP25" s="232"/>
      <c r="AQ25" s="232"/>
      <c r="AR25" s="232"/>
      <c r="AS25" s="232"/>
      <c r="AT25" s="232"/>
      <c r="AU25" s="232"/>
      <c r="AV25" s="232"/>
      <c r="AW25" s="232"/>
      <c r="AX25" s="232"/>
      <c r="AY25" s="232"/>
      <c r="AZ25" s="232"/>
      <c r="BA25" s="232"/>
      <c r="BB25" s="232"/>
      <c r="BC25" s="232"/>
      <c r="BD25" s="232"/>
      <c r="BE25" s="232"/>
      <c r="BF25" s="232"/>
    </row>
    <row r="26" spans="1:58" s="972" customFormat="1">
      <c r="A26" s="4"/>
      <c r="D26" s="128" t="s">
        <v>622</v>
      </c>
      <c r="H26" s="2"/>
      <c r="I26" s="41">
        <v>17</v>
      </c>
      <c r="J26" s="330">
        <v>15</v>
      </c>
      <c r="K26" s="232">
        <v>23</v>
      </c>
      <c r="L26" s="232">
        <v>27</v>
      </c>
      <c r="M26" s="232">
        <v>36</v>
      </c>
      <c r="N26" s="232">
        <v>30</v>
      </c>
      <c r="O26" s="232">
        <v>40</v>
      </c>
      <c r="P26" s="232">
        <v>39</v>
      </c>
      <c r="Q26" s="232">
        <v>37</v>
      </c>
      <c r="R26" s="232">
        <v>38</v>
      </c>
      <c r="S26" s="232">
        <v>34</v>
      </c>
      <c r="T26" s="232">
        <v>27</v>
      </c>
      <c r="U26" s="232">
        <v>38</v>
      </c>
      <c r="V26" s="232">
        <v>41</v>
      </c>
      <c r="W26" s="232">
        <v>43</v>
      </c>
      <c r="X26" s="232">
        <v>47</v>
      </c>
      <c r="Y26" s="232">
        <v>34</v>
      </c>
      <c r="Z26" s="232">
        <v>21</v>
      </c>
      <c r="AA26" s="135">
        <v>23</v>
      </c>
      <c r="AB26" s="135">
        <v>14</v>
      </c>
      <c r="AC26" s="232"/>
      <c r="AD26" s="10">
        <f>((((J26/I26))^(1/8))-1)*100</f>
        <v>-1.5523639496999864</v>
      </c>
      <c r="AE26" s="10">
        <f>((((U26/J26))^(1/11))-1)*100</f>
        <v>8.8176401437667806</v>
      </c>
      <c r="AF26" s="10">
        <f t="shared" si="0"/>
        <v>-0.74397262215805116</v>
      </c>
      <c r="AG26" s="10">
        <f t="shared" si="1"/>
        <v>-13.293989186574818</v>
      </c>
      <c r="AH26" s="25"/>
      <c r="AI26" s="10">
        <f t="shared" si="2"/>
        <v>-17.647058823529417</v>
      </c>
      <c r="AL26" s="972" t="s">
        <v>1892</v>
      </c>
      <c r="AM26" s="41">
        <v>17</v>
      </c>
      <c r="AN26" s="330">
        <v>15</v>
      </c>
      <c r="AO26" s="232">
        <v>23</v>
      </c>
      <c r="AP26" s="232">
        <v>27</v>
      </c>
      <c r="AQ26" s="232">
        <v>36</v>
      </c>
      <c r="AR26" s="232">
        <v>30</v>
      </c>
      <c r="AS26" s="232">
        <v>40</v>
      </c>
      <c r="AT26" s="232">
        <v>39</v>
      </c>
      <c r="AU26" s="232">
        <v>37</v>
      </c>
      <c r="AV26" s="232">
        <v>38</v>
      </c>
      <c r="AW26" s="232">
        <v>34</v>
      </c>
      <c r="AX26" s="232">
        <v>27</v>
      </c>
      <c r="AY26" s="232">
        <v>38</v>
      </c>
      <c r="AZ26" s="232">
        <v>41</v>
      </c>
      <c r="BA26" s="232">
        <v>43</v>
      </c>
      <c r="BB26" s="232">
        <v>47</v>
      </c>
      <c r="BC26" s="232">
        <v>34</v>
      </c>
      <c r="BD26" s="232">
        <v>21</v>
      </c>
      <c r="BE26" s="232">
        <v>23</v>
      </c>
      <c r="BF26" s="41">
        <v>14</v>
      </c>
    </row>
    <row r="27" spans="1:58" s="114" customFormat="1">
      <c r="A27" s="4"/>
      <c r="B27" s="972"/>
      <c r="C27" s="972"/>
      <c r="D27" s="972"/>
      <c r="E27" s="972"/>
      <c r="F27" s="972"/>
      <c r="G27" s="972"/>
      <c r="H27" s="2"/>
      <c r="I27" s="41"/>
      <c r="J27" s="330"/>
      <c r="K27" s="232"/>
      <c r="L27" s="232"/>
      <c r="M27" s="232"/>
      <c r="N27" s="232"/>
      <c r="O27" s="232"/>
      <c r="P27" s="232"/>
      <c r="Q27" s="232"/>
      <c r="R27" s="232"/>
      <c r="S27" s="232"/>
      <c r="T27" s="232"/>
      <c r="U27" s="232"/>
      <c r="V27" s="232"/>
      <c r="W27" s="232"/>
      <c r="X27" s="232"/>
      <c r="Y27" s="232"/>
      <c r="Z27" s="232"/>
      <c r="AA27" s="135"/>
      <c r="AB27" s="232"/>
      <c r="AC27" s="232"/>
      <c r="AD27" s="10"/>
      <c r="AE27" s="10"/>
      <c r="AF27" s="10"/>
      <c r="AG27" s="10"/>
      <c r="AH27" s="25"/>
      <c r="AI27" s="10"/>
      <c r="AL27" s="972"/>
      <c r="AM27" s="41"/>
      <c r="AN27" s="330"/>
      <c r="AO27" s="232"/>
      <c r="AP27" s="232"/>
      <c r="AQ27" s="232"/>
      <c r="AR27" s="232"/>
      <c r="AS27" s="232"/>
      <c r="AT27" s="232"/>
      <c r="AU27" s="232"/>
      <c r="AV27" s="232"/>
      <c r="AW27" s="232"/>
      <c r="AX27" s="232"/>
      <c r="AY27" s="232"/>
      <c r="AZ27" s="232"/>
      <c r="BA27" s="232"/>
      <c r="BB27" s="232"/>
      <c r="BC27" s="232"/>
      <c r="BD27" s="232"/>
      <c r="BE27" s="232"/>
      <c r="BF27" s="232"/>
    </row>
    <row r="28" spans="1:58" s="114" customFormat="1">
      <c r="A28" s="4"/>
      <c r="B28" s="972"/>
      <c r="C28" s="972"/>
      <c r="D28" s="128" t="s">
        <v>623</v>
      </c>
      <c r="E28" s="972"/>
      <c r="F28" s="972"/>
      <c r="G28" s="972"/>
      <c r="H28" s="2"/>
      <c r="I28" s="41">
        <v>170</v>
      </c>
      <c r="J28" s="330">
        <v>195</v>
      </c>
      <c r="K28" s="232">
        <v>251</v>
      </c>
      <c r="L28" s="232">
        <v>261</v>
      </c>
      <c r="M28" s="232">
        <v>285</v>
      </c>
      <c r="N28" s="232">
        <v>292</v>
      </c>
      <c r="O28" s="232">
        <v>272</v>
      </c>
      <c r="P28" s="232">
        <v>281</v>
      </c>
      <c r="Q28" s="232">
        <v>334</v>
      </c>
      <c r="R28" s="232">
        <v>300</v>
      </c>
      <c r="S28" s="232">
        <v>271</v>
      </c>
      <c r="T28" s="232">
        <v>246</v>
      </c>
      <c r="U28" s="232">
        <v>219</v>
      </c>
      <c r="V28" s="232">
        <v>200</v>
      </c>
      <c r="W28" s="232">
        <v>231</v>
      </c>
      <c r="X28" s="232">
        <v>226</v>
      </c>
      <c r="Y28" s="232">
        <v>216</v>
      </c>
      <c r="Z28" s="232">
        <v>184</v>
      </c>
      <c r="AA28" s="135">
        <v>171</v>
      </c>
      <c r="AB28" s="135">
        <v>149</v>
      </c>
      <c r="AC28" s="232"/>
      <c r="AD28" s="10">
        <f t="shared" ref="AD28:AD33" si="3">((((J28/I28))^(1/8))-1)*100</f>
        <v>1.7298048181221493</v>
      </c>
      <c r="AE28" s="10">
        <f>((((U28/J28))^(1/11))-1)*100</f>
        <v>1.0607884421460101</v>
      </c>
      <c r="AF28" s="10">
        <f t="shared" si="0"/>
        <v>-0.50583988043918504</v>
      </c>
      <c r="AG28" s="10">
        <f t="shared" si="1"/>
        <v>-5.3531810727605382</v>
      </c>
      <c r="AH28" s="25"/>
      <c r="AI28" s="10">
        <f t="shared" si="2"/>
        <v>-12.352941176470589</v>
      </c>
      <c r="AL28" s="972" t="s">
        <v>1893</v>
      </c>
      <c r="AM28" s="41">
        <v>170</v>
      </c>
      <c r="AN28" s="330">
        <v>195</v>
      </c>
      <c r="AO28" s="232">
        <v>251</v>
      </c>
      <c r="AP28" s="232">
        <v>261</v>
      </c>
      <c r="AQ28" s="232">
        <v>285</v>
      </c>
      <c r="AR28" s="232">
        <v>292</v>
      </c>
      <c r="AS28" s="232">
        <v>272</v>
      </c>
      <c r="AT28" s="232">
        <v>281</v>
      </c>
      <c r="AU28" s="232">
        <v>334</v>
      </c>
      <c r="AV28" s="232">
        <v>300</v>
      </c>
      <c r="AW28" s="232">
        <v>271</v>
      </c>
      <c r="AX28" s="232">
        <v>246</v>
      </c>
      <c r="AY28" s="232">
        <v>219</v>
      </c>
      <c r="AZ28" s="232">
        <v>200</v>
      </c>
      <c r="BA28" s="232">
        <v>231</v>
      </c>
      <c r="BB28" s="232">
        <v>226</v>
      </c>
      <c r="BC28" s="232">
        <v>216</v>
      </c>
      <c r="BD28" s="232">
        <v>184</v>
      </c>
      <c r="BE28" s="232">
        <v>171</v>
      </c>
      <c r="BF28" s="41">
        <v>149</v>
      </c>
    </row>
    <row r="29" spans="1:58" s="114" customFormat="1">
      <c r="A29" s="4"/>
      <c r="B29" s="972"/>
      <c r="C29" s="972"/>
      <c r="D29" s="972" t="s">
        <v>624</v>
      </c>
      <c r="E29" s="972"/>
      <c r="F29" s="972"/>
      <c r="G29" s="972"/>
      <c r="H29" s="2"/>
      <c r="I29" s="41">
        <v>7</v>
      </c>
      <c r="J29" s="330">
        <v>7</v>
      </c>
      <c r="K29" s="232">
        <v>16</v>
      </c>
      <c r="L29" s="232">
        <v>15</v>
      </c>
      <c r="M29" s="232">
        <v>10</v>
      </c>
      <c r="N29" s="232">
        <v>21</v>
      </c>
      <c r="O29" s="232">
        <v>25</v>
      </c>
      <c r="P29" s="232">
        <v>20</v>
      </c>
      <c r="Q29" s="232">
        <v>23</v>
      </c>
      <c r="R29" s="232">
        <v>19</v>
      </c>
      <c r="S29" s="232">
        <v>18</v>
      </c>
      <c r="T29" s="232">
        <v>19</v>
      </c>
      <c r="U29" s="232">
        <v>14</v>
      </c>
      <c r="V29" s="232">
        <v>14</v>
      </c>
      <c r="W29" s="232">
        <v>16</v>
      </c>
      <c r="X29" s="232">
        <v>16</v>
      </c>
      <c r="Y29" s="232">
        <v>18</v>
      </c>
      <c r="Z29" s="232">
        <v>15</v>
      </c>
      <c r="AA29" s="135">
        <v>9</v>
      </c>
      <c r="AB29" s="135">
        <v>14</v>
      </c>
      <c r="AC29" s="232"/>
      <c r="AD29" s="10">
        <f t="shared" si="3"/>
        <v>0</v>
      </c>
      <c r="AE29" s="10">
        <f>((((U29/J29))^(1/11))-1)*100</f>
        <v>6.5041089439962674</v>
      </c>
      <c r="AF29" s="10">
        <f t="shared" si="0"/>
        <v>2.7018050708772501</v>
      </c>
      <c r="AG29" s="10">
        <f t="shared" si="1"/>
        <v>0</v>
      </c>
      <c r="AH29" s="25"/>
      <c r="AI29" s="10">
        <f t="shared" si="2"/>
        <v>100</v>
      </c>
      <c r="AL29" s="972" t="s">
        <v>1894</v>
      </c>
      <c r="AM29" s="41">
        <v>7</v>
      </c>
      <c r="AN29" s="330">
        <v>7</v>
      </c>
      <c r="AO29" s="232">
        <v>16</v>
      </c>
      <c r="AP29" s="232">
        <v>15</v>
      </c>
      <c r="AQ29" s="232">
        <v>10</v>
      </c>
      <c r="AR29" s="232">
        <v>21</v>
      </c>
      <c r="AS29" s="232">
        <v>25</v>
      </c>
      <c r="AT29" s="232">
        <v>20</v>
      </c>
      <c r="AU29" s="232">
        <v>23</v>
      </c>
      <c r="AV29" s="232">
        <v>19</v>
      </c>
      <c r="AW29" s="232">
        <v>18</v>
      </c>
      <c r="AX29" s="232">
        <v>19</v>
      </c>
      <c r="AY29" s="232">
        <v>14</v>
      </c>
      <c r="AZ29" s="232">
        <v>14</v>
      </c>
      <c r="BA29" s="232">
        <v>16</v>
      </c>
      <c r="BB29" s="232">
        <v>16</v>
      </c>
      <c r="BC29" s="232">
        <v>18</v>
      </c>
      <c r="BD29" s="232">
        <v>15</v>
      </c>
      <c r="BE29" s="232">
        <v>9</v>
      </c>
      <c r="BF29" s="41">
        <v>14</v>
      </c>
    </row>
    <row r="30" spans="1:58" s="114" customFormat="1">
      <c r="A30" s="4"/>
      <c r="B30" s="972"/>
      <c r="C30" s="972"/>
      <c r="D30" s="972" t="s">
        <v>625</v>
      </c>
      <c r="E30" s="972"/>
      <c r="F30" s="972"/>
      <c r="G30" s="972"/>
      <c r="H30" s="2"/>
      <c r="I30" s="41">
        <v>162</v>
      </c>
      <c r="J30" s="330">
        <v>188</v>
      </c>
      <c r="K30" s="232">
        <v>235</v>
      </c>
      <c r="L30" s="232">
        <v>246</v>
      </c>
      <c r="M30" s="232">
        <v>275</v>
      </c>
      <c r="N30" s="232">
        <v>270</v>
      </c>
      <c r="O30" s="232">
        <v>247</v>
      </c>
      <c r="P30" s="232">
        <v>261</v>
      </c>
      <c r="Q30" s="232">
        <v>311</v>
      </c>
      <c r="R30" s="232">
        <v>282</v>
      </c>
      <c r="S30" s="232">
        <v>253</v>
      </c>
      <c r="T30" s="232">
        <v>227</v>
      </c>
      <c r="U30" s="232">
        <v>205</v>
      </c>
      <c r="V30" s="232">
        <v>186</v>
      </c>
      <c r="W30" s="232">
        <v>216</v>
      </c>
      <c r="X30" s="232">
        <v>211</v>
      </c>
      <c r="Y30" s="232">
        <v>198</v>
      </c>
      <c r="Z30" s="232">
        <v>169</v>
      </c>
      <c r="AA30" s="135">
        <v>162</v>
      </c>
      <c r="AB30" s="135">
        <v>135</v>
      </c>
      <c r="AC30" s="232"/>
      <c r="AD30" s="10">
        <f t="shared" si="3"/>
        <v>1.8779868024780821</v>
      </c>
      <c r="AE30" s="10">
        <f>((((U30/J30))^(1/11))-1)*100</f>
        <v>0.79008680902410422</v>
      </c>
      <c r="AF30" s="10">
        <f t="shared" si="0"/>
        <v>-0.69878382891351842</v>
      </c>
      <c r="AG30" s="10">
        <f t="shared" si="1"/>
        <v>-5.7930716024740754</v>
      </c>
      <c r="AH30" s="25"/>
      <c r="AI30" s="10">
        <f t="shared" si="2"/>
        <v>-16.666666666666664</v>
      </c>
      <c r="AL30" s="972" t="s">
        <v>1895</v>
      </c>
      <c r="AM30" s="41">
        <v>162</v>
      </c>
      <c r="AN30" s="330">
        <v>188</v>
      </c>
      <c r="AO30" s="232">
        <v>235</v>
      </c>
      <c r="AP30" s="232">
        <v>246</v>
      </c>
      <c r="AQ30" s="232">
        <v>275</v>
      </c>
      <c r="AR30" s="232">
        <v>270</v>
      </c>
      <c r="AS30" s="232">
        <v>247</v>
      </c>
      <c r="AT30" s="232">
        <v>261</v>
      </c>
      <c r="AU30" s="232">
        <v>311</v>
      </c>
      <c r="AV30" s="232">
        <v>282</v>
      </c>
      <c r="AW30" s="232">
        <v>253</v>
      </c>
      <c r="AX30" s="232">
        <v>227</v>
      </c>
      <c r="AY30" s="232">
        <v>205</v>
      </c>
      <c r="AZ30" s="232">
        <v>186</v>
      </c>
      <c r="BA30" s="232">
        <v>216</v>
      </c>
      <c r="BB30" s="232">
        <v>211</v>
      </c>
      <c r="BC30" s="232">
        <v>198</v>
      </c>
      <c r="BD30" s="232">
        <v>169</v>
      </c>
      <c r="BE30" s="232">
        <v>162</v>
      </c>
      <c r="BF30" s="41">
        <v>135</v>
      </c>
    </row>
    <row r="31" spans="1:58" s="114" customFormat="1">
      <c r="A31" s="4"/>
      <c r="B31" s="972"/>
      <c r="C31" s="972"/>
      <c r="D31" s="972"/>
      <c r="E31" s="972" t="s">
        <v>613</v>
      </c>
      <c r="F31" s="972"/>
      <c r="G31" s="972"/>
      <c r="H31" s="2"/>
      <c r="I31" s="41">
        <v>89</v>
      </c>
      <c r="J31" s="330">
        <v>99</v>
      </c>
      <c r="K31" s="232">
        <v>116</v>
      </c>
      <c r="L31" s="232">
        <v>140</v>
      </c>
      <c r="M31" s="232">
        <v>169</v>
      </c>
      <c r="N31" s="232">
        <v>164</v>
      </c>
      <c r="O31" s="232">
        <v>155</v>
      </c>
      <c r="P31" s="232">
        <v>158</v>
      </c>
      <c r="Q31" s="232">
        <v>190</v>
      </c>
      <c r="R31" s="232">
        <v>165</v>
      </c>
      <c r="S31" s="232">
        <v>132</v>
      </c>
      <c r="T31" s="232">
        <v>126</v>
      </c>
      <c r="U31" s="232">
        <v>100</v>
      </c>
      <c r="V31" s="232">
        <v>98</v>
      </c>
      <c r="W31" s="232">
        <v>98</v>
      </c>
      <c r="X31" s="232">
        <v>84</v>
      </c>
      <c r="Y31" s="232">
        <v>73</v>
      </c>
      <c r="Z31" s="232">
        <v>75</v>
      </c>
      <c r="AA31" s="135">
        <v>78</v>
      </c>
      <c r="AB31" s="135">
        <v>71</v>
      </c>
      <c r="AC31" s="232"/>
      <c r="AD31" s="10">
        <f t="shared" si="3"/>
        <v>1.3399413232078272</v>
      </c>
      <c r="AE31" s="10">
        <f>((((U31/J31))^(1/11))-1)*100</f>
        <v>9.1408441651963379E-2</v>
      </c>
      <c r="AF31" s="10">
        <f t="shared" si="0"/>
        <v>-0.86529799308657784</v>
      </c>
      <c r="AG31" s="10">
        <f t="shared" si="1"/>
        <v>-4.7749536605491745</v>
      </c>
      <c r="AH31" s="25"/>
      <c r="AI31" s="10">
        <f t="shared" si="2"/>
        <v>-20.2247191011236</v>
      </c>
      <c r="AL31" s="972" t="s">
        <v>1896</v>
      </c>
      <c r="AM31" s="41">
        <v>89</v>
      </c>
      <c r="AN31" s="330">
        <v>99</v>
      </c>
      <c r="AO31" s="232">
        <v>116</v>
      </c>
      <c r="AP31" s="232">
        <v>140</v>
      </c>
      <c r="AQ31" s="232">
        <v>169</v>
      </c>
      <c r="AR31" s="232">
        <v>164</v>
      </c>
      <c r="AS31" s="232">
        <v>155</v>
      </c>
      <c r="AT31" s="232">
        <v>158</v>
      </c>
      <c r="AU31" s="232">
        <v>190</v>
      </c>
      <c r="AV31" s="232">
        <v>165</v>
      </c>
      <c r="AW31" s="232">
        <v>132</v>
      </c>
      <c r="AX31" s="232">
        <v>126</v>
      </c>
      <c r="AY31" s="232">
        <v>100</v>
      </c>
      <c r="AZ31" s="232">
        <v>98</v>
      </c>
      <c r="BA31" s="232">
        <v>98</v>
      </c>
      <c r="BB31" s="232">
        <v>84</v>
      </c>
      <c r="BC31" s="232">
        <v>73</v>
      </c>
      <c r="BD31" s="232">
        <v>75</v>
      </c>
      <c r="BE31" s="232">
        <v>78</v>
      </c>
      <c r="BF31" s="41">
        <v>71</v>
      </c>
    </row>
    <row r="32" spans="1:58" s="114" customFormat="1">
      <c r="A32" s="4"/>
      <c r="B32" s="972"/>
      <c r="C32" s="972"/>
      <c r="D32" s="972"/>
      <c r="E32" s="972" t="s">
        <v>620</v>
      </c>
      <c r="F32" s="972"/>
      <c r="G32" s="972"/>
      <c r="H32" s="2"/>
      <c r="I32" s="41">
        <v>63</v>
      </c>
      <c r="J32" s="330">
        <v>80</v>
      </c>
      <c r="K32" s="232">
        <v>103</v>
      </c>
      <c r="L32" s="232">
        <v>87</v>
      </c>
      <c r="M32" s="232">
        <v>88</v>
      </c>
      <c r="N32" s="232">
        <v>94</v>
      </c>
      <c r="O32" s="232">
        <v>81</v>
      </c>
      <c r="P32" s="232">
        <v>93</v>
      </c>
      <c r="Q32" s="232">
        <v>107</v>
      </c>
      <c r="R32" s="232">
        <v>107</v>
      </c>
      <c r="S32" s="232">
        <v>116</v>
      </c>
      <c r="T32" s="232">
        <v>93</v>
      </c>
      <c r="U32" s="232">
        <v>95</v>
      </c>
      <c r="V32" s="232">
        <v>82</v>
      </c>
      <c r="W32" s="232">
        <v>103</v>
      </c>
      <c r="X32" s="232">
        <v>112</v>
      </c>
      <c r="Y32" s="232">
        <v>110</v>
      </c>
      <c r="Z32" s="232">
        <v>80</v>
      </c>
      <c r="AA32" s="135">
        <v>69</v>
      </c>
      <c r="AB32" s="135">
        <v>56</v>
      </c>
      <c r="AC32" s="232"/>
      <c r="AD32" s="10">
        <f t="shared" si="3"/>
        <v>3.0311814071103838</v>
      </c>
      <c r="AE32" s="10">
        <f>((((U32/J32))^(1/11))-1)*100</f>
        <v>1.5745423796523772</v>
      </c>
      <c r="AF32" s="10">
        <f t="shared" si="0"/>
        <v>-0.45198712540486241</v>
      </c>
      <c r="AG32" s="10">
        <f t="shared" si="1"/>
        <v>-7.2723607781659094</v>
      </c>
      <c r="AH32" s="25"/>
      <c r="AI32" s="10">
        <f t="shared" si="2"/>
        <v>-11.111111111111116</v>
      </c>
      <c r="AL32" s="972" t="s">
        <v>1897</v>
      </c>
      <c r="AM32" s="41">
        <v>63</v>
      </c>
      <c r="AN32" s="330">
        <v>80</v>
      </c>
      <c r="AO32" s="232">
        <v>103</v>
      </c>
      <c r="AP32" s="232">
        <v>87</v>
      </c>
      <c r="AQ32" s="232">
        <v>88</v>
      </c>
      <c r="AR32" s="232">
        <v>94</v>
      </c>
      <c r="AS32" s="232">
        <v>81</v>
      </c>
      <c r="AT32" s="232">
        <v>93</v>
      </c>
      <c r="AU32" s="232">
        <v>107</v>
      </c>
      <c r="AV32" s="232">
        <v>107</v>
      </c>
      <c r="AW32" s="232">
        <v>116</v>
      </c>
      <c r="AX32" s="232">
        <v>93</v>
      </c>
      <c r="AY32" s="232">
        <v>95</v>
      </c>
      <c r="AZ32" s="232">
        <v>82</v>
      </c>
      <c r="BA32" s="232">
        <v>103</v>
      </c>
      <c r="BB32" s="232">
        <v>112</v>
      </c>
      <c r="BC32" s="232">
        <v>110</v>
      </c>
      <c r="BD32" s="232">
        <v>80</v>
      </c>
      <c r="BE32" s="232">
        <v>69</v>
      </c>
      <c r="BF32" s="41">
        <v>56</v>
      </c>
    </row>
    <row r="33" spans="1:58" s="114" customFormat="1">
      <c r="A33" s="4"/>
      <c r="B33" s="972"/>
      <c r="C33" s="972"/>
      <c r="D33" s="972"/>
      <c r="E33" s="972" t="s">
        <v>626</v>
      </c>
      <c r="F33" s="972"/>
      <c r="G33" s="972"/>
      <c r="H33" s="2"/>
      <c r="I33" s="41">
        <v>11</v>
      </c>
      <c r="J33" s="330">
        <v>10</v>
      </c>
      <c r="K33" s="232">
        <v>16</v>
      </c>
      <c r="L33" s="232">
        <v>19</v>
      </c>
      <c r="M33" s="232">
        <v>18</v>
      </c>
      <c r="N33" s="232">
        <v>13</v>
      </c>
      <c r="O33" s="232">
        <v>11</v>
      </c>
      <c r="P33" s="232">
        <v>10</v>
      </c>
      <c r="Q33" s="232">
        <v>14</v>
      </c>
      <c r="R33" s="232">
        <v>9</v>
      </c>
      <c r="S33" s="232" t="s">
        <v>813</v>
      </c>
      <c r="T33" s="232" t="s">
        <v>813</v>
      </c>
      <c r="U33" s="232" t="s">
        <v>813</v>
      </c>
      <c r="V33" s="232" t="s">
        <v>813</v>
      </c>
      <c r="W33" s="232">
        <v>15</v>
      </c>
      <c r="X33" s="232" t="s">
        <v>813</v>
      </c>
      <c r="Y33" s="232" t="s">
        <v>813</v>
      </c>
      <c r="Z33" s="232" t="s">
        <v>813</v>
      </c>
      <c r="AA33" s="135" t="s">
        <v>813</v>
      </c>
      <c r="AB33" s="135" t="s">
        <v>813</v>
      </c>
      <c r="AC33" s="232"/>
      <c r="AD33" s="10">
        <f t="shared" si="3"/>
        <v>-1.1843084486926947</v>
      </c>
      <c r="AE33" s="10" t="s">
        <v>374</v>
      </c>
      <c r="AF33" s="10" t="s">
        <v>374</v>
      </c>
      <c r="AG33" s="10" t="s">
        <v>374</v>
      </c>
      <c r="AH33" s="25"/>
      <c r="AI33" s="10" t="s">
        <v>374</v>
      </c>
      <c r="AL33" s="972" t="s">
        <v>1898</v>
      </c>
      <c r="AM33" s="41">
        <v>11</v>
      </c>
      <c r="AN33" s="330">
        <v>10</v>
      </c>
      <c r="AO33" s="232">
        <v>16</v>
      </c>
      <c r="AP33" s="232">
        <v>19</v>
      </c>
      <c r="AQ33" s="232">
        <v>18</v>
      </c>
      <c r="AR33" s="232">
        <v>13</v>
      </c>
      <c r="AS33" s="232">
        <v>11</v>
      </c>
      <c r="AT33" s="232">
        <v>10</v>
      </c>
      <c r="AU33" s="232">
        <v>14</v>
      </c>
      <c r="AV33" s="232">
        <v>9</v>
      </c>
      <c r="AW33" s="232" t="s">
        <v>593</v>
      </c>
      <c r="AX33" s="232" t="s">
        <v>593</v>
      </c>
      <c r="AY33" s="232" t="s">
        <v>593</v>
      </c>
      <c r="AZ33" s="232" t="s">
        <v>593</v>
      </c>
      <c r="BA33" s="232">
        <v>15</v>
      </c>
      <c r="BB33" s="232" t="s">
        <v>593</v>
      </c>
      <c r="BC33" s="232" t="s">
        <v>593</v>
      </c>
      <c r="BD33" s="232" t="s">
        <v>593</v>
      </c>
      <c r="BE33" s="232" t="s">
        <v>593</v>
      </c>
      <c r="BF33" s="41" t="s">
        <v>593</v>
      </c>
    </row>
    <row r="34" spans="1:58" s="114" customFormat="1">
      <c r="A34" s="4"/>
      <c r="B34" s="972"/>
      <c r="C34" s="972"/>
      <c r="D34" s="972"/>
      <c r="E34" s="972"/>
      <c r="F34" s="972"/>
      <c r="G34" s="972"/>
      <c r="H34" s="2"/>
      <c r="I34" s="41"/>
      <c r="J34" s="330"/>
      <c r="K34" s="232"/>
      <c r="L34" s="232"/>
      <c r="M34" s="232"/>
      <c r="N34" s="232"/>
      <c r="O34" s="232"/>
      <c r="P34" s="232"/>
      <c r="Q34" s="232"/>
      <c r="R34" s="232"/>
      <c r="S34" s="232"/>
      <c r="T34" s="232"/>
      <c r="U34" s="232"/>
      <c r="V34" s="232"/>
      <c r="W34" s="232"/>
      <c r="X34" s="232"/>
      <c r="Y34" s="232"/>
      <c r="Z34" s="232"/>
      <c r="AA34" s="135"/>
      <c r="AB34" s="232"/>
      <c r="AC34" s="232"/>
      <c r="AD34" s="10"/>
      <c r="AE34" s="10"/>
      <c r="AF34" s="10"/>
      <c r="AG34" s="10"/>
      <c r="AH34" s="25"/>
      <c r="AI34" s="10"/>
      <c r="AL34" s="972"/>
      <c r="AM34" s="41"/>
      <c r="AN34" s="330"/>
      <c r="AO34" s="232"/>
      <c r="AP34" s="232"/>
      <c r="AQ34" s="232"/>
      <c r="AR34" s="232"/>
      <c r="AS34" s="232"/>
      <c r="AT34" s="232"/>
      <c r="AU34" s="232"/>
      <c r="AV34" s="232"/>
      <c r="AW34" s="232"/>
      <c r="AX34" s="232"/>
      <c r="AY34" s="232"/>
      <c r="AZ34" s="232"/>
      <c r="BA34" s="232"/>
      <c r="BB34" s="232"/>
      <c r="BC34" s="232"/>
      <c r="BD34" s="232"/>
      <c r="BE34" s="232"/>
      <c r="BF34" s="232"/>
    </row>
    <row r="35" spans="1:58" s="114" customFormat="1">
      <c r="A35" s="4"/>
      <c r="B35" s="972"/>
      <c r="C35" s="972"/>
      <c r="D35" s="128" t="s">
        <v>2</v>
      </c>
      <c r="E35" s="972"/>
      <c r="F35" s="972"/>
      <c r="G35" s="972"/>
      <c r="H35" s="2"/>
      <c r="I35" s="41">
        <v>35</v>
      </c>
      <c r="J35" s="330">
        <v>31</v>
      </c>
      <c r="K35" s="232">
        <v>51</v>
      </c>
      <c r="L35" s="232">
        <v>53</v>
      </c>
      <c r="M35" s="232">
        <v>68</v>
      </c>
      <c r="N35" s="232">
        <v>89</v>
      </c>
      <c r="O35" s="232">
        <v>85</v>
      </c>
      <c r="P35" s="232">
        <v>71</v>
      </c>
      <c r="Q35" s="232">
        <v>83</v>
      </c>
      <c r="R35" s="232">
        <v>94</v>
      </c>
      <c r="S35" s="232">
        <v>104</v>
      </c>
      <c r="T35" s="232">
        <v>87</v>
      </c>
      <c r="U35" s="232">
        <v>77</v>
      </c>
      <c r="V35" s="232">
        <v>68</v>
      </c>
      <c r="W35" s="232">
        <v>85</v>
      </c>
      <c r="X35" s="232">
        <v>94</v>
      </c>
      <c r="Y35" s="232">
        <v>85</v>
      </c>
      <c r="Z35" s="232">
        <v>93</v>
      </c>
      <c r="AA35" s="135">
        <v>90</v>
      </c>
      <c r="AB35" s="135">
        <v>90</v>
      </c>
      <c r="AC35" s="232"/>
      <c r="AD35" s="10">
        <f>((((J35/I35))^(1/8))-1)*100</f>
        <v>-1.5055620705306638</v>
      </c>
      <c r="AE35" s="10">
        <f>((((U35/J35))^(1/11))-1)*100</f>
        <v>8.6227568556508807</v>
      </c>
      <c r="AF35" s="10">
        <f t="shared" si="0"/>
        <v>3.6993277406399239</v>
      </c>
      <c r="AG35" s="10">
        <f t="shared" si="1"/>
        <v>2.2536516454372046</v>
      </c>
      <c r="AH35" s="25"/>
      <c r="AI35" s="10">
        <f t="shared" si="2"/>
        <v>157.14285714285717</v>
      </c>
      <c r="AL35" s="114" t="s">
        <v>1899</v>
      </c>
      <c r="AM35" s="41">
        <v>35</v>
      </c>
      <c r="AN35" s="330">
        <v>31</v>
      </c>
      <c r="AO35" s="232">
        <v>51</v>
      </c>
      <c r="AP35" s="232">
        <v>53</v>
      </c>
      <c r="AQ35" s="232">
        <v>68</v>
      </c>
      <c r="AR35" s="232">
        <v>89</v>
      </c>
      <c r="AS35" s="232">
        <v>85</v>
      </c>
      <c r="AT35" s="232">
        <v>71</v>
      </c>
      <c r="AU35" s="232">
        <v>83</v>
      </c>
      <c r="AV35" s="232">
        <v>94</v>
      </c>
      <c r="AW35" s="232">
        <v>104</v>
      </c>
      <c r="AX35" s="232">
        <v>87</v>
      </c>
      <c r="AY35" s="232">
        <v>77</v>
      </c>
      <c r="AZ35" s="232">
        <v>68</v>
      </c>
      <c r="BA35" s="232">
        <v>85</v>
      </c>
      <c r="BB35" s="232">
        <v>94</v>
      </c>
      <c r="BC35" s="232">
        <v>85</v>
      </c>
      <c r="BD35" s="232">
        <v>93</v>
      </c>
      <c r="BE35" s="232">
        <v>90</v>
      </c>
      <c r="BF35" s="41">
        <v>90</v>
      </c>
    </row>
    <row r="36" spans="1:58" s="114" customFormat="1">
      <c r="A36" s="4"/>
      <c r="B36" s="972"/>
      <c r="C36" s="972"/>
      <c r="D36" s="972"/>
      <c r="E36" s="972"/>
      <c r="F36" s="972"/>
      <c r="G36" s="972"/>
      <c r="H36" s="2"/>
      <c r="I36" s="41"/>
      <c r="J36" s="330"/>
      <c r="K36" s="232"/>
      <c r="L36" s="232"/>
      <c r="M36" s="232"/>
      <c r="N36" s="232"/>
      <c r="O36" s="232"/>
      <c r="P36" s="232"/>
      <c r="Q36" s="232"/>
      <c r="R36" s="232"/>
      <c r="S36" s="232"/>
      <c r="T36" s="232"/>
      <c r="U36" s="232"/>
      <c r="V36" s="232"/>
      <c r="W36" s="232"/>
      <c r="X36" s="232"/>
      <c r="Y36" s="232"/>
      <c r="Z36" s="232"/>
      <c r="AA36" s="135"/>
      <c r="AB36" s="232"/>
      <c r="AC36" s="232"/>
      <c r="AD36" s="10"/>
      <c r="AE36" s="10"/>
      <c r="AF36" s="10"/>
      <c r="AG36" s="10"/>
      <c r="AH36" s="25"/>
      <c r="AI36" s="10"/>
      <c r="AL36" s="972"/>
      <c r="AM36" s="41"/>
      <c r="AN36" s="330"/>
      <c r="AO36" s="232"/>
      <c r="AP36" s="232"/>
      <c r="AQ36" s="232"/>
      <c r="AR36" s="232"/>
      <c r="AS36" s="232"/>
      <c r="AT36" s="232"/>
      <c r="AU36" s="232"/>
      <c r="AV36" s="232"/>
      <c r="AW36" s="232"/>
      <c r="AX36" s="232"/>
      <c r="AY36" s="232"/>
      <c r="AZ36" s="232"/>
      <c r="BA36" s="232"/>
      <c r="BB36" s="232"/>
      <c r="BC36" s="232"/>
      <c r="BD36" s="232"/>
      <c r="BE36" s="232"/>
      <c r="BF36" s="232"/>
    </row>
    <row r="37" spans="1:58" s="114" customFormat="1">
      <c r="A37" s="4"/>
      <c r="B37" s="128" t="s">
        <v>3</v>
      </c>
      <c r="C37" s="972"/>
      <c r="D37" s="972"/>
      <c r="E37" s="972"/>
      <c r="F37" s="972"/>
      <c r="G37" s="972"/>
      <c r="H37" s="2"/>
      <c r="I37" s="41">
        <v>895</v>
      </c>
      <c r="J37" s="330">
        <v>944</v>
      </c>
      <c r="K37" s="232">
        <v>1056</v>
      </c>
      <c r="L37" s="232">
        <v>1222</v>
      </c>
      <c r="M37" s="232">
        <v>1233</v>
      </c>
      <c r="N37" s="232">
        <v>1241</v>
      </c>
      <c r="O37" s="232">
        <v>1266</v>
      </c>
      <c r="P37" s="232">
        <v>1296</v>
      </c>
      <c r="Q37" s="232">
        <v>1366</v>
      </c>
      <c r="R37" s="232">
        <v>1398</v>
      </c>
      <c r="S37" s="232">
        <v>1381</v>
      </c>
      <c r="T37" s="232">
        <v>1366</v>
      </c>
      <c r="U37" s="232">
        <v>1346</v>
      </c>
      <c r="V37" s="232">
        <v>1291</v>
      </c>
      <c r="W37" s="232">
        <v>1263</v>
      </c>
      <c r="X37" s="232">
        <v>1296</v>
      </c>
      <c r="Y37" s="232">
        <v>1342</v>
      </c>
      <c r="Z37" s="232">
        <v>1389</v>
      </c>
      <c r="AA37" s="135">
        <v>1363</v>
      </c>
      <c r="AB37" s="135">
        <v>1309</v>
      </c>
      <c r="AC37" s="232"/>
      <c r="AD37" s="10">
        <f>((((J37/I37))^(1/8))-1)*100</f>
        <v>0.66850518548160487</v>
      </c>
      <c r="AE37" s="10">
        <f>((((U37/J37))^(1/11))-1)*100</f>
        <v>3.2777201473865203</v>
      </c>
      <c r="AF37" s="10">
        <f t="shared" si="0"/>
        <v>1.4730323894626807</v>
      </c>
      <c r="AG37" s="10">
        <f t="shared" si="1"/>
        <v>-0.39740459666978145</v>
      </c>
      <c r="AH37" s="25"/>
      <c r="AI37" s="10">
        <f t="shared" si="2"/>
        <v>46.25698324022347</v>
      </c>
      <c r="AL37" s="114" t="s">
        <v>1900</v>
      </c>
      <c r="AM37" s="41">
        <v>895</v>
      </c>
      <c r="AN37" s="330">
        <v>944</v>
      </c>
      <c r="AO37" s="232">
        <v>1056</v>
      </c>
      <c r="AP37" s="232">
        <v>1222</v>
      </c>
      <c r="AQ37" s="232">
        <v>1233</v>
      </c>
      <c r="AR37" s="232">
        <v>1241</v>
      </c>
      <c r="AS37" s="232">
        <v>1266</v>
      </c>
      <c r="AT37" s="232">
        <v>1296</v>
      </c>
      <c r="AU37" s="232">
        <v>1366</v>
      </c>
      <c r="AV37" s="232">
        <v>1398</v>
      </c>
      <c r="AW37" s="232">
        <v>1381</v>
      </c>
      <c r="AX37" s="232">
        <v>1366</v>
      </c>
      <c r="AY37" s="232">
        <v>1346</v>
      </c>
      <c r="AZ37" s="232">
        <v>1291</v>
      </c>
      <c r="BA37" s="232">
        <v>1263</v>
      </c>
      <c r="BB37" s="232">
        <v>1296</v>
      </c>
      <c r="BC37" s="232">
        <v>1342</v>
      </c>
      <c r="BD37" s="232">
        <v>1389</v>
      </c>
      <c r="BE37" s="232">
        <v>1363</v>
      </c>
      <c r="BF37" s="41">
        <v>1309</v>
      </c>
    </row>
    <row r="38" spans="1:58" s="114" customFormat="1">
      <c r="A38" s="4"/>
      <c r="B38" s="128"/>
      <c r="C38" s="972"/>
      <c r="D38" s="972"/>
      <c r="E38" s="972"/>
      <c r="F38" s="972"/>
      <c r="G38" s="972"/>
      <c r="H38" s="2"/>
      <c r="I38" s="41"/>
      <c r="J38" s="330"/>
      <c r="K38" s="232"/>
      <c r="L38" s="232"/>
      <c r="M38" s="232"/>
      <c r="N38" s="232"/>
      <c r="O38" s="232"/>
      <c r="P38" s="232"/>
      <c r="Q38" s="232"/>
      <c r="R38" s="232"/>
      <c r="S38" s="232"/>
      <c r="T38" s="232"/>
      <c r="U38" s="232"/>
      <c r="V38" s="232"/>
      <c r="W38" s="232"/>
      <c r="X38" s="232"/>
      <c r="Y38" s="232"/>
      <c r="Z38" s="232"/>
      <c r="AA38" s="135"/>
      <c r="AB38" s="232"/>
      <c r="AC38" s="232"/>
      <c r="AD38" s="10"/>
      <c r="AE38" s="10"/>
      <c r="AF38" s="10"/>
      <c r="AG38" s="10"/>
      <c r="AH38" s="25"/>
      <c r="AI38" s="10"/>
      <c r="AL38" s="972"/>
      <c r="AM38" s="41"/>
      <c r="AN38" s="330"/>
      <c r="AO38" s="232"/>
      <c r="AP38" s="232"/>
      <c r="AQ38" s="232"/>
      <c r="AR38" s="232"/>
      <c r="AS38" s="232"/>
      <c r="AT38" s="232"/>
      <c r="AU38" s="232"/>
      <c r="AV38" s="232"/>
      <c r="AW38" s="232"/>
      <c r="AX38" s="232"/>
      <c r="AY38" s="232"/>
      <c r="AZ38" s="232"/>
      <c r="BA38" s="232"/>
      <c r="BB38" s="232"/>
      <c r="BC38" s="232"/>
      <c r="BD38" s="232"/>
      <c r="BE38" s="232"/>
      <c r="BF38" s="232"/>
    </row>
    <row r="39" spans="1:58" s="114" customFormat="1">
      <c r="A39" s="972"/>
      <c r="B39" s="972"/>
      <c r="C39" s="128" t="s">
        <v>4</v>
      </c>
      <c r="D39" s="972"/>
      <c r="E39" s="972"/>
      <c r="F39" s="972"/>
      <c r="G39" s="972"/>
      <c r="H39" s="2"/>
      <c r="I39" s="41">
        <v>74</v>
      </c>
      <c r="J39" s="330">
        <v>41</v>
      </c>
      <c r="K39" s="232">
        <v>48</v>
      </c>
      <c r="L39" s="232">
        <v>55</v>
      </c>
      <c r="M39" s="232">
        <v>40</v>
      </c>
      <c r="N39" s="232">
        <v>50</v>
      </c>
      <c r="O39" s="232">
        <v>32</v>
      </c>
      <c r="P39" s="232">
        <v>35</v>
      </c>
      <c r="Q39" s="232">
        <v>51</v>
      </c>
      <c r="R39" s="232">
        <v>47</v>
      </c>
      <c r="S39" s="232">
        <v>48</v>
      </c>
      <c r="T39" s="232">
        <v>47</v>
      </c>
      <c r="U39" s="232">
        <v>51</v>
      </c>
      <c r="V39" s="232">
        <v>50</v>
      </c>
      <c r="W39" s="232">
        <v>50</v>
      </c>
      <c r="X39" s="232">
        <v>46</v>
      </c>
      <c r="Y39" s="232">
        <v>36</v>
      </c>
      <c r="Z39" s="232">
        <v>41</v>
      </c>
      <c r="AA39" s="135">
        <v>45</v>
      </c>
      <c r="AB39" s="135">
        <v>44</v>
      </c>
      <c r="AC39" s="232"/>
      <c r="AD39" s="10">
        <f>((((J39/I39))^(1/8))-1)*100</f>
        <v>-7.1153354227116434</v>
      </c>
      <c r="AE39" s="10">
        <f>((((U39/J39))^(1/11))-1)*100</f>
        <v>2.0039378858059509</v>
      </c>
      <c r="AF39" s="10">
        <f t="shared" si="0"/>
        <v>-1.979663150343336</v>
      </c>
      <c r="AG39" s="10">
        <f t="shared" si="1"/>
        <v>-2.0870000259276322</v>
      </c>
      <c r="AH39" s="25"/>
      <c r="AI39" s="10">
        <f t="shared" si="2"/>
        <v>-40.54054054054054</v>
      </c>
      <c r="AL39" s="114" t="s">
        <v>1901</v>
      </c>
      <c r="AM39" s="41">
        <v>74</v>
      </c>
      <c r="AN39" s="330">
        <v>41</v>
      </c>
      <c r="AO39" s="232">
        <v>48</v>
      </c>
      <c r="AP39" s="232">
        <v>55</v>
      </c>
      <c r="AQ39" s="232">
        <v>40</v>
      </c>
      <c r="AR39" s="232">
        <v>50</v>
      </c>
      <c r="AS39" s="232">
        <v>32</v>
      </c>
      <c r="AT39" s="232">
        <v>35</v>
      </c>
      <c r="AU39" s="232">
        <v>51</v>
      </c>
      <c r="AV39" s="232">
        <v>47</v>
      </c>
      <c r="AW39" s="232">
        <v>48</v>
      </c>
      <c r="AX39" s="232">
        <v>47</v>
      </c>
      <c r="AY39" s="232">
        <v>51</v>
      </c>
      <c r="AZ39" s="232">
        <v>50</v>
      </c>
      <c r="BA39" s="232">
        <v>50</v>
      </c>
      <c r="BB39" s="232">
        <v>46</v>
      </c>
      <c r="BC39" s="232">
        <v>36</v>
      </c>
      <c r="BD39" s="232">
        <v>41</v>
      </c>
      <c r="BE39" s="232">
        <v>45</v>
      </c>
      <c r="BF39" s="41">
        <v>44</v>
      </c>
    </row>
    <row r="40" spans="1:58" s="114" customFormat="1">
      <c r="A40" s="972"/>
      <c r="B40" s="972"/>
      <c r="C40" s="972" t="s">
        <v>5</v>
      </c>
      <c r="D40" s="972"/>
      <c r="E40" s="972"/>
      <c r="F40" s="972"/>
      <c r="G40" s="972"/>
      <c r="H40" s="2"/>
      <c r="I40" s="41">
        <v>70</v>
      </c>
      <c r="J40" s="330">
        <v>40</v>
      </c>
      <c r="K40" s="232">
        <v>43</v>
      </c>
      <c r="L40" s="232">
        <v>54</v>
      </c>
      <c r="M40" s="232">
        <v>39</v>
      </c>
      <c r="N40" s="232">
        <v>46</v>
      </c>
      <c r="O40" s="232">
        <v>31</v>
      </c>
      <c r="P40" s="232">
        <v>33</v>
      </c>
      <c r="Q40" s="232">
        <v>49</v>
      </c>
      <c r="R40" s="232">
        <v>45</v>
      </c>
      <c r="S40" s="232">
        <v>46</v>
      </c>
      <c r="T40" s="232">
        <v>45</v>
      </c>
      <c r="U40" s="232">
        <v>48</v>
      </c>
      <c r="V40" s="232">
        <v>49</v>
      </c>
      <c r="W40" s="232">
        <v>42</v>
      </c>
      <c r="X40" s="232">
        <v>40</v>
      </c>
      <c r="Y40" s="232">
        <v>31</v>
      </c>
      <c r="Z40" s="232">
        <v>39</v>
      </c>
      <c r="AA40" s="135">
        <v>43</v>
      </c>
      <c r="AB40" s="135">
        <v>42</v>
      </c>
      <c r="AC40" s="232"/>
      <c r="AD40" s="10">
        <f>((((J40/I40))^(1/8))-1)*100</f>
        <v>-6.7561399399412085</v>
      </c>
      <c r="AE40" s="10">
        <f>((((U40/J40))^(1/11))-1)*100</f>
        <v>1.6712809160973618</v>
      </c>
      <c r="AF40" s="10">
        <f t="shared" si="0"/>
        <v>-1.9455392147609829</v>
      </c>
      <c r="AG40" s="10">
        <f t="shared" si="1"/>
        <v>-1.8895119426718954</v>
      </c>
      <c r="AH40" s="25"/>
      <c r="AI40" s="10">
        <f t="shared" si="2"/>
        <v>-40</v>
      </c>
      <c r="AL40" s="114" t="s">
        <v>1902</v>
      </c>
      <c r="AM40" s="41">
        <v>70</v>
      </c>
      <c r="AN40" s="330">
        <v>40</v>
      </c>
      <c r="AO40" s="232">
        <v>43</v>
      </c>
      <c r="AP40" s="232">
        <v>54</v>
      </c>
      <c r="AQ40" s="232">
        <v>39</v>
      </c>
      <c r="AR40" s="232">
        <v>46</v>
      </c>
      <c r="AS40" s="232">
        <v>31</v>
      </c>
      <c r="AT40" s="232">
        <v>33</v>
      </c>
      <c r="AU40" s="232">
        <v>49</v>
      </c>
      <c r="AV40" s="232">
        <v>45</v>
      </c>
      <c r="AW40" s="232">
        <v>46</v>
      </c>
      <c r="AX40" s="232">
        <v>45</v>
      </c>
      <c r="AY40" s="232">
        <v>48</v>
      </c>
      <c r="AZ40" s="232">
        <v>49</v>
      </c>
      <c r="BA40" s="232">
        <v>42</v>
      </c>
      <c r="BB40" s="232">
        <v>40</v>
      </c>
      <c r="BC40" s="232">
        <v>31</v>
      </c>
      <c r="BD40" s="232">
        <v>39</v>
      </c>
      <c r="BE40" s="232">
        <v>43</v>
      </c>
      <c r="BF40" s="41">
        <v>42</v>
      </c>
    </row>
    <row r="41" spans="1:58" s="114" customFormat="1">
      <c r="A41" s="972"/>
      <c r="B41" s="972"/>
      <c r="C41" s="972" t="s">
        <v>6</v>
      </c>
      <c r="D41" s="972"/>
      <c r="E41" s="972"/>
      <c r="F41" s="972"/>
      <c r="G41" s="972"/>
      <c r="H41" s="2"/>
      <c r="I41" s="41" t="s">
        <v>813</v>
      </c>
      <c r="J41" s="330" t="s">
        <v>813</v>
      </c>
      <c r="K41" s="232" t="s">
        <v>813</v>
      </c>
      <c r="L41" s="232" t="s">
        <v>813</v>
      </c>
      <c r="M41" s="232" t="s">
        <v>813</v>
      </c>
      <c r="N41" s="232" t="s">
        <v>813</v>
      </c>
      <c r="O41" s="232" t="s">
        <v>813</v>
      </c>
      <c r="P41" s="232" t="s">
        <v>813</v>
      </c>
      <c r="Q41" s="232" t="s">
        <v>813</v>
      </c>
      <c r="R41" s="232" t="s">
        <v>813</v>
      </c>
      <c r="S41" s="232" t="s">
        <v>813</v>
      </c>
      <c r="T41" s="232" t="s">
        <v>813</v>
      </c>
      <c r="U41" s="232" t="s">
        <v>813</v>
      </c>
      <c r="V41" s="232" t="s">
        <v>813</v>
      </c>
      <c r="W41" s="232" t="s">
        <v>813</v>
      </c>
      <c r="X41" s="232" t="s">
        <v>813</v>
      </c>
      <c r="Y41" s="232" t="s">
        <v>813</v>
      </c>
      <c r="Z41" s="232" t="s">
        <v>813</v>
      </c>
      <c r="AA41" s="135" t="s">
        <v>813</v>
      </c>
      <c r="AB41" s="135" t="s">
        <v>813</v>
      </c>
      <c r="AC41" s="232"/>
      <c r="AD41" s="10" t="s">
        <v>374</v>
      </c>
      <c r="AE41" s="10"/>
      <c r="AF41" s="10"/>
      <c r="AG41" s="10"/>
      <c r="AH41" s="25"/>
      <c r="AI41" s="10"/>
      <c r="AL41" s="114" t="s">
        <v>1903</v>
      </c>
      <c r="AM41" s="41" t="s">
        <v>593</v>
      </c>
      <c r="AN41" s="330" t="s">
        <v>593</v>
      </c>
      <c r="AO41" s="232" t="s">
        <v>593</v>
      </c>
      <c r="AP41" s="232" t="s">
        <v>593</v>
      </c>
      <c r="AQ41" s="232" t="s">
        <v>593</v>
      </c>
      <c r="AR41" s="232" t="s">
        <v>593</v>
      </c>
      <c r="AS41" s="232" t="s">
        <v>593</v>
      </c>
      <c r="AT41" s="232" t="s">
        <v>593</v>
      </c>
      <c r="AU41" s="232" t="s">
        <v>593</v>
      </c>
      <c r="AV41" s="232" t="s">
        <v>593</v>
      </c>
      <c r="AW41" s="232" t="s">
        <v>593</v>
      </c>
      <c r="AX41" s="232" t="s">
        <v>593</v>
      </c>
      <c r="AY41" s="232" t="s">
        <v>593</v>
      </c>
      <c r="AZ41" s="232" t="s">
        <v>593</v>
      </c>
      <c r="BA41" s="232" t="s">
        <v>593</v>
      </c>
      <c r="BB41" s="232" t="s">
        <v>593</v>
      </c>
      <c r="BC41" s="232" t="s">
        <v>593</v>
      </c>
      <c r="BD41" s="232" t="s">
        <v>593</v>
      </c>
      <c r="BE41" s="232" t="s">
        <v>593</v>
      </c>
      <c r="BF41" s="41" t="s">
        <v>593</v>
      </c>
    </row>
    <row r="42" spans="1:58" s="114" customFormat="1">
      <c r="A42" s="972"/>
      <c r="B42" s="972"/>
      <c r="C42" s="128" t="s">
        <v>7</v>
      </c>
      <c r="D42" s="972"/>
      <c r="E42" s="972"/>
      <c r="F42" s="972"/>
      <c r="G42" s="972"/>
      <c r="H42" s="2"/>
      <c r="I42" s="41">
        <v>283</v>
      </c>
      <c r="J42" s="330">
        <v>219</v>
      </c>
      <c r="K42" s="232">
        <v>221</v>
      </c>
      <c r="L42" s="232">
        <v>223</v>
      </c>
      <c r="M42" s="232">
        <v>208</v>
      </c>
      <c r="N42" s="232">
        <v>224</v>
      </c>
      <c r="O42" s="232">
        <v>192</v>
      </c>
      <c r="P42" s="232">
        <v>209</v>
      </c>
      <c r="Q42" s="232">
        <v>223</v>
      </c>
      <c r="R42" s="232">
        <v>194</v>
      </c>
      <c r="S42" s="232">
        <v>172</v>
      </c>
      <c r="T42" s="232">
        <v>178</v>
      </c>
      <c r="U42" s="232">
        <v>172</v>
      </c>
      <c r="V42" s="232">
        <v>147</v>
      </c>
      <c r="W42" s="232">
        <v>172</v>
      </c>
      <c r="X42" s="232">
        <v>155</v>
      </c>
      <c r="Y42" s="232">
        <v>137</v>
      </c>
      <c r="Z42" s="232">
        <v>167</v>
      </c>
      <c r="AA42" s="135">
        <v>134</v>
      </c>
      <c r="AB42" s="135">
        <v>123</v>
      </c>
      <c r="AC42" s="232"/>
      <c r="AD42" s="10">
        <f>((((J42/I42))^(1/8))-1)*100</f>
        <v>-3.1538835919530772</v>
      </c>
      <c r="AE42" s="10">
        <f>((((U42/J42))^(1/11))-1)*100</f>
        <v>-2.1722168942570508</v>
      </c>
      <c r="AF42" s="10">
        <f t="shared" si="0"/>
        <v>-3.1540446798157373</v>
      </c>
      <c r="AG42" s="10">
        <f t="shared" si="1"/>
        <v>-4.6772273070132098</v>
      </c>
      <c r="AH42" s="25"/>
      <c r="AI42" s="10">
        <f t="shared" si="2"/>
        <v>-56.537102473498237</v>
      </c>
      <c r="AL42" s="114" t="s">
        <v>1904</v>
      </c>
      <c r="AM42" s="41">
        <v>283</v>
      </c>
      <c r="AN42" s="330">
        <v>219</v>
      </c>
      <c r="AO42" s="232">
        <v>221</v>
      </c>
      <c r="AP42" s="232">
        <v>223</v>
      </c>
      <c r="AQ42" s="232">
        <v>208</v>
      </c>
      <c r="AR42" s="232">
        <v>224</v>
      </c>
      <c r="AS42" s="232">
        <v>192</v>
      </c>
      <c r="AT42" s="232">
        <v>209</v>
      </c>
      <c r="AU42" s="232">
        <v>223</v>
      </c>
      <c r="AV42" s="232">
        <v>194</v>
      </c>
      <c r="AW42" s="232">
        <v>172</v>
      </c>
      <c r="AX42" s="232">
        <v>178</v>
      </c>
      <c r="AY42" s="232">
        <v>172</v>
      </c>
      <c r="AZ42" s="232">
        <v>147</v>
      </c>
      <c r="BA42" s="232">
        <v>172</v>
      </c>
      <c r="BB42" s="232">
        <v>155</v>
      </c>
      <c r="BC42" s="232">
        <v>137</v>
      </c>
      <c r="BD42" s="232">
        <v>167</v>
      </c>
      <c r="BE42" s="232">
        <v>134</v>
      </c>
      <c r="BF42" s="41">
        <v>123</v>
      </c>
    </row>
    <row r="43" spans="1:58" s="114" customFormat="1">
      <c r="A43" s="972"/>
      <c r="B43" s="972"/>
      <c r="C43" s="972" t="s">
        <v>5</v>
      </c>
      <c r="D43" s="972"/>
      <c r="E43" s="972"/>
      <c r="F43" s="972"/>
      <c r="G43" s="972"/>
      <c r="H43" s="2"/>
      <c r="I43" s="41">
        <v>273</v>
      </c>
      <c r="J43" s="330">
        <v>215</v>
      </c>
      <c r="K43" s="232">
        <v>218</v>
      </c>
      <c r="L43" s="232">
        <v>222</v>
      </c>
      <c r="M43" s="232">
        <v>204</v>
      </c>
      <c r="N43" s="232">
        <v>222</v>
      </c>
      <c r="O43" s="232">
        <v>191</v>
      </c>
      <c r="P43" s="232">
        <v>207</v>
      </c>
      <c r="Q43" s="232">
        <v>220</v>
      </c>
      <c r="R43" s="232">
        <v>191</v>
      </c>
      <c r="S43" s="232">
        <v>168</v>
      </c>
      <c r="T43" s="232">
        <v>175</v>
      </c>
      <c r="U43" s="232">
        <v>168</v>
      </c>
      <c r="V43" s="232">
        <v>144</v>
      </c>
      <c r="W43" s="232">
        <v>163</v>
      </c>
      <c r="X43" s="232">
        <v>147</v>
      </c>
      <c r="Y43" s="232">
        <v>132</v>
      </c>
      <c r="Z43" s="232">
        <v>161</v>
      </c>
      <c r="AA43" s="135">
        <v>130</v>
      </c>
      <c r="AB43" s="135">
        <v>120</v>
      </c>
      <c r="AC43" s="232"/>
      <c r="AD43" s="10">
        <f>((((J43/I43))^(1/8))-1)*100</f>
        <v>-2.9412985445463891</v>
      </c>
      <c r="AE43" s="10">
        <f>((((U43/J43))^(1/11))-1)*100</f>
        <v>-2.2175344151998955</v>
      </c>
      <c r="AF43" s="10">
        <f t="shared" si="0"/>
        <v>-3.1120100405775286</v>
      </c>
      <c r="AG43" s="10">
        <f t="shared" si="1"/>
        <v>-4.6930511422059507</v>
      </c>
      <c r="AH43" s="25"/>
      <c r="AI43" s="10">
        <f t="shared" si="2"/>
        <v>-56.043956043956044</v>
      </c>
      <c r="AL43" s="114" t="s">
        <v>1905</v>
      </c>
      <c r="AM43" s="41">
        <v>273</v>
      </c>
      <c r="AN43" s="330">
        <v>215</v>
      </c>
      <c r="AO43" s="232">
        <v>218</v>
      </c>
      <c r="AP43" s="232">
        <v>222</v>
      </c>
      <c r="AQ43" s="232">
        <v>204</v>
      </c>
      <c r="AR43" s="232">
        <v>222</v>
      </c>
      <c r="AS43" s="232">
        <v>191</v>
      </c>
      <c r="AT43" s="232">
        <v>207</v>
      </c>
      <c r="AU43" s="232">
        <v>220</v>
      </c>
      <c r="AV43" s="232">
        <v>191</v>
      </c>
      <c r="AW43" s="232">
        <v>168</v>
      </c>
      <c r="AX43" s="232">
        <v>175</v>
      </c>
      <c r="AY43" s="232">
        <v>168</v>
      </c>
      <c r="AZ43" s="232">
        <v>144</v>
      </c>
      <c r="BA43" s="232">
        <v>163</v>
      </c>
      <c r="BB43" s="232">
        <v>147</v>
      </c>
      <c r="BC43" s="232">
        <v>132</v>
      </c>
      <c r="BD43" s="232">
        <v>161</v>
      </c>
      <c r="BE43" s="232">
        <v>130</v>
      </c>
      <c r="BF43" s="41">
        <v>120</v>
      </c>
    </row>
    <row r="44" spans="1:58" s="114" customFormat="1">
      <c r="A44" s="972"/>
      <c r="B44" s="972"/>
      <c r="C44" s="972" t="s">
        <v>6</v>
      </c>
      <c r="D44" s="972"/>
      <c r="E44" s="972"/>
      <c r="F44" s="972"/>
      <c r="G44" s="972"/>
      <c r="H44" s="2"/>
      <c r="I44" s="41">
        <v>10</v>
      </c>
      <c r="J44" s="330" t="s">
        <v>813</v>
      </c>
      <c r="K44" s="232" t="s">
        <v>813</v>
      </c>
      <c r="L44" s="232" t="s">
        <v>813</v>
      </c>
      <c r="M44" s="232" t="s">
        <v>813</v>
      </c>
      <c r="N44" s="232" t="s">
        <v>813</v>
      </c>
      <c r="O44" s="232" t="s">
        <v>813</v>
      </c>
      <c r="P44" s="232" t="s">
        <v>813</v>
      </c>
      <c r="Q44" s="232" t="s">
        <v>813</v>
      </c>
      <c r="R44" s="232" t="s">
        <v>813</v>
      </c>
      <c r="S44" s="232" t="s">
        <v>813</v>
      </c>
      <c r="T44" s="232" t="s">
        <v>813</v>
      </c>
      <c r="U44" s="232" t="s">
        <v>813</v>
      </c>
      <c r="V44" s="232" t="s">
        <v>813</v>
      </c>
      <c r="W44" s="232" t="s">
        <v>813</v>
      </c>
      <c r="X44" s="232" t="s">
        <v>813</v>
      </c>
      <c r="Y44" s="232" t="s">
        <v>813</v>
      </c>
      <c r="Z44" s="232" t="s">
        <v>813</v>
      </c>
      <c r="AA44" s="135" t="s">
        <v>813</v>
      </c>
      <c r="AB44" s="135" t="s">
        <v>813</v>
      </c>
      <c r="AC44" s="232"/>
      <c r="AD44" s="10" t="s">
        <v>374</v>
      </c>
      <c r="AE44" s="10" t="s">
        <v>374</v>
      </c>
      <c r="AF44" s="10" t="s">
        <v>374</v>
      </c>
      <c r="AG44" s="10" t="s">
        <v>374</v>
      </c>
      <c r="AH44" s="25"/>
      <c r="AI44" s="10" t="s">
        <v>374</v>
      </c>
      <c r="AL44" s="114" t="s">
        <v>1906</v>
      </c>
      <c r="AM44" s="41">
        <v>10</v>
      </c>
      <c r="AN44" s="330" t="s">
        <v>593</v>
      </c>
      <c r="AO44" s="232" t="s">
        <v>593</v>
      </c>
      <c r="AP44" s="232" t="s">
        <v>593</v>
      </c>
      <c r="AQ44" s="232" t="s">
        <v>593</v>
      </c>
      <c r="AR44" s="232" t="s">
        <v>593</v>
      </c>
      <c r="AS44" s="232" t="s">
        <v>593</v>
      </c>
      <c r="AT44" s="232" t="s">
        <v>593</v>
      </c>
      <c r="AU44" s="232" t="s">
        <v>593</v>
      </c>
      <c r="AV44" s="232" t="s">
        <v>593</v>
      </c>
      <c r="AW44" s="232" t="s">
        <v>593</v>
      </c>
      <c r="AX44" s="232" t="s">
        <v>593</v>
      </c>
      <c r="AY44" s="232" t="s">
        <v>593</v>
      </c>
      <c r="AZ44" s="232" t="s">
        <v>593</v>
      </c>
      <c r="BA44" s="232" t="s">
        <v>593</v>
      </c>
      <c r="BB44" s="232" t="s">
        <v>593</v>
      </c>
      <c r="BC44" s="232" t="s">
        <v>593</v>
      </c>
      <c r="BD44" s="232" t="s">
        <v>593</v>
      </c>
      <c r="BE44" s="232" t="s">
        <v>593</v>
      </c>
      <c r="BF44" s="41" t="s">
        <v>593</v>
      </c>
    </row>
    <row r="45" spans="1:58" s="114" customFormat="1">
      <c r="A45" s="972"/>
      <c r="B45" s="972"/>
      <c r="C45" s="972"/>
      <c r="D45" s="972"/>
      <c r="E45" s="972"/>
      <c r="F45" s="972"/>
      <c r="G45" s="972"/>
      <c r="H45" s="2"/>
      <c r="I45" s="41"/>
      <c r="J45" s="330"/>
      <c r="K45" s="232"/>
      <c r="L45" s="232"/>
      <c r="M45" s="232"/>
      <c r="N45" s="232"/>
      <c r="O45" s="232"/>
      <c r="P45" s="232"/>
      <c r="Q45" s="232"/>
      <c r="R45" s="232"/>
      <c r="S45" s="232"/>
      <c r="T45" s="232"/>
      <c r="U45" s="232"/>
      <c r="V45" s="232"/>
      <c r="W45" s="232"/>
      <c r="X45" s="232"/>
      <c r="Y45" s="232"/>
      <c r="Z45" s="232"/>
      <c r="AA45" s="135"/>
      <c r="AB45" s="232"/>
      <c r="AC45" s="232"/>
      <c r="AD45" s="10"/>
      <c r="AE45" s="10"/>
      <c r="AF45" s="10"/>
      <c r="AG45" s="10"/>
      <c r="AH45" s="25"/>
      <c r="AI45" s="10"/>
      <c r="AL45" s="972"/>
      <c r="AM45" s="41"/>
      <c r="AN45" s="330"/>
      <c r="AO45" s="232"/>
      <c r="AP45" s="232"/>
      <c r="AQ45" s="232"/>
      <c r="AR45" s="232"/>
      <c r="AS45" s="232"/>
      <c r="AT45" s="232"/>
      <c r="AU45" s="232"/>
      <c r="AV45" s="232"/>
      <c r="AW45" s="232"/>
      <c r="AX45" s="232"/>
      <c r="AY45" s="232"/>
      <c r="AZ45" s="232"/>
      <c r="BA45" s="232"/>
      <c r="BB45" s="232"/>
      <c r="BC45" s="232"/>
      <c r="BD45" s="232"/>
      <c r="BE45" s="232"/>
      <c r="BF45" s="232"/>
    </row>
    <row r="46" spans="1:58" s="114" customFormat="1">
      <c r="A46" s="972"/>
      <c r="B46" s="972"/>
      <c r="C46" s="128" t="s">
        <v>8</v>
      </c>
      <c r="D46" s="972"/>
      <c r="E46" s="972"/>
      <c r="F46" s="972"/>
      <c r="G46" s="972"/>
      <c r="H46" s="2"/>
      <c r="I46" s="41">
        <v>240</v>
      </c>
      <c r="J46" s="330">
        <v>327</v>
      </c>
      <c r="K46" s="232">
        <v>407</v>
      </c>
      <c r="L46" s="232">
        <v>490</v>
      </c>
      <c r="M46" s="232">
        <v>536</v>
      </c>
      <c r="N46" s="232">
        <v>540</v>
      </c>
      <c r="O46" s="232">
        <v>548</v>
      </c>
      <c r="P46" s="232">
        <v>573</v>
      </c>
      <c r="Q46" s="232">
        <v>595</v>
      </c>
      <c r="R46" s="232">
        <v>630</v>
      </c>
      <c r="S46" s="232">
        <v>612</v>
      </c>
      <c r="T46" s="232">
        <v>611</v>
      </c>
      <c r="U46" s="232">
        <v>555</v>
      </c>
      <c r="V46" s="232">
        <v>544</v>
      </c>
      <c r="W46" s="232">
        <v>527</v>
      </c>
      <c r="X46" s="232">
        <v>575</v>
      </c>
      <c r="Y46" s="232">
        <v>627</v>
      </c>
      <c r="Z46" s="232">
        <v>646</v>
      </c>
      <c r="AA46" s="135">
        <v>633</v>
      </c>
      <c r="AB46" s="135">
        <v>615</v>
      </c>
      <c r="AC46" s="232"/>
      <c r="AD46" s="10">
        <f t="shared" ref="AD46:AD51" si="4">((((J46/I46))^(1/8))-1)*100</f>
        <v>3.9422380967836679</v>
      </c>
      <c r="AE46" s="10">
        <f t="shared" ref="AE46:AE51" si="5">((((U46/J46))^(1/11))-1)*100</f>
        <v>4.9266796461856943</v>
      </c>
      <c r="AF46" s="10">
        <f t="shared" si="0"/>
        <v>3.6854558347970912</v>
      </c>
      <c r="AG46" s="10">
        <f t="shared" si="1"/>
        <v>1.4772936059389563</v>
      </c>
      <c r="AH46" s="25"/>
      <c r="AI46" s="10">
        <f t="shared" si="2"/>
        <v>156.25</v>
      </c>
      <c r="AL46" s="114" t="s">
        <v>1907</v>
      </c>
      <c r="AM46" s="41">
        <v>240</v>
      </c>
      <c r="AN46" s="330">
        <v>327</v>
      </c>
      <c r="AO46" s="232">
        <v>407</v>
      </c>
      <c r="AP46" s="232">
        <v>490</v>
      </c>
      <c r="AQ46" s="232">
        <v>536</v>
      </c>
      <c r="AR46" s="232">
        <v>540</v>
      </c>
      <c r="AS46" s="232">
        <v>548</v>
      </c>
      <c r="AT46" s="232">
        <v>573</v>
      </c>
      <c r="AU46" s="232">
        <v>595</v>
      </c>
      <c r="AV46" s="232">
        <v>630</v>
      </c>
      <c r="AW46" s="232">
        <v>612</v>
      </c>
      <c r="AX46" s="232">
        <v>611</v>
      </c>
      <c r="AY46" s="232">
        <v>555</v>
      </c>
      <c r="AZ46" s="232">
        <v>544</v>
      </c>
      <c r="BA46" s="232">
        <v>527</v>
      </c>
      <c r="BB46" s="232">
        <v>575</v>
      </c>
      <c r="BC46" s="232">
        <v>627</v>
      </c>
      <c r="BD46" s="232">
        <v>646</v>
      </c>
      <c r="BE46" s="232">
        <v>633</v>
      </c>
      <c r="BF46" s="41">
        <v>615</v>
      </c>
    </row>
    <row r="47" spans="1:58" s="114" customFormat="1">
      <c r="A47" s="972"/>
      <c r="B47" s="972"/>
      <c r="C47" s="972" t="s">
        <v>5</v>
      </c>
      <c r="D47" s="972"/>
      <c r="E47" s="972"/>
      <c r="F47" s="972"/>
      <c r="G47" s="972"/>
      <c r="H47" s="2"/>
      <c r="I47" s="41">
        <v>82</v>
      </c>
      <c r="J47" s="330">
        <v>118</v>
      </c>
      <c r="K47" s="232">
        <v>130</v>
      </c>
      <c r="L47" s="232">
        <v>206</v>
      </c>
      <c r="M47" s="232">
        <v>216</v>
      </c>
      <c r="N47" s="232">
        <v>264</v>
      </c>
      <c r="O47" s="232">
        <v>239</v>
      </c>
      <c r="P47" s="232">
        <v>241</v>
      </c>
      <c r="Q47" s="232">
        <v>265</v>
      </c>
      <c r="R47" s="232">
        <v>275</v>
      </c>
      <c r="S47" s="232">
        <v>299</v>
      </c>
      <c r="T47" s="232">
        <v>250</v>
      </c>
      <c r="U47" s="232">
        <v>236</v>
      </c>
      <c r="V47" s="232">
        <v>238</v>
      </c>
      <c r="W47" s="232">
        <v>249</v>
      </c>
      <c r="X47" s="232">
        <v>255</v>
      </c>
      <c r="Y47" s="232">
        <v>254</v>
      </c>
      <c r="Z47" s="232">
        <v>282</v>
      </c>
      <c r="AA47" s="135">
        <v>228</v>
      </c>
      <c r="AB47" s="135">
        <v>248</v>
      </c>
      <c r="AC47" s="232"/>
      <c r="AD47" s="10">
        <f t="shared" si="4"/>
        <v>4.6546475308169244</v>
      </c>
      <c r="AE47" s="10">
        <f t="shared" si="5"/>
        <v>6.5041089439962674</v>
      </c>
      <c r="AF47" s="10">
        <f t="shared" si="0"/>
        <v>4.3484663190692441</v>
      </c>
      <c r="AG47" s="10">
        <f t="shared" si="1"/>
        <v>0.7110437269545633</v>
      </c>
      <c r="AH47" s="25"/>
      <c r="AI47" s="10">
        <f t="shared" si="2"/>
        <v>202.4390243902439</v>
      </c>
      <c r="AL47" s="114" t="s">
        <v>1908</v>
      </c>
      <c r="AM47" s="41">
        <v>82</v>
      </c>
      <c r="AN47" s="330">
        <v>118</v>
      </c>
      <c r="AO47" s="232">
        <v>130</v>
      </c>
      <c r="AP47" s="232">
        <v>206</v>
      </c>
      <c r="AQ47" s="232">
        <v>216</v>
      </c>
      <c r="AR47" s="232">
        <v>264</v>
      </c>
      <c r="AS47" s="232">
        <v>239</v>
      </c>
      <c r="AT47" s="232">
        <v>241</v>
      </c>
      <c r="AU47" s="232">
        <v>265</v>
      </c>
      <c r="AV47" s="232">
        <v>275</v>
      </c>
      <c r="AW47" s="232">
        <v>299</v>
      </c>
      <c r="AX47" s="232">
        <v>250</v>
      </c>
      <c r="AY47" s="232">
        <v>236</v>
      </c>
      <c r="AZ47" s="232">
        <v>238</v>
      </c>
      <c r="BA47" s="232">
        <v>249</v>
      </c>
      <c r="BB47" s="232">
        <v>255</v>
      </c>
      <c r="BC47" s="232">
        <v>254</v>
      </c>
      <c r="BD47" s="232">
        <v>282</v>
      </c>
      <c r="BE47" s="232">
        <v>228</v>
      </c>
      <c r="BF47" s="41">
        <v>248</v>
      </c>
    </row>
    <row r="48" spans="1:58" s="114" customFormat="1">
      <c r="A48" s="972"/>
      <c r="B48" s="972"/>
      <c r="C48" s="972" t="s">
        <v>6</v>
      </c>
      <c r="D48" s="972"/>
      <c r="E48" s="972"/>
      <c r="F48" s="972"/>
      <c r="G48" s="972"/>
      <c r="H48" s="2"/>
      <c r="I48" s="41">
        <v>157</v>
      </c>
      <c r="J48" s="330">
        <v>209</v>
      </c>
      <c r="K48" s="232">
        <v>277</v>
      </c>
      <c r="L48" s="232">
        <v>284</v>
      </c>
      <c r="M48" s="232">
        <v>321</v>
      </c>
      <c r="N48" s="232">
        <v>276</v>
      </c>
      <c r="O48" s="232">
        <v>309</v>
      </c>
      <c r="P48" s="232">
        <v>332</v>
      </c>
      <c r="Q48" s="232">
        <v>331</v>
      </c>
      <c r="R48" s="232">
        <v>355</v>
      </c>
      <c r="S48" s="232">
        <v>313</v>
      </c>
      <c r="T48" s="232">
        <v>361</v>
      </c>
      <c r="U48" s="232">
        <v>319</v>
      </c>
      <c r="V48" s="232">
        <v>306</v>
      </c>
      <c r="W48" s="232">
        <v>278</v>
      </c>
      <c r="X48" s="232">
        <v>320</v>
      </c>
      <c r="Y48" s="232">
        <v>373</v>
      </c>
      <c r="Z48" s="232">
        <v>365</v>
      </c>
      <c r="AA48" s="135">
        <v>405</v>
      </c>
      <c r="AB48" s="135">
        <v>367</v>
      </c>
      <c r="AC48" s="232"/>
      <c r="AD48" s="10">
        <f t="shared" si="4"/>
        <v>3.640817320828571</v>
      </c>
      <c r="AE48" s="10">
        <f t="shared" si="5"/>
        <v>3.9189967111233237</v>
      </c>
      <c r="AF48" s="10">
        <f t="shared" si="0"/>
        <v>3.3197444998031234</v>
      </c>
      <c r="AG48" s="10">
        <f t="shared" si="1"/>
        <v>2.0226225266396725</v>
      </c>
      <c r="AH48" s="25"/>
      <c r="AI48" s="10">
        <f t="shared" si="2"/>
        <v>133.7579617834395</v>
      </c>
      <c r="AL48" s="114" t="s">
        <v>1909</v>
      </c>
      <c r="AM48" s="41">
        <v>157</v>
      </c>
      <c r="AN48" s="330">
        <v>209</v>
      </c>
      <c r="AO48" s="232">
        <v>277</v>
      </c>
      <c r="AP48" s="232">
        <v>284</v>
      </c>
      <c r="AQ48" s="232">
        <v>321</v>
      </c>
      <c r="AR48" s="232">
        <v>276</v>
      </c>
      <c r="AS48" s="232">
        <v>309</v>
      </c>
      <c r="AT48" s="232">
        <v>332</v>
      </c>
      <c r="AU48" s="232">
        <v>331</v>
      </c>
      <c r="AV48" s="232">
        <v>355</v>
      </c>
      <c r="AW48" s="232">
        <v>313</v>
      </c>
      <c r="AX48" s="232">
        <v>361</v>
      </c>
      <c r="AY48" s="232">
        <v>319</v>
      </c>
      <c r="AZ48" s="232">
        <v>306</v>
      </c>
      <c r="BA48" s="232">
        <v>278</v>
      </c>
      <c r="BB48" s="232">
        <v>320</v>
      </c>
      <c r="BC48" s="232">
        <v>373</v>
      </c>
      <c r="BD48" s="232">
        <v>365</v>
      </c>
      <c r="BE48" s="232">
        <v>405</v>
      </c>
      <c r="BF48" s="41">
        <v>367</v>
      </c>
    </row>
    <row r="49" spans="1:58" s="114" customFormat="1">
      <c r="A49" s="972"/>
      <c r="B49" s="972"/>
      <c r="C49" s="128" t="s">
        <v>9</v>
      </c>
      <c r="D49" s="972"/>
      <c r="E49" s="972"/>
      <c r="F49" s="972"/>
      <c r="G49" s="972"/>
      <c r="H49" s="2"/>
      <c r="I49" s="41">
        <v>298</v>
      </c>
      <c r="J49" s="330">
        <v>357</v>
      </c>
      <c r="K49" s="232">
        <v>381</v>
      </c>
      <c r="L49" s="232">
        <v>454</v>
      </c>
      <c r="M49" s="232">
        <v>448</v>
      </c>
      <c r="N49" s="232">
        <v>427</v>
      </c>
      <c r="O49" s="232">
        <v>494</v>
      </c>
      <c r="P49" s="232">
        <v>478</v>
      </c>
      <c r="Q49" s="232">
        <v>497</v>
      </c>
      <c r="R49" s="232">
        <v>527</v>
      </c>
      <c r="S49" s="232">
        <v>549</v>
      </c>
      <c r="T49" s="232">
        <v>530</v>
      </c>
      <c r="U49" s="232">
        <v>569</v>
      </c>
      <c r="V49" s="232">
        <v>550</v>
      </c>
      <c r="W49" s="232">
        <v>513</v>
      </c>
      <c r="X49" s="232">
        <v>519</v>
      </c>
      <c r="Y49" s="232">
        <v>541</v>
      </c>
      <c r="Z49" s="232">
        <v>535</v>
      </c>
      <c r="AA49" s="135">
        <v>551</v>
      </c>
      <c r="AB49" s="135">
        <v>526</v>
      </c>
      <c r="AC49" s="232"/>
      <c r="AD49" s="10">
        <f t="shared" si="4"/>
        <v>2.2837151301510428</v>
      </c>
      <c r="AE49" s="10">
        <f t="shared" si="5"/>
        <v>4.3287501429740027</v>
      </c>
      <c r="AF49" s="10">
        <f t="shared" si="0"/>
        <v>2.2094694255603287</v>
      </c>
      <c r="AG49" s="10">
        <f t="shared" si="1"/>
        <v>-1.116283107753524</v>
      </c>
      <c r="AH49" s="25"/>
      <c r="AI49" s="10">
        <f t="shared" si="2"/>
        <v>76.510067114093957</v>
      </c>
      <c r="AL49" s="114" t="s">
        <v>1910</v>
      </c>
      <c r="AM49" s="41">
        <v>298</v>
      </c>
      <c r="AN49" s="330">
        <v>357</v>
      </c>
      <c r="AO49" s="232">
        <v>381</v>
      </c>
      <c r="AP49" s="232">
        <v>454</v>
      </c>
      <c r="AQ49" s="232">
        <v>448</v>
      </c>
      <c r="AR49" s="232">
        <v>427</v>
      </c>
      <c r="AS49" s="232">
        <v>494</v>
      </c>
      <c r="AT49" s="232">
        <v>478</v>
      </c>
      <c r="AU49" s="232">
        <v>497</v>
      </c>
      <c r="AV49" s="232">
        <v>527</v>
      </c>
      <c r="AW49" s="232">
        <v>549</v>
      </c>
      <c r="AX49" s="232">
        <v>530</v>
      </c>
      <c r="AY49" s="232">
        <v>569</v>
      </c>
      <c r="AZ49" s="232">
        <v>550</v>
      </c>
      <c r="BA49" s="232">
        <v>513</v>
      </c>
      <c r="BB49" s="232">
        <v>519</v>
      </c>
      <c r="BC49" s="232">
        <v>541</v>
      </c>
      <c r="BD49" s="232">
        <v>535</v>
      </c>
      <c r="BE49" s="232">
        <v>551</v>
      </c>
      <c r="BF49" s="41">
        <v>526</v>
      </c>
    </row>
    <row r="50" spans="1:58" s="114" customFormat="1">
      <c r="A50" s="972"/>
      <c r="B50" s="972"/>
      <c r="C50" s="972" t="s">
        <v>5</v>
      </c>
      <c r="D50" s="972"/>
      <c r="E50" s="972"/>
      <c r="F50" s="972"/>
      <c r="G50" s="972"/>
      <c r="H50" s="2"/>
      <c r="I50" s="41">
        <v>123</v>
      </c>
      <c r="J50" s="330">
        <v>153</v>
      </c>
      <c r="K50" s="232">
        <v>133</v>
      </c>
      <c r="L50" s="232">
        <v>188</v>
      </c>
      <c r="M50" s="232">
        <v>207</v>
      </c>
      <c r="N50" s="232">
        <v>193</v>
      </c>
      <c r="O50" s="232">
        <v>224</v>
      </c>
      <c r="P50" s="232">
        <v>219</v>
      </c>
      <c r="Q50" s="232">
        <v>228</v>
      </c>
      <c r="R50" s="232">
        <v>253</v>
      </c>
      <c r="S50" s="232">
        <v>282</v>
      </c>
      <c r="T50" s="232">
        <v>261</v>
      </c>
      <c r="U50" s="232">
        <v>264</v>
      </c>
      <c r="V50" s="232">
        <v>256</v>
      </c>
      <c r="W50" s="232">
        <v>245</v>
      </c>
      <c r="X50" s="232">
        <v>230</v>
      </c>
      <c r="Y50" s="232">
        <v>240</v>
      </c>
      <c r="Z50" s="232">
        <v>213</v>
      </c>
      <c r="AA50" s="135">
        <v>225</v>
      </c>
      <c r="AB50" s="135">
        <v>232</v>
      </c>
      <c r="AC50" s="232"/>
      <c r="AD50" s="10">
        <f t="shared" si="4"/>
        <v>2.7657248675713397</v>
      </c>
      <c r="AE50" s="10">
        <f t="shared" si="5"/>
        <v>5.0842187088238511</v>
      </c>
      <c r="AF50" s="10">
        <f t="shared" si="0"/>
        <v>2.4706146597910372</v>
      </c>
      <c r="AG50" s="10">
        <f t="shared" si="1"/>
        <v>-1.8289498207289978</v>
      </c>
      <c r="AH50" s="25"/>
      <c r="AI50" s="10">
        <f t="shared" si="2"/>
        <v>88.617886178861795</v>
      </c>
      <c r="AL50" s="114" t="s">
        <v>1911</v>
      </c>
      <c r="AM50" s="41">
        <v>123</v>
      </c>
      <c r="AN50" s="330">
        <v>153</v>
      </c>
      <c r="AO50" s="232">
        <v>133</v>
      </c>
      <c r="AP50" s="232">
        <v>188</v>
      </c>
      <c r="AQ50" s="232">
        <v>207</v>
      </c>
      <c r="AR50" s="232">
        <v>193</v>
      </c>
      <c r="AS50" s="232">
        <v>224</v>
      </c>
      <c r="AT50" s="232">
        <v>219</v>
      </c>
      <c r="AU50" s="232">
        <v>228</v>
      </c>
      <c r="AV50" s="232">
        <v>253</v>
      </c>
      <c r="AW50" s="232">
        <v>282</v>
      </c>
      <c r="AX50" s="232">
        <v>261</v>
      </c>
      <c r="AY50" s="232">
        <v>264</v>
      </c>
      <c r="AZ50" s="232">
        <v>256</v>
      </c>
      <c r="BA50" s="232">
        <v>245</v>
      </c>
      <c r="BB50" s="232">
        <v>230</v>
      </c>
      <c r="BC50" s="232">
        <v>240</v>
      </c>
      <c r="BD50" s="232">
        <v>213</v>
      </c>
      <c r="BE50" s="232">
        <v>225</v>
      </c>
      <c r="BF50" s="41">
        <v>232</v>
      </c>
    </row>
    <row r="51" spans="1:58" s="972" customFormat="1">
      <c r="C51" s="972" t="s">
        <v>10</v>
      </c>
      <c r="H51" s="2"/>
      <c r="I51" s="41">
        <v>175</v>
      </c>
      <c r="J51" s="330">
        <v>205</v>
      </c>
      <c r="K51" s="232">
        <v>248</v>
      </c>
      <c r="L51" s="232">
        <v>266</v>
      </c>
      <c r="M51" s="232">
        <v>242</v>
      </c>
      <c r="N51" s="232">
        <v>235</v>
      </c>
      <c r="O51" s="232">
        <v>270</v>
      </c>
      <c r="P51" s="232">
        <v>259</v>
      </c>
      <c r="Q51" s="232">
        <v>269</v>
      </c>
      <c r="R51" s="232">
        <v>274</v>
      </c>
      <c r="S51" s="232">
        <v>268</v>
      </c>
      <c r="T51" s="232">
        <v>269</v>
      </c>
      <c r="U51" s="232">
        <v>304</v>
      </c>
      <c r="V51" s="232">
        <v>294</v>
      </c>
      <c r="W51" s="232">
        <v>268</v>
      </c>
      <c r="X51" s="232">
        <v>290</v>
      </c>
      <c r="Y51" s="232">
        <v>301</v>
      </c>
      <c r="Z51" s="232">
        <v>322</v>
      </c>
      <c r="AA51" s="135">
        <v>327</v>
      </c>
      <c r="AB51" s="135">
        <v>294</v>
      </c>
      <c r="AC51" s="232"/>
      <c r="AD51" s="10">
        <f t="shared" si="4"/>
        <v>1.9974881132093669</v>
      </c>
      <c r="AE51" s="10">
        <f t="shared" si="5"/>
        <v>3.6469050613266996</v>
      </c>
      <c r="AF51" s="10">
        <f t="shared" si="0"/>
        <v>2.0154011371759317</v>
      </c>
      <c r="AG51" s="10">
        <f t="shared" si="1"/>
        <v>-0.47668784943593057</v>
      </c>
      <c r="AH51" s="25"/>
      <c r="AI51" s="10">
        <f t="shared" si="2"/>
        <v>68</v>
      </c>
      <c r="AL51" s="114" t="s">
        <v>1912</v>
      </c>
      <c r="AM51" s="41">
        <v>175</v>
      </c>
      <c r="AN51" s="330">
        <v>205</v>
      </c>
      <c r="AO51" s="232">
        <v>248</v>
      </c>
      <c r="AP51" s="232">
        <v>266</v>
      </c>
      <c r="AQ51" s="232">
        <v>242</v>
      </c>
      <c r="AR51" s="232">
        <v>235</v>
      </c>
      <c r="AS51" s="232">
        <v>270</v>
      </c>
      <c r="AT51" s="232">
        <v>259</v>
      </c>
      <c r="AU51" s="232">
        <v>269</v>
      </c>
      <c r="AV51" s="232">
        <v>274</v>
      </c>
      <c r="AW51" s="232">
        <v>268</v>
      </c>
      <c r="AX51" s="232">
        <v>269</v>
      </c>
      <c r="AY51" s="232">
        <v>304</v>
      </c>
      <c r="AZ51" s="232">
        <v>294</v>
      </c>
      <c r="BA51" s="232">
        <v>268</v>
      </c>
      <c r="BB51" s="232">
        <v>290</v>
      </c>
      <c r="BC51" s="232">
        <v>301</v>
      </c>
      <c r="BD51" s="232">
        <v>322</v>
      </c>
      <c r="BE51" s="232">
        <v>327</v>
      </c>
      <c r="BF51" s="41">
        <v>294</v>
      </c>
    </row>
    <row r="52" spans="1:58" s="972" customFormat="1">
      <c r="I52" s="971"/>
      <c r="J52" s="971"/>
      <c r="K52" s="971"/>
      <c r="L52" s="971"/>
      <c r="M52" s="971"/>
      <c r="N52" s="971"/>
      <c r="O52" s="971"/>
      <c r="P52" s="971"/>
      <c r="Q52" s="971"/>
      <c r="R52" s="971"/>
      <c r="S52" s="971"/>
      <c r="T52" s="971"/>
      <c r="U52" s="971"/>
      <c r="V52" s="971"/>
      <c r="W52" s="971"/>
      <c r="X52" s="971"/>
      <c r="Y52" s="971"/>
      <c r="AL52" s="114"/>
      <c r="AM52" s="114"/>
      <c r="AN52" s="114"/>
      <c r="AO52" s="114"/>
      <c r="AP52" s="114"/>
      <c r="AQ52" s="114"/>
      <c r="AR52" s="114"/>
      <c r="AS52" s="114"/>
      <c r="AT52" s="114"/>
      <c r="AU52" s="114"/>
      <c r="AV52" s="114"/>
      <c r="AW52" s="114"/>
      <c r="AX52" s="114"/>
      <c r="AY52" s="114"/>
      <c r="AZ52" s="114"/>
      <c r="BA52" s="114"/>
      <c r="BB52" s="114"/>
      <c r="BC52" s="114"/>
      <c r="BD52" s="114"/>
      <c r="BE52" s="114"/>
      <c r="BF52" s="114"/>
    </row>
    <row r="53" spans="1:58" s="972" customFormat="1" ht="24" customHeight="1">
      <c r="A53" s="1170" t="s">
        <v>1197</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c r="AL53" s="114"/>
      <c r="AM53" s="114"/>
      <c r="AN53" s="114"/>
      <c r="AO53" s="114"/>
      <c r="AP53" s="114"/>
      <c r="AQ53" s="114"/>
      <c r="AR53" s="114"/>
      <c r="AS53" s="114"/>
      <c r="AT53" s="114"/>
      <c r="AU53" s="114"/>
      <c r="AV53" s="114"/>
      <c r="AW53" s="114"/>
      <c r="AX53" s="114"/>
      <c r="AY53" s="114"/>
      <c r="AZ53" s="114"/>
      <c r="BA53" s="114"/>
      <c r="BB53" s="114"/>
      <c r="BC53" s="114"/>
      <c r="BD53" s="114"/>
      <c r="BE53" s="114"/>
      <c r="BF53" s="114"/>
    </row>
    <row r="54" spans="1:58" s="972" customFormat="1" ht="24" customHeight="1">
      <c r="A54" s="13" t="s">
        <v>388</v>
      </c>
      <c r="B54" s="966"/>
      <c r="C54" s="966"/>
      <c r="D54" s="966"/>
      <c r="E54" s="966"/>
      <c r="F54" s="966"/>
      <c r="G54" s="966"/>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L54" s="114"/>
      <c r="AM54" s="114"/>
      <c r="AN54" s="114"/>
      <c r="AO54" s="114"/>
      <c r="AP54" s="114"/>
      <c r="AQ54" s="114"/>
      <c r="AR54" s="114"/>
      <c r="AS54" s="114"/>
      <c r="AT54" s="114"/>
      <c r="AU54" s="114"/>
      <c r="AV54" s="114"/>
      <c r="AW54" s="114"/>
      <c r="AX54" s="114"/>
      <c r="AY54" s="114"/>
      <c r="AZ54" s="114"/>
      <c r="BA54" s="114"/>
      <c r="BB54" s="114"/>
      <c r="BC54" s="114"/>
      <c r="BD54" s="114"/>
      <c r="BE54" s="114"/>
      <c r="BF54" s="114"/>
    </row>
    <row r="55" spans="1:58" s="972" customFormat="1">
      <c r="A55" s="4" t="s">
        <v>1868</v>
      </c>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L55" s="114"/>
      <c r="AM55" s="114"/>
      <c r="AN55" s="114"/>
      <c r="AO55" s="114"/>
      <c r="AP55" s="114"/>
      <c r="AQ55" s="114"/>
      <c r="AR55" s="114"/>
      <c r="AS55" s="114"/>
      <c r="AT55" s="114"/>
      <c r="AU55" s="114"/>
      <c r="AV55" s="114"/>
      <c r="AW55" s="114"/>
      <c r="AX55" s="114"/>
      <c r="AY55" s="114"/>
      <c r="AZ55" s="114"/>
      <c r="BA55" s="114"/>
      <c r="BB55" s="114"/>
      <c r="BC55" s="114"/>
      <c r="BD55" s="114"/>
      <c r="BE55" s="114"/>
      <c r="BF55" s="114"/>
    </row>
    <row r="56" spans="1:58" s="972" customFormat="1" ht="29.25" customHeight="1">
      <c r="A56" s="1188" t="s">
        <v>653</v>
      </c>
      <c r="B56" s="1188"/>
      <c r="C56" s="1188"/>
      <c r="D56" s="1188"/>
      <c r="E56" s="1188"/>
      <c r="F56" s="1188"/>
      <c r="G56" s="1188"/>
      <c r="H56" s="1188"/>
      <c r="I56" s="1188"/>
      <c r="J56" s="1188"/>
      <c r="K56" s="1188"/>
      <c r="L56" s="1188"/>
      <c r="M56" s="1188"/>
      <c r="N56" s="1188"/>
      <c r="O56" s="1188"/>
      <c r="P56" s="1188"/>
      <c r="Q56" s="1188"/>
      <c r="R56" s="1188"/>
      <c r="S56" s="1188"/>
      <c r="T56" s="1188"/>
      <c r="U56" s="1188"/>
      <c r="V56" s="1188"/>
      <c r="W56" s="1188"/>
      <c r="X56" s="1188"/>
      <c r="Y56" s="1188"/>
      <c r="Z56" s="1188"/>
      <c r="AA56" s="1188"/>
      <c r="AB56" s="1188"/>
      <c r="AC56" s="1188"/>
      <c r="AD56" s="1188"/>
      <c r="AE56" s="1188"/>
      <c r="AF56" s="1188"/>
      <c r="AG56" s="1188"/>
      <c r="AH56" s="1188"/>
      <c r="AI56" s="1188"/>
      <c r="AL56" s="114"/>
      <c r="AM56" s="114"/>
      <c r="AN56" s="114"/>
      <c r="AO56" s="114"/>
      <c r="AP56" s="114"/>
      <c r="AQ56" s="114"/>
      <c r="AR56" s="114"/>
      <c r="AS56" s="114"/>
      <c r="AT56" s="114"/>
      <c r="AU56" s="114"/>
      <c r="AV56" s="114"/>
      <c r="AW56" s="114"/>
      <c r="AX56" s="114"/>
      <c r="AY56" s="114"/>
      <c r="AZ56" s="114"/>
      <c r="BA56" s="114"/>
      <c r="BB56" s="114"/>
      <c r="BC56" s="114"/>
      <c r="BD56" s="114"/>
      <c r="BE56" s="114"/>
      <c r="BF56" s="114"/>
    </row>
    <row r="57" spans="1:58" s="972" customFormat="1" ht="29.25" customHeight="1">
      <c r="A57" s="1168" t="s">
        <v>392</v>
      </c>
      <c r="B57" s="1168"/>
      <c r="C57" s="1168"/>
      <c r="D57" s="1168"/>
      <c r="E57" s="1168"/>
      <c r="F57" s="1168"/>
      <c r="G57" s="1168"/>
      <c r="H57" s="1168"/>
      <c r="I57" s="1168"/>
      <c r="J57" s="1168"/>
      <c r="K57" s="1168"/>
      <c r="L57" s="1168"/>
      <c r="M57" s="1168"/>
      <c r="N57" s="1168"/>
      <c r="O57" s="1168"/>
      <c r="P57" s="1168"/>
      <c r="Q57" s="1168"/>
      <c r="R57" s="1168"/>
      <c r="S57" s="1168"/>
      <c r="T57" s="1168"/>
      <c r="U57" s="1168"/>
      <c r="V57" s="1168"/>
      <c r="W57" s="1168"/>
      <c r="X57" s="1168"/>
      <c r="Y57" s="1168"/>
      <c r="Z57" s="1168"/>
      <c r="AA57" s="1168"/>
      <c r="AB57" s="1168"/>
      <c r="AC57" s="1168"/>
      <c r="AD57" s="1168"/>
      <c r="AE57" s="1168"/>
      <c r="AF57" s="1168"/>
      <c r="AG57" s="1168"/>
      <c r="AH57" s="1168"/>
      <c r="AI57" s="1168"/>
      <c r="AL57" s="114"/>
      <c r="AM57" s="114"/>
      <c r="AN57" s="114"/>
      <c r="AO57" s="114"/>
      <c r="AP57" s="114"/>
      <c r="AQ57" s="114"/>
      <c r="AR57" s="114"/>
      <c r="AS57" s="114"/>
      <c r="AT57" s="114"/>
      <c r="AU57" s="114"/>
      <c r="AV57" s="114"/>
      <c r="AW57" s="114"/>
      <c r="AX57" s="114"/>
      <c r="AY57" s="114"/>
      <c r="AZ57" s="114"/>
      <c r="BA57" s="114"/>
      <c r="BB57" s="114"/>
      <c r="BC57" s="114"/>
      <c r="BD57" s="114"/>
      <c r="BE57" s="114"/>
      <c r="BF57" s="114"/>
    </row>
    <row r="58" spans="1:58" s="972" customFormat="1">
      <c r="A58" s="972" t="s">
        <v>393</v>
      </c>
      <c r="I58" s="971"/>
      <c r="J58" s="971"/>
      <c r="K58" s="971"/>
      <c r="L58" s="971"/>
      <c r="M58" s="971"/>
      <c r="N58" s="971"/>
      <c r="O58" s="971"/>
      <c r="P58" s="971"/>
      <c r="Q58" s="971"/>
      <c r="R58" s="971"/>
      <c r="S58" s="971"/>
      <c r="T58" s="971"/>
      <c r="U58" s="971"/>
      <c r="V58" s="971"/>
      <c r="W58" s="971"/>
      <c r="X58" s="971"/>
      <c r="Y58" s="971"/>
      <c r="AL58" s="114"/>
      <c r="AM58" s="114"/>
      <c r="AN58" s="114"/>
      <c r="AO58" s="114"/>
      <c r="AP58" s="114"/>
      <c r="AQ58" s="114"/>
      <c r="AR58" s="114"/>
      <c r="AS58" s="114"/>
      <c r="AT58" s="114"/>
      <c r="AU58" s="114"/>
      <c r="AV58" s="114"/>
      <c r="AW58" s="114"/>
      <c r="AX58" s="114"/>
      <c r="AY58" s="114"/>
      <c r="AZ58" s="114"/>
      <c r="BA58" s="114"/>
      <c r="BB58" s="114"/>
      <c r="BC58" s="114"/>
      <c r="BD58" s="114"/>
      <c r="BE58" s="114"/>
      <c r="BF58" s="114"/>
    </row>
  </sheetData>
  <mergeCells count="5">
    <mergeCell ref="A57:AI57"/>
    <mergeCell ref="A1:AD1"/>
    <mergeCell ref="AD3:AG3"/>
    <mergeCell ref="A53:AI53"/>
    <mergeCell ref="A56:AI56"/>
  </mergeCells>
  <phoneticPr fontId="35" type="noConversion"/>
  <pageMargins left="0.75" right="0.75" top="1" bottom="1" header="0.5" footer="0.5"/>
  <pageSetup scale="52"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sheetPr codeName="Sheet106">
    <pageSetUpPr fitToPage="1"/>
  </sheetPr>
  <dimension ref="A1:BF60"/>
  <sheetViews>
    <sheetView view="pageBreakPreview" zoomScale="70" zoomScaleSheetLayoutView="70"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42578125" style="1" customWidth="1"/>
    <col min="9" max="25" width="7.140625" style="652" customWidth="1"/>
    <col min="26" max="27" width="7.140625" style="1" customWidth="1"/>
    <col min="28" max="29" width="7.140625" style="972" customWidth="1"/>
    <col min="30" max="35" width="7.140625" style="1" customWidth="1"/>
    <col min="36" max="36" width="6" style="1" customWidth="1"/>
    <col min="37" max="16384" width="9.140625" style="1"/>
  </cols>
  <sheetData>
    <row r="1" spans="1:58" ht="15.75" customHeight="1">
      <c r="A1" s="1178" t="s">
        <v>2166</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row>
    <row r="2" spans="1:58">
      <c r="A2" s="4"/>
      <c r="B2" s="4"/>
    </row>
    <row r="3" spans="1:58" s="9" customFormat="1">
      <c r="G3" s="348"/>
      <c r="H3" s="235"/>
      <c r="I3" s="665"/>
      <c r="J3" s="238"/>
      <c r="K3" s="666"/>
      <c r="L3" s="666"/>
      <c r="M3" s="666"/>
      <c r="N3" s="666"/>
      <c r="O3" s="666"/>
      <c r="P3" s="666"/>
      <c r="Q3" s="666"/>
      <c r="R3" s="666"/>
      <c r="S3" s="666"/>
      <c r="T3" s="666"/>
      <c r="U3" s="666"/>
      <c r="V3" s="666"/>
      <c r="W3" s="666"/>
      <c r="X3" s="666"/>
      <c r="Y3" s="666"/>
      <c r="AD3" s="1171" t="s">
        <v>802</v>
      </c>
      <c r="AE3" s="1171"/>
      <c r="AF3" s="1171"/>
      <c r="AG3" s="1171"/>
      <c r="AI3" s="644" t="s">
        <v>276</v>
      </c>
    </row>
    <row r="4" spans="1:58" s="235" customFormat="1">
      <c r="A4" s="973"/>
      <c r="B4" s="973"/>
      <c r="C4" s="973"/>
      <c r="D4" s="973"/>
      <c r="E4" s="973"/>
      <c r="F4" s="973"/>
      <c r="G4" s="973"/>
      <c r="H4" s="7"/>
      <c r="I4" s="237">
        <v>1981</v>
      </c>
      <c r="J4" s="239">
        <v>1989</v>
      </c>
      <c r="K4" s="132">
        <v>1990</v>
      </c>
      <c r="L4" s="132">
        <v>1991</v>
      </c>
      <c r="M4" s="132">
        <v>1992</v>
      </c>
      <c r="N4" s="132">
        <v>1993</v>
      </c>
      <c r="O4" s="132">
        <v>1994</v>
      </c>
      <c r="P4" s="132">
        <v>1995</v>
      </c>
      <c r="Q4" s="132">
        <v>1996</v>
      </c>
      <c r="R4" s="132">
        <v>1997</v>
      </c>
      <c r="S4" s="132">
        <v>1998</v>
      </c>
      <c r="T4" s="132">
        <v>1999</v>
      </c>
      <c r="U4" s="132">
        <v>2000</v>
      </c>
      <c r="V4" s="132">
        <v>2001</v>
      </c>
      <c r="W4" s="132">
        <v>2002</v>
      </c>
      <c r="X4" s="132">
        <v>2003</v>
      </c>
      <c r="Y4" s="132">
        <v>2004</v>
      </c>
      <c r="Z4" s="132">
        <v>2005</v>
      </c>
      <c r="AA4" s="132">
        <v>2006</v>
      </c>
      <c r="AB4" s="132">
        <v>2007</v>
      </c>
      <c r="AC4" s="132"/>
      <c r="AD4" s="241" t="s">
        <v>603</v>
      </c>
      <c r="AE4" s="241" t="s">
        <v>604</v>
      </c>
      <c r="AF4" s="241" t="s">
        <v>447</v>
      </c>
      <c r="AG4" s="241" t="s">
        <v>449</v>
      </c>
      <c r="AH4" s="241"/>
      <c r="AI4" s="241" t="s">
        <v>447</v>
      </c>
      <c r="AJ4" s="9"/>
      <c r="AK4" s="9"/>
      <c r="AL4" s="9"/>
      <c r="AM4" s="9">
        <v>1981</v>
      </c>
      <c r="AN4" s="9">
        <v>1989</v>
      </c>
      <c r="AO4" s="9">
        <v>1990</v>
      </c>
      <c r="AP4" s="9">
        <v>1991</v>
      </c>
      <c r="AQ4" s="9">
        <v>1992</v>
      </c>
      <c r="AR4" s="9">
        <v>1993</v>
      </c>
      <c r="AS4" s="9">
        <v>1994</v>
      </c>
      <c r="AT4" s="9">
        <v>1995</v>
      </c>
      <c r="AU4" s="9">
        <v>1996</v>
      </c>
      <c r="AV4" s="9">
        <v>1997</v>
      </c>
      <c r="AW4" s="9">
        <v>1998</v>
      </c>
      <c r="AX4" s="9">
        <v>1999</v>
      </c>
      <c r="AY4" s="235">
        <v>2000</v>
      </c>
      <c r="AZ4" s="235">
        <v>2001</v>
      </c>
      <c r="BA4" s="235">
        <v>2002</v>
      </c>
      <c r="BB4" s="235">
        <v>2003</v>
      </c>
      <c r="BC4" s="235">
        <v>2004</v>
      </c>
      <c r="BD4" s="235">
        <v>2005</v>
      </c>
      <c r="BE4" s="235">
        <v>2006</v>
      </c>
      <c r="BF4" s="235">
        <v>2007</v>
      </c>
    </row>
    <row r="5" spans="1:58" s="972" customFormat="1">
      <c r="A5" s="128" t="s">
        <v>964</v>
      </c>
      <c r="H5" s="2"/>
      <c r="I5" s="11">
        <v>16.2</v>
      </c>
      <c r="J5" s="331">
        <v>14.1</v>
      </c>
      <c r="K5" s="10">
        <v>15.9</v>
      </c>
      <c r="L5" s="10">
        <v>17.899999999999999</v>
      </c>
      <c r="M5" s="10">
        <v>17.8</v>
      </c>
      <c r="N5" s="10">
        <v>18.5</v>
      </c>
      <c r="O5" s="10">
        <v>18.399999999999999</v>
      </c>
      <c r="P5" s="10">
        <v>18.5</v>
      </c>
      <c r="Q5" s="10">
        <v>19.5</v>
      </c>
      <c r="R5" s="10">
        <v>19.5</v>
      </c>
      <c r="S5" s="10">
        <v>18.2</v>
      </c>
      <c r="T5" s="10">
        <v>17.5</v>
      </c>
      <c r="U5" s="10">
        <v>16.8</v>
      </c>
      <c r="V5" s="10">
        <v>15.5</v>
      </c>
      <c r="W5" s="10">
        <v>15.6</v>
      </c>
      <c r="X5" s="10">
        <v>15.6</v>
      </c>
      <c r="Y5" s="10">
        <v>15.4</v>
      </c>
      <c r="Z5" s="10">
        <v>15.2</v>
      </c>
      <c r="AA5" s="610">
        <v>14.6</v>
      </c>
      <c r="AB5" s="25">
        <v>13.3</v>
      </c>
      <c r="AC5" s="232"/>
      <c r="AD5" s="10">
        <f>((((J5/I5))^(1/8))-1)*100</f>
        <v>-1.7204832682709559</v>
      </c>
      <c r="AE5" s="10">
        <f>((((U5/J5))^(1/11))-1)*100</f>
        <v>1.6055165522945725</v>
      </c>
      <c r="AF5" s="10">
        <f>((((AB5/I5))^(1/26))-1)*100</f>
        <v>-0.75577267046010865</v>
      </c>
      <c r="AG5" s="10">
        <f>((((AB5/U5))^(1/7))-1)*100</f>
        <v>-3.2822797106580648</v>
      </c>
      <c r="AH5" s="25"/>
      <c r="AI5" s="10">
        <f>((AB5/I5)-1)*100</f>
        <v>-17.901234567901227</v>
      </c>
      <c r="AL5" s="972" t="s">
        <v>964</v>
      </c>
      <c r="AM5" s="41">
        <v>1481</v>
      </c>
      <c r="AN5" s="330">
        <v>1501</v>
      </c>
      <c r="AO5" s="232">
        <v>1738</v>
      </c>
      <c r="AP5" s="232">
        <v>1976</v>
      </c>
      <c r="AQ5" s="232">
        <v>2000</v>
      </c>
      <c r="AR5" s="232">
        <v>2111</v>
      </c>
      <c r="AS5" s="232">
        <v>2122</v>
      </c>
      <c r="AT5" s="232">
        <v>2166</v>
      </c>
      <c r="AU5" s="232">
        <v>2313</v>
      </c>
      <c r="AV5" s="232">
        <v>2341</v>
      </c>
      <c r="AW5" s="232">
        <v>2213</v>
      </c>
      <c r="AX5" s="232">
        <v>2155</v>
      </c>
      <c r="AY5" s="232">
        <v>2100</v>
      </c>
      <c r="AZ5" s="232">
        <v>1963</v>
      </c>
      <c r="BA5" s="232">
        <v>2000</v>
      </c>
      <c r="BB5" s="232">
        <v>2033</v>
      </c>
      <c r="BC5" s="232">
        <v>2041</v>
      </c>
      <c r="BD5" s="232">
        <v>2044</v>
      </c>
      <c r="BE5" s="232">
        <v>1996</v>
      </c>
      <c r="BF5" s="41">
        <v>1834</v>
      </c>
    </row>
    <row r="6" spans="1:58" s="972" customFormat="1">
      <c r="H6" s="2"/>
      <c r="I6" s="11"/>
      <c r="J6" s="331"/>
      <c r="K6" s="10"/>
      <c r="L6" s="10"/>
      <c r="M6" s="10"/>
      <c r="N6" s="10"/>
      <c r="O6" s="10"/>
      <c r="P6" s="10"/>
      <c r="Q6" s="10"/>
      <c r="R6" s="10"/>
      <c r="S6" s="10"/>
      <c r="T6" s="10"/>
      <c r="U6" s="10"/>
      <c r="V6" s="10"/>
      <c r="W6" s="10"/>
      <c r="X6" s="10"/>
      <c r="Y6" s="10"/>
      <c r="Z6" s="10"/>
      <c r="AA6" s="25"/>
      <c r="AB6" s="10"/>
      <c r="AC6" s="232"/>
      <c r="AD6" s="10"/>
      <c r="AE6" s="10"/>
      <c r="AF6" s="10"/>
      <c r="AG6" s="10"/>
      <c r="AH6" s="25"/>
      <c r="AI6" s="10"/>
      <c r="AM6" s="41"/>
      <c r="AN6" s="330"/>
      <c r="AO6" s="232"/>
      <c r="AP6" s="232"/>
      <c r="AQ6" s="232"/>
      <c r="AR6" s="232"/>
      <c r="AS6" s="232"/>
      <c r="AT6" s="232"/>
      <c r="AU6" s="232"/>
      <c r="AV6" s="232"/>
      <c r="AW6" s="232"/>
      <c r="AX6" s="232"/>
      <c r="AY6" s="232"/>
      <c r="AZ6" s="232"/>
      <c r="BA6" s="232"/>
      <c r="BB6" s="232"/>
      <c r="BC6" s="232"/>
      <c r="BD6" s="232"/>
      <c r="BE6" s="232"/>
      <c r="BF6" s="232"/>
    </row>
    <row r="7" spans="1:58" s="972" customFormat="1">
      <c r="B7" s="128" t="s">
        <v>610</v>
      </c>
      <c r="H7" s="2"/>
      <c r="I7" s="11">
        <v>8.9</v>
      </c>
      <c r="J7" s="331">
        <v>7.5</v>
      </c>
      <c r="K7" s="10">
        <v>9.1</v>
      </c>
      <c r="L7" s="10">
        <v>9.9</v>
      </c>
      <c r="M7" s="10">
        <v>9.9</v>
      </c>
      <c r="N7" s="10">
        <v>11</v>
      </c>
      <c r="O7" s="10">
        <v>10.8</v>
      </c>
      <c r="P7" s="10">
        <v>10.9</v>
      </c>
      <c r="Q7" s="10">
        <v>11.7</v>
      </c>
      <c r="R7" s="10">
        <v>11.6</v>
      </c>
      <c r="S7" s="10">
        <v>10.1</v>
      </c>
      <c r="T7" s="10">
        <v>9.5</v>
      </c>
      <c r="U7" s="10">
        <v>9</v>
      </c>
      <c r="V7" s="10">
        <v>7.9</v>
      </c>
      <c r="W7" s="10">
        <v>8.6</v>
      </c>
      <c r="X7" s="10">
        <v>8.5</v>
      </c>
      <c r="Y7" s="10">
        <v>8</v>
      </c>
      <c r="Z7" s="10">
        <v>7.4</v>
      </c>
      <c r="AA7" s="25">
        <v>7</v>
      </c>
      <c r="AB7" s="25">
        <v>5.8</v>
      </c>
      <c r="AC7" s="232"/>
      <c r="AD7" s="10">
        <f>((((J7/I7))^(1/8))-1)*100</f>
        <v>-2.1166313637446699</v>
      </c>
      <c r="AE7" s="10">
        <f>((((U7/J7))^(1/11))-1)*100</f>
        <v>1.6712809160973618</v>
      </c>
      <c r="AF7" s="10">
        <f t="shared" ref="AF7:AF52" si="0">((((AB7/I7))^(1/26))-1)*100</f>
        <v>-1.6334103195803862</v>
      </c>
      <c r="AG7" s="10">
        <f t="shared" ref="AG7:AG52" si="1">((((AB7/U7))^(1/7))-1)*100</f>
        <v>-6.0837413014782182</v>
      </c>
      <c r="AH7" s="25"/>
      <c r="AI7" s="10">
        <f t="shared" ref="AI7:AI52" si="2">((AB7/I7)-1)*100</f>
        <v>-34.831460674157313</v>
      </c>
      <c r="AL7" s="972" t="s">
        <v>1878</v>
      </c>
      <c r="AM7" s="41">
        <v>586</v>
      </c>
      <c r="AN7" s="330">
        <v>558</v>
      </c>
      <c r="AO7" s="232">
        <v>682</v>
      </c>
      <c r="AP7" s="232">
        <v>755</v>
      </c>
      <c r="AQ7" s="232">
        <v>767</v>
      </c>
      <c r="AR7" s="232">
        <v>870</v>
      </c>
      <c r="AS7" s="232">
        <v>856</v>
      </c>
      <c r="AT7" s="232">
        <v>871</v>
      </c>
      <c r="AU7" s="232">
        <v>947</v>
      </c>
      <c r="AV7" s="232">
        <v>943</v>
      </c>
      <c r="AW7" s="232">
        <v>832</v>
      </c>
      <c r="AX7" s="232">
        <v>789</v>
      </c>
      <c r="AY7" s="232">
        <v>753</v>
      </c>
      <c r="AZ7" s="232">
        <v>672</v>
      </c>
      <c r="BA7" s="232">
        <v>737</v>
      </c>
      <c r="BB7" s="232">
        <v>738</v>
      </c>
      <c r="BC7" s="232">
        <v>699</v>
      </c>
      <c r="BD7" s="232">
        <v>655</v>
      </c>
      <c r="BE7" s="232">
        <v>633</v>
      </c>
      <c r="BF7" s="41">
        <v>525</v>
      </c>
    </row>
    <row r="8" spans="1:58" s="972" customFormat="1">
      <c r="B8" s="128"/>
      <c r="H8" s="2"/>
      <c r="I8" s="11"/>
      <c r="J8" s="331"/>
      <c r="K8" s="10"/>
      <c r="L8" s="10"/>
      <c r="M8" s="10"/>
      <c r="N8" s="10"/>
      <c r="O8" s="10"/>
      <c r="P8" s="10"/>
      <c r="Q8" s="10"/>
      <c r="R8" s="10"/>
      <c r="S8" s="10"/>
      <c r="T8" s="10"/>
      <c r="U8" s="10"/>
      <c r="V8" s="10"/>
      <c r="W8" s="10"/>
      <c r="X8" s="10"/>
      <c r="Y8" s="10"/>
      <c r="Z8" s="10"/>
      <c r="AA8" s="25"/>
      <c r="AB8" s="10"/>
      <c r="AC8" s="232"/>
      <c r="AD8" s="10"/>
      <c r="AE8" s="10"/>
      <c r="AF8" s="10"/>
      <c r="AG8" s="10"/>
      <c r="AH8" s="25"/>
      <c r="AI8" s="10"/>
      <c r="AM8" s="41"/>
      <c r="AN8" s="330"/>
      <c r="AO8" s="232"/>
      <c r="AP8" s="232"/>
      <c r="AQ8" s="232"/>
      <c r="AR8" s="232"/>
      <c r="AS8" s="232"/>
      <c r="AT8" s="232"/>
      <c r="AU8" s="232"/>
      <c r="AV8" s="232"/>
      <c r="AW8" s="232"/>
      <c r="AX8" s="232"/>
      <c r="AY8" s="232"/>
      <c r="AZ8" s="232"/>
      <c r="BA8" s="232"/>
      <c r="BB8" s="232"/>
      <c r="BC8" s="232"/>
      <c r="BD8" s="232"/>
      <c r="BE8" s="232"/>
      <c r="BF8" s="232"/>
    </row>
    <row r="9" spans="1:58" s="972" customFormat="1">
      <c r="C9" s="128" t="s">
        <v>921</v>
      </c>
      <c r="H9" s="2"/>
      <c r="I9" s="11">
        <v>9.6</v>
      </c>
      <c r="J9" s="331">
        <v>3.9</v>
      </c>
      <c r="K9" s="10">
        <v>2.9</v>
      </c>
      <c r="L9" s="10">
        <v>3.3</v>
      </c>
      <c r="M9" s="10">
        <v>2.9</v>
      </c>
      <c r="N9" s="10">
        <v>3.9</v>
      </c>
      <c r="O9" s="10">
        <v>3.1</v>
      </c>
      <c r="P9" s="10">
        <v>2.5</v>
      </c>
      <c r="Q9" s="10">
        <v>2.7</v>
      </c>
      <c r="R9" s="10">
        <v>3.4</v>
      </c>
      <c r="S9" s="10">
        <v>3.9</v>
      </c>
      <c r="T9" s="10">
        <v>3.1</v>
      </c>
      <c r="U9" s="10">
        <v>3.1</v>
      </c>
      <c r="V9" s="10">
        <v>2.5</v>
      </c>
      <c r="W9" s="10">
        <v>2.9</v>
      </c>
      <c r="X9" s="10">
        <v>2.7</v>
      </c>
      <c r="Y9" s="10">
        <v>2.1</v>
      </c>
      <c r="Z9" s="10">
        <v>1.6</v>
      </c>
      <c r="AA9" s="25">
        <v>2.2999999999999998</v>
      </c>
      <c r="AB9" s="25">
        <v>1.5</v>
      </c>
      <c r="AC9" s="232"/>
      <c r="AD9" s="10">
        <f>((((J9/I9))^(1/8))-1)*100</f>
        <v>-10.649050542611182</v>
      </c>
      <c r="AE9" s="10">
        <f>((((U9/J9))^(1/11))-1)*100</f>
        <v>-2.0654124136487706</v>
      </c>
      <c r="AF9" s="10">
        <f t="shared" si="0"/>
        <v>-6.8906965034790657</v>
      </c>
      <c r="AG9" s="10">
        <f t="shared" si="1"/>
        <v>-9.8509059902180276</v>
      </c>
      <c r="AH9" s="25"/>
      <c r="AI9" s="10">
        <f t="shared" si="2"/>
        <v>-84.375</v>
      </c>
      <c r="AL9" s="972" t="s">
        <v>1879</v>
      </c>
      <c r="AM9" s="41">
        <v>77</v>
      </c>
      <c r="AN9" s="330">
        <v>40</v>
      </c>
      <c r="AO9" s="232">
        <v>30</v>
      </c>
      <c r="AP9" s="232">
        <v>37</v>
      </c>
      <c r="AQ9" s="232">
        <v>33</v>
      </c>
      <c r="AR9" s="232">
        <v>44</v>
      </c>
      <c r="AS9" s="232">
        <v>36</v>
      </c>
      <c r="AT9" s="232">
        <v>29</v>
      </c>
      <c r="AU9" s="232">
        <v>31</v>
      </c>
      <c r="AV9" s="232">
        <v>40</v>
      </c>
      <c r="AW9" s="232">
        <v>44</v>
      </c>
      <c r="AX9" s="232">
        <v>36</v>
      </c>
      <c r="AY9" s="232">
        <v>37</v>
      </c>
      <c r="AZ9" s="232">
        <v>30</v>
      </c>
      <c r="BA9" s="232">
        <v>35</v>
      </c>
      <c r="BB9" s="232">
        <v>34</v>
      </c>
      <c r="BC9" s="232">
        <v>28</v>
      </c>
      <c r="BD9" s="232">
        <v>21</v>
      </c>
      <c r="BE9" s="232">
        <v>31</v>
      </c>
      <c r="BF9" s="41">
        <v>21</v>
      </c>
    </row>
    <row r="10" spans="1:58" s="972" customFormat="1">
      <c r="C10" s="972" t="s">
        <v>611</v>
      </c>
      <c r="H10" s="2"/>
      <c r="I10" s="11">
        <v>8.3000000000000007</v>
      </c>
      <c r="J10" s="331">
        <v>3.2</v>
      </c>
      <c r="K10" s="10">
        <v>2.7</v>
      </c>
      <c r="L10" s="10">
        <v>3.2</v>
      </c>
      <c r="M10" s="10">
        <v>1.7</v>
      </c>
      <c r="N10" s="10">
        <v>2.4</v>
      </c>
      <c r="O10" s="10">
        <v>1.8</v>
      </c>
      <c r="P10" s="10">
        <v>1.6</v>
      </c>
      <c r="Q10" s="10">
        <v>1.7</v>
      </c>
      <c r="R10" s="10">
        <v>2.2000000000000002</v>
      </c>
      <c r="S10" s="10">
        <v>1.7</v>
      </c>
      <c r="T10" s="10">
        <v>1.4</v>
      </c>
      <c r="U10" s="10">
        <v>1.2</v>
      </c>
      <c r="V10" s="10">
        <v>1.6</v>
      </c>
      <c r="W10" s="10">
        <v>1.9</v>
      </c>
      <c r="X10" s="10">
        <v>1.7</v>
      </c>
      <c r="Y10" s="10">
        <v>1.3</v>
      </c>
      <c r="Z10" s="10">
        <v>1</v>
      </c>
      <c r="AA10" s="25">
        <v>1.2</v>
      </c>
      <c r="AB10" s="25">
        <v>0.9</v>
      </c>
      <c r="AC10" s="232"/>
      <c r="AD10" s="10">
        <f t="shared" ref="AD10:AD11" si="3">((((J10/I10))^(1/8))-1)*100</f>
        <v>-11.231478648815385</v>
      </c>
      <c r="AE10" s="10">
        <f t="shared" ref="AE10:AE11" si="4">((((U10/J10))^(1/11))-1)*100</f>
        <v>-8.5306548687531283</v>
      </c>
      <c r="AF10" s="10">
        <f t="shared" ref="AF10:AF11" si="5">((((AB10/I10))^(1/26))-1)*100</f>
        <v>-8.1897988045765082</v>
      </c>
      <c r="AG10" s="10">
        <f t="shared" ref="AG10:AG11" si="6">((((AB10/U10))^(1/7))-1)*100</f>
        <v>-4.0264390211297352</v>
      </c>
      <c r="AH10" s="25"/>
      <c r="AI10" s="10">
        <f t="shared" ref="AI10:AI11" si="7">((AB10/I10)-1)*100</f>
        <v>-89.156626506024097</v>
      </c>
      <c r="AL10" s="972" t="s">
        <v>1880</v>
      </c>
      <c r="AM10" s="41">
        <v>44</v>
      </c>
      <c r="AN10" s="330">
        <v>23</v>
      </c>
      <c r="AO10" s="232">
        <v>20</v>
      </c>
      <c r="AP10" s="232">
        <v>25</v>
      </c>
      <c r="AQ10" s="232">
        <v>13</v>
      </c>
      <c r="AR10" s="232">
        <v>19</v>
      </c>
      <c r="AS10" s="232">
        <v>15</v>
      </c>
      <c r="AT10" s="232">
        <v>14</v>
      </c>
      <c r="AU10" s="232">
        <v>14</v>
      </c>
      <c r="AV10" s="232">
        <v>19</v>
      </c>
      <c r="AW10" s="232">
        <v>15</v>
      </c>
      <c r="AX10" s="232">
        <v>13</v>
      </c>
      <c r="AY10" s="232">
        <v>11</v>
      </c>
      <c r="AZ10" s="232">
        <v>15</v>
      </c>
      <c r="BA10" s="232">
        <v>18</v>
      </c>
      <c r="BB10" s="232">
        <v>17</v>
      </c>
      <c r="BC10" s="232">
        <v>13</v>
      </c>
      <c r="BD10" s="232">
        <v>10</v>
      </c>
      <c r="BE10" s="232" t="s">
        <v>593</v>
      </c>
      <c r="BF10" s="41" t="s">
        <v>593</v>
      </c>
    </row>
    <row r="11" spans="1:58" s="972" customFormat="1">
      <c r="C11" s="972" t="s">
        <v>612</v>
      </c>
      <c r="H11" s="2"/>
      <c r="I11" s="11">
        <v>12.1</v>
      </c>
      <c r="J11" s="331">
        <v>5.4</v>
      </c>
      <c r="K11" s="10">
        <v>3.2</v>
      </c>
      <c r="L11" s="10">
        <v>3.7</v>
      </c>
      <c r="M11" s="10">
        <v>5.5</v>
      </c>
      <c r="N11" s="10">
        <v>7.4</v>
      </c>
      <c r="O11" s="10">
        <v>6.5</v>
      </c>
      <c r="P11" s="10">
        <v>4.8</v>
      </c>
      <c r="Q11" s="10">
        <v>5.6</v>
      </c>
      <c r="R11" s="10">
        <v>7</v>
      </c>
      <c r="S11" s="10">
        <v>11.4</v>
      </c>
      <c r="T11" s="10">
        <v>9</v>
      </c>
      <c r="U11" s="10">
        <v>10.1</v>
      </c>
      <c r="V11" s="10">
        <v>5.9</v>
      </c>
      <c r="W11" s="10">
        <v>6.9</v>
      </c>
      <c r="X11" s="10">
        <v>6.4</v>
      </c>
      <c r="Y11" s="10">
        <v>5.4</v>
      </c>
      <c r="Z11" s="10">
        <v>4.0999999999999996</v>
      </c>
      <c r="AA11" s="25">
        <v>6.1</v>
      </c>
      <c r="AB11" s="25">
        <v>3.6</v>
      </c>
      <c r="AC11" s="232"/>
      <c r="AD11" s="10">
        <f t="shared" si="3"/>
        <v>-9.5932101435574406</v>
      </c>
      <c r="AE11" s="10">
        <f t="shared" si="4"/>
        <v>5.857270631578837</v>
      </c>
      <c r="AF11" s="10">
        <f t="shared" si="5"/>
        <v>-4.5555545728419027</v>
      </c>
      <c r="AG11" s="10">
        <f t="shared" si="6"/>
        <v>-13.702680967645852</v>
      </c>
      <c r="AH11" s="25"/>
      <c r="AI11" s="10">
        <f t="shared" si="7"/>
        <v>-70.247933884297524</v>
      </c>
      <c r="AL11" s="972" t="s">
        <v>1881</v>
      </c>
      <c r="AM11" s="41">
        <v>33</v>
      </c>
      <c r="AN11" s="330">
        <v>17</v>
      </c>
      <c r="AO11" s="232">
        <v>10</v>
      </c>
      <c r="AP11" s="232">
        <v>12</v>
      </c>
      <c r="AQ11" s="232">
        <v>20</v>
      </c>
      <c r="AR11" s="232">
        <v>25</v>
      </c>
      <c r="AS11" s="232">
        <v>21</v>
      </c>
      <c r="AT11" s="232">
        <v>16</v>
      </c>
      <c r="AU11" s="232">
        <v>16</v>
      </c>
      <c r="AV11" s="232">
        <v>21</v>
      </c>
      <c r="AW11" s="232">
        <v>29</v>
      </c>
      <c r="AX11" s="232">
        <v>23</v>
      </c>
      <c r="AY11" s="232">
        <v>26</v>
      </c>
      <c r="AZ11" s="232">
        <v>14</v>
      </c>
      <c r="BA11" s="232">
        <v>18</v>
      </c>
      <c r="BB11" s="232">
        <v>17</v>
      </c>
      <c r="BC11" s="232">
        <v>14</v>
      </c>
      <c r="BD11" s="232" t="s">
        <v>593</v>
      </c>
      <c r="BE11" s="232" t="s">
        <v>593</v>
      </c>
      <c r="BF11" s="41" t="s">
        <v>593</v>
      </c>
    </row>
    <row r="12" spans="1:58" s="972" customFormat="1">
      <c r="H12" s="2"/>
      <c r="I12" s="11"/>
      <c r="J12" s="331"/>
      <c r="K12" s="10"/>
      <c r="L12" s="10"/>
      <c r="M12" s="10"/>
      <c r="N12" s="10"/>
      <c r="O12" s="10"/>
      <c r="P12" s="10"/>
      <c r="Q12" s="10"/>
      <c r="R12" s="10"/>
      <c r="S12" s="10"/>
      <c r="T12" s="10"/>
      <c r="U12" s="10"/>
      <c r="V12" s="10"/>
      <c r="W12" s="10"/>
      <c r="X12" s="10"/>
      <c r="Y12" s="10"/>
      <c r="Z12" s="10"/>
      <c r="AA12" s="25"/>
      <c r="AB12" s="10"/>
      <c r="AC12" s="232"/>
      <c r="AD12" s="10"/>
      <c r="AE12" s="10"/>
      <c r="AF12" s="10"/>
      <c r="AG12" s="10"/>
      <c r="AH12" s="25"/>
      <c r="AI12" s="10"/>
      <c r="AM12" s="41"/>
      <c r="AN12" s="330"/>
      <c r="AO12" s="232"/>
      <c r="AP12" s="232"/>
      <c r="AQ12" s="232"/>
      <c r="AR12" s="232"/>
      <c r="AS12" s="232"/>
      <c r="AT12" s="232"/>
      <c r="AU12" s="232"/>
      <c r="AV12" s="232"/>
      <c r="AW12" s="232"/>
      <c r="AX12" s="232"/>
      <c r="AY12" s="232"/>
      <c r="AZ12" s="232"/>
      <c r="BA12" s="232"/>
      <c r="BB12" s="232"/>
      <c r="BC12" s="232"/>
      <c r="BD12" s="232"/>
      <c r="BE12" s="232"/>
      <c r="BF12" s="232"/>
    </row>
    <row r="13" spans="1:58" s="972" customFormat="1">
      <c r="C13" s="128" t="s">
        <v>922</v>
      </c>
      <c r="H13" s="2"/>
      <c r="I13" s="11">
        <v>8.8000000000000007</v>
      </c>
      <c r="J13" s="331">
        <v>8.1</v>
      </c>
      <c r="K13" s="10">
        <v>10.1</v>
      </c>
      <c r="L13" s="10">
        <v>11</v>
      </c>
      <c r="M13" s="10">
        <v>11.1</v>
      </c>
      <c r="N13" s="10">
        <v>12.2</v>
      </c>
      <c r="O13" s="10">
        <v>12.1</v>
      </c>
      <c r="P13" s="10">
        <v>12.3</v>
      </c>
      <c r="Q13" s="10">
        <v>13.2</v>
      </c>
      <c r="R13" s="10">
        <v>12.9</v>
      </c>
      <c r="S13" s="10">
        <v>11.2</v>
      </c>
      <c r="T13" s="10">
        <v>10.6</v>
      </c>
      <c r="U13" s="10">
        <v>10</v>
      </c>
      <c r="V13" s="10">
        <v>8.8000000000000007</v>
      </c>
      <c r="W13" s="10">
        <v>9.5</v>
      </c>
      <c r="X13" s="10">
        <v>9.5</v>
      </c>
      <c r="Y13" s="10">
        <v>9</v>
      </c>
      <c r="Z13" s="10">
        <v>8.4</v>
      </c>
      <c r="AA13" s="25">
        <v>7.9</v>
      </c>
      <c r="AB13" s="25">
        <v>6.6</v>
      </c>
      <c r="AC13" s="232"/>
      <c r="AD13" s="10">
        <f>((((J13/I13))^(1/8))-1)*100</f>
        <v>-1.0307467650474966</v>
      </c>
      <c r="AE13" s="10">
        <f>((((U13/J13))^(1/11))-1)*100</f>
        <v>1.9341119595344791</v>
      </c>
      <c r="AF13" s="10">
        <f t="shared" si="0"/>
        <v>-1.1003706502845212</v>
      </c>
      <c r="AG13" s="10">
        <f t="shared" si="1"/>
        <v>-5.7631930847777841</v>
      </c>
      <c r="AH13" s="25"/>
      <c r="AI13" s="10">
        <f t="shared" si="2"/>
        <v>-25.000000000000011</v>
      </c>
      <c r="AL13" s="972" t="s">
        <v>1882</v>
      </c>
      <c r="AM13" s="41">
        <v>509</v>
      </c>
      <c r="AN13" s="330">
        <v>518</v>
      </c>
      <c r="AO13" s="232">
        <v>652</v>
      </c>
      <c r="AP13" s="232">
        <v>718</v>
      </c>
      <c r="AQ13" s="232">
        <v>734</v>
      </c>
      <c r="AR13" s="232">
        <v>826</v>
      </c>
      <c r="AS13" s="232">
        <v>820</v>
      </c>
      <c r="AT13" s="232">
        <v>841</v>
      </c>
      <c r="AU13" s="232">
        <v>916</v>
      </c>
      <c r="AV13" s="232">
        <v>904</v>
      </c>
      <c r="AW13" s="232">
        <v>787</v>
      </c>
      <c r="AX13" s="232">
        <v>753</v>
      </c>
      <c r="AY13" s="232">
        <v>717</v>
      </c>
      <c r="AZ13" s="232">
        <v>642</v>
      </c>
      <c r="BA13" s="232">
        <v>702</v>
      </c>
      <c r="BB13" s="232">
        <v>704</v>
      </c>
      <c r="BC13" s="232">
        <v>671</v>
      </c>
      <c r="BD13" s="232">
        <v>633</v>
      </c>
      <c r="BE13" s="232">
        <v>602</v>
      </c>
      <c r="BF13" s="41">
        <v>504</v>
      </c>
    </row>
    <row r="14" spans="1:58" s="972" customFormat="1">
      <c r="C14" s="128"/>
      <c r="H14" s="2"/>
      <c r="I14" s="11"/>
      <c r="J14" s="331"/>
      <c r="K14" s="10"/>
      <c r="L14" s="10"/>
      <c r="M14" s="10"/>
      <c r="N14" s="10"/>
      <c r="O14" s="10"/>
      <c r="P14" s="10"/>
      <c r="Q14" s="10"/>
      <c r="R14" s="10"/>
      <c r="S14" s="10"/>
      <c r="T14" s="10"/>
      <c r="U14" s="10"/>
      <c r="V14" s="10"/>
      <c r="W14" s="10"/>
      <c r="X14" s="10"/>
      <c r="Y14" s="10"/>
      <c r="Z14" s="10"/>
      <c r="AA14" s="25"/>
      <c r="AB14" s="10"/>
      <c r="AC14" s="232"/>
      <c r="AD14" s="10"/>
      <c r="AE14" s="10"/>
      <c r="AF14" s="10"/>
      <c r="AG14" s="10"/>
      <c r="AH14" s="25"/>
      <c r="AI14" s="10"/>
      <c r="AM14" s="41"/>
      <c r="AN14" s="330"/>
      <c r="AO14" s="232"/>
      <c r="AP14" s="232"/>
      <c r="AQ14" s="232"/>
      <c r="AR14" s="232"/>
      <c r="AS14" s="232"/>
      <c r="AT14" s="232"/>
      <c r="AU14" s="232"/>
      <c r="AV14" s="232"/>
      <c r="AW14" s="232"/>
      <c r="AX14" s="232"/>
      <c r="AY14" s="232"/>
      <c r="AZ14" s="232"/>
      <c r="BA14" s="232"/>
      <c r="BB14" s="232"/>
      <c r="BC14" s="232"/>
      <c r="BD14" s="232"/>
      <c r="BE14" s="232"/>
      <c r="BF14" s="232"/>
    </row>
    <row r="15" spans="1:58" s="972" customFormat="1">
      <c r="D15" s="128" t="s">
        <v>923</v>
      </c>
      <c r="H15" s="2"/>
      <c r="I15" s="11">
        <v>5</v>
      </c>
      <c r="J15" s="331">
        <v>5.0999999999999996</v>
      </c>
      <c r="K15" s="10">
        <v>6.7</v>
      </c>
      <c r="L15" s="10">
        <v>7.7</v>
      </c>
      <c r="M15" s="10">
        <v>6.6</v>
      </c>
      <c r="N15" s="10">
        <v>7.7</v>
      </c>
      <c r="O15" s="10">
        <v>7.8</v>
      </c>
      <c r="P15" s="10">
        <v>7.5</v>
      </c>
      <c r="Q15" s="10">
        <v>8.4</v>
      </c>
      <c r="R15" s="10">
        <v>8.6</v>
      </c>
      <c r="S15" s="10">
        <v>6.7</v>
      </c>
      <c r="T15" s="10">
        <v>8</v>
      </c>
      <c r="U15" s="10">
        <v>6.9</v>
      </c>
      <c r="V15" s="10">
        <v>6.4</v>
      </c>
      <c r="W15" s="10">
        <v>7.1</v>
      </c>
      <c r="X15" s="10">
        <v>6.6</v>
      </c>
      <c r="Y15" s="10">
        <v>6.4</v>
      </c>
      <c r="Z15" s="10">
        <v>6.4</v>
      </c>
      <c r="AA15" s="25">
        <v>5.7</v>
      </c>
      <c r="AB15" s="25">
        <v>4.7</v>
      </c>
      <c r="AC15" s="232"/>
      <c r="AD15" s="10">
        <f>((((J15/I15))^(1/8))-1)*100</f>
        <v>0.24783945667874452</v>
      </c>
      <c r="AE15" s="10">
        <f>((((U15/J15))^(1/11))-1)*100</f>
        <v>2.7861139150004766</v>
      </c>
      <c r="AF15" s="10">
        <f t="shared" si="0"/>
        <v>-0.23769936856895546</v>
      </c>
      <c r="AG15" s="10">
        <f t="shared" si="1"/>
        <v>-5.3374072584291721</v>
      </c>
      <c r="AH15" s="25"/>
      <c r="AI15" s="10">
        <f t="shared" si="2"/>
        <v>-5.9999999999999947</v>
      </c>
      <c r="AL15" s="972" t="s">
        <v>1883</v>
      </c>
      <c r="AM15" s="41">
        <v>67</v>
      </c>
      <c r="AN15" s="330">
        <v>82</v>
      </c>
      <c r="AO15" s="232">
        <v>109</v>
      </c>
      <c r="AP15" s="232">
        <v>125</v>
      </c>
      <c r="AQ15" s="232">
        <v>107</v>
      </c>
      <c r="AR15" s="232">
        <v>128</v>
      </c>
      <c r="AS15" s="232">
        <v>131</v>
      </c>
      <c r="AT15" s="232">
        <v>126</v>
      </c>
      <c r="AU15" s="232">
        <v>146</v>
      </c>
      <c r="AV15" s="232">
        <v>150</v>
      </c>
      <c r="AW15" s="232">
        <v>119</v>
      </c>
      <c r="AX15" s="232">
        <v>145</v>
      </c>
      <c r="AY15" s="232">
        <v>129</v>
      </c>
      <c r="AZ15" s="232">
        <v>124</v>
      </c>
      <c r="BA15" s="232">
        <v>144</v>
      </c>
      <c r="BB15" s="232">
        <v>135</v>
      </c>
      <c r="BC15" s="232">
        <v>134</v>
      </c>
      <c r="BD15" s="232">
        <v>137</v>
      </c>
      <c r="BE15" s="232">
        <v>123</v>
      </c>
      <c r="BF15" s="41">
        <v>105</v>
      </c>
    </row>
    <row r="16" spans="1:58" s="972" customFormat="1">
      <c r="D16" s="972" t="s">
        <v>613</v>
      </c>
      <c r="H16" s="2"/>
      <c r="I16" s="11">
        <v>41.3</v>
      </c>
      <c r="J16" s="331">
        <v>29.6</v>
      </c>
      <c r="K16" s="10">
        <v>28.8</v>
      </c>
      <c r="L16" s="10">
        <v>35.299999999999997</v>
      </c>
      <c r="M16" s="10">
        <v>31.9</v>
      </c>
      <c r="N16" s="10">
        <v>33.700000000000003</v>
      </c>
      <c r="O16" s="10">
        <v>31.6</v>
      </c>
      <c r="P16" s="10">
        <v>29.1</v>
      </c>
      <c r="Q16" s="10">
        <v>33.299999999999997</v>
      </c>
      <c r="R16" s="10">
        <v>35</v>
      </c>
      <c r="S16" s="10">
        <v>29.6</v>
      </c>
      <c r="T16" s="10">
        <v>36.299999999999997</v>
      </c>
      <c r="U16" s="10">
        <v>33.6</v>
      </c>
      <c r="V16" s="10">
        <v>30.8</v>
      </c>
      <c r="W16" s="10">
        <v>30.2</v>
      </c>
      <c r="X16" s="10">
        <v>29.3</v>
      </c>
      <c r="Y16" s="10">
        <v>36.6</v>
      </c>
      <c r="Z16" s="10">
        <v>32.4</v>
      </c>
      <c r="AA16" s="25">
        <v>28.4</v>
      </c>
      <c r="AB16" s="25">
        <v>25.5</v>
      </c>
      <c r="AC16" s="232"/>
      <c r="AD16" s="10">
        <f>((((J16/I16))^(1/8))-1)*100</f>
        <v>-4.0781143919373601</v>
      </c>
      <c r="AE16" s="10">
        <f>((((U16/J16))^(1/11))-1)*100</f>
        <v>1.1589526470975997</v>
      </c>
      <c r="AF16" s="10">
        <f t="shared" si="0"/>
        <v>-1.8374629940068221</v>
      </c>
      <c r="AG16" s="10">
        <f t="shared" si="1"/>
        <v>-3.8640453507894357</v>
      </c>
      <c r="AH16" s="25"/>
      <c r="AI16" s="10">
        <f t="shared" si="2"/>
        <v>-38.256658595641646</v>
      </c>
      <c r="AL16" s="972" t="s">
        <v>1884</v>
      </c>
      <c r="AM16" s="41">
        <v>27</v>
      </c>
      <c r="AN16" s="330">
        <v>39</v>
      </c>
      <c r="AO16" s="232">
        <v>43</v>
      </c>
      <c r="AP16" s="232">
        <v>54</v>
      </c>
      <c r="AQ16" s="232">
        <v>49</v>
      </c>
      <c r="AR16" s="232">
        <v>61</v>
      </c>
      <c r="AS16" s="232">
        <v>59</v>
      </c>
      <c r="AT16" s="232">
        <v>52</v>
      </c>
      <c r="AU16" s="232">
        <v>68</v>
      </c>
      <c r="AV16" s="232">
        <v>66</v>
      </c>
      <c r="AW16" s="232">
        <v>53</v>
      </c>
      <c r="AX16" s="232">
        <v>72</v>
      </c>
      <c r="AY16" s="232">
        <v>57</v>
      </c>
      <c r="AZ16" s="232">
        <v>53</v>
      </c>
      <c r="BA16" s="232">
        <v>54</v>
      </c>
      <c r="BB16" s="232">
        <v>46</v>
      </c>
      <c r="BC16" s="232">
        <v>58</v>
      </c>
      <c r="BD16" s="232">
        <v>56</v>
      </c>
      <c r="BE16" s="232">
        <v>44</v>
      </c>
      <c r="BF16" s="41">
        <v>37</v>
      </c>
    </row>
    <row r="17" spans="1:58" s="972" customFormat="1">
      <c r="D17" s="972" t="s">
        <v>614</v>
      </c>
      <c r="H17" s="2"/>
      <c r="I17" s="11">
        <v>7.3</v>
      </c>
      <c r="J17" s="331">
        <v>6.6</v>
      </c>
      <c r="K17" s="10">
        <v>9.5</v>
      </c>
      <c r="L17" s="10">
        <v>10.7</v>
      </c>
      <c r="M17" s="10">
        <v>8.4</v>
      </c>
      <c r="N17" s="10">
        <v>8.3000000000000007</v>
      </c>
      <c r="O17" s="10">
        <v>8.9</v>
      </c>
      <c r="P17" s="10">
        <v>10.4</v>
      </c>
      <c r="Q17" s="10">
        <v>9.6999999999999993</v>
      </c>
      <c r="R17" s="10">
        <v>10.7</v>
      </c>
      <c r="S17" s="10">
        <v>7.7</v>
      </c>
      <c r="T17" s="10">
        <v>9.4</v>
      </c>
      <c r="U17" s="10">
        <v>10.199999999999999</v>
      </c>
      <c r="V17" s="10">
        <v>9.1999999999999993</v>
      </c>
      <c r="W17" s="10">
        <v>10.199999999999999</v>
      </c>
      <c r="X17" s="10">
        <v>10</v>
      </c>
      <c r="Y17" s="10">
        <v>9</v>
      </c>
      <c r="Z17" s="10">
        <v>7.2</v>
      </c>
      <c r="AA17" s="25">
        <v>7.2</v>
      </c>
      <c r="AB17" s="25">
        <v>6.3</v>
      </c>
      <c r="AC17" s="232"/>
      <c r="AD17" s="10">
        <f>((((J17/I17))^(1/8))-1)*100</f>
        <v>-1.2521532383833578</v>
      </c>
      <c r="AE17" s="10">
        <f>((((U17/J17))^(1/11))-1)*100</f>
        <v>4.0367868285266839</v>
      </c>
      <c r="AF17" s="10">
        <f t="shared" si="0"/>
        <v>-0.5650311784687112</v>
      </c>
      <c r="AG17" s="10">
        <f t="shared" si="1"/>
        <v>-6.6518386420357682</v>
      </c>
      <c r="AH17" s="25"/>
      <c r="AI17" s="10">
        <f t="shared" si="2"/>
        <v>-13.698630136986301</v>
      </c>
      <c r="AL17" s="972" t="s">
        <v>1885</v>
      </c>
      <c r="AM17" s="41">
        <v>27</v>
      </c>
      <c r="AN17" s="330">
        <v>23</v>
      </c>
      <c r="AO17" s="232">
        <v>37</v>
      </c>
      <c r="AP17" s="232">
        <v>41</v>
      </c>
      <c r="AQ17" s="232">
        <v>31</v>
      </c>
      <c r="AR17" s="232">
        <v>35</v>
      </c>
      <c r="AS17" s="232">
        <v>38</v>
      </c>
      <c r="AT17" s="232">
        <v>43</v>
      </c>
      <c r="AU17" s="232">
        <v>42</v>
      </c>
      <c r="AV17" s="232">
        <v>44</v>
      </c>
      <c r="AW17" s="232">
        <v>35</v>
      </c>
      <c r="AX17" s="232">
        <v>41</v>
      </c>
      <c r="AY17" s="232">
        <v>45</v>
      </c>
      <c r="AZ17" s="232">
        <v>42</v>
      </c>
      <c r="BA17" s="232">
        <v>48</v>
      </c>
      <c r="BB17" s="232">
        <v>48</v>
      </c>
      <c r="BC17" s="232">
        <v>44</v>
      </c>
      <c r="BD17" s="232">
        <v>37</v>
      </c>
      <c r="BE17" s="232">
        <v>37</v>
      </c>
      <c r="BF17" s="41">
        <v>32</v>
      </c>
    </row>
    <row r="18" spans="1:58" s="972" customFormat="1">
      <c r="D18" s="972" t="s">
        <v>615</v>
      </c>
      <c r="H18" s="2"/>
      <c r="I18" s="11">
        <v>1.5</v>
      </c>
      <c r="J18" s="331">
        <v>1.8</v>
      </c>
      <c r="K18" s="10">
        <v>2.7</v>
      </c>
      <c r="L18" s="10">
        <v>2.8</v>
      </c>
      <c r="M18" s="10">
        <v>2.4</v>
      </c>
      <c r="N18" s="10">
        <v>3</v>
      </c>
      <c r="O18" s="10">
        <v>3.2</v>
      </c>
      <c r="P18" s="10">
        <v>2.8</v>
      </c>
      <c r="Q18" s="10">
        <v>3.2</v>
      </c>
      <c r="R18" s="10">
        <v>3.5</v>
      </c>
      <c r="S18" s="10">
        <v>2.7</v>
      </c>
      <c r="T18" s="10">
        <v>2.7</v>
      </c>
      <c r="U18" s="10">
        <v>2.2000000000000002</v>
      </c>
      <c r="V18" s="10">
        <v>2.2000000000000002</v>
      </c>
      <c r="W18" s="10">
        <v>3</v>
      </c>
      <c r="X18" s="10">
        <v>2.9</v>
      </c>
      <c r="Y18" s="10">
        <v>2.2000000000000002</v>
      </c>
      <c r="Z18" s="10">
        <v>3</v>
      </c>
      <c r="AA18" s="25">
        <v>2.8</v>
      </c>
      <c r="AB18" s="25">
        <v>2.2999999999999998</v>
      </c>
      <c r="AC18" s="232"/>
      <c r="AD18" s="10">
        <f>((((J18/I18))^(1/8))-1)*100</f>
        <v>2.3051875220462925</v>
      </c>
      <c r="AE18" s="10">
        <f>((((U18/J18))^(1/11))-1)*100</f>
        <v>1.8410206695779641</v>
      </c>
      <c r="AF18" s="10">
        <f t="shared" si="0"/>
        <v>1.6576037379379072</v>
      </c>
      <c r="AG18" s="10">
        <f t="shared" si="1"/>
        <v>0.63704573923339947</v>
      </c>
      <c r="AH18" s="25"/>
      <c r="AI18" s="10">
        <f t="shared" si="2"/>
        <v>53.333333333333321</v>
      </c>
      <c r="AL18" s="972" t="s">
        <v>1886</v>
      </c>
      <c r="AM18" s="41">
        <v>14</v>
      </c>
      <c r="AN18" s="330">
        <v>20</v>
      </c>
      <c r="AO18" s="232">
        <v>29</v>
      </c>
      <c r="AP18" s="232">
        <v>30</v>
      </c>
      <c r="AQ18" s="232">
        <v>27</v>
      </c>
      <c r="AR18" s="232">
        <v>32</v>
      </c>
      <c r="AS18" s="232">
        <v>34</v>
      </c>
      <c r="AT18" s="232">
        <v>31</v>
      </c>
      <c r="AU18" s="232">
        <v>35</v>
      </c>
      <c r="AV18" s="232">
        <v>40</v>
      </c>
      <c r="AW18" s="232">
        <v>31</v>
      </c>
      <c r="AX18" s="232">
        <v>32</v>
      </c>
      <c r="AY18" s="232">
        <v>27</v>
      </c>
      <c r="AZ18" s="232">
        <v>29</v>
      </c>
      <c r="BA18" s="232">
        <v>42</v>
      </c>
      <c r="BB18" s="232">
        <v>40</v>
      </c>
      <c r="BC18" s="232">
        <v>32</v>
      </c>
      <c r="BD18" s="232">
        <v>44</v>
      </c>
      <c r="BE18" s="232">
        <v>42</v>
      </c>
      <c r="BF18" s="41">
        <v>36</v>
      </c>
    </row>
    <row r="19" spans="1:58" s="972" customFormat="1">
      <c r="H19" s="2"/>
      <c r="I19" s="11"/>
      <c r="J19" s="331"/>
      <c r="K19" s="10"/>
      <c r="L19" s="10"/>
      <c r="M19" s="10"/>
      <c r="N19" s="10"/>
      <c r="O19" s="10"/>
      <c r="P19" s="10"/>
      <c r="Q19" s="10"/>
      <c r="R19" s="10"/>
      <c r="S19" s="10"/>
      <c r="T19" s="10"/>
      <c r="U19" s="10"/>
      <c r="V19" s="10"/>
      <c r="W19" s="10"/>
      <c r="X19" s="10"/>
      <c r="Y19" s="10"/>
      <c r="Z19" s="10"/>
      <c r="AA19" s="25"/>
      <c r="AB19" s="10"/>
      <c r="AC19" s="232"/>
      <c r="AD19" s="10"/>
      <c r="AE19" s="10"/>
      <c r="AF19" s="10"/>
      <c r="AG19" s="10"/>
      <c r="AH19" s="25"/>
      <c r="AI19" s="10"/>
      <c r="AM19" s="41"/>
      <c r="AN19" s="330"/>
      <c r="AO19" s="232"/>
      <c r="AP19" s="232"/>
      <c r="AQ19" s="232"/>
      <c r="AR19" s="232"/>
      <c r="AS19" s="232"/>
      <c r="AT19" s="232"/>
      <c r="AU19" s="232"/>
      <c r="AV19" s="232"/>
      <c r="AW19" s="232"/>
      <c r="AX19" s="232"/>
      <c r="AY19" s="232"/>
      <c r="AZ19" s="232"/>
      <c r="BA19" s="232"/>
      <c r="BB19" s="232"/>
      <c r="BC19" s="232"/>
      <c r="BD19" s="232"/>
      <c r="BE19" s="232"/>
      <c r="BF19" s="232"/>
    </row>
    <row r="20" spans="1:58" s="972" customFormat="1">
      <c r="D20" s="128" t="s">
        <v>619</v>
      </c>
      <c r="H20" s="2"/>
      <c r="I20" s="11">
        <v>7.2</v>
      </c>
      <c r="J20" s="331">
        <v>6.4</v>
      </c>
      <c r="K20" s="10">
        <v>7.2</v>
      </c>
      <c r="L20" s="10">
        <v>8.3000000000000007</v>
      </c>
      <c r="M20" s="10">
        <v>7.8</v>
      </c>
      <c r="N20" s="10">
        <v>9.5</v>
      </c>
      <c r="O20" s="10">
        <v>9.6</v>
      </c>
      <c r="P20" s="10">
        <v>10.5</v>
      </c>
      <c r="Q20" s="10">
        <v>10.3</v>
      </c>
      <c r="R20" s="10">
        <v>10.4</v>
      </c>
      <c r="S20" s="10">
        <v>8.6</v>
      </c>
      <c r="T20" s="10">
        <v>8.1999999999999993</v>
      </c>
      <c r="U20" s="10">
        <v>8.3000000000000007</v>
      </c>
      <c r="V20" s="10">
        <v>6.9</v>
      </c>
      <c r="W20" s="10">
        <v>6.6</v>
      </c>
      <c r="X20" s="10">
        <v>6.8</v>
      </c>
      <c r="Y20" s="10">
        <v>6.9</v>
      </c>
      <c r="Z20" s="10">
        <v>6.7</v>
      </c>
      <c r="AA20" s="25">
        <v>6.6</v>
      </c>
      <c r="AB20" s="25">
        <v>5.0999999999999996</v>
      </c>
      <c r="AC20" s="232"/>
      <c r="AD20" s="10">
        <f>((((J20/I20))^(1/8))-1)*100</f>
        <v>-1.4615027811644143</v>
      </c>
      <c r="AE20" s="10">
        <f>((((U20/J20))^(1/11))-1)*100</f>
        <v>2.3913962633393515</v>
      </c>
      <c r="AF20" s="10">
        <f t="shared" si="0"/>
        <v>-1.3175528339082532</v>
      </c>
      <c r="AG20" s="10">
        <f t="shared" si="1"/>
        <v>-6.7208492621737115</v>
      </c>
      <c r="AH20" s="25"/>
      <c r="AI20" s="10">
        <f t="shared" si="2"/>
        <v>-29.166666666666675</v>
      </c>
      <c r="AL20" s="972" t="s">
        <v>1887</v>
      </c>
      <c r="AM20" s="41">
        <v>220</v>
      </c>
      <c r="AN20" s="330">
        <v>194</v>
      </c>
      <c r="AO20" s="232">
        <v>218</v>
      </c>
      <c r="AP20" s="232">
        <v>252</v>
      </c>
      <c r="AQ20" s="232">
        <v>238</v>
      </c>
      <c r="AR20" s="232">
        <v>287</v>
      </c>
      <c r="AS20" s="232">
        <v>293</v>
      </c>
      <c r="AT20" s="232">
        <v>325</v>
      </c>
      <c r="AU20" s="232">
        <v>317</v>
      </c>
      <c r="AV20" s="232">
        <v>321</v>
      </c>
      <c r="AW20" s="232">
        <v>260</v>
      </c>
      <c r="AX20" s="232">
        <v>248</v>
      </c>
      <c r="AY20" s="232">
        <v>253</v>
      </c>
      <c r="AZ20" s="232">
        <v>209</v>
      </c>
      <c r="BA20" s="232">
        <v>199</v>
      </c>
      <c r="BB20" s="232">
        <v>202</v>
      </c>
      <c r="BC20" s="232">
        <v>203</v>
      </c>
      <c r="BD20" s="232">
        <v>198</v>
      </c>
      <c r="BE20" s="232">
        <v>195</v>
      </c>
      <c r="BF20" s="41">
        <v>146</v>
      </c>
    </row>
    <row r="21" spans="1:58" s="972" customFormat="1">
      <c r="D21" s="972" t="s">
        <v>613</v>
      </c>
      <c r="H21" s="2"/>
      <c r="I21" s="11">
        <v>83.1</v>
      </c>
      <c r="J21" s="331">
        <v>81.099999999999994</v>
      </c>
      <c r="K21" s="10">
        <v>75.5</v>
      </c>
      <c r="L21" s="10">
        <v>77.900000000000006</v>
      </c>
      <c r="M21" s="10">
        <v>77.2</v>
      </c>
      <c r="N21" s="10">
        <v>77.5</v>
      </c>
      <c r="O21" s="10">
        <v>78.3</v>
      </c>
      <c r="P21" s="10">
        <v>81.900000000000006</v>
      </c>
      <c r="Q21" s="10">
        <v>77.2</v>
      </c>
      <c r="R21" s="10">
        <v>75.7</v>
      </c>
      <c r="S21" s="10">
        <v>78.3</v>
      </c>
      <c r="T21" s="10">
        <v>78.3</v>
      </c>
      <c r="U21" s="10">
        <v>83.9</v>
      </c>
      <c r="V21" s="10">
        <v>74.400000000000006</v>
      </c>
      <c r="W21" s="10">
        <v>73.3</v>
      </c>
      <c r="X21" s="10">
        <v>82</v>
      </c>
      <c r="Y21" s="10">
        <v>79.5</v>
      </c>
      <c r="Z21" s="10">
        <v>83.9</v>
      </c>
      <c r="AA21" s="25">
        <v>82</v>
      </c>
      <c r="AB21" s="25">
        <v>68.2</v>
      </c>
      <c r="AC21" s="232"/>
      <c r="AD21" s="10">
        <f>((((J21/I21))^(1/8))-1)*100</f>
        <v>-0.30405856203921111</v>
      </c>
      <c r="AE21" s="10">
        <f>((((U21/J21))^(1/11))-1)*100</f>
        <v>0.3090461327754479</v>
      </c>
      <c r="AF21" s="10">
        <f t="shared" si="0"/>
        <v>-0.75711982536624811</v>
      </c>
      <c r="AG21" s="10">
        <f t="shared" si="1"/>
        <v>-2.9163582211887196</v>
      </c>
      <c r="AH21" s="25"/>
      <c r="AI21" s="10">
        <f t="shared" si="2"/>
        <v>-17.930204572803842</v>
      </c>
      <c r="AL21" s="972" t="s">
        <v>1888</v>
      </c>
      <c r="AM21" s="41">
        <v>32</v>
      </c>
      <c r="AN21" s="330">
        <v>30</v>
      </c>
      <c r="AO21" s="232">
        <v>32</v>
      </c>
      <c r="AP21" s="232">
        <v>49</v>
      </c>
      <c r="AQ21" s="232">
        <v>47</v>
      </c>
      <c r="AR21" s="232">
        <v>77</v>
      </c>
      <c r="AS21" s="232">
        <v>83</v>
      </c>
      <c r="AT21" s="232">
        <v>73</v>
      </c>
      <c r="AU21" s="232">
        <v>79</v>
      </c>
      <c r="AV21" s="232">
        <v>75</v>
      </c>
      <c r="AW21" s="232">
        <v>69</v>
      </c>
      <c r="AX21" s="232">
        <v>52</v>
      </c>
      <c r="AY21" s="232">
        <v>54</v>
      </c>
      <c r="AZ21" s="232">
        <v>48</v>
      </c>
      <c r="BA21" s="232">
        <v>39</v>
      </c>
      <c r="BB21" s="232">
        <v>41</v>
      </c>
      <c r="BC21" s="232">
        <v>34</v>
      </c>
      <c r="BD21" s="232">
        <v>43</v>
      </c>
      <c r="BE21" s="232">
        <v>36</v>
      </c>
      <c r="BF21" s="41">
        <v>20</v>
      </c>
    </row>
    <row r="22" spans="1:58" s="972" customFormat="1">
      <c r="D22" s="972" t="s">
        <v>620</v>
      </c>
      <c r="H22" s="2"/>
      <c r="I22" s="11">
        <v>13.7</v>
      </c>
      <c r="J22" s="331">
        <v>14.6</v>
      </c>
      <c r="K22" s="10">
        <v>16.600000000000001</v>
      </c>
      <c r="L22" s="10">
        <v>18.399999999999999</v>
      </c>
      <c r="M22" s="10">
        <v>14.8</v>
      </c>
      <c r="N22" s="10">
        <v>17.8</v>
      </c>
      <c r="O22" s="10">
        <v>18</v>
      </c>
      <c r="P22" s="10">
        <v>21.3</v>
      </c>
      <c r="Q22" s="10">
        <v>21.3</v>
      </c>
      <c r="R22" s="10">
        <v>22.5</v>
      </c>
      <c r="S22" s="10">
        <v>19.7</v>
      </c>
      <c r="T22" s="10">
        <v>20.6</v>
      </c>
      <c r="U22" s="10">
        <v>22.3</v>
      </c>
      <c r="V22" s="10">
        <v>20.399999999999999</v>
      </c>
      <c r="W22" s="10">
        <v>16.2</v>
      </c>
      <c r="X22" s="10">
        <v>16.7</v>
      </c>
      <c r="Y22" s="10">
        <v>18.600000000000001</v>
      </c>
      <c r="Z22" s="10">
        <v>16.2</v>
      </c>
      <c r="AA22" s="25">
        <v>19.7</v>
      </c>
      <c r="AB22" s="25">
        <v>18.899999999999999</v>
      </c>
      <c r="AC22" s="232"/>
      <c r="AD22" s="10">
        <f>((((J22/I22))^(1/8))-1)*100</f>
        <v>0.79849227872965667</v>
      </c>
      <c r="AE22" s="10">
        <f>((((U22/J22))^(1/11))-1)*100</f>
        <v>3.9256883551392896</v>
      </c>
      <c r="AF22" s="10">
        <f t="shared" si="0"/>
        <v>1.2452513666856513</v>
      </c>
      <c r="AG22" s="10">
        <f t="shared" si="1"/>
        <v>-2.335505652006642</v>
      </c>
      <c r="AH22" s="25"/>
      <c r="AI22" s="10">
        <f t="shared" si="2"/>
        <v>37.956204379562038</v>
      </c>
      <c r="AL22" s="972" t="s">
        <v>1889</v>
      </c>
      <c r="AM22" s="41">
        <v>119</v>
      </c>
      <c r="AN22" s="330">
        <v>83</v>
      </c>
      <c r="AO22" s="232">
        <v>96</v>
      </c>
      <c r="AP22" s="232">
        <v>110</v>
      </c>
      <c r="AQ22" s="232">
        <v>90</v>
      </c>
      <c r="AR22" s="232">
        <v>108</v>
      </c>
      <c r="AS22" s="232">
        <v>112</v>
      </c>
      <c r="AT22" s="232">
        <v>134</v>
      </c>
      <c r="AU22" s="232">
        <v>131</v>
      </c>
      <c r="AV22" s="232">
        <v>130</v>
      </c>
      <c r="AW22" s="232">
        <v>103</v>
      </c>
      <c r="AX22" s="232">
        <v>108</v>
      </c>
      <c r="AY22" s="232">
        <v>115</v>
      </c>
      <c r="AZ22" s="232">
        <v>97</v>
      </c>
      <c r="BA22" s="232">
        <v>79</v>
      </c>
      <c r="BB22" s="232">
        <v>75</v>
      </c>
      <c r="BC22" s="232">
        <v>82</v>
      </c>
      <c r="BD22" s="232">
        <v>78</v>
      </c>
      <c r="BE22" s="232">
        <v>84</v>
      </c>
      <c r="BF22" s="41">
        <v>79</v>
      </c>
    </row>
    <row r="23" spans="1:58" s="972" customFormat="1">
      <c r="D23" s="972" t="s">
        <v>615</v>
      </c>
      <c r="H23" s="2"/>
      <c r="I23" s="11">
        <v>3.6</v>
      </c>
      <c r="J23" s="331">
        <v>4</v>
      </c>
      <c r="K23" s="10">
        <v>4.4000000000000004</v>
      </c>
      <c r="L23" s="10">
        <v>4.5</v>
      </c>
      <c r="M23" s="10">
        <v>4.0999999999999996</v>
      </c>
      <c r="N23" s="10">
        <v>5</v>
      </c>
      <c r="O23" s="10">
        <v>4.7</v>
      </c>
      <c r="P23" s="10">
        <v>5.6</v>
      </c>
      <c r="Q23" s="10">
        <v>5</v>
      </c>
      <c r="R23" s="10">
        <v>5.5</v>
      </c>
      <c r="S23" s="10">
        <v>4.2</v>
      </c>
      <c r="T23" s="10">
        <v>4</v>
      </c>
      <c r="U23" s="10">
        <v>4.0999999999999996</v>
      </c>
      <c r="V23" s="10">
        <v>3.1</v>
      </c>
      <c r="W23" s="10">
        <v>3.9</v>
      </c>
      <c r="X23" s="10">
        <v>3.6</v>
      </c>
      <c r="Y23" s="10">
        <v>3.8</v>
      </c>
      <c r="Z23" s="10">
        <v>3.7</v>
      </c>
      <c r="AA23" s="25">
        <v>3.6</v>
      </c>
      <c r="AB23" s="25">
        <v>2.2999999999999998</v>
      </c>
      <c r="AC23" s="232"/>
      <c r="AD23" s="10">
        <f>((((J23/I23))^(1/8))-1)*100</f>
        <v>1.3257171738912943</v>
      </c>
      <c r="AE23" s="10">
        <f>((((U23/J23))^(1/11))-1)*100</f>
        <v>0.22473043743569399</v>
      </c>
      <c r="AF23" s="10">
        <f t="shared" si="0"/>
        <v>-1.7084103122726568</v>
      </c>
      <c r="AG23" s="10">
        <f t="shared" si="1"/>
        <v>-7.9264572092000325</v>
      </c>
      <c r="AH23" s="25"/>
      <c r="AI23" s="10">
        <f t="shared" si="2"/>
        <v>-36.111111111111114</v>
      </c>
      <c r="AL23" s="972" t="s">
        <v>1890</v>
      </c>
      <c r="AM23" s="41">
        <v>54</v>
      </c>
      <c r="AN23" s="330">
        <v>71</v>
      </c>
      <c r="AO23" s="232">
        <v>77</v>
      </c>
      <c r="AP23" s="232">
        <v>78</v>
      </c>
      <c r="AQ23" s="232">
        <v>72</v>
      </c>
      <c r="AR23" s="232">
        <v>89</v>
      </c>
      <c r="AS23" s="232">
        <v>84</v>
      </c>
      <c r="AT23" s="232">
        <v>101</v>
      </c>
      <c r="AU23" s="232">
        <v>93</v>
      </c>
      <c r="AV23" s="232">
        <v>103</v>
      </c>
      <c r="AW23" s="232">
        <v>80</v>
      </c>
      <c r="AX23" s="232">
        <v>75</v>
      </c>
      <c r="AY23" s="232">
        <v>77</v>
      </c>
      <c r="AZ23" s="232">
        <v>58</v>
      </c>
      <c r="BA23" s="232">
        <v>71</v>
      </c>
      <c r="BB23" s="232">
        <v>68</v>
      </c>
      <c r="BC23" s="232">
        <v>71</v>
      </c>
      <c r="BD23" s="232">
        <v>67</v>
      </c>
      <c r="BE23" s="232">
        <v>68</v>
      </c>
      <c r="BF23" s="41">
        <v>43</v>
      </c>
    </row>
    <row r="24" spans="1:58" s="972" customFormat="1">
      <c r="D24" s="972" t="s">
        <v>621</v>
      </c>
      <c r="H24" s="2"/>
      <c r="I24" s="11">
        <v>2.2999999999999998</v>
      </c>
      <c r="J24" s="331">
        <v>1.5</v>
      </c>
      <c r="K24" s="10">
        <v>2</v>
      </c>
      <c r="L24" s="10">
        <v>2.4</v>
      </c>
      <c r="M24" s="10">
        <v>4.7</v>
      </c>
      <c r="N24" s="10">
        <v>2.5</v>
      </c>
      <c r="O24" s="10">
        <v>2.5</v>
      </c>
      <c r="P24" s="10">
        <v>3.1</v>
      </c>
      <c r="Q24" s="10">
        <v>2.7</v>
      </c>
      <c r="R24" s="10">
        <v>2.6</v>
      </c>
      <c r="S24" s="10">
        <v>1.5</v>
      </c>
      <c r="T24" s="10">
        <v>2.1</v>
      </c>
      <c r="U24" s="10">
        <v>1.2</v>
      </c>
      <c r="V24" s="10">
        <v>0.9</v>
      </c>
      <c r="W24" s="10">
        <v>1.5</v>
      </c>
      <c r="X24" s="10">
        <v>2.9</v>
      </c>
      <c r="Y24" s="10">
        <v>2.6</v>
      </c>
      <c r="Z24" s="10">
        <v>1.7</v>
      </c>
      <c r="AA24" s="25">
        <v>1.2</v>
      </c>
      <c r="AB24" s="25">
        <v>0.8</v>
      </c>
      <c r="AC24" s="232"/>
      <c r="AD24" s="10">
        <f>((((J24/I24))^(1/8))-1)*100</f>
        <v>-5.2028179000872861</v>
      </c>
      <c r="AE24" s="10">
        <f>((((U24/J24))^(1/11))-1)*100</f>
        <v>-2.0081405291969112</v>
      </c>
      <c r="AF24" s="10">
        <v>-3.9803579295104696</v>
      </c>
      <c r="AG24" s="10">
        <v>-5.627794256450203</v>
      </c>
      <c r="AH24" s="25"/>
      <c r="AI24" s="10">
        <v>-65.217391304347828</v>
      </c>
      <c r="AL24" s="972" t="s">
        <v>1891</v>
      </c>
      <c r="AM24" s="41">
        <v>15</v>
      </c>
      <c r="AN24" s="330">
        <v>10</v>
      </c>
      <c r="AO24" s="232">
        <v>13</v>
      </c>
      <c r="AP24" s="232">
        <v>15</v>
      </c>
      <c r="AQ24" s="232">
        <v>29</v>
      </c>
      <c r="AR24" s="232">
        <v>14</v>
      </c>
      <c r="AS24" s="232">
        <v>14</v>
      </c>
      <c r="AT24" s="232">
        <v>17</v>
      </c>
      <c r="AU24" s="232">
        <v>14</v>
      </c>
      <c r="AV24" s="232">
        <v>14</v>
      </c>
      <c r="AW24" s="232" t="s">
        <v>593</v>
      </c>
      <c r="AX24" s="232" t="s">
        <v>593</v>
      </c>
      <c r="AY24" s="232" t="s">
        <v>593</v>
      </c>
      <c r="AZ24" s="232" t="s">
        <v>593</v>
      </c>
      <c r="BA24" s="232" t="s">
        <v>593</v>
      </c>
      <c r="BB24" s="232">
        <v>17</v>
      </c>
      <c r="BC24" s="232">
        <v>16</v>
      </c>
      <c r="BD24" s="232" t="s">
        <v>593</v>
      </c>
      <c r="BE24" s="232" t="s">
        <v>593</v>
      </c>
      <c r="BF24" s="41" t="s">
        <v>593</v>
      </c>
    </row>
    <row r="25" spans="1:58" s="972" customFormat="1">
      <c r="H25" s="2"/>
      <c r="I25" s="11"/>
      <c r="J25" s="331"/>
      <c r="K25" s="10"/>
      <c r="L25" s="10"/>
      <c r="M25" s="10"/>
      <c r="N25" s="10"/>
      <c r="O25" s="10"/>
      <c r="P25" s="10"/>
      <c r="Q25" s="10"/>
      <c r="R25" s="10"/>
      <c r="S25" s="10"/>
      <c r="T25" s="10"/>
      <c r="U25" s="10"/>
      <c r="V25" s="10"/>
      <c r="W25" s="10"/>
      <c r="X25" s="10"/>
      <c r="Y25" s="10"/>
      <c r="Z25" s="10"/>
      <c r="AA25" s="25"/>
      <c r="AB25" s="10"/>
      <c r="AC25" s="232"/>
      <c r="AD25" s="10"/>
      <c r="AE25" s="10"/>
      <c r="AF25" s="10"/>
      <c r="AG25" s="10"/>
      <c r="AH25" s="25"/>
      <c r="AI25" s="10"/>
      <c r="AM25" s="41"/>
      <c r="AN25" s="330"/>
      <c r="AO25" s="232"/>
      <c r="AP25" s="232"/>
      <c r="AQ25" s="232"/>
      <c r="AR25" s="232"/>
      <c r="AS25" s="232"/>
      <c r="AT25" s="232"/>
      <c r="AU25" s="232"/>
      <c r="AV25" s="232"/>
      <c r="AW25" s="232"/>
      <c r="AX25" s="232"/>
      <c r="AY25" s="232"/>
      <c r="AZ25" s="232"/>
      <c r="BA25" s="232"/>
      <c r="BB25" s="232"/>
      <c r="BC25" s="232"/>
      <c r="BD25" s="232"/>
      <c r="BE25" s="232"/>
      <c r="BF25" s="232"/>
    </row>
    <row r="26" spans="1:58" s="972" customFormat="1">
      <c r="A26" s="4"/>
      <c r="D26" s="128" t="s">
        <v>622</v>
      </c>
      <c r="H26" s="2"/>
      <c r="I26" s="11">
        <v>2.6</v>
      </c>
      <c r="J26" s="331">
        <v>1.8</v>
      </c>
      <c r="K26" s="10">
        <v>2.8</v>
      </c>
      <c r="L26" s="10">
        <v>3.1</v>
      </c>
      <c r="M26" s="10">
        <v>4.3</v>
      </c>
      <c r="N26" s="10">
        <v>3.5</v>
      </c>
      <c r="O26" s="10">
        <v>4.5</v>
      </c>
      <c r="P26" s="10">
        <v>4.4000000000000004</v>
      </c>
      <c r="Q26" s="10">
        <v>4.3</v>
      </c>
      <c r="R26" s="10">
        <v>4.4000000000000004</v>
      </c>
      <c r="S26" s="10">
        <v>4</v>
      </c>
      <c r="T26" s="10">
        <v>3.2</v>
      </c>
      <c r="U26" s="10">
        <v>4.3</v>
      </c>
      <c r="V26" s="10">
        <v>4.5999999999999996</v>
      </c>
      <c r="W26" s="10">
        <v>4.8</v>
      </c>
      <c r="X26" s="10">
        <v>5</v>
      </c>
      <c r="Y26" s="10">
        <v>3.6</v>
      </c>
      <c r="Z26" s="10">
        <v>2.2000000000000002</v>
      </c>
      <c r="AA26" s="25">
        <v>2.4</v>
      </c>
      <c r="AB26" s="25">
        <v>1.5</v>
      </c>
      <c r="AC26" s="232"/>
      <c r="AD26" s="10">
        <f>((((J26/I26))^(1/8))-1)*100</f>
        <v>-4.4925181427974188</v>
      </c>
      <c r="AE26" s="10">
        <f>((((U26/J26))^(1/11))-1)*100</f>
        <v>8.2384214903070241</v>
      </c>
      <c r="AF26" s="10">
        <f t="shared" si="0"/>
        <v>-2.0933417797663223</v>
      </c>
      <c r="AG26" s="10">
        <f t="shared" si="1"/>
        <v>-13.967924453374536</v>
      </c>
      <c r="AH26" s="25"/>
      <c r="AI26" s="10">
        <f t="shared" si="2"/>
        <v>-42.307692307692314</v>
      </c>
      <c r="AL26" s="972" t="s">
        <v>1892</v>
      </c>
      <c r="AM26" s="41">
        <v>17</v>
      </c>
      <c r="AN26" s="330">
        <v>15</v>
      </c>
      <c r="AO26" s="232">
        <v>23</v>
      </c>
      <c r="AP26" s="232">
        <v>27</v>
      </c>
      <c r="AQ26" s="232">
        <v>36</v>
      </c>
      <c r="AR26" s="232">
        <v>30</v>
      </c>
      <c r="AS26" s="232">
        <v>40</v>
      </c>
      <c r="AT26" s="232">
        <v>39</v>
      </c>
      <c r="AU26" s="232">
        <v>37</v>
      </c>
      <c r="AV26" s="232">
        <v>38</v>
      </c>
      <c r="AW26" s="232">
        <v>34</v>
      </c>
      <c r="AX26" s="232">
        <v>27</v>
      </c>
      <c r="AY26" s="232">
        <v>38</v>
      </c>
      <c r="AZ26" s="232">
        <v>41</v>
      </c>
      <c r="BA26" s="232">
        <v>43</v>
      </c>
      <c r="BB26" s="232">
        <v>47</v>
      </c>
      <c r="BC26" s="232">
        <v>34</v>
      </c>
      <c r="BD26" s="232">
        <v>21</v>
      </c>
      <c r="BE26" s="232">
        <v>23</v>
      </c>
      <c r="BF26" s="41">
        <v>14</v>
      </c>
    </row>
    <row r="27" spans="1:58" s="114" customFormat="1">
      <c r="A27" s="4"/>
      <c r="B27" s="972"/>
      <c r="C27" s="972"/>
      <c r="D27" s="972"/>
      <c r="E27" s="972"/>
      <c r="F27" s="972"/>
      <c r="G27" s="972"/>
      <c r="H27" s="2"/>
      <c r="I27" s="11"/>
      <c r="J27" s="331"/>
      <c r="K27" s="10"/>
      <c r="L27" s="10"/>
      <c r="M27" s="10"/>
      <c r="N27" s="10"/>
      <c r="O27" s="10"/>
      <c r="P27" s="10"/>
      <c r="Q27" s="10"/>
      <c r="R27" s="10"/>
      <c r="S27" s="10"/>
      <c r="T27" s="10"/>
      <c r="U27" s="10"/>
      <c r="V27" s="10"/>
      <c r="W27" s="10"/>
      <c r="X27" s="10"/>
      <c r="Y27" s="10"/>
      <c r="Z27" s="10"/>
      <c r="AA27" s="25"/>
      <c r="AB27" s="10"/>
      <c r="AC27" s="232"/>
      <c r="AD27" s="10"/>
      <c r="AE27" s="10"/>
      <c r="AF27" s="10"/>
      <c r="AG27" s="10"/>
      <c r="AH27" s="25"/>
      <c r="AI27" s="10"/>
      <c r="AL27" s="972"/>
      <c r="AM27" s="41"/>
      <c r="AN27" s="330"/>
      <c r="AO27" s="232"/>
      <c r="AP27" s="232"/>
      <c r="AQ27" s="232"/>
      <c r="AR27" s="232"/>
      <c r="AS27" s="232"/>
      <c r="AT27" s="232"/>
      <c r="AU27" s="232"/>
      <c r="AV27" s="232"/>
      <c r="AW27" s="232"/>
      <c r="AX27" s="232"/>
      <c r="AY27" s="232"/>
      <c r="AZ27" s="232"/>
      <c r="BA27" s="232"/>
      <c r="BB27" s="232"/>
      <c r="BC27" s="232"/>
      <c r="BD27" s="232"/>
      <c r="BE27" s="232"/>
      <c r="BF27" s="232"/>
    </row>
    <row r="28" spans="1:58" s="114" customFormat="1">
      <c r="A28" s="4"/>
      <c r="B28" s="972"/>
      <c r="C28" s="972"/>
      <c r="D28" s="128" t="s">
        <v>623</v>
      </c>
      <c r="E28" s="972"/>
      <c r="F28" s="972"/>
      <c r="G28" s="972"/>
      <c r="H28" s="2"/>
      <c r="I28" s="11">
        <v>39.5</v>
      </c>
      <c r="J28" s="331">
        <v>37.9</v>
      </c>
      <c r="K28" s="10">
        <v>43.5</v>
      </c>
      <c r="L28" s="10">
        <v>44.7</v>
      </c>
      <c r="M28" s="10">
        <v>42</v>
      </c>
      <c r="N28" s="10">
        <v>42.5</v>
      </c>
      <c r="O28" s="10">
        <v>41.9</v>
      </c>
      <c r="P28" s="10">
        <v>42.7</v>
      </c>
      <c r="Q28" s="10">
        <v>48.5</v>
      </c>
      <c r="R28" s="10">
        <v>43.6</v>
      </c>
      <c r="S28" s="10">
        <v>39</v>
      </c>
      <c r="T28" s="10">
        <v>36.1</v>
      </c>
      <c r="U28" s="10">
        <v>32.299999999999997</v>
      </c>
      <c r="V28" s="10">
        <v>30.1</v>
      </c>
      <c r="W28" s="10">
        <v>34.200000000000003</v>
      </c>
      <c r="X28" s="10">
        <v>34.200000000000003</v>
      </c>
      <c r="Y28" s="10">
        <v>32.1</v>
      </c>
      <c r="Z28" s="10">
        <v>25.9</v>
      </c>
      <c r="AA28" s="25">
        <v>24.3</v>
      </c>
      <c r="AB28" s="25">
        <v>21.3</v>
      </c>
      <c r="AC28" s="232"/>
      <c r="AD28" s="10">
        <f t="shared" ref="AD28:AD32" si="8">((((J28/I28))^(1/8))-1)*100</f>
        <v>-0.51553602577109059</v>
      </c>
      <c r="AE28" s="10">
        <f t="shared" ref="AE28:AE33" si="9">((((U28/J28))^(1/11))-1)*100</f>
        <v>-1.4429776643264725</v>
      </c>
      <c r="AF28" s="10">
        <f t="shared" si="0"/>
        <v>-2.3473703773815635</v>
      </c>
      <c r="AG28" s="10">
        <f t="shared" si="1"/>
        <v>-5.7745642712154099</v>
      </c>
      <c r="AH28" s="25"/>
      <c r="AI28" s="10">
        <f t="shared" si="2"/>
        <v>-46.075949367088612</v>
      </c>
      <c r="AL28" s="972" t="s">
        <v>1893</v>
      </c>
      <c r="AM28" s="41">
        <v>170</v>
      </c>
      <c r="AN28" s="330">
        <v>195</v>
      </c>
      <c r="AO28" s="232">
        <v>251</v>
      </c>
      <c r="AP28" s="232">
        <v>261</v>
      </c>
      <c r="AQ28" s="232">
        <v>285</v>
      </c>
      <c r="AR28" s="232">
        <v>292</v>
      </c>
      <c r="AS28" s="232">
        <v>272</v>
      </c>
      <c r="AT28" s="232">
        <v>281</v>
      </c>
      <c r="AU28" s="232">
        <v>334</v>
      </c>
      <c r="AV28" s="232">
        <v>300</v>
      </c>
      <c r="AW28" s="232">
        <v>271</v>
      </c>
      <c r="AX28" s="232">
        <v>246</v>
      </c>
      <c r="AY28" s="232">
        <v>219</v>
      </c>
      <c r="AZ28" s="232">
        <v>200</v>
      </c>
      <c r="BA28" s="232">
        <v>231</v>
      </c>
      <c r="BB28" s="232">
        <v>226</v>
      </c>
      <c r="BC28" s="232">
        <v>216</v>
      </c>
      <c r="BD28" s="232">
        <v>184</v>
      </c>
      <c r="BE28" s="232">
        <v>171</v>
      </c>
      <c r="BF28" s="41">
        <v>149</v>
      </c>
    </row>
    <row r="29" spans="1:58" s="114" customFormat="1">
      <c r="A29" s="4"/>
      <c r="B29" s="972"/>
      <c r="C29" s="972"/>
      <c r="D29" s="972" t="s">
        <v>624</v>
      </c>
      <c r="E29" s="972"/>
      <c r="F29" s="972"/>
      <c r="G29" s="972"/>
      <c r="H29" s="2"/>
      <c r="I29" s="11">
        <v>11.5</v>
      </c>
      <c r="J29" s="331">
        <v>11.4</v>
      </c>
      <c r="K29" s="10">
        <v>18.399999999999999</v>
      </c>
      <c r="L29" s="10">
        <v>20.3</v>
      </c>
      <c r="M29" s="10">
        <v>13</v>
      </c>
      <c r="N29" s="10">
        <v>22.1</v>
      </c>
      <c r="O29" s="10">
        <v>26.5</v>
      </c>
      <c r="P29" s="10">
        <v>21.9</v>
      </c>
      <c r="Q29" s="10">
        <v>25.2</v>
      </c>
      <c r="R29" s="10">
        <v>19</v>
      </c>
      <c r="S29" s="10">
        <v>16.8</v>
      </c>
      <c r="T29" s="10">
        <v>18.100000000000001</v>
      </c>
      <c r="U29" s="10">
        <v>12.3</v>
      </c>
      <c r="V29" s="10">
        <v>12.3</v>
      </c>
      <c r="W29" s="10">
        <v>12.2</v>
      </c>
      <c r="X29" s="10">
        <v>12.8</v>
      </c>
      <c r="Y29" s="10">
        <v>14.4</v>
      </c>
      <c r="Z29" s="10">
        <v>11.6</v>
      </c>
      <c r="AA29" s="25">
        <v>7.2</v>
      </c>
      <c r="AB29" s="25">
        <v>10.8</v>
      </c>
      <c r="AC29" s="232"/>
      <c r="AD29" s="10">
        <f t="shared" si="8"/>
        <v>-0.10911142975329469</v>
      </c>
      <c r="AE29" s="10">
        <f t="shared" si="9"/>
        <v>0.69317236754928846</v>
      </c>
      <c r="AF29" s="10">
        <f t="shared" si="0"/>
        <v>-0.24125045005548573</v>
      </c>
      <c r="AG29" s="10">
        <f t="shared" si="1"/>
        <v>-1.8407492264804981</v>
      </c>
      <c r="AH29" s="25"/>
      <c r="AI29" s="10">
        <f t="shared" si="2"/>
        <v>-6.086956521739129</v>
      </c>
      <c r="AL29" s="972" t="s">
        <v>1894</v>
      </c>
      <c r="AM29" s="41">
        <v>7</v>
      </c>
      <c r="AN29" s="330">
        <v>7</v>
      </c>
      <c r="AO29" s="232">
        <v>16</v>
      </c>
      <c r="AP29" s="232">
        <v>15</v>
      </c>
      <c r="AQ29" s="232">
        <v>10</v>
      </c>
      <c r="AR29" s="232">
        <v>21</v>
      </c>
      <c r="AS29" s="232">
        <v>25</v>
      </c>
      <c r="AT29" s="232">
        <v>20</v>
      </c>
      <c r="AU29" s="232">
        <v>23</v>
      </c>
      <c r="AV29" s="232">
        <v>19</v>
      </c>
      <c r="AW29" s="232">
        <v>18</v>
      </c>
      <c r="AX29" s="232">
        <v>19</v>
      </c>
      <c r="AY29" s="232">
        <v>14</v>
      </c>
      <c r="AZ29" s="232">
        <v>14</v>
      </c>
      <c r="BA29" s="232">
        <v>16</v>
      </c>
      <c r="BB29" s="232">
        <v>16</v>
      </c>
      <c r="BC29" s="232">
        <v>18</v>
      </c>
      <c r="BD29" s="232">
        <v>15</v>
      </c>
      <c r="BE29" s="232">
        <v>9</v>
      </c>
      <c r="BF29" s="41">
        <v>14</v>
      </c>
    </row>
    <row r="30" spans="1:58" s="114" customFormat="1">
      <c r="A30" s="4"/>
      <c r="B30" s="972"/>
      <c r="C30" s="972"/>
      <c r="D30" s="972" t="s">
        <v>625</v>
      </c>
      <c r="E30" s="972"/>
      <c r="F30" s="972"/>
      <c r="G30" s="972"/>
      <c r="H30" s="2"/>
      <c r="I30" s="11">
        <v>44.6</v>
      </c>
      <c r="J30" s="331">
        <v>41.4</v>
      </c>
      <c r="K30" s="10">
        <v>47.8</v>
      </c>
      <c r="L30" s="10">
        <v>48.2</v>
      </c>
      <c r="M30" s="10">
        <v>45.8</v>
      </c>
      <c r="N30" s="10">
        <v>45.8</v>
      </c>
      <c r="O30" s="10">
        <v>44.5</v>
      </c>
      <c r="P30" s="10">
        <v>46</v>
      </c>
      <c r="Q30" s="10">
        <v>52.1</v>
      </c>
      <c r="R30" s="10">
        <v>47.7</v>
      </c>
      <c r="S30" s="10">
        <v>42.9</v>
      </c>
      <c r="T30" s="10">
        <v>39.4</v>
      </c>
      <c r="U30" s="10">
        <v>36.299999999999997</v>
      </c>
      <c r="V30" s="10">
        <v>33.799999999999997</v>
      </c>
      <c r="W30" s="10">
        <v>39.4</v>
      </c>
      <c r="X30" s="10">
        <v>39</v>
      </c>
      <c r="Y30" s="10">
        <v>36</v>
      </c>
      <c r="Z30" s="10">
        <v>29.1</v>
      </c>
      <c r="AA30" s="25">
        <v>28.2</v>
      </c>
      <c r="AB30" s="25">
        <v>23.6</v>
      </c>
      <c r="AC30" s="232"/>
      <c r="AD30" s="10">
        <f t="shared" si="8"/>
        <v>-0.92634496993531101</v>
      </c>
      <c r="AE30" s="10">
        <f t="shared" si="9"/>
        <v>-1.1880062632717681</v>
      </c>
      <c r="AF30" s="10">
        <f t="shared" si="0"/>
        <v>-2.4183063169545549</v>
      </c>
      <c r="AG30" s="10">
        <f t="shared" si="1"/>
        <v>-5.9656596005640106</v>
      </c>
      <c r="AH30" s="25"/>
      <c r="AI30" s="10">
        <f t="shared" si="2"/>
        <v>-47.085201793721978</v>
      </c>
      <c r="AL30" s="972" t="s">
        <v>1895</v>
      </c>
      <c r="AM30" s="41">
        <v>162</v>
      </c>
      <c r="AN30" s="330">
        <v>188</v>
      </c>
      <c r="AO30" s="232">
        <v>235</v>
      </c>
      <c r="AP30" s="232">
        <v>246</v>
      </c>
      <c r="AQ30" s="232">
        <v>275</v>
      </c>
      <c r="AR30" s="232">
        <v>270</v>
      </c>
      <c r="AS30" s="232">
        <v>247</v>
      </c>
      <c r="AT30" s="232">
        <v>261</v>
      </c>
      <c r="AU30" s="232">
        <v>311</v>
      </c>
      <c r="AV30" s="232">
        <v>282</v>
      </c>
      <c r="AW30" s="232">
        <v>253</v>
      </c>
      <c r="AX30" s="232">
        <v>227</v>
      </c>
      <c r="AY30" s="232">
        <v>205</v>
      </c>
      <c r="AZ30" s="232">
        <v>186</v>
      </c>
      <c r="BA30" s="232">
        <v>216</v>
      </c>
      <c r="BB30" s="232">
        <v>211</v>
      </c>
      <c r="BC30" s="232">
        <v>198</v>
      </c>
      <c r="BD30" s="232">
        <v>169</v>
      </c>
      <c r="BE30" s="232">
        <v>162</v>
      </c>
      <c r="BF30" s="41">
        <v>135</v>
      </c>
    </row>
    <row r="31" spans="1:58" s="114" customFormat="1">
      <c r="A31" s="4"/>
      <c r="B31" s="972"/>
      <c r="C31" s="972"/>
      <c r="D31" s="972"/>
      <c r="E31" s="972" t="s">
        <v>613</v>
      </c>
      <c r="F31" s="972"/>
      <c r="G31" s="972"/>
      <c r="H31" s="2"/>
      <c r="I31" s="11">
        <v>92.3</v>
      </c>
      <c r="J31" s="331">
        <v>86.4</v>
      </c>
      <c r="K31" s="10">
        <v>85.9</v>
      </c>
      <c r="L31" s="10">
        <v>81.8</v>
      </c>
      <c r="M31" s="10">
        <v>80.3</v>
      </c>
      <c r="N31" s="10">
        <v>77.2</v>
      </c>
      <c r="O31" s="10">
        <v>78.900000000000006</v>
      </c>
      <c r="P31" s="10">
        <v>81.099999999999994</v>
      </c>
      <c r="Q31" s="10">
        <v>88.3</v>
      </c>
      <c r="R31" s="10">
        <v>88.3</v>
      </c>
      <c r="S31" s="10">
        <v>84.5</v>
      </c>
      <c r="T31" s="10">
        <v>86.8</v>
      </c>
      <c r="U31" s="10">
        <v>88.3</v>
      </c>
      <c r="V31" s="10">
        <v>88</v>
      </c>
      <c r="W31" s="10">
        <v>84.4</v>
      </c>
      <c r="X31" s="10">
        <v>86.3</v>
      </c>
      <c r="Y31" s="10">
        <v>78.2</v>
      </c>
      <c r="Z31" s="10">
        <v>82.1</v>
      </c>
      <c r="AA31" s="25">
        <v>80.8</v>
      </c>
      <c r="AB31" s="25">
        <v>75.099999999999994</v>
      </c>
      <c r="AC31" s="232"/>
      <c r="AD31" s="10">
        <f t="shared" si="8"/>
        <v>-0.82230623401683411</v>
      </c>
      <c r="AE31" s="10">
        <f t="shared" si="9"/>
        <v>0.1979450330318766</v>
      </c>
      <c r="AF31" s="10">
        <f t="shared" si="0"/>
        <v>-0.79003035159848078</v>
      </c>
      <c r="AG31" s="10">
        <f t="shared" si="1"/>
        <v>-2.2865885021176924</v>
      </c>
      <c r="AH31" s="25"/>
      <c r="AI31" s="10">
        <f t="shared" si="2"/>
        <v>-18.634886240520043</v>
      </c>
      <c r="AL31" s="972" t="s">
        <v>1896</v>
      </c>
      <c r="AM31" s="41">
        <v>89</v>
      </c>
      <c r="AN31" s="330">
        <v>99</v>
      </c>
      <c r="AO31" s="232">
        <v>116</v>
      </c>
      <c r="AP31" s="232">
        <v>140</v>
      </c>
      <c r="AQ31" s="232">
        <v>169</v>
      </c>
      <c r="AR31" s="232">
        <v>164</v>
      </c>
      <c r="AS31" s="232">
        <v>155</v>
      </c>
      <c r="AT31" s="232">
        <v>158</v>
      </c>
      <c r="AU31" s="232">
        <v>190</v>
      </c>
      <c r="AV31" s="232">
        <v>165</v>
      </c>
      <c r="AW31" s="232">
        <v>132</v>
      </c>
      <c r="AX31" s="232">
        <v>126</v>
      </c>
      <c r="AY31" s="232">
        <v>100</v>
      </c>
      <c r="AZ31" s="232">
        <v>98</v>
      </c>
      <c r="BA31" s="232">
        <v>98</v>
      </c>
      <c r="BB31" s="232">
        <v>84</v>
      </c>
      <c r="BC31" s="232">
        <v>73</v>
      </c>
      <c r="BD31" s="232">
        <v>75</v>
      </c>
      <c r="BE31" s="232">
        <v>78</v>
      </c>
      <c r="BF31" s="41">
        <v>71</v>
      </c>
    </row>
    <row r="32" spans="1:58" s="114" customFormat="1">
      <c r="A32" s="4"/>
      <c r="B32" s="972"/>
      <c r="C32" s="972"/>
      <c r="D32" s="972"/>
      <c r="E32" s="972" t="s">
        <v>620</v>
      </c>
      <c r="F32" s="972"/>
      <c r="G32" s="972"/>
      <c r="H32" s="2"/>
      <c r="I32" s="11">
        <v>33.700000000000003</v>
      </c>
      <c r="J32" s="331">
        <v>32.700000000000003</v>
      </c>
      <c r="K32" s="10">
        <v>39</v>
      </c>
      <c r="L32" s="10">
        <v>34.799999999999997</v>
      </c>
      <c r="M32" s="10">
        <v>30.4</v>
      </c>
      <c r="N32" s="10">
        <v>31.5</v>
      </c>
      <c r="O32" s="10">
        <v>29.9</v>
      </c>
      <c r="P32" s="10">
        <v>32</v>
      </c>
      <c r="Q32" s="10">
        <v>34.5</v>
      </c>
      <c r="R32" s="10">
        <v>32.799999999999997</v>
      </c>
      <c r="S32" s="10">
        <v>32.1</v>
      </c>
      <c r="T32" s="10">
        <v>27.1</v>
      </c>
      <c r="U32" s="10">
        <v>26.9</v>
      </c>
      <c r="V32" s="10">
        <v>24.1</v>
      </c>
      <c r="W32" s="10">
        <v>31.6</v>
      </c>
      <c r="X32" s="10">
        <v>32.1</v>
      </c>
      <c r="Y32" s="10">
        <v>30.4</v>
      </c>
      <c r="Z32" s="10">
        <v>22.1</v>
      </c>
      <c r="AA32" s="25">
        <v>20.399999999999999</v>
      </c>
      <c r="AB32" s="25">
        <v>16.7</v>
      </c>
      <c r="AC32" s="232"/>
      <c r="AD32" s="10">
        <f t="shared" si="8"/>
        <v>-0.37582649096900012</v>
      </c>
      <c r="AE32" s="10">
        <f t="shared" si="9"/>
        <v>-1.7593288739480295</v>
      </c>
      <c r="AF32" s="10">
        <f t="shared" si="0"/>
        <v>-2.6642094775500946</v>
      </c>
      <c r="AG32" s="10">
        <f t="shared" si="1"/>
        <v>-6.5835292179699412</v>
      </c>
      <c r="AH32" s="25"/>
      <c r="AI32" s="10">
        <f t="shared" si="2"/>
        <v>-50.445103857566778</v>
      </c>
      <c r="AL32" s="972" t="s">
        <v>1897</v>
      </c>
      <c r="AM32" s="41">
        <v>63</v>
      </c>
      <c r="AN32" s="330">
        <v>80</v>
      </c>
      <c r="AO32" s="232">
        <v>103</v>
      </c>
      <c r="AP32" s="232">
        <v>87</v>
      </c>
      <c r="AQ32" s="232">
        <v>88</v>
      </c>
      <c r="AR32" s="232">
        <v>94</v>
      </c>
      <c r="AS32" s="232">
        <v>81</v>
      </c>
      <c r="AT32" s="232">
        <v>93</v>
      </c>
      <c r="AU32" s="232">
        <v>107</v>
      </c>
      <c r="AV32" s="232">
        <v>107</v>
      </c>
      <c r="AW32" s="232">
        <v>116</v>
      </c>
      <c r="AX32" s="232">
        <v>93</v>
      </c>
      <c r="AY32" s="232">
        <v>95</v>
      </c>
      <c r="AZ32" s="232">
        <v>82</v>
      </c>
      <c r="BA32" s="232">
        <v>103</v>
      </c>
      <c r="BB32" s="232">
        <v>112</v>
      </c>
      <c r="BC32" s="232">
        <v>110</v>
      </c>
      <c r="BD32" s="232">
        <v>80</v>
      </c>
      <c r="BE32" s="232">
        <v>69</v>
      </c>
      <c r="BF32" s="41">
        <v>56</v>
      </c>
    </row>
    <row r="33" spans="1:58" s="114" customFormat="1">
      <c r="A33" s="4"/>
      <c r="B33" s="972"/>
      <c r="C33" s="972"/>
      <c r="D33" s="972"/>
      <c r="E33" s="972" t="s">
        <v>626</v>
      </c>
      <c r="F33" s="972"/>
      <c r="G33" s="972"/>
      <c r="H33" s="2"/>
      <c r="I33" s="11">
        <v>13</v>
      </c>
      <c r="J33" s="331">
        <v>10.199999999999999</v>
      </c>
      <c r="K33" s="10">
        <v>17.600000000000001</v>
      </c>
      <c r="L33" s="10">
        <v>21.4</v>
      </c>
      <c r="M33" s="10">
        <v>18.2</v>
      </c>
      <c r="N33" s="10">
        <v>16.2</v>
      </c>
      <c r="O33" s="10">
        <v>12.9</v>
      </c>
      <c r="P33" s="10">
        <v>12.4</v>
      </c>
      <c r="Q33" s="10">
        <v>19.3</v>
      </c>
      <c r="R33" s="10">
        <v>12.2</v>
      </c>
      <c r="S33" s="10">
        <v>6.9</v>
      </c>
      <c r="T33" s="10">
        <v>8.9</v>
      </c>
      <c r="U33" s="10">
        <v>9.6</v>
      </c>
      <c r="V33" s="10">
        <v>6.2</v>
      </c>
      <c r="W33" s="10">
        <v>13.7</v>
      </c>
      <c r="X33" s="10">
        <v>15.2</v>
      </c>
      <c r="Y33" s="10">
        <v>16.2</v>
      </c>
      <c r="Z33" s="10">
        <v>10.5</v>
      </c>
      <c r="AA33" s="25">
        <v>10.8</v>
      </c>
      <c r="AB33" s="25">
        <v>5.7</v>
      </c>
      <c r="AC33" s="232"/>
      <c r="AD33" s="10">
        <v>-2.9865157875352266</v>
      </c>
      <c r="AE33" s="10">
        <f t="shared" si="9"/>
        <v>-0.54961697434298129</v>
      </c>
      <c r="AF33" s="10">
        <v>-3.1213374090946044</v>
      </c>
      <c r="AG33" s="10">
        <v>-7.1765597407352333</v>
      </c>
      <c r="AH33" s="25"/>
      <c r="AI33" s="10">
        <v>-56.153846153846153</v>
      </c>
      <c r="AL33" s="972" t="s">
        <v>1898</v>
      </c>
      <c r="AM33" s="41">
        <v>11</v>
      </c>
      <c r="AN33" s="330">
        <v>10</v>
      </c>
      <c r="AO33" s="232">
        <v>16</v>
      </c>
      <c r="AP33" s="232">
        <v>19</v>
      </c>
      <c r="AQ33" s="232">
        <v>18</v>
      </c>
      <c r="AR33" s="232">
        <v>13</v>
      </c>
      <c r="AS33" s="232">
        <v>11</v>
      </c>
      <c r="AT33" s="232">
        <v>10</v>
      </c>
      <c r="AU33" s="232">
        <v>14</v>
      </c>
      <c r="AV33" s="232">
        <v>9</v>
      </c>
      <c r="AW33" s="232" t="s">
        <v>593</v>
      </c>
      <c r="AX33" s="232" t="s">
        <v>593</v>
      </c>
      <c r="AY33" s="232" t="s">
        <v>593</v>
      </c>
      <c r="AZ33" s="232" t="s">
        <v>593</v>
      </c>
      <c r="BA33" s="232">
        <v>15</v>
      </c>
      <c r="BB33" s="232" t="s">
        <v>593</v>
      </c>
      <c r="BC33" s="232" t="s">
        <v>593</v>
      </c>
      <c r="BD33" s="232" t="s">
        <v>593</v>
      </c>
      <c r="BE33" s="232" t="s">
        <v>593</v>
      </c>
      <c r="BF33" s="41" t="s">
        <v>593</v>
      </c>
    </row>
    <row r="34" spans="1:58" s="114" customFormat="1">
      <c r="A34" s="4"/>
      <c r="B34" s="972"/>
      <c r="C34" s="972"/>
      <c r="D34" s="972"/>
      <c r="E34" s="972"/>
      <c r="F34" s="972"/>
      <c r="G34" s="972"/>
      <c r="H34" s="2"/>
      <c r="I34" s="11"/>
      <c r="J34" s="331"/>
      <c r="K34" s="10"/>
      <c r="L34" s="10"/>
      <c r="M34" s="10"/>
      <c r="N34" s="10"/>
      <c r="O34" s="10"/>
      <c r="P34" s="10"/>
      <c r="Q34" s="10"/>
      <c r="R34" s="10"/>
      <c r="S34" s="10"/>
      <c r="T34" s="10"/>
      <c r="U34" s="10"/>
      <c r="V34" s="10"/>
      <c r="W34" s="10"/>
      <c r="X34" s="10"/>
      <c r="Y34" s="10"/>
      <c r="Z34" s="10"/>
      <c r="AA34" s="25"/>
      <c r="AB34" s="10"/>
      <c r="AC34" s="232"/>
      <c r="AD34" s="10"/>
      <c r="AE34" s="10"/>
      <c r="AF34" s="10"/>
      <c r="AG34" s="10"/>
      <c r="AH34" s="25"/>
      <c r="AI34" s="10"/>
      <c r="AL34" s="972"/>
      <c r="AM34" s="41"/>
      <c r="AN34" s="330"/>
      <c r="AO34" s="232"/>
      <c r="AP34" s="232"/>
      <c r="AQ34" s="232"/>
      <c r="AR34" s="232"/>
      <c r="AS34" s="232"/>
      <c r="AT34" s="232"/>
      <c r="AU34" s="232"/>
      <c r="AV34" s="232"/>
      <c r="AW34" s="232"/>
      <c r="AX34" s="232"/>
      <c r="AY34" s="232"/>
      <c r="AZ34" s="232"/>
      <c r="BA34" s="232"/>
      <c r="BB34" s="232"/>
      <c r="BC34" s="232"/>
      <c r="BD34" s="232"/>
      <c r="BE34" s="232"/>
      <c r="BF34" s="232"/>
    </row>
    <row r="35" spans="1:58" s="114" customFormat="1">
      <c r="A35" s="4"/>
      <c r="B35" s="972"/>
      <c r="C35" s="972"/>
      <c r="D35" s="128" t="s">
        <v>2</v>
      </c>
      <c r="E35" s="972"/>
      <c r="F35" s="972"/>
      <c r="G35" s="972"/>
      <c r="H35" s="2"/>
      <c r="I35" s="11">
        <v>11.9</v>
      </c>
      <c r="J35" s="331">
        <v>8.6</v>
      </c>
      <c r="K35" s="10">
        <v>13.1</v>
      </c>
      <c r="L35" s="10">
        <v>13.4</v>
      </c>
      <c r="M35" s="10">
        <v>16.899999999999999</v>
      </c>
      <c r="N35" s="10">
        <v>17.8</v>
      </c>
      <c r="O35" s="10">
        <v>17.2</v>
      </c>
      <c r="P35" s="10">
        <v>13.9</v>
      </c>
      <c r="Q35" s="10">
        <v>14.3</v>
      </c>
      <c r="R35" s="10">
        <v>14.9</v>
      </c>
      <c r="S35" s="10">
        <v>14.2</v>
      </c>
      <c r="T35" s="10">
        <v>12</v>
      </c>
      <c r="U35" s="10">
        <v>10.8</v>
      </c>
      <c r="V35" s="10">
        <v>8.8000000000000007</v>
      </c>
      <c r="W35" s="10">
        <v>10.8</v>
      </c>
      <c r="X35" s="10">
        <v>11.9</v>
      </c>
      <c r="Y35" s="10">
        <v>10.5</v>
      </c>
      <c r="Z35" s="10">
        <v>11.2</v>
      </c>
      <c r="AA35" s="25">
        <v>10.6</v>
      </c>
      <c r="AB35" s="25">
        <v>9.9</v>
      </c>
      <c r="AC35" s="232"/>
      <c r="AD35" s="10">
        <f>((((J35/I35))^(1/8))-1)*100</f>
        <v>-3.9784004588194199</v>
      </c>
      <c r="AE35" s="10">
        <f>((((U35/J35))^(1/11))-1)*100</f>
        <v>2.0923520669991147</v>
      </c>
      <c r="AF35" s="10">
        <f t="shared" si="0"/>
        <v>-0.70520797509171507</v>
      </c>
      <c r="AG35" s="10">
        <f t="shared" si="1"/>
        <v>-1.2353260923240739</v>
      </c>
      <c r="AH35" s="25"/>
      <c r="AI35" s="10">
        <f t="shared" si="2"/>
        <v>-16.806722689075627</v>
      </c>
      <c r="AL35" s="114" t="s">
        <v>1899</v>
      </c>
      <c r="AM35" s="41">
        <v>35</v>
      </c>
      <c r="AN35" s="330">
        <v>31</v>
      </c>
      <c r="AO35" s="232">
        <v>51</v>
      </c>
      <c r="AP35" s="232">
        <v>53</v>
      </c>
      <c r="AQ35" s="232">
        <v>68</v>
      </c>
      <c r="AR35" s="232">
        <v>89</v>
      </c>
      <c r="AS35" s="232">
        <v>85</v>
      </c>
      <c r="AT35" s="232">
        <v>71</v>
      </c>
      <c r="AU35" s="232">
        <v>83</v>
      </c>
      <c r="AV35" s="232">
        <v>94</v>
      </c>
      <c r="AW35" s="232">
        <v>104</v>
      </c>
      <c r="AX35" s="232">
        <v>87</v>
      </c>
      <c r="AY35" s="232">
        <v>77</v>
      </c>
      <c r="AZ35" s="232">
        <v>68</v>
      </c>
      <c r="BA35" s="232">
        <v>85</v>
      </c>
      <c r="BB35" s="232">
        <v>94</v>
      </c>
      <c r="BC35" s="232">
        <v>85</v>
      </c>
      <c r="BD35" s="232">
        <v>93</v>
      </c>
      <c r="BE35" s="232">
        <v>90</v>
      </c>
      <c r="BF35" s="41">
        <v>90</v>
      </c>
    </row>
    <row r="36" spans="1:58" s="114" customFormat="1">
      <c r="A36" s="4"/>
      <c r="B36" s="972"/>
      <c r="C36" s="972"/>
      <c r="D36" s="972"/>
      <c r="E36" s="972"/>
      <c r="F36" s="972"/>
      <c r="G36" s="972"/>
      <c r="H36" s="2"/>
      <c r="I36" s="11"/>
      <c r="J36" s="331"/>
      <c r="K36" s="10"/>
      <c r="L36" s="10"/>
      <c r="M36" s="10"/>
      <c r="N36" s="10"/>
      <c r="O36" s="10"/>
      <c r="P36" s="10"/>
      <c r="Q36" s="10"/>
      <c r="R36" s="10"/>
      <c r="S36" s="10"/>
      <c r="T36" s="10"/>
      <c r="U36" s="10"/>
      <c r="V36" s="10"/>
      <c r="W36" s="10"/>
      <c r="X36" s="10"/>
      <c r="Y36" s="10"/>
      <c r="Z36" s="10"/>
      <c r="AA36" s="25"/>
      <c r="AB36" s="10"/>
      <c r="AC36" s="232"/>
      <c r="AD36" s="10"/>
      <c r="AE36" s="10"/>
      <c r="AF36" s="10"/>
      <c r="AG36" s="10"/>
      <c r="AH36" s="25"/>
      <c r="AI36" s="10"/>
      <c r="AL36" s="972"/>
      <c r="AM36" s="41"/>
      <c r="AN36" s="330"/>
      <c r="AO36" s="232"/>
      <c r="AP36" s="232"/>
      <c r="AQ36" s="232"/>
      <c r="AR36" s="232"/>
      <c r="AS36" s="232"/>
      <c r="AT36" s="232"/>
      <c r="AU36" s="232"/>
      <c r="AV36" s="232"/>
      <c r="AW36" s="232"/>
      <c r="AX36" s="232"/>
      <c r="AY36" s="232"/>
      <c r="AZ36" s="232"/>
      <c r="BA36" s="232"/>
      <c r="BB36" s="232"/>
      <c r="BC36" s="232"/>
      <c r="BD36" s="232"/>
      <c r="BE36" s="232"/>
      <c r="BF36" s="232"/>
    </row>
    <row r="37" spans="1:58" s="114" customFormat="1">
      <c r="A37" s="4"/>
      <c r="B37" s="128" t="s">
        <v>3</v>
      </c>
      <c r="C37" s="972"/>
      <c r="D37" s="972"/>
      <c r="E37" s="972"/>
      <c r="F37" s="972"/>
      <c r="G37" s="972"/>
      <c r="H37" s="2"/>
      <c r="I37" s="11">
        <v>35.5</v>
      </c>
      <c r="J37" s="331">
        <v>29</v>
      </c>
      <c r="K37" s="10">
        <v>31.3</v>
      </c>
      <c r="L37" s="10">
        <v>35.4</v>
      </c>
      <c r="M37" s="10">
        <v>35.1</v>
      </c>
      <c r="N37" s="10">
        <v>35.299999999999997</v>
      </c>
      <c r="O37" s="10">
        <v>35</v>
      </c>
      <c r="P37" s="10">
        <v>35</v>
      </c>
      <c r="Q37" s="10">
        <v>36.1</v>
      </c>
      <c r="R37" s="10">
        <v>36.200000000000003</v>
      </c>
      <c r="S37" s="10">
        <v>35.200000000000003</v>
      </c>
      <c r="T37" s="10">
        <v>34.1</v>
      </c>
      <c r="U37" s="10">
        <v>32.9</v>
      </c>
      <c r="V37" s="10">
        <v>30.8</v>
      </c>
      <c r="W37" s="10">
        <v>29.5</v>
      </c>
      <c r="X37" s="10">
        <v>29.7</v>
      </c>
      <c r="Y37" s="10">
        <v>30.1</v>
      </c>
      <c r="Z37" s="10">
        <v>30.4</v>
      </c>
      <c r="AA37" s="25">
        <v>29.2</v>
      </c>
      <c r="AB37" s="25">
        <v>27.4</v>
      </c>
      <c r="AC37" s="232"/>
      <c r="AD37" s="10">
        <f>((((J37/I37))^(1/8))-1)*100</f>
        <v>-2.4962754608006454</v>
      </c>
      <c r="AE37" s="10">
        <f>((((U37/J37))^(1/11))-1)*100</f>
        <v>1.1536660541835886</v>
      </c>
      <c r="AF37" s="10">
        <f t="shared" si="0"/>
        <v>-0.99116938075257677</v>
      </c>
      <c r="AG37" s="10">
        <f t="shared" si="1"/>
        <v>-2.5794299676010768</v>
      </c>
      <c r="AH37" s="25"/>
      <c r="AI37" s="10">
        <f t="shared" si="2"/>
        <v>-22.816901408450708</v>
      </c>
      <c r="AL37" s="114" t="s">
        <v>1900</v>
      </c>
      <c r="AM37" s="41">
        <v>895</v>
      </c>
      <c r="AN37" s="330">
        <v>944</v>
      </c>
      <c r="AO37" s="232">
        <v>1056</v>
      </c>
      <c r="AP37" s="232">
        <v>1222</v>
      </c>
      <c r="AQ37" s="232">
        <v>1233</v>
      </c>
      <c r="AR37" s="232">
        <v>1241</v>
      </c>
      <c r="AS37" s="232">
        <v>1266</v>
      </c>
      <c r="AT37" s="232">
        <v>1296</v>
      </c>
      <c r="AU37" s="232">
        <v>1366</v>
      </c>
      <c r="AV37" s="232">
        <v>1398</v>
      </c>
      <c r="AW37" s="232">
        <v>1381</v>
      </c>
      <c r="AX37" s="232">
        <v>1366</v>
      </c>
      <c r="AY37" s="232">
        <v>1346</v>
      </c>
      <c r="AZ37" s="232">
        <v>1291</v>
      </c>
      <c r="BA37" s="232">
        <v>1263</v>
      </c>
      <c r="BB37" s="232">
        <v>1296</v>
      </c>
      <c r="BC37" s="232">
        <v>1342</v>
      </c>
      <c r="BD37" s="232">
        <v>1389</v>
      </c>
      <c r="BE37" s="232">
        <v>1363</v>
      </c>
      <c r="BF37" s="41">
        <v>1309</v>
      </c>
    </row>
    <row r="38" spans="1:58" s="114" customFormat="1">
      <c r="A38" s="4"/>
      <c r="B38" s="128"/>
      <c r="C38" s="972"/>
      <c r="D38" s="972"/>
      <c r="E38" s="972"/>
      <c r="F38" s="972"/>
      <c r="G38" s="972"/>
      <c r="H38" s="2"/>
      <c r="I38" s="11"/>
      <c r="J38" s="331"/>
      <c r="K38" s="10"/>
      <c r="L38" s="10"/>
      <c r="M38" s="10"/>
      <c r="N38" s="10"/>
      <c r="O38" s="10"/>
      <c r="P38" s="10"/>
      <c r="Q38" s="10"/>
      <c r="R38" s="10"/>
      <c r="S38" s="10"/>
      <c r="T38" s="10"/>
      <c r="U38" s="10"/>
      <c r="V38" s="10"/>
      <c r="W38" s="10"/>
      <c r="X38" s="10"/>
      <c r="Y38" s="10"/>
      <c r="Z38" s="10"/>
      <c r="AA38" s="25"/>
      <c r="AB38" s="10"/>
      <c r="AC38" s="232"/>
      <c r="AD38" s="10"/>
      <c r="AE38" s="10"/>
      <c r="AF38" s="10"/>
      <c r="AG38" s="10"/>
      <c r="AH38" s="25"/>
      <c r="AI38" s="10"/>
      <c r="AL38" s="972"/>
      <c r="AM38" s="41"/>
      <c r="AN38" s="330"/>
      <c r="AO38" s="232"/>
      <c r="AP38" s="232"/>
      <c r="AQ38" s="232"/>
      <c r="AR38" s="232"/>
      <c r="AS38" s="232"/>
      <c r="AT38" s="232"/>
      <c r="AU38" s="232"/>
      <c r="AV38" s="232"/>
      <c r="AW38" s="232"/>
      <c r="AX38" s="232"/>
      <c r="AY38" s="232"/>
      <c r="AZ38" s="232"/>
      <c r="BA38" s="232"/>
      <c r="BB38" s="232"/>
      <c r="BC38" s="232"/>
      <c r="BD38" s="232"/>
      <c r="BE38" s="232"/>
      <c r="BF38" s="232"/>
    </row>
    <row r="39" spans="1:58" s="114" customFormat="1">
      <c r="A39" s="972"/>
      <c r="B39" s="972"/>
      <c r="C39" s="128" t="s">
        <v>4</v>
      </c>
      <c r="D39" s="972"/>
      <c r="E39" s="972"/>
      <c r="F39" s="972"/>
      <c r="G39" s="972"/>
      <c r="H39" s="2"/>
      <c r="I39" s="11">
        <v>39</v>
      </c>
      <c r="J39" s="331">
        <v>18.8</v>
      </c>
      <c r="K39" s="10">
        <v>20.7</v>
      </c>
      <c r="L39" s="10">
        <v>23.8</v>
      </c>
      <c r="M39" s="10">
        <v>16.899999999999999</v>
      </c>
      <c r="N39" s="10">
        <v>20</v>
      </c>
      <c r="O39" s="10">
        <v>13.3</v>
      </c>
      <c r="P39" s="10">
        <v>14.4</v>
      </c>
      <c r="Q39" s="10">
        <v>17.7</v>
      </c>
      <c r="R39" s="10">
        <v>17</v>
      </c>
      <c r="S39" s="10">
        <v>17.5</v>
      </c>
      <c r="T39" s="10">
        <v>17.2</v>
      </c>
      <c r="U39" s="10">
        <v>17.600000000000001</v>
      </c>
      <c r="V39" s="10">
        <v>16.8</v>
      </c>
      <c r="W39" s="10">
        <v>15.9</v>
      </c>
      <c r="X39" s="10">
        <v>14.7</v>
      </c>
      <c r="Y39" s="10">
        <v>11.5</v>
      </c>
      <c r="Z39" s="10">
        <v>13.6</v>
      </c>
      <c r="AA39" s="25">
        <v>14</v>
      </c>
      <c r="AB39" s="25">
        <v>13</v>
      </c>
      <c r="AC39" s="232"/>
      <c r="AD39" s="10">
        <f>((((J39/I39))^(1/8))-1)*100</f>
        <v>-8.7176829740644664</v>
      </c>
      <c r="AE39" s="10">
        <f>((((U39/J39))^(1/11))-1)*100</f>
        <v>-0.59782376869877973</v>
      </c>
      <c r="AF39" s="10">
        <f t="shared" si="0"/>
        <v>-4.1374047028317822</v>
      </c>
      <c r="AG39" s="10">
        <f t="shared" si="1"/>
        <v>-4.235535720884986</v>
      </c>
      <c r="AH39" s="25"/>
      <c r="AI39" s="10">
        <f t="shared" si="2"/>
        <v>-66.666666666666671</v>
      </c>
      <c r="AL39" s="114" t="s">
        <v>1901</v>
      </c>
      <c r="AM39" s="41">
        <v>74</v>
      </c>
      <c r="AN39" s="330">
        <v>41</v>
      </c>
      <c r="AO39" s="232">
        <v>48</v>
      </c>
      <c r="AP39" s="232">
        <v>55</v>
      </c>
      <c r="AQ39" s="232">
        <v>40</v>
      </c>
      <c r="AR39" s="232">
        <v>50</v>
      </c>
      <c r="AS39" s="232">
        <v>32</v>
      </c>
      <c r="AT39" s="232">
        <v>35</v>
      </c>
      <c r="AU39" s="232">
        <v>51</v>
      </c>
      <c r="AV39" s="232">
        <v>47</v>
      </c>
      <c r="AW39" s="232">
        <v>48</v>
      </c>
      <c r="AX39" s="232">
        <v>47</v>
      </c>
      <c r="AY39" s="232">
        <v>51</v>
      </c>
      <c r="AZ39" s="232">
        <v>50</v>
      </c>
      <c r="BA39" s="232">
        <v>50</v>
      </c>
      <c r="BB39" s="232">
        <v>46</v>
      </c>
      <c r="BC39" s="232">
        <v>36</v>
      </c>
      <c r="BD39" s="232">
        <v>41</v>
      </c>
      <c r="BE39" s="232">
        <v>45</v>
      </c>
      <c r="BF39" s="41">
        <v>44</v>
      </c>
    </row>
    <row r="40" spans="1:58" s="114" customFormat="1">
      <c r="A40" s="972"/>
      <c r="B40" s="972"/>
      <c r="C40" s="972" t="s">
        <v>5</v>
      </c>
      <c r="D40" s="972"/>
      <c r="E40" s="972"/>
      <c r="F40" s="972"/>
      <c r="G40" s="972"/>
      <c r="H40" s="2"/>
      <c r="I40" s="11">
        <v>43.3</v>
      </c>
      <c r="J40" s="331">
        <v>20.8</v>
      </c>
      <c r="K40" s="10">
        <v>21</v>
      </c>
      <c r="L40" s="10">
        <v>26</v>
      </c>
      <c r="M40" s="10">
        <v>17.8</v>
      </c>
      <c r="N40" s="10">
        <v>20.7</v>
      </c>
      <c r="O40" s="10">
        <v>14.3</v>
      </c>
      <c r="P40" s="10">
        <v>15.3</v>
      </c>
      <c r="Q40" s="10">
        <v>19.399999999999999</v>
      </c>
      <c r="R40" s="10">
        <v>18.7</v>
      </c>
      <c r="S40" s="10">
        <v>19.3</v>
      </c>
      <c r="T40" s="10">
        <v>19</v>
      </c>
      <c r="U40" s="10">
        <v>19.7</v>
      </c>
      <c r="V40" s="10">
        <v>19.3</v>
      </c>
      <c r="W40" s="10">
        <v>16.600000000000001</v>
      </c>
      <c r="X40" s="10">
        <v>16.2</v>
      </c>
      <c r="Y40" s="10">
        <v>12.6</v>
      </c>
      <c r="Z40" s="10">
        <v>16.2</v>
      </c>
      <c r="AA40" s="25">
        <v>16.899999999999999</v>
      </c>
      <c r="AB40" s="25">
        <v>15.7</v>
      </c>
      <c r="AC40" s="232"/>
      <c r="AD40" s="10">
        <f>((((J40/I40))^(1/8))-1)*100</f>
        <v>-8.7575517667283336</v>
      </c>
      <c r="AE40" s="10">
        <f>((((U40/J40))^(1/11))-1)*100</f>
        <v>-0.49273072492634906</v>
      </c>
      <c r="AF40" s="10">
        <f t="shared" si="0"/>
        <v>-3.826748710309158</v>
      </c>
      <c r="AG40" s="10">
        <f t="shared" si="1"/>
        <v>-3.1902584076302754</v>
      </c>
      <c r="AH40" s="25"/>
      <c r="AI40" s="10">
        <f t="shared" si="2"/>
        <v>-63.741339491916861</v>
      </c>
      <c r="AL40" s="114" t="s">
        <v>1902</v>
      </c>
      <c r="AM40" s="41">
        <v>70</v>
      </c>
      <c r="AN40" s="330">
        <v>40</v>
      </c>
      <c r="AO40" s="232">
        <v>43</v>
      </c>
      <c r="AP40" s="232">
        <v>54</v>
      </c>
      <c r="AQ40" s="232">
        <v>39</v>
      </c>
      <c r="AR40" s="232">
        <v>46</v>
      </c>
      <c r="AS40" s="232">
        <v>31</v>
      </c>
      <c r="AT40" s="232">
        <v>33</v>
      </c>
      <c r="AU40" s="232">
        <v>49</v>
      </c>
      <c r="AV40" s="232">
        <v>45</v>
      </c>
      <c r="AW40" s="232">
        <v>46</v>
      </c>
      <c r="AX40" s="232">
        <v>45</v>
      </c>
      <c r="AY40" s="232">
        <v>48</v>
      </c>
      <c r="AZ40" s="232">
        <v>49</v>
      </c>
      <c r="BA40" s="232">
        <v>42</v>
      </c>
      <c r="BB40" s="232">
        <v>40</v>
      </c>
      <c r="BC40" s="232">
        <v>31</v>
      </c>
      <c r="BD40" s="232">
        <v>39</v>
      </c>
      <c r="BE40" s="232">
        <v>43</v>
      </c>
      <c r="BF40" s="41">
        <v>42</v>
      </c>
    </row>
    <row r="41" spans="1:58" s="114" customFormat="1">
      <c r="A41" s="1145"/>
      <c r="B41" s="1145"/>
      <c r="C41" s="1145" t="s">
        <v>10</v>
      </c>
      <c r="D41" s="1145"/>
      <c r="E41" s="1145"/>
      <c r="F41" s="1145"/>
      <c r="G41" s="1145"/>
      <c r="H41" s="2"/>
      <c r="I41" s="11">
        <v>15.5</v>
      </c>
      <c r="J41" s="331">
        <v>3.3</v>
      </c>
      <c r="K41" s="10">
        <v>18.399999999999999</v>
      </c>
      <c r="L41" s="10">
        <v>2.1</v>
      </c>
      <c r="M41" s="10">
        <v>6.3</v>
      </c>
      <c r="N41" s="10">
        <v>14.3</v>
      </c>
      <c r="O41" s="10">
        <v>4.5</v>
      </c>
      <c r="P41" s="10">
        <v>7.5</v>
      </c>
      <c r="Q41" s="10">
        <v>5.0999999999999996</v>
      </c>
      <c r="R41" s="10">
        <v>5</v>
      </c>
      <c r="S41" s="10">
        <v>6</v>
      </c>
      <c r="T41" s="10">
        <v>5.2</v>
      </c>
      <c r="U41" s="10">
        <v>6.3</v>
      </c>
      <c r="V41" s="10">
        <v>2</v>
      </c>
      <c r="W41" s="10">
        <v>13.1</v>
      </c>
      <c r="X41" s="10">
        <v>9.6</v>
      </c>
      <c r="Y41" s="10">
        <v>7.1</v>
      </c>
      <c r="Z41" s="10">
        <v>3.4</v>
      </c>
      <c r="AA41" s="25">
        <v>3.1</v>
      </c>
      <c r="AB41" s="25">
        <v>3.6</v>
      </c>
      <c r="AC41" s="232"/>
      <c r="AD41" s="10">
        <f>((((J41/I41))^(1/8))-1)*100</f>
        <v>-17.581865502358863</v>
      </c>
      <c r="AE41" s="10">
        <f>((((U41/J41))^(1/11))-1)*100</f>
        <v>6.054644317300828</v>
      </c>
      <c r="AF41" s="10">
        <v>-5.460290900096421</v>
      </c>
      <c r="AG41" s="10">
        <v>-7.6832984731792902</v>
      </c>
      <c r="AH41" s="25"/>
      <c r="AI41" s="10">
        <v>-76.774193548387089</v>
      </c>
      <c r="AM41" s="41"/>
      <c r="AN41" s="330"/>
      <c r="AO41" s="232"/>
      <c r="AP41" s="232"/>
      <c r="AQ41" s="232"/>
      <c r="AR41" s="232"/>
      <c r="AS41" s="232"/>
      <c r="AT41" s="232"/>
      <c r="AU41" s="232"/>
      <c r="AV41" s="232"/>
      <c r="AW41" s="232"/>
      <c r="AX41" s="232"/>
      <c r="AY41" s="232"/>
      <c r="AZ41" s="232"/>
      <c r="BA41" s="232"/>
      <c r="BB41" s="232"/>
      <c r="BC41" s="232"/>
      <c r="BD41" s="232"/>
      <c r="BE41" s="232"/>
      <c r="BF41" s="41"/>
    </row>
    <row r="42" spans="1:58" s="114" customFormat="1">
      <c r="A42" s="972"/>
      <c r="B42" s="972"/>
      <c r="C42" s="972"/>
      <c r="D42" s="972"/>
      <c r="E42" s="972"/>
      <c r="F42" s="972"/>
      <c r="G42" s="972"/>
      <c r="H42" s="2"/>
      <c r="I42" s="11" t="s">
        <v>813</v>
      </c>
      <c r="J42" s="331" t="s">
        <v>813</v>
      </c>
      <c r="K42" s="10" t="s">
        <v>813</v>
      </c>
      <c r="L42" s="10" t="s">
        <v>813</v>
      </c>
      <c r="M42" s="10" t="s">
        <v>813</v>
      </c>
      <c r="N42" s="10" t="s">
        <v>813</v>
      </c>
      <c r="O42" s="10" t="s">
        <v>813</v>
      </c>
      <c r="P42" s="10" t="s">
        <v>813</v>
      </c>
      <c r="Q42" s="10" t="s">
        <v>813</v>
      </c>
      <c r="R42" s="10" t="s">
        <v>813</v>
      </c>
      <c r="S42" s="10" t="s">
        <v>813</v>
      </c>
      <c r="T42" s="10" t="s">
        <v>813</v>
      </c>
      <c r="U42" s="10" t="s">
        <v>813</v>
      </c>
      <c r="V42" s="10" t="s">
        <v>813</v>
      </c>
      <c r="W42" s="10" t="s">
        <v>813</v>
      </c>
      <c r="X42" s="10" t="s">
        <v>813</v>
      </c>
      <c r="Y42" s="10" t="s">
        <v>813</v>
      </c>
      <c r="Z42" s="10" t="s">
        <v>813</v>
      </c>
      <c r="AA42" s="25" t="s">
        <v>813</v>
      </c>
      <c r="AB42" s="25" t="s">
        <v>813</v>
      </c>
      <c r="AC42" s="232"/>
      <c r="AD42" s="10" t="s">
        <v>374</v>
      </c>
      <c r="AE42" s="10"/>
      <c r="AF42" s="10"/>
      <c r="AG42" s="10"/>
      <c r="AH42" s="25"/>
      <c r="AI42" s="10"/>
      <c r="AL42" s="114" t="s">
        <v>1903</v>
      </c>
      <c r="AM42" s="41" t="s">
        <v>593</v>
      </c>
      <c r="AN42" s="330" t="s">
        <v>593</v>
      </c>
      <c r="AO42" s="232" t="s">
        <v>593</v>
      </c>
      <c r="AP42" s="232" t="s">
        <v>593</v>
      </c>
      <c r="AQ42" s="232" t="s">
        <v>593</v>
      </c>
      <c r="AR42" s="232" t="s">
        <v>593</v>
      </c>
      <c r="AS42" s="232" t="s">
        <v>593</v>
      </c>
      <c r="AT42" s="232" t="s">
        <v>593</v>
      </c>
      <c r="AU42" s="232" t="s">
        <v>593</v>
      </c>
      <c r="AV42" s="232" t="s">
        <v>593</v>
      </c>
      <c r="AW42" s="232" t="s">
        <v>593</v>
      </c>
      <c r="AX42" s="232" t="s">
        <v>593</v>
      </c>
      <c r="AY42" s="232" t="s">
        <v>593</v>
      </c>
      <c r="AZ42" s="232" t="s">
        <v>593</v>
      </c>
      <c r="BA42" s="232" t="s">
        <v>593</v>
      </c>
      <c r="BB42" s="232" t="s">
        <v>593</v>
      </c>
      <c r="BC42" s="232" t="s">
        <v>593</v>
      </c>
      <c r="BD42" s="232" t="s">
        <v>593</v>
      </c>
      <c r="BE42" s="232" t="s">
        <v>593</v>
      </c>
      <c r="BF42" s="41" t="s">
        <v>593</v>
      </c>
    </row>
    <row r="43" spans="1:58" s="114" customFormat="1">
      <c r="A43" s="972"/>
      <c r="B43" s="972"/>
      <c r="C43" s="128" t="s">
        <v>7</v>
      </c>
      <c r="D43" s="972"/>
      <c r="E43" s="972"/>
      <c r="F43" s="972"/>
      <c r="G43" s="972"/>
      <c r="H43" s="2"/>
      <c r="I43" s="11">
        <v>53.5</v>
      </c>
      <c r="J43" s="331">
        <v>31.9</v>
      </c>
      <c r="K43" s="10">
        <v>30.5</v>
      </c>
      <c r="L43" s="10">
        <v>30.9</v>
      </c>
      <c r="M43" s="10">
        <v>28.8</v>
      </c>
      <c r="N43" s="10">
        <v>29.9</v>
      </c>
      <c r="O43" s="10">
        <v>25.6</v>
      </c>
      <c r="P43" s="10">
        <v>27.3</v>
      </c>
      <c r="Q43" s="10">
        <v>28.1</v>
      </c>
      <c r="R43" s="10">
        <v>24.3</v>
      </c>
      <c r="S43" s="10">
        <v>22.1</v>
      </c>
      <c r="T43" s="10">
        <v>22.5</v>
      </c>
      <c r="U43" s="10">
        <v>21.7</v>
      </c>
      <c r="V43" s="10">
        <v>18.600000000000001</v>
      </c>
      <c r="W43" s="10">
        <v>20.7</v>
      </c>
      <c r="X43" s="10">
        <v>18.899999999999999</v>
      </c>
      <c r="Y43" s="10">
        <v>16.899999999999999</v>
      </c>
      <c r="Z43" s="10">
        <v>20.3</v>
      </c>
      <c r="AA43" s="25">
        <v>16.100000000000001</v>
      </c>
      <c r="AB43" s="25">
        <v>14.3</v>
      </c>
      <c r="AC43" s="232"/>
      <c r="AD43" s="10">
        <f>((((J43/I43))^(1/8))-1)*100</f>
        <v>-6.2589934163845946</v>
      </c>
      <c r="AE43" s="10">
        <f>((((U43/J43))^(1/11))-1)*100</f>
        <v>-3.4420369385535943</v>
      </c>
      <c r="AF43" s="10">
        <f t="shared" si="0"/>
        <v>-4.9480882812202083</v>
      </c>
      <c r="AG43" s="10">
        <f t="shared" si="1"/>
        <v>-5.7838862830854492</v>
      </c>
      <c r="AH43" s="25"/>
      <c r="AI43" s="10">
        <f t="shared" si="2"/>
        <v>-73.271028037383161</v>
      </c>
      <c r="AL43" s="114" t="s">
        <v>1904</v>
      </c>
      <c r="AM43" s="41">
        <v>283</v>
      </c>
      <c r="AN43" s="330">
        <v>219</v>
      </c>
      <c r="AO43" s="232">
        <v>221</v>
      </c>
      <c r="AP43" s="232">
        <v>223</v>
      </c>
      <c r="AQ43" s="232">
        <v>208</v>
      </c>
      <c r="AR43" s="232">
        <v>224</v>
      </c>
      <c r="AS43" s="232">
        <v>192</v>
      </c>
      <c r="AT43" s="232">
        <v>209</v>
      </c>
      <c r="AU43" s="232">
        <v>223</v>
      </c>
      <c r="AV43" s="232">
        <v>194</v>
      </c>
      <c r="AW43" s="232">
        <v>172</v>
      </c>
      <c r="AX43" s="232">
        <v>178</v>
      </c>
      <c r="AY43" s="232">
        <v>172</v>
      </c>
      <c r="AZ43" s="232">
        <v>147</v>
      </c>
      <c r="BA43" s="232">
        <v>172</v>
      </c>
      <c r="BB43" s="232">
        <v>155</v>
      </c>
      <c r="BC43" s="232">
        <v>137</v>
      </c>
      <c r="BD43" s="232">
        <v>167</v>
      </c>
      <c r="BE43" s="232">
        <v>134</v>
      </c>
      <c r="BF43" s="41">
        <v>123</v>
      </c>
    </row>
    <row r="44" spans="1:58" s="114" customFormat="1">
      <c r="A44" s="972"/>
      <c r="B44" s="972"/>
      <c r="C44" s="972" t="s">
        <v>5</v>
      </c>
      <c r="D44" s="972"/>
      <c r="E44" s="972"/>
      <c r="F44" s="972"/>
      <c r="G44" s="972"/>
      <c r="H44" s="2"/>
      <c r="I44" s="11">
        <v>56.4</v>
      </c>
      <c r="J44" s="331">
        <v>33.1</v>
      </c>
      <c r="K44" s="10">
        <v>31.5</v>
      </c>
      <c r="L44" s="10">
        <v>31.7</v>
      </c>
      <c r="M44" s="10">
        <v>29.9</v>
      </c>
      <c r="N44" s="10">
        <v>30.7</v>
      </c>
      <c r="O44" s="10">
        <v>26.4</v>
      </c>
      <c r="P44" s="10">
        <v>28.2</v>
      </c>
      <c r="Q44" s="10">
        <v>28.9</v>
      </c>
      <c r="R44" s="10">
        <v>25</v>
      </c>
      <c r="S44" s="10">
        <v>23.1</v>
      </c>
      <c r="T44" s="10">
        <v>23.5</v>
      </c>
      <c r="U44" s="10">
        <v>22.7</v>
      </c>
      <c r="V44" s="10">
        <v>19.600000000000001</v>
      </c>
      <c r="W44" s="10">
        <v>21.1</v>
      </c>
      <c r="X44" s="10">
        <v>20.100000000000001</v>
      </c>
      <c r="Y44" s="10">
        <v>18.2</v>
      </c>
      <c r="Z44" s="10">
        <v>21.8</v>
      </c>
      <c r="AA44" s="25">
        <v>17.3</v>
      </c>
      <c r="AB44" s="25">
        <v>15.7</v>
      </c>
      <c r="AC44" s="232"/>
      <c r="AD44" s="10">
        <f>((((J44/I44))^(1/8))-1)*100</f>
        <v>-6.4446535814000505</v>
      </c>
      <c r="AE44" s="10">
        <f>((((U44/J44))^(1/11))-1)*100</f>
        <v>-3.3706859313307747</v>
      </c>
      <c r="AF44" s="10">
        <f t="shared" si="0"/>
        <v>-4.7994950622169963</v>
      </c>
      <c r="AG44" s="10">
        <f t="shared" si="1"/>
        <v>-5.1308896602597969</v>
      </c>
      <c r="AH44" s="25"/>
      <c r="AI44" s="10">
        <f t="shared" si="2"/>
        <v>-72.163120567375884</v>
      </c>
      <c r="AL44" s="114" t="s">
        <v>1905</v>
      </c>
      <c r="AM44" s="41">
        <v>273</v>
      </c>
      <c r="AN44" s="330">
        <v>215</v>
      </c>
      <c r="AO44" s="232">
        <v>218</v>
      </c>
      <c r="AP44" s="232">
        <v>222</v>
      </c>
      <c r="AQ44" s="232">
        <v>204</v>
      </c>
      <c r="AR44" s="232">
        <v>222</v>
      </c>
      <c r="AS44" s="232">
        <v>191</v>
      </c>
      <c r="AT44" s="232">
        <v>207</v>
      </c>
      <c r="AU44" s="232">
        <v>220</v>
      </c>
      <c r="AV44" s="232">
        <v>191</v>
      </c>
      <c r="AW44" s="232">
        <v>168</v>
      </c>
      <c r="AX44" s="232">
        <v>175</v>
      </c>
      <c r="AY44" s="232">
        <v>168</v>
      </c>
      <c r="AZ44" s="232">
        <v>144</v>
      </c>
      <c r="BA44" s="232">
        <v>163</v>
      </c>
      <c r="BB44" s="232">
        <v>147</v>
      </c>
      <c r="BC44" s="232">
        <v>132</v>
      </c>
      <c r="BD44" s="232">
        <v>161</v>
      </c>
      <c r="BE44" s="232">
        <v>130</v>
      </c>
      <c r="BF44" s="41">
        <v>120</v>
      </c>
    </row>
    <row r="45" spans="1:58" s="114" customFormat="1">
      <c r="A45" s="972"/>
      <c r="B45" s="972"/>
      <c r="C45" s="972" t="s">
        <v>6</v>
      </c>
      <c r="D45" s="972"/>
      <c r="E45" s="972"/>
      <c r="F45" s="972"/>
      <c r="G45" s="972"/>
      <c r="H45" s="2"/>
      <c r="I45" s="11">
        <v>22.5</v>
      </c>
      <c r="J45" s="331">
        <v>11.4</v>
      </c>
      <c r="K45" s="10">
        <v>8.6999999999999993</v>
      </c>
      <c r="L45" s="10">
        <v>5.6</v>
      </c>
      <c r="M45" s="10">
        <v>10.6</v>
      </c>
      <c r="N45" s="10">
        <v>8.8000000000000007</v>
      </c>
      <c r="O45" s="10">
        <v>3.5</v>
      </c>
      <c r="P45" s="10">
        <v>6.2</v>
      </c>
      <c r="Q45" s="10">
        <v>8.8000000000000007</v>
      </c>
      <c r="R45" s="10">
        <v>9.8000000000000007</v>
      </c>
      <c r="S45" s="10">
        <v>7.3</v>
      </c>
      <c r="T45" s="10">
        <v>7</v>
      </c>
      <c r="U45" s="10">
        <v>6.7</v>
      </c>
      <c r="V45" s="10">
        <v>5</v>
      </c>
      <c r="W45" s="10">
        <v>15.6</v>
      </c>
      <c r="X45" s="10">
        <v>8.9</v>
      </c>
      <c r="Y45" s="10">
        <v>5.7</v>
      </c>
      <c r="Z45" s="10">
        <v>6.5</v>
      </c>
      <c r="AA45" s="25">
        <v>5</v>
      </c>
      <c r="AB45" s="25">
        <v>3.6</v>
      </c>
      <c r="AC45" s="232"/>
      <c r="AD45" s="10">
        <f>((((J45/I45))^(1/8))-1)*100</f>
        <v>-8.1476458450807421</v>
      </c>
      <c r="AE45" s="10">
        <f>((((U45/J45))^(1/11))-1)*100</f>
        <v>-4.7169939435230734</v>
      </c>
      <c r="AF45" s="10">
        <v>-6.8057258601801562</v>
      </c>
      <c r="AG45" s="10">
        <v>-8.4915709584153394</v>
      </c>
      <c r="AH45" s="25"/>
      <c r="AI45" s="10">
        <f t="shared" si="2"/>
        <v>-84</v>
      </c>
      <c r="AL45" s="114" t="s">
        <v>1906</v>
      </c>
      <c r="AM45" s="41">
        <v>10</v>
      </c>
      <c r="AN45" s="330" t="s">
        <v>593</v>
      </c>
      <c r="AO45" s="232" t="s">
        <v>593</v>
      </c>
      <c r="AP45" s="232" t="s">
        <v>593</v>
      </c>
      <c r="AQ45" s="232" t="s">
        <v>593</v>
      </c>
      <c r="AR45" s="232" t="s">
        <v>593</v>
      </c>
      <c r="AS45" s="232" t="s">
        <v>593</v>
      </c>
      <c r="AT45" s="232" t="s">
        <v>593</v>
      </c>
      <c r="AU45" s="232" t="s">
        <v>593</v>
      </c>
      <c r="AV45" s="232" t="s">
        <v>593</v>
      </c>
      <c r="AW45" s="232" t="s">
        <v>593</v>
      </c>
      <c r="AX45" s="232" t="s">
        <v>593</v>
      </c>
      <c r="AY45" s="232" t="s">
        <v>593</v>
      </c>
      <c r="AZ45" s="232" t="s">
        <v>593</v>
      </c>
      <c r="BA45" s="232" t="s">
        <v>593</v>
      </c>
      <c r="BB45" s="232" t="s">
        <v>593</v>
      </c>
      <c r="BC45" s="232" t="s">
        <v>593</v>
      </c>
      <c r="BD45" s="232" t="s">
        <v>593</v>
      </c>
      <c r="BE45" s="232" t="s">
        <v>593</v>
      </c>
      <c r="BF45" s="41" t="s">
        <v>593</v>
      </c>
    </row>
    <row r="46" spans="1:58" s="114" customFormat="1">
      <c r="A46" s="972"/>
      <c r="B46" s="972"/>
      <c r="C46" s="972"/>
      <c r="D46" s="972"/>
      <c r="E46" s="972"/>
      <c r="F46" s="972"/>
      <c r="G46" s="972"/>
      <c r="H46" s="2"/>
      <c r="I46" s="11"/>
      <c r="J46" s="331"/>
      <c r="K46" s="10"/>
      <c r="L46" s="10"/>
      <c r="M46" s="10"/>
      <c r="N46" s="10"/>
      <c r="O46" s="10"/>
      <c r="P46" s="10"/>
      <c r="Q46" s="10"/>
      <c r="R46" s="10"/>
      <c r="S46" s="10"/>
      <c r="T46" s="10"/>
      <c r="U46" s="10"/>
      <c r="V46" s="10"/>
      <c r="W46" s="10"/>
      <c r="X46" s="10"/>
      <c r="Y46" s="10"/>
      <c r="Z46" s="10"/>
      <c r="AA46" s="25"/>
      <c r="AB46" s="10"/>
      <c r="AC46" s="232"/>
      <c r="AD46" s="10"/>
      <c r="AE46" s="10"/>
      <c r="AF46" s="10"/>
      <c r="AG46" s="10"/>
      <c r="AH46" s="25"/>
      <c r="AI46" s="10"/>
      <c r="AL46" s="972"/>
      <c r="AM46" s="41"/>
      <c r="AN46" s="330"/>
      <c r="AO46" s="232"/>
      <c r="AP46" s="232"/>
      <c r="AQ46" s="232"/>
      <c r="AR46" s="232"/>
      <c r="AS46" s="232"/>
      <c r="AT46" s="232"/>
      <c r="AU46" s="232"/>
      <c r="AV46" s="232"/>
      <c r="AW46" s="232"/>
      <c r="AX46" s="232"/>
      <c r="AY46" s="232"/>
      <c r="AZ46" s="232"/>
      <c r="BA46" s="232"/>
      <c r="BB46" s="232"/>
      <c r="BC46" s="232"/>
      <c r="BD46" s="232"/>
      <c r="BE46" s="232"/>
      <c r="BF46" s="232"/>
    </row>
    <row r="47" spans="1:58" s="114" customFormat="1">
      <c r="A47" s="972"/>
      <c r="B47" s="972"/>
      <c r="C47" s="128" t="s">
        <v>8</v>
      </c>
      <c r="D47" s="972"/>
      <c r="E47" s="972"/>
      <c r="F47" s="972"/>
      <c r="G47" s="972"/>
      <c r="H47" s="2"/>
      <c r="I47" s="11">
        <v>24.8</v>
      </c>
      <c r="J47" s="331">
        <v>25</v>
      </c>
      <c r="K47" s="10">
        <v>29.4</v>
      </c>
      <c r="L47" s="10">
        <v>34.799999999999997</v>
      </c>
      <c r="M47" s="10">
        <v>36</v>
      </c>
      <c r="N47" s="10">
        <v>36.799999999999997</v>
      </c>
      <c r="O47" s="10">
        <v>36.1</v>
      </c>
      <c r="P47" s="10">
        <v>37.299999999999997</v>
      </c>
      <c r="Q47" s="10">
        <v>37.700000000000003</v>
      </c>
      <c r="R47" s="10">
        <v>38.700000000000003</v>
      </c>
      <c r="S47" s="10">
        <v>36.5</v>
      </c>
      <c r="T47" s="10">
        <v>35.5</v>
      </c>
      <c r="U47" s="10">
        <v>32.1</v>
      </c>
      <c r="V47" s="10">
        <v>30.3</v>
      </c>
      <c r="W47" s="10">
        <v>29</v>
      </c>
      <c r="X47" s="10">
        <v>30.7</v>
      </c>
      <c r="Y47" s="10">
        <v>32</v>
      </c>
      <c r="Z47" s="10">
        <v>32.299999999999997</v>
      </c>
      <c r="AA47" s="25">
        <v>31.2</v>
      </c>
      <c r="AB47" s="25">
        <v>29.7</v>
      </c>
      <c r="AC47" s="232"/>
      <c r="AD47" s="10">
        <f t="shared" ref="AD47:AD52" si="10">((((J47/I47))^(1/8))-1)*100</f>
        <v>0.10045256604340747</v>
      </c>
      <c r="AE47" s="10">
        <f t="shared" ref="AE47:AE52" si="11">((((U47/J47))^(1/11))-1)*100</f>
        <v>2.2985664020565677</v>
      </c>
      <c r="AF47" s="10">
        <f t="shared" si="0"/>
        <v>0.69588469001213848</v>
      </c>
      <c r="AG47" s="10">
        <f t="shared" si="1"/>
        <v>-1.1039891614089248</v>
      </c>
      <c r="AH47" s="25"/>
      <c r="AI47" s="10">
        <f t="shared" si="2"/>
        <v>19.758064516129025</v>
      </c>
      <c r="AL47" s="114" t="s">
        <v>1907</v>
      </c>
      <c r="AM47" s="41">
        <v>240</v>
      </c>
      <c r="AN47" s="330">
        <v>327</v>
      </c>
      <c r="AO47" s="232">
        <v>407</v>
      </c>
      <c r="AP47" s="232">
        <v>490</v>
      </c>
      <c r="AQ47" s="232">
        <v>536</v>
      </c>
      <c r="AR47" s="232">
        <v>540</v>
      </c>
      <c r="AS47" s="232">
        <v>548</v>
      </c>
      <c r="AT47" s="232">
        <v>573</v>
      </c>
      <c r="AU47" s="232">
        <v>595</v>
      </c>
      <c r="AV47" s="232">
        <v>630</v>
      </c>
      <c r="AW47" s="232">
        <v>612</v>
      </c>
      <c r="AX47" s="232">
        <v>611</v>
      </c>
      <c r="AY47" s="232">
        <v>555</v>
      </c>
      <c r="AZ47" s="232">
        <v>544</v>
      </c>
      <c r="BA47" s="232">
        <v>527</v>
      </c>
      <c r="BB47" s="232">
        <v>575</v>
      </c>
      <c r="BC47" s="232">
        <v>627</v>
      </c>
      <c r="BD47" s="232">
        <v>646</v>
      </c>
      <c r="BE47" s="232">
        <v>633</v>
      </c>
      <c r="BF47" s="41">
        <v>615</v>
      </c>
    </row>
    <row r="48" spans="1:58" s="114" customFormat="1">
      <c r="A48" s="972"/>
      <c r="B48" s="972"/>
      <c r="C48" s="972" t="s">
        <v>5</v>
      </c>
      <c r="D48" s="972"/>
      <c r="E48" s="972"/>
      <c r="F48" s="972"/>
      <c r="G48" s="972"/>
      <c r="H48" s="2"/>
      <c r="I48" s="11">
        <v>80.900000000000006</v>
      </c>
      <c r="J48" s="331">
        <v>75.599999999999994</v>
      </c>
      <c r="K48" s="10">
        <v>71.8</v>
      </c>
      <c r="L48" s="10">
        <v>77</v>
      </c>
      <c r="M48" s="10">
        <v>77.900000000000006</v>
      </c>
      <c r="N48" s="10">
        <v>79.2</v>
      </c>
      <c r="O48" s="10">
        <v>75.5</v>
      </c>
      <c r="P48" s="10">
        <v>78.3</v>
      </c>
      <c r="Q48" s="10">
        <v>81</v>
      </c>
      <c r="R48" s="10">
        <v>78.900000000000006</v>
      </c>
      <c r="S48" s="10">
        <v>85.4</v>
      </c>
      <c r="T48" s="10">
        <v>84.8</v>
      </c>
      <c r="U48" s="10">
        <v>86.9</v>
      </c>
      <c r="V48" s="10">
        <v>82.6</v>
      </c>
      <c r="W48" s="10">
        <v>80.099999999999994</v>
      </c>
      <c r="X48" s="10">
        <v>78.099999999999994</v>
      </c>
      <c r="Y48" s="10">
        <v>80.099999999999994</v>
      </c>
      <c r="Z48" s="10">
        <v>78.599999999999994</v>
      </c>
      <c r="AA48" s="25">
        <v>76.7</v>
      </c>
      <c r="AB48" s="25">
        <v>75.5</v>
      </c>
      <c r="AC48" s="232"/>
      <c r="AD48" s="10">
        <f t="shared" si="10"/>
        <v>-0.84339258125739613</v>
      </c>
      <c r="AE48" s="10">
        <f t="shared" si="11"/>
        <v>1.2744320788155017</v>
      </c>
      <c r="AF48" s="10">
        <f t="shared" si="0"/>
        <v>-0.26534413772743015</v>
      </c>
      <c r="AG48" s="10">
        <f t="shared" si="1"/>
        <v>-1.9888893173268252</v>
      </c>
      <c r="AH48" s="25"/>
      <c r="AI48" s="10">
        <f t="shared" si="2"/>
        <v>-6.6749072929542681</v>
      </c>
      <c r="AL48" s="114" t="s">
        <v>1908</v>
      </c>
      <c r="AM48" s="41">
        <v>82</v>
      </c>
      <c r="AN48" s="330">
        <v>118</v>
      </c>
      <c r="AO48" s="232">
        <v>130</v>
      </c>
      <c r="AP48" s="232">
        <v>206</v>
      </c>
      <c r="AQ48" s="232">
        <v>216</v>
      </c>
      <c r="AR48" s="232">
        <v>264</v>
      </c>
      <c r="AS48" s="232">
        <v>239</v>
      </c>
      <c r="AT48" s="232">
        <v>241</v>
      </c>
      <c r="AU48" s="232">
        <v>265</v>
      </c>
      <c r="AV48" s="232">
        <v>275</v>
      </c>
      <c r="AW48" s="232">
        <v>299</v>
      </c>
      <c r="AX48" s="232">
        <v>250</v>
      </c>
      <c r="AY48" s="232">
        <v>236</v>
      </c>
      <c r="AZ48" s="232">
        <v>238</v>
      </c>
      <c r="BA48" s="232">
        <v>249</v>
      </c>
      <c r="BB48" s="232">
        <v>255</v>
      </c>
      <c r="BC48" s="232">
        <v>254</v>
      </c>
      <c r="BD48" s="232">
        <v>282</v>
      </c>
      <c r="BE48" s="232">
        <v>228</v>
      </c>
      <c r="BF48" s="41">
        <v>248</v>
      </c>
    </row>
    <row r="49" spans="1:58" s="114" customFormat="1">
      <c r="A49" s="972"/>
      <c r="B49" s="972"/>
      <c r="C49" s="972" t="s">
        <v>6</v>
      </c>
      <c r="D49" s="972"/>
      <c r="E49" s="972"/>
      <c r="F49" s="972"/>
      <c r="G49" s="972"/>
      <c r="H49" s="2"/>
      <c r="I49" s="11">
        <v>18.2</v>
      </c>
      <c r="J49" s="331">
        <v>18.2</v>
      </c>
      <c r="K49" s="10">
        <v>23.1</v>
      </c>
      <c r="L49" s="10">
        <v>24.9</v>
      </c>
      <c r="M49" s="10">
        <v>26.5</v>
      </c>
      <c r="N49" s="10">
        <v>24.3</v>
      </c>
      <c r="O49" s="10">
        <v>25.7</v>
      </c>
      <c r="P49" s="10">
        <v>27</v>
      </c>
      <c r="Q49" s="10">
        <v>26.4</v>
      </c>
      <c r="R49" s="10">
        <v>27.7</v>
      </c>
      <c r="S49" s="10">
        <v>23.6</v>
      </c>
      <c r="T49" s="10">
        <v>25.3</v>
      </c>
      <c r="U49" s="10">
        <v>21.9</v>
      </c>
      <c r="V49" s="10">
        <v>20.3</v>
      </c>
      <c r="W49" s="10">
        <v>18.5</v>
      </c>
      <c r="X49" s="10">
        <v>20.7</v>
      </c>
      <c r="Y49" s="10">
        <v>22.7</v>
      </c>
      <c r="Z49" s="10">
        <v>22.2</v>
      </c>
      <c r="AA49" s="25">
        <v>23.4</v>
      </c>
      <c r="AB49" s="25">
        <v>21.1</v>
      </c>
      <c r="AC49" s="232"/>
      <c r="AD49" s="10">
        <f t="shared" si="10"/>
        <v>0</v>
      </c>
      <c r="AE49" s="10">
        <f t="shared" si="11"/>
        <v>1.6966416903971604</v>
      </c>
      <c r="AF49" s="10">
        <f t="shared" si="0"/>
        <v>0.57027934603182118</v>
      </c>
      <c r="AG49" s="10">
        <f t="shared" si="1"/>
        <v>-0.53021219165095834</v>
      </c>
      <c r="AH49" s="25"/>
      <c r="AI49" s="10">
        <f t="shared" si="2"/>
        <v>15.934065934065945</v>
      </c>
      <c r="AL49" s="114" t="s">
        <v>1909</v>
      </c>
      <c r="AM49" s="41">
        <v>157</v>
      </c>
      <c r="AN49" s="330">
        <v>209</v>
      </c>
      <c r="AO49" s="232">
        <v>277</v>
      </c>
      <c r="AP49" s="232">
        <v>284</v>
      </c>
      <c r="AQ49" s="232">
        <v>321</v>
      </c>
      <c r="AR49" s="232">
        <v>276</v>
      </c>
      <c r="AS49" s="232">
        <v>309</v>
      </c>
      <c r="AT49" s="232">
        <v>332</v>
      </c>
      <c r="AU49" s="232">
        <v>331</v>
      </c>
      <c r="AV49" s="232">
        <v>355</v>
      </c>
      <c r="AW49" s="232">
        <v>313</v>
      </c>
      <c r="AX49" s="232">
        <v>361</v>
      </c>
      <c r="AY49" s="232">
        <v>319</v>
      </c>
      <c r="AZ49" s="232">
        <v>306</v>
      </c>
      <c r="BA49" s="232">
        <v>278</v>
      </c>
      <c r="BB49" s="232">
        <v>320</v>
      </c>
      <c r="BC49" s="232">
        <v>373</v>
      </c>
      <c r="BD49" s="232">
        <v>365</v>
      </c>
      <c r="BE49" s="232">
        <v>405</v>
      </c>
      <c r="BF49" s="41">
        <v>367</v>
      </c>
    </row>
    <row r="50" spans="1:58" s="114" customFormat="1">
      <c r="A50" s="972"/>
      <c r="B50" s="972"/>
      <c r="C50" s="128" t="s">
        <v>9</v>
      </c>
      <c r="D50" s="972"/>
      <c r="E50" s="972"/>
      <c r="F50" s="972"/>
      <c r="G50" s="972"/>
      <c r="H50" s="2"/>
      <c r="I50" s="11">
        <v>35.6</v>
      </c>
      <c r="J50" s="331">
        <v>34.1</v>
      </c>
      <c r="K50" s="10">
        <v>36.799999999999997</v>
      </c>
      <c r="L50" s="10">
        <v>41.5</v>
      </c>
      <c r="M50" s="10">
        <v>41.9</v>
      </c>
      <c r="N50" s="10">
        <v>40.6</v>
      </c>
      <c r="O50" s="10">
        <v>44.6</v>
      </c>
      <c r="P50" s="10">
        <v>41.7</v>
      </c>
      <c r="Q50" s="10">
        <v>44.2</v>
      </c>
      <c r="R50" s="10">
        <v>45.6</v>
      </c>
      <c r="S50" s="10">
        <v>45.8</v>
      </c>
      <c r="T50" s="10">
        <v>43.6</v>
      </c>
      <c r="U50" s="10">
        <v>44.3</v>
      </c>
      <c r="V50" s="10">
        <v>42.2</v>
      </c>
      <c r="W50" s="10">
        <v>39</v>
      </c>
      <c r="X50" s="10">
        <v>38.1</v>
      </c>
      <c r="Y50" s="10">
        <v>39.299999999999997</v>
      </c>
      <c r="Z50" s="10">
        <v>37.1</v>
      </c>
      <c r="AA50" s="25">
        <v>37.1</v>
      </c>
      <c r="AB50" s="25">
        <v>35.1</v>
      </c>
      <c r="AC50" s="232"/>
      <c r="AD50" s="10">
        <f t="shared" si="10"/>
        <v>-0.5366579878522959</v>
      </c>
      <c r="AE50" s="10">
        <f t="shared" si="11"/>
        <v>2.4074987470116715</v>
      </c>
      <c r="AF50" s="10">
        <f t="shared" si="0"/>
        <v>-5.4387156306701101E-2</v>
      </c>
      <c r="AG50" s="10">
        <f t="shared" si="1"/>
        <v>-3.2707930448925171</v>
      </c>
      <c r="AH50" s="25"/>
      <c r="AI50" s="10">
        <f t="shared" si="2"/>
        <v>-1.4044943820224698</v>
      </c>
      <c r="AL50" s="114" t="s">
        <v>1910</v>
      </c>
      <c r="AM50" s="41">
        <v>298</v>
      </c>
      <c r="AN50" s="330">
        <v>357</v>
      </c>
      <c r="AO50" s="232">
        <v>381</v>
      </c>
      <c r="AP50" s="232">
        <v>454</v>
      </c>
      <c r="AQ50" s="232">
        <v>448</v>
      </c>
      <c r="AR50" s="232">
        <v>427</v>
      </c>
      <c r="AS50" s="232">
        <v>494</v>
      </c>
      <c r="AT50" s="232">
        <v>478</v>
      </c>
      <c r="AU50" s="232">
        <v>497</v>
      </c>
      <c r="AV50" s="232">
        <v>527</v>
      </c>
      <c r="AW50" s="232">
        <v>549</v>
      </c>
      <c r="AX50" s="232">
        <v>530</v>
      </c>
      <c r="AY50" s="232">
        <v>569</v>
      </c>
      <c r="AZ50" s="232">
        <v>550</v>
      </c>
      <c r="BA50" s="232">
        <v>513</v>
      </c>
      <c r="BB50" s="232">
        <v>519</v>
      </c>
      <c r="BC50" s="232">
        <v>541</v>
      </c>
      <c r="BD50" s="232">
        <v>535</v>
      </c>
      <c r="BE50" s="232">
        <v>551</v>
      </c>
      <c r="BF50" s="41">
        <v>526</v>
      </c>
    </row>
    <row r="51" spans="1:58" s="114" customFormat="1">
      <c r="A51" s="972"/>
      <c r="B51" s="972"/>
      <c r="C51" s="972" t="s">
        <v>5</v>
      </c>
      <c r="D51" s="972"/>
      <c r="E51" s="972"/>
      <c r="F51" s="972"/>
      <c r="G51" s="972"/>
      <c r="H51" s="2"/>
      <c r="I51" s="11">
        <v>81.7</v>
      </c>
      <c r="J51" s="331">
        <v>74.400000000000006</v>
      </c>
      <c r="K51" s="10">
        <v>68.3</v>
      </c>
      <c r="L51" s="10">
        <v>73.2</v>
      </c>
      <c r="M51" s="10">
        <v>74.3</v>
      </c>
      <c r="N51" s="10">
        <v>72.5</v>
      </c>
      <c r="O51" s="10">
        <v>70.2</v>
      </c>
      <c r="P51" s="10">
        <v>75.2</v>
      </c>
      <c r="Q51" s="10">
        <v>74.8</v>
      </c>
      <c r="R51" s="10">
        <v>76.8</v>
      </c>
      <c r="S51" s="10">
        <v>81.599999999999994</v>
      </c>
      <c r="T51" s="10">
        <v>80.7</v>
      </c>
      <c r="U51" s="10">
        <v>81.8</v>
      </c>
      <c r="V51" s="10">
        <v>78.5</v>
      </c>
      <c r="W51" s="10">
        <v>79.400000000000006</v>
      </c>
      <c r="X51" s="10">
        <v>74.900000000000006</v>
      </c>
      <c r="Y51" s="10">
        <v>75.099999999999994</v>
      </c>
      <c r="Z51" s="10">
        <v>70.5</v>
      </c>
      <c r="AA51" s="25">
        <v>72.900000000000006</v>
      </c>
      <c r="AB51" s="25">
        <v>73.400000000000006</v>
      </c>
      <c r="AC51" s="232"/>
      <c r="AD51" s="10">
        <f t="shared" si="10"/>
        <v>-1.1631581480549436</v>
      </c>
      <c r="AE51" s="10">
        <f t="shared" si="11"/>
        <v>0.86573785483259336</v>
      </c>
      <c r="AF51" s="10">
        <f t="shared" si="0"/>
        <v>-0.4111910015141107</v>
      </c>
      <c r="AG51" s="10">
        <f t="shared" si="1"/>
        <v>-1.5359859344026838</v>
      </c>
      <c r="AH51" s="25"/>
      <c r="AI51" s="10">
        <f t="shared" si="2"/>
        <v>-10.159118727050176</v>
      </c>
      <c r="AL51" s="114" t="s">
        <v>1911</v>
      </c>
      <c r="AM51" s="41">
        <v>123</v>
      </c>
      <c r="AN51" s="330">
        <v>153</v>
      </c>
      <c r="AO51" s="232">
        <v>133</v>
      </c>
      <c r="AP51" s="232">
        <v>188</v>
      </c>
      <c r="AQ51" s="232">
        <v>207</v>
      </c>
      <c r="AR51" s="232">
        <v>193</v>
      </c>
      <c r="AS51" s="232">
        <v>224</v>
      </c>
      <c r="AT51" s="232">
        <v>219</v>
      </c>
      <c r="AU51" s="232">
        <v>228</v>
      </c>
      <c r="AV51" s="232">
        <v>253</v>
      </c>
      <c r="AW51" s="232">
        <v>282</v>
      </c>
      <c r="AX51" s="232">
        <v>261</v>
      </c>
      <c r="AY51" s="232">
        <v>264</v>
      </c>
      <c r="AZ51" s="232">
        <v>256</v>
      </c>
      <c r="BA51" s="232">
        <v>245</v>
      </c>
      <c r="BB51" s="232">
        <v>230</v>
      </c>
      <c r="BC51" s="232">
        <v>240</v>
      </c>
      <c r="BD51" s="232">
        <v>213</v>
      </c>
      <c r="BE51" s="232">
        <v>225</v>
      </c>
      <c r="BF51" s="41">
        <v>232</v>
      </c>
    </row>
    <row r="52" spans="1:58" s="972" customFormat="1">
      <c r="C52" s="972" t="s">
        <v>10</v>
      </c>
      <c r="H52" s="2"/>
      <c r="I52" s="11">
        <v>25.5</v>
      </c>
      <c r="J52" s="331">
        <v>24.3</v>
      </c>
      <c r="K52" s="10">
        <v>29.6</v>
      </c>
      <c r="L52" s="10">
        <v>31.8</v>
      </c>
      <c r="M52" s="10">
        <v>30.6</v>
      </c>
      <c r="N52" s="10">
        <v>29.8</v>
      </c>
      <c r="O52" s="10">
        <v>34.299999999999997</v>
      </c>
      <c r="P52" s="10">
        <v>30.3</v>
      </c>
      <c r="Q52" s="10">
        <v>32.9</v>
      </c>
      <c r="R52" s="10">
        <v>33.200000000000003</v>
      </c>
      <c r="S52" s="10">
        <v>31.4</v>
      </c>
      <c r="T52" s="10">
        <v>30.1</v>
      </c>
      <c r="U52" s="10">
        <v>31.7</v>
      </c>
      <c r="V52" s="10">
        <v>30.1</v>
      </c>
      <c r="W52" s="10">
        <v>26.6</v>
      </c>
      <c r="X52" s="10">
        <v>27.4</v>
      </c>
      <c r="Y52" s="10">
        <v>28.5</v>
      </c>
      <c r="Z52" s="10">
        <v>28.2</v>
      </c>
      <c r="AA52" s="25">
        <v>27.8</v>
      </c>
      <c r="AB52" s="25">
        <v>24.9</v>
      </c>
      <c r="AC52" s="232"/>
      <c r="AD52" s="10">
        <f t="shared" si="10"/>
        <v>-0.60071472335658793</v>
      </c>
      <c r="AE52" s="10">
        <f t="shared" si="11"/>
        <v>2.4461698840157364</v>
      </c>
      <c r="AF52" s="10">
        <f t="shared" si="0"/>
        <v>-9.1537496901739068E-2</v>
      </c>
      <c r="AG52" s="10">
        <f t="shared" si="1"/>
        <v>-3.3904604725514487</v>
      </c>
      <c r="AH52" s="25"/>
      <c r="AI52" s="10">
        <f t="shared" si="2"/>
        <v>-2.352941176470591</v>
      </c>
      <c r="AL52" s="114" t="s">
        <v>1912</v>
      </c>
      <c r="AM52" s="41">
        <v>175</v>
      </c>
      <c r="AN52" s="330">
        <v>205</v>
      </c>
      <c r="AO52" s="232">
        <v>248</v>
      </c>
      <c r="AP52" s="232">
        <v>266</v>
      </c>
      <c r="AQ52" s="232">
        <v>242</v>
      </c>
      <c r="AR52" s="232">
        <v>235</v>
      </c>
      <c r="AS52" s="232">
        <v>270</v>
      </c>
      <c r="AT52" s="232">
        <v>259</v>
      </c>
      <c r="AU52" s="232">
        <v>269</v>
      </c>
      <c r="AV52" s="232">
        <v>274</v>
      </c>
      <c r="AW52" s="232">
        <v>268</v>
      </c>
      <c r="AX52" s="232">
        <v>269</v>
      </c>
      <c r="AY52" s="232">
        <v>304</v>
      </c>
      <c r="AZ52" s="232">
        <v>294</v>
      </c>
      <c r="BA52" s="232">
        <v>268</v>
      </c>
      <c r="BB52" s="232">
        <v>290</v>
      </c>
      <c r="BC52" s="232">
        <v>301</v>
      </c>
      <c r="BD52" s="232">
        <v>322</v>
      </c>
      <c r="BE52" s="232">
        <v>327</v>
      </c>
      <c r="BF52" s="41">
        <v>294</v>
      </c>
    </row>
    <row r="53" spans="1:58" s="972" customFormat="1">
      <c r="I53" s="971"/>
      <c r="J53" s="971"/>
      <c r="K53" s="971"/>
      <c r="L53" s="971"/>
      <c r="M53" s="971"/>
      <c r="N53" s="971"/>
      <c r="O53" s="971"/>
      <c r="P53" s="971"/>
      <c r="Q53" s="971"/>
      <c r="R53" s="971"/>
      <c r="S53" s="971"/>
      <c r="T53" s="971"/>
      <c r="U53" s="971"/>
      <c r="V53" s="971"/>
      <c r="W53" s="971"/>
      <c r="X53" s="971"/>
      <c r="Y53" s="971"/>
      <c r="AL53" s="114"/>
      <c r="AM53" s="114"/>
      <c r="AN53" s="114"/>
      <c r="AO53" s="114"/>
      <c r="AP53" s="114"/>
      <c r="AQ53" s="114"/>
      <c r="AR53" s="114"/>
      <c r="AS53" s="114"/>
      <c r="AT53" s="114"/>
      <c r="AU53" s="114"/>
      <c r="AV53" s="114"/>
      <c r="AW53" s="114"/>
      <c r="AX53" s="114"/>
      <c r="AY53" s="114"/>
      <c r="AZ53" s="114"/>
      <c r="BA53" s="114"/>
      <c r="BB53" s="114"/>
      <c r="BC53" s="114"/>
      <c r="BD53" s="114"/>
      <c r="BE53" s="114"/>
      <c r="BF53" s="114"/>
    </row>
    <row r="54" spans="1:58" s="972" customFormat="1" ht="24" customHeight="1">
      <c r="A54" s="1170" t="s">
        <v>2263</v>
      </c>
      <c r="B54" s="1170"/>
      <c r="C54" s="1170"/>
      <c r="D54" s="1170"/>
      <c r="E54" s="1170"/>
      <c r="F54" s="1170"/>
      <c r="G54" s="1170"/>
      <c r="H54" s="1170"/>
      <c r="I54" s="1170"/>
      <c r="J54" s="1170"/>
      <c r="K54" s="1170"/>
      <c r="L54" s="1170"/>
      <c r="M54" s="1170"/>
      <c r="N54" s="1170"/>
      <c r="O54" s="1170"/>
      <c r="P54" s="1170"/>
      <c r="Q54" s="1170"/>
      <c r="R54" s="1170"/>
      <c r="S54" s="1170"/>
      <c r="T54" s="1170"/>
      <c r="U54" s="1170"/>
      <c r="V54" s="1170"/>
      <c r="W54" s="1170"/>
      <c r="X54" s="1170"/>
      <c r="Y54" s="1170"/>
      <c r="Z54" s="1170"/>
      <c r="AA54" s="1170"/>
      <c r="AB54" s="1170"/>
      <c r="AC54" s="1170"/>
      <c r="AD54" s="1170"/>
      <c r="AE54" s="1170"/>
      <c r="AF54" s="1170"/>
      <c r="AG54" s="1170"/>
      <c r="AH54" s="1170"/>
      <c r="AI54" s="1170"/>
      <c r="AL54" s="114"/>
      <c r="AM54" s="114"/>
      <c r="AN54" s="114"/>
      <c r="AO54" s="114"/>
      <c r="AP54" s="114"/>
      <c r="AQ54" s="114"/>
      <c r="AR54" s="114"/>
      <c r="AS54" s="114"/>
      <c r="AT54" s="114"/>
      <c r="AU54" s="114"/>
      <c r="AV54" s="114"/>
      <c r="AW54" s="114"/>
      <c r="AX54" s="114"/>
      <c r="AY54" s="114"/>
      <c r="AZ54" s="114"/>
      <c r="BA54" s="114"/>
      <c r="BB54" s="114"/>
      <c r="BC54" s="114"/>
      <c r="BD54" s="114"/>
      <c r="BE54" s="114"/>
      <c r="BF54" s="114"/>
    </row>
    <row r="55" spans="1:58" s="972" customFormat="1" ht="24" customHeight="1">
      <c r="A55" s="13" t="s">
        <v>388</v>
      </c>
      <c r="B55" s="966"/>
      <c r="C55" s="966"/>
      <c r="D55" s="966"/>
      <c r="E55" s="966"/>
      <c r="F55" s="966"/>
      <c r="G55" s="966"/>
      <c r="H55" s="966"/>
      <c r="I55" s="966"/>
      <c r="J55" s="966"/>
      <c r="K55" s="966"/>
      <c r="L55" s="966"/>
      <c r="M55" s="966"/>
      <c r="N55" s="966"/>
      <c r="O55" s="966"/>
      <c r="P55" s="966"/>
      <c r="Q55" s="966"/>
      <c r="R55" s="966"/>
      <c r="S55" s="966"/>
      <c r="T55" s="966"/>
      <c r="U55" s="966"/>
      <c r="V55" s="966"/>
      <c r="W55" s="966"/>
      <c r="X55" s="966"/>
      <c r="Y55" s="966"/>
      <c r="Z55" s="966"/>
      <c r="AA55" s="966"/>
      <c r="AB55" s="966"/>
      <c r="AC55" s="966"/>
      <c r="AD55" s="966"/>
      <c r="AE55" s="966"/>
      <c r="AF55" s="966"/>
      <c r="AG55" s="966"/>
      <c r="AH55" s="966"/>
      <c r="AI55" s="966"/>
      <c r="AL55" s="114"/>
      <c r="AM55" s="114"/>
      <c r="AN55" s="114"/>
      <c r="AO55" s="114"/>
      <c r="AP55" s="114"/>
      <c r="AQ55" s="114"/>
      <c r="AR55" s="114"/>
      <c r="AS55" s="114"/>
      <c r="AT55" s="114"/>
      <c r="AU55" s="114"/>
      <c r="AV55" s="114"/>
      <c r="AW55" s="114"/>
      <c r="AX55" s="114"/>
      <c r="AY55" s="114"/>
      <c r="AZ55" s="114"/>
      <c r="BA55" s="114"/>
      <c r="BB55" s="114"/>
      <c r="BC55" s="114"/>
      <c r="BD55" s="114"/>
      <c r="BE55" s="114"/>
      <c r="BF55" s="114"/>
    </row>
    <row r="56" spans="1:58" s="972" customFormat="1">
      <c r="A56" s="4" t="s">
        <v>1868</v>
      </c>
      <c r="B56" s="974"/>
      <c r="C56" s="974"/>
      <c r="D56" s="974"/>
      <c r="E56" s="974"/>
      <c r="F56" s="974"/>
      <c r="G56" s="974"/>
      <c r="H56" s="974"/>
      <c r="I56" s="974"/>
      <c r="J56" s="974"/>
      <c r="K56" s="974"/>
      <c r="L56" s="974"/>
      <c r="M56" s="974"/>
      <c r="N56" s="974"/>
      <c r="O56" s="974"/>
      <c r="P56" s="974"/>
      <c r="Q56" s="974"/>
      <c r="R56" s="974"/>
      <c r="S56" s="974"/>
      <c r="T56" s="974"/>
      <c r="U56" s="974"/>
      <c r="V56" s="974"/>
      <c r="W56" s="974"/>
      <c r="X56" s="974"/>
      <c r="Y56" s="974"/>
      <c r="Z56" s="974"/>
      <c r="AA56" s="974"/>
      <c r="AB56" s="974"/>
      <c r="AC56" s="974"/>
      <c r="AD56" s="974"/>
      <c r="AE56" s="974"/>
      <c r="AF56" s="974"/>
      <c r="AG56" s="974"/>
      <c r="AH56" s="974"/>
      <c r="AI56" s="974"/>
      <c r="AL56" s="114"/>
      <c r="AM56" s="114"/>
      <c r="AN56" s="114"/>
      <c r="AO56" s="114"/>
      <c r="AP56" s="114"/>
      <c r="AQ56" s="114"/>
      <c r="AR56" s="114"/>
      <c r="AS56" s="114"/>
      <c r="AT56" s="114"/>
      <c r="AU56" s="114"/>
      <c r="AV56" s="114"/>
      <c r="AW56" s="114"/>
      <c r="AX56" s="114"/>
      <c r="AY56" s="114"/>
      <c r="AZ56" s="114"/>
      <c r="BA56" s="114"/>
      <c r="BB56" s="114"/>
      <c r="BC56" s="114"/>
      <c r="BD56" s="114"/>
      <c r="BE56" s="114"/>
      <c r="BF56" s="114"/>
    </row>
    <row r="57" spans="1:58" s="972" customFormat="1" ht="29.25" customHeight="1">
      <c r="A57" s="1188" t="s">
        <v>653</v>
      </c>
      <c r="B57" s="1189"/>
      <c r="C57" s="1189"/>
      <c r="D57" s="1189"/>
      <c r="E57" s="1189"/>
      <c r="F57" s="1189"/>
      <c r="G57" s="1189"/>
      <c r="H57" s="1189"/>
      <c r="I57" s="1189"/>
      <c r="J57" s="1189"/>
      <c r="K57" s="1189"/>
      <c r="L57" s="1189"/>
      <c r="M57" s="1189"/>
      <c r="N57" s="1189"/>
      <c r="O57" s="1189"/>
      <c r="P57" s="1189"/>
      <c r="Q57" s="1189"/>
      <c r="R57" s="1189"/>
      <c r="S57" s="1189"/>
      <c r="T57" s="1189"/>
      <c r="U57" s="1189"/>
      <c r="V57" s="1189"/>
      <c r="W57" s="1189"/>
      <c r="X57" s="1189"/>
      <c r="Y57" s="1189"/>
      <c r="Z57" s="1189"/>
      <c r="AA57" s="1189"/>
      <c r="AB57" s="1189"/>
      <c r="AC57" s="1189"/>
      <c r="AD57" s="1189"/>
      <c r="AE57" s="1189"/>
      <c r="AF57" s="1189"/>
      <c r="AG57" s="1189"/>
      <c r="AH57" s="1189"/>
      <c r="AI57" s="1189"/>
      <c r="AL57" s="114"/>
      <c r="AM57" s="114"/>
      <c r="AN57" s="114"/>
      <c r="AO57" s="114"/>
      <c r="AP57" s="114"/>
      <c r="AQ57" s="114"/>
      <c r="AR57" s="114"/>
      <c r="AS57" s="114"/>
      <c r="AT57" s="114"/>
      <c r="AU57" s="114"/>
      <c r="AV57" s="114"/>
      <c r="AW57" s="114"/>
      <c r="AX57" s="114"/>
      <c r="AY57" s="114"/>
      <c r="AZ57" s="114"/>
      <c r="BA57" s="114"/>
      <c r="BB57" s="114"/>
      <c r="BC57" s="114"/>
      <c r="BD57" s="114"/>
      <c r="BE57" s="114"/>
      <c r="BF57" s="114"/>
    </row>
    <row r="58" spans="1:58" s="972" customFormat="1" ht="29.25" customHeight="1">
      <c r="A58" s="1168" t="s">
        <v>392</v>
      </c>
      <c r="B58" s="1169"/>
      <c r="C58" s="1169"/>
      <c r="D58" s="1169"/>
      <c r="E58" s="1169"/>
      <c r="F58" s="1169"/>
      <c r="G58" s="1169"/>
      <c r="H58" s="1169"/>
      <c r="I58" s="1169"/>
      <c r="J58" s="1169"/>
      <c r="K58" s="1169"/>
      <c r="L58" s="1169"/>
      <c r="M58" s="1169"/>
      <c r="N58" s="1169"/>
      <c r="O58" s="1169"/>
      <c r="P58" s="1169"/>
      <c r="Q58" s="1169"/>
      <c r="R58" s="1169"/>
      <c r="S58" s="1169"/>
      <c r="T58" s="1169"/>
      <c r="U58" s="1169"/>
      <c r="V58" s="1169"/>
      <c r="W58" s="1169"/>
      <c r="X58" s="1169"/>
      <c r="Y58" s="1169"/>
      <c r="Z58" s="1169"/>
      <c r="AA58" s="1169"/>
      <c r="AB58" s="1169"/>
      <c r="AC58" s="1169"/>
      <c r="AD58" s="1169"/>
      <c r="AE58" s="1169"/>
      <c r="AF58" s="1169"/>
      <c r="AG58" s="1169"/>
      <c r="AH58" s="1169"/>
      <c r="AI58" s="1169"/>
      <c r="AL58" s="114"/>
      <c r="AM58" s="114"/>
      <c r="AN58" s="114"/>
      <c r="AO58" s="114"/>
      <c r="AP58" s="114"/>
      <c r="AQ58" s="114"/>
      <c r="AR58" s="114"/>
      <c r="AS58" s="114"/>
      <c r="AT58" s="114"/>
      <c r="AU58" s="114"/>
      <c r="AV58" s="114"/>
      <c r="AW58" s="114"/>
      <c r="AX58" s="114"/>
      <c r="AY58" s="114"/>
      <c r="AZ58" s="114"/>
      <c r="BA58" s="114"/>
      <c r="BB58" s="114"/>
      <c r="BC58" s="114"/>
      <c r="BD58" s="114"/>
      <c r="BE58" s="114"/>
      <c r="BF58" s="114"/>
    </row>
    <row r="59" spans="1:58" s="972" customFormat="1">
      <c r="A59" s="972" t="s">
        <v>393</v>
      </c>
      <c r="I59" s="971"/>
      <c r="J59" s="971"/>
      <c r="K59" s="971"/>
      <c r="L59" s="971"/>
      <c r="M59" s="971"/>
      <c r="N59" s="971"/>
      <c r="O59" s="971"/>
      <c r="P59" s="971"/>
      <c r="Q59" s="971"/>
      <c r="R59" s="971"/>
      <c r="S59" s="971"/>
      <c r="T59" s="971"/>
      <c r="U59" s="971"/>
      <c r="V59" s="971"/>
      <c r="W59" s="971"/>
      <c r="X59" s="971"/>
      <c r="Y59" s="971"/>
      <c r="AL59" s="114"/>
      <c r="AM59" s="114"/>
      <c r="AN59" s="114"/>
      <c r="AO59" s="114"/>
      <c r="AP59" s="114"/>
      <c r="AQ59" s="114"/>
      <c r="AR59" s="114"/>
      <c r="AS59" s="114"/>
      <c r="AT59" s="114"/>
      <c r="AU59" s="114"/>
      <c r="AV59" s="114"/>
      <c r="AW59" s="114"/>
      <c r="AX59" s="114"/>
      <c r="AY59" s="114"/>
      <c r="AZ59" s="114"/>
      <c r="BA59" s="114"/>
      <c r="BB59" s="114"/>
      <c r="BC59" s="114"/>
      <c r="BD59" s="114"/>
      <c r="BE59" s="114"/>
      <c r="BF59" s="114"/>
    </row>
    <row r="60" spans="1:58">
      <c r="A60" s="1" t="s">
        <v>467</v>
      </c>
    </row>
  </sheetData>
  <mergeCells count="5">
    <mergeCell ref="A58:AI58"/>
    <mergeCell ref="A1:AD1"/>
    <mergeCell ref="AD3:AG3"/>
    <mergeCell ref="A54:AI54"/>
    <mergeCell ref="A57:AI57"/>
  </mergeCells>
  <phoneticPr fontId="35" type="noConversion"/>
  <pageMargins left="0.75" right="0.75" top="1" bottom="1" header="0.5" footer="0.5"/>
  <pageSetup scale="53"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sheetPr codeName="Sheet108">
    <pageSetUpPr fitToPage="1"/>
  </sheetPr>
  <dimension ref="A1:BF62"/>
  <sheetViews>
    <sheetView view="pageBreakPreview" zoomScale="70" zoomScaleSheetLayoutView="70"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42578125" style="1" customWidth="1"/>
    <col min="9" max="25" width="7.140625" style="652" customWidth="1"/>
    <col min="26" max="27" width="7.140625" style="1" customWidth="1"/>
    <col min="28" max="29" width="7.140625" style="972" customWidth="1"/>
    <col min="30" max="30" width="8.140625" style="1" customWidth="1"/>
    <col min="31" max="34" width="7.140625" style="1" customWidth="1"/>
    <col min="35" max="35" width="7.5703125" style="1" customWidth="1"/>
    <col min="36" max="36" width="6" style="1" customWidth="1"/>
    <col min="37" max="16384" width="9.140625" style="1"/>
  </cols>
  <sheetData>
    <row r="1" spans="1:58" ht="15.75" customHeight="1">
      <c r="A1" s="1178" t="s">
        <v>2167</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row>
    <row r="2" spans="1:58">
      <c r="A2" s="4"/>
      <c r="B2" s="4"/>
    </row>
    <row r="3" spans="1:58" s="9" customFormat="1">
      <c r="H3" s="235"/>
      <c r="I3" s="665"/>
      <c r="J3" s="238"/>
      <c r="K3" s="666"/>
      <c r="L3" s="666"/>
      <c r="M3" s="666"/>
      <c r="N3" s="666"/>
      <c r="O3" s="666"/>
      <c r="P3" s="666"/>
      <c r="Q3" s="666"/>
      <c r="R3" s="666"/>
      <c r="S3" s="666"/>
      <c r="T3" s="666"/>
      <c r="U3" s="666"/>
      <c r="V3" s="666"/>
      <c r="W3" s="666"/>
      <c r="X3" s="666"/>
      <c r="Y3" s="666"/>
      <c r="AD3" s="1171" t="s">
        <v>802</v>
      </c>
      <c r="AE3" s="1171"/>
      <c r="AF3" s="1171"/>
      <c r="AG3" s="1171"/>
      <c r="AI3" s="644" t="s">
        <v>276</v>
      </c>
    </row>
    <row r="4" spans="1:58" s="235" customFormat="1">
      <c r="A4" s="973"/>
      <c r="B4" s="973"/>
      <c r="C4" s="973"/>
      <c r="D4" s="973"/>
      <c r="E4" s="973"/>
      <c r="F4" s="973"/>
      <c r="G4" s="973"/>
      <c r="H4" s="7"/>
      <c r="I4" s="237">
        <v>1981</v>
      </c>
      <c r="J4" s="239">
        <v>1989</v>
      </c>
      <c r="K4" s="132">
        <v>1990</v>
      </c>
      <c r="L4" s="132">
        <v>1991</v>
      </c>
      <c r="M4" s="132">
        <v>1992</v>
      </c>
      <c r="N4" s="132">
        <v>1993</v>
      </c>
      <c r="O4" s="132">
        <v>1994</v>
      </c>
      <c r="P4" s="132">
        <v>1995</v>
      </c>
      <c r="Q4" s="132">
        <v>1996</v>
      </c>
      <c r="R4" s="132">
        <v>1997</v>
      </c>
      <c r="S4" s="132">
        <v>1998</v>
      </c>
      <c r="T4" s="132">
        <v>1999</v>
      </c>
      <c r="U4" s="132">
        <v>2000</v>
      </c>
      <c r="V4" s="132">
        <v>2001</v>
      </c>
      <c r="W4" s="132">
        <v>2002</v>
      </c>
      <c r="X4" s="132">
        <v>2003</v>
      </c>
      <c r="Y4" s="132">
        <v>2004</v>
      </c>
      <c r="Z4" s="132">
        <v>2005</v>
      </c>
      <c r="AA4" s="132">
        <v>2006</v>
      </c>
      <c r="AB4" s="132">
        <v>2007</v>
      </c>
      <c r="AC4" s="132"/>
      <c r="AD4" s="250" t="s">
        <v>603</v>
      </c>
      <c r="AE4" s="250" t="s">
        <v>604</v>
      </c>
      <c r="AF4" s="241" t="s">
        <v>447</v>
      </c>
      <c r="AG4" s="241" t="s">
        <v>449</v>
      </c>
      <c r="AH4" s="23"/>
      <c r="AI4" s="241" t="s">
        <v>447</v>
      </c>
      <c r="AJ4" s="9"/>
      <c r="AK4" s="9"/>
      <c r="AL4" s="9"/>
      <c r="AM4" s="9">
        <v>1981</v>
      </c>
      <c r="AN4" s="9">
        <v>1989</v>
      </c>
      <c r="AO4" s="9">
        <v>1990</v>
      </c>
      <c r="AP4" s="9">
        <v>1991</v>
      </c>
      <c r="AQ4" s="9">
        <v>1992</v>
      </c>
      <c r="AR4" s="9">
        <v>1993</v>
      </c>
      <c r="AS4" s="9">
        <v>1994</v>
      </c>
      <c r="AT4" s="9">
        <v>1995</v>
      </c>
      <c r="AU4" s="9">
        <v>1996</v>
      </c>
      <c r="AV4" s="9">
        <v>1997</v>
      </c>
      <c r="AW4" s="9">
        <v>1998</v>
      </c>
      <c r="AX4" s="9">
        <v>1999</v>
      </c>
      <c r="AY4" s="235">
        <v>2000</v>
      </c>
      <c r="AZ4" s="235">
        <v>2001</v>
      </c>
      <c r="BA4" s="235">
        <v>2002</v>
      </c>
      <c r="BB4" s="235">
        <v>2003</v>
      </c>
      <c r="BC4" s="235">
        <v>2004</v>
      </c>
      <c r="BD4" s="235">
        <v>2005</v>
      </c>
      <c r="BE4" s="235">
        <v>2006</v>
      </c>
      <c r="BF4" s="235">
        <v>2007</v>
      </c>
    </row>
    <row r="5" spans="1:58" s="972" customFormat="1">
      <c r="A5" s="128"/>
      <c r="B5" s="128" t="s">
        <v>535</v>
      </c>
      <c r="C5" s="1145"/>
      <c r="D5" s="1145"/>
      <c r="E5" s="1145"/>
      <c r="F5" s="1145"/>
      <c r="G5" s="1145"/>
      <c r="H5" s="1145"/>
      <c r="I5" s="41">
        <v>2828</v>
      </c>
      <c r="J5" s="330">
        <v>2709</v>
      </c>
      <c r="K5" s="232">
        <v>3192</v>
      </c>
      <c r="L5" s="232">
        <v>3607</v>
      </c>
      <c r="M5" s="232">
        <v>3677</v>
      </c>
      <c r="N5" s="232">
        <v>3957</v>
      </c>
      <c r="O5" s="232">
        <v>3979</v>
      </c>
      <c r="P5" s="232">
        <v>4152</v>
      </c>
      <c r="Q5" s="232">
        <v>4397</v>
      </c>
      <c r="R5" s="232">
        <v>4379</v>
      </c>
      <c r="S5" s="232">
        <v>4031</v>
      </c>
      <c r="T5" s="232">
        <v>3861</v>
      </c>
      <c r="U5" s="232">
        <v>3743</v>
      </c>
      <c r="V5" s="232">
        <v>3396</v>
      </c>
      <c r="W5" s="232">
        <v>3540</v>
      </c>
      <c r="X5" s="232">
        <v>3594</v>
      </c>
      <c r="Y5" s="232">
        <v>3545</v>
      </c>
      <c r="Z5" s="232">
        <v>3410</v>
      </c>
      <c r="AA5" s="232">
        <v>3354</v>
      </c>
      <c r="AB5" s="1006">
        <v>2952</v>
      </c>
      <c r="AC5" s="10"/>
      <c r="AD5" s="10">
        <f>((((J5/I5))^(1/8))-1)*100</f>
        <v>-0.53593602264251361</v>
      </c>
      <c r="AE5" s="10">
        <f>((((U5/J5))^(1/11))-1)*100</f>
        <v>2.98278209742453</v>
      </c>
      <c r="AF5" s="10">
        <f>((((AB5/I5))^(1/26))-1)*100</f>
        <v>0.16518689388818064</v>
      </c>
      <c r="AG5" s="10">
        <f>((((AB5/U5))^(1/7))-1)*100</f>
        <v>-3.33462673095406</v>
      </c>
      <c r="AH5" s="610"/>
      <c r="AI5" s="10">
        <f>((AB5/I5)-1)*100</f>
        <v>4.3847241867043918</v>
      </c>
      <c r="AL5" s="972" t="s">
        <v>964</v>
      </c>
      <c r="AM5" s="11">
        <v>16.2</v>
      </c>
      <c r="AN5" s="331">
        <v>14.1</v>
      </c>
      <c r="AO5" s="10">
        <v>15.9</v>
      </c>
      <c r="AP5" s="10">
        <v>17.899999999999999</v>
      </c>
      <c r="AQ5" s="10">
        <v>17.8</v>
      </c>
      <c r="AR5" s="10">
        <v>18.5</v>
      </c>
      <c r="AS5" s="10">
        <v>18.399999999999999</v>
      </c>
      <c r="AT5" s="10">
        <v>18.5</v>
      </c>
      <c r="AU5" s="10">
        <v>19.5</v>
      </c>
      <c r="AV5" s="10">
        <v>19.5</v>
      </c>
      <c r="AW5" s="10">
        <v>18.2</v>
      </c>
      <c r="AX5" s="10">
        <v>17.5</v>
      </c>
      <c r="AY5" s="10">
        <v>16.8</v>
      </c>
      <c r="AZ5" s="10">
        <v>15.5</v>
      </c>
      <c r="BA5" s="10">
        <v>15.6</v>
      </c>
      <c r="BB5" s="10">
        <v>15.6</v>
      </c>
      <c r="BC5" s="10">
        <v>15.4</v>
      </c>
      <c r="BD5" s="10">
        <v>15.2</v>
      </c>
      <c r="BE5" s="10">
        <v>14.6</v>
      </c>
      <c r="BF5" s="11">
        <v>13.3</v>
      </c>
    </row>
    <row r="6" spans="1:58" s="972" customFormat="1">
      <c r="A6" s="128"/>
      <c r="B6" s="128"/>
      <c r="C6" s="1145"/>
      <c r="D6" s="1145"/>
      <c r="E6" s="1145"/>
      <c r="F6" s="1145"/>
      <c r="G6" s="1145"/>
      <c r="H6" s="1145"/>
      <c r="I6" s="41"/>
      <c r="J6" s="330"/>
      <c r="K6" s="232"/>
      <c r="L6" s="232"/>
      <c r="M6" s="232"/>
      <c r="N6" s="232"/>
      <c r="O6" s="232"/>
      <c r="P6" s="232"/>
      <c r="Q6" s="232"/>
      <c r="R6" s="232"/>
      <c r="S6" s="232"/>
      <c r="T6" s="232"/>
      <c r="U6" s="232"/>
      <c r="V6" s="232"/>
      <c r="W6" s="232"/>
      <c r="X6" s="232"/>
      <c r="Y6" s="232"/>
      <c r="Z6" s="232"/>
      <c r="AA6" s="232"/>
      <c r="AB6" s="135"/>
      <c r="AC6" s="10"/>
      <c r="AD6" s="10"/>
      <c r="AE6" s="10"/>
      <c r="AF6" s="10"/>
      <c r="AG6" s="10"/>
      <c r="AH6" s="25"/>
      <c r="AI6" s="10"/>
      <c r="AM6" s="11"/>
      <c r="AN6" s="331"/>
      <c r="AO6" s="10"/>
      <c r="AP6" s="10"/>
      <c r="AQ6" s="10"/>
      <c r="AR6" s="10"/>
      <c r="AS6" s="10"/>
      <c r="AT6" s="10"/>
      <c r="AU6" s="10"/>
      <c r="AV6" s="10"/>
      <c r="AW6" s="10"/>
      <c r="AX6" s="10"/>
      <c r="AY6" s="10"/>
      <c r="AZ6" s="10"/>
      <c r="BA6" s="10"/>
      <c r="BB6" s="10"/>
      <c r="BC6" s="10"/>
      <c r="BD6" s="10"/>
      <c r="BE6" s="10"/>
      <c r="BF6" s="11"/>
    </row>
    <row r="7" spans="1:58" s="972" customFormat="1">
      <c r="A7" s="1145"/>
      <c r="B7" s="1145"/>
      <c r="C7" s="1145" t="s">
        <v>536</v>
      </c>
      <c r="D7" s="1145"/>
      <c r="E7" s="1145"/>
      <c r="F7" s="1145"/>
      <c r="G7" s="1145"/>
      <c r="H7" s="1145"/>
      <c r="I7" s="41">
        <v>848</v>
      </c>
      <c r="J7" s="330">
        <v>792</v>
      </c>
      <c r="K7" s="232">
        <v>942</v>
      </c>
      <c r="L7" s="232">
        <v>1036</v>
      </c>
      <c r="M7" s="232">
        <v>1035</v>
      </c>
      <c r="N7" s="232">
        <v>1180</v>
      </c>
      <c r="O7" s="232">
        <v>1135</v>
      </c>
      <c r="P7" s="232">
        <v>1225</v>
      </c>
      <c r="Q7" s="232">
        <v>1293</v>
      </c>
      <c r="R7" s="232">
        <v>1220</v>
      </c>
      <c r="S7" s="232">
        <v>1096</v>
      </c>
      <c r="T7" s="232">
        <v>1016</v>
      </c>
      <c r="U7" s="232">
        <v>967</v>
      </c>
      <c r="V7" s="232">
        <v>845</v>
      </c>
      <c r="W7" s="232">
        <v>851</v>
      </c>
      <c r="X7" s="232">
        <v>870</v>
      </c>
      <c r="Y7" s="232">
        <v>884</v>
      </c>
      <c r="Z7" s="232">
        <v>798</v>
      </c>
      <c r="AA7" s="232">
        <v>770</v>
      </c>
      <c r="AB7" s="135">
        <v>637</v>
      </c>
      <c r="AC7" s="10"/>
      <c r="AD7" s="10">
        <f>((((J7/I7))^(1/8))-1)*100</f>
        <v>-0.8503544085527559</v>
      </c>
      <c r="AE7" s="10">
        <f>((((U7/J7))^(1/11))-1)*100</f>
        <v>1.83145184221154</v>
      </c>
      <c r="AF7" s="10">
        <f t="shared" ref="AF7:AF50" si="0">((((AB7/I7))^(1/26))-1)*100</f>
        <v>-1.094394298973933</v>
      </c>
      <c r="AG7" s="10">
        <f t="shared" ref="AG7:AG50" si="1">((((AB7/U7))^(1/7))-1)*100</f>
        <v>-5.7889484677163816</v>
      </c>
      <c r="AH7" s="25"/>
      <c r="AI7" s="10">
        <f t="shared" ref="AI7:AI50" si="2">((AB7/I7)-1)*100</f>
        <v>-24.882075471698116</v>
      </c>
      <c r="AL7" s="972" t="s">
        <v>1878</v>
      </c>
      <c r="AM7" s="11">
        <v>8.9</v>
      </c>
      <c r="AN7" s="331">
        <v>7.5</v>
      </c>
      <c r="AO7" s="10">
        <v>9.1</v>
      </c>
      <c r="AP7" s="10">
        <v>9.9</v>
      </c>
      <c r="AQ7" s="10">
        <v>9.9</v>
      </c>
      <c r="AR7" s="10">
        <v>11</v>
      </c>
      <c r="AS7" s="10">
        <v>10.8</v>
      </c>
      <c r="AT7" s="10">
        <v>10.9</v>
      </c>
      <c r="AU7" s="10">
        <v>11.7</v>
      </c>
      <c r="AV7" s="10">
        <v>11.6</v>
      </c>
      <c r="AW7" s="10">
        <v>10.1</v>
      </c>
      <c r="AX7" s="10">
        <v>9.5</v>
      </c>
      <c r="AY7" s="10">
        <v>9</v>
      </c>
      <c r="AZ7" s="10">
        <v>7.9</v>
      </c>
      <c r="BA7" s="10">
        <v>8.6</v>
      </c>
      <c r="BB7" s="10">
        <v>8.5</v>
      </c>
      <c r="BC7" s="10">
        <v>8</v>
      </c>
      <c r="BD7" s="10">
        <v>7.4</v>
      </c>
      <c r="BE7" s="10">
        <v>7</v>
      </c>
      <c r="BF7" s="11">
        <v>5.8</v>
      </c>
    </row>
    <row r="8" spans="1:58" s="972" customFormat="1">
      <c r="A8" s="1145"/>
      <c r="B8" s="1145"/>
      <c r="C8" s="1145" t="s">
        <v>28</v>
      </c>
      <c r="D8" s="1145"/>
      <c r="E8" s="1145"/>
      <c r="F8" s="1145"/>
      <c r="G8" s="1145"/>
      <c r="H8" s="1145"/>
      <c r="I8" s="41">
        <v>1512</v>
      </c>
      <c r="J8" s="330">
        <v>1596</v>
      </c>
      <c r="K8" s="232">
        <v>1935</v>
      </c>
      <c r="L8" s="232">
        <v>2235</v>
      </c>
      <c r="M8" s="232">
        <v>2338</v>
      </c>
      <c r="N8" s="232">
        <v>2439</v>
      </c>
      <c r="O8" s="232">
        <v>2567</v>
      </c>
      <c r="P8" s="232">
        <v>2640</v>
      </c>
      <c r="Q8" s="232">
        <v>2777</v>
      </c>
      <c r="R8" s="232">
        <v>2851</v>
      </c>
      <c r="S8" s="232">
        <v>2635</v>
      </c>
      <c r="T8" s="232">
        <v>2563</v>
      </c>
      <c r="U8" s="232">
        <v>2501</v>
      </c>
      <c r="V8" s="232">
        <v>2306</v>
      </c>
      <c r="W8" s="232">
        <v>2405</v>
      </c>
      <c r="X8" s="232">
        <v>2465</v>
      </c>
      <c r="Y8" s="232">
        <v>2442</v>
      </c>
      <c r="Z8" s="232">
        <v>2370</v>
      </c>
      <c r="AA8" s="232">
        <v>2365</v>
      </c>
      <c r="AB8" s="135">
        <v>2113</v>
      </c>
      <c r="AC8" s="10"/>
      <c r="AD8" s="10">
        <f>((((J8/I8))^(1/8))-1)*100</f>
        <v>0.67812921985541674</v>
      </c>
      <c r="AE8" s="10">
        <f>((((U8/J8))^(1/11))-1)*100</f>
        <v>4.1680702096928979</v>
      </c>
      <c r="AF8" s="10">
        <v>1.2955335630745912</v>
      </c>
      <c r="AG8" s="10">
        <v>-2.3795445954728156</v>
      </c>
      <c r="AH8" s="25"/>
      <c r="AI8" s="10">
        <v>39.748677248677254</v>
      </c>
      <c r="AM8" s="11"/>
      <c r="AN8" s="331"/>
      <c r="AO8" s="10"/>
      <c r="AP8" s="10"/>
      <c r="AQ8" s="10"/>
      <c r="AR8" s="10"/>
      <c r="AS8" s="10"/>
      <c r="AT8" s="10"/>
      <c r="AU8" s="10"/>
      <c r="AV8" s="10"/>
      <c r="AW8" s="10"/>
      <c r="AX8" s="10"/>
      <c r="AY8" s="10"/>
      <c r="AZ8" s="10"/>
      <c r="BA8" s="10"/>
      <c r="BB8" s="10"/>
      <c r="BC8" s="10"/>
      <c r="BD8" s="10"/>
      <c r="BE8" s="10"/>
      <c r="BF8" s="11"/>
    </row>
    <row r="9" spans="1:58" s="972" customFormat="1">
      <c r="A9" s="1145"/>
      <c r="B9" s="1145"/>
      <c r="C9" s="1145" t="s">
        <v>29</v>
      </c>
      <c r="D9" s="1145"/>
      <c r="E9" s="1145"/>
      <c r="F9" s="1145"/>
      <c r="G9" s="1145"/>
      <c r="H9" s="1145"/>
      <c r="I9" s="41">
        <v>468</v>
      </c>
      <c r="J9" s="330">
        <v>320</v>
      </c>
      <c r="K9" s="232">
        <v>316</v>
      </c>
      <c r="L9" s="232">
        <v>336</v>
      </c>
      <c r="M9" s="232">
        <v>304</v>
      </c>
      <c r="N9" s="232">
        <v>338</v>
      </c>
      <c r="O9" s="232">
        <v>276</v>
      </c>
      <c r="P9" s="232">
        <v>287</v>
      </c>
      <c r="Q9" s="232">
        <v>327</v>
      </c>
      <c r="R9" s="232">
        <v>308</v>
      </c>
      <c r="S9" s="232">
        <v>300</v>
      </c>
      <c r="T9" s="232">
        <v>281</v>
      </c>
      <c r="U9" s="232">
        <v>275</v>
      </c>
      <c r="V9" s="232">
        <v>246</v>
      </c>
      <c r="W9" s="232">
        <v>284</v>
      </c>
      <c r="X9" s="232">
        <v>259</v>
      </c>
      <c r="Y9" s="232">
        <v>219</v>
      </c>
      <c r="Z9" s="232">
        <v>243</v>
      </c>
      <c r="AA9" s="232">
        <v>219</v>
      </c>
      <c r="AB9" s="135">
        <v>201</v>
      </c>
      <c r="AC9" s="10"/>
      <c r="AD9" s="10">
        <f>((((J9/I9))^(1/8))-1)*100</f>
        <v>-4.6407085073330361</v>
      </c>
      <c r="AE9" s="10">
        <f>((((U9/J9))^(1/11))-1)*100</f>
        <v>-1.3682791325314025</v>
      </c>
      <c r="AF9" s="10">
        <f t="shared" si="0"/>
        <v>-3.1983633346315821</v>
      </c>
      <c r="AG9" s="10">
        <f t="shared" si="1"/>
        <v>-4.3793021090989708</v>
      </c>
      <c r="AH9" s="25"/>
      <c r="AI9" s="10">
        <f t="shared" si="2"/>
        <v>-57.051282051282051</v>
      </c>
      <c r="AL9" s="972" t="s">
        <v>1879</v>
      </c>
      <c r="AM9" s="11">
        <v>9.6</v>
      </c>
      <c r="AN9" s="331">
        <v>3.9</v>
      </c>
      <c r="AO9" s="10">
        <v>2.9</v>
      </c>
      <c r="AP9" s="10">
        <v>3.3</v>
      </c>
      <c r="AQ9" s="10">
        <v>2.9</v>
      </c>
      <c r="AR9" s="10">
        <v>3.9</v>
      </c>
      <c r="AS9" s="10">
        <v>3.1</v>
      </c>
      <c r="AT9" s="10">
        <v>2.5</v>
      </c>
      <c r="AU9" s="10">
        <v>2.7</v>
      </c>
      <c r="AV9" s="10">
        <v>3.4</v>
      </c>
      <c r="AW9" s="10">
        <v>3.9</v>
      </c>
      <c r="AX9" s="10">
        <v>3.1</v>
      </c>
      <c r="AY9" s="10">
        <v>3.1</v>
      </c>
      <c r="AZ9" s="10">
        <v>2.5</v>
      </c>
      <c r="BA9" s="10">
        <v>2.9</v>
      </c>
      <c r="BB9" s="10">
        <v>2.7</v>
      </c>
      <c r="BC9" s="10">
        <v>2.1</v>
      </c>
      <c r="BD9" s="10">
        <v>1.6</v>
      </c>
      <c r="BE9" s="10">
        <v>2.2999999999999998</v>
      </c>
      <c r="BF9" s="11">
        <v>1.5</v>
      </c>
    </row>
    <row r="10" spans="1:58" s="972" customFormat="1">
      <c r="A10" s="1145"/>
      <c r="B10" s="1145"/>
      <c r="C10" s="1145"/>
      <c r="D10" s="1145"/>
      <c r="E10" s="1145"/>
      <c r="F10" s="1145"/>
      <c r="G10" s="1145"/>
      <c r="H10" s="1145"/>
      <c r="I10" s="41"/>
      <c r="J10" s="330"/>
      <c r="K10" s="232"/>
      <c r="L10" s="232"/>
      <c r="M10" s="232"/>
      <c r="N10" s="232"/>
      <c r="O10" s="232"/>
      <c r="P10" s="232"/>
      <c r="Q10" s="232"/>
      <c r="R10" s="232"/>
      <c r="S10" s="232"/>
      <c r="T10" s="232"/>
      <c r="U10" s="232"/>
      <c r="V10" s="232"/>
      <c r="W10" s="232"/>
      <c r="X10" s="232"/>
      <c r="Y10" s="232"/>
      <c r="Z10" s="232"/>
      <c r="AA10" s="232"/>
      <c r="AB10" s="135"/>
      <c r="AC10" s="10"/>
      <c r="AD10" s="10"/>
      <c r="AE10" s="10"/>
      <c r="AF10" s="10"/>
      <c r="AG10" s="10"/>
      <c r="AH10" s="25"/>
      <c r="AI10" s="10"/>
      <c r="AL10" s="972" t="s">
        <v>1880</v>
      </c>
      <c r="AM10" s="11">
        <v>8.3000000000000007</v>
      </c>
      <c r="AN10" s="331">
        <v>3.2</v>
      </c>
      <c r="AO10" s="10">
        <v>2.7</v>
      </c>
      <c r="AP10" s="10">
        <v>3.2</v>
      </c>
      <c r="AQ10" s="10">
        <v>1.7</v>
      </c>
      <c r="AR10" s="10">
        <v>2.4</v>
      </c>
      <c r="AS10" s="10">
        <v>1.8</v>
      </c>
      <c r="AT10" s="10">
        <v>1.6</v>
      </c>
      <c r="AU10" s="10">
        <v>1.7</v>
      </c>
      <c r="AV10" s="10">
        <v>2.2000000000000002</v>
      </c>
      <c r="AW10" s="10">
        <v>1.7</v>
      </c>
      <c r="AX10" s="10">
        <v>1.4</v>
      </c>
      <c r="AY10" s="10">
        <v>1.2</v>
      </c>
      <c r="AZ10" s="10">
        <v>1.6</v>
      </c>
      <c r="BA10" s="10">
        <v>1.9</v>
      </c>
      <c r="BB10" s="10">
        <v>1.7</v>
      </c>
      <c r="BC10" s="10">
        <v>1.3</v>
      </c>
      <c r="BD10" s="10">
        <v>1</v>
      </c>
      <c r="BE10" s="10">
        <v>1.2</v>
      </c>
      <c r="BF10" s="11">
        <v>0.9</v>
      </c>
    </row>
    <row r="11" spans="1:58" s="972" customFormat="1">
      <c r="A11" s="1145"/>
      <c r="B11" s="1145"/>
      <c r="C11" s="1145" t="s">
        <v>30</v>
      </c>
      <c r="D11" s="1145"/>
      <c r="E11" s="1145"/>
      <c r="F11" s="1145"/>
      <c r="G11" s="1145"/>
      <c r="H11" s="1145"/>
      <c r="I11" s="41">
        <v>1199</v>
      </c>
      <c r="J11" s="330">
        <v>1156</v>
      </c>
      <c r="K11" s="232">
        <v>1393</v>
      </c>
      <c r="L11" s="232">
        <v>1645</v>
      </c>
      <c r="M11" s="232">
        <v>1681</v>
      </c>
      <c r="N11" s="232">
        <v>1817</v>
      </c>
      <c r="O11" s="232">
        <v>1818</v>
      </c>
      <c r="P11" s="232">
        <v>1929</v>
      </c>
      <c r="Q11" s="232">
        <v>2031</v>
      </c>
      <c r="R11" s="232">
        <v>2050</v>
      </c>
      <c r="S11" s="232">
        <v>1880</v>
      </c>
      <c r="T11" s="232">
        <v>1822</v>
      </c>
      <c r="U11" s="232">
        <v>1687</v>
      </c>
      <c r="V11" s="232">
        <v>1546</v>
      </c>
      <c r="W11" s="232">
        <v>1629</v>
      </c>
      <c r="X11" s="232">
        <v>1691</v>
      </c>
      <c r="Y11" s="232">
        <v>1678</v>
      </c>
      <c r="Z11" s="232">
        <v>1637</v>
      </c>
      <c r="AA11" s="232">
        <v>1605</v>
      </c>
      <c r="AB11" s="135">
        <v>1432</v>
      </c>
      <c r="AC11" s="10"/>
      <c r="AD11" s="10">
        <f>((((J11/I11))^(1/8))-1)*100</f>
        <v>-0.45548582500823942</v>
      </c>
      <c r="AE11" s="10">
        <f>((((U11/J11))^(1/11))-1)*100</f>
        <v>3.4959573635241714</v>
      </c>
      <c r="AF11" s="10">
        <f t="shared" si="0"/>
        <v>0.68535399976457079</v>
      </c>
      <c r="AG11" s="10">
        <f t="shared" si="1"/>
        <v>-2.3139470255762684</v>
      </c>
      <c r="AH11" s="25"/>
      <c r="AI11" s="10">
        <f t="shared" si="2"/>
        <v>19.432860717264376</v>
      </c>
      <c r="AL11" s="972" t="s">
        <v>1881</v>
      </c>
      <c r="AM11" s="11">
        <v>12.1</v>
      </c>
      <c r="AN11" s="331">
        <v>5.4</v>
      </c>
      <c r="AO11" s="10">
        <v>3.2</v>
      </c>
      <c r="AP11" s="10">
        <v>3.7</v>
      </c>
      <c r="AQ11" s="10">
        <v>5.5</v>
      </c>
      <c r="AR11" s="10">
        <v>7.4</v>
      </c>
      <c r="AS11" s="10">
        <v>6.5</v>
      </c>
      <c r="AT11" s="10">
        <v>4.8</v>
      </c>
      <c r="AU11" s="10">
        <v>5.6</v>
      </c>
      <c r="AV11" s="10">
        <v>7</v>
      </c>
      <c r="AW11" s="10">
        <v>11.4</v>
      </c>
      <c r="AX11" s="10">
        <v>9</v>
      </c>
      <c r="AY11" s="10">
        <v>10.1</v>
      </c>
      <c r="AZ11" s="10">
        <v>5.9</v>
      </c>
      <c r="BA11" s="10">
        <v>6.9</v>
      </c>
      <c r="BB11" s="10">
        <v>6.4</v>
      </c>
      <c r="BC11" s="10">
        <v>5.4</v>
      </c>
      <c r="BD11" s="10">
        <v>4.0999999999999996</v>
      </c>
      <c r="BE11" s="10">
        <v>6.1</v>
      </c>
      <c r="BF11" s="11">
        <v>3.6</v>
      </c>
    </row>
    <row r="12" spans="1:58" s="972" customFormat="1">
      <c r="A12" s="1145"/>
      <c r="B12" s="1145"/>
      <c r="C12" s="1145"/>
      <c r="D12" s="1145" t="s">
        <v>536</v>
      </c>
      <c r="E12" s="1145"/>
      <c r="F12" s="1145"/>
      <c r="G12" s="1145"/>
      <c r="H12" s="1145"/>
      <c r="I12" s="41">
        <v>421</v>
      </c>
      <c r="J12" s="330">
        <v>397</v>
      </c>
      <c r="K12" s="232">
        <v>462</v>
      </c>
      <c r="L12" s="232">
        <v>537</v>
      </c>
      <c r="M12" s="232">
        <v>535</v>
      </c>
      <c r="N12" s="232">
        <v>599</v>
      </c>
      <c r="O12" s="232">
        <v>569</v>
      </c>
      <c r="P12" s="232">
        <v>618</v>
      </c>
      <c r="Q12" s="232">
        <v>664</v>
      </c>
      <c r="R12" s="232">
        <v>641</v>
      </c>
      <c r="S12" s="232">
        <v>584</v>
      </c>
      <c r="T12" s="232">
        <v>531</v>
      </c>
      <c r="U12" s="232">
        <v>474</v>
      </c>
      <c r="V12" s="232">
        <v>423</v>
      </c>
      <c r="W12" s="232">
        <v>453</v>
      </c>
      <c r="X12" s="232">
        <v>458</v>
      </c>
      <c r="Y12" s="232">
        <v>462</v>
      </c>
      <c r="Z12" s="232">
        <v>432</v>
      </c>
      <c r="AA12" s="232">
        <v>399</v>
      </c>
      <c r="AB12" s="135">
        <v>341</v>
      </c>
      <c r="AC12" s="10"/>
      <c r="AD12" s="10">
        <f t="shared" ref="AD12:AD13" si="3">((((J12/I12))^(1/8))-1)*100</f>
        <v>-0.73102185410575116</v>
      </c>
      <c r="AE12" s="10">
        <f t="shared" ref="AE12:AE13" si="4">((((U12/J12))^(1/11))-1)*100</f>
        <v>1.6246105028784097</v>
      </c>
      <c r="AF12" s="10">
        <f t="shared" ref="AF12:AF14" si="5">((((AB12/I12))^(1/26))-1)*100</f>
        <v>-0.80730196636573659</v>
      </c>
      <c r="AG12" s="10">
        <f t="shared" ref="AG12:AG14" si="6">((((AB12/U12))^(1/7))-1)*100</f>
        <v>-4.5956877090771675</v>
      </c>
      <c r="AH12" s="25"/>
      <c r="AI12" s="10">
        <f t="shared" ref="AI12:AI14" si="7">((AB12/I12)-1)*100</f>
        <v>-19.00237529691211</v>
      </c>
      <c r="AM12" s="11"/>
      <c r="AN12" s="331"/>
      <c r="AO12" s="10"/>
      <c r="AP12" s="10"/>
      <c r="AQ12" s="10"/>
      <c r="AR12" s="10"/>
      <c r="AS12" s="10"/>
      <c r="AT12" s="10"/>
      <c r="AU12" s="10"/>
      <c r="AV12" s="10"/>
      <c r="AW12" s="10"/>
      <c r="AX12" s="10"/>
      <c r="AY12" s="10"/>
      <c r="AZ12" s="10"/>
      <c r="BA12" s="10"/>
      <c r="BB12" s="10"/>
      <c r="BC12" s="10"/>
      <c r="BD12" s="10"/>
      <c r="BE12" s="10"/>
      <c r="BF12" s="11"/>
    </row>
    <row r="13" spans="1:58" s="972" customFormat="1">
      <c r="A13" s="1145"/>
      <c r="B13" s="1145"/>
      <c r="C13" s="1145"/>
      <c r="D13" s="1145" t="s">
        <v>28</v>
      </c>
      <c r="E13" s="1145"/>
      <c r="F13" s="1145"/>
      <c r="G13" s="1145"/>
      <c r="H13" s="1145"/>
      <c r="I13" s="41">
        <v>641</v>
      </c>
      <c r="J13" s="330">
        <v>684</v>
      </c>
      <c r="K13" s="232">
        <v>857</v>
      </c>
      <c r="L13" s="232">
        <v>1023</v>
      </c>
      <c r="M13" s="232">
        <v>1079</v>
      </c>
      <c r="N13" s="232">
        <v>1134</v>
      </c>
      <c r="O13" s="232">
        <v>1190</v>
      </c>
      <c r="P13" s="232">
        <v>1253</v>
      </c>
      <c r="Q13" s="232">
        <v>1292</v>
      </c>
      <c r="R13" s="232">
        <v>1327</v>
      </c>
      <c r="S13" s="232">
        <v>1214</v>
      </c>
      <c r="T13" s="232">
        <v>1217</v>
      </c>
      <c r="U13" s="232">
        <v>1140</v>
      </c>
      <c r="V13" s="232">
        <v>1047</v>
      </c>
      <c r="W13" s="232">
        <v>1095</v>
      </c>
      <c r="X13" s="232">
        <v>1159</v>
      </c>
      <c r="Y13" s="232">
        <v>1155</v>
      </c>
      <c r="Z13" s="232">
        <v>1148</v>
      </c>
      <c r="AA13" s="232">
        <v>1145</v>
      </c>
      <c r="AB13" s="135">
        <v>1028</v>
      </c>
      <c r="AC13" s="10"/>
      <c r="AD13" s="10">
        <f t="shared" si="3"/>
        <v>0.81490820655145679</v>
      </c>
      <c r="AE13" s="10">
        <f t="shared" si="4"/>
        <v>4.7533856014729592</v>
      </c>
      <c r="AF13" s="10">
        <f t="shared" si="5"/>
        <v>1.8332984211626657</v>
      </c>
      <c r="AG13" s="10">
        <f t="shared" si="6"/>
        <v>-1.4664709553195543</v>
      </c>
      <c r="AH13" s="25"/>
      <c r="AI13" s="10">
        <f t="shared" si="7"/>
        <v>60.374414976599056</v>
      </c>
      <c r="AL13" s="972" t="s">
        <v>1882</v>
      </c>
      <c r="AM13" s="11">
        <v>8.8000000000000007</v>
      </c>
      <c r="AN13" s="331">
        <v>8.1</v>
      </c>
      <c r="AO13" s="10">
        <v>10.1</v>
      </c>
      <c r="AP13" s="10">
        <v>11</v>
      </c>
      <c r="AQ13" s="10">
        <v>11.1</v>
      </c>
      <c r="AR13" s="10">
        <v>12.2</v>
      </c>
      <c r="AS13" s="10">
        <v>12.1</v>
      </c>
      <c r="AT13" s="10">
        <v>12.3</v>
      </c>
      <c r="AU13" s="10">
        <v>13.2</v>
      </c>
      <c r="AV13" s="10">
        <v>12.9</v>
      </c>
      <c r="AW13" s="10">
        <v>11.2</v>
      </c>
      <c r="AX13" s="10">
        <v>10.6</v>
      </c>
      <c r="AY13" s="10">
        <v>10</v>
      </c>
      <c r="AZ13" s="10">
        <v>8.8000000000000007</v>
      </c>
      <c r="BA13" s="10">
        <v>9.5</v>
      </c>
      <c r="BB13" s="10">
        <v>9.5</v>
      </c>
      <c r="BC13" s="10">
        <v>9</v>
      </c>
      <c r="BD13" s="10">
        <v>8.4</v>
      </c>
      <c r="BE13" s="10">
        <v>7.9</v>
      </c>
      <c r="BF13" s="11">
        <v>6.6</v>
      </c>
    </row>
    <row r="14" spans="1:58" s="972" customFormat="1">
      <c r="A14" s="1145"/>
      <c r="B14" s="1145"/>
      <c r="C14" s="1145"/>
      <c r="D14" s="1145" t="s">
        <v>29</v>
      </c>
      <c r="E14" s="1145"/>
      <c r="F14" s="1145"/>
      <c r="G14" s="1145"/>
      <c r="H14" s="1145"/>
      <c r="I14" s="41">
        <v>137</v>
      </c>
      <c r="J14" s="330">
        <v>74</v>
      </c>
      <c r="K14" s="232">
        <v>74</v>
      </c>
      <c r="L14" s="232">
        <v>85</v>
      </c>
      <c r="M14" s="232">
        <v>67</v>
      </c>
      <c r="N14" s="232">
        <v>84</v>
      </c>
      <c r="O14" s="232">
        <v>58</v>
      </c>
      <c r="P14" s="232">
        <v>57</v>
      </c>
      <c r="Q14" s="232">
        <v>74</v>
      </c>
      <c r="R14" s="232">
        <v>82</v>
      </c>
      <c r="S14" s="232">
        <v>81</v>
      </c>
      <c r="T14" s="232">
        <v>74</v>
      </c>
      <c r="U14" s="232">
        <v>73</v>
      </c>
      <c r="V14" s="232">
        <v>75</v>
      </c>
      <c r="W14" s="232">
        <v>81</v>
      </c>
      <c r="X14" s="232">
        <v>74</v>
      </c>
      <c r="Y14" s="232">
        <v>60</v>
      </c>
      <c r="Z14" s="232">
        <v>58</v>
      </c>
      <c r="AA14" s="232">
        <v>61</v>
      </c>
      <c r="AB14" s="135">
        <v>63</v>
      </c>
      <c r="AC14" s="10"/>
      <c r="AD14" s="10">
        <f>((((J14/I14))^(1/8))-1)*100</f>
        <v>-7.4100405127325626</v>
      </c>
      <c r="AE14" s="10">
        <f>((((U14/J14))^(1/11))-1)*100</f>
        <v>-0.12361128419697831</v>
      </c>
      <c r="AF14" s="10">
        <f t="shared" si="5"/>
        <v>-2.943674424753473</v>
      </c>
      <c r="AG14" s="10">
        <f t="shared" si="6"/>
        <v>-2.0826458212427679</v>
      </c>
      <c r="AH14" s="25"/>
      <c r="AI14" s="10">
        <f t="shared" si="7"/>
        <v>-54.014598540145982</v>
      </c>
      <c r="AM14" s="11"/>
      <c r="AN14" s="331"/>
      <c r="AO14" s="10"/>
      <c r="AP14" s="10"/>
      <c r="AQ14" s="10"/>
      <c r="AR14" s="10"/>
      <c r="AS14" s="10"/>
      <c r="AT14" s="10"/>
      <c r="AU14" s="10"/>
      <c r="AV14" s="10"/>
      <c r="AW14" s="10"/>
      <c r="AX14" s="10"/>
      <c r="AY14" s="10"/>
      <c r="AZ14" s="10"/>
      <c r="BA14" s="10"/>
      <c r="BB14" s="10"/>
      <c r="BC14" s="10"/>
      <c r="BD14" s="10"/>
      <c r="BE14" s="10"/>
      <c r="BF14" s="11"/>
    </row>
    <row r="15" spans="1:58" s="972" customFormat="1">
      <c r="A15" s="1145"/>
      <c r="B15" s="1145"/>
      <c r="C15" s="1145"/>
      <c r="D15" s="1145"/>
      <c r="E15" s="1145"/>
      <c r="F15" s="1145"/>
      <c r="G15" s="1145"/>
      <c r="H15" s="1145"/>
      <c r="I15" s="41"/>
      <c r="J15" s="330"/>
      <c r="K15" s="232"/>
      <c r="L15" s="232"/>
      <c r="M15" s="232"/>
      <c r="N15" s="232"/>
      <c r="O15" s="232"/>
      <c r="P15" s="232"/>
      <c r="Q15" s="232"/>
      <c r="R15" s="232"/>
      <c r="S15" s="232"/>
      <c r="T15" s="232"/>
      <c r="U15" s="232"/>
      <c r="V15" s="232"/>
      <c r="W15" s="232"/>
      <c r="X15" s="232"/>
      <c r="Y15" s="232"/>
      <c r="Z15" s="232"/>
      <c r="AA15" s="232"/>
      <c r="AB15" s="135"/>
      <c r="AC15" s="10"/>
      <c r="AD15" s="10"/>
      <c r="AE15" s="10"/>
      <c r="AF15" s="10"/>
      <c r="AG15" s="10"/>
      <c r="AH15" s="25"/>
      <c r="AI15" s="10"/>
      <c r="AL15" s="972" t="s">
        <v>1883</v>
      </c>
      <c r="AM15" s="11">
        <v>5</v>
      </c>
      <c r="AN15" s="331">
        <v>5.0999999999999996</v>
      </c>
      <c r="AO15" s="10">
        <v>6.7</v>
      </c>
      <c r="AP15" s="10">
        <v>7.7</v>
      </c>
      <c r="AQ15" s="10">
        <v>6.6</v>
      </c>
      <c r="AR15" s="10">
        <v>7.7</v>
      </c>
      <c r="AS15" s="10">
        <v>7.8</v>
      </c>
      <c r="AT15" s="10">
        <v>7.5</v>
      </c>
      <c r="AU15" s="10">
        <v>8.4</v>
      </c>
      <c r="AV15" s="10">
        <v>8.6</v>
      </c>
      <c r="AW15" s="10">
        <v>6.7</v>
      </c>
      <c r="AX15" s="10">
        <v>8</v>
      </c>
      <c r="AY15" s="10">
        <v>6.9</v>
      </c>
      <c r="AZ15" s="10">
        <v>6.4</v>
      </c>
      <c r="BA15" s="10">
        <v>7.1</v>
      </c>
      <c r="BB15" s="10">
        <v>6.6</v>
      </c>
      <c r="BC15" s="10">
        <v>6.4</v>
      </c>
      <c r="BD15" s="10">
        <v>6.4</v>
      </c>
      <c r="BE15" s="10">
        <v>5.7</v>
      </c>
      <c r="BF15" s="11">
        <v>4.7</v>
      </c>
    </row>
    <row r="16" spans="1:58" s="972" customFormat="1">
      <c r="A16" s="1145"/>
      <c r="B16" s="1145"/>
      <c r="C16" s="1145" t="s">
        <v>31</v>
      </c>
      <c r="D16" s="1145"/>
      <c r="E16" s="1145"/>
      <c r="F16" s="1145"/>
      <c r="G16" s="1145"/>
      <c r="H16" s="1145"/>
      <c r="I16" s="41">
        <v>1628</v>
      </c>
      <c r="J16" s="330">
        <v>1553</v>
      </c>
      <c r="K16" s="232">
        <v>1799</v>
      </c>
      <c r="L16" s="232">
        <v>1962</v>
      </c>
      <c r="M16" s="232">
        <v>1996</v>
      </c>
      <c r="N16" s="232">
        <v>2139</v>
      </c>
      <c r="O16" s="232">
        <v>2161</v>
      </c>
      <c r="P16" s="232">
        <v>2223</v>
      </c>
      <c r="Q16" s="232">
        <v>2366</v>
      </c>
      <c r="R16" s="232">
        <v>2329</v>
      </c>
      <c r="S16" s="232">
        <v>2152</v>
      </c>
      <c r="T16" s="232">
        <v>2039</v>
      </c>
      <c r="U16" s="232">
        <v>2056</v>
      </c>
      <c r="V16" s="232">
        <v>1850</v>
      </c>
      <c r="W16" s="232">
        <v>1911</v>
      </c>
      <c r="X16" s="232">
        <v>1903</v>
      </c>
      <c r="Y16" s="232">
        <v>1867</v>
      </c>
      <c r="Z16" s="232">
        <v>1772</v>
      </c>
      <c r="AA16" s="232">
        <v>1749</v>
      </c>
      <c r="AB16" s="135">
        <v>1520</v>
      </c>
      <c r="AC16" s="10"/>
      <c r="AD16" s="10">
        <f>((((J16/I16))^(1/8))-1)*100</f>
        <v>-0.58781212711209729</v>
      </c>
      <c r="AE16" s="10">
        <f>((((U16/J16))^(1/11))-1)*100</f>
        <v>2.5834788985747315</v>
      </c>
      <c r="AF16" s="10">
        <f t="shared" si="0"/>
        <v>-0.26365924040793187</v>
      </c>
      <c r="AG16" s="10">
        <f t="shared" si="1"/>
        <v>-4.2232561255810435</v>
      </c>
      <c r="AH16" s="25"/>
      <c r="AI16" s="10">
        <f t="shared" si="2"/>
        <v>-6.6339066339066388</v>
      </c>
      <c r="AL16" s="972" t="s">
        <v>1884</v>
      </c>
      <c r="AM16" s="11">
        <v>41.3</v>
      </c>
      <c r="AN16" s="331">
        <v>29.6</v>
      </c>
      <c r="AO16" s="10">
        <v>28.8</v>
      </c>
      <c r="AP16" s="10">
        <v>35.299999999999997</v>
      </c>
      <c r="AQ16" s="10">
        <v>31.9</v>
      </c>
      <c r="AR16" s="10">
        <v>33.700000000000003</v>
      </c>
      <c r="AS16" s="10">
        <v>31.6</v>
      </c>
      <c r="AT16" s="10">
        <v>29.1</v>
      </c>
      <c r="AU16" s="10">
        <v>33.299999999999997</v>
      </c>
      <c r="AV16" s="10">
        <v>35</v>
      </c>
      <c r="AW16" s="10">
        <v>29.6</v>
      </c>
      <c r="AX16" s="10">
        <v>36.299999999999997</v>
      </c>
      <c r="AY16" s="10">
        <v>33.6</v>
      </c>
      <c r="AZ16" s="10">
        <v>30.8</v>
      </c>
      <c r="BA16" s="10">
        <v>30.2</v>
      </c>
      <c r="BB16" s="10">
        <v>29.3</v>
      </c>
      <c r="BC16" s="10">
        <v>36.6</v>
      </c>
      <c r="BD16" s="10">
        <v>32.4</v>
      </c>
      <c r="BE16" s="10">
        <v>28.4</v>
      </c>
      <c r="BF16" s="11">
        <v>25.5</v>
      </c>
    </row>
    <row r="17" spans="1:58" s="972" customFormat="1">
      <c r="A17" s="1145"/>
      <c r="B17" s="1145"/>
      <c r="C17" s="1145"/>
      <c r="D17" s="1145" t="s">
        <v>536</v>
      </c>
      <c r="E17" s="1145"/>
      <c r="F17" s="1145"/>
      <c r="G17" s="1145"/>
      <c r="H17" s="1145"/>
      <c r="I17" s="41">
        <v>427</v>
      </c>
      <c r="J17" s="330">
        <v>395</v>
      </c>
      <c r="K17" s="232">
        <v>480</v>
      </c>
      <c r="L17" s="232">
        <v>499</v>
      </c>
      <c r="M17" s="232">
        <v>500</v>
      </c>
      <c r="N17" s="232">
        <v>580</v>
      </c>
      <c r="O17" s="232">
        <v>566</v>
      </c>
      <c r="P17" s="232">
        <v>607</v>
      </c>
      <c r="Q17" s="232">
        <v>629</v>
      </c>
      <c r="R17" s="232">
        <v>579</v>
      </c>
      <c r="S17" s="232">
        <v>513</v>
      </c>
      <c r="T17" s="232">
        <v>486</v>
      </c>
      <c r="U17" s="232">
        <v>493</v>
      </c>
      <c r="V17" s="232">
        <v>421</v>
      </c>
      <c r="W17" s="232">
        <v>398</v>
      </c>
      <c r="X17" s="232">
        <v>412</v>
      </c>
      <c r="Y17" s="232">
        <v>422</v>
      </c>
      <c r="Z17" s="232">
        <v>366</v>
      </c>
      <c r="AA17" s="232">
        <v>371</v>
      </c>
      <c r="AB17" s="135">
        <v>296</v>
      </c>
      <c r="AC17" s="10"/>
      <c r="AD17" s="10">
        <f>((((J17/I17))^(1/8))-1)*100</f>
        <v>-0.96900272188581438</v>
      </c>
      <c r="AE17" s="10">
        <f>((((U17/J17))^(1/11))-1)*100</f>
        <v>2.0351915154133371</v>
      </c>
      <c r="AF17" s="10">
        <f t="shared" si="0"/>
        <v>-1.3994407279792398</v>
      </c>
      <c r="AG17" s="10">
        <f t="shared" si="1"/>
        <v>-7.0286245793786399</v>
      </c>
      <c r="AH17" s="25"/>
      <c r="AI17" s="10">
        <f t="shared" si="2"/>
        <v>-30.679156908665107</v>
      </c>
      <c r="AL17" s="972" t="s">
        <v>1885</v>
      </c>
      <c r="AM17" s="11">
        <v>7.3</v>
      </c>
      <c r="AN17" s="331">
        <v>6.6</v>
      </c>
      <c r="AO17" s="10">
        <v>9.5</v>
      </c>
      <c r="AP17" s="10">
        <v>10.7</v>
      </c>
      <c r="AQ17" s="10">
        <v>8.4</v>
      </c>
      <c r="AR17" s="10">
        <v>8.3000000000000007</v>
      </c>
      <c r="AS17" s="10">
        <v>8.9</v>
      </c>
      <c r="AT17" s="10">
        <v>10.4</v>
      </c>
      <c r="AU17" s="10">
        <v>9.6999999999999993</v>
      </c>
      <c r="AV17" s="10">
        <v>10.7</v>
      </c>
      <c r="AW17" s="10">
        <v>7.7</v>
      </c>
      <c r="AX17" s="10">
        <v>9.4</v>
      </c>
      <c r="AY17" s="10">
        <v>10.199999999999999</v>
      </c>
      <c r="AZ17" s="10">
        <v>9.1999999999999993</v>
      </c>
      <c r="BA17" s="10">
        <v>10.199999999999999</v>
      </c>
      <c r="BB17" s="10">
        <v>10</v>
      </c>
      <c r="BC17" s="10">
        <v>9</v>
      </c>
      <c r="BD17" s="10">
        <v>7.2</v>
      </c>
      <c r="BE17" s="10">
        <v>7.2</v>
      </c>
      <c r="BF17" s="11">
        <v>6.3</v>
      </c>
    </row>
    <row r="18" spans="1:58" s="972" customFormat="1">
      <c r="A18" s="1145"/>
      <c r="B18" s="1145"/>
      <c r="C18" s="1145"/>
      <c r="D18" s="1145" t="s">
        <v>28</v>
      </c>
      <c r="E18" s="1145"/>
      <c r="F18" s="1145"/>
      <c r="G18" s="1145"/>
      <c r="H18" s="1145"/>
      <c r="I18" s="41">
        <v>871</v>
      </c>
      <c r="J18" s="330">
        <v>912</v>
      </c>
      <c r="K18" s="232">
        <v>1077</v>
      </c>
      <c r="L18" s="232">
        <v>1212</v>
      </c>
      <c r="M18" s="232">
        <v>1259</v>
      </c>
      <c r="N18" s="232">
        <v>1305</v>
      </c>
      <c r="O18" s="232">
        <v>1377</v>
      </c>
      <c r="P18" s="232">
        <v>1387</v>
      </c>
      <c r="Q18" s="232">
        <v>1485</v>
      </c>
      <c r="R18" s="232">
        <v>1524</v>
      </c>
      <c r="S18" s="232">
        <v>1421</v>
      </c>
      <c r="T18" s="232">
        <v>1346</v>
      </c>
      <c r="U18" s="232">
        <v>1361</v>
      </c>
      <c r="V18" s="232">
        <v>1259</v>
      </c>
      <c r="W18" s="232">
        <v>1310</v>
      </c>
      <c r="X18" s="232">
        <v>1306</v>
      </c>
      <c r="Y18" s="232">
        <v>1286</v>
      </c>
      <c r="Z18" s="232">
        <v>1222</v>
      </c>
      <c r="AA18" s="232">
        <v>1220</v>
      </c>
      <c r="AB18" s="135">
        <v>1085</v>
      </c>
      <c r="AC18" s="10"/>
      <c r="AD18" s="10">
        <f>((((J18/I18))^(1/8))-1)*100</f>
        <v>0.57663132011447349</v>
      </c>
      <c r="AE18" s="10">
        <f>((((U18/J18))^(1/11))-1)*100</f>
        <v>3.7064464832500921</v>
      </c>
      <c r="AF18" s="10">
        <f t="shared" si="0"/>
        <v>0.84855417203775207</v>
      </c>
      <c r="AG18" s="10">
        <f t="shared" si="1"/>
        <v>-3.1858577971239366</v>
      </c>
      <c r="AH18" s="25"/>
      <c r="AI18" s="10">
        <f t="shared" si="2"/>
        <v>24.5694603903559</v>
      </c>
      <c r="AL18" s="972" t="s">
        <v>1886</v>
      </c>
      <c r="AM18" s="11">
        <v>1.5</v>
      </c>
      <c r="AN18" s="331">
        <v>1.8</v>
      </c>
      <c r="AO18" s="10">
        <v>2.7</v>
      </c>
      <c r="AP18" s="10">
        <v>2.8</v>
      </c>
      <c r="AQ18" s="10">
        <v>2.4</v>
      </c>
      <c r="AR18" s="10">
        <v>3</v>
      </c>
      <c r="AS18" s="10">
        <v>3.2</v>
      </c>
      <c r="AT18" s="10">
        <v>2.8</v>
      </c>
      <c r="AU18" s="10">
        <v>3.2</v>
      </c>
      <c r="AV18" s="10">
        <v>3.5</v>
      </c>
      <c r="AW18" s="10">
        <v>2.7</v>
      </c>
      <c r="AX18" s="10">
        <v>2.7</v>
      </c>
      <c r="AY18" s="10">
        <v>2.2000000000000002</v>
      </c>
      <c r="AZ18" s="10">
        <v>2.2000000000000002</v>
      </c>
      <c r="BA18" s="10">
        <v>3</v>
      </c>
      <c r="BB18" s="10">
        <v>2.9</v>
      </c>
      <c r="BC18" s="10">
        <v>2.2000000000000002</v>
      </c>
      <c r="BD18" s="10">
        <v>3</v>
      </c>
      <c r="BE18" s="10">
        <v>2.8</v>
      </c>
      <c r="BF18" s="11">
        <v>2.2999999999999998</v>
      </c>
    </row>
    <row r="19" spans="1:58" s="972" customFormat="1">
      <c r="A19" s="1145"/>
      <c r="B19" s="1145"/>
      <c r="C19" s="1145"/>
      <c r="D19" s="1145" t="s">
        <v>29</v>
      </c>
      <c r="E19" s="1145"/>
      <c r="F19" s="1145"/>
      <c r="G19" s="1145"/>
      <c r="H19" s="1145"/>
      <c r="I19" s="41">
        <v>331</v>
      </c>
      <c r="J19" s="330">
        <v>246</v>
      </c>
      <c r="K19" s="232">
        <v>242</v>
      </c>
      <c r="L19" s="232">
        <v>251</v>
      </c>
      <c r="M19" s="232">
        <v>236</v>
      </c>
      <c r="N19" s="232">
        <v>254</v>
      </c>
      <c r="O19" s="232">
        <v>218</v>
      </c>
      <c r="P19" s="232">
        <v>230</v>
      </c>
      <c r="Q19" s="232">
        <v>252</v>
      </c>
      <c r="R19" s="232">
        <v>226</v>
      </c>
      <c r="S19" s="232">
        <v>218</v>
      </c>
      <c r="T19" s="232">
        <v>207</v>
      </c>
      <c r="U19" s="232">
        <v>202</v>
      </c>
      <c r="V19" s="232">
        <v>170</v>
      </c>
      <c r="W19" s="232">
        <v>203</v>
      </c>
      <c r="X19" s="232">
        <v>185</v>
      </c>
      <c r="Y19" s="232">
        <v>159</v>
      </c>
      <c r="Z19" s="232">
        <v>184</v>
      </c>
      <c r="AA19" s="232">
        <v>158</v>
      </c>
      <c r="AB19" s="135">
        <v>138</v>
      </c>
      <c r="AC19" s="10"/>
      <c r="AD19" s="10">
        <f>((((J19/I19))^(1/8))-1)*100</f>
        <v>-3.6418642289347214</v>
      </c>
      <c r="AE19" s="10">
        <f>((((U19/J19))^(1/11))-1)*100</f>
        <v>-1.7755376692476621</v>
      </c>
      <c r="AF19" s="10">
        <v>-3.3088822995769762</v>
      </c>
      <c r="AG19" s="10">
        <v>-5.297574453980614</v>
      </c>
      <c r="AH19" s="25"/>
      <c r="AI19" s="10">
        <v>-58.30815709969788</v>
      </c>
      <c r="AM19" s="11"/>
      <c r="AN19" s="331"/>
      <c r="AO19" s="10"/>
      <c r="AP19" s="10"/>
      <c r="AQ19" s="10"/>
      <c r="AR19" s="10"/>
      <c r="AS19" s="10"/>
      <c r="AT19" s="10"/>
      <c r="AU19" s="10"/>
      <c r="AV19" s="10"/>
      <c r="AW19" s="10"/>
      <c r="AX19" s="10"/>
      <c r="AY19" s="10"/>
      <c r="AZ19" s="10"/>
      <c r="BA19" s="10"/>
      <c r="BB19" s="10"/>
      <c r="BC19" s="10"/>
      <c r="BD19" s="10"/>
      <c r="BE19" s="10"/>
      <c r="BF19" s="11"/>
    </row>
    <row r="20" spans="1:58" s="972" customFormat="1">
      <c r="A20" s="1145"/>
      <c r="B20" s="1145"/>
      <c r="C20" s="1145"/>
      <c r="D20" s="1145"/>
      <c r="E20" s="1145"/>
      <c r="F20" s="1145"/>
      <c r="G20" s="1145"/>
      <c r="H20" s="1145"/>
      <c r="I20" s="41"/>
      <c r="J20" s="330"/>
      <c r="K20" s="232"/>
      <c r="L20" s="232"/>
      <c r="M20" s="232"/>
      <c r="N20" s="232"/>
      <c r="O20" s="232"/>
      <c r="P20" s="232"/>
      <c r="Q20" s="232"/>
      <c r="R20" s="232"/>
      <c r="S20" s="232"/>
      <c r="T20" s="232"/>
      <c r="U20" s="232"/>
      <c r="V20" s="232"/>
      <c r="W20" s="232"/>
      <c r="X20" s="232"/>
      <c r="Y20" s="232"/>
      <c r="Z20" s="232"/>
      <c r="AA20" s="232"/>
      <c r="AB20" s="135"/>
      <c r="AC20" s="10"/>
      <c r="AD20" s="10"/>
      <c r="AE20" s="10"/>
      <c r="AF20" s="10"/>
      <c r="AG20" s="10"/>
      <c r="AH20" s="25"/>
      <c r="AI20" s="10"/>
      <c r="AL20" s="972" t="s">
        <v>1887</v>
      </c>
      <c r="AM20" s="11">
        <v>7.2</v>
      </c>
      <c r="AN20" s="331">
        <v>6.4</v>
      </c>
      <c r="AO20" s="10">
        <v>7.2</v>
      </c>
      <c r="AP20" s="10">
        <v>8.3000000000000007</v>
      </c>
      <c r="AQ20" s="10">
        <v>7.8</v>
      </c>
      <c r="AR20" s="10">
        <v>9.5</v>
      </c>
      <c r="AS20" s="10">
        <v>9.6</v>
      </c>
      <c r="AT20" s="10">
        <v>10.5</v>
      </c>
      <c r="AU20" s="10">
        <v>10.3</v>
      </c>
      <c r="AV20" s="10">
        <v>10.4</v>
      </c>
      <c r="AW20" s="10">
        <v>8.6</v>
      </c>
      <c r="AX20" s="10">
        <v>8.1999999999999993</v>
      </c>
      <c r="AY20" s="10">
        <v>8.3000000000000007</v>
      </c>
      <c r="AZ20" s="10">
        <v>6.9</v>
      </c>
      <c r="BA20" s="10">
        <v>6.6</v>
      </c>
      <c r="BB20" s="10">
        <v>6.8</v>
      </c>
      <c r="BC20" s="10">
        <v>6.9</v>
      </c>
      <c r="BD20" s="10">
        <v>6.7</v>
      </c>
      <c r="BE20" s="10">
        <v>6.6</v>
      </c>
      <c r="BF20" s="11">
        <v>5.0999999999999996</v>
      </c>
    </row>
    <row r="21" spans="1:58" s="972" customFormat="1">
      <c r="A21" s="128"/>
      <c r="B21" s="128" t="s">
        <v>1199</v>
      </c>
      <c r="C21" s="1145"/>
      <c r="D21" s="1145"/>
      <c r="E21" s="1145"/>
      <c r="F21" s="1145"/>
      <c r="G21" s="1145"/>
      <c r="H21" s="1145"/>
      <c r="I21" s="41">
        <v>1933</v>
      </c>
      <c r="J21" s="330">
        <v>1765</v>
      </c>
      <c r="K21" s="232">
        <v>2136</v>
      </c>
      <c r="L21" s="232">
        <v>2385</v>
      </c>
      <c r="M21" s="232">
        <v>2444</v>
      </c>
      <c r="N21" s="232">
        <v>2715</v>
      </c>
      <c r="O21" s="232">
        <v>2713</v>
      </c>
      <c r="P21" s="232">
        <v>2857</v>
      </c>
      <c r="Q21" s="232">
        <v>3031</v>
      </c>
      <c r="R21" s="232">
        <v>2982</v>
      </c>
      <c r="S21" s="232">
        <v>2650</v>
      </c>
      <c r="T21" s="232">
        <v>2495</v>
      </c>
      <c r="U21" s="232">
        <v>2397</v>
      </c>
      <c r="V21" s="232">
        <v>2105</v>
      </c>
      <c r="W21" s="232">
        <v>2277</v>
      </c>
      <c r="X21" s="232">
        <v>2298</v>
      </c>
      <c r="Y21" s="232">
        <v>2203</v>
      </c>
      <c r="Z21" s="232">
        <v>2021</v>
      </c>
      <c r="AA21" s="232">
        <v>1991</v>
      </c>
      <c r="AB21" s="135">
        <v>1643</v>
      </c>
      <c r="AC21" s="10"/>
      <c r="AD21" s="10">
        <f>((((J21/I21))^(1/8))-1)*100</f>
        <v>-1.1300972535331577</v>
      </c>
      <c r="AE21" s="10">
        <f>((((U21/J21))^(1/11))-1)*100</f>
        <v>2.8215007906950307</v>
      </c>
      <c r="AF21" s="10">
        <f t="shared" si="0"/>
        <v>-0.62323960527306266</v>
      </c>
      <c r="AG21" s="10">
        <f t="shared" si="1"/>
        <v>-5.2526492029888345</v>
      </c>
      <c r="AH21" s="25"/>
      <c r="AI21" s="10">
        <f t="shared" si="2"/>
        <v>-15.002586652871186</v>
      </c>
      <c r="AL21" s="972" t="s">
        <v>1888</v>
      </c>
      <c r="AM21" s="11">
        <v>83.1</v>
      </c>
      <c r="AN21" s="331">
        <v>81.099999999999994</v>
      </c>
      <c r="AO21" s="10">
        <v>75.5</v>
      </c>
      <c r="AP21" s="10">
        <v>77.900000000000006</v>
      </c>
      <c r="AQ21" s="10">
        <v>77.2</v>
      </c>
      <c r="AR21" s="10">
        <v>77.5</v>
      </c>
      <c r="AS21" s="10">
        <v>78.3</v>
      </c>
      <c r="AT21" s="10">
        <v>81.900000000000006</v>
      </c>
      <c r="AU21" s="10">
        <v>77.2</v>
      </c>
      <c r="AV21" s="10">
        <v>75.7</v>
      </c>
      <c r="AW21" s="10">
        <v>78.3</v>
      </c>
      <c r="AX21" s="10">
        <v>78.3</v>
      </c>
      <c r="AY21" s="10">
        <v>83.9</v>
      </c>
      <c r="AZ21" s="10">
        <v>74.400000000000006</v>
      </c>
      <c r="BA21" s="10">
        <v>73.3</v>
      </c>
      <c r="BB21" s="10">
        <v>82</v>
      </c>
      <c r="BC21" s="10">
        <v>79.5</v>
      </c>
      <c r="BD21" s="10">
        <v>83.9</v>
      </c>
      <c r="BE21" s="10">
        <v>82</v>
      </c>
      <c r="BF21" s="11">
        <v>68.2</v>
      </c>
    </row>
    <row r="22" spans="1:58" s="972" customFormat="1">
      <c r="A22" s="1145"/>
      <c r="B22" s="1145"/>
      <c r="C22" s="1145"/>
      <c r="D22" s="1145"/>
      <c r="E22" s="1145"/>
      <c r="F22" s="1145"/>
      <c r="G22" s="1145"/>
      <c r="H22" s="1145"/>
      <c r="I22" s="41"/>
      <c r="J22" s="330"/>
      <c r="K22" s="232"/>
      <c r="L22" s="232"/>
      <c r="M22" s="232"/>
      <c r="N22" s="232"/>
      <c r="O22" s="232"/>
      <c r="P22" s="232"/>
      <c r="Q22" s="232"/>
      <c r="R22" s="232"/>
      <c r="S22" s="232"/>
      <c r="T22" s="232"/>
      <c r="U22" s="232"/>
      <c r="V22" s="232"/>
      <c r="W22" s="232"/>
      <c r="X22" s="232"/>
      <c r="Y22" s="232"/>
      <c r="Z22" s="232"/>
      <c r="AA22" s="232"/>
      <c r="AB22" s="135"/>
      <c r="AC22" s="10"/>
      <c r="AD22" s="10"/>
      <c r="AE22" s="10"/>
      <c r="AF22" s="10"/>
      <c r="AG22" s="10"/>
      <c r="AH22" s="25"/>
      <c r="AI22" s="10"/>
      <c r="AL22" s="972" t="s">
        <v>1889</v>
      </c>
      <c r="AM22" s="11">
        <v>13.7</v>
      </c>
      <c r="AN22" s="331">
        <v>14.6</v>
      </c>
      <c r="AO22" s="10">
        <v>16.600000000000001</v>
      </c>
      <c r="AP22" s="10">
        <v>18.399999999999999</v>
      </c>
      <c r="AQ22" s="10">
        <v>14.8</v>
      </c>
      <c r="AR22" s="10">
        <v>17.8</v>
      </c>
      <c r="AS22" s="10">
        <v>18</v>
      </c>
      <c r="AT22" s="10">
        <v>21.3</v>
      </c>
      <c r="AU22" s="10">
        <v>21.3</v>
      </c>
      <c r="AV22" s="10">
        <v>22.5</v>
      </c>
      <c r="AW22" s="10">
        <v>19.7</v>
      </c>
      <c r="AX22" s="10">
        <v>20.6</v>
      </c>
      <c r="AY22" s="10">
        <v>22.3</v>
      </c>
      <c r="AZ22" s="10">
        <v>20.399999999999999</v>
      </c>
      <c r="BA22" s="10">
        <v>16.2</v>
      </c>
      <c r="BB22" s="10">
        <v>16.7</v>
      </c>
      <c r="BC22" s="10">
        <v>18.600000000000001</v>
      </c>
      <c r="BD22" s="10">
        <v>16.2</v>
      </c>
      <c r="BE22" s="10">
        <v>19.7</v>
      </c>
      <c r="BF22" s="11">
        <v>18.899999999999999</v>
      </c>
    </row>
    <row r="23" spans="1:58" s="972" customFormat="1">
      <c r="A23" s="1145"/>
      <c r="B23" s="1145"/>
      <c r="C23" s="1145" t="s">
        <v>1200</v>
      </c>
      <c r="D23" s="1145"/>
      <c r="E23" s="1145"/>
      <c r="F23" s="1145"/>
      <c r="G23" s="1145"/>
      <c r="H23" s="1145"/>
      <c r="I23" s="41">
        <v>885</v>
      </c>
      <c r="J23" s="330">
        <v>788</v>
      </c>
      <c r="K23" s="232">
        <v>939</v>
      </c>
      <c r="L23" s="232">
        <v>1100</v>
      </c>
      <c r="M23" s="232">
        <v>1105</v>
      </c>
      <c r="N23" s="232">
        <v>1228</v>
      </c>
      <c r="O23" s="232">
        <v>1237</v>
      </c>
      <c r="P23" s="232">
        <v>1320</v>
      </c>
      <c r="Q23" s="232">
        <v>1385</v>
      </c>
      <c r="R23" s="232">
        <v>1374</v>
      </c>
      <c r="S23" s="232">
        <v>1220</v>
      </c>
      <c r="T23" s="232">
        <v>1164</v>
      </c>
      <c r="U23" s="232">
        <v>1081</v>
      </c>
      <c r="V23" s="232">
        <v>952</v>
      </c>
      <c r="W23" s="232">
        <v>1051</v>
      </c>
      <c r="X23" s="232">
        <v>1069</v>
      </c>
      <c r="Y23" s="232">
        <v>1015</v>
      </c>
      <c r="Z23" s="232">
        <v>950</v>
      </c>
      <c r="AA23" s="232">
        <v>927</v>
      </c>
      <c r="AB23" s="135">
        <v>773</v>
      </c>
      <c r="AC23" s="10"/>
      <c r="AD23" s="10">
        <f>((((J23/I23))^(1/8))-1)*100</f>
        <v>-1.4406414452052707</v>
      </c>
      <c r="AE23" s="10">
        <f>((((U23/J23))^(1/11))-1)*100</f>
        <v>2.9157327642359565</v>
      </c>
      <c r="AF23" s="10">
        <f t="shared" si="0"/>
        <v>-0.51906585180481191</v>
      </c>
      <c r="AG23" s="10">
        <f t="shared" si="1"/>
        <v>-4.6779442352075096</v>
      </c>
      <c r="AH23" s="25"/>
      <c r="AI23" s="10">
        <f t="shared" si="2"/>
        <v>-12.655367231638415</v>
      </c>
      <c r="AL23" s="972" t="s">
        <v>1890</v>
      </c>
      <c r="AM23" s="11">
        <v>3.6</v>
      </c>
      <c r="AN23" s="331">
        <v>4</v>
      </c>
      <c r="AO23" s="10">
        <v>4.4000000000000004</v>
      </c>
      <c r="AP23" s="10">
        <v>4.5</v>
      </c>
      <c r="AQ23" s="10">
        <v>4.0999999999999996</v>
      </c>
      <c r="AR23" s="10">
        <v>5</v>
      </c>
      <c r="AS23" s="10">
        <v>4.7</v>
      </c>
      <c r="AT23" s="10">
        <v>5.6</v>
      </c>
      <c r="AU23" s="10">
        <v>5</v>
      </c>
      <c r="AV23" s="10">
        <v>5.5</v>
      </c>
      <c r="AW23" s="10">
        <v>4.2</v>
      </c>
      <c r="AX23" s="10">
        <v>4</v>
      </c>
      <c r="AY23" s="10">
        <v>4.0999999999999996</v>
      </c>
      <c r="AZ23" s="10">
        <v>3.1</v>
      </c>
      <c r="BA23" s="10">
        <v>3.9</v>
      </c>
      <c r="BB23" s="10">
        <v>3.6</v>
      </c>
      <c r="BC23" s="10">
        <v>3.8</v>
      </c>
      <c r="BD23" s="10">
        <v>3.7</v>
      </c>
      <c r="BE23" s="10">
        <v>3.6</v>
      </c>
      <c r="BF23" s="11">
        <v>2.2999999999999998</v>
      </c>
    </row>
    <row r="24" spans="1:58" s="972" customFormat="1">
      <c r="A24" s="1145"/>
      <c r="B24" s="1145"/>
      <c r="C24" s="1145" t="s">
        <v>1201</v>
      </c>
      <c r="D24" s="1145"/>
      <c r="E24" s="1145"/>
      <c r="F24" s="1145"/>
      <c r="G24" s="1145"/>
      <c r="H24" s="1145"/>
      <c r="I24" s="41">
        <v>1048</v>
      </c>
      <c r="J24" s="330">
        <v>977</v>
      </c>
      <c r="K24" s="232">
        <v>1197</v>
      </c>
      <c r="L24" s="232">
        <v>1285</v>
      </c>
      <c r="M24" s="232">
        <v>1340</v>
      </c>
      <c r="N24" s="232">
        <v>1488</v>
      </c>
      <c r="O24" s="232">
        <v>1476</v>
      </c>
      <c r="P24" s="232">
        <v>1536</v>
      </c>
      <c r="Q24" s="232">
        <v>1646</v>
      </c>
      <c r="R24" s="232">
        <v>1608</v>
      </c>
      <c r="S24" s="232">
        <v>1431</v>
      </c>
      <c r="T24" s="232">
        <v>1331</v>
      </c>
      <c r="U24" s="232">
        <v>1315</v>
      </c>
      <c r="V24" s="232">
        <v>1154</v>
      </c>
      <c r="W24" s="232">
        <v>1226</v>
      </c>
      <c r="X24" s="232">
        <v>1229</v>
      </c>
      <c r="Y24" s="232">
        <v>1188</v>
      </c>
      <c r="Z24" s="232">
        <v>1071</v>
      </c>
      <c r="AA24" s="232">
        <v>1063</v>
      </c>
      <c r="AB24" s="135">
        <v>870</v>
      </c>
      <c r="AC24" s="10"/>
      <c r="AD24" s="10">
        <f>((((J24/I24))^(1/8))-1)*100</f>
        <v>-0.87306908286287621</v>
      </c>
      <c r="AE24" s="10">
        <f>((((U24/J24))^(1/11))-1)*100</f>
        <v>2.7377636828314067</v>
      </c>
      <c r="AF24" s="10">
        <f t="shared" si="0"/>
        <v>-0.7133880405461257</v>
      </c>
      <c r="AG24" s="10">
        <f t="shared" si="1"/>
        <v>-5.7306527353811365</v>
      </c>
      <c r="AH24" s="25"/>
      <c r="AI24" s="10">
        <f t="shared" si="2"/>
        <v>-16.984732824427486</v>
      </c>
      <c r="AL24" s="972" t="s">
        <v>1891</v>
      </c>
      <c r="AM24" s="11">
        <v>2.2999999999999998</v>
      </c>
      <c r="AN24" s="331">
        <v>1.5</v>
      </c>
      <c r="AO24" s="10">
        <v>2</v>
      </c>
      <c r="AP24" s="10">
        <v>2.4</v>
      </c>
      <c r="AQ24" s="10">
        <v>4.7</v>
      </c>
      <c r="AR24" s="10">
        <v>2.5</v>
      </c>
      <c r="AS24" s="10">
        <v>2.5</v>
      </c>
      <c r="AT24" s="10">
        <v>3.1</v>
      </c>
      <c r="AU24" s="10">
        <v>2.7</v>
      </c>
      <c r="AV24" s="10">
        <v>2.6</v>
      </c>
      <c r="AW24" s="10">
        <v>1.5</v>
      </c>
      <c r="AX24" s="10">
        <v>2.1</v>
      </c>
      <c r="AY24" s="10">
        <v>1.2</v>
      </c>
      <c r="AZ24" s="10">
        <v>0.9</v>
      </c>
      <c r="BA24" s="10">
        <v>1.5</v>
      </c>
      <c r="BB24" s="10">
        <v>2.9</v>
      </c>
      <c r="BC24" s="10">
        <v>2.6</v>
      </c>
      <c r="BD24" s="10">
        <v>1.7</v>
      </c>
      <c r="BE24" s="10">
        <v>1.2</v>
      </c>
      <c r="BF24" s="11">
        <v>0.8</v>
      </c>
    </row>
    <row r="25" spans="1:58" s="972" customFormat="1">
      <c r="A25" s="4"/>
      <c r="B25" s="1145"/>
      <c r="C25" s="1145"/>
      <c r="D25" s="1145"/>
      <c r="E25" s="1145"/>
      <c r="F25" s="1145"/>
      <c r="G25" s="1145"/>
      <c r="H25" s="1145"/>
      <c r="I25" s="41"/>
      <c r="J25" s="330"/>
      <c r="K25" s="232"/>
      <c r="L25" s="232"/>
      <c r="M25" s="232"/>
      <c r="N25" s="232"/>
      <c r="O25" s="232"/>
      <c r="P25" s="232"/>
      <c r="Q25" s="232"/>
      <c r="R25" s="232"/>
      <c r="S25" s="232"/>
      <c r="T25" s="232"/>
      <c r="U25" s="232"/>
      <c r="V25" s="232"/>
      <c r="W25" s="232"/>
      <c r="X25" s="232"/>
      <c r="Y25" s="232"/>
      <c r="Z25" s="232"/>
      <c r="AA25" s="232"/>
      <c r="AB25" s="135"/>
      <c r="AC25" s="10"/>
      <c r="AD25" s="10"/>
      <c r="AE25" s="10"/>
      <c r="AF25" s="10"/>
      <c r="AG25" s="10"/>
      <c r="AH25" s="25"/>
      <c r="AI25" s="10"/>
      <c r="AM25" s="11"/>
      <c r="AN25" s="331"/>
      <c r="AO25" s="10"/>
      <c r="AP25" s="10"/>
      <c r="AQ25" s="10"/>
      <c r="AR25" s="10"/>
      <c r="AS25" s="10"/>
      <c r="AT25" s="10"/>
      <c r="AU25" s="10"/>
      <c r="AV25" s="10"/>
      <c r="AW25" s="10"/>
      <c r="AX25" s="10"/>
      <c r="AY25" s="10"/>
      <c r="AZ25" s="10"/>
      <c r="BA25" s="10"/>
      <c r="BB25" s="10"/>
      <c r="BC25" s="10"/>
      <c r="BD25" s="10"/>
      <c r="BE25" s="10"/>
      <c r="BF25" s="11"/>
    </row>
    <row r="26" spans="1:58" s="972" customFormat="1">
      <c r="A26" s="4"/>
      <c r="B26" s="1145"/>
      <c r="C26" s="1145" t="s">
        <v>1202</v>
      </c>
      <c r="D26" s="1145"/>
      <c r="E26" s="1145"/>
      <c r="F26" s="1145"/>
      <c r="G26" s="1145"/>
      <c r="H26" s="1145"/>
      <c r="I26" s="41">
        <v>110</v>
      </c>
      <c r="J26" s="330">
        <v>61</v>
      </c>
      <c r="K26" s="232">
        <v>48</v>
      </c>
      <c r="L26" s="232">
        <v>58</v>
      </c>
      <c r="M26" s="232">
        <v>56</v>
      </c>
      <c r="N26" s="232">
        <v>64</v>
      </c>
      <c r="O26" s="232">
        <v>52</v>
      </c>
      <c r="P26" s="232">
        <v>43</v>
      </c>
      <c r="Q26" s="232">
        <v>53</v>
      </c>
      <c r="R26" s="232">
        <v>67</v>
      </c>
      <c r="S26" s="232">
        <v>80</v>
      </c>
      <c r="T26" s="232">
        <v>56</v>
      </c>
      <c r="U26" s="232">
        <v>52</v>
      </c>
      <c r="V26" s="232">
        <v>48</v>
      </c>
      <c r="W26" s="232">
        <v>61</v>
      </c>
      <c r="X26" s="232">
        <v>58</v>
      </c>
      <c r="Y26" s="232">
        <v>46</v>
      </c>
      <c r="Z26" s="232">
        <v>34</v>
      </c>
      <c r="AA26" s="232">
        <v>40</v>
      </c>
      <c r="AB26" s="135">
        <v>34</v>
      </c>
      <c r="AC26" s="10"/>
      <c r="AD26" s="10">
        <f>((((J26/I26))^(1/8))-1)*100</f>
        <v>-7.1050417816005513</v>
      </c>
      <c r="AE26" s="10">
        <f>((((U26/J26))^(1/11))-1)*100</f>
        <v>-1.4407042298313133</v>
      </c>
      <c r="AF26" s="10">
        <f t="shared" si="0"/>
        <v>-4.4153989157807771</v>
      </c>
      <c r="AG26" s="10">
        <f t="shared" si="1"/>
        <v>-5.88922114434639</v>
      </c>
      <c r="AH26" s="25"/>
      <c r="AI26" s="10">
        <f t="shared" si="2"/>
        <v>-69.090909090909093</v>
      </c>
      <c r="AL26" s="972" t="s">
        <v>1892</v>
      </c>
      <c r="AM26" s="11">
        <v>2.6</v>
      </c>
      <c r="AN26" s="331">
        <v>1.8</v>
      </c>
      <c r="AO26" s="10">
        <v>2.8</v>
      </c>
      <c r="AP26" s="10">
        <v>3.1</v>
      </c>
      <c r="AQ26" s="10">
        <v>4.3</v>
      </c>
      <c r="AR26" s="10">
        <v>3.5</v>
      </c>
      <c r="AS26" s="10">
        <v>4.5</v>
      </c>
      <c r="AT26" s="10">
        <v>4.4000000000000004</v>
      </c>
      <c r="AU26" s="10">
        <v>4.3</v>
      </c>
      <c r="AV26" s="10">
        <v>4.4000000000000004</v>
      </c>
      <c r="AW26" s="10">
        <v>4</v>
      </c>
      <c r="AX26" s="10">
        <v>3.2</v>
      </c>
      <c r="AY26" s="10">
        <v>4.3</v>
      </c>
      <c r="AZ26" s="10">
        <v>4.5999999999999996</v>
      </c>
      <c r="BA26" s="10">
        <v>4.8</v>
      </c>
      <c r="BB26" s="10">
        <v>5</v>
      </c>
      <c r="BC26" s="10">
        <v>3.6</v>
      </c>
      <c r="BD26" s="10">
        <v>2.2000000000000002</v>
      </c>
      <c r="BE26" s="10">
        <v>2.4</v>
      </c>
      <c r="BF26" s="11">
        <v>1.5</v>
      </c>
    </row>
    <row r="27" spans="1:58" s="114" customFormat="1">
      <c r="A27" s="4"/>
      <c r="B27" s="1145"/>
      <c r="C27" s="1145"/>
      <c r="D27" s="1145" t="s">
        <v>1200</v>
      </c>
      <c r="E27" s="1145"/>
      <c r="F27" s="1145"/>
      <c r="G27" s="1145"/>
      <c r="H27" s="1145"/>
      <c r="I27" s="41">
        <v>63</v>
      </c>
      <c r="J27" s="330">
        <v>34</v>
      </c>
      <c r="K27" s="232">
        <v>26</v>
      </c>
      <c r="L27" s="232">
        <v>30</v>
      </c>
      <c r="M27" s="232">
        <v>27</v>
      </c>
      <c r="N27" s="232">
        <v>34</v>
      </c>
      <c r="O27" s="232">
        <v>26</v>
      </c>
      <c r="P27" s="232">
        <v>22</v>
      </c>
      <c r="Q27" s="232">
        <v>24</v>
      </c>
      <c r="R27" s="232">
        <v>35</v>
      </c>
      <c r="S27" s="232">
        <v>33</v>
      </c>
      <c r="T27" s="232">
        <v>27</v>
      </c>
      <c r="U27" s="232">
        <v>22</v>
      </c>
      <c r="V27" s="232">
        <v>25</v>
      </c>
      <c r="W27" s="232">
        <v>31</v>
      </c>
      <c r="X27" s="232">
        <v>28</v>
      </c>
      <c r="Y27" s="232">
        <v>24</v>
      </c>
      <c r="Z27" s="232">
        <v>17</v>
      </c>
      <c r="AA27" s="232">
        <v>17</v>
      </c>
      <c r="AB27" s="135">
        <v>18</v>
      </c>
      <c r="AC27" s="10"/>
      <c r="AD27" s="10">
        <v>-7.4199745254017397</v>
      </c>
      <c r="AE27" s="10">
        <v>-3.8801533107516106</v>
      </c>
      <c r="AF27" s="10">
        <v>-4.7040802553440226</v>
      </c>
      <c r="AG27" s="10">
        <v>-2.8260235349076068</v>
      </c>
      <c r="AH27" s="25"/>
      <c r="AI27" s="10">
        <v>-71.428571428571431</v>
      </c>
      <c r="AL27" s="972"/>
      <c r="AM27" s="11"/>
      <c r="AN27" s="331"/>
      <c r="AO27" s="10"/>
      <c r="AP27" s="10"/>
      <c r="AQ27" s="10"/>
      <c r="AR27" s="10"/>
      <c r="AS27" s="10"/>
      <c r="AT27" s="10"/>
      <c r="AU27" s="10"/>
      <c r="AV27" s="10"/>
      <c r="AW27" s="10"/>
      <c r="AX27" s="10"/>
      <c r="AY27" s="10"/>
      <c r="AZ27" s="10"/>
      <c r="BA27" s="10"/>
      <c r="BB27" s="10"/>
      <c r="BC27" s="10"/>
      <c r="BD27" s="10"/>
      <c r="BE27" s="10"/>
      <c r="BF27" s="11"/>
    </row>
    <row r="28" spans="1:58" s="114" customFormat="1">
      <c r="A28" s="4"/>
      <c r="B28" s="1145"/>
      <c r="C28" s="1145"/>
      <c r="D28" s="1145" t="s">
        <v>1201</v>
      </c>
      <c r="E28" s="1145"/>
      <c r="F28" s="1145"/>
      <c r="G28" s="1145"/>
      <c r="H28" s="1145"/>
      <c r="I28" s="41">
        <v>48</v>
      </c>
      <c r="J28" s="330">
        <v>27</v>
      </c>
      <c r="K28" s="232">
        <v>21</v>
      </c>
      <c r="L28" s="232">
        <v>28</v>
      </c>
      <c r="M28" s="232">
        <v>28</v>
      </c>
      <c r="N28" s="232">
        <v>30</v>
      </c>
      <c r="O28" s="232">
        <v>27</v>
      </c>
      <c r="P28" s="232">
        <v>21</v>
      </c>
      <c r="Q28" s="232">
        <v>29</v>
      </c>
      <c r="R28" s="232">
        <v>32</v>
      </c>
      <c r="S28" s="232">
        <v>46</v>
      </c>
      <c r="T28" s="232">
        <v>29</v>
      </c>
      <c r="U28" s="232">
        <v>30</v>
      </c>
      <c r="V28" s="232">
        <v>23</v>
      </c>
      <c r="W28" s="232">
        <v>31</v>
      </c>
      <c r="X28" s="232">
        <v>30</v>
      </c>
      <c r="Y28" s="232">
        <v>22</v>
      </c>
      <c r="Z28" s="232">
        <v>18</v>
      </c>
      <c r="AA28" s="232">
        <v>24</v>
      </c>
      <c r="AB28" s="135">
        <v>15</v>
      </c>
      <c r="AC28" s="10"/>
      <c r="AD28" s="10">
        <f t="shared" ref="AD28:AD33" si="8">((((J28/I28))^(1/8))-1)*100</f>
        <v>-6.9395140897900447</v>
      </c>
      <c r="AE28" s="10">
        <f t="shared" ref="AE28:AE33" si="9">((((U28/J28))^(1/11))-1)*100</f>
        <v>0.96242467350637906</v>
      </c>
      <c r="AF28" s="10">
        <f t="shared" si="0"/>
        <v>-4.3750646201515808</v>
      </c>
      <c r="AG28" s="10">
        <f t="shared" si="1"/>
        <v>-9.4276335736093291</v>
      </c>
      <c r="AH28" s="25"/>
      <c r="AI28" s="10">
        <f t="shared" si="2"/>
        <v>-68.75</v>
      </c>
      <c r="AL28" s="972" t="s">
        <v>1893</v>
      </c>
      <c r="AM28" s="11">
        <v>39.5</v>
      </c>
      <c r="AN28" s="331">
        <v>37.9</v>
      </c>
      <c r="AO28" s="10">
        <v>43.5</v>
      </c>
      <c r="AP28" s="10">
        <v>44.7</v>
      </c>
      <c r="AQ28" s="10">
        <v>42</v>
      </c>
      <c r="AR28" s="10">
        <v>42.5</v>
      </c>
      <c r="AS28" s="10">
        <v>41.9</v>
      </c>
      <c r="AT28" s="10">
        <v>42.7</v>
      </c>
      <c r="AU28" s="10">
        <v>48.5</v>
      </c>
      <c r="AV28" s="10">
        <v>43.6</v>
      </c>
      <c r="AW28" s="10">
        <v>39</v>
      </c>
      <c r="AX28" s="10">
        <v>36.1</v>
      </c>
      <c r="AY28" s="10">
        <v>32.299999999999997</v>
      </c>
      <c r="AZ28" s="10">
        <v>30.1</v>
      </c>
      <c r="BA28" s="10">
        <v>34.200000000000003</v>
      </c>
      <c r="BB28" s="10">
        <v>34.200000000000003</v>
      </c>
      <c r="BC28" s="10">
        <v>32.1</v>
      </c>
      <c r="BD28" s="10">
        <v>25.9</v>
      </c>
      <c r="BE28" s="10">
        <v>24.3</v>
      </c>
      <c r="BF28" s="11">
        <v>21.3</v>
      </c>
    </row>
    <row r="29" spans="1:58" s="114" customFormat="1">
      <c r="A29" s="4"/>
      <c r="B29" s="1145"/>
      <c r="C29" s="1145"/>
      <c r="D29" s="1145"/>
      <c r="E29" s="1145"/>
      <c r="F29" s="1145"/>
      <c r="G29" s="1145"/>
      <c r="H29" s="1145"/>
      <c r="I29" s="41"/>
      <c r="J29" s="330"/>
      <c r="K29" s="232"/>
      <c r="L29" s="232"/>
      <c r="M29" s="232"/>
      <c r="N29" s="232"/>
      <c r="O29" s="232"/>
      <c r="P29" s="232"/>
      <c r="Q29" s="232"/>
      <c r="R29" s="232"/>
      <c r="S29" s="232"/>
      <c r="T29" s="232"/>
      <c r="U29" s="232"/>
      <c r="V29" s="232"/>
      <c r="W29" s="232"/>
      <c r="X29" s="232"/>
      <c r="Y29" s="232"/>
      <c r="Z29" s="232"/>
      <c r="AA29" s="232"/>
      <c r="AB29" s="135"/>
      <c r="AC29" s="10"/>
      <c r="AD29" s="10"/>
      <c r="AE29" s="10"/>
      <c r="AF29" s="10"/>
      <c r="AG29" s="10"/>
      <c r="AH29" s="25"/>
      <c r="AI29" s="10"/>
      <c r="AL29" s="972" t="s">
        <v>1894</v>
      </c>
      <c r="AM29" s="11">
        <v>11.5</v>
      </c>
      <c r="AN29" s="331">
        <v>11.4</v>
      </c>
      <c r="AO29" s="10">
        <v>18.399999999999999</v>
      </c>
      <c r="AP29" s="10">
        <v>20.3</v>
      </c>
      <c r="AQ29" s="10">
        <v>13</v>
      </c>
      <c r="AR29" s="10">
        <v>22.1</v>
      </c>
      <c r="AS29" s="10">
        <v>26.5</v>
      </c>
      <c r="AT29" s="10">
        <v>21.9</v>
      </c>
      <c r="AU29" s="10">
        <v>25.2</v>
      </c>
      <c r="AV29" s="10">
        <v>19</v>
      </c>
      <c r="AW29" s="10">
        <v>16.8</v>
      </c>
      <c r="AX29" s="10">
        <v>18.100000000000001</v>
      </c>
      <c r="AY29" s="10">
        <v>12.3</v>
      </c>
      <c r="AZ29" s="10">
        <v>12.3</v>
      </c>
      <c r="BA29" s="10">
        <v>12.2</v>
      </c>
      <c r="BB29" s="10">
        <v>12.8</v>
      </c>
      <c r="BC29" s="10">
        <v>14.4</v>
      </c>
      <c r="BD29" s="10">
        <v>11.6</v>
      </c>
      <c r="BE29" s="10">
        <v>7.2</v>
      </c>
      <c r="BF29" s="11">
        <v>10.8</v>
      </c>
    </row>
    <row r="30" spans="1:58" s="114" customFormat="1">
      <c r="A30" s="4"/>
      <c r="B30" s="1145"/>
      <c r="C30" s="1145" t="s">
        <v>536</v>
      </c>
      <c r="D30" s="1145"/>
      <c r="E30" s="1145"/>
      <c r="F30" s="1145"/>
      <c r="G30" s="1145"/>
      <c r="H30" s="1145"/>
      <c r="I30" s="41">
        <v>838</v>
      </c>
      <c r="J30" s="330">
        <v>780</v>
      </c>
      <c r="K30" s="232">
        <v>930</v>
      </c>
      <c r="L30" s="232">
        <v>1023</v>
      </c>
      <c r="M30" s="232">
        <v>1029</v>
      </c>
      <c r="N30" s="232">
        <v>1167</v>
      </c>
      <c r="O30" s="232">
        <v>1125</v>
      </c>
      <c r="P30" s="232">
        <v>1214</v>
      </c>
      <c r="Q30" s="232">
        <v>1282</v>
      </c>
      <c r="R30" s="232">
        <v>1211</v>
      </c>
      <c r="S30" s="232">
        <v>1089</v>
      </c>
      <c r="T30" s="232">
        <v>1008</v>
      </c>
      <c r="U30" s="232">
        <v>958</v>
      </c>
      <c r="V30" s="232">
        <v>837</v>
      </c>
      <c r="W30" s="232">
        <v>844</v>
      </c>
      <c r="X30" s="232">
        <v>854</v>
      </c>
      <c r="Y30" s="232">
        <v>877</v>
      </c>
      <c r="Z30" s="232">
        <v>790</v>
      </c>
      <c r="AA30" s="232">
        <v>762</v>
      </c>
      <c r="AB30" s="135">
        <v>629</v>
      </c>
      <c r="AC30" s="10"/>
      <c r="AD30" s="10">
        <f t="shared" si="8"/>
        <v>-0.89254521423414168</v>
      </c>
      <c r="AE30" s="10">
        <f t="shared" si="9"/>
        <v>1.8862403682696094</v>
      </c>
      <c r="AF30" s="10">
        <f t="shared" si="0"/>
        <v>-1.097345687842699</v>
      </c>
      <c r="AG30" s="10">
        <f t="shared" si="1"/>
        <v>-5.8331860670777562</v>
      </c>
      <c r="AH30" s="25"/>
      <c r="AI30" s="10">
        <f t="shared" si="2"/>
        <v>-24.940334128878284</v>
      </c>
      <c r="AL30" s="972" t="s">
        <v>1895</v>
      </c>
      <c r="AM30" s="11">
        <v>44.6</v>
      </c>
      <c r="AN30" s="331">
        <v>41.4</v>
      </c>
      <c r="AO30" s="10">
        <v>47.8</v>
      </c>
      <c r="AP30" s="10">
        <v>48.2</v>
      </c>
      <c r="AQ30" s="10">
        <v>45.8</v>
      </c>
      <c r="AR30" s="10">
        <v>45.8</v>
      </c>
      <c r="AS30" s="10">
        <v>44.5</v>
      </c>
      <c r="AT30" s="10">
        <v>46</v>
      </c>
      <c r="AU30" s="10">
        <v>52.1</v>
      </c>
      <c r="AV30" s="10">
        <v>47.7</v>
      </c>
      <c r="AW30" s="10">
        <v>42.9</v>
      </c>
      <c r="AX30" s="10">
        <v>39.4</v>
      </c>
      <c r="AY30" s="10">
        <v>36.299999999999997</v>
      </c>
      <c r="AZ30" s="10">
        <v>33.799999999999997</v>
      </c>
      <c r="BA30" s="10">
        <v>39.4</v>
      </c>
      <c r="BB30" s="10">
        <v>39</v>
      </c>
      <c r="BC30" s="10">
        <v>36</v>
      </c>
      <c r="BD30" s="10">
        <v>29.1</v>
      </c>
      <c r="BE30" s="10">
        <v>28.2</v>
      </c>
      <c r="BF30" s="11">
        <v>23.6</v>
      </c>
    </row>
    <row r="31" spans="1:58" s="114" customFormat="1">
      <c r="A31" s="4"/>
      <c r="B31" s="1145"/>
      <c r="C31" s="1145"/>
      <c r="D31" s="1145" t="s">
        <v>260</v>
      </c>
      <c r="E31" s="1145"/>
      <c r="F31" s="1145"/>
      <c r="G31" s="1145"/>
      <c r="H31" s="1145"/>
      <c r="I31" s="41">
        <v>493</v>
      </c>
      <c r="J31" s="330">
        <v>408</v>
      </c>
      <c r="K31" s="232">
        <v>475</v>
      </c>
      <c r="L31" s="232">
        <v>532</v>
      </c>
      <c r="M31" s="232">
        <v>509</v>
      </c>
      <c r="N31" s="232">
        <v>603</v>
      </c>
      <c r="O31" s="232">
        <v>609</v>
      </c>
      <c r="P31" s="232">
        <v>674</v>
      </c>
      <c r="Q31" s="232">
        <v>661</v>
      </c>
      <c r="R31" s="232">
        <v>653</v>
      </c>
      <c r="S31" s="232">
        <v>561</v>
      </c>
      <c r="T31" s="232">
        <v>531</v>
      </c>
      <c r="U31" s="232">
        <v>537</v>
      </c>
      <c r="V31" s="232">
        <v>464</v>
      </c>
      <c r="W31" s="232">
        <v>408</v>
      </c>
      <c r="X31" s="232">
        <v>436</v>
      </c>
      <c r="Y31" s="232">
        <v>457</v>
      </c>
      <c r="Z31" s="232">
        <v>420</v>
      </c>
      <c r="AA31" s="232">
        <v>414</v>
      </c>
      <c r="AB31" s="135">
        <v>345</v>
      </c>
      <c r="AC31" s="10"/>
      <c r="AD31" s="10">
        <f t="shared" si="8"/>
        <v>-2.3377657675827113</v>
      </c>
      <c r="AE31" s="10">
        <f t="shared" si="9"/>
        <v>2.5290039768892436</v>
      </c>
      <c r="AF31" s="10">
        <f t="shared" si="0"/>
        <v>-1.3635595179194993</v>
      </c>
      <c r="AG31" s="10">
        <f t="shared" si="1"/>
        <v>-6.1251494777268656</v>
      </c>
      <c r="AH31" s="25"/>
      <c r="AI31" s="10">
        <f t="shared" si="2"/>
        <v>-30.020283975659233</v>
      </c>
      <c r="AL31" s="972" t="s">
        <v>1896</v>
      </c>
      <c r="AM31" s="11">
        <v>92.3</v>
      </c>
      <c r="AN31" s="331">
        <v>86.4</v>
      </c>
      <c r="AO31" s="10">
        <v>85.9</v>
      </c>
      <c r="AP31" s="10">
        <v>81.8</v>
      </c>
      <c r="AQ31" s="10">
        <v>80.3</v>
      </c>
      <c r="AR31" s="10">
        <v>77.2</v>
      </c>
      <c r="AS31" s="10">
        <v>78.900000000000006</v>
      </c>
      <c r="AT31" s="10">
        <v>81.099999999999994</v>
      </c>
      <c r="AU31" s="10">
        <v>88.3</v>
      </c>
      <c r="AV31" s="10">
        <v>88.3</v>
      </c>
      <c r="AW31" s="10">
        <v>84.5</v>
      </c>
      <c r="AX31" s="10">
        <v>86.8</v>
      </c>
      <c r="AY31" s="10">
        <v>88.3</v>
      </c>
      <c r="AZ31" s="10">
        <v>88</v>
      </c>
      <c r="BA31" s="10">
        <v>84.4</v>
      </c>
      <c r="BB31" s="10">
        <v>86.3</v>
      </c>
      <c r="BC31" s="10">
        <v>78.2</v>
      </c>
      <c r="BD31" s="10">
        <v>82.1</v>
      </c>
      <c r="BE31" s="10">
        <v>80.8</v>
      </c>
      <c r="BF31" s="11">
        <v>75.099999999999994</v>
      </c>
    </row>
    <row r="32" spans="1:58" s="114" customFormat="1">
      <c r="A32" s="4"/>
      <c r="B32" s="1145"/>
      <c r="C32" s="1145"/>
      <c r="D32" s="1145" t="s">
        <v>298</v>
      </c>
      <c r="E32" s="1145"/>
      <c r="F32" s="1145"/>
      <c r="G32" s="1145"/>
      <c r="H32" s="1145"/>
      <c r="I32" s="41">
        <v>301</v>
      </c>
      <c r="J32" s="330">
        <v>338</v>
      </c>
      <c r="K32" s="232">
        <v>407</v>
      </c>
      <c r="L32" s="232">
        <v>447</v>
      </c>
      <c r="M32" s="232">
        <v>482</v>
      </c>
      <c r="N32" s="232">
        <v>490</v>
      </c>
      <c r="O32" s="232">
        <v>440</v>
      </c>
      <c r="P32" s="232">
        <v>479</v>
      </c>
      <c r="Q32" s="232">
        <v>555</v>
      </c>
      <c r="R32" s="232">
        <v>488</v>
      </c>
      <c r="S32" s="232">
        <v>452</v>
      </c>
      <c r="T32" s="232">
        <v>396</v>
      </c>
      <c r="U32" s="232">
        <v>373</v>
      </c>
      <c r="V32" s="232">
        <v>337</v>
      </c>
      <c r="W32" s="232">
        <v>397</v>
      </c>
      <c r="X32" s="232">
        <v>370</v>
      </c>
      <c r="Y32" s="232">
        <v>371</v>
      </c>
      <c r="Z32" s="232">
        <v>320</v>
      </c>
      <c r="AA32" s="232">
        <v>307</v>
      </c>
      <c r="AB32" s="135">
        <v>246</v>
      </c>
      <c r="AC32" s="10"/>
      <c r="AD32" s="10">
        <f t="shared" si="8"/>
        <v>1.4597471306759591</v>
      </c>
      <c r="AE32" s="10">
        <f t="shared" si="9"/>
        <v>0.89977406749184308</v>
      </c>
      <c r="AF32" s="10">
        <f t="shared" si="0"/>
        <v>-0.77306837012138807</v>
      </c>
      <c r="AG32" s="10">
        <f t="shared" si="1"/>
        <v>-5.7730395055458299</v>
      </c>
      <c r="AH32" s="25"/>
      <c r="AI32" s="10">
        <f t="shared" si="2"/>
        <v>-18.272425249169434</v>
      </c>
      <c r="AL32" s="972" t="s">
        <v>1897</v>
      </c>
      <c r="AM32" s="11">
        <v>33.700000000000003</v>
      </c>
      <c r="AN32" s="331">
        <v>32.700000000000003</v>
      </c>
      <c r="AO32" s="10">
        <v>39</v>
      </c>
      <c r="AP32" s="10">
        <v>34.799999999999997</v>
      </c>
      <c r="AQ32" s="10">
        <v>30.4</v>
      </c>
      <c r="AR32" s="10">
        <v>31.5</v>
      </c>
      <c r="AS32" s="10">
        <v>29.9</v>
      </c>
      <c r="AT32" s="10">
        <v>32</v>
      </c>
      <c r="AU32" s="10">
        <v>34.5</v>
      </c>
      <c r="AV32" s="10">
        <v>32.799999999999997</v>
      </c>
      <c r="AW32" s="10">
        <v>32.1</v>
      </c>
      <c r="AX32" s="10">
        <v>27.1</v>
      </c>
      <c r="AY32" s="10">
        <v>26.9</v>
      </c>
      <c r="AZ32" s="10">
        <v>24.1</v>
      </c>
      <c r="BA32" s="10">
        <v>31.6</v>
      </c>
      <c r="BB32" s="10">
        <v>32.1</v>
      </c>
      <c r="BC32" s="10">
        <v>30.4</v>
      </c>
      <c r="BD32" s="10">
        <v>22.1</v>
      </c>
      <c r="BE32" s="10">
        <v>20.399999999999999</v>
      </c>
      <c r="BF32" s="11">
        <v>16.7</v>
      </c>
    </row>
    <row r="33" spans="1:58" s="114" customFormat="1">
      <c r="A33" s="4"/>
      <c r="B33" s="1145"/>
      <c r="C33" s="1145"/>
      <c r="D33" s="1145" t="s">
        <v>299</v>
      </c>
      <c r="E33" s="1145"/>
      <c r="F33" s="1145"/>
      <c r="G33" s="1145"/>
      <c r="H33" s="1145"/>
      <c r="I33" s="41">
        <v>36</v>
      </c>
      <c r="J33" s="330">
        <v>29</v>
      </c>
      <c r="K33" s="232">
        <v>39</v>
      </c>
      <c r="L33" s="232">
        <v>35</v>
      </c>
      <c r="M33" s="232">
        <v>32</v>
      </c>
      <c r="N33" s="232">
        <v>63</v>
      </c>
      <c r="O33" s="232">
        <v>72</v>
      </c>
      <c r="P33" s="232">
        <v>57</v>
      </c>
      <c r="Q33" s="232">
        <v>60</v>
      </c>
      <c r="R33" s="232">
        <v>64</v>
      </c>
      <c r="S33" s="232">
        <v>74</v>
      </c>
      <c r="T33" s="232">
        <v>78</v>
      </c>
      <c r="U33" s="232">
        <v>44</v>
      </c>
      <c r="V33" s="232">
        <v>34</v>
      </c>
      <c r="W33" s="232">
        <v>37</v>
      </c>
      <c r="X33" s="232">
        <v>47</v>
      </c>
      <c r="Y33" s="232">
        <v>49</v>
      </c>
      <c r="Z33" s="232">
        <v>49</v>
      </c>
      <c r="AA33" s="232">
        <v>37</v>
      </c>
      <c r="AB33" s="135">
        <v>34</v>
      </c>
      <c r="AC33" s="10"/>
      <c r="AD33" s="10">
        <f t="shared" si="8"/>
        <v>-2.6665903739265251</v>
      </c>
      <c r="AE33" s="10">
        <f t="shared" si="9"/>
        <v>3.8626779911948628</v>
      </c>
      <c r="AF33" s="10">
        <f t="shared" si="0"/>
        <v>-0.21959858196815008</v>
      </c>
      <c r="AG33" s="10">
        <f t="shared" si="1"/>
        <v>-3.6162656965471274</v>
      </c>
      <c r="AH33" s="25"/>
      <c r="AI33" s="10">
        <f t="shared" si="2"/>
        <v>-5.555555555555558</v>
      </c>
      <c r="AL33" s="972" t="s">
        <v>1898</v>
      </c>
      <c r="AM33" s="11">
        <v>13</v>
      </c>
      <c r="AN33" s="331">
        <v>10.199999999999999</v>
      </c>
      <c r="AO33" s="10">
        <v>17.600000000000001</v>
      </c>
      <c r="AP33" s="10">
        <v>21.4</v>
      </c>
      <c r="AQ33" s="10">
        <v>18.2</v>
      </c>
      <c r="AR33" s="10">
        <v>16.2</v>
      </c>
      <c r="AS33" s="10">
        <v>12.9</v>
      </c>
      <c r="AT33" s="10">
        <v>12.4</v>
      </c>
      <c r="AU33" s="10">
        <v>19.3</v>
      </c>
      <c r="AV33" s="10">
        <v>12.2</v>
      </c>
      <c r="AW33" s="10">
        <v>6.9</v>
      </c>
      <c r="AX33" s="10">
        <v>8.9</v>
      </c>
      <c r="AY33" s="10">
        <v>9.6</v>
      </c>
      <c r="AZ33" s="10">
        <v>6.2</v>
      </c>
      <c r="BA33" s="10">
        <v>13.7</v>
      </c>
      <c r="BB33" s="10">
        <v>15.2</v>
      </c>
      <c r="BC33" s="10">
        <v>16.2</v>
      </c>
      <c r="BD33" s="10">
        <v>10.5</v>
      </c>
      <c r="BE33" s="10">
        <v>10.8</v>
      </c>
      <c r="BF33" s="11">
        <v>5.7</v>
      </c>
    </row>
    <row r="34" spans="1:58" s="114" customFormat="1">
      <c r="A34" s="4"/>
      <c r="B34" s="1145"/>
      <c r="C34" s="1145"/>
      <c r="D34" s="1145"/>
      <c r="E34" s="1145"/>
      <c r="F34" s="1145"/>
      <c r="G34" s="1145"/>
      <c r="H34" s="1145"/>
      <c r="I34" s="41"/>
      <c r="J34" s="330"/>
      <c r="K34" s="232"/>
      <c r="L34" s="232"/>
      <c r="M34" s="232"/>
      <c r="N34" s="232"/>
      <c r="O34" s="232"/>
      <c r="P34" s="232"/>
      <c r="Q34" s="232"/>
      <c r="R34" s="232"/>
      <c r="S34" s="232"/>
      <c r="T34" s="232"/>
      <c r="U34" s="232"/>
      <c r="V34" s="232"/>
      <c r="W34" s="232"/>
      <c r="X34" s="232"/>
      <c r="Y34" s="232"/>
      <c r="Z34" s="232"/>
      <c r="AA34" s="232"/>
      <c r="AB34" s="135"/>
      <c r="AC34" s="10"/>
      <c r="AD34" s="10"/>
      <c r="AE34" s="10"/>
      <c r="AF34" s="10"/>
      <c r="AG34" s="10"/>
      <c r="AH34" s="25"/>
      <c r="AI34" s="10"/>
      <c r="AM34" s="11"/>
      <c r="AN34" s="331"/>
      <c r="AO34" s="10"/>
      <c r="AP34" s="10"/>
      <c r="AQ34" s="10"/>
      <c r="AR34" s="10"/>
      <c r="AS34" s="10"/>
      <c r="AT34" s="10"/>
      <c r="AU34" s="10"/>
      <c r="AV34" s="10"/>
      <c r="AW34" s="10"/>
      <c r="AX34" s="10"/>
      <c r="AY34" s="10"/>
      <c r="AZ34" s="10"/>
      <c r="BA34" s="10"/>
      <c r="BB34" s="10"/>
      <c r="BC34" s="10"/>
      <c r="BD34" s="10"/>
      <c r="BE34" s="10"/>
      <c r="BF34" s="11"/>
    </row>
    <row r="35" spans="1:58" s="114" customFormat="1">
      <c r="A35" s="4"/>
      <c r="B35" s="1145"/>
      <c r="C35" s="1145" t="s">
        <v>28</v>
      </c>
      <c r="D35" s="1145"/>
      <c r="E35" s="1145"/>
      <c r="F35" s="1145"/>
      <c r="G35" s="1145"/>
      <c r="H35" s="1145"/>
      <c r="I35" s="41">
        <v>970</v>
      </c>
      <c r="J35" s="330">
        <v>908</v>
      </c>
      <c r="K35" s="232">
        <v>1145</v>
      </c>
      <c r="L35" s="232">
        <v>1289</v>
      </c>
      <c r="M35" s="232">
        <v>1344</v>
      </c>
      <c r="N35" s="232">
        <v>1468</v>
      </c>
      <c r="O35" s="232">
        <v>1515</v>
      </c>
      <c r="P35" s="232">
        <v>1582</v>
      </c>
      <c r="Q35" s="232">
        <v>1679</v>
      </c>
      <c r="R35" s="232">
        <v>1686</v>
      </c>
      <c r="S35" s="232">
        <v>1473</v>
      </c>
      <c r="T35" s="232">
        <v>1419</v>
      </c>
      <c r="U35" s="232">
        <v>1360</v>
      </c>
      <c r="V35" s="232">
        <v>1207</v>
      </c>
      <c r="W35" s="232">
        <v>1350</v>
      </c>
      <c r="X35" s="232">
        <v>1363</v>
      </c>
      <c r="Y35" s="232">
        <v>1254</v>
      </c>
      <c r="Z35" s="232">
        <v>1179</v>
      </c>
      <c r="AA35" s="232">
        <v>1181</v>
      </c>
      <c r="AB35" s="135">
        <v>966</v>
      </c>
      <c r="AC35" s="10"/>
      <c r="AD35" s="10">
        <f>((((J35/I35))^(1/8))-1)*100</f>
        <v>-0.82224706455409358</v>
      </c>
      <c r="AE35" s="10">
        <f>((((U35/J35))^(1/11))-1)*100</f>
        <v>3.7409637287246555</v>
      </c>
      <c r="AF35" s="10">
        <f t="shared" si="0"/>
        <v>-1.5891957421221292E-2</v>
      </c>
      <c r="AG35" s="10">
        <f t="shared" si="1"/>
        <v>-4.7693193757333052</v>
      </c>
      <c r="AH35" s="25"/>
      <c r="AI35" s="10">
        <f t="shared" si="2"/>
        <v>-0.41237113402061709</v>
      </c>
      <c r="AL35" s="114" t="s">
        <v>1899</v>
      </c>
      <c r="AM35" s="11">
        <v>11.9</v>
      </c>
      <c r="AN35" s="331">
        <v>8.6</v>
      </c>
      <c r="AO35" s="10">
        <v>13.1</v>
      </c>
      <c r="AP35" s="10">
        <v>13.4</v>
      </c>
      <c r="AQ35" s="10">
        <v>16.899999999999999</v>
      </c>
      <c r="AR35" s="10">
        <v>17.8</v>
      </c>
      <c r="AS35" s="10">
        <v>17.2</v>
      </c>
      <c r="AT35" s="10">
        <v>13.9</v>
      </c>
      <c r="AU35" s="10">
        <v>14.3</v>
      </c>
      <c r="AV35" s="10">
        <v>14.9</v>
      </c>
      <c r="AW35" s="10">
        <v>14.2</v>
      </c>
      <c r="AX35" s="10">
        <v>12</v>
      </c>
      <c r="AY35" s="10">
        <v>10.8</v>
      </c>
      <c r="AZ35" s="10">
        <v>8.8000000000000007</v>
      </c>
      <c r="BA35" s="10">
        <v>10.8</v>
      </c>
      <c r="BB35" s="10">
        <v>11.9</v>
      </c>
      <c r="BC35" s="10">
        <v>10.5</v>
      </c>
      <c r="BD35" s="10">
        <v>11.2</v>
      </c>
      <c r="BE35" s="10">
        <v>10.6</v>
      </c>
      <c r="BF35" s="11">
        <v>9.9</v>
      </c>
    </row>
    <row r="36" spans="1:58" s="114" customFormat="1">
      <c r="A36" s="4"/>
      <c r="B36" s="1145"/>
      <c r="C36" s="1145"/>
      <c r="D36" s="1145" t="s">
        <v>30</v>
      </c>
      <c r="E36" s="1145"/>
      <c r="F36" s="1145"/>
      <c r="G36" s="1145"/>
      <c r="H36" s="1145"/>
      <c r="I36" s="41">
        <v>400</v>
      </c>
      <c r="J36" s="330">
        <v>353</v>
      </c>
      <c r="K36" s="232">
        <v>449</v>
      </c>
      <c r="L36" s="232">
        <v>531</v>
      </c>
      <c r="M36" s="232">
        <v>535</v>
      </c>
      <c r="N36" s="232">
        <v>588</v>
      </c>
      <c r="O36" s="232">
        <v>631</v>
      </c>
      <c r="P36" s="232">
        <v>672</v>
      </c>
      <c r="Q36" s="232">
        <v>691</v>
      </c>
      <c r="R36" s="232">
        <v>689</v>
      </c>
      <c r="S36" s="232">
        <v>600</v>
      </c>
      <c r="T36" s="232">
        <v>604</v>
      </c>
      <c r="U36" s="232">
        <v>574</v>
      </c>
      <c r="V36" s="232">
        <v>501</v>
      </c>
      <c r="W36" s="232">
        <v>555</v>
      </c>
      <c r="X36" s="232">
        <v>578</v>
      </c>
      <c r="Y36" s="232">
        <v>514</v>
      </c>
      <c r="Z36" s="232">
        <v>494</v>
      </c>
      <c r="AA36" s="232">
        <v>509</v>
      </c>
      <c r="AB36" s="135">
        <v>409</v>
      </c>
      <c r="AC36" s="10"/>
      <c r="AD36" s="10">
        <f>((((J36/I36))^(1/8))-1)*100</f>
        <v>-1.5503131068182241</v>
      </c>
      <c r="AE36" s="10">
        <f>((((U36/J36))^(1/11))-1)*100</f>
        <v>4.518769883601581</v>
      </c>
      <c r="AF36" s="10">
        <v>8.5615894635360235E-2</v>
      </c>
      <c r="AG36" s="10">
        <v>-4.7262939030171651</v>
      </c>
      <c r="AH36" s="25"/>
      <c r="AI36" s="10">
        <v>2.2499999999999964</v>
      </c>
      <c r="AM36" s="11"/>
      <c r="AN36" s="331"/>
      <c r="AO36" s="10"/>
      <c r="AP36" s="10"/>
      <c r="AQ36" s="10"/>
      <c r="AR36" s="10"/>
      <c r="AS36" s="10"/>
      <c r="AT36" s="10"/>
      <c r="AU36" s="10"/>
      <c r="AV36" s="10"/>
      <c r="AW36" s="10"/>
      <c r="AX36" s="10"/>
      <c r="AY36" s="10"/>
      <c r="AZ36" s="10"/>
      <c r="BA36" s="10"/>
      <c r="BB36" s="10"/>
      <c r="BC36" s="10"/>
      <c r="BD36" s="10"/>
      <c r="BE36" s="10"/>
      <c r="BF36" s="11"/>
    </row>
    <row r="37" spans="1:58" s="114" customFormat="1">
      <c r="A37" s="4"/>
      <c r="B37" s="1145"/>
      <c r="C37" s="1145"/>
      <c r="D37" s="1145" t="s">
        <v>31</v>
      </c>
      <c r="E37" s="1145"/>
      <c r="F37" s="1145"/>
      <c r="G37" s="1145"/>
      <c r="H37" s="1145"/>
      <c r="I37" s="41">
        <v>570</v>
      </c>
      <c r="J37" s="330">
        <v>554</v>
      </c>
      <c r="K37" s="232">
        <v>696</v>
      </c>
      <c r="L37" s="232">
        <v>757</v>
      </c>
      <c r="M37" s="232">
        <v>809</v>
      </c>
      <c r="N37" s="232">
        <v>881</v>
      </c>
      <c r="O37" s="232">
        <v>884</v>
      </c>
      <c r="P37" s="232">
        <v>910</v>
      </c>
      <c r="Q37" s="232">
        <v>989</v>
      </c>
      <c r="R37" s="232">
        <v>997</v>
      </c>
      <c r="S37" s="232">
        <v>873</v>
      </c>
      <c r="T37" s="232">
        <v>815</v>
      </c>
      <c r="U37" s="232">
        <v>786</v>
      </c>
      <c r="V37" s="232">
        <v>707</v>
      </c>
      <c r="W37" s="232">
        <v>795</v>
      </c>
      <c r="X37" s="232">
        <v>784</v>
      </c>
      <c r="Y37" s="232">
        <v>740</v>
      </c>
      <c r="Z37" s="232">
        <v>685</v>
      </c>
      <c r="AA37" s="232">
        <v>672</v>
      </c>
      <c r="AB37" s="135">
        <v>557</v>
      </c>
      <c r="AC37" s="10"/>
      <c r="AD37" s="10">
        <f>((((J37/I37))^(1/8))-1)*100</f>
        <v>-0.35526336710526296</v>
      </c>
      <c r="AE37" s="10">
        <f>((((U37/J37))^(1/11))-1)*100</f>
        <v>3.2310281599517987</v>
      </c>
      <c r="AF37" s="10">
        <f t="shared" si="0"/>
        <v>-8.8695722459497528E-2</v>
      </c>
      <c r="AG37" s="10">
        <f t="shared" si="1"/>
        <v>-4.8008138635858071</v>
      </c>
      <c r="AH37" s="25"/>
      <c r="AI37" s="10">
        <f t="shared" si="2"/>
        <v>-2.2807017543859609</v>
      </c>
      <c r="AL37" s="114" t="s">
        <v>1900</v>
      </c>
      <c r="AM37" s="11">
        <v>35.5</v>
      </c>
      <c r="AN37" s="331">
        <v>29</v>
      </c>
      <c r="AO37" s="10">
        <v>31.3</v>
      </c>
      <c r="AP37" s="10">
        <v>35.4</v>
      </c>
      <c r="AQ37" s="10">
        <v>35.1</v>
      </c>
      <c r="AR37" s="10">
        <v>35.299999999999997</v>
      </c>
      <c r="AS37" s="10">
        <v>35</v>
      </c>
      <c r="AT37" s="10">
        <v>35</v>
      </c>
      <c r="AU37" s="10">
        <v>36.1</v>
      </c>
      <c r="AV37" s="10">
        <v>36.200000000000003</v>
      </c>
      <c r="AW37" s="10">
        <v>35.200000000000003</v>
      </c>
      <c r="AX37" s="10">
        <v>34.1</v>
      </c>
      <c r="AY37" s="10">
        <v>32.9</v>
      </c>
      <c r="AZ37" s="10">
        <v>30.8</v>
      </c>
      <c r="BA37" s="10">
        <v>29.5</v>
      </c>
      <c r="BB37" s="10">
        <v>29.7</v>
      </c>
      <c r="BC37" s="10">
        <v>30.1</v>
      </c>
      <c r="BD37" s="10">
        <v>30.4</v>
      </c>
      <c r="BE37" s="10">
        <v>29.2</v>
      </c>
      <c r="BF37" s="11">
        <v>27.4</v>
      </c>
    </row>
    <row r="38" spans="1:58" s="114" customFormat="1">
      <c r="A38" s="4"/>
      <c r="B38" s="1145"/>
      <c r="C38" s="1145"/>
      <c r="D38" s="1145"/>
      <c r="E38" s="1145"/>
      <c r="F38" s="1145"/>
      <c r="G38" s="1145"/>
      <c r="H38" s="1145"/>
      <c r="I38" s="41"/>
      <c r="J38" s="330"/>
      <c r="K38" s="232"/>
      <c r="L38" s="232"/>
      <c r="M38" s="232"/>
      <c r="N38" s="232"/>
      <c r="O38" s="232"/>
      <c r="P38" s="232"/>
      <c r="Q38" s="232"/>
      <c r="R38" s="232"/>
      <c r="S38" s="232"/>
      <c r="T38" s="232"/>
      <c r="U38" s="232"/>
      <c r="V38" s="232"/>
      <c r="W38" s="232"/>
      <c r="X38" s="232"/>
      <c r="Y38" s="232"/>
      <c r="Z38" s="232"/>
      <c r="AA38" s="232"/>
      <c r="AB38" s="135"/>
      <c r="AC38" s="10"/>
      <c r="AD38" s="10"/>
      <c r="AE38" s="10"/>
      <c r="AF38" s="10"/>
      <c r="AG38" s="10"/>
      <c r="AH38" s="25"/>
      <c r="AI38" s="10"/>
      <c r="AM38" s="11"/>
      <c r="AN38" s="331"/>
      <c r="AO38" s="10"/>
      <c r="AP38" s="10"/>
      <c r="AQ38" s="10"/>
      <c r="AR38" s="10"/>
      <c r="AS38" s="10"/>
      <c r="AT38" s="10"/>
      <c r="AU38" s="10"/>
      <c r="AV38" s="10"/>
      <c r="AW38" s="10"/>
      <c r="AX38" s="10"/>
      <c r="AY38" s="10"/>
      <c r="AZ38" s="10"/>
      <c r="BA38" s="10"/>
      <c r="BB38" s="10"/>
      <c r="BC38" s="10"/>
      <c r="BD38" s="10"/>
      <c r="BE38" s="10"/>
      <c r="BF38" s="11"/>
    </row>
    <row r="39" spans="1:58" s="114" customFormat="1">
      <c r="A39" s="128"/>
      <c r="B39" s="128" t="s">
        <v>258</v>
      </c>
      <c r="C39" s="1145"/>
      <c r="D39" s="1145"/>
      <c r="E39" s="1145"/>
      <c r="F39" s="1145"/>
      <c r="G39" s="1145"/>
      <c r="H39" s="1145"/>
      <c r="I39" s="41">
        <v>895</v>
      </c>
      <c r="J39" s="330">
        <v>944</v>
      </c>
      <c r="K39" s="232">
        <v>1056</v>
      </c>
      <c r="L39" s="232">
        <v>1222</v>
      </c>
      <c r="M39" s="232">
        <v>1233</v>
      </c>
      <c r="N39" s="232">
        <v>1241</v>
      </c>
      <c r="O39" s="232">
        <v>1266</v>
      </c>
      <c r="P39" s="232">
        <v>1296</v>
      </c>
      <c r="Q39" s="232">
        <v>1366</v>
      </c>
      <c r="R39" s="232">
        <v>1398</v>
      </c>
      <c r="S39" s="232">
        <v>1381</v>
      </c>
      <c r="T39" s="232">
        <v>1366</v>
      </c>
      <c r="U39" s="232">
        <v>1346</v>
      </c>
      <c r="V39" s="232">
        <v>1291</v>
      </c>
      <c r="W39" s="232">
        <v>1263</v>
      </c>
      <c r="X39" s="232">
        <v>1296</v>
      </c>
      <c r="Y39" s="232">
        <v>1342</v>
      </c>
      <c r="Z39" s="232">
        <v>1389</v>
      </c>
      <c r="AA39" s="232">
        <v>1363</v>
      </c>
      <c r="AB39" s="135">
        <v>1309</v>
      </c>
      <c r="AC39" s="10"/>
      <c r="AD39" s="10">
        <f t="shared" ref="AD39:AD44" si="10">((((J39/I39))^(1/8))-1)*100</f>
        <v>0.66850518548160487</v>
      </c>
      <c r="AE39" s="10">
        <f t="shared" ref="AE39:AE44" si="11">((((U39/J39))^(1/11))-1)*100</f>
        <v>3.2777201473865203</v>
      </c>
      <c r="AF39" s="10">
        <f t="shared" si="0"/>
        <v>1.4730323894626807</v>
      </c>
      <c r="AG39" s="10">
        <f t="shared" si="1"/>
        <v>-0.39740459666978145</v>
      </c>
      <c r="AH39" s="25"/>
      <c r="AI39" s="10">
        <f t="shared" si="2"/>
        <v>46.25698324022347</v>
      </c>
      <c r="AL39" s="114" t="s">
        <v>1901</v>
      </c>
      <c r="AM39" s="11">
        <v>39</v>
      </c>
      <c r="AN39" s="331">
        <v>18.8</v>
      </c>
      <c r="AO39" s="10">
        <v>20.7</v>
      </c>
      <c r="AP39" s="10">
        <v>23.8</v>
      </c>
      <c r="AQ39" s="10">
        <v>16.899999999999999</v>
      </c>
      <c r="AR39" s="10">
        <v>20</v>
      </c>
      <c r="AS39" s="10">
        <v>13.3</v>
      </c>
      <c r="AT39" s="10">
        <v>14.4</v>
      </c>
      <c r="AU39" s="10">
        <v>17.7</v>
      </c>
      <c r="AV39" s="10">
        <v>17</v>
      </c>
      <c r="AW39" s="10">
        <v>17.5</v>
      </c>
      <c r="AX39" s="10">
        <v>17.2</v>
      </c>
      <c r="AY39" s="10">
        <v>17.600000000000001</v>
      </c>
      <c r="AZ39" s="10">
        <v>16.8</v>
      </c>
      <c r="BA39" s="10">
        <v>15.9</v>
      </c>
      <c r="BB39" s="10">
        <v>14.7</v>
      </c>
      <c r="BC39" s="10">
        <v>11.5</v>
      </c>
      <c r="BD39" s="10">
        <v>13.6</v>
      </c>
      <c r="BE39" s="10">
        <v>14</v>
      </c>
      <c r="BF39" s="11">
        <v>13</v>
      </c>
    </row>
    <row r="40" spans="1:58" s="114" customFormat="1">
      <c r="A40" s="1145"/>
      <c r="B40" s="1145"/>
      <c r="C40" s="1145"/>
      <c r="D40" s="1145"/>
      <c r="E40" s="1145"/>
      <c r="F40" s="1145"/>
      <c r="G40" s="1145"/>
      <c r="H40" s="1145"/>
      <c r="I40" s="41"/>
      <c r="J40" s="330"/>
      <c r="K40" s="232"/>
      <c r="L40" s="232"/>
      <c r="M40" s="232"/>
      <c r="N40" s="232"/>
      <c r="O40" s="232"/>
      <c r="P40" s="232"/>
      <c r="Q40" s="232"/>
      <c r="R40" s="232"/>
      <c r="S40" s="232"/>
      <c r="T40" s="232"/>
      <c r="U40" s="232"/>
      <c r="V40" s="232"/>
      <c r="W40" s="232"/>
      <c r="X40" s="232"/>
      <c r="Y40" s="232"/>
      <c r="Z40" s="232"/>
      <c r="AA40" s="232"/>
      <c r="AB40" s="135"/>
      <c r="AC40" s="10"/>
      <c r="AD40" s="10"/>
      <c r="AE40" s="10"/>
      <c r="AF40" s="10"/>
      <c r="AG40" s="10"/>
      <c r="AH40" s="25"/>
      <c r="AI40" s="10"/>
      <c r="AL40" s="114" t="s">
        <v>1902</v>
      </c>
      <c r="AM40" s="11">
        <v>43.3</v>
      </c>
      <c r="AN40" s="331">
        <v>20.8</v>
      </c>
      <c r="AO40" s="10">
        <v>21</v>
      </c>
      <c r="AP40" s="10">
        <v>26</v>
      </c>
      <c r="AQ40" s="10">
        <v>17.8</v>
      </c>
      <c r="AR40" s="10">
        <v>20.7</v>
      </c>
      <c r="AS40" s="10">
        <v>14.3</v>
      </c>
      <c r="AT40" s="10">
        <v>15.3</v>
      </c>
      <c r="AU40" s="10">
        <v>19.399999999999999</v>
      </c>
      <c r="AV40" s="10">
        <v>18.7</v>
      </c>
      <c r="AW40" s="10">
        <v>19.3</v>
      </c>
      <c r="AX40" s="10">
        <v>19</v>
      </c>
      <c r="AY40" s="10">
        <v>19.7</v>
      </c>
      <c r="AZ40" s="10">
        <v>19.3</v>
      </c>
      <c r="BA40" s="10">
        <v>16.600000000000001</v>
      </c>
      <c r="BB40" s="10">
        <v>16.2</v>
      </c>
      <c r="BC40" s="10">
        <v>12.6</v>
      </c>
      <c r="BD40" s="10">
        <v>16.2</v>
      </c>
      <c r="BE40" s="10">
        <v>16.899999999999999</v>
      </c>
      <c r="BF40" s="11">
        <v>15.7</v>
      </c>
    </row>
    <row r="41" spans="1:58" s="114" customFormat="1">
      <c r="A41" s="1145"/>
      <c r="B41" s="1145"/>
      <c r="C41" s="1145" t="s">
        <v>30</v>
      </c>
      <c r="D41" s="1145"/>
      <c r="E41" s="1145"/>
      <c r="F41" s="1145"/>
      <c r="G41" s="1145"/>
      <c r="H41" s="1145"/>
      <c r="I41" s="41">
        <v>314</v>
      </c>
      <c r="J41" s="330">
        <v>368</v>
      </c>
      <c r="K41" s="232">
        <v>454</v>
      </c>
      <c r="L41" s="232">
        <v>545</v>
      </c>
      <c r="M41" s="232">
        <v>577</v>
      </c>
      <c r="N41" s="232">
        <v>590</v>
      </c>
      <c r="O41" s="232">
        <v>580</v>
      </c>
      <c r="P41" s="232">
        <v>608</v>
      </c>
      <c r="Q41" s="232">
        <v>646</v>
      </c>
      <c r="R41" s="232">
        <v>677</v>
      </c>
      <c r="S41" s="232">
        <v>660</v>
      </c>
      <c r="T41" s="232">
        <v>658</v>
      </c>
      <c r="U41" s="232">
        <v>606</v>
      </c>
      <c r="V41" s="232">
        <v>594</v>
      </c>
      <c r="W41" s="232">
        <v>578</v>
      </c>
      <c r="X41" s="232">
        <v>621</v>
      </c>
      <c r="Y41" s="232">
        <v>663</v>
      </c>
      <c r="Z41" s="232">
        <v>688</v>
      </c>
      <c r="AA41" s="232">
        <v>678</v>
      </c>
      <c r="AB41" s="135">
        <v>660</v>
      </c>
      <c r="AC41" s="10"/>
      <c r="AD41" s="10">
        <f t="shared" si="10"/>
        <v>2.0034289647482773</v>
      </c>
      <c r="AE41" s="10">
        <f t="shared" si="11"/>
        <v>4.6388996588389686</v>
      </c>
      <c r="AF41" s="10">
        <f t="shared" si="0"/>
        <v>2.8983099643418608</v>
      </c>
      <c r="AG41" s="10">
        <f t="shared" si="1"/>
        <v>1.2268917313031258</v>
      </c>
      <c r="AH41" s="25"/>
      <c r="AI41" s="10">
        <f t="shared" si="2"/>
        <v>110.19108280254777</v>
      </c>
      <c r="AL41" s="114" t="s">
        <v>1903</v>
      </c>
      <c r="AM41" s="11">
        <v>15.5</v>
      </c>
      <c r="AN41" s="331">
        <v>3.3</v>
      </c>
      <c r="AO41" s="10">
        <v>18.399999999999999</v>
      </c>
      <c r="AP41" s="10">
        <v>2.1</v>
      </c>
      <c r="AQ41" s="10">
        <v>6.3</v>
      </c>
      <c r="AR41" s="10">
        <v>14.3</v>
      </c>
      <c r="AS41" s="10">
        <v>4.5</v>
      </c>
      <c r="AT41" s="10">
        <v>7.5</v>
      </c>
      <c r="AU41" s="10">
        <v>5.0999999999999996</v>
      </c>
      <c r="AV41" s="10">
        <v>5</v>
      </c>
      <c r="AW41" s="10">
        <v>6</v>
      </c>
      <c r="AX41" s="10">
        <v>5.2</v>
      </c>
      <c r="AY41" s="10">
        <v>6.3</v>
      </c>
      <c r="AZ41" s="10">
        <v>2</v>
      </c>
      <c r="BA41" s="10">
        <v>13.1</v>
      </c>
      <c r="BB41" s="10">
        <v>9.6</v>
      </c>
      <c r="BC41" s="10">
        <v>7.1</v>
      </c>
      <c r="BD41" s="10">
        <v>3.4</v>
      </c>
      <c r="BE41" s="10">
        <v>3.1</v>
      </c>
      <c r="BF41" s="11">
        <v>3.6</v>
      </c>
    </row>
    <row r="42" spans="1:58" s="114" customFormat="1">
      <c r="A42" s="1145"/>
      <c r="B42" s="1145"/>
      <c r="C42" s="1145" t="s">
        <v>31</v>
      </c>
      <c r="D42" s="1145"/>
      <c r="E42" s="1145"/>
      <c r="F42" s="1145"/>
      <c r="G42" s="1145"/>
      <c r="H42" s="1145"/>
      <c r="I42" s="41">
        <v>581</v>
      </c>
      <c r="J42" s="330">
        <v>576</v>
      </c>
      <c r="K42" s="232">
        <v>602</v>
      </c>
      <c r="L42" s="232">
        <v>677</v>
      </c>
      <c r="M42" s="232">
        <v>656</v>
      </c>
      <c r="N42" s="232">
        <v>651</v>
      </c>
      <c r="O42" s="232">
        <v>686</v>
      </c>
      <c r="P42" s="232">
        <v>687</v>
      </c>
      <c r="Q42" s="232">
        <v>720</v>
      </c>
      <c r="R42" s="232">
        <v>721</v>
      </c>
      <c r="S42" s="232">
        <v>721</v>
      </c>
      <c r="T42" s="232">
        <v>708</v>
      </c>
      <c r="U42" s="232">
        <v>740</v>
      </c>
      <c r="V42" s="232">
        <v>697</v>
      </c>
      <c r="W42" s="232">
        <v>685</v>
      </c>
      <c r="X42" s="232">
        <v>674</v>
      </c>
      <c r="Y42" s="232">
        <v>678</v>
      </c>
      <c r="Z42" s="232">
        <v>701</v>
      </c>
      <c r="AA42" s="232">
        <v>685</v>
      </c>
      <c r="AB42" s="135">
        <v>649</v>
      </c>
      <c r="AC42" s="10"/>
      <c r="AD42" s="10">
        <f t="shared" si="10"/>
        <v>-0.10798036115675647</v>
      </c>
      <c r="AE42" s="10">
        <f t="shared" si="11"/>
        <v>2.3037960406208535</v>
      </c>
      <c r="AF42" s="10">
        <f t="shared" si="0"/>
        <v>0.42660723450547167</v>
      </c>
      <c r="AG42" s="10">
        <f t="shared" si="1"/>
        <v>-1.8570751349972325</v>
      </c>
      <c r="AH42" s="25"/>
      <c r="AI42" s="10">
        <f t="shared" si="2"/>
        <v>11.703958691910499</v>
      </c>
      <c r="AL42" s="114" t="s">
        <v>1904</v>
      </c>
      <c r="AM42" s="11">
        <v>53.5</v>
      </c>
      <c r="AN42" s="331">
        <v>31.9</v>
      </c>
      <c r="AO42" s="10">
        <v>30.5</v>
      </c>
      <c r="AP42" s="10">
        <v>30.9</v>
      </c>
      <c r="AQ42" s="10">
        <v>28.8</v>
      </c>
      <c r="AR42" s="10">
        <v>29.9</v>
      </c>
      <c r="AS42" s="10">
        <v>25.6</v>
      </c>
      <c r="AT42" s="10">
        <v>27.3</v>
      </c>
      <c r="AU42" s="10">
        <v>28.1</v>
      </c>
      <c r="AV42" s="10">
        <v>24.3</v>
      </c>
      <c r="AW42" s="10">
        <v>22.1</v>
      </c>
      <c r="AX42" s="10">
        <v>22.5</v>
      </c>
      <c r="AY42" s="10">
        <v>21.7</v>
      </c>
      <c r="AZ42" s="10">
        <v>18.600000000000001</v>
      </c>
      <c r="BA42" s="10">
        <v>20.7</v>
      </c>
      <c r="BB42" s="10">
        <v>18.899999999999999</v>
      </c>
      <c r="BC42" s="10">
        <v>16.899999999999999</v>
      </c>
      <c r="BD42" s="10">
        <v>20.3</v>
      </c>
      <c r="BE42" s="10">
        <v>16.100000000000001</v>
      </c>
      <c r="BF42" s="11">
        <v>14.3</v>
      </c>
    </row>
    <row r="43" spans="1:58" s="114" customFormat="1">
      <c r="A43" s="1145"/>
      <c r="B43" s="1145"/>
      <c r="C43" s="1145"/>
      <c r="D43" s="1145"/>
      <c r="E43" s="1145"/>
      <c r="F43" s="1145"/>
      <c r="G43" s="1145"/>
      <c r="H43" s="1145"/>
      <c r="I43" s="41"/>
      <c r="J43" s="330"/>
      <c r="K43" s="232"/>
      <c r="L43" s="232"/>
      <c r="M43" s="232"/>
      <c r="N43" s="232"/>
      <c r="O43" s="232"/>
      <c r="P43" s="232"/>
      <c r="Q43" s="232"/>
      <c r="R43" s="232"/>
      <c r="S43" s="232"/>
      <c r="T43" s="232"/>
      <c r="U43" s="232"/>
      <c r="V43" s="232"/>
      <c r="W43" s="232"/>
      <c r="X43" s="232"/>
      <c r="Y43" s="232"/>
      <c r="Z43" s="232"/>
      <c r="AA43" s="232"/>
      <c r="AB43" s="135"/>
      <c r="AC43" s="10"/>
      <c r="AD43" s="10"/>
      <c r="AE43" s="10"/>
      <c r="AF43" s="10"/>
      <c r="AG43" s="10"/>
      <c r="AH43" s="25"/>
      <c r="AI43" s="10"/>
      <c r="AL43" s="114" t="s">
        <v>1905</v>
      </c>
      <c r="AM43" s="11">
        <v>56.4</v>
      </c>
      <c r="AN43" s="331">
        <v>33.1</v>
      </c>
      <c r="AO43" s="10">
        <v>31.5</v>
      </c>
      <c r="AP43" s="10">
        <v>31.7</v>
      </c>
      <c r="AQ43" s="10">
        <v>29.9</v>
      </c>
      <c r="AR43" s="10">
        <v>30.7</v>
      </c>
      <c r="AS43" s="10">
        <v>26.4</v>
      </c>
      <c r="AT43" s="10">
        <v>28.2</v>
      </c>
      <c r="AU43" s="10">
        <v>28.9</v>
      </c>
      <c r="AV43" s="10">
        <v>25</v>
      </c>
      <c r="AW43" s="10">
        <v>23.1</v>
      </c>
      <c r="AX43" s="10">
        <v>23.5</v>
      </c>
      <c r="AY43" s="10">
        <v>22.7</v>
      </c>
      <c r="AZ43" s="10">
        <v>19.600000000000001</v>
      </c>
      <c r="BA43" s="10">
        <v>21.1</v>
      </c>
      <c r="BB43" s="10">
        <v>20.100000000000001</v>
      </c>
      <c r="BC43" s="10">
        <v>18.2</v>
      </c>
      <c r="BD43" s="10">
        <v>21.8</v>
      </c>
      <c r="BE43" s="10">
        <v>17.3</v>
      </c>
      <c r="BF43" s="11">
        <v>15.7</v>
      </c>
    </row>
    <row r="44" spans="1:58" s="114" customFormat="1">
      <c r="A44" s="1145"/>
      <c r="B44" s="1145"/>
      <c r="C44" s="1145" t="s">
        <v>1202</v>
      </c>
      <c r="D44" s="1145"/>
      <c r="E44" s="1145"/>
      <c r="F44" s="1145"/>
      <c r="G44" s="1145"/>
      <c r="H44" s="1145"/>
      <c r="I44" s="41">
        <v>358</v>
      </c>
      <c r="J44" s="330">
        <v>259</v>
      </c>
      <c r="K44" s="232">
        <v>268</v>
      </c>
      <c r="L44" s="232">
        <v>278</v>
      </c>
      <c r="M44" s="232">
        <v>248</v>
      </c>
      <c r="N44" s="232">
        <v>274</v>
      </c>
      <c r="O44" s="232">
        <v>224</v>
      </c>
      <c r="P44" s="232">
        <v>244</v>
      </c>
      <c r="Q44" s="232">
        <v>273</v>
      </c>
      <c r="R44" s="232">
        <v>241</v>
      </c>
      <c r="S44" s="232">
        <v>220</v>
      </c>
      <c r="T44" s="232">
        <v>225</v>
      </c>
      <c r="U44" s="232">
        <v>223</v>
      </c>
      <c r="V44" s="232">
        <v>197</v>
      </c>
      <c r="W44" s="232">
        <v>222</v>
      </c>
      <c r="X44" s="232">
        <v>201</v>
      </c>
      <c r="Y44" s="232">
        <v>173</v>
      </c>
      <c r="Z44" s="232">
        <v>208</v>
      </c>
      <c r="AA44" s="232">
        <v>179</v>
      </c>
      <c r="AB44" s="135">
        <v>168</v>
      </c>
      <c r="AC44" s="10"/>
      <c r="AD44" s="10">
        <f t="shared" si="10"/>
        <v>-3.9655414396136068</v>
      </c>
      <c r="AE44" s="10">
        <f t="shared" si="11"/>
        <v>-1.3512985978590297</v>
      </c>
      <c r="AF44" s="10">
        <f t="shared" si="0"/>
        <v>-2.8679514472138679</v>
      </c>
      <c r="AG44" s="10">
        <f t="shared" si="1"/>
        <v>-3.9650747513913842</v>
      </c>
      <c r="AH44" s="25"/>
      <c r="AI44" s="10">
        <f t="shared" si="2"/>
        <v>-53.072625698324025</v>
      </c>
      <c r="AL44" s="114" t="s">
        <v>1906</v>
      </c>
      <c r="AM44" s="11">
        <v>22.5</v>
      </c>
      <c r="AN44" s="331">
        <v>11.4</v>
      </c>
      <c r="AO44" s="10">
        <v>8.6999999999999993</v>
      </c>
      <c r="AP44" s="10">
        <v>5.6</v>
      </c>
      <c r="AQ44" s="10">
        <v>10.6</v>
      </c>
      <c r="AR44" s="10">
        <v>8.8000000000000007</v>
      </c>
      <c r="AS44" s="10">
        <v>3.5</v>
      </c>
      <c r="AT44" s="10">
        <v>6.2</v>
      </c>
      <c r="AU44" s="10">
        <v>8.8000000000000007</v>
      </c>
      <c r="AV44" s="10">
        <v>9.8000000000000007</v>
      </c>
      <c r="AW44" s="10">
        <v>7.3</v>
      </c>
      <c r="AX44" s="10">
        <v>7</v>
      </c>
      <c r="AY44" s="10">
        <v>6.7</v>
      </c>
      <c r="AZ44" s="10">
        <v>5</v>
      </c>
      <c r="BA44" s="10">
        <v>15.6</v>
      </c>
      <c r="BB44" s="10">
        <v>8.9</v>
      </c>
      <c r="BC44" s="10">
        <v>5.7</v>
      </c>
      <c r="BD44" s="10">
        <v>6.5</v>
      </c>
      <c r="BE44" s="10">
        <v>5</v>
      </c>
      <c r="BF44" s="11">
        <v>3.6</v>
      </c>
    </row>
    <row r="45" spans="1:58" s="114" customFormat="1">
      <c r="A45" s="1145"/>
      <c r="B45" s="1145"/>
      <c r="C45" s="1145"/>
      <c r="D45" s="1145" t="s">
        <v>1200</v>
      </c>
      <c r="E45" s="1145"/>
      <c r="F45" s="1145"/>
      <c r="G45" s="1145"/>
      <c r="H45" s="1145"/>
      <c r="I45" s="41">
        <v>74</v>
      </c>
      <c r="J45" s="330">
        <v>41</v>
      </c>
      <c r="K45" s="232">
        <v>48</v>
      </c>
      <c r="L45" s="232">
        <v>55</v>
      </c>
      <c r="M45" s="232">
        <v>40</v>
      </c>
      <c r="N45" s="232">
        <v>50</v>
      </c>
      <c r="O45" s="232">
        <v>32</v>
      </c>
      <c r="P45" s="232">
        <v>35</v>
      </c>
      <c r="Q45" s="232">
        <v>51</v>
      </c>
      <c r="R45" s="232">
        <v>47</v>
      </c>
      <c r="S45" s="232">
        <v>48</v>
      </c>
      <c r="T45" s="232">
        <v>47</v>
      </c>
      <c r="U45" s="232">
        <v>51</v>
      </c>
      <c r="V45" s="232">
        <v>50</v>
      </c>
      <c r="W45" s="232">
        <v>50</v>
      </c>
      <c r="X45" s="232">
        <v>46</v>
      </c>
      <c r="Y45" s="232">
        <v>36</v>
      </c>
      <c r="Z45" s="232">
        <v>41</v>
      </c>
      <c r="AA45" s="232">
        <v>45</v>
      </c>
      <c r="AB45" s="135">
        <v>44</v>
      </c>
      <c r="AC45" s="10"/>
      <c r="AD45" s="10">
        <v>-7.1153354227116434</v>
      </c>
      <c r="AE45" s="10">
        <v>2.0039378858059509</v>
      </c>
      <c r="AF45" s="10">
        <v>-1.979663150343336</v>
      </c>
      <c r="AG45" s="10">
        <v>-2.0870000259276322</v>
      </c>
      <c r="AH45" s="25"/>
      <c r="AI45" s="10">
        <v>-40.54054054054054</v>
      </c>
      <c r="AM45" s="11"/>
      <c r="AN45" s="331"/>
      <c r="AO45" s="10"/>
      <c r="AP45" s="10"/>
      <c r="AQ45" s="10"/>
      <c r="AR45" s="10"/>
      <c r="AS45" s="10"/>
      <c r="AT45" s="10"/>
      <c r="AU45" s="10"/>
      <c r="AV45" s="10"/>
      <c r="AW45" s="10"/>
      <c r="AX45" s="10"/>
      <c r="AY45" s="10"/>
      <c r="AZ45" s="10"/>
      <c r="BA45" s="10"/>
      <c r="BB45" s="10"/>
      <c r="BC45" s="10"/>
      <c r="BD45" s="10"/>
      <c r="BE45" s="10"/>
      <c r="BF45" s="11"/>
    </row>
    <row r="46" spans="1:58" s="114" customFormat="1">
      <c r="A46" s="1145"/>
      <c r="B46" s="1145"/>
      <c r="C46" s="1145"/>
      <c r="D46" s="1145" t="s">
        <v>1201</v>
      </c>
      <c r="E46" s="1145"/>
      <c r="F46" s="1145"/>
      <c r="G46" s="1145"/>
      <c r="H46" s="1145"/>
      <c r="I46" s="41">
        <v>283</v>
      </c>
      <c r="J46" s="330">
        <v>219</v>
      </c>
      <c r="K46" s="232">
        <v>221</v>
      </c>
      <c r="L46" s="232">
        <v>223</v>
      </c>
      <c r="M46" s="232">
        <v>208</v>
      </c>
      <c r="N46" s="232">
        <v>224</v>
      </c>
      <c r="O46" s="232">
        <v>192</v>
      </c>
      <c r="P46" s="232">
        <v>209</v>
      </c>
      <c r="Q46" s="232">
        <v>223</v>
      </c>
      <c r="R46" s="232">
        <v>194</v>
      </c>
      <c r="S46" s="232">
        <v>172</v>
      </c>
      <c r="T46" s="232">
        <v>178</v>
      </c>
      <c r="U46" s="232">
        <v>172</v>
      </c>
      <c r="V46" s="232">
        <v>147</v>
      </c>
      <c r="W46" s="232">
        <v>172</v>
      </c>
      <c r="X46" s="232">
        <v>155</v>
      </c>
      <c r="Y46" s="232">
        <v>137</v>
      </c>
      <c r="Z46" s="232">
        <v>167</v>
      </c>
      <c r="AA46" s="232">
        <v>134</v>
      </c>
      <c r="AB46" s="135">
        <v>123</v>
      </c>
      <c r="AC46" s="10"/>
      <c r="AD46" s="10">
        <f t="shared" ref="AD46:AD50" si="12">((((J46/I46))^(1/8))-1)*100</f>
        <v>-3.1538835919530772</v>
      </c>
      <c r="AE46" s="10">
        <f t="shared" ref="AE46:AE50" si="13">((((U46/J46))^(1/11))-1)*100</f>
        <v>-2.1722168942570508</v>
      </c>
      <c r="AF46" s="10">
        <f t="shared" si="0"/>
        <v>-3.1540446798157373</v>
      </c>
      <c r="AG46" s="10">
        <f t="shared" si="1"/>
        <v>-4.6772273070132098</v>
      </c>
      <c r="AH46" s="25"/>
      <c r="AI46" s="10">
        <f t="shared" si="2"/>
        <v>-56.537102473498237</v>
      </c>
      <c r="AL46" s="114" t="s">
        <v>1907</v>
      </c>
      <c r="AM46" s="11">
        <v>24.8</v>
      </c>
      <c r="AN46" s="331">
        <v>25</v>
      </c>
      <c r="AO46" s="10">
        <v>29.4</v>
      </c>
      <c r="AP46" s="10">
        <v>34.799999999999997</v>
      </c>
      <c r="AQ46" s="10">
        <v>36</v>
      </c>
      <c r="AR46" s="10">
        <v>36.799999999999997</v>
      </c>
      <c r="AS46" s="10">
        <v>36.1</v>
      </c>
      <c r="AT46" s="10">
        <v>37.299999999999997</v>
      </c>
      <c r="AU46" s="10">
        <v>37.700000000000003</v>
      </c>
      <c r="AV46" s="10">
        <v>38.700000000000003</v>
      </c>
      <c r="AW46" s="10">
        <v>36.5</v>
      </c>
      <c r="AX46" s="10">
        <v>35.5</v>
      </c>
      <c r="AY46" s="10">
        <v>32.1</v>
      </c>
      <c r="AZ46" s="10">
        <v>30.3</v>
      </c>
      <c r="BA46" s="10">
        <v>29</v>
      </c>
      <c r="BB46" s="10">
        <v>30.7</v>
      </c>
      <c r="BC46" s="10">
        <v>32</v>
      </c>
      <c r="BD46" s="10">
        <v>32.299999999999997</v>
      </c>
      <c r="BE46" s="10">
        <v>31.2</v>
      </c>
      <c r="BF46" s="11">
        <v>29.7</v>
      </c>
    </row>
    <row r="47" spans="1:58" s="114" customFormat="1">
      <c r="A47" s="1145"/>
      <c r="B47" s="1145"/>
      <c r="C47" s="1145"/>
      <c r="D47" s="1145"/>
      <c r="E47" s="1145"/>
      <c r="F47" s="1145"/>
      <c r="G47" s="1145"/>
      <c r="H47" s="1145"/>
      <c r="I47" s="41"/>
      <c r="J47" s="330"/>
      <c r="K47" s="232"/>
      <c r="L47" s="232"/>
      <c r="M47" s="232"/>
      <c r="N47" s="232"/>
      <c r="O47" s="232"/>
      <c r="P47" s="232"/>
      <c r="Q47" s="232"/>
      <c r="R47" s="232"/>
      <c r="S47" s="232"/>
      <c r="T47" s="232"/>
      <c r="U47" s="232"/>
      <c r="V47" s="232"/>
      <c r="W47" s="232"/>
      <c r="X47" s="232"/>
      <c r="Y47" s="232"/>
      <c r="Z47" s="232"/>
      <c r="AA47" s="232"/>
      <c r="AB47" s="135"/>
      <c r="AC47" s="10"/>
      <c r="AD47" s="10"/>
      <c r="AE47" s="10"/>
      <c r="AF47" s="10"/>
      <c r="AG47" s="10"/>
      <c r="AH47" s="25"/>
      <c r="AI47" s="10"/>
      <c r="AL47" s="114" t="s">
        <v>1908</v>
      </c>
      <c r="AM47" s="11">
        <v>80.900000000000006</v>
      </c>
      <c r="AN47" s="331">
        <v>75.599999999999994</v>
      </c>
      <c r="AO47" s="10">
        <v>71.8</v>
      </c>
      <c r="AP47" s="10">
        <v>77</v>
      </c>
      <c r="AQ47" s="10">
        <v>77.900000000000006</v>
      </c>
      <c r="AR47" s="10">
        <v>79.2</v>
      </c>
      <c r="AS47" s="10">
        <v>75.5</v>
      </c>
      <c r="AT47" s="10">
        <v>78.3</v>
      </c>
      <c r="AU47" s="10">
        <v>81</v>
      </c>
      <c r="AV47" s="10">
        <v>78.900000000000006</v>
      </c>
      <c r="AW47" s="10">
        <v>85.4</v>
      </c>
      <c r="AX47" s="10">
        <v>84.8</v>
      </c>
      <c r="AY47" s="10">
        <v>86.9</v>
      </c>
      <c r="AZ47" s="10">
        <v>82.6</v>
      </c>
      <c r="BA47" s="10">
        <v>80.099999999999994</v>
      </c>
      <c r="BB47" s="10">
        <v>78.099999999999994</v>
      </c>
      <c r="BC47" s="10">
        <v>80.099999999999994</v>
      </c>
      <c r="BD47" s="10">
        <v>78.599999999999994</v>
      </c>
      <c r="BE47" s="10">
        <v>76.7</v>
      </c>
      <c r="BF47" s="11">
        <v>75.5</v>
      </c>
    </row>
    <row r="48" spans="1:58" s="114" customFormat="1">
      <c r="A48" s="1145"/>
      <c r="B48" s="1145"/>
      <c r="C48" s="1145" t="s">
        <v>259</v>
      </c>
      <c r="D48" s="1145"/>
      <c r="E48" s="1145"/>
      <c r="F48" s="1145"/>
      <c r="G48" s="1145"/>
      <c r="H48" s="1145"/>
      <c r="I48" s="41">
        <v>537</v>
      </c>
      <c r="J48" s="330">
        <v>684</v>
      </c>
      <c r="K48" s="232">
        <v>788</v>
      </c>
      <c r="L48" s="232">
        <v>944</v>
      </c>
      <c r="M48" s="232">
        <v>985</v>
      </c>
      <c r="N48" s="232">
        <v>968</v>
      </c>
      <c r="O48" s="232">
        <v>1042</v>
      </c>
      <c r="P48" s="232">
        <v>1051</v>
      </c>
      <c r="Q48" s="232">
        <v>1092</v>
      </c>
      <c r="R48" s="232">
        <v>1157</v>
      </c>
      <c r="S48" s="232">
        <v>1161</v>
      </c>
      <c r="T48" s="232">
        <v>1141</v>
      </c>
      <c r="U48" s="232">
        <v>1124</v>
      </c>
      <c r="V48" s="232">
        <v>1093</v>
      </c>
      <c r="W48" s="232">
        <v>1041</v>
      </c>
      <c r="X48" s="232">
        <v>1095</v>
      </c>
      <c r="Y48" s="232">
        <v>1168</v>
      </c>
      <c r="Z48" s="232">
        <v>1181</v>
      </c>
      <c r="AA48" s="232">
        <v>1184</v>
      </c>
      <c r="AB48" s="135">
        <v>1141</v>
      </c>
      <c r="AC48" s="10"/>
      <c r="AD48" s="10">
        <f t="shared" si="12"/>
        <v>3.0707003453632309</v>
      </c>
      <c r="AE48" s="10">
        <f t="shared" si="13"/>
        <v>4.6188686010500746</v>
      </c>
      <c r="AF48" s="10">
        <f t="shared" si="0"/>
        <v>2.9411222152521788</v>
      </c>
      <c r="AG48" s="10">
        <f t="shared" si="1"/>
        <v>0.21467752305441845</v>
      </c>
      <c r="AH48" s="25"/>
      <c r="AI48" s="10">
        <f t="shared" si="2"/>
        <v>112.47672253258844</v>
      </c>
      <c r="AL48" s="114" t="s">
        <v>1909</v>
      </c>
      <c r="AM48" s="11">
        <v>18.2</v>
      </c>
      <c r="AN48" s="331">
        <v>18.2</v>
      </c>
      <c r="AO48" s="10">
        <v>23.1</v>
      </c>
      <c r="AP48" s="10">
        <v>24.9</v>
      </c>
      <c r="AQ48" s="10">
        <v>26.5</v>
      </c>
      <c r="AR48" s="10">
        <v>24.3</v>
      </c>
      <c r="AS48" s="10">
        <v>25.7</v>
      </c>
      <c r="AT48" s="10">
        <v>27</v>
      </c>
      <c r="AU48" s="10">
        <v>26.4</v>
      </c>
      <c r="AV48" s="10">
        <v>27.7</v>
      </c>
      <c r="AW48" s="10">
        <v>23.6</v>
      </c>
      <c r="AX48" s="10">
        <v>25.3</v>
      </c>
      <c r="AY48" s="10">
        <v>21.9</v>
      </c>
      <c r="AZ48" s="10">
        <v>20.3</v>
      </c>
      <c r="BA48" s="10">
        <v>18.5</v>
      </c>
      <c r="BB48" s="10">
        <v>20.7</v>
      </c>
      <c r="BC48" s="10">
        <v>22.7</v>
      </c>
      <c r="BD48" s="10">
        <v>22.2</v>
      </c>
      <c r="BE48" s="10">
        <v>23.4</v>
      </c>
      <c r="BF48" s="11">
        <v>21.1</v>
      </c>
    </row>
    <row r="49" spans="1:58" s="114" customFormat="1">
      <c r="A49" s="1145"/>
      <c r="B49" s="1145"/>
      <c r="C49" s="1145"/>
      <c r="D49" s="1145" t="s">
        <v>1200</v>
      </c>
      <c r="E49" s="1145"/>
      <c r="F49" s="1145"/>
      <c r="G49" s="1145"/>
      <c r="H49" s="1145"/>
      <c r="I49" s="41">
        <v>240</v>
      </c>
      <c r="J49" s="330">
        <v>327</v>
      </c>
      <c r="K49" s="232">
        <v>407</v>
      </c>
      <c r="L49" s="232">
        <v>490</v>
      </c>
      <c r="M49" s="232">
        <v>536</v>
      </c>
      <c r="N49" s="232">
        <v>540</v>
      </c>
      <c r="O49" s="232">
        <v>548</v>
      </c>
      <c r="P49" s="232">
        <v>573</v>
      </c>
      <c r="Q49" s="232">
        <v>595</v>
      </c>
      <c r="R49" s="232">
        <v>630</v>
      </c>
      <c r="S49" s="232">
        <v>612</v>
      </c>
      <c r="T49" s="232">
        <v>611</v>
      </c>
      <c r="U49" s="232">
        <v>555</v>
      </c>
      <c r="V49" s="232">
        <v>544</v>
      </c>
      <c r="W49" s="232">
        <v>527</v>
      </c>
      <c r="X49" s="232">
        <v>575</v>
      </c>
      <c r="Y49" s="232">
        <v>627</v>
      </c>
      <c r="Z49" s="232">
        <v>646</v>
      </c>
      <c r="AA49" s="232">
        <v>633</v>
      </c>
      <c r="AB49" s="135">
        <v>615</v>
      </c>
      <c r="AC49" s="10"/>
      <c r="AD49" s="10">
        <f t="shared" si="12"/>
        <v>3.9422380967836679</v>
      </c>
      <c r="AE49" s="10">
        <f t="shared" si="13"/>
        <v>4.9266796461856943</v>
      </c>
      <c r="AF49" s="10">
        <f t="shared" si="0"/>
        <v>3.6854558347970912</v>
      </c>
      <c r="AG49" s="10">
        <f t="shared" si="1"/>
        <v>1.4772936059389563</v>
      </c>
      <c r="AH49" s="25"/>
      <c r="AI49" s="10">
        <f t="shared" si="2"/>
        <v>156.25</v>
      </c>
      <c r="AL49" s="114" t="s">
        <v>1910</v>
      </c>
      <c r="AM49" s="11">
        <v>35.6</v>
      </c>
      <c r="AN49" s="331">
        <v>34.1</v>
      </c>
      <c r="AO49" s="10">
        <v>36.799999999999997</v>
      </c>
      <c r="AP49" s="10">
        <v>41.5</v>
      </c>
      <c r="AQ49" s="10">
        <v>41.9</v>
      </c>
      <c r="AR49" s="10">
        <v>40.6</v>
      </c>
      <c r="AS49" s="10">
        <v>44.6</v>
      </c>
      <c r="AT49" s="10">
        <v>41.7</v>
      </c>
      <c r="AU49" s="10">
        <v>44.2</v>
      </c>
      <c r="AV49" s="10">
        <v>45.6</v>
      </c>
      <c r="AW49" s="10">
        <v>45.8</v>
      </c>
      <c r="AX49" s="10">
        <v>43.6</v>
      </c>
      <c r="AY49" s="10">
        <v>44.3</v>
      </c>
      <c r="AZ49" s="10">
        <v>42.2</v>
      </c>
      <c r="BA49" s="10">
        <v>39</v>
      </c>
      <c r="BB49" s="10">
        <v>38.1</v>
      </c>
      <c r="BC49" s="10">
        <v>39.299999999999997</v>
      </c>
      <c r="BD49" s="10">
        <v>37.1</v>
      </c>
      <c r="BE49" s="10">
        <v>37.1</v>
      </c>
      <c r="BF49" s="11">
        <v>35.1</v>
      </c>
    </row>
    <row r="50" spans="1:58" s="114" customFormat="1">
      <c r="A50" s="1145"/>
      <c r="B50" s="1145"/>
      <c r="C50" s="1145"/>
      <c r="D50" s="1145" t="s">
        <v>1201</v>
      </c>
      <c r="E50" s="1145"/>
      <c r="F50" s="1145"/>
      <c r="G50" s="1145"/>
      <c r="H50" s="1145"/>
      <c r="I50" s="41">
        <v>298</v>
      </c>
      <c r="J50" s="330">
        <v>357</v>
      </c>
      <c r="K50" s="232">
        <v>381</v>
      </c>
      <c r="L50" s="232">
        <v>454</v>
      </c>
      <c r="M50" s="232">
        <v>448</v>
      </c>
      <c r="N50" s="232">
        <v>427</v>
      </c>
      <c r="O50" s="232">
        <v>494</v>
      </c>
      <c r="P50" s="232">
        <v>478</v>
      </c>
      <c r="Q50" s="232">
        <v>497</v>
      </c>
      <c r="R50" s="232">
        <v>527</v>
      </c>
      <c r="S50" s="232">
        <v>549</v>
      </c>
      <c r="T50" s="232">
        <v>530</v>
      </c>
      <c r="U50" s="232">
        <v>569</v>
      </c>
      <c r="V50" s="232">
        <v>550</v>
      </c>
      <c r="W50" s="232">
        <v>513</v>
      </c>
      <c r="X50" s="232">
        <v>519</v>
      </c>
      <c r="Y50" s="232">
        <v>541</v>
      </c>
      <c r="Z50" s="232">
        <v>535</v>
      </c>
      <c r="AA50" s="232">
        <v>551</v>
      </c>
      <c r="AB50" s="135">
        <v>526</v>
      </c>
      <c r="AC50" s="10"/>
      <c r="AD50" s="10">
        <f t="shared" si="12"/>
        <v>2.2837151301510428</v>
      </c>
      <c r="AE50" s="10">
        <f t="shared" si="13"/>
        <v>4.3287501429740027</v>
      </c>
      <c r="AF50" s="10">
        <f t="shared" si="0"/>
        <v>2.2094694255603287</v>
      </c>
      <c r="AG50" s="10">
        <f t="shared" si="1"/>
        <v>-1.116283107753524</v>
      </c>
      <c r="AH50" s="25"/>
      <c r="AI50" s="10">
        <f t="shared" si="2"/>
        <v>76.510067114093957</v>
      </c>
      <c r="AL50" s="114" t="s">
        <v>1911</v>
      </c>
      <c r="AM50" s="11">
        <v>81.7</v>
      </c>
      <c r="AN50" s="331">
        <v>74.400000000000006</v>
      </c>
      <c r="AO50" s="10">
        <v>68.3</v>
      </c>
      <c r="AP50" s="10">
        <v>73.2</v>
      </c>
      <c r="AQ50" s="10">
        <v>74.3</v>
      </c>
      <c r="AR50" s="10">
        <v>72.5</v>
      </c>
      <c r="AS50" s="10">
        <v>70.2</v>
      </c>
      <c r="AT50" s="10">
        <v>75.2</v>
      </c>
      <c r="AU50" s="10">
        <v>74.8</v>
      </c>
      <c r="AV50" s="10">
        <v>76.8</v>
      </c>
      <c r="AW50" s="10">
        <v>81.599999999999994</v>
      </c>
      <c r="AX50" s="10">
        <v>80.7</v>
      </c>
      <c r="AY50" s="10">
        <v>81.8</v>
      </c>
      <c r="AZ50" s="10">
        <v>78.5</v>
      </c>
      <c r="BA50" s="10">
        <v>79.400000000000006</v>
      </c>
      <c r="BB50" s="10">
        <v>74.900000000000006</v>
      </c>
      <c r="BC50" s="10">
        <v>75.099999999999994</v>
      </c>
      <c r="BD50" s="10">
        <v>70.5</v>
      </c>
      <c r="BE50" s="10">
        <v>72.900000000000006</v>
      </c>
      <c r="BF50" s="11">
        <v>73.400000000000006</v>
      </c>
    </row>
    <row r="51" spans="1:58" s="972" customFormat="1">
      <c r="H51" s="2"/>
      <c r="I51" s="11"/>
      <c r="J51" s="331"/>
      <c r="K51" s="10"/>
      <c r="L51" s="10"/>
      <c r="M51" s="10"/>
      <c r="N51" s="10"/>
      <c r="O51" s="10"/>
      <c r="P51" s="10"/>
      <c r="Q51" s="10"/>
      <c r="R51" s="10"/>
      <c r="S51" s="10"/>
      <c r="T51" s="10"/>
      <c r="U51" s="10"/>
      <c r="V51" s="10"/>
      <c r="W51" s="10"/>
      <c r="X51" s="10"/>
      <c r="Y51" s="10"/>
      <c r="Z51" s="10"/>
      <c r="AA51" s="10"/>
      <c r="AB51" s="25"/>
      <c r="AC51" s="10"/>
      <c r="AD51" s="10"/>
      <c r="AE51" s="10"/>
      <c r="AF51" s="10"/>
      <c r="AG51" s="10"/>
      <c r="AH51" s="25"/>
      <c r="AI51" s="10"/>
      <c r="AL51" s="114" t="s">
        <v>1912</v>
      </c>
      <c r="AM51" s="11">
        <v>25.5</v>
      </c>
      <c r="AN51" s="331">
        <v>24.3</v>
      </c>
      <c r="AO51" s="10">
        <v>29.6</v>
      </c>
      <c r="AP51" s="10">
        <v>31.8</v>
      </c>
      <c r="AQ51" s="10">
        <v>30.6</v>
      </c>
      <c r="AR51" s="10">
        <v>29.8</v>
      </c>
      <c r="AS51" s="10">
        <v>34.299999999999997</v>
      </c>
      <c r="AT51" s="10">
        <v>30.3</v>
      </c>
      <c r="AU51" s="10">
        <v>32.9</v>
      </c>
      <c r="AV51" s="10">
        <v>33.200000000000003</v>
      </c>
      <c r="AW51" s="10">
        <v>31.4</v>
      </c>
      <c r="AX51" s="10">
        <v>30.1</v>
      </c>
      <c r="AY51" s="10">
        <v>31.7</v>
      </c>
      <c r="AZ51" s="10">
        <v>30.1</v>
      </c>
      <c r="BA51" s="10">
        <v>26.6</v>
      </c>
      <c r="BB51" s="10">
        <v>27.4</v>
      </c>
      <c r="BC51" s="10">
        <v>28.5</v>
      </c>
      <c r="BD51" s="10">
        <v>28.2</v>
      </c>
      <c r="BE51" s="10">
        <v>27.8</v>
      </c>
      <c r="BF51" s="11">
        <v>24.9</v>
      </c>
    </row>
    <row r="53" spans="1:58" ht="24" customHeight="1">
      <c r="A53" s="1170" t="s">
        <v>300</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row>
    <row r="54" spans="1:58" ht="15" customHeight="1">
      <c r="A54" s="13" t="s">
        <v>388</v>
      </c>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c r="AA54" s="643"/>
      <c r="AB54" s="966"/>
      <c r="AC54" s="966"/>
      <c r="AD54" s="643"/>
      <c r="AE54" s="643"/>
      <c r="AF54" s="643"/>
      <c r="AG54" s="643"/>
      <c r="AH54" s="643"/>
      <c r="AI54" s="643"/>
    </row>
    <row r="55" spans="1:58">
      <c r="A55" s="4" t="s">
        <v>1868</v>
      </c>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974"/>
      <c r="AC55" s="974"/>
      <c r="AD55" s="16"/>
      <c r="AE55" s="16"/>
      <c r="AF55" s="16"/>
      <c r="AG55" s="16"/>
      <c r="AH55" s="16"/>
      <c r="AI55" s="16"/>
    </row>
    <row r="56" spans="1:58" ht="29.25" customHeight="1">
      <c r="A56" s="1188" t="s">
        <v>653</v>
      </c>
      <c r="B56" s="1189"/>
      <c r="C56" s="1189"/>
      <c r="D56" s="1189"/>
      <c r="E56" s="1189"/>
      <c r="F56" s="1189"/>
      <c r="G56" s="1189"/>
      <c r="H56" s="1189"/>
      <c r="I56" s="1189"/>
      <c r="J56" s="1189"/>
      <c r="K56" s="1189"/>
      <c r="L56" s="1189"/>
      <c r="M56" s="1189"/>
      <c r="N56" s="1189"/>
      <c r="O56" s="1189"/>
      <c r="P56" s="1189"/>
      <c r="Q56" s="1189"/>
      <c r="R56" s="1189"/>
      <c r="S56" s="1189"/>
      <c r="T56" s="1189"/>
      <c r="U56" s="1189"/>
      <c r="V56" s="1189"/>
      <c r="W56" s="1189"/>
      <c r="X56" s="1189"/>
      <c r="Y56" s="1189"/>
      <c r="Z56" s="1189"/>
      <c r="AA56" s="1189"/>
      <c r="AB56" s="1189"/>
      <c r="AC56" s="1189"/>
      <c r="AD56" s="1189"/>
      <c r="AE56" s="1189"/>
      <c r="AF56" s="1189"/>
      <c r="AG56" s="1189"/>
      <c r="AH56" s="1189"/>
      <c r="AI56" s="1189"/>
    </row>
    <row r="57" spans="1:58" ht="29.25" customHeight="1">
      <c r="A57" s="1168" t="s">
        <v>148</v>
      </c>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c r="AI57" s="1169"/>
    </row>
    <row r="58" spans="1:58">
      <c r="A58" s="1" t="s">
        <v>820</v>
      </c>
    </row>
    <row r="62" spans="1:58">
      <c r="A62" s="1170"/>
      <c r="B62" s="1170"/>
      <c r="C62" s="1170"/>
      <c r="D62" s="1170"/>
      <c r="E62" s="1170"/>
      <c r="F62" s="1170"/>
      <c r="G62" s="1170"/>
      <c r="H62" s="1170"/>
      <c r="I62" s="1170"/>
      <c r="J62" s="1170"/>
      <c r="K62" s="1170"/>
      <c r="L62" s="1170"/>
      <c r="M62" s="1170"/>
      <c r="N62" s="1170"/>
      <c r="O62" s="1170"/>
      <c r="P62" s="1170"/>
      <c r="Q62" s="1170"/>
      <c r="R62" s="1170"/>
      <c r="S62" s="1170"/>
      <c r="T62" s="1170"/>
      <c r="U62" s="1170"/>
      <c r="V62" s="1170"/>
      <c r="W62" s="1170"/>
      <c r="X62" s="1170"/>
      <c r="Y62" s="1170"/>
      <c r="Z62" s="1170"/>
      <c r="AA62" s="1170"/>
      <c r="AB62" s="1170"/>
      <c r="AC62" s="1170"/>
      <c r="AD62" s="1170"/>
      <c r="AE62" s="1170"/>
      <c r="AF62" s="1170"/>
      <c r="AG62" s="1170"/>
      <c r="AH62" s="1170"/>
      <c r="AI62" s="1170"/>
    </row>
  </sheetData>
  <mergeCells count="6">
    <mergeCell ref="A62:AI62"/>
    <mergeCell ref="A57:AI57"/>
    <mergeCell ref="A1:AD1"/>
    <mergeCell ref="AD3:AG3"/>
    <mergeCell ref="A53:AI53"/>
    <mergeCell ref="A56:AI56"/>
  </mergeCells>
  <phoneticPr fontId="35" type="noConversion"/>
  <pageMargins left="0.75" right="0.75" top="1" bottom="1" header="0.5" footer="0.5"/>
  <pageSetup scale="52" orientation="landscape" horizontalDpi="300" verticalDpi="300" r:id="rId1"/>
  <headerFooter alignWithMargins="0"/>
</worksheet>
</file>

<file path=xl/worksheets/sheet84.xml><?xml version="1.0" encoding="utf-8"?>
<worksheet xmlns="http://schemas.openxmlformats.org/spreadsheetml/2006/main" xmlns:r="http://schemas.openxmlformats.org/officeDocument/2006/relationships">
  <sheetPr codeName="Sheet109">
    <pageSetUpPr fitToPage="1"/>
  </sheetPr>
  <dimension ref="A1:BF58"/>
  <sheetViews>
    <sheetView view="pageBreakPreview" zoomScale="70" zoomScaleNormal="80" zoomScaleSheetLayoutView="70"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42578125" style="1" customWidth="1"/>
    <col min="9" max="25" width="7.140625" style="652" customWidth="1"/>
    <col min="26" max="27" width="7.140625" style="1" customWidth="1"/>
    <col min="28" max="29" width="7.140625" style="972" customWidth="1"/>
    <col min="30" max="30" width="8.140625" style="1" customWidth="1"/>
    <col min="31" max="34" width="7.140625" style="1" customWidth="1"/>
    <col min="35" max="35" width="7.5703125" style="1" customWidth="1"/>
    <col min="36" max="36" width="6" style="1" customWidth="1"/>
    <col min="37" max="16384" width="9.140625" style="1"/>
  </cols>
  <sheetData>
    <row r="1" spans="1:58" ht="15.75" customHeight="1">
      <c r="A1" s="1178" t="s">
        <v>2168</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c r="AD1" s="1178"/>
    </row>
    <row r="2" spans="1:58">
      <c r="A2" s="4"/>
      <c r="B2" s="4"/>
    </row>
    <row r="3" spans="1:58" s="9" customFormat="1">
      <c r="I3" s="665"/>
      <c r="J3" s="238"/>
      <c r="K3" s="666"/>
      <c r="L3" s="666"/>
      <c r="M3" s="666"/>
      <c r="N3" s="666"/>
      <c r="O3" s="666"/>
      <c r="P3" s="666"/>
      <c r="Q3" s="666"/>
      <c r="R3" s="666"/>
      <c r="S3" s="666"/>
      <c r="T3" s="666"/>
      <c r="U3" s="666"/>
      <c r="V3" s="666"/>
      <c r="W3" s="666"/>
      <c r="X3" s="666"/>
      <c r="Y3" s="666"/>
      <c r="AD3" s="1171" t="s">
        <v>802</v>
      </c>
      <c r="AE3" s="1171"/>
      <c r="AF3" s="1171"/>
      <c r="AG3" s="1171"/>
      <c r="AI3" s="644" t="s">
        <v>276</v>
      </c>
    </row>
    <row r="4" spans="1:58" s="235" customFormat="1">
      <c r="A4" s="973"/>
      <c r="B4" s="973"/>
      <c r="C4" s="973"/>
      <c r="D4" s="973"/>
      <c r="E4" s="973"/>
      <c r="F4" s="973"/>
      <c r="G4" s="973"/>
      <c r="H4" s="973"/>
      <c r="I4" s="237">
        <v>1981</v>
      </c>
      <c r="J4" s="239">
        <v>1989</v>
      </c>
      <c r="K4" s="132">
        <v>1990</v>
      </c>
      <c r="L4" s="132">
        <v>1991</v>
      </c>
      <c r="M4" s="132">
        <v>1992</v>
      </c>
      <c r="N4" s="132">
        <v>1993</v>
      </c>
      <c r="O4" s="132">
        <v>1994</v>
      </c>
      <c r="P4" s="132">
        <v>1995</v>
      </c>
      <c r="Q4" s="132">
        <v>1996</v>
      </c>
      <c r="R4" s="132">
        <v>1997</v>
      </c>
      <c r="S4" s="132">
        <v>1998</v>
      </c>
      <c r="T4" s="132">
        <v>1999</v>
      </c>
      <c r="U4" s="132">
        <v>2000</v>
      </c>
      <c r="V4" s="132">
        <v>2001</v>
      </c>
      <c r="W4" s="132">
        <v>2002</v>
      </c>
      <c r="X4" s="132">
        <v>2003</v>
      </c>
      <c r="Y4" s="132">
        <v>2004</v>
      </c>
      <c r="Z4" s="132">
        <v>2005</v>
      </c>
      <c r="AA4" s="132">
        <v>2006</v>
      </c>
      <c r="AB4" s="132">
        <v>2007</v>
      </c>
      <c r="AC4" s="132"/>
      <c r="AD4" s="250" t="s">
        <v>603</v>
      </c>
      <c r="AE4" s="250" t="s">
        <v>604</v>
      </c>
      <c r="AF4" s="241" t="s">
        <v>447</v>
      </c>
      <c r="AG4" s="241" t="s">
        <v>449</v>
      </c>
      <c r="AH4" s="241"/>
      <c r="AI4" s="241" t="s">
        <v>447</v>
      </c>
      <c r="AJ4" s="9"/>
      <c r="AK4" s="9"/>
      <c r="AL4" s="9"/>
      <c r="AM4" s="9">
        <v>1981</v>
      </c>
      <c r="AN4" s="9">
        <v>1989</v>
      </c>
      <c r="AO4" s="9">
        <v>1990</v>
      </c>
      <c r="AP4" s="9">
        <v>1991</v>
      </c>
      <c r="AQ4" s="9">
        <v>1992</v>
      </c>
      <c r="AR4" s="9">
        <v>1993</v>
      </c>
      <c r="AS4" s="9">
        <v>1994</v>
      </c>
      <c r="AT4" s="9">
        <v>1995</v>
      </c>
      <c r="AU4" s="9">
        <v>1996</v>
      </c>
      <c r="AV4" s="9">
        <v>1997</v>
      </c>
      <c r="AW4" s="9">
        <v>1998</v>
      </c>
      <c r="AX4" s="9">
        <v>1999</v>
      </c>
      <c r="AY4" s="235">
        <v>2000</v>
      </c>
      <c r="AZ4" s="235">
        <v>2001</v>
      </c>
      <c r="BA4" s="235">
        <v>2002</v>
      </c>
      <c r="BB4" s="235">
        <v>2003</v>
      </c>
      <c r="BC4" s="235">
        <v>2004</v>
      </c>
      <c r="BD4" s="235">
        <v>2005</v>
      </c>
      <c r="BE4" s="235">
        <v>2006</v>
      </c>
      <c r="BF4" s="235">
        <v>2007</v>
      </c>
    </row>
    <row r="5" spans="1:58" s="972" customFormat="1">
      <c r="A5" s="128"/>
      <c r="B5" s="128" t="s">
        <v>535</v>
      </c>
      <c r="I5" s="11">
        <v>11.6</v>
      </c>
      <c r="J5" s="331">
        <v>10.199999999999999</v>
      </c>
      <c r="K5" s="10">
        <v>11.8</v>
      </c>
      <c r="L5" s="10">
        <v>13.2</v>
      </c>
      <c r="M5" s="10">
        <v>13.3</v>
      </c>
      <c r="N5" s="10">
        <v>14.1</v>
      </c>
      <c r="O5" s="10">
        <v>14</v>
      </c>
      <c r="P5" s="10">
        <v>14.5</v>
      </c>
      <c r="Q5" s="10">
        <v>15.2</v>
      </c>
      <c r="R5" s="10">
        <v>15</v>
      </c>
      <c r="S5" s="10">
        <v>13.7</v>
      </c>
      <c r="T5" s="10">
        <v>13</v>
      </c>
      <c r="U5" s="10">
        <v>12.5</v>
      </c>
      <c r="V5" s="10">
        <v>11.2</v>
      </c>
      <c r="W5" s="10">
        <v>11.6</v>
      </c>
      <c r="X5" s="10">
        <v>11.6</v>
      </c>
      <c r="Y5" s="10">
        <v>11.4</v>
      </c>
      <c r="Z5" s="10">
        <v>10.8</v>
      </c>
      <c r="AA5" s="610">
        <v>10.5</v>
      </c>
      <c r="AB5" s="25">
        <v>9.1999999999999993</v>
      </c>
      <c r="AC5" s="10"/>
      <c r="AD5" s="10">
        <f>((((J5/I5))^(1/8))-1)*100</f>
        <v>-1.5948624311968973</v>
      </c>
      <c r="AE5" s="10">
        <f>((((U5/J5))^(1/11))-1)*100</f>
        <v>1.8657453796260937</v>
      </c>
      <c r="AF5" s="10">
        <f>((((AB5/I5))^(1/26))-1)*100</f>
        <v>-0.88758219445161934</v>
      </c>
      <c r="AG5" s="10">
        <f>((((AB5/U5))^(1/7))-1)*100</f>
        <v>-4.2844399323701214</v>
      </c>
      <c r="AH5" s="25"/>
      <c r="AI5" s="10">
        <f>((AB5/I5)-1)*100</f>
        <v>-20.689655172413801</v>
      </c>
      <c r="AL5" s="972" t="s">
        <v>916</v>
      </c>
      <c r="AM5" s="11">
        <v>11.6</v>
      </c>
      <c r="AN5" s="331">
        <v>10.199999999999999</v>
      </c>
      <c r="AO5" s="10">
        <v>11.8</v>
      </c>
      <c r="AP5" s="10">
        <v>13.2</v>
      </c>
      <c r="AQ5" s="10">
        <v>13.3</v>
      </c>
      <c r="AR5" s="10">
        <v>14.1</v>
      </c>
      <c r="AS5" s="10">
        <v>14</v>
      </c>
      <c r="AT5" s="10">
        <v>14.5</v>
      </c>
      <c r="AU5" s="10">
        <v>15.2</v>
      </c>
      <c r="AV5" s="10">
        <v>15</v>
      </c>
      <c r="AW5" s="10">
        <v>13.7</v>
      </c>
      <c r="AX5" s="10">
        <v>13</v>
      </c>
      <c r="AY5" s="10">
        <v>12.5</v>
      </c>
      <c r="AZ5" s="10">
        <v>11.2</v>
      </c>
      <c r="BA5" s="10">
        <v>11.6</v>
      </c>
      <c r="BB5" s="10">
        <v>11.6</v>
      </c>
      <c r="BC5" s="10">
        <v>11.4</v>
      </c>
      <c r="BD5" s="10">
        <v>10.8</v>
      </c>
      <c r="BE5" s="10">
        <v>10.5</v>
      </c>
      <c r="BF5" s="11">
        <v>9.1999999999999993</v>
      </c>
    </row>
    <row r="6" spans="1:58" s="972" customFormat="1">
      <c r="A6" s="128"/>
      <c r="B6" s="128"/>
      <c r="I6" s="11"/>
      <c r="J6" s="331"/>
      <c r="K6" s="10"/>
      <c r="L6" s="10"/>
      <c r="M6" s="10"/>
      <c r="N6" s="10"/>
      <c r="O6" s="10"/>
      <c r="P6" s="10"/>
      <c r="Q6" s="10"/>
      <c r="R6" s="10"/>
      <c r="S6" s="10"/>
      <c r="T6" s="10"/>
      <c r="U6" s="10"/>
      <c r="V6" s="10"/>
      <c r="W6" s="10"/>
      <c r="X6" s="10"/>
      <c r="Y6" s="10"/>
      <c r="Z6" s="10"/>
      <c r="AA6" s="25"/>
      <c r="AB6" s="25"/>
      <c r="AC6" s="10"/>
      <c r="AD6" s="10"/>
      <c r="AE6" s="10"/>
      <c r="AF6" s="10"/>
      <c r="AG6" s="10"/>
      <c r="AH6" s="25"/>
      <c r="AI6" s="10"/>
      <c r="AM6" s="11"/>
      <c r="AN6" s="331"/>
      <c r="AO6" s="10"/>
      <c r="AP6" s="10"/>
      <c r="AQ6" s="10"/>
      <c r="AR6" s="10"/>
      <c r="AS6" s="10"/>
      <c r="AT6" s="10"/>
      <c r="AU6" s="10"/>
      <c r="AV6" s="10"/>
      <c r="AW6" s="10"/>
      <c r="AX6" s="10"/>
      <c r="AY6" s="10"/>
      <c r="AZ6" s="10"/>
      <c r="BA6" s="10"/>
      <c r="BB6" s="10"/>
      <c r="BC6" s="10"/>
      <c r="BD6" s="10"/>
      <c r="BE6" s="10"/>
      <c r="BF6" s="11"/>
    </row>
    <row r="7" spans="1:58" s="972" customFormat="1">
      <c r="C7" s="972" t="s">
        <v>536</v>
      </c>
      <c r="I7" s="11">
        <v>12.6</v>
      </c>
      <c r="J7" s="331">
        <v>11.9</v>
      </c>
      <c r="K7" s="10">
        <v>14</v>
      </c>
      <c r="L7" s="10">
        <v>15.2</v>
      </c>
      <c r="M7" s="10">
        <v>15.1</v>
      </c>
      <c r="N7" s="10">
        <v>17</v>
      </c>
      <c r="O7" s="10">
        <v>16.3</v>
      </c>
      <c r="P7" s="10">
        <v>17.5</v>
      </c>
      <c r="Q7" s="10">
        <v>18.399999999999999</v>
      </c>
      <c r="R7" s="10">
        <v>17.399999999999999</v>
      </c>
      <c r="S7" s="10">
        <v>15.7</v>
      </c>
      <c r="T7" s="10">
        <v>14.6</v>
      </c>
      <c r="U7" s="10">
        <v>13.9</v>
      </c>
      <c r="V7" s="10">
        <v>12.2</v>
      </c>
      <c r="W7" s="10">
        <v>12.4</v>
      </c>
      <c r="X7" s="10">
        <v>12.7</v>
      </c>
      <c r="Y7" s="10">
        <v>13</v>
      </c>
      <c r="Z7" s="10">
        <v>11.8</v>
      </c>
      <c r="AA7" s="25">
        <v>11.4</v>
      </c>
      <c r="AB7" s="25">
        <v>9.5</v>
      </c>
      <c r="AC7" s="10"/>
      <c r="AD7" s="10">
        <f>((((J7/I7))^(1/8))-1)*100</f>
        <v>-0.71193383138896671</v>
      </c>
      <c r="AE7" s="10">
        <f>((((U7/J7))^(1/11))-1)*100</f>
        <v>1.4222964684798889</v>
      </c>
      <c r="AF7" s="10">
        <f t="shared" ref="AF7:AF50" si="0">((((AB7/I7))^(1/26))-1)*100</f>
        <v>-1.0802955749692034</v>
      </c>
      <c r="AG7" s="10">
        <f t="shared" ref="AG7:AG50" si="1">((((AB7/U7))^(1/7))-1)*100</f>
        <v>-5.2919331233939992</v>
      </c>
      <c r="AH7" s="25"/>
      <c r="AI7" s="10">
        <f t="shared" ref="AI7:AI50" si="2">((AB7/I7)-1)*100</f>
        <v>-24.603174603174605</v>
      </c>
      <c r="AL7" s="972" t="s">
        <v>1920</v>
      </c>
      <c r="AM7" s="11">
        <v>12.6</v>
      </c>
      <c r="AN7" s="331">
        <v>11.9</v>
      </c>
      <c r="AO7" s="10">
        <v>14</v>
      </c>
      <c r="AP7" s="10">
        <v>15.2</v>
      </c>
      <c r="AQ7" s="10">
        <v>15.1</v>
      </c>
      <c r="AR7" s="10">
        <v>17</v>
      </c>
      <c r="AS7" s="10">
        <v>16.3</v>
      </c>
      <c r="AT7" s="10">
        <v>17.5</v>
      </c>
      <c r="AU7" s="10">
        <v>18.399999999999999</v>
      </c>
      <c r="AV7" s="10">
        <v>17.399999999999999</v>
      </c>
      <c r="AW7" s="10">
        <v>15.7</v>
      </c>
      <c r="AX7" s="10">
        <v>14.6</v>
      </c>
      <c r="AY7" s="10">
        <v>13.9</v>
      </c>
      <c r="AZ7" s="10">
        <v>12.2</v>
      </c>
      <c r="BA7" s="10">
        <v>12.4</v>
      </c>
      <c r="BB7" s="10">
        <v>12.7</v>
      </c>
      <c r="BC7" s="10">
        <v>13</v>
      </c>
      <c r="BD7" s="10">
        <v>11.8</v>
      </c>
      <c r="BE7" s="10">
        <v>11.4</v>
      </c>
      <c r="BF7" s="11">
        <v>9.5</v>
      </c>
    </row>
    <row r="8" spans="1:58" s="972" customFormat="1">
      <c r="C8" s="972" t="s">
        <v>28</v>
      </c>
      <c r="I8" s="11">
        <v>9.8000000000000007</v>
      </c>
      <c r="J8" s="331">
        <v>9.3000000000000007</v>
      </c>
      <c r="K8" s="10">
        <v>11.2</v>
      </c>
      <c r="L8" s="10">
        <v>12.7</v>
      </c>
      <c r="M8" s="10">
        <v>13.2</v>
      </c>
      <c r="N8" s="10">
        <v>13.6</v>
      </c>
      <c r="O8" s="10">
        <v>14.1</v>
      </c>
      <c r="P8" s="10">
        <v>14.4</v>
      </c>
      <c r="Q8" s="10">
        <v>15</v>
      </c>
      <c r="R8" s="10">
        <v>15.2</v>
      </c>
      <c r="S8" s="10">
        <v>13.9</v>
      </c>
      <c r="T8" s="10">
        <v>13.4</v>
      </c>
      <c r="U8" s="10">
        <v>12.9</v>
      </c>
      <c r="V8" s="10">
        <v>11.7</v>
      </c>
      <c r="W8" s="10">
        <v>12</v>
      </c>
      <c r="X8" s="10">
        <v>12.2</v>
      </c>
      <c r="Y8" s="10">
        <v>11.9</v>
      </c>
      <c r="Z8" s="10">
        <v>11.4</v>
      </c>
      <c r="AA8" s="25">
        <v>11.2</v>
      </c>
      <c r="AB8" s="25">
        <v>9.9</v>
      </c>
      <c r="AC8" s="10"/>
      <c r="AD8" s="10">
        <f>((((J8/I8))^(1/8))-1)*100</f>
        <v>-0.65246198165472835</v>
      </c>
      <c r="AE8" s="10">
        <f>((((U8/J8))^(1/11))-1)*100</f>
        <v>3.0193479001263235</v>
      </c>
      <c r="AF8" s="10">
        <f t="shared" si="0"/>
        <v>3.9055207114802037E-2</v>
      </c>
      <c r="AG8" s="10">
        <f t="shared" si="1"/>
        <v>-3.7107228748705645</v>
      </c>
      <c r="AH8" s="25"/>
      <c r="AI8" s="10">
        <f t="shared" si="2"/>
        <v>1.0204081632652962</v>
      </c>
      <c r="AL8" s="972" t="s">
        <v>1921</v>
      </c>
      <c r="AM8" s="11">
        <v>9.8000000000000007</v>
      </c>
      <c r="AN8" s="331">
        <v>9.3000000000000007</v>
      </c>
      <c r="AO8" s="10">
        <v>11.2</v>
      </c>
      <c r="AP8" s="10">
        <v>12.7</v>
      </c>
      <c r="AQ8" s="10">
        <v>13.2</v>
      </c>
      <c r="AR8" s="10">
        <v>13.6</v>
      </c>
      <c r="AS8" s="10">
        <v>14.1</v>
      </c>
      <c r="AT8" s="10">
        <v>14.4</v>
      </c>
      <c r="AU8" s="10">
        <v>15</v>
      </c>
      <c r="AV8" s="10">
        <v>15.2</v>
      </c>
      <c r="AW8" s="10">
        <v>13.9</v>
      </c>
      <c r="AX8" s="10">
        <v>13.4</v>
      </c>
      <c r="AY8" s="10">
        <v>12.9</v>
      </c>
      <c r="AZ8" s="10">
        <v>11.7</v>
      </c>
      <c r="BA8" s="10">
        <v>12</v>
      </c>
      <c r="BB8" s="10">
        <v>12.2</v>
      </c>
      <c r="BC8" s="10">
        <v>11.9</v>
      </c>
      <c r="BD8" s="10">
        <v>11.4</v>
      </c>
      <c r="BE8" s="10">
        <v>11.2</v>
      </c>
      <c r="BF8" s="11">
        <v>9.9</v>
      </c>
    </row>
    <row r="9" spans="1:58" s="972" customFormat="1">
      <c r="C9" s="972" t="s">
        <v>29</v>
      </c>
      <c r="I9" s="11">
        <v>21</v>
      </c>
      <c r="J9" s="331">
        <v>11.3</v>
      </c>
      <c r="K9" s="10">
        <v>10.8</v>
      </c>
      <c r="L9" s="10">
        <v>11.1</v>
      </c>
      <c r="M9" s="10">
        <v>9.8000000000000007</v>
      </c>
      <c r="N9" s="10">
        <v>10.7</v>
      </c>
      <c r="O9" s="10">
        <v>8.6</v>
      </c>
      <c r="P9" s="10">
        <v>8.6999999999999993</v>
      </c>
      <c r="Q9" s="10">
        <v>9.6999999999999993</v>
      </c>
      <c r="R9" s="10">
        <v>9</v>
      </c>
      <c r="S9" s="10">
        <v>8.6</v>
      </c>
      <c r="T9" s="10">
        <v>7.9</v>
      </c>
      <c r="U9" s="10">
        <v>7.6</v>
      </c>
      <c r="V9" s="10">
        <v>6.7</v>
      </c>
      <c r="W9" s="10">
        <v>7.6</v>
      </c>
      <c r="X9" s="10">
        <v>6.8</v>
      </c>
      <c r="Y9" s="10">
        <v>5.6</v>
      </c>
      <c r="Z9" s="10">
        <v>6.1</v>
      </c>
      <c r="AA9" s="25">
        <v>5.4</v>
      </c>
      <c r="AB9" s="25">
        <v>4.8</v>
      </c>
      <c r="AC9" s="10"/>
      <c r="AD9" s="10">
        <f>((((J9/I9))^(1/8))-1)*100</f>
        <v>-7.4540551774732293</v>
      </c>
      <c r="AE9" s="10">
        <f>((((U9/J9))^(1/11))-1)*100</f>
        <v>-3.5417099015029874</v>
      </c>
      <c r="AF9" s="10">
        <f t="shared" si="0"/>
        <v>-5.5184525257016448</v>
      </c>
      <c r="AG9" s="10">
        <f t="shared" si="1"/>
        <v>-6.3539068586053844</v>
      </c>
      <c r="AH9" s="25"/>
      <c r="AI9" s="10">
        <f t="shared" si="2"/>
        <v>-77.142857142857153</v>
      </c>
      <c r="AL9" s="972" t="s">
        <v>1922</v>
      </c>
      <c r="AM9" s="11">
        <v>21</v>
      </c>
      <c r="AN9" s="331">
        <v>11.3</v>
      </c>
      <c r="AO9" s="10">
        <v>10.8</v>
      </c>
      <c r="AP9" s="10">
        <v>11.1</v>
      </c>
      <c r="AQ9" s="10">
        <v>9.8000000000000007</v>
      </c>
      <c r="AR9" s="10">
        <v>10.7</v>
      </c>
      <c r="AS9" s="10">
        <v>8.6</v>
      </c>
      <c r="AT9" s="10">
        <v>8.6999999999999993</v>
      </c>
      <c r="AU9" s="10">
        <v>9.6999999999999993</v>
      </c>
      <c r="AV9" s="10">
        <v>9</v>
      </c>
      <c r="AW9" s="10">
        <v>8.6</v>
      </c>
      <c r="AX9" s="10">
        <v>7.9</v>
      </c>
      <c r="AY9" s="10">
        <v>7.6</v>
      </c>
      <c r="AZ9" s="10">
        <v>6.7</v>
      </c>
      <c r="BA9" s="10">
        <v>7.6</v>
      </c>
      <c r="BB9" s="10">
        <v>6.8</v>
      </c>
      <c r="BC9" s="10">
        <v>5.6</v>
      </c>
      <c r="BD9" s="10">
        <v>6.1</v>
      </c>
      <c r="BE9" s="10">
        <v>5.4</v>
      </c>
      <c r="BF9" s="11">
        <v>4.8</v>
      </c>
    </row>
    <row r="10" spans="1:58" s="972" customFormat="1">
      <c r="I10" s="11"/>
      <c r="J10" s="331"/>
      <c r="K10" s="10"/>
      <c r="L10" s="10"/>
      <c r="M10" s="10"/>
      <c r="N10" s="10"/>
      <c r="O10" s="10"/>
      <c r="P10" s="10"/>
      <c r="Q10" s="10"/>
      <c r="R10" s="10"/>
      <c r="S10" s="10"/>
      <c r="T10" s="10"/>
      <c r="U10" s="10"/>
      <c r="V10" s="10"/>
      <c r="W10" s="10"/>
      <c r="X10" s="10"/>
      <c r="Y10" s="10"/>
      <c r="Z10" s="10"/>
      <c r="AA10" s="25"/>
      <c r="AB10" s="25"/>
      <c r="AC10" s="10"/>
      <c r="AD10" s="10"/>
      <c r="AE10" s="10"/>
      <c r="AF10" s="10"/>
      <c r="AG10" s="10"/>
      <c r="AH10" s="25"/>
      <c r="AI10" s="10"/>
      <c r="AM10" s="11"/>
      <c r="AN10" s="331"/>
      <c r="AO10" s="10"/>
      <c r="AP10" s="10"/>
      <c r="AQ10" s="10"/>
      <c r="AR10" s="10"/>
      <c r="AS10" s="10"/>
      <c r="AT10" s="10"/>
      <c r="AU10" s="10"/>
      <c r="AV10" s="10"/>
      <c r="AW10" s="10"/>
      <c r="AX10" s="10"/>
      <c r="AY10" s="10"/>
      <c r="AZ10" s="10"/>
      <c r="BA10" s="10"/>
      <c r="BB10" s="10"/>
      <c r="BC10" s="10"/>
      <c r="BD10" s="10"/>
      <c r="BE10" s="10"/>
      <c r="BF10" s="11"/>
    </row>
    <row r="11" spans="1:58" s="972" customFormat="1">
      <c r="C11" s="972" t="s">
        <v>30</v>
      </c>
      <c r="I11" s="11">
        <v>9.9</v>
      </c>
      <c r="J11" s="331">
        <v>8.8000000000000007</v>
      </c>
      <c r="K11" s="10">
        <v>10.4</v>
      </c>
      <c r="L11" s="10">
        <v>12.1</v>
      </c>
      <c r="M11" s="10">
        <v>12.2</v>
      </c>
      <c r="N11" s="10">
        <v>13.1</v>
      </c>
      <c r="O11" s="10">
        <v>12.9</v>
      </c>
      <c r="P11" s="10">
        <v>13.6</v>
      </c>
      <c r="Q11" s="10">
        <v>14.2</v>
      </c>
      <c r="R11" s="10">
        <v>14.2</v>
      </c>
      <c r="S11" s="10">
        <v>12.9</v>
      </c>
      <c r="T11" s="10">
        <v>12.4</v>
      </c>
      <c r="U11" s="10">
        <v>11.4</v>
      </c>
      <c r="V11" s="10">
        <v>10.3</v>
      </c>
      <c r="W11" s="10">
        <v>10.7</v>
      </c>
      <c r="X11" s="10">
        <v>11</v>
      </c>
      <c r="Y11" s="10">
        <v>10.8</v>
      </c>
      <c r="Z11" s="10">
        <v>10.5</v>
      </c>
      <c r="AA11" s="25">
        <v>10.1</v>
      </c>
      <c r="AB11" s="25">
        <v>9</v>
      </c>
      <c r="AC11" s="10"/>
      <c r="AD11" s="10">
        <f>((((J11/I11))^(1/8))-1)*100</f>
        <v>-1.4615027811644143</v>
      </c>
      <c r="AE11" s="10">
        <f>((((U11/J11))^(1/11))-1)*100</f>
        <v>2.3811958841377656</v>
      </c>
      <c r="AF11" s="10">
        <f t="shared" si="0"/>
        <v>-0.36590653914887472</v>
      </c>
      <c r="AG11" s="10">
        <f t="shared" si="1"/>
        <v>-3.3205989582924533</v>
      </c>
      <c r="AH11" s="25"/>
      <c r="AI11" s="10">
        <f t="shared" si="2"/>
        <v>-9.0909090909090935</v>
      </c>
      <c r="AL11" s="972" t="s">
        <v>1200</v>
      </c>
      <c r="AM11" s="11">
        <v>9.9</v>
      </c>
      <c r="AN11" s="331">
        <v>8.8000000000000007</v>
      </c>
      <c r="AO11" s="10">
        <v>10.4</v>
      </c>
      <c r="AP11" s="10">
        <v>12.1</v>
      </c>
      <c r="AQ11" s="10">
        <v>12.2</v>
      </c>
      <c r="AR11" s="10">
        <v>13.1</v>
      </c>
      <c r="AS11" s="10">
        <v>12.9</v>
      </c>
      <c r="AT11" s="10">
        <v>13.6</v>
      </c>
      <c r="AU11" s="10">
        <v>14.2</v>
      </c>
      <c r="AV11" s="10">
        <v>14.2</v>
      </c>
      <c r="AW11" s="10">
        <v>12.9</v>
      </c>
      <c r="AX11" s="10">
        <v>12.4</v>
      </c>
      <c r="AY11" s="10">
        <v>11.4</v>
      </c>
      <c r="AZ11" s="10">
        <v>10.3</v>
      </c>
      <c r="BA11" s="10">
        <v>10.7</v>
      </c>
      <c r="BB11" s="10">
        <v>11</v>
      </c>
      <c r="BC11" s="10">
        <v>10.8</v>
      </c>
      <c r="BD11" s="10">
        <v>10.5</v>
      </c>
      <c r="BE11" s="10">
        <v>10.1</v>
      </c>
      <c r="BF11" s="11">
        <v>9</v>
      </c>
    </row>
    <row r="12" spans="1:58" s="972" customFormat="1">
      <c r="D12" s="972" t="s">
        <v>536</v>
      </c>
      <c r="I12" s="11">
        <v>12.2</v>
      </c>
      <c r="J12" s="331">
        <v>11.7</v>
      </c>
      <c r="K12" s="10">
        <v>13.4</v>
      </c>
      <c r="L12" s="10">
        <v>15.4</v>
      </c>
      <c r="M12" s="10">
        <v>15.2</v>
      </c>
      <c r="N12" s="10">
        <v>16.8</v>
      </c>
      <c r="O12" s="10">
        <v>15.9</v>
      </c>
      <c r="P12" s="10">
        <v>17.2</v>
      </c>
      <c r="Q12" s="10">
        <v>18.5</v>
      </c>
      <c r="R12" s="10">
        <v>17.8</v>
      </c>
      <c r="S12" s="10">
        <v>16.2</v>
      </c>
      <c r="T12" s="10">
        <v>14.9</v>
      </c>
      <c r="U12" s="10">
        <v>13.5</v>
      </c>
      <c r="V12" s="10">
        <v>12.1</v>
      </c>
      <c r="W12" s="10">
        <v>12.8</v>
      </c>
      <c r="X12" s="10">
        <v>13.1</v>
      </c>
      <c r="Y12" s="10">
        <v>13.2</v>
      </c>
      <c r="Z12" s="10">
        <v>12.3</v>
      </c>
      <c r="AA12" s="25">
        <v>11.4</v>
      </c>
      <c r="AB12" s="25">
        <v>9.9</v>
      </c>
      <c r="AC12" s="10"/>
      <c r="AD12" s="10">
        <f>((((J12/I12))^(1/8))-1)*100</f>
        <v>-0.52172314670275721</v>
      </c>
      <c r="AE12" s="10">
        <f>((((U12/J12))^(1/11))-1)*100</f>
        <v>1.3094154962957516</v>
      </c>
      <c r="AF12" s="10">
        <f t="shared" si="0"/>
        <v>-0.80024697133117551</v>
      </c>
      <c r="AG12" s="10">
        <f t="shared" si="1"/>
        <v>-4.3340592496255219</v>
      </c>
      <c r="AH12" s="25"/>
      <c r="AI12" s="10">
        <f t="shared" si="2"/>
        <v>-18.852459016393432</v>
      </c>
      <c r="AL12" s="972" t="s">
        <v>1923</v>
      </c>
      <c r="AM12" s="11">
        <v>12.2</v>
      </c>
      <c r="AN12" s="331">
        <v>11.7</v>
      </c>
      <c r="AO12" s="10">
        <v>13.4</v>
      </c>
      <c r="AP12" s="10">
        <v>15.4</v>
      </c>
      <c r="AQ12" s="10">
        <v>15.2</v>
      </c>
      <c r="AR12" s="10">
        <v>16.8</v>
      </c>
      <c r="AS12" s="10">
        <v>15.9</v>
      </c>
      <c r="AT12" s="10">
        <v>17.2</v>
      </c>
      <c r="AU12" s="10">
        <v>18.5</v>
      </c>
      <c r="AV12" s="10">
        <v>17.8</v>
      </c>
      <c r="AW12" s="10">
        <v>16.2</v>
      </c>
      <c r="AX12" s="10">
        <v>14.9</v>
      </c>
      <c r="AY12" s="10">
        <v>13.5</v>
      </c>
      <c r="AZ12" s="10">
        <v>12.1</v>
      </c>
      <c r="BA12" s="10">
        <v>12.8</v>
      </c>
      <c r="BB12" s="10">
        <v>13.1</v>
      </c>
      <c r="BC12" s="10">
        <v>13.2</v>
      </c>
      <c r="BD12" s="10">
        <v>12.3</v>
      </c>
      <c r="BE12" s="10">
        <v>11.4</v>
      </c>
      <c r="BF12" s="11">
        <v>9.9</v>
      </c>
    </row>
    <row r="13" spans="1:58" s="972" customFormat="1">
      <c r="D13" s="972" t="s">
        <v>28</v>
      </c>
      <c r="I13" s="11">
        <v>8.3000000000000007</v>
      </c>
      <c r="J13" s="331">
        <v>8</v>
      </c>
      <c r="K13" s="10">
        <v>9.9</v>
      </c>
      <c r="L13" s="10">
        <v>11.7</v>
      </c>
      <c r="M13" s="10">
        <v>12.2</v>
      </c>
      <c r="N13" s="10">
        <v>12.7</v>
      </c>
      <c r="O13" s="10">
        <v>13.1</v>
      </c>
      <c r="P13" s="10">
        <v>13.7</v>
      </c>
      <c r="Q13" s="10">
        <v>13.9</v>
      </c>
      <c r="R13" s="10">
        <v>14.2</v>
      </c>
      <c r="S13" s="10">
        <v>12.8</v>
      </c>
      <c r="T13" s="10">
        <v>12.7</v>
      </c>
      <c r="U13" s="10">
        <v>11.7</v>
      </c>
      <c r="V13" s="10">
        <v>10.6</v>
      </c>
      <c r="W13" s="10">
        <v>10.9</v>
      </c>
      <c r="X13" s="10">
        <v>11.4</v>
      </c>
      <c r="Y13" s="10">
        <v>11.3</v>
      </c>
      <c r="Z13" s="10">
        <v>11.1</v>
      </c>
      <c r="AA13" s="25">
        <v>10.9</v>
      </c>
      <c r="AB13" s="25">
        <v>9.6999999999999993</v>
      </c>
      <c r="AC13" s="10"/>
      <c r="AD13" s="10">
        <f>((((J13/I13))^(1/8))-1)*100</f>
        <v>-0.45911748267545294</v>
      </c>
      <c r="AE13" s="10">
        <f>((((U13/J13))^(1/11))-1)*100</f>
        <v>3.5162941229336608</v>
      </c>
      <c r="AF13" s="10">
        <f t="shared" si="0"/>
        <v>0.60130203201462784</v>
      </c>
      <c r="AG13" s="10">
        <f t="shared" si="1"/>
        <v>-2.6425006613298718</v>
      </c>
      <c r="AH13" s="25"/>
      <c r="AI13" s="10">
        <f t="shared" si="2"/>
        <v>16.867469879518062</v>
      </c>
      <c r="AL13" s="972" t="s">
        <v>1924</v>
      </c>
      <c r="AM13" s="11">
        <v>8.3000000000000007</v>
      </c>
      <c r="AN13" s="331">
        <v>8</v>
      </c>
      <c r="AO13" s="10">
        <v>9.9</v>
      </c>
      <c r="AP13" s="10">
        <v>11.7</v>
      </c>
      <c r="AQ13" s="10">
        <v>12.2</v>
      </c>
      <c r="AR13" s="10">
        <v>12.7</v>
      </c>
      <c r="AS13" s="10">
        <v>13.1</v>
      </c>
      <c r="AT13" s="10">
        <v>13.7</v>
      </c>
      <c r="AU13" s="10">
        <v>13.9</v>
      </c>
      <c r="AV13" s="10">
        <v>14.2</v>
      </c>
      <c r="AW13" s="10">
        <v>12.8</v>
      </c>
      <c r="AX13" s="10">
        <v>12.7</v>
      </c>
      <c r="AY13" s="10">
        <v>11.7</v>
      </c>
      <c r="AZ13" s="10">
        <v>10.6</v>
      </c>
      <c r="BA13" s="10">
        <v>10.9</v>
      </c>
      <c r="BB13" s="10">
        <v>11.4</v>
      </c>
      <c r="BC13" s="10">
        <v>11.3</v>
      </c>
      <c r="BD13" s="10">
        <v>11.1</v>
      </c>
      <c r="BE13" s="10">
        <v>10.9</v>
      </c>
      <c r="BF13" s="11">
        <v>9.6999999999999993</v>
      </c>
    </row>
    <row r="14" spans="1:58" s="972" customFormat="1">
      <c r="D14" s="972" t="s">
        <v>29</v>
      </c>
      <c r="I14" s="11">
        <v>14.2</v>
      </c>
      <c r="J14" s="331">
        <v>6.1</v>
      </c>
      <c r="K14" s="10">
        <v>5.9</v>
      </c>
      <c r="L14" s="10">
        <v>6.6</v>
      </c>
      <c r="M14" s="10">
        <v>5.0999999999999996</v>
      </c>
      <c r="N14" s="10">
        <v>6.2</v>
      </c>
      <c r="O14" s="10">
        <v>4.2</v>
      </c>
      <c r="P14" s="10">
        <v>4</v>
      </c>
      <c r="Q14" s="10">
        <v>5.0999999999999996</v>
      </c>
      <c r="R14" s="10">
        <v>5.5</v>
      </c>
      <c r="S14" s="10">
        <v>5.4</v>
      </c>
      <c r="T14" s="10">
        <v>4.8</v>
      </c>
      <c r="U14" s="10">
        <v>4.5999999999999996</v>
      </c>
      <c r="V14" s="10">
        <v>4.5999999999999996</v>
      </c>
      <c r="W14" s="10">
        <v>4.9000000000000004</v>
      </c>
      <c r="X14" s="10">
        <v>4.4000000000000004</v>
      </c>
      <c r="Y14" s="10">
        <v>3.5</v>
      </c>
      <c r="Z14" s="10">
        <v>3.3</v>
      </c>
      <c r="AA14" s="25">
        <v>3.4</v>
      </c>
      <c r="AB14" s="25">
        <v>3.3</v>
      </c>
      <c r="AC14" s="10"/>
      <c r="AD14" s="10">
        <f>((((J14/I14))^(1/8))-1)*100</f>
        <v>-10.023274007011141</v>
      </c>
      <c r="AE14" s="10">
        <f>((((U14/J14))^(1/11))-1)*100</f>
        <v>-2.5331140605356239</v>
      </c>
      <c r="AF14" s="10">
        <f t="shared" si="0"/>
        <v>-5.4581576153873934</v>
      </c>
      <c r="AG14" s="10">
        <f t="shared" si="1"/>
        <v>-4.633964288306891</v>
      </c>
      <c r="AH14" s="25"/>
      <c r="AI14" s="10">
        <f t="shared" si="2"/>
        <v>-76.760563380281681</v>
      </c>
      <c r="AL14" s="972" t="s">
        <v>1925</v>
      </c>
      <c r="AM14" s="11">
        <v>14.2</v>
      </c>
      <c r="AN14" s="331">
        <v>6.1</v>
      </c>
      <c r="AO14" s="10">
        <v>5.9</v>
      </c>
      <c r="AP14" s="10">
        <v>6.6</v>
      </c>
      <c r="AQ14" s="10">
        <v>5.0999999999999996</v>
      </c>
      <c r="AR14" s="10">
        <v>6.2</v>
      </c>
      <c r="AS14" s="10">
        <v>4.2</v>
      </c>
      <c r="AT14" s="10">
        <v>4</v>
      </c>
      <c r="AU14" s="10">
        <v>5.0999999999999996</v>
      </c>
      <c r="AV14" s="10">
        <v>5.5</v>
      </c>
      <c r="AW14" s="10">
        <v>5.4</v>
      </c>
      <c r="AX14" s="10">
        <v>4.8</v>
      </c>
      <c r="AY14" s="10">
        <v>4.5999999999999996</v>
      </c>
      <c r="AZ14" s="10">
        <v>4.5999999999999996</v>
      </c>
      <c r="BA14" s="10">
        <v>4.9000000000000004</v>
      </c>
      <c r="BB14" s="10">
        <v>4.4000000000000004</v>
      </c>
      <c r="BC14" s="10">
        <v>3.5</v>
      </c>
      <c r="BD14" s="10">
        <v>3.3</v>
      </c>
      <c r="BE14" s="10">
        <v>3.4</v>
      </c>
      <c r="BF14" s="11">
        <v>3.3</v>
      </c>
    </row>
    <row r="15" spans="1:58" s="972" customFormat="1">
      <c r="I15" s="11"/>
      <c r="J15" s="331"/>
      <c r="K15" s="10"/>
      <c r="L15" s="10"/>
      <c r="M15" s="10"/>
      <c r="N15" s="10"/>
      <c r="O15" s="10"/>
      <c r="P15" s="10"/>
      <c r="Q15" s="10"/>
      <c r="R15" s="10"/>
      <c r="S15" s="10"/>
      <c r="T15" s="10"/>
      <c r="U15" s="10"/>
      <c r="V15" s="10"/>
      <c r="W15" s="10"/>
      <c r="X15" s="10"/>
      <c r="Y15" s="10"/>
      <c r="Z15" s="10"/>
      <c r="AA15" s="25"/>
      <c r="AB15" s="25"/>
      <c r="AC15" s="10"/>
      <c r="AD15" s="10"/>
      <c r="AE15" s="10"/>
      <c r="AF15" s="10"/>
      <c r="AG15" s="10"/>
      <c r="AH15" s="25"/>
      <c r="AI15" s="10"/>
      <c r="AM15" s="11"/>
      <c r="AN15" s="331"/>
      <c r="AO15" s="10"/>
      <c r="AP15" s="10"/>
      <c r="AQ15" s="10"/>
      <c r="AR15" s="10"/>
      <c r="AS15" s="10"/>
      <c r="AT15" s="10"/>
      <c r="AU15" s="10"/>
      <c r="AV15" s="10"/>
      <c r="AW15" s="10"/>
      <c r="AX15" s="10"/>
      <c r="AY15" s="10"/>
      <c r="AZ15" s="10"/>
      <c r="BA15" s="10"/>
      <c r="BB15" s="10"/>
      <c r="BC15" s="10"/>
      <c r="BD15" s="10"/>
      <c r="BE15" s="10"/>
      <c r="BF15" s="11"/>
    </row>
    <row r="16" spans="1:58" s="972" customFormat="1">
      <c r="C16" s="972" t="s">
        <v>31</v>
      </c>
      <c r="I16" s="11">
        <v>13.3</v>
      </c>
      <c r="J16" s="331">
        <v>11.6</v>
      </c>
      <c r="K16" s="10">
        <v>13.2</v>
      </c>
      <c r="L16" s="10">
        <v>14.2</v>
      </c>
      <c r="M16" s="10">
        <v>14.3</v>
      </c>
      <c r="N16" s="10">
        <v>15.1</v>
      </c>
      <c r="O16" s="10">
        <v>15.1</v>
      </c>
      <c r="P16" s="10">
        <v>15.4</v>
      </c>
      <c r="Q16" s="10">
        <v>16.2</v>
      </c>
      <c r="R16" s="10">
        <v>15.8</v>
      </c>
      <c r="S16" s="10">
        <v>14.5</v>
      </c>
      <c r="T16" s="10">
        <v>13.6</v>
      </c>
      <c r="U16" s="10">
        <v>13.6</v>
      </c>
      <c r="V16" s="10">
        <v>12.1</v>
      </c>
      <c r="W16" s="10">
        <v>12.4</v>
      </c>
      <c r="X16" s="10">
        <v>12.2</v>
      </c>
      <c r="Y16" s="10">
        <v>11.9</v>
      </c>
      <c r="Z16" s="10">
        <v>11.2</v>
      </c>
      <c r="AA16" s="25">
        <v>10.9</v>
      </c>
      <c r="AB16" s="25">
        <v>9.4</v>
      </c>
      <c r="AC16" s="10"/>
      <c r="AD16" s="10">
        <f>((((J16/I16))^(1/8))-1)*100</f>
        <v>-1.6949578970198442</v>
      </c>
      <c r="AE16" s="10">
        <f>((((U16/J16))^(1/11))-1)*100</f>
        <v>1.4565484538422213</v>
      </c>
      <c r="AF16" s="10">
        <f t="shared" si="0"/>
        <v>-1.3259551334484421</v>
      </c>
      <c r="AG16" s="10">
        <f t="shared" si="1"/>
        <v>-5.1397783619998139</v>
      </c>
      <c r="AH16" s="25"/>
      <c r="AI16" s="10">
        <f t="shared" si="2"/>
        <v>-29.323308270676694</v>
      </c>
      <c r="AL16" s="972" t="s">
        <v>1201</v>
      </c>
      <c r="AM16" s="11">
        <v>13.3</v>
      </c>
      <c r="AN16" s="331">
        <v>11.6</v>
      </c>
      <c r="AO16" s="10">
        <v>13.2</v>
      </c>
      <c r="AP16" s="10">
        <v>14.2</v>
      </c>
      <c r="AQ16" s="10">
        <v>14.3</v>
      </c>
      <c r="AR16" s="10">
        <v>15.1</v>
      </c>
      <c r="AS16" s="10">
        <v>15.1</v>
      </c>
      <c r="AT16" s="10">
        <v>15.4</v>
      </c>
      <c r="AU16" s="10">
        <v>16.2</v>
      </c>
      <c r="AV16" s="10">
        <v>15.8</v>
      </c>
      <c r="AW16" s="10">
        <v>14.5</v>
      </c>
      <c r="AX16" s="10">
        <v>13.6</v>
      </c>
      <c r="AY16" s="10">
        <v>13.6</v>
      </c>
      <c r="AZ16" s="10">
        <v>12.1</v>
      </c>
      <c r="BA16" s="10">
        <v>12.4</v>
      </c>
      <c r="BB16" s="10">
        <v>12.2</v>
      </c>
      <c r="BC16" s="10">
        <v>11.9</v>
      </c>
      <c r="BD16" s="10">
        <v>11.2</v>
      </c>
      <c r="BE16" s="10">
        <v>10.9</v>
      </c>
      <c r="BF16" s="11">
        <v>9.4</v>
      </c>
    </row>
    <row r="17" spans="1:58" s="972" customFormat="1">
      <c r="D17" s="972" t="s">
        <v>536</v>
      </c>
      <c r="I17" s="11">
        <v>13</v>
      </c>
      <c r="J17" s="331">
        <v>12.2</v>
      </c>
      <c r="K17" s="10">
        <v>14.6</v>
      </c>
      <c r="L17" s="10">
        <v>15</v>
      </c>
      <c r="M17" s="10">
        <v>14.9</v>
      </c>
      <c r="N17" s="10">
        <v>17.2</v>
      </c>
      <c r="O17" s="10">
        <v>16.7</v>
      </c>
      <c r="P17" s="10">
        <v>17.8</v>
      </c>
      <c r="Q17" s="10">
        <v>18.3</v>
      </c>
      <c r="R17" s="10">
        <v>17</v>
      </c>
      <c r="S17" s="10">
        <v>15.1</v>
      </c>
      <c r="T17" s="10">
        <v>14.3</v>
      </c>
      <c r="U17" s="10">
        <v>14.4</v>
      </c>
      <c r="V17" s="10">
        <v>12.3</v>
      </c>
      <c r="W17" s="10">
        <v>12</v>
      </c>
      <c r="X17" s="10">
        <v>12.4</v>
      </c>
      <c r="Y17" s="10">
        <v>12.9</v>
      </c>
      <c r="Z17" s="10">
        <v>11.3</v>
      </c>
      <c r="AA17" s="25">
        <v>11.4</v>
      </c>
      <c r="AB17" s="25">
        <v>9</v>
      </c>
      <c r="AC17" s="10"/>
      <c r="AD17" s="10">
        <f>((((J17/I17))^(1/8))-1)*100</f>
        <v>-0.79077436962159409</v>
      </c>
      <c r="AE17" s="10">
        <f>((((U17/J17))^(1/11))-1)*100</f>
        <v>1.5186178906955616</v>
      </c>
      <c r="AF17" s="10">
        <f t="shared" si="0"/>
        <v>-1.4043714715941791</v>
      </c>
      <c r="AG17" s="10">
        <f t="shared" si="1"/>
        <v>-6.4938873230701581</v>
      </c>
      <c r="AH17" s="25"/>
      <c r="AI17" s="10">
        <f t="shared" si="2"/>
        <v>-30.76923076923077</v>
      </c>
      <c r="AL17" s="972" t="s">
        <v>1926</v>
      </c>
      <c r="AM17" s="11">
        <v>13</v>
      </c>
      <c r="AN17" s="331">
        <v>12.2</v>
      </c>
      <c r="AO17" s="10">
        <v>14.6</v>
      </c>
      <c r="AP17" s="10">
        <v>15</v>
      </c>
      <c r="AQ17" s="10">
        <v>14.9</v>
      </c>
      <c r="AR17" s="10">
        <v>17.2</v>
      </c>
      <c r="AS17" s="10">
        <v>16.7</v>
      </c>
      <c r="AT17" s="10">
        <v>17.8</v>
      </c>
      <c r="AU17" s="10">
        <v>18.3</v>
      </c>
      <c r="AV17" s="10">
        <v>17</v>
      </c>
      <c r="AW17" s="10">
        <v>15.1</v>
      </c>
      <c r="AX17" s="10">
        <v>14.3</v>
      </c>
      <c r="AY17" s="10">
        <v>14.4</v>
      </c>
      <c r="AZ17" s="10">
        <v>12.3</v>
      </c>
      <c r="BA17" s="10">
        <v>12</v>
      </c>
      <c r="BB17" s="10">
        <v>12.4</v>
      </c>
      <c r="BC17" s="10">
        <v>12.9</v>
      </c>
      <c r="BD17" s="10">
        <v>11.3</v>
      </c>
      <c r="BE17" s="10">
        <v>11.4</v>
      </c>
      <c r="BF17" s="11">
        <v>9</v>
      </c>
    </row>
    <row r="18" spans="1:58" s="972" customFormat="1">
      <c r="D18" s="972" t="s">
        <v>28</v>
      </c>
      <c r="I18" s="11">
        <v>11.3</v>
      </c>
      <c r="J18" s="331">
        <v>10.6</v>
      </c>
      <c r="K18" s="10">
        <v>12.4</v>
      </c>
      <c r="L18" s="10">
        <v>13.8</v>
      </c>
      <c r="M18" s="10">
        <v>14.2</v>
      </c>
      <c r="N18" s="10">
        <v>14.5</v>
      </c>
      <c r="O18" s="10">
        <v>15.1</v>
      </c>
      <c r="P18" s="10">
        <v>15.1</v>
      </c>
      <c r="Q18" s="10">
        <v>16</v>
      </c>
      <c r="R18" s="10">
        <v>16.2</v>
      </c>
      <c r="S18" s="10">
        <v>15</v>
      </c>
      <c r="T18" s="10">
        <v>14</v>
      </c>
      <c r="U18" s="10">
        <v>14</v>
      </c>
      <c r="V18" s="10">
        <v>12.8</v>
      </c>
      <c r="W18" s="10">
        <v>13.1</v>
      </c>
      <c r="X18" s="10">
        <v>12.9</v>
      </c>
      <c r="Y18" s="10">
        <v>12.5</v>
      </c>
      <c r="Z18" s="10">
        <v>11.8</v>
      </c>
      <c r="AA18" s="25">
        <v>11.6</v>
      </c>
      <c r="AB18" s="25">
        <v>10.199999999999999</v>
      </c>
      <c r="AC18" s="10"/>
      <c r="AD18" s="10">
        <f>((((J18/I18))^(1/8))-1)*100</f>
        <v>-0.79617267884407594</v>
      </c>
      <c r="AE18" s="10">
        <f>((((U18/J18))^(1/11))-1)*100</f>
        <v>2.5613747744569926</v>
      </c>
      <c r="AF18" s="10">
        <f t="shared" si="0"/>
        <v>-0.39312908338349217</v>
      </c>
      <c r="AG18" s="10">
        <f t="shared" si="1"/>
        <v>-4.423051130591082</v>
      </c>
      <c r="AH18" s="25"/>
      <c r="AI18" s="10">
        <f t="shared" si="2"/>
        <v>-9.7345132743362974</v>
      </c>
      <c r="AL18" s="972" t="s">
        <v>1927</v>
      </c>
      <c r="AM18" s="11">
        <v>11.3</v>
      </c>
      <c r="AN18" s="331">
        <v>10.6</v>
      </c>
      <c r="AO18" s="10">
        <v>12.4</v>
      </c>
      <c r="AP18" s="10">
        <v>13.8</v>
      </c>
      <c r="AQ18" s="10">
        <v>14.2</v>
      </c>
      <c r="AR18" s="10">
        <v>14.5</v>
      </c>
      <c r="AS18" s="10">
        <v>15.1</v>
      </c>
      <c r="AT18" s="10">
        <v>15.1</v>
      </c>
      <c r="AU18" s="10">
        <v>16</v>
      </c>
      <c r="AV18" s="10">
        <v>16.2</v>
      </c>
      <c r="AW18" s="10">
        <v>15</v>
      </c>
      <c r="AX18" s="10">
        <v>14</v>
      </c>
      <c r="AY18" s="10">
        <v>14</v>
      </c>
      <c r="AZ18" s="10">
        <v>12.8</v>
      </c>
      <c r="BA18" s="10">
        <v>13.1</v>
      </c>
      <c r="BB18" s="10">
        <v>12.9</v>
      </c>
      <c r="BC18" s="10">
        <v>12.5</v>
      </c>
      <c r="BD18" s="10">
        <v>11.8</v>
      </c>
      <c r="BE18" s="10">
        <v>11.6</v>
      </c>
      <c r="BF18" s="11">
        <v>10.199999999999999</v>
      </c>
    </row>
    <row r="19" spans="1:58" s="972" customFormat="1">
      <c r="D19" s="972" t="s">
        <v>29</v>
      </c>
      <c r="I19" s="11">
        <v>26.3</v>
      </c>
      <c r="J19" s="331">
        <v>15.1</v>
      </c>
      <c r="K19" s="10">
        <v>14.4</v>
      </c>
      <c r="L19" s="10">
        <v>14.6</v>
      </c>
      <c r="M19" s="10">
        <v>13.4</v>
      </c>
      <c r="N19" s="10">
        <v>14.1</v>
      </c>
      <c r="O19" s="10">
        <v>11.9</v>
      </c>
      <c r="P19" s="10">
        <v>12.3</v>
      </c>
      <c r="Q19" s="10">
        <v>13.2</v>
      </c>
      <c r="R19" s="10">
        <v>11.7</v>
      </c>
      <c r="S19" s="10">
        <v>11.1</v>
      </c>
      <c r="T19" s="10">
        <v>10.4</v>
      </c>
      <c r="U19" s="10">
        <v>10</v>
      </c>
      <c r="V19" s="10">
        <v>8.3000000000000007</v>
      </c>
      <c r="W19" s="10">
        <v>9.6999999999999993</v>
      </c>
      <c r="X19" s="10">
        <v>8.6999999999999993</v>
      </c>
      <c r="Y19" s="10">
        <v>7.3</v>
      </c>
      <c r="Z19" s="10">
        <v>8.4</v>
      </c>
      <c r="AA19" s="25">
        <v>7</v>
      </c>
      <c r="AB19" s="25">
        <v>6</v>
      </c>
      <c r="AC19" s="10"/>
      <c r="AD19" s="10">
        <f>((((J19/I19))^(1/8))-1)*100</f>
        <v>-6.7008580094976562</v>
      </c>
      <c r="AE19" s="10">
        <f>((((U19/J19))^(1/11))-1)*100</f>
        <v>-3.6771401477747268</v>
      </c>
      <c r="AF19" s="10">
        <f t="shared" si="0"/>
        <v>-5.5253674139764453</v>
      </c>
      <c r="AG19" s="10">
        <f t="shared" si="1"/>
        <v>-7.0376012501218721</v>
      </c>
      <c r="AH19" s="25"/>
      <c r="AI19" s="10">
        <f t="shared" si="2"/>
        <v>-77.186311787072242</v>
      </c>
      <c r="AL19" s="972" t="s">
        <v>1928</v>
      </c>
      <c r="AM19" s="11">
        <v>26.3</v>
      </c>
      <c r="AN19" s="331">
        <v>15.1</v>
      </c>
      <c r="AO19" s="10">
        <v>14.4</v>
      </c>
      <c r="AP19" s="10">
        <v>14.6</v>
      </c>
      <c r="AQ19" s="10">
        <v>13.4</v>
      </c>
      <c r="AR19" s="10">
        <v>14.1</v>
      </c>
      <c r="AS19" s="10">
        <v>11.9</v>
      </c>
      <c r="AT19" s="10">
        <v>12.3</v>
      </c>
      <c r="AU19" s="10">
        <v>13.2</v>
      </c>
      <c r="AV19" s="10">
        <v>11.7</v>
      </c>
      <c r="AW19" s="10">
        <v>11.1</v>
      </c>
      <c r="AX19" s="10">
        <v>10.4</v>
      </c>
      <c r="AY19" s="10">
        <v>10</v>
      </c>
      <c r="AZ19" s="10">
        <v>8.3000000000000007</v>
      </c>
      <c r="BA19" s="10">
        <v>9.6999999999999993</v>
      </c>
      <c r="BB19" s="10">
        <v>8.6999999999999993</v>
      </c>
      <c r="BC19" s="10">
        <v>7.3</v>
      </c>
      <c r="BD19" s="10">
        <v>8.4</v>
      </c>
      <c r="BE19" s="10">
        <v>7</v>
      </c>
      <c r="BF19" s="11">
        <v>6</v>
      </c>
    </row>
    <row r="20" spans="1:58" s="972" customFormat="1">
      <c r="I20" s="11"/>
      <c r="J20" s="331"/>
      <c r="K20" s="10"/>
      <c r="L20" s="10"/>
      <c r="M20" s="10"/>
      <c r="N20" s="10"/>
      <c r="O20" s="10"/>
      <c r="P20" s="10"/>
      <c r="Q20" s="10"/>
      <c r="R20" s="10"/>
      <c r="S20" s="10"/>
      <c r="T20" s="10"/>
      <c r="U20" s="10"/>
      <c r="V20" s="10"/>
      <c r="W20" s="10"/>
      <c r="X20" s="10"/>
      <c r="Y20" s="10"/>
      <c r="Z20" s="10"/>
      <c r="AA20" s="25"/>
      <c r="AB20" s="25"/>
      <c r="AC20" s="10"/>
      <c r="AD20" s="10"/>
      <c r="AE20" s="10"/>
      <c r="AF20" s="10"/>
      <c r="AG20" s="10"/>
      <c r="AH20" s="25"/>
      <c r="AI20" s="10"/>
      <c r="AM20" s="11"/>
      <c r="AN20" s="331"/>
      <c r="AO20" s="10"/>
      <c r="AP20" s="10"/>
      <c r="AQ20" s="10"/>
      <c r="AR20" s="10"/>
      <c r="AS20" s="10"/>
      <c r="AT20" s="10"/>
      <c r="AU20" s="10"/>
      <c r="AV20" s="10"/>
      <c r="AW20" s="10"/>
      <c r="AX20" s="10"/>
      <c r="AY20" s="10"/>
      <c r="AZ20" s="10"/>
      <c r="BA20" s="10"/>
      <c r="BB20" s="10"/>
      <c r="BC20" s="10"/>
      <c r="BD20" s="10"/>
      <c r="BE20" s="10"/>
      <c r="BF20" s="11"/>
    </row>
    <row r="21" spans="1:58" s="972" customFormat="1">
      <c r="A21" s="128"/>
      <c r="B21" s="128" t="s">
        <v>1199</v>
      </c>
      <c r="I21" s="11">
        <v>8.8000000000000007</v>
      </c>
      <c r="J21" s="331">
        <v>7.6</v>
      </c>
      <c r="K21" s="10">
        <v>9</v>
      </c>
      <c r="L21" s="10">
        <v>10</v>
      </c>
      <c r="M21" s="10">
        <v>10.1</v>
      </c>
      <c r="N21" s="10">
        <v>11.1</v>
      </c>
      <c r="O21" s="10">
        <v>11</v>
      </c>
      <c r="P21" s="10">
        <v>11.4</v>
      </c>
      <c r="Q21" s="10">
        <v>12</v>
      </c>
      <c r="R21" s="10">
        <v>11.8</v>
      </c>
      <c r="S21" s="10">
        <v>10.4</v>
      </c>
      <c r="T21" s="10">
        <v>9.6999999999999993</v>
      </c>
      <c r="U21" s="10">
        <v>9.3000000000000007</v>
      </c>
      <c r="V21" s="10">
        <v>8.1</v>
      </c>
      <c r="W21" s="10">
        <v>8.6</v>
      </c>
      <c r="X21" s="10">
        <v>8.6999999999999993</v>
      </c>
      <c r="Y21" s="10">
        <v>8.1999999999999993</v>
      </c>
      <c r="Z21" s="10">
        <v>7.5</v>
      </c>
      <c r="AA21" s="25">
        <v>7.3</v>
      </c>
      <c r="AB21" s="25">
        <v>6</v>
      </c>
      <c r="AC21" s="10"/>
      <c r="AD21" s="10">
        <f>((((J21/I21))^(1/8))-1)*100</f>
        <v>-1.8158544500748608</v>
      </c>
      <c r="AE21" s="10">
        <f>((((U21/J21))^(1/11))-1)*100</f>
        <v>1.8520891439501419</v>
      </c>
      <c r="AF21" s="10">
        <f t="shared" si="0"/>
        <v>-1.4622508612691321</v>
      </c>
      <c r="AG21" s="10">
        <f t="shared" si="1"/>
        <v>-6.0688244863297385</v>
      </c>
      <c r="AH21" s="25"/>
      <c r="AI21" s="10">
        <f t="shared" si="2"/>
        <v>-31.818181818181824</v>
      </c>
      <c r="AL21" s="972" t="s">
        <v>1929</v>
      </c>
      <c r="AM21" s="11">
        <v>8.8000000000000007</v>
      </c>
      <c r="AN21" s="331">
        <v>7.6</v>
      </c>
      <c r="AO21" s="10">
        <v>9</v>
      </c>
      <c r="AP21" s="10">
        <v>10</v>
      </c>
      <c r="AQ21" s="10">
        <v>10.1</v>
      </c>
      <c r="AR21" s="10">
        <v>11.1</v>
      </c>
      <c r="AS21" s="10">
        <v>11</v>
      </c>
      <c r="AT21" s="10">
        <v>11.4</v>
      </c>
      <c r="AU21" s="10">
        <v>12</v>
      </c>
      <c r="AV21" s="10">
        <v>11.8</v>
      </c>
      <c r="AW21" s="10">
        <v>10.4</v>
      </c>
      <c r="AX21" s="10">
        <v>9.6999999999999993</v>
      </c>
      <c r="AY21" s="10">
        <v>9.3000000000000007</v>
      </c>
      <c r="AZ21" s="10">
        <v>8.1</v>
      </c>
      <c r="BA21" s="10">
        <v>8.6</v>
      </c>
      <c r="BB21" s="10">
        <v>8.6999999999999993</v>
      </c>
      <c r="BC21" s="10">
        <v>8.1999999999999993</v>
      </c>
      <c r="BD21" s="10">
        <v>7.5</v>
      </c>
      <c r="BE21" s="10">
        <v>7.3</v>
      </c>
      <c r="BF21" s="11">
        <v>6</v>
      </c>
    </row>
    <row r="22" spans="1:58" s="972" customFormat="1">
      <c r="I22" s="11"/>
      <c r="J22" s="331"/>
      <c r="K22" s="10"/>
      <c r="L22" s="10"/>
      <c r="M22" s="10"/>
      <c r="N22" s="10"/>
      <c r="O22" s="10"/>
      <c r="P22" s="10"/>
      <c r="Q22" s="10"/>
      <c r="R22" s="10"/>
      <c r="S22" s="10"/>
      <c r="T22" s="10"/>
      <c r="U22" s="10"/>
      <c r="V22" s="10"/>
      <c r="W22" s="10"/>
      <c r="X22" s="10"/>
      <c r="Y22" s="10"/>
      <c r="Z22" s="10"/>
      <c r="AA22" s="25"/>
      <c r="AB22" s="25"/>
      <c r="AC22" s="10"/>
      <c r="AD22" s="10"/>
      <c r="AE22" s="10"/>
      <c r="AF22" s="10"/>
      <c r="AG22" s="10"/>
      <c r="AH22" s="25"/>
      <c r="AI22" s="10"/>
      <c r="AM22" s="11"/>
      <c r="AN22" s="331"/>
      <c r="AO22" s="10"/>
      <c r="AP22" s="10"/>
      <c r="AQ22" s="10"/>
      <c r="AR22" s="10"/>
      <c r="AS22" s="10"/>
      <c r="AT22" s="10"/>
      <c r="AU22" s="10"/>
      <c r="AV22" s="10"/>
      <c r="AW22" s="10"/>
      <c r="AX22" s="10"/>
      <c r="AY22" s="10"/>
      <c r="AZ22" s="10"/>
      <c r="BA22" s="10"/>
      <c r="BB22" s="10"/>
      <c r="BC22" s="10"/>
      <c r="BD22" s="10"/>
      <c r="BE22" s="10"/>
      <c r="BF22" s="11"/>
    </row>
    <row r="23" spans="1:58" s="972" customFormat="1">
      <c r="C23" s="972" t="s">
        <v>1200</v>
      </c>
      <c r="I23" s="11">
        <v>8.1</v>
      </c>
      <c r="J23" s="331">
        <v>6.8</v>
      </c>
      <c r="K23" s="10">
        <v>8</v>
      </c>
      <c r="L23" s="10">
        <v>9.1999999999999993</v>
      </c>
      <c r="M23" s="10">
        <v>9.1999999999999993</v>
      </c>
      <c r="N23" s="10">
        <v>10.1</v>
      </c>
      <c r="O23" s="10">
        <v>10.1</v>
      </c>
      <c r="P23" s="10">
        <v>10.7</v>
      </c>
      <c r="Q23" s="10">
        <v>11.1</v>
      </c>
      <c r="R23" s="10">
        <v>10.9</v>
      </c>
      <c r="S23" s="10">
        <v>9.6</v>
      </c>
      <c r="T23" s="10">
        <v>9.1999999999999993</v>
      </c>
      <c r="U23" s="10">
        <v>8.4</v>
      </c>
      <c r="V23" s="10">
        <v>7.4</v>
      </c>
      <c r="W23" s="10">
        <v>8</v>
      </c>
      <c r="X23" s="10">
        <v>8.1</v>
      </c>
      <c r="Y23" s="10">
        <v>7.7</v>
      </c>
      <c r="Z23" s="10">
        <v>7.1</v>
      </c>
      <c r="AA23" s="25">
        <v>6.9</v>
      </c>
      <c r="AB23" s="25">
        <v>5.7</v>
      </c>
      <c r="AC23" s="10"/>
      <c r="AD23" s="10">
        <f>((((J23/I23))^(1/8))-1)*100</f>
        <v>-2.163031679807581</v>
      </c>
      <c r="AE23" s="10">
        <f>((((U23/J23))^(1/11))-1)*100</f>
        <v>1.9395615246172282</v>
      </c>
      <c r="AF23" s="10">
        <f t="shared" si="0"/>
        <v>-1.3424381699834509</v>
      </c>
      <c r="AG23" s="10">
        <f t="shared" si="1"/>
        <v>-5.388871162249254</v>
      </c>
      <c r="AH23" s="25"/>
      <c r="AI23" s="10">
        <f t="shared" si="2"/>
        <v>-29.629629629629626</v>
      </c>
      <c r="AL23" s="972" t="s">
        <v>1930</v>
      </c>
      <c r="AM23" s="11">
        <v>8.1</v>
      </c>
      <c r="AN23" s="331">
        <v>6.8</v>
      </c>
      <c r="AO23" s="10">
        <v>8</v>
      </c>
      <c r="AP23" s="10">
        <v>9.1999999999999993</v>
      </c>
      <c r="AQ23" s="10">
        <v>9.1999999999999993</v>
      </c>
      <c r="AR23" s="10">
        <v>10.1</v>
      </c>
      <c r="AS23" s="10">
        <v>10.1</v>
      </c>
      <c r="AT23" s="10">
        <v>10.7</v>
      </c>
      <c r="AU23" s="10">
        <v>11.1</v>
      </c>
      <c r="AV23" s="10">
        <v>10.9</v>
      </c>
      <c r="AW23" s="10">
        <v>9.6</v>
      </c>
      <c r="AX23" s="10">
        <v>9.1999999999999993</v>
      </c>
      <c r="AY23" s="10">
        <v>8.4</v>
      </c>
      <c r="AZ23" s="10">
        <v>7.4</v>
      </c>
      <c r="BA23" s="10">
        <v>8</v>
      </c>
      <c r="BB23" s="10">
        <v>8.1</v>
      </c>
      <c r="BC23" s="10">
        <v>7.7</v>
      </c>
      <c r="BD23" s="10">
        <v>7.1</v>
      </c>
      <c r="BE23" s="10">
        <v>6.9</v>
      </c>
      <c r="BF23" s="11">
        <v>5.7</v>
      </c>
    </row>
    <row r="24" spans="1:58" s="972" customFormat="1">
      <c r="C24" s="972" t="s">
        <v>1201</v>
      </c>
      <c r="I24" s="11">
        <v>9.6</v>
      </c>
      <c r="J24" s="331">
        <v>8.3000000000000007</v>
      </c>
      <c r="K24" s="10">
        <v>10.1</v>
      </c>
      <c r="L24" s="10">
        <v>10.7</v>
      </c>
      <c r="M24" s="10">
        <v>11</v>
      </c>
      <c r="N24" s="10">
        <v>12</v>
      </c>
      <c r="O24" s="10">
        <v>11.8</v>
      </c>
      <c r="P24" s="10">
        <v>12.2</v>
      </c>
      <c r="Q24" s="10">
        <v>12.9</v>
      </c>
      <c r="R24" s="10">
        <v>12.6</v>
      </c>
      <c r="S24" s="10">
        <v>11.1</v>
      </c>
      <c r="T24" s="10">
        <v>10.3</v>
      </c>
      <c r="U24" s="10">
        <v>10.1</v>
      </c>
      <c r="V24" s="10">
        <v>8.6999999999999993</v>
      </c>
      <c r="W24" s="10">
        <v>9.1999999999999993</v>
      </c>
      <c r="X24" s="10">
        <v>9.1999999999999993</v>
      </c>
      <c r="Y24" s="10">
        <v>8.8000000000000007</v>
      </c>
      <c r="Z24" s="10">
        <v>7.9</v>
      </c>
      <c r="AA24" s="25">
        <v>7.8</v>
      </c>
      <c r="AB24" s="25">
        <v>6.3</v>
      </c>
      <c r="AC24" s="10"/>
      <c r="AD24" s="10">
        <f>((((J24/I24))^(1/8))-1)*100</f>
        <v>-1.8024036445096203</v>
      </c>
      <c r="AE24" s="10">
        <f>((((U24/J24))^(1/11))-1)*100</f>
        <v>1.8003776753043432</v>
      </c>
      <c r="AF24" s="10">
        <f t="shared" si="0"/>
        <v>-1.6069995292723238</v>
      </c>
      <c r="AG24" s="10">
        <f t="shared" si="1"/>
        <v>-6.5203613158966167</v>
      </c>
      <c r="AH24" s="25"/>
      <c r="AI24" s="10">
        <f t="shared" si="2"/>
        <v>-34.375</v>
      </c>
      <c r="AL24" s="972" t="s">
        <v>1931</v>
      </c>
      <c r="AM24" s="11">
        <v>9.6</v>
      </c>
      <c r="AN24" s="331">
        <v>8.3000000000000007</v>
      </c>
      <c r="AO24" s="10">
        <v>10.1</v>
      </c>
      <c r="AP24" s="10">
        <v>10.7</v>
      </c>
      <c r="AQ24" s="10">
        <v>11</v>
      </c>
      <c r="AR24" s="10">
        <v>12</v>
      </c>
      <c r="AS24" s="10">
        <v>11.8</v>
      </c>
      <c r="AT24" s="10">
        <v>12.2</v>
      </c>
      <c r="AU24" s="10">
        <v>12.9</v>
      </c>
      <c r="AV24" s="10">
        <v>12.6</v>
      </c>
      <c r="AW24" s="10">
        <v>11.1</v>
      </c>
      <c r="AX24" s="10">
        <v>10.3</v>
      </c>
      <c r="AY24" s="10">
        <v>10.1</v>
      </c>
      <c r="AZ24" s="10">
        <v>8.6999999999999993</v>
      </c>
      <c r="BA24" s="10">
        <v>9.1999999999999993</v>
      </c>
      <c r="BB24" s="10">
        <v>9.1999999999999993</v>
      </c>
      <c r="BC24" s="10">
        <v>8.8000000000000007</v>
      </c>
      <c r="BD24" s="10">
        <v>7.9</v>
      </c>
      <c r="BE24" s="10">
        <v>7.8</v>
      </c>
      <c r="BF24" s="11">
        <v>6.3</v>
      </c>
    </row>
    <row r="25" spans="1:58" s="972" customFormat="1">
      <c r="A25" s="4"/>
      <c r="I25" s="11"/>
      <c r="J25" s="331"/>
      <c r="K25" s="10"/>
      <c r="L25" s="10"/>
      <c r="M25" s="10"/>
      <c r="N25" s="10"/>
      <c r="O25" s="10"/>
      <c r="P25" s="10"/>
      <c r="Q25" s="10"/>
      <c r="R25" s="10"/>
      <c r="S25" s="10"/>
      <c r="T25" s="10"/>
      <c r="U25" s="10"/>
      <c r="V25" s="10"/>
      <c r="W25" s="10"/>
      <c r="X25" s="10"/>
      <c r="Y25" s="10"/>
      <c r="Z25" s="10"/>
      <c r="AA25" s="25"/>
      <c r="AB25" s="25"/>
      <c r="AC25" s="10"/>
      <c r="AD25" s="10"/>
      <c r="AE25" s="10"/>
      <c r="AF25" s="10"/>
      <c r="AG25" s="10"/>
      <c r="AH25" s="25"/>
      <c r="AI25" s="10"/>
      <c r="AM25" s="11"/>
      <c r="AN25" s="331"/>
      <c r="AO25" s="10"/>
      <c r="AP25" s="10"/>
      <c r="AQ25" s="10"/>
      <c r="AR25" s="10"/>
      <c r="AS25" s="10"/>
      <c r="AT25" s="10"/>
      <c r="AU25" s="10"/>
      <c r="AV25" s="10"/>
      <c r="AW25" s="10"/>
      <c r="AX25" s="10"/>
      <c r="AY25" s="10"/>
      <c r="AZ25" s="10"/>
      <c r="BA25" s="10"/>
      <c r="BB25" s="10"/>
      <c r="BC25" s="10"/>
      <c r="BD25" s="10"/>
      <c r="BE25" s="10"/>
      <c r="BF25" s="11"/>
    </row>
    <row r="26" spans="1:58" s="972" customFormat="1">
      <c r="A26" s="4"/>
      <c r="C26" s="972" t="s">
        <v>1202</v>
      </c>
      <c r="I26" s="11">
        <v>7.3</v>
      </c>
      <c r="J26" s="331">
        <v>3.1</v>
      </c>
      <c r="K26" s="10">
        <v>2.4</v>
      </c>
      <c r="L26" s="10">
        <v>2.8</v>
      </c>
      <c r="M26" s="10">
        <v>2.6</v>
      </c>
      <c r="N26" s="10">
        <v>3</v>
      </c>
      <c r="O26" s="10">
        <v>2.2999999999999998</v>
      </c>
      <c r="P26" s="10">
        <v>1.9</v>
      </c>
      <c r="Q26" s="10">
        <v>2.2999999999999998</v>
      </c>
      <c r="R26" s="10">
        <v>2.8</v>
      </c>
      <c r="S26" s="10">
        <v>3.3</v>
      </c>
      <c r="T26" s="10">
        <v>2.2999999999999998</v>
      </c>
      <c r="U26" s="10">
        <v>2.1</v>
      </c>
      <c r="V26" s="10">
        <v>1.9</v>
      </c>
      <c r="W26" s="10">
        <v>2.4</v>
      </c>
      <c r="X26" s="10">
        <v>2.2000000000000002</v>
      </c>
      <c r="Y26" s="10">
        <v>1.7</v>
      </c>
      <c r="Z26" s="10">
        <v>1.2</v>
      </c>
      <c r="AA26" s="25">
        <v>1.4</v>
      </c>
      <c r="AB26" s="25">
        <v>1.1000000000000001</v>
      </c>
      <c r="AC26" s="10"/>
      <c r="AD26" s="10">
        <f>((((J26/I26))^(1/8))-1)*100</f>
        <v>-10.152736503997929</v>
      </c>
      <c r="AE26" s="10">
        <f>((((U26/J26))^(1/11))-1)*100</f>
        <v>-3.4786431756367753</v>
      </c>
      <c r="AF26" s="10">
        <f t="shared" si="0"/>
        <v>-7.0204797594089596</v>
      </c>
      <c r="AG26" s="10">
        <f t="shared" si="1"/>
        <v>-8.8237107747130459</v>
      </c>
      <c r="AH26" s="25"/>
      <c r="AI26" s="10">
        <f t="shared" si="2"/>
        <v>-84.93150684931507</v>
      </c>
      <c r="AL26" s="972" t="s">
        <v>1932</v>
      </c>
      <c r="AM26" s="11">
        <v>7.3</v>
      </c>
      <c r="AN26" s="331">
        <v>3.1</v>
      </c>
      <c r="AO26" s="10">
        <v>2.4</v>
      </c>
      <c r="AP26" s="10">
        <v>2.8</v>
      </c>
      <c r="AQ26" s="10">
        <v>2.6</v>
      </c>
      <c r="AR26" s="10">
        <v>3</v>
      </c>
      <c r="AS26" s="10">
        <v>2.2999999999999998</v>
      </c>
      <c r="AT26" s="10">
        <v>1.9</v>
      </c>
      <c r="AU26" s="10">
        <v>2.2999999999999998</v>
      </c>
      <c r="AV26" s="10">
        <v>2.8</v>
      </c>
      <c r="AW26" s="10">
        <v>3.3</v>
      </c>
      <c r="AX26" s="10">
        <v>2.2999999999999998</v>
      </c>
      <c r="AY26" s="10">
        <v>2.1</v>
      </c>
      <c r="AZ26" s="10">
        <v>1.9</v>
      </c>
      <c r="BA26" s="10">
        <v>2.4</v>
      </c>
      <c r="BB26" s="10">
        <v>2.2000000000000002</v>
      </c>
      <c r="BC26" s="10">
        <v>1.7</v>
      </c>
      <c r="BD26" s="10">
        <v>1.2</v>
      </c>
      <c r="BE26" s="10">
        <v>1.4</v>
      </c>
      <c r="BF26" s="11">
        <v>1.1000000000000001</v>
      </c>
    </row>
    <row r="27" spans="1:58" s="114" customFormat="1">
      <c r="A27" s="4"/>
      <c r="B27" s="972"/>
      <c r="C27" s="972"/>
      <c r="D27" s="972" t="s">
        <v>1200</v>
      </c>
      <c r="E27" s="972"/>
      <c r="F27" s="972"/>
      <c r="G27" s="972"/>
      <c r="H27" s="972"/>
      <c r="I27" s="11">
        <v>8.1</v>
      </c>
      <c r="J27" s="331">
        <v>3.4</v>
      </c>
      <c r="K27" s="10">
        <v>2.6</v>
      </c>
      <c r="L27" s="10">
        <v>2.8</v>
      </c>
      <c r="M27" s="10">
        <v>2.5</v>
      </c>
      <c r="N27" s="10">
        <v>3.1</v>
      </c>
      <c r="O27" s="10">
        <v>2.2000000000000002</v>
      </c>
      <c r="P27" s="10">
        <v>1.8</v>
      </c>
      <c r="Q27" s="10">
        <v>2</v>
      </c>
      <c r="R27" s="10">
        <v>2.9</v>
      </c>
      <c r="S27" s="10">
        <v>2.7</v>
      </c>
      <c r="T27" s="10">
        <v>2.1</v>
      </c>
      <c r="U27" s="10">
        <v>1.7</v>
      </c>
      <c r="V27" s="10">
        <v>1.9</v>
      </c>
      <c r="W27" s="10">
        <v>2.2999999999999998</v>
      </c>
      <c r="X27" s="10">
        <v>2</v>
      </c>
      <c r="Y27" s="10">
        <v>1.7</v>
      </c>
      <c r="Z27" s="10">
        <v>1.1000000000000001</v>
      </c>
      <c r="AA27" s="25">
        <v>1.1000000000000001</v>
      </c>
      <c r="AB27" s="25">
        <v>1.2</v>
      </c>
      <c r="AC27" s="10"/>
      <c r="AD27" s="10">
        <f>((((J27/I27))^(1/8))-1)*100</f>
        <v>-10.283104475496218</v>
      </c>
      <c r="AE27" s="10">
        <f>((((U27/J27))^(1/11))-1)*100</f>
        <v>-6.1069089338293692</v>
      </c>
      <c r="AF27" s="10">
        <f t="shared" si="0"/>
        <v>-7.0811767694951904</v>
      </c>
      <c r="AG27" s="10">
        <f t="shared" si="1"/>
        <v>-4.8540444489289847</v>
      </c>
      <c r="AH27" s="25"/>
      <c r="AI27" s="10">
        <f t="shared" si="2"/>
        <v>-85.18518518518519</v>
      </c>
      <c r="AL27" s="972" t="s">
        <v>1933</v>
      </c>
      <c r="AM27" s="11">
        <v>8.1</v>
      </c>
      <c r="AN27" s="331">
        <v>3.4</v>
      </c>
      <c r="AO27" s="10">
        <v>2.6</v>
      </c>
      <c r="AP27" s="10">
        <v>2.8</v>
      </c>
      <c r="AQ27" s="10">
        <v>2.5</v>
      </c>
      <c r="AR27" s="10">
        <v>3.1</v>
      </c>
      <c r="AS27" s="10">
        <v>2.2000000000000002</v>
      </c>
      <c r="AT27" s="10">
        <v>1.8</v>
      </c>
      <c r="AU27" s="10">
        <v>2</v>
      </c>
      <c r="AV27" s="10">
        <v>2.9</v>
      </c>
      <c r="AW27" s="10">
        <v>2.7</v>
      </c>
      <c r="AX27" s="10">
        <v>2.1</v>
      </c>
      <c r="AY27" s="10">
        <v>1.7</v>
      </c>
      <c r="AZ27" s="10">
        <v>1.9</v>
      </c>
      <c r="BA27" s="10">
        <v>2.2999999999999998</v>
      </c>
      <c r="BB27" s="10">
        <v>2</v>
      </c>
      <c r="BC27" s="10">
        <v>1.7</v>
      </c>
      <c r="BD27" s="10">
        <v>1.1000000000000001</v>
      </c>
      <c r="BE27" s="10">
        <v>1.1000000000000001</v>
      </c>
      <c r="BF27" s="11">
        <v>1.2</v>
      </c>
    </row>
    <row r="28" spans="1:58" s="114" customFormat="1">
      <c r="A28" s="4"/>
      <c r="B28" s="972"/>
      <c r="C28" s="972"/>
      <c r="D28" s="972" t="s">
        <v>1201</v>
      </c>
      <c r="E28" s="972"/>
      <c r="F28" s="972"/>
      <c r="G28" s="972"/>
      <c r="H28" s="972"/>
      <c r="I28" s="11">
        <v>6.5</v>
      </c>
      <c r="J28" s="331">
        <v>2.9</v>
      </c>
      <c r="K28" s="10">
        <v>2.2000000000000002</v>
      </c>
      <c r="L28" s="10">
        <v>2.8</v>
      </c>
      <c r="M28" s="10">
        <v>2.7</v>
      </c>
      <c r="N28" s="10">
        <v>2.9</v>
      </c>
      <c r="O28" s="10">
        <v>2.5</v>
      </c>
      <c r="P28" s="10">
        <v>1.9</v>
      </c>
      <c r="Q28" s="10">
        <v>2.6</v>
      </c>
      <c r="R28" s="10">
        <v>2.8</v>
      </c>
      <c r="S28" s="10">
        <v>3.9</v>
      </c>
      <c r="T28" s="10">
        <v>2.4</v>
      </c>
      <c r="U28" s="10">
        <v>2.5</v>
      </c>
      <c r="V28" s="10">
        <v>1.9</v>
      </c>
      <c r="W28" s="10">
        <v>2.4</v>
      </c>
      <c r="X28" s="10">
        <v>2.2999999999999998</v>
      </c>
      <c r="Y28" s="10">
        <v>1.6</v>
      </c>
      <c r="Z28" s="10">
        <v>1.3</v>
      </c>
      <c r="AA28" s="25">
        <v>1.7</v>
      </c>
      <c r="AB28" s="25">
        <v>1.1000000000000001</v>
      </c>
      <c r="AC28" s="10"/>
      <c r="AD28" s="10">
        <f>((((J28/I28))^(1/8))-1)*100</f>
        <v>-9.5964301599575812</v>
      </c>
      <c r="AE28" s="10">
        <f>((((U28/J28))^(1/11))-1)*100</f>
        <v>-1.3402108910027688</v>
      </c>
      <c r="AF28" s="10">
        <f t="shared" si="0"/>
        <v>-6.6044620335512612</v>
      </c>
      <c r="AG28" s="10">
        <f t="shared" si="1"/>
        <v>-11.06664669181473</v>
      </c>
      <c r="AH28" s="25"/>
      <c r="AI28" s="10">
        <f t="shared" si="2"/>
        <v>-83.076923076923066</v>
      </c>
      <c r="AL28" s="972" t="s">
        <v>1934</v>
      </c>
      <c r="AM28" s="11">
        <v>6.5</v>
      </c>
      <c r="AN28" s="331">
        <v>2.9</v>
      </c>
      <c r="AO28" s="10">
        <v>2.2000000000000002</v>
      </c>
      <c r="AP28" s="10">
        <v>2.8</v>
      </c>
      <c r="AQ28" s="10">
        <v>2.7</v>
      </c>
      <c r="AR28" s="10">
        <v>2.9</v>
      </c>
      <c r="AS28" s="10">
        <v>2.5</v>
      </c>
      <c r="AT28" s="10">
        <v>1.9</v>
      </c>
      <c r="AU28" s="10">
        <v>2.6</v>
      </c>
      <c r="AV28" s="10">
        <v>2.8</v>
      </c>
      <c r="AW28" s="10">
        <v>3.9</v>
      </c>
      <c r="AX28" s="10">
        <v>2.4</v>
      </c>
      <c r="AY28" s="10">
        <v>2.5</v>
      </c>
      <c r="AZ28" s="10">
        <v>1.9</v>
      </c>
      <c r="BA28" s="10">
        <v>2.4</v>
      </c>
      <c r="BB28" s="10">
        <v>2.2999999999999998</v>
      </c>
      <c r="BC28" s="10">
        <v>1.6</v>
      </c>
      <c r="BD28" s="10">
        <v>1.3</v>
      </c>
      <c r="BE28" s="10">
        <v>1.7</v>
      </c>
      <c r="BF28" s="11">
        <v>1.1000000000000001</v>
      </c>
    </row>
    <row r="29" spans="1:58" s="114" customFormat="1">
      <c r="A29" s="4"/>
      <c r="B29" s="972"/>
      <c r="C29" s="972"/>
      <c r="D29" s="972"/>
      <c r="E29" s="972"/>
      <c r="F29" s="972"/>
      <c r="G29" s="972"/>
      <c r="H29" s="972"/>
      <c r="I29" s="11"/>
      <c r="J29" s="331"/>
      <c r="K29" s="10"/>
      <c r="L29" s="10"/>
      <c r="M29" s="10"/>
      <c r="N29" s="10"/>
      <c r="O29" s="10"/>
      <c r="P29" s="10"/>
      <c r="Q29" s="10"/>
      <c r="R29" s="10"/>
      <c r="S29" s="10"/>
      <c r="T29" s="10"/>
      <c r="U29" s="10"/>
      <c r="V29" s="10"/>
      <c r="W29" s="10"/>
      <c r="X29" s="10"/>
      <c r="Y29" s="10"/>
      <c r="Z29" s="10"/>
      <c r="AA29" s="25"/>
      <c r="AB29" s="25"/>
      <c r="AC29" s="10"/>
      <c r="AD29" s="10"/>
      <c r="AE29" s="10"/>
      <c r="AF29" s="10"/>
      <c r="AG29" s="10"/>
      <c r="AH29" s="25"/>
      <c r="AI29" s="10"/>
      <c r="AL29" s="972"/>
      <c r="AM29" s="11"/>
      <c r="AN29" s="331"/>
      <c r="AO29" s="10"/>
      <c r="AP29" s="10"/>
      <c r="AQ29" s="10"/>
      <c r="AR29" s="10"/>
      <c r="AS29" s="10"/>
      <c r="AT29" s="10"/>
      <c r="AU29" s="10"/>
      <c r="AV29" s="10"/>
      <c r="AW29" s="10"/>
      <c r="AX29" s="10"/>
      <c r="AY29" s="10"/>
      <c r="AZ29" s="10"/>
      <c r="BA29" s="10"/>
      <c r="BB29" s="10"/>
      <c r="BC29" s="10"/>
      <c r="BD29" s="10"/>
      <c r="BE29" s="10"/>
      <c r="BF29" s="11"/>
    </row>
    <row r="30" spans="1:58" s="114" customFormat="1">
      <c r="A30" s="4"/>
      <c r="B30" s="972"/>
      <c r="C30" s="972" t="s">
        <v>536</v>
      </c>
      <c r="D30" s="972"/>
      <c r="E30" s="972"/>
      <c r="F30" s="972"/>
      <c r="G30" s="972"/>
      <c r="H30" s="972"/>
      <c r="I30" s="11">
        <v>12.5</v>
      </c>
      <c r="J30" s="331">
        <v>11.8</v>
      </c>
      <c r="K30" s="10">
        <v>13.8</v>
      </c>
      <c r="L30" s="10">
        <v>15.1</v>
      </c>
      <c r="M30" s="10">
        <v>15</v>
      </c>
      <c r="N30" s="10">
        <v>16.899999999999999</v>
      </c>
      <c r="O30" s="10">
        <v>16.100000000000001</v>
      </c>
      <c r="P30" s="10">
        <v>17.3</v>
      </c>
      <c r="Q30" s="10">
        <v>18.3</v>
      </c>
      <c r="R30" s="10">
        <v>17.3</v>
      </c>
      <c r="S30" s="10">
        <v>15.6</v>
      </c>
      <c r="T30" s="10">
        <v>14.5</v>
      </c>
      <c r="U30" s="10">
        <v>13.8</v>
      </c>
      <c r="V30" s="10">
        <v>12.1</v>
      </c>
      <c r="W30" s="10">
        <v>12.3</v>
      </c>
      <c r="X30" s="10">
        <v>12.5</v>
      </c>
      <c r="Y30" s="10">
        <v>12.9</v>
      </c>
      <c r="Z30" s="10">
        <v>11.7</v>
      </c>
      <c r="AA30" s="25">
        <v>11.3</v>
      </c>
      <c r="AB30" s="25">
        <v>9.4</v>
      </c>
      <c r="AC30" s="10"/>
      <c r="AD30" s="10">
        <f>((((J30/I30))^(1/8))-1)*100</f>
        <v>-0.71777550867387907</v>
      </c>
      <c r="AE30" s="10">
        <f>((((U30/J30))^(1/11))-1)*100</f>
        <v>1.4335330278927971</v>
      </c>
      <c r="AF30" s="10">
        <f t="shared" si="0"/>
        <v>-1.0902400804799095</v>
      </c>
      <c r="AG30" s="10">
        <f t="shared" si="1"/>
        <v>-5.3374072584291721</v>
      </c>
      <c r="AH30" s="25"/>
      <c r="AI30" s="10">
        <f t="shared" si="2"/>
        <v>-24.8</v>
      </c>
      <c r="AL30" s="972" t="s">
        <v>1935</v>
      </c>
      <c r="AM30" s="11">
        <v>12.5</v>
      </c>
      <c r="AN30" s="331">
        <v>11.8</v>
      </c>
      <c r="AO30" s="10">
        <v>13.8</v>
      </c>
      <c r="AP30" s="10">
        <v>15.1</v>
      </c>
      <c r="AQ30" s="10">
        <v>15</v>
      </c>
      <c r="AR30" s="10">
        <v>16.899999999999999</v>
      </c>
      <c r="AS30" s="10">
        <v>16.100000000000001</v>
      </c>
      <c r="AT30" s="10">
        <v>17.3</v>
      </c>
      <c r="AU30" s="10">
        <v>18.3</v>
      </c>
      <c r="AV30" s="10">
        <v>17.3</v>
      </c>
      <c r="AW30" s="10">
        <v>15.6</v>
      </c>
      <c r="AX30" s="10">
        <v>14.5</v>
      </c>
      <c r="AY30" s="10">
        <v>13.8</v>
      </c>
      <c r="AZ30" s="10">
        <v>12.1</v>
      </c>
      <c r="BA30" s="10">
        <v>12.3</v>
      </c>
      <c r="BB30" s="10">
        <v>12.5</v>
      </c>
      <c r="BC30" s="10">
        <v>12.9</v>
      </c>
      <c r="BD30" s="10">
        <v>11.7</v>
      </c>
      <c r="BE30" s="10">
        <v>11.3</v>
      </c>
      <c r="BF30" s="11">
        <v>9.4</v>
      </c>
    </row>
    <row r="31" spans="1:58" s="114" customFormat="1">
      <c r="A31" s="4"/>
      <c r="B31" s="972"/>
      <c r="C31" s="972"/>
      <c r="D31" s="972" t="s">
        <v>260</v>
      </c>
      <c r="E31" s="972"/>
      <c r="F31" s="972"/>
      <c r="G31" s="972"/>
      <c r="H31" s="972"/>
      <c r="I31" s="11">
        <v>8.4</v>
      </c>
      <c r="J31" s="331">
        <v>7.2</v>
      </c>
      <c r="K31" s="10">
        <v>8.4</v>
      </c>
      <c r="L31" s="10">
        <v>9.4</v>
      </c>
      <c r="M31" s="10">
        <v>9.1</v>
      </c>
      <c r="N31" s="10">
        <v>10.7</v>
      </c>
      <c r="O31" s="10">
        <v>10.6</v>
      </c>
      <c r="P31" s="10">
        <v>11.7</v>
      </c>
      <c r="Q31" s="10">
        <v>11.6</v>
      </c>
      <c r="R31" s="10">
        <v>11.4</v>
      </c>
      <c r="S31" s="10">
        <v>10</v>
      </c>
      <c r="T31" s="10">
        <v>9.4</v>
      </c>
      <c r="U31" s="10">
        <v>9.5</v>
      </c>
      <c r="V31" s="10">
        <v>8.3000000000000007</v>
      </c>
      <c r="W31" s="10">
        <v>7.4</v>
      </c>
      <c r="X31" s="10">
        <v>7.9</v>
      </c>
      <c r="Y31" s="10">
        <v>8.4</v>
      </c>
      <c r="Z31" s="10">
        <v>7.8</v>
      </c>
      <c r="AA31" s="25">
        <v>7.7</v>
      </c>
      <c r="AB31" s="25">
        <v>6.5</v>
      </c>
      <c r="AC31" s="10"/>
      <c r="AD31" s="10">
        <f>((((J31/I31))^(1/8))-1)*100</f>
        <v>-1.9084377637015315</v>
      </c>
      <c r="AE31" s="10">
        <f>((((U31/J31))^(1/11))-1)*100</f>
        <v>2.5521208375153259</v>
      </c>
      <c r="AF31" s="10">
        <f t="shared" si="0"/>
        <v>-0.9814197519969925</v>
      </c>
      <c r="AG31" s="10">
        <f t="shared" si="1"/>
        <v>-5.2769488537383058</v>
      </c>
      <c r="AH31" s="25"/>
      <c r="AI31" s="10">
        <f t="shared" si="2"/>
        <v>-22.619047619047628</v>
      </c>
      <c r="AL31" s="972" t="s">
        <v>1936</v>
      </c>
      <c r="AM31" s="11">
        <v>8.4</v>
      </c>
      <c r="AN31" s="331">
        <v>7.2</v>
      </c>
      <c r="AO31" s="10">
        <v>8.4</v>
      </c>
      <c r="AP31" s="10">
        <v>9.4</v>
      </c>
      <c r="AQ31" s="10">
        <v>9.1</v>
      </c>
      <c r="AR31" s="10">
        <v>10.7</v>
      </c>
      <c r="AS31" s="10">
        <v>10.6</v>
      </c>
      <c r="AT31" s="10">
        <v>11.7</v>
      </c>
      <c r="AU31" s="10">
        <v>11.6</v>
      </c>
      <c r="AV31" s="10">
        <v>11.4</v>
      </c>
      <c r="AW31" s="10">
        <v>10</v>
      </c>
      <c r="AX31" s="10">
        <v>9.4</v>
      </c>
      <c r="AY31" s="10">
        <v>9.5</v>
      </c>
      <c r="AZ31" s="10">
        <v>8.3000000000000007</v>
      </c>
      <c r="BA31" s="10">
        <v>7.4</v>
      </c>
      <c r="BB31" s="10">
        <v>7.9</v>
      </c>
      <c r="BC31" s="10">
        <v>8.4</v>
      </c>
      <c r="BD31" s="10">
        <v>7.8</v>
      </c>
      <c r="BE31" s="10">
        <v>7.7</v>
      </c>
      <c r="BF31" s="11">
        <v>6.5</v>
      </c>
    </row>
    <row r="32" spans="1:58" s="114" customFormat="1">
      <c r="A32" s="4"/>
      <c r="B32" s="972"/>
      <c r="C32" s="972"/>
      <c r="D32" s="972" t="s">
        <v>298</v>
      </c>
      <c r="E32" s="972"/>
      <c r="F32" s="972"/>
      <c r="G32" s="972"/>
      <c r="H32" s="972"/>
      <c r="I32" s="11">
        <v>48.7</v>
      </c>
      <c r="J32" s="331">
        <v>46.2</v>
      </c>
      <c r="K32" s="10">
        <v>51.2</v>
      </c>
      <c r="L32" s="10">
        <v>52.7</v>
      </c>
      <c r="M32" s="10">
        <v>48.8</v>
      </c>
      <c r="N32" s="10">
        <v>49.6</v>
      </c>
      <c r="O32" s="10">
        <v>48.2</v>
      </c>
      <c r="P32" s="10">
        <v>50.7</v>
      </c>
      <c r="Q32" s="10">
        <v>56</v>
      </c>
      <c r="R32" s="10">
        <v>51.2</v>
      </c>
      <c r="S32" s="10">
        <v>46.2</v>
      </c>
      <c r="T32" s="10">
        <v>41.9</v>
      </c>
      <c r="U32" s="10">
        <v>40.1</v>
      </c>
      <c r="V32" s="10">
        <v>37.4</v>
      </c>
      <c r="W32" s="10">
        <v>43</v>
      </c>
      <c r="X32" s="10">
        <v>41.4</v>
      </c>
      <c r="Y32" s="10">
        <v>40.4</v>
      </c>
      <c r="Z32" s="10">
        <v>33.4</v>
      </c>
      <c r="AA32" s="25">
        <v>32.299999999999997</v>
      </c>
      <c r="AB32" s="25">
        <v>26.6</v>
      </c>
      <c r="AC32" s="10"/>
      <c r="AD32" s="10">
        <f>((((J32/I32))^(1/8))-1)*100</f>
        <v>-0.65657546182020798</v>
      </c>
      <c r="AE32" s="10">
        <f>((((U32/J32))^(1/11))-1)*100</f>
        <v>-1.2790538956001019</v>
      </c>
      <c r="AF32" s="10">
        <f t="shared" si="0"/>
        <v>-2.299186508376716</v>
      </c>
      <c r="AG32" s="10">
        <f t="shared" si="1"/>
        <v>-5.6951790463622647</v>
      </c>
      <c r="AH32" s="25"/>
      <c r="AI32" s="10">
        <f t="shared" si="2"/>
        <v>-45.379876796714584</v>
      </c>
      <c r="AL32" s="972" t="s">
        <v>1937</v>
      </c>
      <c r="AM32" s="11">
        <v>48.7</v>
      </c>
      <c r="AN32" s="331">
        <v>46.2</v>
      </c>
      <c r="AO32" s="10">
        <v>51.2</v>
      </c>
      <c r="AP32" s="10">
        <v>52.7</v>
      </c>
      <c r="AQ32" s="10">
        <v>48.8</v>
      </c>
      <c r="AR32" s="10">
        <v>49.6</v>
      </c>
      <c r="AS32" s="10">
        <v>48.2</v>
      </c>
      <c r="AT32" s="10">
        <v>50.7</v>
      </c>
      <c r="AU32" s="10">
        <v>56</v>
      </c>
      <c r="AV32" s="10">
        <v>51.2</v>
      </c>
      <c r="AW32" s="10">
        <v>46.2</v>
      </c>
      <c r="AX32" s="10">
        <v>41.9</v>
      </c>
      <c r="AY32" s="10">
        <v>40.1</v>
      </c>
      <c r="AZ32" s="10">
        <v>37.4</v>
      </c>
      <c r="BA32" s="10">
        <v>43</v>
      </c>
      <c r="BB32" s="10">
        <v>41.4</v>
      </c>
      <c r="BC32" s="10">
        <v>40.4</v>
      </c>
      <c r="BD32" s="10">
        <v>33.4</v>
      </c>
      <c r="BE32" s="10">
        <v>32.299999999999997</v>
      </c>
      <c r="BF32" s="11">
        <v>26.6</v>
      </c>
    </row>
    <row r="33" spans="1:58" s="114" customFormat="1">
      <c r="A33" s="4"/>
      <c r="B33" s="972"/>
      <c r="C33" s="972"/>
      <c r="D33" s="972" t="s">
        <v>299</v>
      </c>
      <c r="E33" s="972"/>
      <c r="F33" s="972"/>
      <c r="G33" s="972"/>
      <c r="H33" s="972"/>
      <c r="I33" s="11">
        <v>18.5</v>
      </c>
      <c r="J33" s="331">
        <v>14.6</v>
      </c>
      <c r="K33" s="10">
        <v>17.399999999999999</v>
      </c>
      <c r="L33" s="10">
        <v>17.8</v>
      </c>
      <c r="M33" s="10">
        <v>15.4</v>
      </c>
      <c r="N33" s="10">
        <v>25.1</v>
      </c>
      <c r="O33" s="10">
        <v>27.5</v>
      </c>
      <c r="P33" s="10">
        <v>24.1</v>
      </c>
      <c r="Q33" s="10">
        <v>23.1</v>
      </c>
      <c r="R33" s="10">
        <v>21.4</v>
      </c>
      <c r="S33" s="10">
        <v>22.7</v>
      </c>
      <c r="T33" s="10">
        <v>24.9</v>
      </c>
      <c r="U33" s="10">
        <v>14.6</v>
      </c>
      <c r="V33" s="10">
        <v>10.5</v>
      </c>
      <c r="W33" s="10">
        <v>11.2</v>
      </c>
      <c r="X33" s="10">
        <v>14.3</v>
      </c>
      <c r="Y33" s="10">
        <v>14.9</v>
      </c>
      <c r="Z33" s="10">
        <v>14.5</v>
      </c>
      <c r="AA33" s="25">
        <v>11</v>
      </c>
      <c r="AB33" s="25">
        <v>9.5</v>
      </c>
      <c r="AC33" s="10"/>
      <c r="AD33" s="10">
        <f>((((J33/I33))^(1/8))-1)*100</f>
        <v>-2.9160046186906263</v>
      </c>
      <c r="AE33" s="10">
        <f>((((U33/J33))^(1/11))-1)*100</f>
        <v>0</v>
      </c>
      <c r="AF33" s="10">
        <f t="shared" si="0"/>
        <v>-2.5308048546939577</v>
      </c>
      <c r="AG33" s="10">
        <f t="shared" si="1"/>
        <v>-5.9543573486931294</v>
      </c>
      <c r="AH33" s="25"/>
      <c r="AI33" s="10">
        <f t="shared" si="2"/>
        <v>-48.648648648648653</v>
      </c>
      <c r="AL33" s="972" t="s">
        <v>1938</v>
      </c>
      <c r="AM33" s="11">
        <v>18.5</v>
      </c>
      <c r="AN33" s="331">
        <v>14.6</v>
      </c>
      <c r="AO33" s="10">
        <v>17.399999999999999</v>
      </c>
      <c r="AP33" s="10">
        <v>17.8</v>
      </c>
      <c r="AQ33" s="10">
        <v>15.4</v>
      </c>
      <c r="AR33" s="10">
        <v>25.1</v>
      </c>
      <c r="AS33" s="10">
        <v>27.5</v>
      </c>
      <c r="AT33" s="10">
        <v>24.1</v>
      </c>
      <c r="AU33" s="10">
        <v>23.1</v>
      </c>
      <c r="AV33" s="10">
        <v>21.4</v>
      </c>
      <c r="AW33" s="10">
        <v>22.7</v>
      </c>
      <c r="AX33" s="10">
        <v>24.9</v>
      </c>
      <c r="AY33" s="10">
        <v>14.6</v>
      </c>
      <c r="AZ33" s="10">
        <v>10.5</v>
      </c>
      <c r="BA33" s="10">
        <v>11.2</v>
      </c>
      <c r="BB33" s="10">
        <v>14.3</v>
      </c>
      <c r="BC33" s="10">
        <v>14.9</v>
      </c>
      <c r="BD33" s="10">
        <v>14.5</v>
      </c>
      <c r="BE33" s="10">
        <v>11</v>
      </c>
      <c r="BF33" s="11">
        <v>9.5</v>
      </c>
    </row>
    <row r="34" spans="1:58" s="114" customFormat="1">
      <c r="A34" s="4"/>
      <c r="B34" s="972"/>
      <c r="C34" s="972"/>
      <c r="D34" s="972"/>
      <c r="E34" s="972"/>
      <c r="F34" s="972"/>
      <c r="G34" s="972"/>
      <c r="H34" s="972"/>
      <c r="I34" s="11"/>
      <c r="J34" s="331"/>
      <c r="K34" s="10"/>
      <c r="L34" s="10"/>
      <c r="M34" s="10"/>
      <c r="N34" s="10"/>
      <c r="O34" s="10"/>
      <c r="P34" s="10"/>
      <c r="Q34" s="10"/>
      <c r="R34" s="10"/>
      <c r="S34" s="10"/>
      <c r="T34" s="10"/>
      <c r="U34" s="10"/>
      <c r="V34" s="10"/>
      <c r="W34" s="10"/>
      <c r="X34" s="10"/>
      <c r="Y34" s="10"/>
      <c r="Z34" s="10"/>
      <c r="AA34" s="25"/>
      <c r="AB34" s="25"/>
      <c r="AC34" s="10"/>
      <c r="AD34" s="10"/>
      <c r="AE34" s="10"/>
      <c r="AF34" s="10"/>
      <c r="AG34" s="10"/>
      <c r="AH34" s="25"/>
      <c r="AI34" s="10"/>
      <c r="AL34" s="972"/>
      <c r="AM34" s="11"/>
      <c r="AN34" s="331"/>
      <c r="AO34" s="10"/>
      <c r="AP34" s="10"/>
      <c r="AQ34" s="10"/>
      <c r="AR34" s="10"/>
      <c r="AS34" s="10"/>
      <c r="AT34" s="10"/>
      <c r="AU34" s="10"/>
      <c r="AV34" s="10"/>
      <c r="AW34" s="10"/>
      <c r="AX34" s="10"/>
      <c r="AY34" s="10"/>
      <c r="AZ34" s="10"/>
      <c r="BA34" s="10"/>
      <c r="BB34" s="10"/>
      <c r="BC34" s="10"/>
      <c r="BD34" s="10"/>
      <c r="BE34" s="10"/>
      <c r="BF34" s="11"/>
    </row>
    <row r="35" spans="1:58" s="114" customFormat="1">
      <c r="A35" s="4"/>
      <c r="B35" s="972"/>
      <c r="C35" s="972" t="s">
        <v>28</v>
      </c>
      <c r="D35" s="972"/>
      <c r="E35" s="972"/>
      <c r="F35" s="972"/>
      <c r="G35" s="972"/>
      <c r="H35" s="972"/>
      <c r="I35" s="11">
        <v>7.2</v>
      </c>
      <c r="J35" s="331">
        <v>6.2</v>
      </c>
      <c r="K35" s="10">
        <v>7.8</v>
      </c>
      <c r="L35" s="10">
        <v>8.6999999999999993</v>
      </c>
      <c r="M35" s="10">
        <v>9</v>
      </c>
      <c r="N35" s="10">
        <v>9.6</v>
      </c>
      <c r="O35" s="10">
        <v>9.9</v>
      </c>
      <c r="P35" s="10">
        <v>10.199999999999999</v>
      </c>
      <c r="Q35" s="10">
        <v>10.7</v>
      </c>
      <c r="R35" s="10">
        <v>10.7</v>
      </c>
      <c r="S35" s="10">
        <v>9.3000000000000007</v>
      </c>
      <c r="T35" s="10">
        <v>8.8000000000000007</v>
      </c>
      <c r="U35" s="10">
        <v>8.4</v>
      </c>
      <c r="V35" s="10">
        <v>7.3</v>
      </c>
      <c r="W35" s="10">
        <v>8.1</v>
      </c>
      <c r="X35" s="10">
        <v>8.1</v>
      </c>
      <c r="Y35" s="10">
        <v>7.4</v>
      </c>
      <c r="Z35" s="10">
        <v>6.9</v>
      </c>
      <c r="AA35" s="25">
        <v>6.8</v>
      </c>
      <c r="AB35" s="25">
        <v>5.5</v>
      </c>
      <c r="AC35" s="10"/>
      <c r="AD35" s="10">
        <f>((((J35/I35))^(1/8))-1)*100</f>
        <v>-1.8517864590773758</v>
      </c>
      <c r="AE35" s="10">
        <f>((((U35/J35))^(1/11))-1)*100</f>
        <v>2.7992110264431824</v>
      </c>
      <c r="AF35" s="10">
        <f t="shared" si="0"/>
        <v>-1.0305489763763553</v>
      </c>
      <c r="AG35" s="10">
        <f t="shared" si="1"/>
        <v>-5.8704027492442297</v>
      </c>
      <c r="AH35" s="25"/>
      <c r="AI35" s="10">
        <f t="shared" si="2"/>
        <v>-23.611111111111114</v>
      </c>
      <c r="AL35" s="114" t="s">
        <v>1939</v>
      </c>
      <c r="AM35" s="11">
        <v>7.2</v>
      </c>
      <c r="AN35" s="331">
        <v>6.2</v>
      </c>
      <c r="AO35" s="10">
        <v>7.8</v>
      </c>
      <c r="AP35" s="10">
        <v>8.6999999999999993</v>
      </c>
      <c r="AQ35" s="10">
        <v>9</v>
      </c>
      <c r="AR35" s="10">
        <v>9.6</v>
      </c>
      <c r="AS35" s="10">
        <v>9.9</v>
      </c>
      <c r="AT35" s="10">
        <v>10.199999999999999</v>
      </c>
      <c r="AU35" s="10">
        <v>10.7</v>
      </c>
      <c r="AV35" s="10">
        <v>10.7</v>
      </c>
      <c r="AW35" s="10">
        <v>9.3000000000000007</v>
      </c>
      <c r="AX35" s="10">
        <v>8.8000000000000007</v>
      </c>
      <c r="AY35" s="10">
        <v>8.4</v>
      </c>
      <c r="AZ35" s="10">
        <v>7.3</v>
      </c>
      <c r="BA35" s="10">
        <v>8.1</v>
      </c>
      <c r="BB35" s="10">
        <v>8.1</v>
      </c>
      <c r="BC35" s="10">
        <v>7.4</v>
      </c>
      <c r="BD35" s="10">
        <v>6.9</v>
      </c>
      <c r="BE35" s="10">
        <v>6.8</v>
      </c>
      <c r="BF35" s="11">
        <v>5.5</v>
      </c>
    </row>
    <row r="36" spans="1:58" s="114" customFormat="1">
      <c r="A36" s="4"/>
      <c r="B36" s="972"/>
      <c r="C36" s="972"/>
      <c r="D36" s="972" t="s">
        <v>30</v>
      </c>
      <c r="E36" s="972"/>
      <c r="F36" s="972"/>
      <c r="G36" s="972"/>
      <c r="H36" s="972"/>
      <c r="I36" s="11">
        <v>6</v>
      </c>
      <c r="J36" s="331">
        <v>4.9000000000000004</v>
      </c>
      <c r="K36" s="10">
        <v>6.2</v>
      </c>
      <c r="L36" s="10">
        <v>7.3</v>
      </c>
      <c r="M36" s="10">
        <v>7.3</v>
      </c>
      <c r="N36" s="10">
        <v>7.9</v>
      </c>
      <c r="O36" s="10">
        <v>8.5</v>
      </c>
      <c r="P36" s="10">
        <v>8.9</v>
      </c>
      <c r="Q36" s="10">
        <v>9.1</v>
      </c>
      <c r="R36" s="10">
        <v>9</v>
      </c>
      <c r="S36" s="10">
        <v>7.8</v>
      </c>
      <c r="T36" s="10">
        <v>7.8</v>
      </c>
      <c r="U36" s="10">
        <v>7.3</v>
      </c>
      <c r="V36" s="10">
        <v>6.3</v>
      </c>
      <c r="W36" s="10">
        <v>6.9</v>
      </c>
      <c r="X36" s="10">
        <v>7.1</v>
      </c>
      <c r="Y36" s="10">
        <v>6.3</v>
      </c>
      <c r="Z36" s="10">
        <v>6</v>
      </c>
      <c r="AA36" s="25">
        <v>6.1</v>
      </c>
      <c r="AB36" s="25">
        <v>4.9000000000000004</v>
      </c>
      <c r="AC36" s="10"/>
      <c r="AD36" s="10">
        <f>((((J36/I36))^(1/8))-1)*100</f>
        <v>-2.4997781901380245</v>
      </c>
      <c r="AE36" s="10">
        <f>((((U36/J36))^(1/11))-1)*100</f>
        <v>3.6904592971420902</v>
      </c>
      <c r="AF36" s="10">
        <f t="shared" si="0"/>
        <v>-0.77591360547231147</v>
      </c>
      <c r="AG36" s="10">
        <f t="shared" si="1"/>
        <v>-5.5357234614549444</v>
      </c>
      <c r="AH36" s="25"/>
      <c r="AI36" s="10">
        <f t="shared" si="2"/>
        <v>-18.333333333333325</v>
      </c>
      <c r="AL36" s="114" t="s">
        <v>1940</v>
      </c>
      <c r="AM36" s="11">
        <v>6</v>
      </c>
      <c r="AN36" s="331">
        <v>4.9000000000000004</v>
      </c>
      <c r="AO36" s="10">
        <v>6.2</v>
      </c>
      <c r="AP36" s="10">
        <v>7.3</v>
      </c>
      <c r="AQ36" s="10">
        <v>7.3</v>
      </c>
      <c r="AR36" s="10">
        <v>7.9</v>
      </c>
      <c r="AS36" s="10">
        <v>8.5</v>
      </c>
      <c r="AT36" s="10">
        <v>8.9</v>
      </c>
      <c r="AU36" s="10">
        <v>9.1</v>
      </c>
      <c r="AV36" s="10">
        <v>9</v>
      </c>
      <c r="AW36" s="10">
        <v>7.8</v>
      </c>
      <c r="AX36" s="10">
        <v>7.8</v>
      </c>
      <c r="AY36" s="10">
        <v>7.3</v>
      </c>
      <c r="AZ36" s="10">
        <v>6.3</v>
      </c>
      <c r="BA36" s="10">
        <v>6.9</v>
      </c>
      <c r="BB36" s="10">
        <v>7.1</v>
      </c>
      <c r="BC36" s="10">
        <v>6.3</v>
      </c>
      <c r="BD36" s="10">
        <v>6</v>
      </c>
      <c r="BE36" s="10">
        <v>6.1</v>
      </c>
      <c r="BF36" s="11">
        <v>4.9000000000000004</v>
      </c>
    </row>
    <row r="37" spans="1:58" s="114" customFormat="1">
      <c r="A37" s="4"/>
      <c r="B37" s="972"/>
      <c r="C37" s="972"/>
      <c r="D37" s="972" t="s">
        <v>31</v>
      </c>
      <c r="E37" s="972"/>
      <c r="F37" s="972"/>
      <c r="G37" s="972"/>
      <c r="H37" s="972"/>
      <c r="I37" s="11">
        <v>8.3000000000000007</v>
      </c>
      <c r="J37" s="331">
        <v>7.4</v>
      </c>
      <c r="K37" s="10">
        <v>9.1999999999999993</v>
      </c>
      <c r="L37" s="10">
        <v>10</v>
      </c>
      <c r="M37" s="10">
        <v>10.5</v>
      </c>
      <c r="N37" s="10">
        <v>11.2</v>
      </c>
      <c r="O37" s="10">
        <v>11.2</v>
      </c>
      <c r="P37" s="10">
        <v>11.4</v>
      </c>
      <c r="Q37" s="10">
        <v>12.2</v>
      </c>
      <c r="R37" s="10">
        <v>12.2</v>
      </c>
      <c r="S37" s="10">
        <v>10.6</v>
      </c>
      <c r="T37" s="10">
        <v>9.8000000000000007</v>
      </c>
      <c r="U37" s="10">
        <v>9.4</v>
      </c>
      <c r="V37" s="10">
        <v>8.4</v>
      </c>
      <c r="W37" s="10">
        <v>9.3000000000000007</v>
      </c>
      <c r="X37" s="10">
        <v>9</v>
      </c>
      <c r="Y37" s="10">
        <v>8.4</v>
      </c>
      <c r="Z37" s="10">
        <v>7.7</v>
      </c>
      <c r="AA37" s="25">
        <v>7.5</v>
      </c>
      <c r="AB37" s="25">
        <v>6.2</v>
      </c>
      <c r="AC37" s="10"/>
      <c r="AD37" s="10">
        <f>((((J37/I37))^(1/8))-1)*100</f>
        <v>-1.4244512412708521</v>
      </c>
      <c r="AE37" s="10">
        <f>((((U37/J37))^(1/11))-1)*100</f>
        <v>2.1986368419775859</v>
      </c>
      <c r="AF37" s="10">
        <f t="shared" si="0"/>
        <v>-1.1156766570329935</v>
      </c>
      <c r="AG37" s="10">
        <f t="shared" si="1"/>
        <v>-5.7718753042466542</v>
      </c>
      <c r="AH37" s="25"/>
      <c r="AI37" s="10">
        <f t="shared" si="2"/>
        <v>-25.30120481927711</v>
      </c>
      <c r="AL37" s="114" t="s">
        <v>1941</v>
      </c>
      <c r="AM37" s="11">
        <v>8.3000000000000007</v>
      </c>
      <c r="AN37" s="331">
        <v>7.4</v>
      </c>
      <c r="AO37" s="10">
        <v>9.1999999999999993</v>
      </c>
      <c r="AP37" s="10">
        <v>10</v>
      </c>
      <c r="AQ37" s="10">
        <v>10.5</v>
      </c>
      <c r="AR37" s="10">
        <v>11.2</v>
      </c>
      <c r="AS37" s="10">
        <v>11.2</v>
      </c>
      <c r="AT37" s="10">
        <v>11.4</v>
      </c>
      <c r="AU37" s="10">
        <v>12.2</v>
      </c>
      <c r="AV37" s="10">
        <v>12.2</v>
      </c>
      <c r="AW37" s="10">
        <v>10.6</v>
      </c>
      <c r="AX37" s="10">
        <v>9.8000000000000007</v>
      </c>
      <c r="AY37" s="10">
        <v>9.4</v>
      </c>
      <c r="AZ37" s="10">
        <v>8.4</v>
      </c>
      <c r="BA37" s="10">
        <v>9.3000000000000007</v>
      </c>
      <c r="BB37" s="10">
        <v>9</v>
      </c>
      <c r="BC37" s="10">
        <v>8.4</v>
      </c>
      <c r="BD37" s="10">
        <v>7.7</v>
      </c>
      <c r="BE37" s="10">
        <v>7.5</v>
      </c>
      <c r="BF37" s="11">
        <v>6.2</v>
      </c>
    </row>
    <row r="38" spans="1:58" s="114" customFormat="1">
      <c r="A38" s="4"/>
      <c r="B38" s="972"/>
      <c r="C38" s="972"/>
      <c r="D38" s="972"/>
      <c r="E38" s="972"/>
      <c r="F38" s="972"/>
      <c r="G38" s="972"/>
      <c r="H38" s="972"/>
      <c r="I38" s="11"/>
      <c r="J38" s="331"/>
      <c r="K38" s="10"/>
      <c r="L38" s="10"/>
      <c r="M38" s="10"/>
      <c r="N38" s="10"/>
      <c r="O38" s="10"/>
      <c r="P38" s="10"/>
      <c r="Q38" s="10"/>
      <c r="R38" s="10"/>
      <c r="S38" s="10"/>
      <c r="T38" s="10"/>
      <c r="U38" s="10"/>
      <c r="V38" s="10"/>
      <c r="W38" s="10"/>
      <c r="X38" s="10"/>
      <c r="Y38" s="10"/>
      <c r="Z38" s="10"/>
      <c r="AA38" s="25"/>
      <c r="AB38" s="25"/>
      <c r="AC38" s="10"/>
      <c r="AD38" s="10"/>
      <c r="AE38" s="10"/>
      <c r="AF38" s="10"/>
      <c r="AG38" s="10"/>
      <c r="AH38" s="25"/>
      <c r="AI38" s="10"/>
      <c r="AL38" s="972"/>
      <c r="AM38" s="11"/>
      <c r="AN38" s="331"/>
      <c r="AO38" s="10"/>
      <c r="AP38" s="10"/>
      <c r="AQ38" s="10"/>
      <c r="AR38" s="10"/>
      <c r="AS38" s="10"/>
      <c r="AT38" s="10"/>
      <c r="AU38" s="10"/>
      <c r="AV38" s="10"/>
      <c r="AW38" s="10"/>
      <c r="AX38" s="10"/>
      <c r="AY38" s="10"/>
      <c r="AZ38" s="10"/>
      <c r="BA38" s="10"/>
      <c r="BB38" s="10"/>
      <c r="BC38" s="10"/>
      <c r="BD38" s="10"/>
      <c r="BE38" s="10"/>
      <c r="BF38" s="11"/>
    </row>
    <row r="39" spans="1:58" s="114" customFormat="1">
      <c r="A39" s="128"/>
      <c r="B39" s="128" t="s">
        <v>258</v>
      </c>
      <c r="C39" s="972"/>
      <c r="D39" s="972"/>
      <c r="E39" s="972"/>
      <c r="F39" s="972"/>
      <c r="G39" s="972"/>
      <c r="H39" s="972"/>
      <c r="I39" s="11">
        <v>35.5</v>
      </c>
      <c r="J39" s="331">
        <v>29</v>
      </c>
      <c r="K39" s="10">
        <v>31.3</v>
      </c>
      <c r="L39" s="10">
        <v>35.4</v>
      </c>
      <c r="M39" s="10">
        <v>35.1</v>
      </c>
      <c r="N39" s="10">
        <v>35.299999999999997</v>
      </c>
      <c r="O39" s="10">
        <v>35</v>
      </c>
      <c r="P39" s="10">
        <v>35</v>
      </c>
      <c r="Q39" s="10">
        <v>36.1</v>
      </c>
      <c r="R39" s="10">
        <v>36.200000000000003</v>
      </c>
      <c r="S39" s="10">
        <v>35.200000000000003</v>
      </c>
      <c r="T39" s="10">
        <v>34.1</v>
      </c>
      <c r="U39" s="10">
        <v>32.9</v>
      </c>
      <c r="V39" s="10">
        <v>30.8</v>
      </c>
      <c r="W39" s="10">
        <v>29.5</v>
      </c>
      <c r="X39" s="10">
        <v>29.7</v>
      </c>
      <c r="Y39" s="10">
        <v>30.1</v>
      </c>
      <c r="Z39" s="10">
        <v>30.4</v>
      </c>
      <c r="AA39" s="25">
        <v>29.2</v>
      </c>
      <c r="AB39" s="25">
        <v>27.4</v>
      </c>
      <c r="AC39" s="10"/>
      <c r="AD39" s="10">
        <f>((((J39/I39))^(1/8))-1)*100</f>
        <v>-2.4962754608006454</v>
      </c>
      <c r="AE39" s="10">
        <f>((((U39/J39))^(1/11))-1)*100</f>
        <v>1.1536660541835886</v>
      </c>
      <c r="AF39" s="10">
        <f t="shared" si="0"/>
        <v>-0.99116938075257677</v>
      </c>
      <c r="AG39" s="10">
        <f t="shared" si="1"/>
        <v>-2.5794299676010768</v>
      </c>
      <c r="AH39" s="25"/>
      <c r="AI39" s="10">
        <f t="shared" si="2"/>
        <v>-22.816901408450708</v>
      </c>
      <c r="AL39" s="114" t="s">
        <v>817</v>
      </c>
      <c r="AM39" s="11">
        <v>35.5</v>
      </c>
      <c r="AN39" s="331">
        <v>29</v>
      </c>
      <c r="AO39" s="10">
        <v>31.3</v>
      </c>
      <c r="AP39" s="10">
        <v>35.4</v>
      </c>
      <c r="AQ39" s="10">
        <v>35.1</v>
      </c>
      <c r="AR39" s="10">
        <v>35.299999999999997</v>
      </c>
      <c r="AS39" s="10">
        <v>35</v>
      </c>
      <c r="AT39" s="10">
        <v>35</v>
      </c>
      <c r="AU39" s="10">
        <v>36.1</v>
      </c>
      <c r="AV39" s="10">
        <v>36.200000000000003</v>
      </c>
      <c r="AW39" s="10">
        <v>35.200000000000003</v>
      </c>
      <c r="AX39" s="10">
        <v>34.1</v>
      </c>
      <c r="AY39" s="10">
        <v>32.9</v>
      </c>
      <c r="AZ39" s="10">
        <v>30.8</v>
      </c>
      <c r="BA39" s="10">
        <v>29.5</v>
      </c>
      <c r="BB39" s="10">
        <v>29.7</v>
      </c>
      <c r="BC39" s="10">
        <v>30.1</v>
      </c>
      <c r="BD39" s="10">
        <v>30.4</v>
      </c>
      <c r="BE39" s="10">
        <v>29.2</v>
      </c>
      <c r="BF39" s="11">
        <v>27.4</v>
      </c>
    </row>
    <row r="40" spans="1:58" s="114" customFormat="1">
      <c r="A40" s="972"/>
      <c r="B40" s="972"/>
      <c r="C40" s="972"/>
      <c r="D40" s="972"/>
      <c r="E40" s="972"/>
      <c r="F40" s="972"/>
      <c r="G40" s="972"/>
      <c r="H40" s="972"/>
      <c r="I40" s="11"/>
      <c r="J40" s="331"/>
      <c r="K40" s="10"/>
      <c r="L40" s="10"/>
      <c r="M40" s="10"/>
      <c r="N40" s="10"/>
      <c r="O40" s="10"/>
      <c r="P40" s="10"/>
      <c r="Q40" s="10"/>
      <c r="R40" s="10"/>
      <c r="S40" s="10"/>
      <c r="T40" s="10"/>
      <c r="U40" s="10"/>
      <c r="V40" s="10"/>
      <c r="W40" s="10"/>
      <c r="X40" s="10"/>
      <c r="Y40" s="10"/>
      <c r="Z40" s="10"/>
      <c r="AA40" s="25"/>
      <c r="AB40" s="25"/>
      <c r="AC40" s="10"/>
      <c r="AD40" s="10"/>
      <c r="AE40" s="10"/>
      <c r="AF40" s="10"/>
      <c r="AG40" s="10"/>
      <c r="AH40" s="25"/>
      <c r="AI40" s="10"/>
      <c r="AL40" s="972"/>
      <c r="AM40" s="11"/>
      <c r="AN40" s="331"/>
      <c r="AO40" s="10"/>
      <c r="AP40" s="10"/>
      <c r="AQ40" s="10"/>
      <c r="AR40" s="10"/>
      <c r="AS40" s="10"/>
      <c r="AT40" s="10"/>
      <c r="AU40" s="10"/>
      <c r="AV40" s="10"/>
      <c r="AW40" s="10"/>
      <c r="AX40" s="10"/>
      <c r="AY40" s="10"/>
      <c r="AZ40" s="10"/>
      <c r="BA40" s="10"/>
      <c r="BB40" s="10"/>
      <c r="BC40" s="10"/>
      <c r="BD40" s="10"/>
      <c r="BE40" s="10"/>
      <c r="BF40" s="11"/>
    </row>
    <row r="41" spans="1:58" s="114" customFormat="1">
      <c r="A41" s="972"/>
      <c r="B41" s="972"/>
      <c r="C41" s="972" t="s">
        <v>30</v>
      </c>
      <c r="D41" s="972"/>
      <c r="E41" s="972"/>
      <c r="F41" s="972"/>
      <c r="G41" s="972"/>
      <c r="H41" s="972"/>
      <c r="I41" s="11">
        <v>27.2</v>
      </c>
      <c r="J41" s="331">
        <v>24.2</v>
      </c>
      <c r="K41" s="10">
        <v>28.2</v>
      </c>
      <c r="L41" s="10">
        <v>33.200000000000003</v>
      </c>
      <c r="M41" s="10">
        <v>33.4</v>
      </c>
      <c r="N41" s="10">
        <v>34.4</v>
      </c>
      <c r="O41" s="10">
        <v>33</v>
      </c>
      <c r="P41" s="10">
        <v>34.1</v>
      </c>
      <c r="Q41" s="10">
        <v>34.700000000000003</v>
      </c>
      <c r="R41" s="10">
        <v>35.6</v>
      </c>
      <c r="S41" s="10">
        <v>33.799999999999997</v>
      </c>
      <c r="T41" s="10">
        <v>33</v>
      </c>
      <c r="U41" s="10">
        <v>30</v>
      </c>
      <c r="V41" s="10">
        <v>28.4</v>
      </c>
      <c r="W41" s="10">
        <v>27.1</v>
      </c>
      <c r="X41" s="10">
        <v>28.4</v>
      </c>
      <c r="Y41" s="10">
        <v>29.2</v>
      </c>
      <c r="Z41" s="10">
        <v>29.8</v>
      </c>
      <c r="AA41" s="25">
        <v>28.8</v>
      </c>
      <c r="AB41" s="25">
        <v>27.4</v>
      </c>
      <c r="AC41" s="10"/>
      <c r="AD41" s="10">
        <f>((((J41/I41))^(1/8))-1)*100</f>
        <v>-1.4501862719434544</v>
      </c>
      <c r="AE41" s="10">
        <f>((((U41/J41))^(1/11))-1)*100</f>
        <v>1.9723325276792325</v>
      </c>
      <c r="AF41" s="10">
        <f t="shared" si="0"/>
        <v>2.8181047388509128E-2</v>
      </c>
      <c r="AG41" s="10">
        <f t="shared" si="1"/>
        <v>-1.2867125548003067</v>
      </c>
      <c r="AH41" s="25"/>
      <c r="AI41" s="10">
        <f t="shared" si="2"/>
        <v>0.73529411764705621</v>
      </c>
      <c r="AL41" s="114" t="s">
        <v>1942</v>
      </c>
      <c r="AM41" s="11">
        <v>27.2</v>
      </c>
      <c r="AN41" s="331">
        <v>24.2</v>
      </c>
      <c r="AO41" s="10">
        <v>28.2</v>
      </c>
      <c r="AP41" s="10">
        <v>33.200000000000003</v>
      </c>
      <c r="AQ41" s="10">
        <v>33.4</v>
      </c>
      <c r="AR41" s="10">
        <v>34.4</v>
      </c>
      <c r="AS41" s="10">
        <v>33</v>
      </c>
      <c r="AT41" s="10">
        <v>34.1</v>
      </c>
      <c r="AU41" s="10">
        <v>34.700000000000003</v>
      </c>
      <c r="AV41" s="10">
        <v>35.6</v>
      </c>
      <c r="AW41" s="10">
        <v>33.799999999999997</v>
      </c>
      <c r="AX41" s="10">
        <v>33</v>
      </c>
      <c r="AY41" s="10">
        <v>30</v>
      </c>
      <c r="AZ41" s="10">
        <v>28.4</v>
      </c>
      <c r="BA41" s="10">
        <v>27.1</v>
      </c>
      <c r="BB41" s="10">
        <v>28.4</v>
      </c>
      <c r="BC41" s="10">
        <v>29.2</v>
      </c>
      <c r="BD41" s="10">
        <v>29.8</v>
      </c>
      <c r="BE41" s="10">
        <v>28.8</v>
      </c>
      <c r="BF41" s="11">
        <v>27.4</v>
      </c>
    </row>
    <row r="42" spans="1:58" s="114" customFormat="1">
      <c r="A42" s="972"/>
      <c r="B42" s="972"/>
      <c r="C42" s="972" t="s">
        <v>31</v>
      </c>
      <c r="D42" s="972"/>
      <c r="E42" s="972"/>
      <c r="F42" s="972"/>
      <c r="G42" s="972"/>
      <c r="H42" s="972"/>
      <c r="I42" s="11">
        <v>42.5</v>
      </c>
      <c r="J42" s="331">
        <v>33.200000000000003</v>
      </c>
      <c r="K42" s="10">
        <v>34.200000000000003</v>
      </c>
      <c r="L42" s="10">
        <v>37.299999999999997</v>
      </c>
      <c r="M42" s="10">
        <v>36.6</v>
      </c>
      <c r="N42" s="10">
        <v>36.1</v>
      </c>
      <c r="O42" s="10">
        <v>36.9</v>
      </c>
      <c r="P42" s="10">
        <v>35.9</v>
      </c>
      <c r="Q42" s="10">
        <v>37.6</v>
      </c>
      <c r="R42" s="10">
        <v>36.9</v>
      </c>
      <c r="S42" s="10">
        <v>36.5</v>
      </c>
      <c r="T42" s="10">
        <v>35.200000000000003</v>
      </c>
      <c r="U42" s="10">
        <v>35.700000000000003</v>
      </c>
      <c r="V42" s="10">
        <v>33.299999999999997</v>
      </c>
      <c r="W42" s="10">
        <v>32</v>
      </c>
      <c r="X42" s="10">
        <v>30.9</v>
      </c>
      <c r="Y42" s="10">
        <v>31</v>
      </c>
      <c r="Z42" s="10">
        <v>31</v>
      </c>
      <c r="AA42" s="25">
        <v>29.6</v>
      </c>
      <c r="AB42" s="25">
        <v>27.5</v>
      </c>
      <c r="AC42" s="10"/>
      <c r="AD42" s="10">
        <f>((((J42/I42))^(1/8))-1)*100</f>
        <v>-3.0397683946587151</v>
      </c>
      <c r="AE42" s="10">
        <f>((((U42/J42))^(1/11))-1)*100</f>
        <v>0.66219023811495692</v>
      </c>
      <c r="AF42" s="10">
        <f t="shared" si="0"/>
        <v>-1.6603617662710013</v>
      </c>
      <c r="AG42" s="10">
        <f t="shared" si="1"/>
        <v>-3.6594300868084573</v>
      </c>
      <c r="AH42" s="25"/>
      <c r="AI42" s="10">
        <f t="shared" si="2"/>
        <v>-35.294117647058819</v>
      </c>
      <c r="AL42" s="114" t="s">
        <v>1943</v>
      </c>
      <c r="AM42" s="11">
        <v>42.5</v>
      </c>
      <c r="AN42" s="331">
        <v>33.200000000000003</v>
      </c>
      <c r="AO42" s="10">
        <v>34.200000000000003</v>
      </c>
      <c r="AP42" s="10">
        <v>37.299999999999997</v>
      </c>
      <c r="AQ42" s="10">
        <v>36.6</v>
      </c>
      <c r="AR42" s="10">
        <v>36.1</v>
      </c>
      <c r="AS42" s="10">
        <v>36.9</v>
      </c>
      <c r="AT42" s="10">
        <v>35.9</v>
      </c>
      <c r="AU42" s="10">
        <v>37.6</v>
      </c>
      <c r="AV42" s="10">
        <v>36.9</v>
      </c>
      <c r="AW42" s="10">
        <v>36.5</v>
      </c>
      <c r="AX42" s="10">
        <v>35.200000000000003</v>
      </c>
      <c r="AY42" s="10">
        <v>35.700000000000003</v>
      </c>
      <c r="AZ42" s="10">
        <v>33.299999999999997</v>
      </c>
      <c r="BA42" s="10">
        <v>32</v>
      </c>
      <c r="BB42" s="10">
        <v>30.9</v>
      </c>
      <c r="BC42" s="10">
        <v>31</v>
      </c>
      <c r="BD42" s="10">
        <v>31</v>
      </c>
      <c r="BE42" s="10">
        <v>29.6</v>
      </c>
      <c r="BF42" s="11">
        <v>27.5</v>
      </c>
    </row>
    <row r="43" spans="1:58" s="114" customFormat="1">
      <c r="A43" s="972"/>
      <c r="B43" s="972"/>
      <c r="C43" s="972"/>
      <c r="D43" s="972"/>
      <c r="E43" s="972"/>
      <c r="F43" s="972"/>
      <c r="G43" s="972"/>
      <c r="H43" s="972"/>
      <c r="I43" s="11"/>
      <c r="J43" s="331"/>
      <c r="K43" s="10"/>
      <c r="L43" s="10"/>
      <c r="M43" s="10"/>
      <c r="N43" s="10"/>
      <c r="O43" s="10"/>
      <c r="P43" s="10"/>
      <c r="Q43" s="10"/>
      <c r="R43" s="10"/>
      <c r="S43" s="10"/>
      <c r="T43" s="10"/>
      <c r="U43" s="10"/>
      <c r="V43" s="10"/>
      <c r="W43" s="10"/>
      <c r="X43" s="10"/>
      <c r="Y43" s="10"/>
      <c r="Z43" s="10"/>
      <c r="AA43" s="25"/>
      <c r="AB43" s="25"/>
      <c r="AC43" s="10"/>
      <c r="AD43" s="10"/>
      <c r="AE43" s="10"/>
      <c r="AF43" s="10"/>
      <c r="AG43" s="10"/>
      <c r="AH43" s="25"/>
      <c r="AI43" s="10"/>
      <c r="AL43" s="972"/>
      <c r="AM43" s="11"/>
      <c r="AN43" s="331"/>
      <c r="AO43" s="10"/>
      <c r="AP43" s="10"/>
      <c r="AQ43" s="10"/>
      <c r="AR43" s="10"/>
      <c r="AS43" s="10"/>
      <c r="AT43" s="10"/>
      <c r="AU43" s="10"/>
      <c r="AV43" s="10"/>
      <c r="AW43" s="10"/>
      <c r="AX43" s="10"/>
      <c r="AY43" s="10"/>
      <c r="AZ43" s="10"/>
      <c r="BA43" s="10"/>
      <c r="BB43" s="10"/>
      <c r="BC43" s="10"/>
      <c r="BD43" s="10"/>
      <c r="BE43" s="10"/>
      <c r="BF43" s="11"/>
    </row>
    <row r="44" spans="1:58" s="114" customFormat="1">
      <c r="A44" s="972"/>
      <c r="B44" s="972"/>
      <c r="C44" s="972" t="s">
        <v>1202</v>
      </c>
      <c r="D44" s="972"/>
      <c r="E44" s="972"/>
      <c r="F44" s="972"/>
      <c r="G44" s="972"/>
      <c r="H44" s="972"/>
      <c r="I44" s="11">
        <v>49.7</v>
      </c>
      <c r="J44" s="331">
        <v>28.8</v>
      </c>
      <c r="K44" s="10">
        <v>28.1</v>
      </c>
      <c r="L44" s="10">
        <v>29.1</v>
      </c>
      <c r="M44" s="10">
        <v>25.9</v>
      </c>
      <c r="N44" s="10">
        <v>27.4</v>
      </c>
      <c r="O44" s="10">
        <v>22.6</v>
      </c>
      <c r="P44" s="10">
        <v>24.1</v>
      </c>
      <c r="Q44" s="10">
        <v>25.4</v>
      </c>
      <c r="R44" s="10">
        <v>22.4</v>
      </c>
      <c r="S44" s="10">
        <v>20.9</v>
      </c>
      <c r="T44" s="10">
        <v>21.1</v>
      </c>
      <c r="U44" s="10">
        <v>20.6</v>
      </c>
      <c r="V44" s="10">
        <v>18.100000000000001</v>
      </c>
      <c r="W44" s="10">
        <v>19.399999999999999</v>
      </c>
      <c r="X44" s="10">
        <v>17.7</v>
      </c>
      <c r="Y44" s="10">
        <v>15.4</v>
      </c>
      <c r="Z44" s="10">
        <v>18.5</v>
      </c>
      <c r="AA44" s="25">
        <v>15.5</v>
      </c>
      <c r="AB44" s="25">
        <v>13.9</v>
      </c>
      <c r="AC44" s="10"/>
      <c r="AD44" s="10">
        <f>((((J44/I44))^(1/8))-1)*100</f>
        <v>-6.5929809590048567</v>
      </c>
      <c r="AE44" s="10">
        <f>((((U44/J44))^(1/11))-1)*100</f>
        <v>-3.0002912554184968</v>
      </c>
      <c r="AF44" s="10">
        <f t="shared" si="0"/>
        <v>-4.7823121889366877</v>
      </c>
      <c r="AG44" s="10">
        <f t="shared" si="1"/>
        <v>-5.4650254952959498</v>
      </c>
      <c r="AH44" s="25"/>
      <c r="AI44" s="10">
        <f t="shared" si="2"/>
        <v>-72.032193158953731</v>
      </c>
      <c r="AL44" s="114" t="s">
        <v>1944</v>
      </c>
      <c r="AM44" s="11">
        <v>49.7</v>
      </c>
      <c r="AN44" s="331">
        <v>28.8</v>
      </c>
      <c r="AO44" s="10">
        <v>28.1</v>
      </c>
      <c r="AP44" s="10">
        <v>29.1</v>
      </c>
      <c r="AQ44" s="10">
        <v>25.9</v>
      </c>
      <c r="AR44" s="10">
        <v>27.4</v>
      </c>
      <c r="AS44" s="10">
        <v>22.6</v>
      </c>
      <c r="AT44" s="10">
        <v>24.1</v>
      </c>
      <c r="AU44" s="10">
        <v>25.4</v>
      </c>
      <c r="AV44" s="10">
        <v>22.4</v>
      </c>
      <c r="AW44" s="10">
        <v>20.9</v>
      </c>
      <c r="AX44" s="10">
        <v>21.1</v>
      </c>
      <c r="AY44" s="10">
        <v>20.6</v>
      </c>
      <c r="AZ44" s="10">
        <v>18.100000000000001</v>
      </c>
      <c r="BA44" s="10">
        <v>19.399999999999999</v>
      </c>
      <c r="BB44" s="10">
        <v>17.7</v>
      </c>
      <c r="BC44" s="10">
        <v>15.4</v>
      </c>
      <c r="BD44" s="10">
        <v>18.5</v>
      </c>
      <c r="BE44" s="10">
        <v>15.5</v>
      </c>
      <c r="BF44" s="11">
        <v>13.9</v>
      </c>
    </row>
    <row r="45" spans="1:58" s="114" customFormat="1">
      <c r="A45" s="972"/>
      <c r="B45" s="972"/>
      <c r="C45" s="972"/>
      <c r="D45" s="972" t="s">
        <v>1200</v>
      </c>
      <c r="E45" s="972"/>
      <c r="F45" s="972"/>
      <c r="G45" s="972"/>
      <c r="H45" s="972"/>
      <c r="I45" s="11">
        <v>39</v>
      </c>
      <c r="J45" s="331">
        <v>18.8</v>
      </c>
      <c r="K45" s="10">
        <v>20.7</v>
      </c>
      <c r="L45" s="10">
        <v>23.8</v>
      </c>
      <c r="M45" s="10">
        <v>16.899999999999999</v>
      </c>
      <c r="N45" s="10">
        <v>20</v>
      </c>
      <c r="O45" s="10">
        <v>13.3</v>
      </c>
      <c r="P45" s="10">
        <v>14.4</v>
      </c>
      <c r="Q45" s="10">
        <v>17.7</v>
      </c>
      <c r="R45" s="10">
        <v>17</v>
      </c>
      <c r="S45" s="10">
        <v>17.5</v>
      </c>
      <c r="T45" s="10">
        <v>17.2</v>
      </c>
      <c r="U45" s="10">
        <v>17.600000000000001</v>
      </c>
      <c r="V45" s="10">
        <v>16.8</v>
      </c>
      <c r="W45" s="10">
        <v>15.9</v>
      </c>
      <c r="X45" s="10">
        <v>14.7</v>
      </c>
      <c r="Y45" s="10">
        <v>11.5</v>
      </c>
      <c r="Z45" s="10">
        <v>13.6</v>
      </c>
      <c r="AA45" s="25">
        <v>14</v>
      </c>
      <c r="AB45" s="25">
        <v>13</v>
      </c>
      <c r="AC45" s="10"/>
      <c r="AD45" s="10">
        <f>((((J45/I45))^(1/8))-1)*100</f>
        <v>-8.7176829740644664</v>
      </c>
      <c r="AE45" s="10">
        <f>((((U45/J45))^(1/11))-1)*100</f>
        <v>-0.59782376869877973</v>
      </c>
      <c r="AF45" s="10">
        <f t="shared" si="0"/>
        <v>-4.1374047028317822</v>
      </c>
      <c r="AG45" s="10">
        <f t="shared" si="1"/>
        <v>-4.235535720884986</v>
      </c>
      <c r="AH45" s="25"/>
      <c r="AI45" s="10">
        <f t="shared" si="2"/>
        <v>-66.666666666666671</v>
      </c>
      <c r="AL45" s="114" t="s">
        <v>1945</v>
      </c>
      <c r="AM45" s="11">
        <v>39</v>
      </c>
      <c r="AN45" s="331">
        <v>18.8</v>
      </c>
      <c r="AO45" s="10">
        <v>20.7</v>
      </c>
      <c r="AP45" s="10">
        <v>23.8</v>
      </c>
      <c r="AQ45" s="10">
        <v>16.899999999999999</v>
      </c>
      <c r="AR45" s="10">
        <v>20</v>
      </c>
      <c r="AS45" s="10">
        <v>13.3</v>
      </c>
      <c r="AT45" s="10">
        <v>14.4</v>
      </c>
      <c r="AU45" s="10">
        <v>17.7</v>
      </c>
      <c r="AV45" s="10">
        <v>17</v>
      </c>
      <c r="AW45" s="10">
        <v>17.5</v>
      </c>
      <c r="AX45" s="10">
        <v>17.2</v>
      </c>
      <c r="AY45" s="10">
        <v>17.600000000000001</v>
      </c>
      <c r="AZ45" s="10">
        <v>16.8</v>
      </c>
      <c r="BA45" s="10">
        <v>15.9</v>
      </c>
      <c r="BB45" s="10">
        <v>14.7</v>
      </c>
      <c r="BC45" s="10">
        <v>11.5</v>
      </c>
      <c r="BD45" s="10">
        <v>13.6</v>
      </c>
      <c r="BE45" s="10">
        <v>14</v>
      </c>
      <c r="BF45" s="11">
        <v>13</v>
      </c>
    </row>
    <row r="46" spans="1:58" s="114" customFormat="1">
      <c r="A46" s="972"/>
      <c r="B46" s="972"/>
      <c r="C46" s="972"/>
      <c r="D46" s="972" t="s">
        <v>1201</v>
      </c>
      <c r="E46" s="972"/>
      <c r="F46" s="972"/>
      <c r="G46" s="972"/>
      <c r="H46" s="972"/>
      <c r="I46" s="11">
        <v>53.5</v>
      </c>
      <c r="J46" s="331">
        <v>31.9</v>
      </c>
      <c r="K46" s="10">
        <v>30.5</v>
      </c>
      <c r="L46" s="10">
        <v>30.9</v>
      </c>
      <c r="M46" s="10">
        <v>28.8</v>
      </c>
      <c r="N46" s="10">
        <v>29.9</v>
      </c>
      <c r="O46" s="10">
        <v>25.6</v>
      </c>
      <c r="P46" s="10">
        <v>27.3</v>
      </c>
      <c r="Q46" s="10">
        <v>28.1</v>
      </c>
      <c r="R46" s="10">
        <v>24.3</v>
      </c>
      <c r="S46" s="10">
        <v>22.1</v>
      </c>
      <c r="T46" s="10">
        <v>22.5</v>
      </c>
      <c r="U46" s="10">
        <v>21.7</v>
      </c>
      <c r="V46" s="10">
        <v>18.600000000000001</v>
      </c>
      <c r="W46" s="10">
        <v>20.7</v>
      </c>
      <c r="X46" s="10">
        <v>18.899999999999999</v>
      </c>
      <c r="Y46" s="10">
        <v>16.899999999999999</v>
      </c>
      <c r="Z46" s="10">
        <v>20.3</v>
      </c>
      <c r="AA46" s="25">
        <v>16.100000000000001</v>
      </c>
      <c r="AB46" s="25">
        <v>14.3</v>
      </c>
      <c r="AC46" s="10"/>
      <c r="AD46" s="10">
        <f>((((J46/I46))^(1/8))-1)*100</f>
        <v>-6.2589934163845946</v>
      </c>
      <c r="AE46" s="10">
        <f>((((U46/J46))^(1/11))-1)*100</f>
        <v>-3.4420369385535943</v>
      </c>
      <c r="AF46" s="10">
        <f t="shared" si="0"/>
        <v>-4.9480882812202083</v>
      </c>
      <c r="AG46" s="10">
        <f t="shared" si="1"/>
        <v>-5.7838862830854492</v>
      </c>
      <c r="AH46" s="25"/>
      <c r="AI46" s="10">
        <f t="shared" si="2"/>
        <v>-73.271028037383161</v>
      </c>
      <c r="AL46" s="114" t="s">
        <v>1946</v>
      </c>
      <c r="AM46" s="11">
        <v>53.5</v>
      </c>
      <c r="AN46" s="331">
        <v>31.9</v>
      </c>
      <c r="AO46" s="10">
        <v>30.5</v>
      </c>
      <c r="AP46" s="10">
        <v>30.9</v>
      </c>
      <c r="AQ46" s="10">
        <v>28.8</v>
      </c>
      <c r="AR46" s="10">
        <v>29.9</v>
      </c>
      <c r="AS46" s="10">
        <v>25.6</v>
      </c>
      <c r="AT46" s="10">
        <v>27.3</v>
      </c>
      <c r="AU46" s="10">
        <v>28.1</v>
      </c>
      <c r="AV46" s="10">
        <v>24.3</v>
      </c>
      <c r="AW46" s="10">
        <v>22.1</v>
      </c>
      <c r="AX46" s="10">
        <v>22.5</v>
      </c>
      <c r="AY46" s="10">
        <v>21.7</v>
      </c>
      <c r="AZ46" s="10">
        <v>18.600000000000001</v>
      </c>
      <c r="BA46" s="10">
        <v>20.7</v>
      </c>
      <c r="BB46" s="10">
        <v>18.899999999999999</v>
      </c>
      <c r="BC46" s="10">
        <v>16.899999999999999</v>
      </c>
      <c r="BD46" s="10">
        <v>20.3</v>
      </c>
      <c r="BE46" s="10">
        <v>16.100000000000001</v>
      </c>
      <c r="BF46" s="11">
        <v>14.3</v>
      </c>
    </row>
    <row r="47" spans="1:58" s="114" customFormat="1">
      <c r="A47" s="972"/>
      <c r="B47" s="972"/>
      <c r="C47" s="972"/>
      <c r="D47" s="972"/>
      <c r="E47" s="972"/>
      <c r="F47" s="972"/>
      <c r="G47" s="972"/>
      <c r="H47" s="972"/>
      <c r="I47" s="11"/>
      <c r="J47" s="331"/>
      <c r="K47" s="10"/>
      <c r="L47" s="10"/>
      <c r="M47" s="10"/>
      <c r="N47" s="10"/>
      <c r="O47" s="10"/>
      <c r="P47" s="10"/>
      <c r="Q47" s="10"/>
      <c r="R47" s="10"/>
      <c r="S47" s="10"/>
      <c r="T47" s="10"/>
      <c r="U47" s="10"/>
      <c r="V47" s="10"/>
      <c r="W47" s="10"/>
      <c r="X47" s="10"/>
      <c r="Y47" s="10"/>
      <c r="Z47" s="10"/>
      <c r="AA47" s="25"/>
      <c r="AB47" s="25"/>
      <c r="AC47" s="10"/>
      <c r="AD47" s="10"/>
      <c r="AE47" s="10"/>
      <c r="AF47" s="10"/>
      <c r="AG47" s="10"/>
      <c r="AH47" s="25"/>
      <c r="AI47" s="10"/>
      <c r="AL47" s="972"/>
      <c r="AM47" s="11"/>
      <c r="AN47" s="331"/>
      <c r="AO47" s="10"/>
      <c r="AP47" s="10"/>
      <c r="AQ47" s="10"/>
      <c r="AR47" s="10"/>
      <c r="AS47" s="10"/>
      <c r="AT47" s="10"/>
      <c r="AU47" s="10"/>
      <c r="AV47" s="10"/>
      <c r="AW47" s="10"/>
      <c r="AX47" s="10"/>
      <c r="AY47" s="10"/>
      <c r="AZ47" s="10"/>
      <c r="BA47" s="10"/>
      <c r="BB47" s="10"/>
      <c r="BC47" s="10"/>
      <c r="BD47" s="10"/>
      <c r="BE47" s="10"/>
      <c r="BF47" s="11"/>
    </row>
    <row r="48" spans="1:58" s="114" customFormat="1">
      <c r="A48" s="972"/>
      <c r="B48" s="972"/>
      <c r="C48" s="972" t="s">
        <v>259</v>
      </c>
      <c r="D48" s="972"/>
      <c r="E48" s="972"/>
      <c r="F48" s="972"/>
      <c r="G48" s="972"/>
      <c r="H48" s="972"/>
      <c r="I48" s="11">
        <v>29.8</v>
      </c>
      <c r="J48" s="331">
        <v>29.1</v>
      </c>
      <c r="K48" s="10">
        <v>32.6</v>
      </c>
      <c r="L48" s="10">
        <v>37.700000000000003</v>
      </c>
      <c r="M48" s="10">
        <v>38.5</v>
      </c>
      <c r="N48" s="10">
        <v>38.299999999999997</v>
      </c>
      <c r="O48" s="10">
        <v>39.700000000000003</v>
      </c>
      <c r="P48" s="10">
        <v>39.1</v>
      </c>
      <c r="Q48" s="10">
        <v>40.4</v>
      </c>
      <c r="R48" s="10">
        <v>41.6</v>
      </c>
      <c r="S48" s="10">
        <v>40.4</v>
      </c>
      <c r="T48" s="10">
        <v>38.799999999999997</v>
      </c>
      <c r="U48" s="10">
        <v>37.299999999999997</v>
      </c>
      <c r="V48" s="10">
        <v>35.299999999999997</v>
      </c>
      <c r="W48" s="10">
        <v>33.200000000000003</v>
      </c>
      <c r="X48" s="10">
        <v>33.9</v>
      </c>
      <c r="Y48" s="10">
        <v>35</v>
      </c>
      <c r="Z48" s="10">
        <v>34.299999999999997</v>
      </c>
      <c r="AA48" s="25">
        <v>33.700000000000003</v>
      </c>
      <c r="AB48" s="25">
        <v>32</v>
      </c>
      <c r="AC48" s="10"/>
      <c r="AD48" s="10">
        <f>((((J48/I48))^(1/8))-1)*100</f>
        <v>-0.29668675407316103</v>
      </c>
      <c r="AE48" s="10">
        <f>((((U48/J48))^(1/11))-1)*100</f>
        <v>2.2825248937514697</v>
      </c>
      <c r="AF48" s="10">
        <f t="shared" si="0"/>
        <v>0.27432755008165444</v>
      </c>
      <c r="AG48" s="10">
        <f t="shared" si="1"/>
        <v>-2.1655985463235439</v>
      </c>
      <c r="AH48" s="25"/>
      <c r="AI48" s="10">
        <f t="shared" si="2"/>
        <v>7.3825503355704702</v>
      </c>
      <c r="AL48" s="114" t="s">
        <v>1947</v>
      </c>
      <c r="AM48" s="11">
        <v>29.8</v>
      </c>
      <c r="AN48" s="331">
        <v>29.1</v>
      </c>
      <c r="AO48" s="10">
        <v>32.6</v>
      </c>
      <c r="AP48" s="10">
        <v>37.700000000000003</v>
      </c>
      <c r="AQ48" s="10">
        <v>38.5</v>
      </c>
      <c r="AR48" s="10">
        <v>38.299999999999997</v>
      </c>
      <c r="AS48" s="10">
        <v>39.700000000000003</v>
      </c>
      <c r="AT48" s="10">
        <v>39.1</v>
      </c>
      <c r="AU48" s="10">
        <v>40.4</v>
      </c>
      <c r="AV48" s="10">
        <v>41.6</v>
      </c>
      <c r="AW48" s="10">
        <v>40.4</v>
      </c>
      <c r="AX48" s="10">
        <v>38.799999999999997</v>
      </c>
      <c r="AY48" s="10">
        <v>37.299999999999997</v>
      </c>
      <c r="AZ48" s="10">
        <v>35.299999999999997</v>
      </c>
      <c r="BA48" s="10">
        <v>33.200000000000003</v>
      </c>
      <c r="BB48" s="10">
        <v>33.9</v>
      </c>
      <c r="BC48" s="10">
        <v>35</v>
      </c>
      <c r="BD48" s="10">
        <v>34.299999999999997</v>
      </c>
      <c r="BE48" s="10">
        <v>33.700000000000003</v>
      </c>
      <c r="BF48" s="11">
        <v>32</v>
      </c>
    </row>
    <row r="49" spans="1:58" s="114" customFormat="1">
      <c r="A49" s="972"/>
      <c r="B49" s="972"/>
      <c r="C49" s="972"/>
      <c r="D49" s="972" t="s">
        <v>1200</v>
      </c>
      <c r="E49" s="972"/>
      <c r="F49" s="972"/>
      <c r="G49" s="972"/>
      <c r="H49" s="972"/>
      <c r="I49" s="11">
        <v>24.8</v>
      </c>
      <c r="J49" s="331">
        <v>25</v>
      </c>
      <c r="K49" s="10">
        <v>29.4</v>
      </c>
      <c r="L49" s="10">
        <v>34.799999999999997</v>
      </c>
      <c r="M49" s="10">
        <v>36</v>
      </c>
      <c r="N49" s="10">
        <v>36.799999999999997</v>
      </c>
      <c r="O49" s="10">
        <v>36.1</v>
      </c>
      <c r="P49" s="10">
        <v>37.299999999999997</v>
      </c>
      <c r="Q49" s="10">
        <v>37.700000000000003</v>
      </c>
      <c r="R49" s="10">
        <v>38.700000000000003</v>
      </c>
      <c r="S49" s="10">
        <v>36.5</v>
      </c>
      <c r="T49" s="10">
        <v>35.5</v>
      </c>
      <c r="U49" s="10">
        <v>32.1</v>
      </c>
      <c r="V49" s="10">
        <v>30.3</v>
      </c>
      <c r="W49" s="10">
        <v>29</v>
      </c>
      <c r="X49" s="10">
        <v>30.7</v>
      </c>
      <c r="Y49" s="10">
        <v>32</v>
      </c>
      <c r="Z49" s="10">
        <v>32.299999999999997</v>
      </c>
      <c r="AA49" s="25">
        <v>31.2</v>
      </c>
      <c r="AB49" s="25">
        <v>29.7</v>
      </c>
      <c r="AC49" s="10"/>
      <c r="AD49" s="10">
        <f>((((J49/I49))^(1/8))-1)*100</f>
        <v>0.10045256604340747</v>
      </c>
      <c r="AE49" s="10">
        <f>((((U49/J49))^(1/11))-1)*100</f>
        <v>2.2985664020565677</v>
      </c>
      <c r="AF49" s="10">
        <f t="shared" si="0"/>
        <v>0.69588469001213848</v>
      </c>
      <c r="AG49" s="10">
        <f t="shared" si="1"/>
        <v>-1.1039891614089248</v>
      </c>
      <c r="AH49" s="25"/>
      <c r="AI49" s="10">
        <f t="shared" si="2"/>
        <v>19.758064516129025</v>
      </c>
      <c r="AL49" s="114" t="s">
        <v>1948</v>
      </c>
      <c r="AM49" s="11">
        <v>24.8</v>
      </c>
      <c r="AN49" s="331">
        <v>25</v>
      </c>
      <c r="AO49" s="10">
        <v>29.4</v>
      </c>
      <c r="AP49" s="10">
        <v>34.799999999999997</v>
      </c>
      <c r="AQ49" s="10">
        <v>36</v>
      </c>
      <c r="AR49" s="10">
        <v>36.799999999999997</v>
      </c>
      <c r="AS49" s="10">
        <v>36.1</v>
      </c>
      <c r="AT49" s="10">
        <v>37.299999999999997</v>
      </c>
      <c r="AU49" s="10">
        <v>37.700000000000003</v>
      </c>
      <c r="AV49" s="10">
        <v>38.700000000000003</v>
      </c>
      <c r="AW49" s="10">
        <v>36.5</v>
      </c>
      <c r="AX49" s="10">
        <v>35.5</v>
      </c>
      <c r="AY49" s="10">
        <v>32.1</v>
      </c>
      <c r="AZ49" s="10">
        <v>30.3</v>
      </c>
      <c r="BA49" s="10">
        <v>29</v>
      </c>
      <c r="BB49" s="10">
        <v>30.7</v>
      </c>
      <c r="BC49" s="10">
        <v>32</v>
      </c>
      <c r="BD49" s="10">
        <v>32.299999999999997</v>
      </c>
      <c r="BE49" s="10">
        <v>31.2</v>
      </c>
      <c r="BF49" s="11">
        <v>29.7</v>
      </c>
    </row>
    <row r="50" spans="1:58" s="114" customFormat="1">
      <c r="A50" s="972"/>
      <c r="B50" s="972"/>
      <c r="C50" s="972"/>
      <c r="D50" s="972" t="s">
        <v>1201</v>
      </c>
      <c r="E50" s="972"/>
      <c r="F50" s="972"/>
      <c r="G50" s="972"/>
      <c r="H50" s="972"/>
      <c r="I50" s="11">
        <v>35.6</v>
      </c>
      <c r="J50" s="331">
        <v>34.1</v>
      </c>
      <c r="K50" s="10">
        <v>36.799999999999997</v>
      </c>
      <c r="L50" s="10">
        <v>41.5</v>
      </c>
      <c r="M50" s="10">
        <v>41.9</v>
      </c>
      <c r="N50" s="10">
        <v>40.5</v>
      </c>
      <c r="O50" s="10">
        <v>44.6</v>
      </c>
      <c r="P50" s="10">
        <v>41.7</v>
      </c>
      <c r="Q50" s="10">
        <v>44.2</v>
      </c>
      <c r="R50" s="10">
        <v>45.6</v>
      </c>
      <c r="S50" s="10">
        <v>45.8</v>
      </c>
      <c r="T50" s="10">
        <v>43.6</v>
      </c>
      <c r="U50" s="10">
        <v>44.3</v>
      </c>
      <c r="V50" s="10">
        <v>42.2</v>
      </c>
      <c r="W50" s="10">
        <v>39</v>
      </c>
      <c r="X50" s="10">
        <v>38.1</v>
      </c>
      <c r="Y50" s="10">
        <v>39.299999999999997</v>
      </c>
      <c r="Z50" s="10">
        <v>37.1</v>
      </c>
      <c r="AA50" s="25">
        <v>37.1</v>
      </c>
      <c r="AB50" s="25">
        <v>35.1</v>
      </c>
      <c r="AC50" s="10"/>
      <c r="AD50" s="10">
        <f>((((J50/I50))^(1/8))-1)*100</f>
        <v>-0.5366579878522959</v>
      </c>
      <c r="AE50" s="10">
        <f>((((U50/J50))^(1/11))-1)*100</f>
        <v>2.4074987470116715</v>
      </c>
      <c r="AF50" s="10">
        <f t="shared" si="0"/>
        <v>-5.4387156306701101E-2</v>
      </c>
      <c r="AG50" s="10">
        <f t="shared" si="1"/>
        <v>-3.2707930448925171</v>
      </c>
      <c r="AH50" s="25"/>
      <c r="AI50" s="10">
        <f t="shared" si="2"/>
        <v>-1.4044943820224698</v>
      </c>
      <c r="AL50" s="114" t="s">
        <v>1949</v>
      </c>
      <c r="AM50" s="11">
        <v>35.6</v>
      </c>
      <c r="AN50" s="331">
        <v>34.1</v>
      </c>
      <c r="AO50" s="10">
        <v>36.799999999999997</v>
      </c>
      <c r="AP50" s="10">
        <v>41.5</v>
      </c>
      <c r="AQ50" s="10">
        <v>41.9</v>
      </c>
      <c r="AR50" s="10">
        <v>40.5</v>
      </c>
      <c r="AS50" s="10">
        <v>44.6</v>
      </c>
      <c r="AT50" s="10">
        <v>41.7</v>
      </c>
      <c r="AU50" s="10">
        <v>44.2</v>
      </c>
      <c r="AV50" s="10">
        <v>45.6</v>
      </c>
      <c r="AW50" s="10">
        <v>45.8</v>
      </c>
      <c r="AX50" s="10">
        <v>43.6</v>
      </c>
      <c r="AY50" s="10">
        <v>44.3</v>
      </c>
      <c r="AZ50" s="10">
        <v>42.2</v>
      </c>
      <c r="BA50" s="10">
        <v>39</v>
      </c>
      <c r="BB50" s="10">
        <v>38.1</v>
      </c>
      <c r="BC50" s="10">
        <v>39.299999999999997</v>
      </c>
      <c r="BD50" s="10">
        <v>37.1</v>
      </c>
      <c r="BE50" s="10">
        <v>37.1</v>
      </c>
      <c r="BF50" s="11">
        <v>35.1</v>
      </c>
    </row>
    <row r="51" spans="1:58">
      <c r="I51" s="39"/>
      <c r="J51" s="39"/>
      <c r="K51" s="19"/>
      <c r="L51" s="19"/>
      <c r="M51" s="19"/>
      <c r="N51" s="19"/>
      <c r="O51" s="19"/>
      <c r="P51" s="19"/>
      <c r="Q51" s="19"/>
      <c r="R51" s="19"/>
      <c r="S51" s="19"/>
      <c r="T51" s="19"/>
      <c r="U51" s="19"/>
      <c r="V51" s="19"/>
      <c r="W51" s="19"/>
      <c r="X51" s="19"/>
      <c r="Y51" s="19"/>
      <c r="AD51" s="10"/>
      <c r="AE51" s="10"/>
      <c r="AF51" s="10"/>
      <c r="AG51" s="10"/>
      <c r="AH51" s="25"/>
      <c r="AI51" s="10"/>
    </row>
    <row r="53" spans="1:58" ht="24" customHeight="1">
      <c r="A53" s="1170" t="s">
        <v>534</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c r="AI53" s="1170"/>
    </row>
    <row r="54" spans="1:58" ht="12.75" customHeight="1">
      <c r="A54" s="13" t="s">
        <v>388</v>
      </c>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c r="AA54" s="643"/>
      <c r="AB54" s="966"/>
      <c r="AC54" s="966"/>
      <c r="AD54" s="643"/>
      <c r="AE54" s="643"/>
      <c r="AF54" s="643"/>
      <c r="AG54" s="643"/>
      <c r="AH54" s="643"/>
      <c r="AI54" s="643"/>
    </row>
    <row r="55" spans="1:58">
      <c r="A55" s="4" t="s">
        <v>1868</v>
      </c>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974"/>
      <c r="AC55" s="974"/>
      <c r="AD55" s="16"/>
      <c r="AE55" s="16"/>
      <c r="AF55" s="16"/>
      <c r="AG55" s="16"/>
      <c r="AH55" s="16"/>
      <c r="AI55" s="16"/>
    </row>
    <row r="56" spans="1:58" ht="29.25" customHeight="1">
      <c r="A56" s="1188" t="s">
        <v>653</v>
      </c>
      <c r="B56" s="1189"/>
      <c r="C56" s="1189"/>
      <c r="D56" s="1189"/>
      <c r="E56" s="1189"/>
      <c r="F56" s="1189"/>
      <c r="G56" s="1189"/>
      <c r="H56" s="1189"/>
      <c r="I56" s="1189"/>
      <c r="J56" s="1189"/>
      <c r="K56" s="1189"/>
      <c r="L56" s="1189"/>
      <c r="M56" s="1189"/>
      <c r="N56" s="1189"/>
      <c r="O56" s="1189"/>
      <c r="P56" s="1189"/>
      <c r="Q56" s="1189"/>
      <c r="R56" s="1189"/>
      <c r="S56" s="1189"/>
      <c r="T56" s="1189"/>
      <c r="U56" s="1189"/>
      <c r="V56" s="1189"/>
      <c r="W56" s="1189"/>
      <c r="X56" s="1189"/>
      <c r="Y56" s="1189"/>
      <c r="Z56" s="1189"/>
      <c r="AA56" s="1189"/>
      <c r="AB56" s="1189"/>
      <c r="AC56" s="1189"/>
      <c r="AD56" s="1189"/>
      <c r="AE56" s="1189"/>
      <c r="AF56" s="1189"/>
      <c r="AG56" s="1189"/>
      <c r="AH56" s="1189"/>
      <c r="AI56" s="1189"/>
    </row>
    <row r="57" spans="1:58" ht="30.75" customHeight="1">
      <c r="A57" s="1168" t="s">
        <v>148</v>
      </c>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c r="AI57" s="1169"/>
    </row>
    <row r="58" spans="1:58">
      <c r="A58" s="1" t="s">
        <v>820</v>
      </c>
    </row>
  </sheetData>
  <mergeCells count="5">
    <mergeCell ref="A57:AI57"/>
    <mergeCell ref="A1:AD1"/>
    <mergeCell ref="AD3:AG3"/>
    <mergeCell ref="A53:AI53"/>
    <mergeCell ref="A56:AI56"/>
  </mergeCells>
  <phoneticPr fontId="35" type="noConversion"/>
  <pageMargins left="0.75" right="0.75" top="1" bottom="1" header="0.5" footer="0.5"/>
  <pageSetup scale="52" orientation="landscape" horizontalDpi="300" verticalDpi="300" r:id="rId1"/>
  <headerFooter alignWithMargins="0"/>
</worksheet>
</file>

<file path=xl/worksheets/sheet85.xml><?xml version="1.0" encoding="utf-8"?>
<worksheet xmlns="http://schemas.openxmlformats.org/spreadsheetml/2006/main" xmlns:r="http://schemas.openxmlformats.org/officeDocument/2006/relationships">
  <sheetPr codeName="Sheet10">
    <pageSetUpPr fitToPage="1"/>
  </sheetPr>
  <dimension ref="A1:AJ45"/>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8.7109375" style="2" customWidth="1"/>
    <col min="2" max="2" width="9.85546875" style="972" bestFit="1" customWidth="1"/>
    <col min="3" max="12" width="9.7109375" style="972" bestFit="1" customWidth="1"/>
    <col min="13" max="16384" width="9.140625" style="972"/>
  </cols>
  <sheetData>
    <row r="1" spans="1:25" ht="15.75">
      <c r="A1" s="4"/>
      <c r="B1" s="3" t="s">
        <v>2169</v>
      </c>
      <c r="M1" s="4"/>
      <c r="N1" s="4"/>
    </row>
    <row r="2" spans="1:25">
      <c r="A2" s="4"/>
      <c r="B2" s="4"/>
      <c r="M2" s="4"/>
      <c r="N2" s="4"/>
    </row>
    <row r="3" spans="1:25">
      <c r="B3" s="1164" t="s">
        <v>375</v>
      </c>
      <c r="C3" s="1164" t="s">
        <v>377</v>
      </c>
      <c r="D3" s="1164" t="s">
        <v>386</v>
      </c>
      <c r="E3" s="1164" t="s">
        <v>378</v>
      </c>
      <c r="F3" s="1164" t="s">
        <v>379</v>
      </c>
      <c r="G3" s="1164" t="s">
        <v>380</v>
      </c>
      <c r="H3" s="1164" t="s">
        <v>381</v>
      </c>
      <c r="I3" s="1164" t="s">
        <v>382</v>
      </c>
      <c r="J3" s="1164" t="s">
        <v>383</v>
      </c>
      <c r="K3" s="1164" t="s">
        <v>384</v>
      </c>
      <c r="L3" s="1164" t="s">
        <v>385</v>
      </c>
      <c r="M3" s="4"/>
      <c r="N3" s="4" t="s">
        <v>1851</v>
      </c>
      <c r="O3" s="972" t="s">
        <v>1918</v>
      </c>
      <c r="P3" s="972" t="s">
        <v>1919</v>
      </c>
    </row>
    <row r="4" spans="1:25">
      <c r="A4" s="7"/>
      <c r="B4" s="1165"/>
      <c r="C4" s="1165"/>
      <c r="D4" s="1165"/>
      <c r="E4" s="1165"/>
      <c r="F4" s="1165"/>
      <c r="G4" s="1165"/>
      <c r="H4" s="1165"/>
      <c r="I4" s="1165"/>
      <c r="J4" s="1165"/>
      <c r="K4" s="1165"/>
      <c r="L4" s="1165"/>
      <c r="M4" s="4"/>
      <c r="N4" s="4"/>
      <c r="O4" s="972" t="s">
        <v>375</v>
      </c>
      <c r="P4" s="972" t="s">
        <v>1858</v>
      </c>
      <c r="Q4" s="972" t="s">
        <v>1859</v>
      </c>
      <c r="R4" s="972" t="s">
        <v>1860</v>
      </c>
      <c r="S4" s="972" t="s">
        <v>1861</v>
      </c>
      <c r="T4" s="972" t="s">
        <v>1862</v>
      </c>
      <c r="U4" s="972" t="s">
        <v>1863</v>
      </c>
      <c r="V4" s="972" t="s">
        <v>1864</v>
      </c>
      <c r="W4" s="972" t="s">
        <v>1865</v>
      </c>
      <c r="X4" s="972" t="s">
        <v>1866</v>
      </c>
      <c r="Y4" s="972" t="s">
        <v>1867</v>
      </c>
    </row>
    <row r="5" spans="1:25">
      <c r="A5" s="2">
        <v>1981</v>
      </c>
      <c r="B5" s="429">
        <v>6700</v>
      </c>
      <c r="C5" s="429">
        <v>5800</v>
      </c>
      <c r="D5" s="429">
        <v>4500</v>
      </c>
      <c r="E5" s="429">
        <v>5100</v>
      </c>
      <c r="F5" s="429">
        <v>5400</v>
      </c>
      <c r="G5" s="429">
        <v>6700</v>
      </c>
      <c r="H5" s="429">
        <v>6500</v>
      </c>
      <c r="I5" s="429">
        <v>7600</v>
      </c>
      <c r="J5" s="429">
        <v>6000</v>
      </c>
      <c r="K5" s="429">
        <v>7800</v>
      </c>
      <c r="L5" s="429">
        <v>7200</v>
      </c>
      <c r="M5" s="4"/>
      <c r="N5" s="2">
        <v>1981</v>
      </c>
      <c r="O5" s="429">
        <v>6700</v>
      </c>
      <c r="P5" s="429">
        <v>5800</v>
      </c>
      <c r="Q5" s="429">
        <v>4500</v>
      </c>
      <c r="R5" s="429">
        <v>5100</v>
      </c>
      <c r="S5" s="429">
        <v>5400</v>
      </c>
      <c r="T5" s="429">
        <v>6700</v>
      </c>
      <c r="U5" s="429">
        <v>6500</v>
      </c>
      <c r="V5" s="429">
        <v>7600</v>
      </c>
      <c r="W5" s="429">
        <v>6000</v>
      </c>
      <c r="X5" s="429">
        <v>7800</v>
      </c>
      <c r="Y5" s="429">
        <v>7200</v>
      </c>
    </row>
    <row r="6" spans="1:25">
      <c r="A6" s="2">
        <v>1982</v>
      </c>
      <c r="B6" s="429">
        <v>6800</v>
      </c>
      <c r="C6" s="429">
        <v>6100</v>
      </c>
      <c r="D6" s="429">
        <v>4100</v>
      </c>
      <c r="E6" s="429">
        <v>5900</v>
      </c>
      <c r="F6" s="429">
        <v>5600</v>
      </c>
      <c r="G6" s="429">
        <v>6600</v>
      </c>
      <c r="H6" s="429">
        <v>7000</v>
      </c>
      <c r="I6" s="429">
        <v>6900</v>
      </c>
      <c r="J6" s="429">
        <v>6000</v>
      </c>
      <c r="K6" s="429">
        <v>7000</v>
      </c>
      <c r="L6" s="429">
        <v>7500</v>
      </c>
      <c r="M6" s="4"/>
      <c r="N6" s="2">
        <v>1982</v>
      </c>
      <c r="O6" s="429">
        <v>6800</v>
      </c>
      <c r="P6" s="429">
        <v>6100</v>
      </c>
      <c r="Q6" s="429">
        <v>4100</v>
      </c>
      <c r="R6" s="429">
        <v>5900</v>
      </c>
      <c r="S6" s="429">
        <v>5600</v>
      </c>
      <c r="T6" s="429">
        <v>6600</v>
      </c>
      <c r="U6" s="429">
        <v>7000</v>
      </c>
      <c r="V6" s="429">
        <v>6900</v>
      </c>
      <c r="W6" s="429">
        <v>6000</v>
      </c>
      <c r="X6" s="429">
        <v>7000</v>
      </c>
      <c r="Y6" s="429">
        <v>7500</v>
      </c>
    </row>
    <row r="7" spans="1:25">
      <c r="A7" s="2">
        <v>1983</v>
      </c>
      <c r="B7" s="429">
        <v>6900</v>
      </c>
      <c r="C7" s="429">
        <v>6000</v>
      </c>
      <c r="D7" s="429">
        <v>4400</v>
      </c>
      <c r="E7" s="429">
        <v>6300</v>
      </c>
      <c r="F7" s="429">
        <v>6300</v>
      </c>
      <c r="G7" s="429">
        <v>7000</v>
      </c>
      <c r="H7" s="429">
        <v>6900</v>
      </c>
      <c r="I7" s="429">
        <v>7400</v>
      </c>
      <c r="J7" s="429">
        <v>5500</v>
      </c>
      <c r="K7" s="429">
        <v>7600</v>
      </c>
      <c r="L7" s="429">
        <v>6600</v>
      </c>
      <c r="M7" s="4"/>
      <c r="N7" s="2">
        <v>1983</v>
      </c>
      <c r="O7" s="429">
        <v>6900</v>
      </c>
      <c r="P7" s="429">
        <v>6000</v>
      </c>
      <c r="Q7" s="429">
        <v>4400</v>
      </c>
      <c r="R7" s="429">
        <v>6300</v>
      </c>
      <c r="S7" s="429">
        <v>6300</v>
      </c>
      <c r="T7" s="429">
        <v>7000</v>
      </c>
      <c r="U7" s="429">
        <v>6900</v>
      </c>
      <c r="V7" s="429">
        <v>7400</v>
      </c>
      <c r="W7" s="429">
        <v>5500</v>
      </c>
      <c r="X7" s="429">
        <v>7600</v>
      </c>
      <c r="Y7" s="429">
        <v>6600</v>
      </c>
    </row>
    <row r="8" spans="1:25">
      <c r="A8" s="2">
        <v>1984</v>
      </c>
      <c r="B8" s="429">
        <v>7000</v>
      </c>
      <c r="C8" s="429">
        <v>6700</v>
      </c>
      <c r="D8" s="429">
        <v>5800</v>
      </c>
      <c r="E8" s="429">
        <v>5900</v>
      </c>
      <c r="F8" s="429">
        <v>5900</v>
      </c>
      <c r="G8" s="429">
        <v>6900</v>
      </c>
      <c r="H8" s="429">
        <v>7000</v>
      </c>
      <c r="I8" s="429">
        <v>7700</v>
      </c>
      <c r="J8" s="429">
        <v>6100</v>
      </c>
      <c r="K8" s="429">
        <v>8400</v>
      </c>
      <c r="L8" s="429">
        <v>6800</v>
      </c>
      <c r="M8" s="4"/>
      <c r="N8" s="2">
        <v>1984</v>
      </c>
      <c r="O8" s="429">
        <v>7000</v>
      </c>
      <c r="P8" s="429">
        <v>6700</v>
      </c>
      <c r="Q8" s="429">
        <v>5800</v>
      </c>
      <c r="R8" s="429">
        <v>5900</v>
      </c>
      <c r="S8" s="429">
        <v>5900</v>
      </c>
      <c r="T8" s="429">
        <v>6900</v>
      </c>
      <c r="U8" s="429">
        <v>7000</v>
      </c>
      <c r="V8" s="429">
        <v>7700</v>
      </c>
      <c r="W8" s="429">
        <v>6100</v>
      </c>
      <c r="X8" s="429">
        <v>8400</v>
      </c>
      <c r="Y8" s="429">
        <v>6800</v>
      </c>
    </row>
    <row r="9" spans="1:25">
      <c r="A9" s="2">
        <v>1985</v>
      </c>
      <c r="B9" s="429">
        <v>6700</v>
      </c>
      <c r="C9" s="429">
        <v>6600</v>
      </c>
      <c r="D9" s="429">
        <v>5000</v>
      </c>
      <c r="E9" s="429">
        <v>5700</v>
      </c>
      <c r="F9" s="429">
        <v>5600</v>
      </c>
      <c r="G9" s="429">
        <v>6300</v>
      </c>
      <c r="H9" s="429">
        <v>6800</v>
      </c>
      <c r="I9" s="429">
        <v>7000</v>
      </c>
      <c r="J9" s="429">
        <v>7200</v>
      </c>
      <c r="K9" s="429">
        <v>7100</v>
      </c>
      <c r="L9" s="429">
        <v>7000</v>
      </c>
      <c r="M9" s="4"/>
      <c r="N9" s="2">
        <v>1985</v>
      </c>
      <c r="O9" s="429">
        <v>6700</v>
      </c>
      <c r="P9" s="429">
        <v>6600</v>
      </c>
      <c r="Q9" s="429">
        <v>5000</v>
      </c>
      <c r="R9" s="429">
        <v>5700</v>
      </c>
      <c r="S9" s="429">
        <v>5600</v>
      </c>
      <c r="T9" s="429">
        <v>6300</v>
      </c>
      <c r="U9" s="429">
        <v>6800</v>
      </c>
      <c r="V9" s="429">
        <v>7000</v>
      </c>
      <c r="W9" s="429">
        <v>7200</v>
      </c>
      <c r="X9" s="429">
        <v>7100</v>
      </c>
      <c r="Y9" s="429">
        <v>7000</v>
      </c>
    </row>
    <row r="10" spans="1:25">
      <c r="A10" s="2">
        <v>1986</v>
      </c>
      <c r="B10" s="429">
        <v>6500</v>
      </c>
      <c r="C10" s="429">
        <v>6300</v>
      </c>
      <c r="D10" s="429">
        <v>4100</v>
      </c>
      <c r="E10" s="429">
        <v>5700</v>
      </c>
      <c r="F10" s="429">
        <v>5300</v>
      </c>
      <c r="G10" s="429">
        <v>6300</v>
      </c>
      <c r="H10" s="429">
        <v>6900</v>
      </c>
      <c r="I10" s="429">
        <v>7400</v>
      </c>
      <c r="J10" s="429">
        <v>6400</v>
      </c>
      <c r="K10" s="429">
        <v>7100</v>
      </c>
      <c r="L10" s="429">
        <v>6400</v>
      </c>
      <c r="M10" s="4"/>
      <c r="N10" s="2">
        <v>1986</v>
      </c>
      <c r="O10" s="429">
        <v>6500</v>
      </c>
      <c r="P10" s="429">
        <v>6300</v>
      </c>
      <c r="Q10" s="429">
        <v>4100</v>
      </c>
      <c r="R10" s="429">
        <v>5700</v>
      </c>
      <c r="S10" s="429">
        <v>5300</v>
      </c>
      <c r="T10" s="429">
        <v>6300</v>
      </c>
      <c r="U10" s="429">
        <v>6900</v>
      </c>
      <c r="V10" s="429">
        <v>7400</v>
      </c>
      <c r="W10" s="429">
        <v>6400</v>
      </c>
      <c r="X10" s="429">
        <v>7100</v>
      </c>
      <c r="Y10" s="429">
        <v>6400</v>
      </c>
    </row>
    <row r="11" spans="1:25">
      <c r="A11" s="2">
        <v>1987</v>
      </c>
      <c r="B11" s="429">
        <v>6600</v>
      </c>
      <c r="C11" s="429">
        <v>6700</v>
      </c>
      <c r="D11" s="429">
        <v>4800</v>
      </c>
      <c r="E11" s="429">
        <v>5800</v>
      </c>
      <c r="F11" s="429">
        <v>5200</v>
      </c>
      <c r="G11" s="429">
        <v>6300</v>
      </c>
      <c r="H11" s="429">
        <v>6700</v>
      </c>
      <c r="I11" s="429">
        <v>7000</v>
      </c>
      <c r="J11" s="429">
        <v>6300</v>
      </c>
      <c r="K11" s="429">
        <v>7600</v>
      </c>
      <c r="L11" s="429">
        <v>6900</v>
      </c>
      <c r="M11" s="4"/>
      <c r="N11" s="2">
        <v>1987</v>
      </c>
      <c r="O11" s="429">
        <v>6600</v>
      </c>
      <c r="P11" s="429">
        <v>6700</v>
      </c>
      <c r="Q11" s="429">
        <v>4800</v>
      </c>
      <c r="R11" s="429">
        <v>5800</v>
      </c>
      <c r="S11" s="429">
        <v>5200</v>
      </c>
      <c r="T11" s="429">
        <v>6300</v>
      </c>
      <c r="U11" s="429">
        <v>6700</v>
      </c>
      <c r="V11" s="429">
        <v>7000</v>
      </c>
      <c r="W11" s="429">
        <v>6300</v>
      </c>
      <c r="X11" s="429">
        <v>7600</v>
      </c>
      <c r="Y11" s="429">
        <v>6900</v>
      </c>
    </row>
    <row r="12" spans="1:25">
      <c r="A12" s="2">
        <v>1988</v>
      </c>
      <c r="B12" s="429">
        <v>6300</v>
      </c>
      <c r="C12" s="429">
        <v>5700</v>
      </c>
      <c r="D12" s="429">
        <v>4200</v>
      </c>
      <c r="E12" s="429">
        <v>5300</v>
      </c>
      <c r="F12" s="429">
        <v>4800</v>
      </c>
      <c r="G12" s="429">
        <v>6000</v>
      </c>
      <c r="H12" s="429">
        <v>6700</v>
      </c>
      <c r="I12" s="429">
        <v>7000</v>
      </c>
      <c r="J12" s="429">
        <v>6400</v>
      </c>
      <c r="K12" s="429">
        <v>7100</v>
      </c>
      <c r="L12" s="429">
        <v>6000</v>
      </c>
      <c r="M12" s="4"/>
      <c r="N12" s="2">
        <v>1988</v>
      </c>
      <c r="O12" s="429">
        <v>6300</v>
      </c>
      <c r="P12" s="429">
        <v>5700</v>
      </c>
      <c r="Q12" s="429">
        <v>4200</v>
      </c>
      <c r="R12" s="429">
        <v>5300</v>
      </c>
      <c r="S12" s="429">
        <v>4800</v>
      </c>
      <c r="T12" s="429">
        <v>6000</v>
      </c>
      <c r="U12" s="429">
        <v>6700</v>
      </c>
      <c r="V12" s="429">
        <v>7000</v>
      </c>
      <c r="W12" s="429">
        <v>6400</v>
      </c>
      <c r="X12" s="429">
        <v>7100</v>
      </c>
      <c r="Y12" s="429">
        <v>6000</v>
      </c>
    </row>
    <row r="13" spans="1:25">
      <c r="A13" s="2">
        <v>1989</v>
      </c>
      <c r="B13" s="429">
        <v>6200</v>
      </c>
      <c r="C13" s="429">
        <v>5900</v>
      </c>
      <c r="D13" s="429">
        <v>4600</v>
      </c>
      <c r="E13" s="429">
        <v>4600</v>
      </c>
      <c r="F13" s="429">
        <v>5000</v>
      </c>
      <c r="G13" s="429">
        <v>5700</v>
      </c>
      <c r="H13" s="429">
        <v>6200</v>
      </c>
      <c r="I13" s="429">
        <v>6700</v>
      </c>
      <c r="J13" s="429">
        <v>6500</v>
      </c>
      <c r="K13" s="429">
        <v>7800</v>
      </c>
      <c r="L13" s="429">
        <v>6400</v>
      </c>
      <c r="N13" s="2">
        <v>1989</v>
      </c>
      <c r="O13" s="429">
        <v>6200</v>
      </c>
      <c r="P13" s="429">
        <v>5900</v>
      </c>
      <c r="Q13" s="429">
        <v>4600</v>
      </c>
      <c r="R13" s="429">
        <v>4600</v>
      </c>
      <c r="S13" s="429">
        <v>5000</v>
      </c>
      <c r="T13" s="429">
        <v>5700</v>
      </c>
      <c r="U13" s="429">
        <v>6200</v>
      </c>
      <c r="V13" s="429">
        <v>6700</v>
      </c>
      <c r="W13" s="429">
        <v>6500</v>
      </c>
      <c r="X13" s="429">
        <v>7800</v>
      </c>
      <c r="Y13" s="429">
        <v>6400</v>
      </c>
    </row>
    <row r="14" spans="1:25">
      <c r="A14" s="2">
        <v>1990</v>
      </c>
      <c r="B14" s="429">
        <v>6500</v>
      </c>
      <c r="C14" s="429">
        <v>5900</v>
      </c>
      <c r="D14" s="429">
        <v>4500</v>
      </c>
      <c r="E14" s="429">
        <v>5400</v>
      </c>
      <c r="F14" s="429">
        <v>5200</v>
      </c>
      <c r="G14" s="429">
        <v>5800</v>
      </c>
      <c r="H14" s="429">
        <v>6900</v>
      </c>
      <c r="I14" s="429">
        <v>6900</v>
      </c>
      <c r="J14" s="429">
        <v>7400</v>
      </c>
      <c r="K14" s="429">
        <v>7000</v>
      </c>
      <c r="L14" s="429">
        <v>7500</v>
      </c>
      <c r="N14" s="2">
        <v>1990</v>
      </c>
      <c r="O14" s="429">
        <v>6500</v>
      </c>
      <c r="P14" s="429">
        <v>5900</v>
      </c>
      <c r="Q14" s="429">
        <v>4500</v>
      </c>
      <c r="R14" s="429">
        <v>5400</v>
      </c>
      <c r="S14" s="429">
        <v>5200</v>
      </c>
      <c r="T14" s="429">
        <v>5800</v>
      </c>
      <c r="U14" s="429">
        <v>6900</v>
      </c>
      <c r="V14" s="429">
        <v>6900</v>
      </c>
      <c r="W14" s="429">
        <v>7400</v>
      </c>
      <c r="X14" s="429">
        <v>7000</v>
      </c>
      <c r="Y14" s="429">
        <v>7500</v>
      </c>
    </row>
    <row r="15" spans="1:25">
      <c r="A15" s="2">
        <v>1991</v>
      </c>
      <c r="B15" s="429">
        <v>6600</v>
      </c>
      <c r="C15" s="429">
        <v>7400</v>
      </c>
      <c r="D15" s="429">
        <v>5000</v>
      </c>
      <c r="E15" s="429">
        <v>5300</v>
      </c>
      <c r="F15" s="429">
        <v>5400</v>
      </c>
      <c r="G15" s="429">
        <v>6300</v>
      </c>
      <c r="H15" s="429">
        <v>6700</v>
      </c>
      <c r="I15" s="429">
        <v>7200</v>
      </c>
      <c r="J15" s="429">
        <v>6900</v>
      </c>
      <c r="K15" s="429">
        <v>7500</v>
      </c>
      <c r="L15" s="429">
        <v>6400</v>
      </c>
      <c r="N15" s="2">
        <v>1991</v>
      </c>
      <c r="O15" s="429">
        <v>6600</v>
      </c>
      <c r="P15" s="429">
        <v>7400</v>
      </c>
      <c r="Q15" s="429">
        <v>5000</v>
      </c>
      <c r="R15" s="429">
        <v>5300</v>
      </c>
      <c r="S15" s="429">
        <v>5400</v>
      </c>
      <c r="T15" s="429">
        <v>6300</v>
      </c>
      <c r="U15" s="429">
        <v>6700</v>
      </c>
      <c r="V15" s="429">
        <v>7200</v>
      </c>
      <c r="W15" s="429">
        <v>6900</v>
      </c>
      <c r="X15" s="429">
        <v>7500</v>
      </c>
      <c r="Y15" s="429">
        <v>6400</v>
      </c>
    </row>
    <row r="16" spans="1:25">
      <c r="A16" s="2">
        <v>1992</v>
      </c>
      <c r="B16" s="429">
        <v>6500</v>
      </c>
      <c r="C16" s="429">
        <v>6400</v>
      </c>
      <c r="D16" s="429">
        <v>5600</v>
      </c>
      <c r="E16" s="429">
        <v>4800</v>
      </c>
      <c r="F16" s="429">
        <v>5100</v>
      </c>
      <c r="G16" s="429">
        <v>6100</v>
      </c>
      <c r="H16" s="429">
        <v>6600</v>
      </c>
      <c r="I16" s="429">
        <v>7300</v>
      </c>
      <c r="J16" s="429">
        <v>6700</v>
      </c>
      <c r="K16" s="429">
        <v>7500</v>
      </c>
      <c r="L16" s="429">
        <v>6900</v>
      </c>
      <c r="N16" s="2">
        <v>1992</v>
      </c>
      <c r="O16" s="429">
        <v>6500</v>
      </c>
      <c r="P16" s="429">
        <v>6400</v>
      </c>
      <c r="Q16" s="429">
        <v>5600</v>
      </c>
      <c r="R16" s="429">
        <v>4800</v>
      </c>
      <c r="S16" s="429">
        <v>5100</v>
      </c>
      <c r="T16" s="429">
        <v>6100</v>
      </c>
      <c r="U16" s="429">
        <v>6600</v>
      </c>
      <c r="V16" s="429">
        <v>7300</v>
      </c>
      <c r="W16" s="429">
        <v>6700</v>
      </c>
      <c r="X16" s="429">
        <v>7500</v>
      </c>
      <c r="Y16" s="429">
        <v>6900</v>
      </c>
    </row>
    <row r="17" spans="1:25">
      <c r="A17" s="2">
        <v>1993</v>
      </c>
      <c r="B17" s="429">
        <v>6700</v>
      </c>
      <c r="C17" s="429">
        <v>6100</v>
      </c>
      <c r="D17" s="429">
        <v>4500</v>
      </c>
      <c r="E17" s="429">
        <v>5200</v>
      </c>
      <c r="F17" s="429">
        <v>5600</v>
      </c>
      <c r="G17" s="429">
        <v>6600</v>
      </c>
      <c r="H17" s="429">
        <v>6500</v>
      </c>
      <c r="I17" s="429">
        <v>7100</v>
      </c>
      <c r="J17" s="429">
        <v>6400</v>
      </c>
      <c r="K17" s="429">
        <v>7300</v>
      </c>
      <c r="L17" s="429">
        <v>7100</v>
      </c>
      <c r="N17" s="2">
        <v>1993</v>
      </c>
      <c r="O17" s="429">
        <v>6700</v>
      </c>
      <c r="P17" s="429">
        <v>6100</v>
      </c>
      <c r="Q17" s="429">
        <v>4500</v>
      </c>
      <c r="R17" s="429">
        <v>5200</v>
      </c>
      <c r="S17" s="429">
        <v>5600</v>
      </c>
      <c r="T17" s="429">
        <v>6600</v>
      </c>
      <c r="U17" s="429">
        <v>6500</v>
      </c>
      <c r="V17" s="429">
        <v>7100</v>
      </c>
      <c r="W17" s="429">
        <v>6400</v>
      </c>
      <c r="X17" s="429">
        <v>7300</v>
      </c>
      <c r="Y17" s="429">
        <v>7100</v>
      </c>
    </row>
    <row r="18" spans="1:25">
      <c r="A18" s="2">
        <v>1994</v>
      </c>
      <c r="B18" s="429">
        <v>6700</v>
      </c>
      <c r="C18" s="429">
        <v>5800</v>
      </c>
      <c r="D18" s="429">
        <v>4700</v>
      </c>
      <c r="E18" s="429">
        <v>5500</v>
      </c>
      <c r="F18" s="429">
        <v>5700</v>
      </c>
      <c r="G18" s="429">
        <v>6500</v>
      </c>
      <c r="H18" s="429">
        <v>6800</v>
      </c>
      <c r="I18" s="429">
        <v>7100</v>
      </c>
      <c r="J18" s="429">
        <v>6400</v>
      </c>
      <c r="K18" s="429">
        <v>7300</v>
      </c>
      <c r="L18" s="429">
        <v>6800</v>
      </c>
      <c r="N18" s="2">
        <v>1994</v>
      </c>
      <c r="O18" s="429">
        <v>6700</v>
      </c>
      <c r="P18" s="429">
        <v>5800</v>
      </c>
      <c r="Q18" s="429">
        <v>4700</v>
      </c>
      <c r="R18" s="429">
        <v>5500</v>
      </c>
      <c r="S18" s="429">
        <v>5700</v>
      </c>
      <c r="T18" s="429">
        <v>6500</v>
      </c>
      <c r="U18" s="429">
        <v>6800</v>
      </c>
      <c r="V18" s="429">
        <v>7100</v>
      </c>
      <c r="W18" s="429">
        <v>6400</v>
      </c>
      <c r="X18" s="429">
        <v>7300</v>
      </c>
      <c r="Y18" s="429">
        <v>6800</v>
      </c>
    </row>
    <row r="19" spans="1:25">
      <c r="A19" s="2">
        <v>1995</v>
      </c>
      <c r="B19" s="429">
        <v>6800</v>
      </c>
      <c r="C19" s="429">
        <v>5600</v>
      </c>
      <c r="D19" s="429">
        <v>5500</v>
      </c>
      <c r="E19" s="429">
        <v>5100</v>
      </c>
      <c r="F19" s="429">
        <v>5600</v>
      </c>
      <c r="G19" s="429">
        <v>6900</v>
      </c>
      <c r="H19" s="429">
        <v>6600</v>
      </c>
      <c r="I19" s="429">
        <v>6700</v>
      </c>
      <c r="J19" s="429">
        <v>6900</v>
      </c>
      <c r="K19" s="429">
        <v>7700</v>
      </c>
      <c r="L19" s="429">
        <v>7100</v>
      </c>
      <c r="N19" s="2">
        <v>1995</v>
      </c>
      <c r="O19" s="429">
        <v>6800</v>
      </c>
      <c r="P19" s="429">
        <v>5600</v>
      </c>
      <c r="Q19" s="429">
        <v>5500</v>
      </c>
      <c r="R19" s="429">
        <v>5100</v>
      </c>
      <c r="S19" s="429">
        <v>5600</v>
      </c>
      <c r="T19" s="429">
        <v>6900</v>
      </c>
      <c r="U19" s="429">
        <v>6600</v>
      </c>
      <c r="V19" s="429">
        <v>6700</v>
      </c>
      <c r="W19" s="429">
        <v>6900</v>
      </c>
      <c r="X19" s="429">
        <v>7700</v>
      </c>
      <c r="Y19" s="429">
        <v>7100</v>
      </c>
    </row>
    <row r="20" spans="1:25">
      <c r="A20" s="2">
        <v>1996</v>
      </c>
      <c r="B20" s="429">
        <v>6900</v>
      </c>
      <c r="C20" s="429">
        <v>5700</v>
      </c>
      <c r="D20" s="429">
        <v>5300</v>
      </c>
      <c r="E20" s="429">
        <v>5900</v>
      </c>
      <c r="F20" s="429">
        <v>5500</v>
      </c>
      <c r="G20" s="429">
        <v>6500</v>
      </c>
      <c r="H20" s="429">
        <v>7200</v>
      </c>
      <c r="I20" s="429">
        <v>6800</v>
      </c>
      <c r="J20" s="429">
        <v>6300</v>
      </c>
      <c r="K20" s="429">
        <v>7600</v>
      </c>
      <c r="L20" s="429">
        <v>7700</v>
      </c>
      <c r="N20" s="2">
        <v>1996</v>
      </c>
      <c r="O20" s="429">
        <v>6900</v>
      </c>
      <c r="P20" s="429">
        <v>5700</v>
      </c>
      <c r="Q20" s="429">
        <v>5300</v>
      </c>
      <c r="R20" s="429">
        <v>5900</v>
      </c>
      <c r="S20" s="429">
        <v>5500</v>
      </c>
      <c r="T20" s="429">
        <v>6500</v>
      </c>
      <c r="U20" s="429">
        <v>7200</v>
      </c>
      <c r="V20" s="429">
        <v>6800</v>
      </c>
      <c r="W20" s="429">
        <v>6300</v>
      </c>
      <c r="X20" s="429">
        <v>7600</v>
      </c>
      <c r="Y20" s="429">
        <v>7700</v>
      </c>
    </row>
    <row r="21" spans="1:25">
      <c r="A21" s="2">
        <v>1997</v>
      </c>
      <c r="B21" s="429">
        <v>7100</v>
      </c>
      <c r="C21" s="429">
        <v>6000</v>
      </c>
      <c r="D21" s="429">
        <v>5400</v>
      </c>
      <c r="E21" s="429">
        <v>5800</v>
      </c>
      <c r="F21" s="429">
        <v>5400</v>
      </c>
      <c r="G21" s="429">
        <v>6700</v>
      </c>
      <c r="H21" s="429">
        <v>7500</v>
      </c>
      <c r="I21" s="429">
        <v>6800</v>
      </c>
      <c r="J21" s="429">
        <v>6000</v>
      </c>
      <c r="K21" s="429">
        <v>7700</v>
      </c>
      <c r="L21" s="429">
        <v>7500</v>
      </c>
      <c r="N21" s="2">
        <v>1997</v>
      </c>
      <c r="O21" s="429">
        <v>7100</v>
      </c>
      <c r="P21" s="429">
        <v>6000</v>
      </c>
      <c r="Q21" s="429">
        <v>5400</v>
      </c>
      <c r="R21" s="429">
        <v>5800</v>
      </c>
      <c r="S21" s="429">
        <v>5400</v>
      </c>
      <c r="T21" s="429">
        <v>6700</v>
      </c>
      <c r="U21" s="429">
        <v>7500</v>
      </c>
      <c r="V21" s="429">
        <v>6800</v>
      </c>
      <c r="W21" s="429">
        <v>6000</v>
      </c>
      <c r="X21" s="429">
        <v>7700</v>
      </c>
      <c r="Y21" s="429">
        <v>7500</v>
      </c>
    </row>
    <row r="22" spans="1:25">
      <c r="A22" s="2">
        <v>1998</v>
      </c>
      <c r="B22" s="429">
        <v>7200</v>
      </c>
      <c r="C22" s="429">
        <v>6000</v>
      </c>
      <c r="D22" s="429">
        <v>4500</v>
      </c>
      <c r="E22" s="429">
        <v>5900</v>
      </c>
      <c r="F22" s="429">
        <v>5300</v>
      </c>
      <c r="G22" s="429">
        <v>6900</v>
      </c>
      <c r="H22" s="429">
        <v>7500</v>
      </c>
      <c r="I22" s="429">
        <v>6600</v>
      </c>
      <c r="J22" s="429">
        <v>6300</v>
      </c>
      <c r="K22" s="429">
        <v>7700</v>
      </c>
      <c r="L22" s="429">
        <v>7700</v>
      </c>
      <c r="N22" s="2">
        <v>1998</v>
      </c>
      <c r="O22" s="429">
        <v>7200</v>
      </c>
      <c r="P22" s="429">
        <v>6000</v>
      </c>
      <c r="Q22" s="429">
        <v>4500</v>
      </c>
      <c r="R22" s="429">
        <v>5900</v>
      </c>
      <c r="S22" s="429">
        <v>5300</v>
      </c>
      <c r="T22" s="429">
        <v>6900</v>
      </c>
      <c r="U22" s="429">
        <v>7500</v>
      </c>
      <c r="V22" s="429">
        <v>6600</v>
      </c>
      <c r="W22" s="429">
        <v>6300</v>
      </c>
      <c r="X22" s="429">
        <v>7700</v>
      </c>
      <c r="Y22" s="429">
        <v>7700</v>
      </c>
    </row>
    <row r="23" spans="1:25">
      <c r="A23" s="2">
        <v>1999</v>
      </c>
      <c r="B23" s="429">
        <v>7200</v>
      </c>
      <c r="C23" s="429">
        <v>5500</v>
      </c>
      <c r="D23" s="429">
        <v>4900</v>
      </c>
      <c r="E23" s="429">
        <v>6300</v>
      </c>
      <c r="F23" s="429">
        <v>5600</v>
      </c>
      <c r="G23" s="429">
        <v>6700</v>
      </c>
      <c r="H23" s="429">
        <v>7500</v>
      </c>
      <c r="I23" s="429">
        <v>7100</v>
      </c>
      <c r="J23" s="429">
        <v>6200</v>
      </c>
      <c r="K23" s="429">
        <v>8000</v>
      </c>
      <c r="L23" s="429">
        <v>7700</v>
      </c>
      <c r="N23" s="2">
        <v>1999</v>
      </c>
      <c r="O23" s="429">
        <v>7200</v>
      </c>
      <c r="P23" s="429">
        <v>5500</v>
      </c>
      <c r="Q23" s="429">
        <v>4900</v>
      </c>
      <c r="R23" s="429">
        <v>6300</v>
      </c>
      <c r="S23" s="429">
        <v>5600</v>
      </c>
      <c r="T23" s="429">
        <v>6700</v>
      </c>
      <c r="U23" s="429">
        <v>7500</v>
      </c>
      <c r="V23" s="429">
        <v>7100</v>
      </c>
      <c r="W23" s="429">
        <v>6200</v>
      </c>
      <c r="X23" s="429">
        <v>8000</v>
      </c>
      <c r="Y23" s="429">
        <v>7700</v>
      </c>
    </row>
    <row r="24" spans="1:25">
      <c r="A24" s="2">
        <v>2000</v>
      </c>
      <c r="B24" s="429">
        <v>7000</v>
      </c>
      <c r="C24" s="429">
        <v>5600</v>
      </c>
      <c r="D24" s="429">
        <v>5100</v>
      </c>
      <c r="E24" s="429">
        <v>5600</v>
      </c>
      <c r="F24" s="429">
        <v>5800</v>
      </c>
      <c r="G24" s="429">
        <v>6800</v>
      </c>
      <c r="H24" s="429">
        <v>7200</v>
      </c>
      <c r="I24" s="429">
        <v>6900</v>
      </c>
      <c r="J24" s="429">
        <v>6800</v>
      </c>
      <c r="K24" s="429">
        <v>7700</v>
      </c>
      <c r="L24" s="429">
        <v>7600</v>
      </c>
      <c r="N24" s="2">
        <v>2000</v>
      </c>
      <c r="O24" s="429">
        <v>7000</v>
      </c>
      <c r="P24" s="429">
        <v>5600</v>
      </c>
      <c r="Q24" s="429">
        <v>5100</v>
      </c>
      <c r="R24" s="429">
        <v>5600</v>
      </c>
      <c r="S24" s="429">
        <v>5800</v>
      </c>
      <c r="T24" s="429">
        <v>6800</v>
      </c>
      <c r="U24" s="429">
        <v>7200</v>
      </c>
      <c r="V24" s="429">
        <v>6900</v>
      </c>
      <c r="W24" s="429">
        <v>6800</v>
      </c>
      <c r="X24" s="429">
        <v>7700</v>
      </c>
      <c r="Y24" s="429">
        <v>7600</v>
      </c>
    </row>
    <row r="25" spans="1:25">
      <c r="A25" s="2">
        <v>2001</v>
      </c>
      <c r="B25" s="429">
        <v>6900</v>
      </c>
      <c r="C25" s="429">
        <v>5100</v>
      </c>
      <c r="D25" s="429">
        <v>4600</v>
      </c>
      <c r="E25" s="429">
        <v>6200</v>
      </c>
      <c r="F25" s="429">
        <v>5500</v>
      </c>
      <c r="G25" s="429">
        <v>6300</v>
      </c>
      <c r="H25" s="429">
        <v>7400</v>
      </c>
      <c r="I25" s="429">
        <v>6600</v>
      </c>
      <c r="J25" s="429">
        <v>5900</v>
      </c>
      <c r="K25" s="429">
        <v>7500</v>
      </c>
      <c r="L25" s="429">
        <v>7800</v>
      </c>
      <c r="N25" s="2">
        <v>2001</v>
      </c>
      <c r="O25" s="429">
        <v>6900</v>
      </c>
      <c r="P25" s="429">
        <v>5100</v>
      </c>
      <c r="Q25" s="429">
        <v>4600</v>
      </c>
      <c r="R25" s="429">
        <v>6200</v>
      </c>
      <c r="S25" s="429">
        <v>5500</v>
      </c>
      <c r="T25" s="429">
        <v>6300</v>
      </c>
      <c r="U25" s="429">
        <v>7400</v>
      </c>
      <c r="V25" s="429">
        <v>6600</v>
      </c>
      <c r="W25" s="429">
        <v>5900</v>
      </c>
      <c r="X25" s="429">
        <v>7500</v>
      </c>
      <c r="Y25" s="429">
        <v>7800</v>
      </c>
    </row>
    <row r="26" spans="1:25">
      <c r="A26" s="2">
        <v>2002</v>
      </c>
      <c r="B26" s="429">
        <v>6900</v>
      </c>
      <c r="C26" s="429">
        <v>5700</v>
      </c>
      <c r="D26" s="429">
        <v>4300</v>
      </c>
      <c r="E26" s="429">
        <v>6000</v>
      </c>
      <c r="F26" s="429">
        <v>5400</v>
      </c>
      <c r="G26" s="429">
        <v>6400</v>
      </c>
      <c r="H26" s="429">
        <v>7200</v>
      </c>
      <c r="I26" s="429">
        <v>7800</v>
      </c>
      <c r="J26" s="429">
        <v>5900</v>
      </c>
      <c r="K26" s="429">
        <v>7500</v>
      </c>
      <c r="L26" s="429">
        <v>6900</v>
      </c>
      <c r="N26" s="2">
        <v>2002</v>
      </c>
      <c r="O26" s="429">
        <v>6900</v>
      </c>
      <c r="P26" s="429">
        <v>5700</v>
      </c>
      <c r="Q26" s="429">
        <v>4300</v>
      </c>
      <c r="R26" s="429">
        <v>6000</v>
      </c>
      <c r="S26" s="429">
        <v>5400</v>
      </c>
      <c r="T26" s="429">
        <v>6400</v>
      </c>
      <c r="U26" s="429">
        <v>7200</v>
      </c>
      <c r="V26" s="429">
        <v>7800</v>
      </c>
      <c r="W26" s="429">
        <v>5900</v>
      </c>
      <c r="X26" s="429">
        <v>7500</v>
      </c>
      <c r="Y26" s="429">
        <v>6900</v>
      </c>
    </row>
    <row r="27" spans="1:25">
      <c r="A27" s="2">
        <v>2003</v>
      </c>
      <c r="B27" s="429">
        <v>6900</v>
      </c>
      <c r="C27" s="429">
        <v>5500</v>
      </c>
      <c r="D27" s="429">
        <v>4400</v>
      </c>
      <c r="E27" s="429">
        <v>5900</v>
      </c>
      <c r="F27" s="429">
        <v>6000</v>
      </c>
      <c r="G27" s="429">
        <v>6500</v>
      </c>
      <c r="H27" s="429">
        <v>6800</v>
      </c>
      <c r="I27" s="429">
        <v>6800</v>
      </c>
      <c r="J27" s="429">
        <v>5900</v>
      </c>
      <c r="K27" s="429">
        <v>8100</v>
      </c>
      <c r="L27" s="429">
        <v>7500</v>
      </c>
      <c r="N27" s="2">
        <v>2003</v>
      </c>
      <c r="O27" s="429">
        <v>6900</v>
      </c>
      <c r="P27" s="429">
        <v>5500</v>
      </c>
      <c r="Q27" s="429">
        <v>4400</v>
      </c>
      <c r="R27" s="429">
        <v>5900</v>
      </c>
      <c r="S27" s="429">
        <v>6000</v>
      </c>
      <c r="T27" s="429">
        <v>6500</v>
      </c>
      <c r="U27" s="429">
        <v>6800</v>
      </c>
      <c r="V27" s="429">
        <v>6800</v>
      </c>
      <c r="W27" s="429">
        <v>5900</v>
      </c>
      <c r="X27" s="429">
        <v>8100</v>
      </c>
      <c r="Y27" s="429">
        <v>7500</v>
      </c>
    </row>
    <row r="28" spans="1:25">
      <c r="A28" s="2">
        <v>2004</v>
      </c>
      <c r="B28" s="429">
        <v>6900</v>
      </c>
      <c r="C28" s="429">
        <v>5700</v>
      </c>
      <c r="D28" s="429">
        <v>5300</v>
      </c>
      <c r="E28" s="429">
        <v>6700</v>
      </c>
      <c r="F28" s="429">
        <v>5700</v>
      </c>
      <c r="G28" s="429">
        <v>6100</v>
      </c>
      <c r="H28" s="429">
        <v>7100</v>
      </c>
      <c r="I28" s="429">
        <v>6900</v>
      </c>
      <c r="J28" s="429">
        <v>6600</v>
      </c>
      <c r="K28" s="429">
        <v>7900</v>
      </c>
      <c r="L28" s="429">
        <v>7700</v>
      </c>
      <c r="N28" s="2">
        <v>2004</v>
      </c>
      <c r="O28" s="429">
        <v>6900</v>
      </c>
      <c r="P28" s="429">
        <v>5700</v>
      </c>
      <c r="Q28" s="429">
        <v>5300</v>
      </c>
      <c r="R28" s="429">
        <v>6700</v>
      </c>
      <c r="S28" s="429">
        <v>5700</v>
      </c>
      <c r="T28" s="429">
        <v>6100</v>
      </c>
      <c r="U28" s="429">
        <v>7100</v>
      </c>
      <c r="V28" s="429">
        <v>6900</v>
      </c>
      <c r="W28" s="429">
        <v>6600</v>
      </c>
      <c r="X28" s="429">
        <v>7900</v>
      </c>
      <c r="Y28" s="429">
        <v>7700</v>
      </c>
    </row>
    <row r="29" spans="1:25">
      <c r="A29" s="2">
        <v>2005</v>
      </c>
      <c r="B29" s="429">
        <v>7000</v>
      </c>
      <c r="C29" s="429">
        <v>5800</v>
      </c>
      <c r="D29" s="429">
        <v>3900</v>
      </c>
      <c r="E29" s="429">
        <v>6400</v>
      </c>
      <c r="F29" s="429">
        <v>5800</v>
      </c>
      <c r="G29" s="429">
        <v>6400</v>
      </c>
      <c r="H29" s="429">
        <v>7400</v>
      </c>
      <c r="I29" s="429">
        <v>6900</v>
      </c>
      <c r="J29" s="429">
        <v>7200</v>
      </c>
      <c r="K29" s="429">
        <v>7500</v>
      </c>
      <c r="L29" s="429">
        <v>7400</v>
      </c>
      <c r="N29" s="4">
        <v>2005</v>
      </c>
      <c r="O29" s="429">
        <v>7000</v>
      </c>
      <c r="P29" s="429">
        <v>5800</v>
      </c>
      <c r="Q29" s="429">
        <v>3900</v>
      </c>
      <c r="R29" s="429">
        <v>6400</v>
      </c>
      <c r="S29" s="429">
        <v>5800</v>
      </c>
      <c r="T29" s="429">
        <v>6400</v>
      </c>
      <c r="U29" s="429">
        <v>7400</v>
      </c>
      <c r="V29" s="429">
        <v>6900</v>
      </c>
      <c r="W29" s="429">
        <v>7200</v>
      </c>
      <c r="X29" s="429">
        <v>7500</v>
      </c>
      <c r="Y29" s="429">
        <v>7400</v>
      </c>
    </row>
    <row r="30" spans="1:25">
      <c r="A30" s="2">
        <v>2006</v>
      </c>
      <c r="B30" s="429">
        <v>6800</v>
      </c>
      <c r="C30" s="429">
        <v>5200</v>
      </c>
      <c r="D30" s="429">
        <v>5000</v>
      </c>
      <c r="E30" s="429">
        <v>6300</v>
      </c>
      <c r="F30" s="429">
        <v>5700</v>
      </c>
      <c r="G30" s="429">
        <v>5800</v>
      </c>
      <c r="H30" s="429">
        <v>7100</v>
      </c>
      <c r="I30" s="429">
        <v>7800</v>
      </c>
      <c r="J30" s="429">
        <v>7500</v>
      </c>
      <c r="K30" s="429">
        <v>7000</v>
      </c>
      <c r="L30" s="429">
        <v>7900</v>
      </c>
      <c r="N30" s="4">
        <v>2006</v>
      </c>
      <c r="O30" s="429">
        <v>6800</v>
      </c>
      <c r="P30" s="429">
        <v>5200</v>
      </c>
      <c r="Q30" s="429">
        <v>5000</v>
      </c>
      <c r="R30" s="429">
        <v>6300</v>
      </c>
      <c r="S30" s="429">
        <v>5700</v>
      </c>
      <c r="T30" s="429">
        <v>5800</v>
      </c>
      <c r="U30" s="429">
        <v>7100</v>
      </c>
      <c r="V30" s="429">
        <v>7800</v>
      </c>
      <c r="W30" s="429">
        <v>7500</v>
      </c>
      <c r="X30" s="429">
        <v>7000</v>
      </c>
      <c r="Y30" s="429">
        <v>7900</v>
      </c>
    </row>
    <row r="31" spans="1:25">
      <c r="A31" s="2">
        <v>2007</v>
      </c>
      <c r="B31" s="429">
        <v>6700</v>
      </c>
      <c r="C31" s="429">
        <v>4900</v>
      </c>
      <c r="D31" s="429">
        <v>5600</v>
      </c>
      <c r="E31" s="429">
        <v>5800</v>
      </c>
      <c r="F31" s="429">
        <v>5200</v>
      </c>
      <c r="G31" s="429">
        <v>6400</v>
      </c>
      <c r="H31" s="429">
        <v>6900</v>
      </c>
      <c r="I31" s="429">
        <v>6700</v>
      </c>
      <c r="J31" s="429">
        <v>6700</v>
      </c>
      <c r="K31" s="429">
        <v>7400</v>
      </c>
      <c r="L31" s="429">
        <v>7300</v>
      </c>
      <c r="N31" s="4">
        <v>2007</v>
      </c>
      <c r="O31" s="429">
        <v>6700</v>
      </c>
      <c r="P31" s="429">
        <v>4900</v>
      </c>
      <c r="Q31" s="429">
        <v>5600</v>
      </c>
      <c r="R31" s="429">
        <v>5800</v>
      </c>
      <c r="S31" s="429">
        <v>5200</v>
      </c>
      <c r="T31" s="429">
        <v>6400</v>
      </c>
      <c r="U31" s="429">
        <v>6900</v>
      </c>
      <c r="V31" s="429">
        <v>6700</v>
      </c>
      <c r="W31" s="429">
        <v>6700</v>
      </c>
      <c r="X31" s="429">
        <v>7400</v>
      </c>
      <c r="Y31" s="429">
        <v>7300</v>
      </c>
    </row>
    <row r="32" spans="1:25" s="114" customFormat="1">
      <c r="A32" s="738"/>
      <c r="B32" s="967"/>
      <c r="C32" s="967"/>
      <c r="D32" s="967" t="s">
        <v>802</v>
      </c>
      <c r="E32" s="967"/>
      <c r="F32" s="967"/>
      <c r="H32" s="967"/>
      <c r="I32" s="967"/>
      <c r="J32" s="967"/>
      <c r="K32" s="967"/>
      <c r="L32" s="967"/>
    </row>
    <row r="33" spans="1:36" s="114" customFormat="1">
      <c r="A33" s="431" t="s">
        <v>603</v>
      </c>
      <c r="B33" s="967">
        <f>((((B13/B5))^(1/8))-1)*100</f>
        <v>-0.96479364197867845</v>
      </c>
      <c r="C33" s="967">
        <f t="shared" ref="C33:L33" si="0">((((C13/C5))^(1/8))-1)*100</f>
        <v>0.21390887628955912</v>
      </c>
      <c r="D33" s="967">
        <f t="shared" si="0"/>
        <v>0.2751140801068086</v>
      </c>
      <c r="E33" s="967">
        <f t="shared" si="0"/>
        <v>-1.2815206413932967</v>
      </c>
      <c r="F33" s="967">
        <f t="shared" si="0"/>
        <v>-0.9574004719398177</v>
      </c>
      <c r="G33" s="967">
        <f t="shared" si="0"/>
        <v>-2.0002412391522673</v>
      </c>
      <c r="H33" s="967">
        <f t="shared" si="0"/>
        <v>-0.58892008762548853</v>
      </c>
      <c r="I33" s="967">
        <f t="shared" si="0"/>
        <v>-1.5631627916096513</v>
      </c>
      <c r="J33" s="967">
        <f t="shared" si="0"/>
        <v>1.0055559210159659</v>
      </c>
      <c r="K33" s="967">
        <f t="shared" si="0"/>
        <v>0</v>
      </c>
      <c r="L33" s="967">
        <f t="shared" si="0"/>
        <v>-1.4615027811644143</v>
      </c>
    </row>
    <row r="34" spans="1:36" s="114" customFormat="1">
      <c r="A34" s="431" t="s">
        <v>604</v>
      </c>
      <c r="B34" s="967">
        <f t="shared" ref="B34:L34" si="1">((((B24/B13))^(1/11))-1)*100</f>
        <v>1.1093891019988478</v>
      </c>
      <c r="C34" s="967">
        <f t="shared" si="1"/>
        <v>-0.47329236301191235</v>
      </c>
      <c r="D34" s="967">
        <f t="shared" si="1"/>
        <v>0.94245188138206704</v>
      </c>
      <c r="E34" s="967">
        <f t="shared" si="1"/>
        <v>1.8043607874114631</v>
      </c>
      <c r="F34" s="967">
        <f t="shared" si="1"/>
        <v>1.3584165373819346</v>
      </c>
      <c r="G34" s="967">
        <f t="shared" si="1"/>
        <v>1.617084983323025</v>
      </c>
      <c r="H34" s="967">
        <f t="shared" si="1"/>
        <v>1.3686609710681141</v>
      </c>
      <c r="I34" s="967">
        <f t="shared" si="1"/>
        <v>0.26775678630370781</v>
      </c>
      <c r="J34" s="967">
        <f t="shared" si="1"/>
        <v>0.41102818855418555</v>
      </c>
      <c r="K34" s="967">
        <f t="shared" si="1"/>
        <v>-0.11723490645340062</v>
      </c>
      <c r="L34" s="967">
        <f t="shared" si="1"/>
        <v>1.5745423796523772</v>
      </c>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row>
    <row r="35" spans="1:36" s="114" customFormat="1">
      <c r="A35" s="431" t="s">
        <v>447</v>
      </c>
      <c r="B35" s="23">
        <f>((((B31/B5))^(1/26))-1)*100</f>
        <v>0</v>
      </c>
      <c r="C35" s="23">
        <f t="shared" ref="C35:L35" si="2">((((C31/C5))^(1/26))-1)*100</f>
        <v>-0.64645035477947088</v>
      </c>
      <c r="D35" s="23">
        <f t="shared" si="2"/>
        <v>0.8446595995893702</v>
      </c>
      <c r="E35" s="23">
        <f t="shared" si="2"/>
        <v>0.49590779496160309</v>
      </c>
      <c r="F35" s="23">
        <f t="shared" si="2"/>
        <v>-0.14504980855514216</v>
      </c>
      <c r="G35" s="23">
        <f t="shared" si="2"/>
        <v>-0.17603539881315688</v>
      </c>
      <c r="H35" s="23">
        <f t="shared" si="2"/>
        <v>0.22995335233606529</v>
      </c>
      <c r="I35" s="23">
        <f t="shared" si="2"/>
        <v>-0.48359888039002374</v>
      </c>
      <c r="J35" s="23">
        <f t="shared" si="2"/>
        <v>0.42531752303192061</v>
      </c>
      <c r="K35" s="23">
        <f t="shared" si="2"/>
        <v>-0.20227105385114408</v>
      </c>
      <c r="L35" s="23">
        <f t="shared" si="2"/>
        <v>5.306531362911926E-2</v>
      </c>
    </row>
    <row r="36" spans="1:36" s="114" customFormat="1">
      <c r="A36" s="431" t="s">
        <v>449</v>
      </c>
      <c r="B36" s="967">
        <f>((((B31/B24))^(1/7))-1)*100</f>
        <v>-0.623798003315712</v>
      </c>
      <c r="C36" s="967">
        <f t="shared" ref="C36:L36" si="3">((((C31/C24))^(1/7))-1)*100</f>
        <v>-1.8895119426718954</v>
      </c>
      <c r="D36" s="967">
        <f t="shared" si="3"/>
        <v>1.3450520638060404</v>
      </c>
      <c r="E36" s="967">
        <f t="shared" si="3"/>
        <v>0.50256320240271712</v>
      </c>
      <c r="F36" s="967">
        <f t="shared" si="3"/>
        <v>-1.5478850693808055</v>
      </c>
      <c r="G36" s="967">
        <f t="shared" si="3"/>
        <v>-0.86232647758215375</v>
      </c>
      <c r="H36" s="967">
        <f t="shared" si="3"/>
        <v>-0.60614994532744992</v>
      </c>
      <c r="I36" s="967">
        <f t="shared" si="3"/>
        <v>-0.41931676203325052</v>
      </c>
      <c r="J36" s="967">
        <f t="shared" si="3"/>
        <v>-0.21142027447635936</v>
      </c>
      <c r="K36" s="967">
        <f t="shared" si="3"/>
        <v>-0.56611050182155953</v>
      </c>
      <c r="L36" s="967">
        <f t="shared" si="3"/>
        <v>-0.57368949710667749</v>
      </c>
    </row>
    <row r="37" spans="1:36" s="114" customFormat="1">
      <c r="A37" s="431"/>
      <c r="D37" s="967" t="s">
        <v>276</v>
      </c>
    </row>
    <row r="38" spans="1:36" s="114" customFormat="1">
      <c r="A38" s="431" t="s">
        <v>447</v>
      </c>
      <c r="B38" s="10">
        <f>(B31/B5-1)*100</f>
        <v>0</v>
      </c>
      <c r="C38" s="10">
        <f t="shared" ref="C38:L38" si="4">(C31/C5-1)*100</f>
        <v>-15.517241379310342</v>
      </c>
      <c r="D38" s="10">
        <f t="shared" si="4"/>
        <v>24.444444444444446</v>
      </c>
      <c r="E38" s="10">
        <f t="shared" si="4"/>
        <v>13.725490196078427</v>
      </c>
      <c r="F38" s="10">
        <f t="shared" si="4"/>
        <v>-3.703703703703709</v>
      </c>
      <c r="G38" s="10">
        <f t="shared" si="4"/>
        <v>-4.4776119402985088</v>
      </c>
      <c r="H38" s="10">
        <f t="shared" si="4"/>
        <v>6.1538461538461542</v>
      </c>
      <c r="I38" s="10">
        <f t="shared" si="4"/>
        <v>-11.842105263157897</v>
      </c>
      <c r="J38" s="10">
        <f t="shared" si="4"/>
        <v>11.66666666666667</v>
      </c>
      <c r="K38" s="10">
        <f t="shared" si="4"/>
        <v>-5.1282051282051322</v>
      </c>
      <c r="L38" s="10">
        <f t="shared" si="4"/>
        <v>1.388888888888884</v>
      </c>
    </row>
    <row r="39" spans="1:36">
      <c r="A39" s="4"/>
      <c r="B39" s="4"/>
    </row>
    <row r="40" spans="1:36" ht="25.5" customHeight="1">
      <c r="A40" s="1170" t="s">
        <v>124</v>
      </c>
      <c r="B40" s="1170"/>
      <c r="C40" s="1170"/>
      <c r="D40" s="1170"/>
      <c r="E40" s="1170"/>
      <c r="F40" s="1170"/>
      <c r="G40" s="1170"/>
      <c r="H40" s="1170"/>
      <c r="I40" s="1170"/>
      <c r="J40" s="1170"/>
      <c r="K40" s="1170"/>
      <c r="L40" s="1170"/>
    </row>
    <row r="41" spans="1:36" ht="14.25" customHeight="1">
      <c r="A41" s="13" t="s">
        <v>388</v>
      </c>
      <c r="B41" s="966"/>
      <c r="C41" s="966"/>
      <c r="D41" s="966"/>
      <c r="E41" s="966"/>
      <c r="F41" s="966"/>
      <c r="G41" s="966"/>
      <c r="H41" s="966"/>
      <c r="I41" s="966"/>
      <c r="J41" s="966"/>
      <c r="K41" s="966"/>
      <c r="L41" s="966"/>
    </row>
    <row r="42" spans="1:36">
      <c r="A42" s="4" t="s">
        <v>1868</v>
      </c>
    </row>
    <row r="43" spans="1:36" ht="51.6" customHeight="1">
      <c r="A43" s="1170" t="s">
        <v>161</v>
      </c>
      <c r="B43" s="1190"/>
      <c r="C43" s="1190"/>
      <c r="D43" s="1190"/>
      <c r="E43" s="1190"/>
      <c r="F43" s="1190"/>
      <c r="G43" s="1190"/>
      <c r="H43" s="1190"/>
      <c r="I43" s="1190"/>
      <c r="J43" s="1190"/>
      <c r="K43" s="1190"/>
      <c r="L43" s="1190"/>
    </row>
    <row r="44" spans="1:36">
      <c r="A44" s="4"/>
      <c r="B44" s="4"/>
      <c r="C44" s="4"/>
      <c r="D44" s="4"/>
      <c r="E44" s="4"/>
      <c r="F44" s="4"/>
      <c r="G44" s="4"/>
      <c r="H44" s="4"/>
      <c r="I44" s="4"/>
      <c r="J44" s="4"/>
      <c r="K44" s="4"/>
      <c r="L44" s="4"/>
    </row>
    <row r="45" spans="1:36">
      <c r="A45" s="4"/>
      <c r="B45" s="4"/>
      <c r="C45" s="4"/>
      <c r="D45" s="4"/>
      <c r="E45" s="4"/>
      <c r="F45" s="4"/>
      <c r="G45" s="4"/>
      <c r="H45" s="4"/>
      <c r="I45" s="4"/>
      <c r="J45" s="4"/>
      <c r="K45" s="4"/>
      <c r="L45" s="4"/>
    </row>
  </sheetData>
  <mergeCells count="13">
    <mergeCell ref="A43:L43"/>
    <mergeCell ref="C3:C4"/>
    <mergeCell ref="D3:D4"/>
    <mergeCell ref="E3:E4"/>
    <mergeCell ref="J3:J4"/>
    <mergeCell ref="K3:K4"/>
    <mergeCell ref="L3:L4"/>
    <mergeCell ref="F3:F4"/>
    <mergeCell ref="G3:G4"/>
    <mergeCell ref="H3:H4"/>
    <mergeCell ref="I3:I4"/>
    <mergeCell ref="B3:B4"/>
    <mergeCell ref="A40:L40"/>
  </mergeCells>
  <phoneticPr fontId="35" type="noConversion"/>
  <pageMargins left="0.75" right="0.75" top="1" bottom="1" header="0.5" footer="0.5"/>
  <pageSetup scale="85" orientation="landscape" horizontalDpi="300" verticalDpi="300" r:id="rId1"/>
  <headerFooter alignWithMargins="0"/>
</worksheet>
</file>

<file path=xl/worksheets/sheet86.xml><?xml version="1.0" encoding="utf-8"?>
<worksheet xmlns="http://schemas.openxmlformats.org/spreadsheetml/2006/main" xmlns:r="http://schemas.openxmlformats.org/officeDocument/2006/relationships">
  <sheetPr codeName="Sheet48">
    <pageSetUpPr fitToPage="1"/>
  </sheetPr>
  <dimension ref="A1:AJ43"/>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 width="8.7109375" style="2" customWidth="1"/>
    <col min="2" max="2" width="9.85546875" style="1" bestFit="1" customWidth="1"/>
    <col min="3" max="12" width="9.7109375" style="1" bestFit="1" customWidth="1"/>
    <col min="13" max="16384" width="8.85546875" style="1"/>
  </cols>
  <sheetData>
    <row r="1" spans="1:14" ht="33" customHeight="1">
      <c r="A1" s="4"/>
      <c r="B1" s="1178" t="s">
        <v>2170</v>
      </c>
      <c r="C1" s="1178"/>
      <c r="D1" s="1178"/>
      <c r="E1" s="1178"/>
      <c r="F1" s="1178"/>
      <c r="G1" s="1178"/>
      <c r="H1" s="1178"/>
      <c r="I1" s="1178"/>
      <c r="J1" s="1178"/>
      <c r="K1" s="1178"/>
      <c r="L1" s="1178"/>
      <c r="M1" s="4"/>
      <c r="N1" s="4"/>
    </row>
    <row r="2" spans="1:14">
      <c r="A2" s="4"/>
      <c r="B2" s="4"/>
      <c r="M2" s="4"/>
      <c r="N2" s="4"/>
    </row>
    <row r="3" spans="1:14">
      <c r="B3" s="1164" t="s">
        <v>375</v>
      </c>
      <c r="C3" s="1164" t="s">
        <v>377</v>
      </c>
      <c r="D3" s="1164" t="s">
        <v>386</v>
      </c>
      <c r="E3" s="1164" t="s">
        <v>378</v>
      </c>
      <c r="F3" s="1164" t="s">
        <v>379</v>
      </c>
      <c r="G3" s="1164" t="s">
        <v>380</v>
      </c>
      <c r="H3" s="1164" t="s">
        <v>381</v>
      </c>
      <c r="I3" s="1164" t="s">
        <v>382</v>
      </c>
      <c r="J3" s="1164" t="s">
        <v>383</v>
      </c>
      <c r="K3" s="1164" t="s">
        <v>384</v>
      </c>
      <c r="L3" s="1164" t="s">
        <v>385</v>
      </c>
      <c r="M3" s="4"/>
      <c r="N3" s="4"/>
    </row>
    <row r="4" spans="1:14">
      <c r="A4" s="7"/>
      <c r="B4" s="1165"/>
      <c r="C4" s="1165"/>
      <c r="D4" s="1165"/>
      <c r="E4" s="1165"/>
      <c r="F4" s="1165"/>
      <c r="G4" s="1165"/>
      <c r="H4" s="1165"/>
      <c r="I4" s="1165"/>
      <c r="J4" s="1165"/>
      <c r="K4" s="1165"/>
      <c r="L4" s="1165"/>
      <c r="M4" s="973"/>
      <c r="N4" s="4"/>
    </row>
    <row r="5" spans="1:14">
      <c r="A5" s="2">
        <v>1981</v>
      </c>
      <c r="B5" s="19">
        <f>'17a'!B5/'17a'!$B5*100</f>
        <v>100</v>
      </c>
      <c r="C5" s="21">
        <f>'17a'!C5/'17a'!$B5*100</f>
        <v>86.567164179104466</v>
      </c>
      <c r="D5" s="21">
        <f>'17a'!D5/'17a'!$B5*100</f>
        <v>67.164179104477611</v>
      </c>
      <c r="E5" s="21">
        <f>'17a'!E5/'17a'!$B5*100</f>
        <v>76.119402985074629</v>
      </c>
      <c r="F5" s="21">
        <f>'17a'!F5/'17a'!$B5*100</f>
        <v>80.597014925373131</v>
      </c>
      <c r="G5" s="21">
        <f>'17a'!G5/'17a'!$B5*100</f>
        <v>100</v>
      </c>
      <c r="H5" s="21">
        <f>'17a'!H5/'17a'!$B5*100</f>
        <v>97.014925373134332</v>
      </c>
      <c r="I5" s="21">
        <f>'17a'!I5/'17a'!$B5*100</f>
        <v>113.43283582089552</v>
      </c>
      <c r="J5" s="21">
        <f>'17a'!J5/'17a'!$B5*100</f>
        <v>89.552238805970148</v>
      </c>
      <c r="K5" s="21">
        <f>'17a'!K5/'17a'!$B5*100</f>
        <v>116.4179104477612</v>
      </c>
      <c r="L5" s="21">
        <f>'17a'!L5/'17a'!$B5*100</f>
        <v>107.46268656716418</v>
      </c>
      <c r="M5" s="4"/>
      <c r="N5" s="4"/>
    </row>
    <row r="6" spans="1:14">
      <c r="A6" s="2">
        <v>1982</v>
      </c>
      <c r="B6" s="19">
        <f>'17a'!B6/'17a'!$B6*100</f>
        <v>100</v>
      </c>
      <c r="C6" s="21">
        <f>'17a'!C6/'17a'!$B6*100</f>
        <v>89.705882352941174</v>
      </c>
      <c r="D6" s="21">
        <f>'17a'!D6/'17a'!$B6*100</f>
        <v>60.294117647058819</v>
      </c>
      <c r="E6" s="21">
        <f>'17a'!E6/'17a'!$B6*100</f>
        <v>86.764705882352942</v>
      </c>
      <c r="F6" s="21">
        <f>'17a'!F6/'17a'!$B6*100</f>
        <v>82.35294117647058</v>
      </c>
      <c r="G6" s="21">
        <f>'17a'!G6/'17a'!$B6*100</f>
        <v>97.058823529411768</v>
      </c>
      <c r="H6" s="21">
        <f>'17a'!H6/'17a'!$B6*100</f>
        <v>102.94117647058823</v>
      </c>
      <c r="I6" s="21">
        <f>'17a'!I6/'17a'!$B6*100</f>
        <v>101.47058823529412</v>
      </c>
      <c r="J6" s="21">
        <f>'17a'!J6/'17a'!$B6*100</f>
        <v>88.235294117647058</v>
      </c>
      <c r="K6" s="21">
        <f>'17a'!K6/'17a'!$B6*100</f>
        <v>102.94117647058823</v>
      </c>
      <c r="L6" s="21">
        <f>'17a'!L6/'17a'!$B6*100</f>
        <v>110.29411764705883</v>
      </c>
      <c r="M6" s="4"/>
      <c r="N6" s="4"/>
    </row>
    <row r="7" spans="1:14">
      <c r="A7" s="2">
        <v>1983</v>
      </c>
      <c r="B7" s="19">
        <f>'17a'!B7/'17a'!$B7*100</f>
        <v>100</v>
      </c>
      <c r="C7" s="21">
        <f>'17a'!C7/'17a'!$B7*100</f>
        <v>86.956521739130437</v>
      </c>
      <c r="D7" s="21">
        <f>'17a'!D7/'17a'!$B7*100</f>
        <v>63.768115942028977</v>
      </c>
      <c r="E7" s="21">
        <f>'17a'!E7/'17a'!$B7*100</f>
        <v>91.304347826086953</v>
      </c>
      <c r="F7" s="21">
        <f>'17a'!F7/'17a'!$B7*100</f>
        <v>91.304347826086953</v>
      </c>
      <c r="G7" s="21">
        <f>'17a'!G7/'17a'!$B7*100</f>
        <v>101.44927536231884</v>
      </c>
      <c r="H7" s="21">
        <f>'17a'!H7/'17a'!$B7*100</f>
        <v>100</v>
      </c>
      <c r="I7" s="21">
        <f>'17a'!I7/'17a'!$B7*100</f>
        <v>107.24637681159422</v>
      </c>
      <c r="J7" s="21">
        <f>'17a'!J7/'17a'!$B7*100</f>
        <v>79.710144927536234</v>
      </c>
      <c r="K7" s="21">
        <f>'17a'!K7/'17a'!$B7*100</f>
        <v>110.14492753623189</v>
      </c>
      <c r="L7" s="21">
        <f>'17a'!L7/'17a'!$B7*100</f>
        <v>95.652173913043484</v>
      </c>
      <c r="M7" s="4"/>
      <c r="N7" s="4"/>
    </row>
    <row r="8" spans="1:14">
      <c r="A8" s="2">
        <v>1984</v>
      </c>
      <c r="B8" s="19">
        <f>'17a'!B8/'17a'!$B8*100</f>
        <v>100</v>
      </c>
      <c r="C8" s="21">
        <f>'17a'!C8/'17a'!$B8*100</f>
        <v>95.714285714285722</v>
      </c>
      <c r="D8" s="21">
        <f>'17a'!D8/'17a'!$B8*100</f>
        <v>82.857142857142861</v>
      </c>
      <c r="E8" s="21">
        <f>'17a'!E8/'17a'!$B8*100</f>
        <v>84.285714285714292</v>
      </c>
      <c r="F8" s="21">
        <f>'17a'!F8/'17a'!$B8*100</f>
        <v>84.285714285714292</v>
      </c>
      <c r="G8" s="21">
        <f>'17a'!G8/'17a'!$B8*100</f>
        <v>98.571428571428584</v>
      </c>
      <c r="H8" s="21">
        <f>'17a'!H8/'17a'!$B8*100</f>
        <v>100</v>
      </c>
      <c r="I8" s="21">
        <f>'17a'!I8/'17a'!$B8*100</f>
        <v>110.00000000000001</v>
      </c>
      <c r="J8" s="21">
        <f>'17a'!J8/'17a'!$B8*100</f>
        <v>87.142857142857139</v>
      </c>
      <c r="K8" s="21">
        <f>'17a'!K8/'17a'!$B8*100</f>
        <v>120</v>
      </c>
      <c r="L8" s="21">
        <f>'17a'!L8/'17a'!$B8*100</f>
        <v>97.142857142857139</v>
      </c>
      <c r="M8" s="4"/>
      <c r="N8" s="4"/>
    </row>
    <row r="9" spans="1:14">
      <c r="A9" s="2">
        <v>1985</v>
      </c>
      <c r="B9" s="19">
        <f>'17a'!B9/'17a'!$B9*100</f>
        <v>100</v>
      </c>
      <c r="C9" s="21">
        <f>'17a'!C9/'17a'!$B9*100</f>
        <v>98.507462686567166</v>
      </c>
      <c r="D9" s="21">
        <f>'17a'!D9/'17a'!$B9*100</f>
        <v>74.626865671641795</v>
      </c>
      <c r="E9" s="21">
        <f>'17a'!E9/'17a'!$B9*100</f>
        <v>85.074626865671647</v>
      </c>
      <c r="F9" s="21">
        <f>'17a'!F9/'17a'!$B9*100</f>
        <v>83.582089552238799</v>
      </c>
      <c r="G9" s="21">
        <f>'17a'!G9/'17a'!$B9*100</f>
        <v>94.029850746268664</v>
      </c>
      <c r="H9" s="21">
        <f>'17a'!H9/'17a'!$B9*100</f>
        <v>101.49253731343283</v>
      </c>
      <c r="I9" s="21">
        <f>'17a'!I9/'17a'!$B9*100</f>
        <v>104.4776119402985</v>
      </c>
      <c r="J9" s="21">
        <f>'17a'!J9/'17a'!$B9*100</f>
        <v>107.46268656716418</v>
      </c>
      <c r="K9" s="21">
        <f>'17a'!K9/'17a'!$B9*100</f>
        <v>105.97014925373134</v>
      </c>
      <c r="L9" s="21">
        <f>'17a'!L9/'17a'!$B9*100</f>
        <v>104.4776119402985</v>
      </c>
      <c r="M9" s="4"/>
      <c r="N9" s="4"/>
    </row>
    <row r="10" spans="1:14">
      <c r="A10" s="2">
        <v>1986</v>
      </c>
      <c r="B10" s="19">
        <f>'17a'!B10/'17a'!$B10*100</f>
        <v>100</v>
      </c>
      <c r="C10" s="21">
        <f>'17a'!C10/'17a'!$B10*100</f>
        <v>96.92307692307692</v>
      </c>
      <c r="D10" s="21">
        <f>'17a'!D10/'17a'!$B10*100</f>
        <v>63.076923076923073</v>
      </c>
      <c r="E10" s="21">
        <f>'17a'!E10/'17a'!$B10*100</f>
        <v>87.692307692307693</v>
      </c>
      <c r="F10" s="21">
        <f>'17a'!F10/'17a'!$B10*100</f>
        <v>81.538461538461533</v>
      </c>
      <c r="G10" s="21">
        <f>'17a'!G10/'17a'!$B10*100</f>
        <v>96.92307692307692</v>
      </c>
      <c r="H10" s="21">
        <f>'17a'!H10/'17a'!$B10*100</f>
        <v>106.15384615384616</v>
      </c>
      <c r="I10" s="21">
        <f>'17a'!I10/'17a'!$B10*100</f>
        <v>113.84615384615384</v>
      </c>
      <c r="J10" s="21">
        <f>'17a'!J10/'17a'!$B10*100</f>
        <v>98.461538461538467</v>
      </c>
      <c r="K10" s="21">
        <f>'17a'!K10/'17a'!$B10*100</f>
        <v>109.23076923076923</v>
      </c>
      <c r="L10" s="21">
        <f>'17a'!L10/'17a'!$B10*100</f>
        <v>98.461538461538467</v>
      </c>
      <c r="M10" s="4"/>
      <c r="N10" s="4"/>
    </row>
    <row r="11" spans="1:14">
      <c r="A11" s="2">
        <v>1987</v>
      </c>
      <c r="B11" s="19">
        <f>'17a'!B11/'17a'!$B11*100</f>
        <v>100</v>
      </c>
      <c r="C11" s="21">
        <f>'17a'!C11/'17a'!$B11*100</f>
        <v>101.51515151515152</v>
      </c>
      <c r="D11" s="21">
        <f>'17a'!D11/'17a'!$B11*100</f>
        <v>72.727272727272734</v>
      </c>
      <c r="E11" s="21">
        <f>'17a'!E11/'17a'!$B11*100</f>
        <v>87.878787878787875</v>
      </c>
      <c r="F11" s="21">
        <f>'17a'!F11/'17a'!$B11*100</f>
        <v>78.787878787878782</v>
      </c>
      <c r="G11" s="21">
        <f>'17a'!G11/'17a'!$B11*100</f>
        <v>95.454545454545453</v>
      </c>
      <c r="H11" s="21">
        <f>'17a'!H11/'17a'!$B11*100</f>
        <v>101.51515151515152</v>
      </c>
      <c r="I11" s="21">
        <f>'17a'!I11/'17a'!$B11*100</f>
        <v>106.06060606060606</v>
      </c>
      <c r="J11" s="21">
        <f>'17a'!J11/'17a'!$B11*100</f>
        <v>95.454545454545453</v>
      </c>
      <c r="K11" s="21">
        <f>'17a'!K11/'17a'!$B11*100</f>
        <v>115.15151515151516</v>
      </c>
      <c r="L11" s="21">
        <f>'17a'!L11/'17a'!$B11*100</f>
        <v>104.54545454545455</v>
      </c>
      <c r="M11" s="4"/>
      <c r="N11" s="4"/>
    </row>
    <row r="12" spans="1:14">
      <c r="A12" s="2">
        <v>1988</v>
      </c>
      <c r="B12" s="19">
        <f>'17a'!B12/'17a'!$B12*100</f>
        <v>100</v>
      </c>
      <c r="C12" s="21">
        <f>'17a'!C12/'17a'!$B12*100</f>
        <v>90.476190476190482</v>
      </c>
      <c r="D12" s="21">
        <f>'17a'!D12/'17a'!$B12*100</f>
        <v>66.666666666666657</v>
      </c>
      <c r="E12" s="21">
        <f>'17a'!E12/'17a'!$B12*100</f>
        <v>84.126984126984127</v>
      </c>
      <c r="F12" s="21">
        <f>'17a'!F12/'17a'!$B12*100</f>
        <v>76.19047619047619</v>
      </c>
      <c r="G12" s="21">
        <f>'17a'!G12/'17a'!$B12*100</f>
        <v>95.238095238095227</v>
      </c>
      <c r="H12" s="21">
        <f>'17a'!H12/'17a'!$B12*100</f>
        <v>106.34920634920636</v>
      </c>
      <c r="I12" s="21">
        <f>'17a'!I12/'17a'!$B12*100</f>
        <v>111.11111111111111</v>
      </c>
      <c r="J12" s="21">
        <f>'17a'!J12/'17a'!$B12*100</f>
        <v>101.58730158730158</v>
      </c>
      <c r="K12" s="21">
        <f>'17a'!K12/'17a'!$B12*100</f>
        <v>112.6984126984127</v>
      </c>
      <c r="L12" s="21">
        <f>'17a'!L12/'17a'!$B12*100</f>
        <v>95.238095238095227</v>
      </c>
      <c r="M12" s="4"/>
      <c r="N12" s="4"/>
    </row>
    <row r="13" spans="1:14">
      <c r="A13" s="2">
        <v>1989</v>
      </c>
      <c r="B13" s="19">
        <f>'17a'!B13/'17a'!$B13*100</f>
        <v>100</v>
      </c>
      <c r="C13" s="21">
        <f>'17a'!C13/'17a'!$B13*100</f>
        <v>95.161290322580655</v>
      </c>
      <c r="D13" s="21">
        <f>'17a'!D13/'17a'!$B13*100</f>
        <v>74.193548387096769</v>
      </c>
      <c r="E13" s="21">
        <f>'17a'!E13/'17a'!$B13*100</f>
        <v>74.193548387096769</v>
      </c>
      <c r="F13" s="21">
        <f>'17a'!F13/'17a'!$B13*100</f>
        <v>80.645161290322577</v>
      </c>
      <c r="G13" s="21">
        <f>'17a'!G13/'17a'!$B13*100</f>
        <v>91.935483870967744</v>
      </c>
      <c r="H13" s="21">
        <f>'17a'!H13/'17a'!$B13*100</f>
        <v>100</v>
      </c>
      <c r="I13" s="21">
        <f>'17a'!I13/'17a'!$B13*100</f>
        <v>108.06451612903226</v>
      </c>
      <c r="J13" s="21">
        <f>'17a'!J13/'17a'!$B13*100</f>
        <v>104.83870967741935</v>
      </c>
      <c r="K13" s="21">
        <f>'17a'!K13/'17a'!$B13*100</f>
        <v>125.80645161290323</v>
      </c>
      <c r="L13" s="21">
        <f>'17a'!L13/'17a'!$B13*100</f>
        <v>103.2258064516129</v>
      </c>
    </row>
    <row r="14" spans="1:14">
      <c r="A14" s="2">
        <v>1990</v>
      </c>
      <c r="B14" s="19">
        <f>'17a'!B14/'17a'!$B14*100</f>
        <v>100</v>
      </c>
      <c r="C14" s="21">
        <f>'17a'!C14/'17a'!$B14*100</f>
        <v>90.769230769230774</v>
      </c>
      <c r="D14" s="21">
        <f>'17a'!D14/'17a'!$B14*100</f>
        <v>69.230769230769226</v>
      </c>
      <c r="E14" s="21">
        <f>'17a'!E14/'17a'!$B14*100</f>
        <v>83.07692307692308</v>
      </c>
      <c r="F14" s="21">
        <f>'17a'!F14/'17a'!$B14*100</f>
        <v>80</v>
      </c>
      <c r="G14" s="21">
        <f>'17a'!G14/'17a'!$B14*100</f>
        <v>89.230769230769241</v>
      </c>
      <c r="H14" s="21">
        <f>'17a'!H14/'17a'!$B14*100</f>
        <v>106.15384615384616</v>
      </c>
      <c r="I14" s="21">
        <f>'17a'!I14/'17a'!$B14*100</f>
        <v>106.15384615384616</v>
      </c>
      <c r="J14" s="21">
        <f>'17a'!J14/'17a'!$B14*100</f>
        <v>113.84615384615384</v>
      </c>
      <c r="K14" s="21">
        <f>'17a'!K14/'17a'!$B14*100</f>
        <v>107.69230769230769</v>
      </c>
      <c r="L14" s="21">
        <f>'17a'!L14/'17a'!$B14*100</f>
        <v>115.38461538461537</v>
      </c>
    </row>
    <row r="15" spans="1:14">
      <c r="A15" s="2">
        <v>1991</v>
      </c>
      <c r="B15" s="19">
        <f>'17a'!B15/'17a'!$B15*100</f>
        <v>100</v>
      </c>
      <c r="C15" s="21">
        <f>'17a'!C15/'17a'!$B15*100</f>
        <v>112.12121212121211</v>
      </c>
      <c r="D15" s="21">
        <f>'17a'!D15/'17a'!$B15*100</f>
        <v>75.757575757575751</v>
      </c>
      <c r="E15" s="21">
        <f>'17a'!E15/'17a'!$B15*100</f>
        <v>80.303030303030297</v>
      </c>
      <c r="F15" s="21">
        <f>'17a'!F15/'17a'!$B15*100</f>
        <v>81.818181818181827</v>
      </c>
      <c r="G15" s="21">
        <f>'17a'!G15/'17a'!$B15*100</f>
        <v>95.454545454545453</v>
      </c>
      <c r="H15" s="21">
        <f>'17a'!H15/'17a'!$B15*100</f>
        <v>101.51515151515152</v>
      </c>
      <c r="I15" s="21">
        <f>'17a'!I15/'17a'!$B15*100</f>
        <v>109.09090909090908</v>
      </c>
      <c r="J15" s="21">
        <f>'17a'!J15/'17a'!$B15*100</f>
        <v>104.54545454545455</v>
      </c>
      <c r="K15" s="21">
        <f>'17a'!K15/'17a'!$B15*100</f>
        <v>113.63636363636364</v>
      </c>
      <c r="L15" s="21">
        <f>'17a'!L15/'17a'!$B15*100</f>
        <v>96.969696969696969</v>
      </c>
    </row>
    <row r="16" spans="1:14">
      <c r="A16" s="2">
        <v>1992</v>
      </c>
      <c r="B16" s="19">
        <f>'17a'!B16/'17a'!$B16*100</f>
        <v>100</v>
      </c>
      <c r="C16" s="21">
        <f>'17a'!C16/'17a'!$B16*100</f>
        <v>98.461538461538467</v>
      </c>
      <c r="D16" s="21">
        <f>'17a'!D16/'17a'!$B16*100</f>
        <v>86.15384615384616</v>
      </c>
      <c r="E16" s="21">
        <f>'17a'!E16/'17a'!$B16*100</f>
        <v>73.846153846153854</v>
      </c>
      <c r="F16" s="21">
        <f>'17a'!F16/'17a'!$B16*100</f>
        <v>78.461538461538467</v>
      </c>
      <c r="G16" s="21">
        <f>'17a'!G16/'17a'!$B16*100</f>
        <v>93.84615384615384</v>
      </c>
      <c r="H16" s="21">
        <f>'17a'!H16/'17a'!$B16*100</f>
        <v>101.53846153846153</v>
      </c>
      <c r="I16" s="21">
        <f>'17a'!I16/'17a'!$B16*100</f>
        <v>112.30769230769231</v>
      </c>
      <c r="J16" s="21">
        <f>'17a'!J16/'17a'!$B16*100</f>
        <v>103.07692307692307</v>
      </c>
      <c r="K16" s="21">
        <f>'17a'!K16/'17a'!$B16*100</f>
        <v>115.38461538461537</v>
      </c>
      <c r="L16" s="21">
        <f>'17a'!L16/'17a'!$B16*100</f>
        <v>106.15384615384616</v>
      </c>
    </row>
    <row r="17" spans="1:12">
      <c r="A17" s="2">
        <v>1993</v>
      </c>
      <c r="B17" s="19">
        <f>'17a'!B17/'17a'!$B17*100</f>
        <v>100</v>
      </c>
      <c r="C17" s="21">
        <f>'17a'!C17/'17a'!$B17*100</f>
        <v>91.044776119402982</v>
      </c>
      <c r="D17" s="21">
        <f>'17a'!D17/'17a'!$B17*100</f>
        <v>67.164179104477611</v>
      </c>
      <c r="E17" s="21">
        <f>'17a'!E17/'17a'!$B17*100</f>
        <v>77.611940298507463</v>
      </c>
      <c r="F17" s="21">
        <f>'17a'!F17/'17a'!$B17*100</f>
        <v>83.582089552238799</v>
      </c>
      <c r="G17" s="21">
        <f>'17a'!G17/'17a'!$B17*100</f>
        <v>98.507462686567166</v>
      </c>
      <c r="H17" s="21">
        <f>'17a'!H17/'17a'!$B17*100</f>
        <v>97.014925373134332</v>
      </c>
      <c r="I17" s="21">
        <f>'17a'!I17/'17a'!$B17*100</f>
        <v>105.97014925373134</v>
      </c>
      <c r="J17" s="21">
        <f>'17a'!J17/'17a'!$B17*100</f>
        <v>95.522388059701484</v>
      </c>
      <c r="K17" s="21">
        <f>'17a'!K17/'17a'!$B17*100</f>
        <v>108.95522388059702</v>
      </c>
      <c r="L17" s="21">
        <f>'17a'!L17/'17a'!$B17*100</f>
        <v>105.97014925373134</v>
      </c>
    </row>
    <row r="18" spans="1:12">
      <c r="A18" s="2">
        <v>1994</v>
      </c>
      <c r="B18" s="19">
        <f>'17a'!B18/'17a'!$B18*100</f>
        <v>100</v>
      </c>
      <c r="C18" s="21">
        <f>'17a'!C18/'17a'!$B18*100</f>
        <v>86.567164179104466</v>
      </c>
      <c r="D18" s="21">
        <f>'17a'!D18/'17a'!$B18*100</f>
        <v>70.149253731343293</v>
      </c>
      <c r="E18" s="21">
        <f>'17a'!E18/'17a'!$B18*100</f>
        <v>82.089552238805979</v>
      </c>
      <c r="F18" s="21">
        <f>'17a'!F18/'17a'!$B18*100</f>
        <v>85.074626865671647</v>
      </c>
      <c r="G18" s="21">
        <f>'17a'!G18/'17a'!$B18*100</f>
        <v>97.014925373134332</v>
      </c>
      <c r="H18" s="21">
        <f>'17a'!H18/'17a'!$B18*100</f>
        <v>101.49253731343283</v>
      </c>
      <c r="I18" s="21">
        <f>'17a'!I18/'17a'!$B18*100</f>
        <v>105.97014925373134</v>
      </c>
      <c r="J18" s="21">
        <f>'17a'!J18/'17a'!$B18*100</f>
        <v>95.522388059701484</v>
      </c>
      <c r="K18" s="21">
        <f>'17a'!K18/'17a'!$B18*100</f>
        <v>108.95522388059702</v>
      </c>
      <c r="L18" s="21">
        <f>'17a'!L18/'17a'!$B18*100</f>
        <v>101.49253731343283</v>
      </c>
    </row>
    <row r="19" spans="1:12">
      <c r="A19" s="2">
        <v>1995</v>
      </c>
      <c r="B19" s="19">
        <f>'17a'!B19/'17a'!$B19*100</f>
        <v>100</v>
      </c>
      <c r="C19" s="21">
        <f>'17a'!C19/'17a'!$B19*100</f>
        <v>82.35294117647058</v>
      </c>
      <c r="D19" s="21">
        <f>'17a'!D19/'17a'!$B19*100</f>
        <v>80.882352941176478</v>
      </c>
      <c r="E19" s="21">
        <f>'17a'!E19/'17a'!$B19*100</f>
        <v>75</v>
      </c>
      <c r="F19" s="21">
        <f>'17a'!F19/'17a'!$B19*100</f>
        <v>82.35294117647058</v>
      </c>
      <c r="G19" s="21">
        <f>'17a'!G19/'17a'!$B19*100</f>
        <v>101.47058823529412</v>
      </c>
      <c r="H19" s="21">
        <f>'17a'!H19/'17a'!$B19*100</f>
        <v>97.058823529411768</v>
      </c>
      <c r="I19" s="21">
        <f>'17a'!I19/'17a'!$B19*100</f>
        <v>98.529411764705884</v>
      </c>
      <c r="J19" s="21">
        <f>'17a'!J19/'17a'!$B19*100</f>
        <v>101.47058823529412</v>
      </c>
      <c r="K19" s="21">
        <f>'17a'!K19/'17a'!$B19*100</f>
        <v>113.23529411764706</v>
      </c>
      <c r="L19" s="21">
        <f>'17a'!L19/'17a'!$B19*100</f>
        <v>104.41176470588236</v>
      </c>
    </row>
    <row r="20" spans="1:12">
      <c r="A20" s="2">
        <v>1996</v>
      </c>
      <c r="B20" s="19">
        <f>'17a'!B20/'17a'!$B20*100</f>
        <v>100</v>
      </c>
      <c r="C20" s="21">
        <f>'17a'!C20/'17a'!$B20*100</f>
        <v>82.608695652173907</v>
      </c>
      <c r="D20" s="21">
        <f>'17a'!D20/'17a'!$B20*100</f>
        <v>76.811594202898547</v>
      </c>
      <c r="E20" s="21">
        <f>'17a'!E20/'17a'!$B20*100</f>
        <v>85.507246376811594</v>
      </c>
      <c r="F20" s="21">
        <f>'17a'!F20/'17a'!$B20*100</f>
        <v>79.710144927536234</v>
      </c>
      <c r="G20" s="21">
        <f>'17a'!G20/'17a'!$B20*100</f>
        <v>94.20289855072464</v>
      </c>
      <c r="H20" s="21">
        <f>'17a'!H20/'17a'!$B20*100</f>
        <v>104.34782608695652</v>
      </c>
      <c r="I20" s="21">
        <f>'17a'!I20/'17a'!$B20*100</f>
        <v>98.550724637681171</v>
      </c>
      <c r="J20" s="21">
        <f>'17a'!J20/'17a'!$B20*100</f>
        <v>91.304347826086953</v>
      </c>
      <c r="K20" s="21">
        <f>'17a'!K20/'17a'!$B20*100</f>
        <v>110.14492753623189</v>
      </c>
      <c r="L20" s="21">
        <f>'17a'!L20/'17a'!$B20*100</f>
        <v>111.59420289855073</v>
      </c>
    </row>
    <row r="21" spans="1:12">
      <c r="A21" s="2">
        <v>1997</v>
      </c>
      <c r="B21" s="19">
        <f>'17a'!B21/'17a'!$B21*100</f>
        <v>100</v>
      </c>
      <c r="C21" s="21">
        <f>'17a'!C21/'17a'!$B21*100</f>
        <v>84.507042253521121</v>
      </c>
      <c r="D21" s="21">
        <f>'17a'!D21/'17a'!$B21*100</f>
        <v>76.056338028169009</v>
      </c>
      <c r="E21" s="21">
        <f>'17a'!E21/'17a'!$B21*100</f>
        <v>81.690140845070431</v>
      </c>
      <c r="F21" s="21">
        <f>'17a'!F21/'17a'!$B21*100</f>
        <v>76.056338028169009</v>
      </c>
      <c r="G21" s="21">
        <f>'17a'!G21/'17a'!$B21*100</f>
        <v>94.366197183098592</v>
      </c>
      <c r="H21" s="21">
        <f>'17a'!H21/'17a'!$B21*100</f>
        <v>105.63380281690141</v>
      </c>
      <c r="I21" s="21">
        <f>'17a'!I21/'17a'!$B21*100</f>
        <v>95.774647887323937</v>
      </c>
      <c r="J21" s="21">
        <f>'17a'!J21/'17a'!$B21*100</f>
        <v>84.507042253521121</v>
      </c>
      <c r="K21" s="21">
        <f>'17a'!K21/'17a'!$B21*100</f>
        <v>108.45070422535213</v>
      </c>
      <c r="L21" s="21">
        <f>'17a'!L21/'17a'!$B21*100</f>
        <v>105.63380281690141</v>
      </c>
    </row>
    <row r="22" spans="1:12">
      <c r="A22" s="2">
        <v>1998</v>
      </c>
      <c r="B22" s="19">
        <f>'17a'!B22/'17a'!$B22*100</f>
        <v>100</v>
      </c>
      <c r="C22" s="21">
        <f>'17a'!C22/'17a'!$B22*100</f>
        <v>83.333333333333343</v>
      </c>
      <c r="D22" s="21">
        <f>'17a'!D22/'17a'!$B22*100</f>
        <v>62.5</v>
      </c>
      <c r="E22" s="21">
        <f>'17a'!E22/'17a'!$B22*100</f>
        <v>81.944444444444443</v>
      </c>
      <c r="F22" s="21">
        <f>'17a'!F22/'17a'!$B22*100</f>
        <v>73.611111111111114</v>
      </c>
      <c r="G22" s="21">
        <f>'17a'!G22/'17a'!$B22*100</f>
        <v>95.833333333333343</v>
      </c>
      <c r="H22" s="21">
        <f>'17a'!H22/'17a'!$B22*100</f>
        <v>104.16666666666667</v>
      </c>
      <c r="I22" s="21">
        <f>'17a'!I22/'17a'!$B22*100</f>
        <v>91.666666666666657</v>
      </c>
      <c r="J22" s="21">
        <f>'17a'!J22/'17a'!$B22*100</f>
        <v>87.5</v>
      </c>
      <c r="K22" s="21">
        <f>'17a'!K22/'17a'!$B22*100</f>
        <v>106.94444444444444</v>
      </c>
      <c r="L22" s="21">
        <f>'17a'!L22/'17a'!$B22*100</f>
        <v>106.94444444444444</v>
      </c>
    </row>
    <row r="23" spans="1:12">
      <c r="A23" s="2">
        <v>1999</v>
      </c>
      <c r="B23" s="19">
        <f>'17a'!B23/'17a'!$B23*100</f>
        <v>100</v>
      </c>
      <c r="C23" s="21">
        <f>'17a'!C23/'17a'!$B23*100</f>
        <v>76.388888888888886</v>
      </c>
      <c r="D23" s="21">
        <f>'17a'!D23/'17a'!$B23*100</f>
        <v>68.055555555555557</v>
      </c>
      <c r="E23" s="21">
        <f>'17a'!E23/'17a'!$B23*100</f>
        <v>87.5</v>
      </c>
      <c r="F23" s="21">
        <f>'17a'!F23/'17a'!$B23*100</f>
        <v>77.777777777777786</v>
      </c>
      <c r="G23" s="21">
        <f>'17a'!G23/'17a'!$B23*100</f>
        <v>93.055555555555557</v>
      </c>
      <c r="H23" s="21">
        <f>'17a'!H23/'17a'!$B23*100</f>
        <v>104.16666666666667</v>
      </c>
      <c r="I23" s="21">
        <f>'17a'!I23/'17a'!$B23*100</f>
        <v>98.611111111111114</v>
      </c>
      <c r="J23" s="21">
        <f>'17a'!J23/'17a'!$B23*100</f>
        <v>86.111111111111114</v>
      </c>
      <c r="K23" s="21">
        <f>'17a'!K23/'17a'!$B23*100</f>
        <v>111.11111111111111</v>
      </c>
      <c r="L23" s="21">
        <f>'17a'!L23/'17a'!$B23*100</f>
        <v>106.94444444444444</v>
      </c>
    </row>
    <row r="24" spans="1:12">
      <c r="A24" s="2">
        <v>2000</v>
      </c>
      <c r="B24" s="19">
        <f>'17a'!B24/'17a'!$B24*100</f>
        <v>100</v>
      </c>
      <c r="C24" s="21">
        <f>'17a'!C24/'17a'!$B24*100</f>
        <v>80</v>
      </c>
      <c r="D24" s="21">
        <f>'17a'!D24/'17a'!$B24*100</f>
        <v>72.857142857142847</v>
      </c>
      <c r="E24" s="21">
        <f>'17a'!E24/'17a'!$B24*100</f>
        <v>80</v>
      </c>
      <c r="F24" s="21">
        <f>'17a'!F24/'17a'!$B24*100</f>
        <v>82.857142857142861</v>
      </c>
      <c r="G24" s="21">
        <f>'17a'!G24/'17a'!$B24*100</f>
        <v>97.142857142857139</v>
      </c>
      <c r="H24" s="21">
        <f>'17a'!H24/'17a'!$B24*100</f>
        <v>102.85714285714285</v>
      </c>
      <c r="I24" s="21">
        <f>'17a'!I24/'17a'!$B24*100</f>
        <v>98.571428571428584</v>
      </c>
      <c r="J24" s="21">
        <f>'17a'!J24/'17a'!$B24*100</f>
        <v>97.142857142857139</v>
      </c>
      <c r="K24" s="21">
        <f>'17a'!K24/'17a'!$B24*100</f>
        <v>110.00000000000001</v>
      </c>
      <c r="L24" s="21">
        <f>'17a'!L24/'17a'!$B24*100</f>
        <v>108.57142857142857</v>
      </c>
    </row>
    <row r="25" spans="1:12">
      <c r="A25" s="2">
        <v>2001</v>
      </c>
      <c r="B25" s="19">
        <f>'17a'!B25/'17a'!$B25*100</f>
        <v>100</v>
      </c>
      <c r="C25" s="21">
        <f>'17a'!C25/'17a'!$B25*100</f>
        <v>73.91304347826086</v>
      </c>
      <c r="D25" s="21">
        <f>'17a'!D25/'17a'!$B25*100</f>
        <v>66.666666666666657</v>
      </c>
      <c r="E25" s="21">
        <f>'17a'!E25/'17a'!$B25*100</f>
        <v>89.85507246376811</v>
      </c>
      <c r="F25" s="21">
        <f>'17a'!F25/'17a'!$B25*100</f>
        <v>79.710144927536234</v>
      </c>
      <c r="G25" s="21">
        <f>'17a'!G25/'17a'!$B25*100</f>
        <v>91.304347826086953</v>
      </c>
      <c r="H25" s="21">
        <f>'17a'!H25/'17a'!$B25*100</f>
        <v>107.24637681159422</v>
      </c>
      <c r="I25" s="21">
        <f>'17a'!I25/'17a'!$B25*100</f>
        <v>95.652173913043484</v>
      </c>
      <c r="J25" s="21">
        <f>'17a'!J25/'17a'!$B25*100</f>
        <v>85.507246376811594</v>
      </c>
      <c r="K25" s="21">
        <f>'17a'!K25/'17a'!$B25*100</f>
        <v>108.69565217391303</v>
      </c>
      <c r="L25" s="21">
        <f>'17a'!L25/'17a'!$B25*100</f>
        <v>113.04347826086956</v>
      </c>
    </row>
    <row r="26" spans="1:12">
      <c r="A26" s="2">
        <v>2002</v>
      </c>
      <c r="B26" s="19">
        <f>'17a'!B26/'17a'!$B26*100</f>
        <v>100</v>
      </c>
      <c r="C26" s="21">
        <f>'17a'!C26/'17a'!$B26*100</f>
        <v>82.608695652173907</v>
      </c>
      <c r="D26" s="21">
        <f>'17a'!D26/'17a'!$B26*100</f>
        <v>62.318840579710141</v>
      </c>
      <c r="E26" s="21">
        <f>'17a'!E26/'17a'!$B26*100</f>
        <v>86.956521739130437</v>
      </c>
      <c r="F26" s="21">
        <f>'17a'!F26/'17a'!$B26*100</f>
        <v>78.260869565217391</v>
      </c>
      <c r="G26" s="21">
        <f>'17a'!G26/'17a'!$B26*100</f>
        <v>92.753623188405797</v>
      </c>
      <c r="H26" s="21">
        <f>'17a'!H26/'17a'!$B26*100</f>
        <v>104.34782608695652</v>
      </c>
      <c r="I26" s="21">
        <f>'17a'!I26/'17a'!$B26*100</f>
        <v>113.04347826086956</v>
      </c>
      <c r="J26" s="21">
        <f>'17a'!J26/'17a'!$B26*100</f>
        <v>85.507246376811594</v>
      </c>
      <c r="K26" s="21">
        <f>'17a'!K26/'17a'!$B26*100</f>
        <v>108.69565217391303</v>
      </c>
      <c r="L26" s="21">
        <f>'17a'!L26/'17a'!$B26*100</f>
        <v>100</v>
      </c>
    </row>
    <row r="27" spans="1:12">
      <c r="A27" s="2">
        <v>2003</v>
      </c>
      <c r="B27" s="19">
        <f>'17a'!B27/'17a'!$B27*100</f>
        <v>100</v>
      </c>
      <c r="C27" s="21">
        <f>'17a'!C27/'17a'!$B27*100</f>
        <v>79.710144927536234</v>
      </c>
      <c r="D27" s="21">
        <f>'17a'!D27/'17a'!$B27*100</f>
        <v>63.768115942028977</v>
      </c>
      <c r="E27" s="21">
        <f>'17a'!E27/'17a'!$B27*100</f>
        <v>85.507246376811594</v>
      </c>
      <c r="F27" s="21">
        <f>'17a'!F27/'17a'!$B27*100</f>
        <v>86.956521739130437</v>
      </c>
      <c r="G27" s="21">
        <f>'17a'!G27/'17a'!$B27*100</f>
        <v>94.20289855072464</v>
      </c>
      <c r="H27" s="21">
        <f>'17a'!H27/'17a'!$B27*100</f>
        <v>98.550724637681171</v>
      </c>
      <c r="I27" s="21">
        <f>'17a'!I27/'17a'!$B27*100</f>
        <v>98.550724637681171</v>
      </c>
      <c r="J27" s="21">
        <f>'17a'!J27/'17a'!$B27*100</f>
        <v>85.507246376811594</v>
      </c>
      <c r="K27" s="21">
        <f>'17a'!K27/'17a'!$B27*100</f>
        <v>117.39130434782609</v>
      </c>
      <c r="L27" s="21">
        <f>'17a'!L27/'17a'!$B27*100</f>
        <v>108.69565217391303</v>
      </c>
    </row>
    <row r="28" spans="1:12">
      <c r="A28" s="2">
        <v>2004</v>
      </c>
      <c r="B28" s="19">
        <f>'17a'!B28/'17a'!$B28*100</f>
        <v>100</v>
      </c>
      <c r="C28" s="21">
        <f>'17a'!C28/'17a'!$B28*100</f>
        <v>82.608695652173907</v>
      </c>
      <c r="D28" s="21">
        <f>'17a'!D28/'17a'!$B28*100</f>
        <v>76.811594202898547</v>
      </c>
      <c r="E28" s="21">
        <f>'17a'!E28/'17a'!$B28*100</f>
        <v>97.101449275362313</v>
      </c>
      <c r="F28" s="21">
        <f>'17a'!F28/'17a'!$B28*100</f>
        <v>82.608695652173907</v>
      </c>
      <c r="G28" s="21">
        <f>'17a'!G28/'17a'!$B28*100</f>
        <v>88.405797101449281</v>
      </c>
      <c r="H28" s="21">
        <f>'17a'!H28/'17a'!$B28*100</f>
        <v>102.89855072463767</v>
      </c>
      <c r="I28" s="21">
        <f>'17a'!I28/'17a'!$B28*100</f>
        <v>100</v>
      </c>
      <c r="J28" s="21">
        <f>'17a'!J28/'17a'!$B28*100</f>
        <v>95.652173913043484</v>
      </c>
      <c r="K28" s="21">
        <f>'17a'!K28/'17a'!$B28*100</f>
        <v>114.49275362318841</v>
      </c>
      <c r="L28" s="21">
        <f>'17a'!L28/'17a'!$B28*100</f>
        <v>111.59420289855073</v>
      </c>
    </row>
    <row r="29" spans="1:12">
      <c r="A29" s="2">
        <v>2005</v>
      </c>
      <c r="B29" s="19">
        <f>'17a'!B29/'17a'!$B29*100</f>
        <v>100</v>
      </c>
      <c r="C29" s="21">
        <f>'17a'!C29/'17a'!$B29*100</f>
        <v>82.857142857142861</v>
      </c>
      <c r="D29" s="21">
        <f>'17a'!D29/'17a'!$B29*100</f>
        <v>55.714285714285715</v>
      </c>
      <c r="E29" s="21">
        <f>'17a'!E29/'17a'!$B29*100</f>
        <v>91.428571428571431</v>
      </c>
      <c r="F29" s="21">
        <f>'17a'!F29/'17a'!$B29*100</f>
        <v>82.857142857142861</v>
      </c>
      <c r="G29" s="21">
        <f>'17a'!G29/'17a'!$B29*100</f>
        <v>91.428571428571431</v>
      </c>
      <c r="H29" s="21">
        <f>'17a'!H29/'17a'!$B29*100</f>
        <v>105.71428571428572</v>
      </c>
      <c r="I29" s="21">
        <f>'17a'!I29/'17a'!$B29*100</f>
        <v>98.571428571428584</v>
      </c>
      <c r="J29" s="21">
        <f>'17a'!J29/'17a'!$B29*100</f>
        <v>102.85714285714285</v>
      </c>
      <c r="K29" s="21">
        <f>'17a'!K29/'17a'!$B29*100</f>
        <v>107.14285714285714</v>
      </c>
      <c r="L29" s="21">
        <f>'17a'!L29/'17a'!$B29*100</f>
        <v>105.71428571428572</v>
      </c>
    </row>
    <row r="30" spans="1:12">
      <c r="A30" s="2">
        <v>2006</v>
      </c>
      <c r="B30" s="19">
        <f>'17a'!B30/'17a'!$B30*100</f>
        <v>100</v>
      </c>
      <c r="C30" s="21">
        <f>'17a'!C30/'17a'!$B30*100</f>
        <v>76.470588235294116</v>
      </c>
      <c r="D30" s="21">
        <f>'17a'!D30/'17a'!$B30*100</f>
        <v>73.529411764705884</v>
      </c>
      <c r="E30" s="21">
        <f>'17a'!E30/'17a'!$B30*100</f>
        <v>92.64705882352942</v>
      </c>
      <c r="F30" s="21">
        <f>'17a'!F30/'17a'!$B30*100</f>
        <v>83.82352941176471</v>
      </c>
      <c r="G30" s="21">
        <f>'17a'!G30/'17a'!$B30*100</f>
        <v>85.294117647058826</v>
      </c>
      <c r="H30" s="21">
        <f>'17a'!H30/'17a'!$B30*100</f>
        <v>104.41176470588236</v>
      </c>
      <c r="I30" s="21">
        <f>'17a'!I30/'17a'!$B30*100</f>
        <v>114.70588235294117</v>
      </c>
      <c r="J30" s="21">
        <f>'17a'!J30/'17a'!$B30*100</f>
        <v>110.29411764705883</v>
      </c>
      <c r="K30" s="21">
        <f>'17a'!K30/'17a'!$B30*100</f>
        <v>102.94117647058823</v>
      </c>
      <c r="L30" s="21">
        <f>'17a'!L30/'17a'!$B30*100</f>
        <v>116.1764705882353</v>
      </c>
    </row>
    <row r="31" spans="1:12" s="972" customFormat="1">
      <c r="A31" s="2">
        <v>2007</v>
      </c>
      <c r="B31" s="19">
        <f>'17a'!B31/'17a'!$B31*100</f>
        <v>100</v>
      </c>
      <c r="C31" s="21">
        <f>'17a'!C31/'17a'!$B31*100</f>
        <v>73.134328358208961</v>
      </c>
      <c r="D31" s="21">
        <f>'17a'!D31/'17a'!$B31*100</f>
        <v>83.582089552238799</v>
      </c>
      <c r="E31" s="21">
        <f>'17a'!E31/'17a'!$B31*100</f>
        <v>86.567164179104466</v>
      </c>
      <c r="F31" s="21">
        <f>'17a'!F31/'17a'!$B31*100</f>
        <v>77.611940298507463</v>
      </c>
      <c r="G31" s="21">
        <f>'17a'!G31/'17a'!$B31*100</f>
        <v>95.522388059701484</v>
      </c>
      <c r="H31" s="21">
        <f>'17a'!H31/'17a'!$B31*100</f>
        <v>102.98507462686568</v>
      </c>
      <c r="I31" s="21">
        <f>'17a'!I31/'17a'!$B31*100</f>
        <v>100</v>
      </c>
      <c r="J31" s="21">
        <f>'17a'!J31/'17a'!$B31*100</f>
        <v>100</v>
      </c>
      <c r="K31" s="21">
        <f>'17a'!K31/'17a'!$B31*100</f>
        <v>110.44776119402985</v>
      </c>
      <c r="L31" s="21">
        <f>'17a'!L31/'17a'!$B31*100</f>
        <v>108.95522388059702</v>
      </c>
    </row>
    <row r="32" spans="1:12" s="114" customFormat="1">
      <c r="A32" s="738"/>
      <c r="B32" s="967"/>
      <c r="C32" s="967"/>
      <c r="D32" s="967" t="s">
        <v>802</v>
      </c>
      <c r="E32" s="967"/>
      <c r="F32" s="967"/>
      <c r="H32" s="967"/>
      <c r="I32" s="967"/>
      <c r="J32" s="967"/>
      <c r="K32" s="967"/>
      <c r="L32" s="967"/>
    </row>
    <row r="33" spans="1:36" s="114" customFormat="1">
      <c r="A33" s="431" t="s">
        <v>603</v>
      </c>
      <c r="B33" s="967">
        <f>((((B13/B5))^(1/8))-1)*100</f>
        <v>0</v>
      </c>
      <c r="C33" s="967">
        <f t="shared" ref="C33:L33" si="0">((((C13/C5))^(1/8))-1)*100</f>
        <v>1.190185350861106</v>
      </c>
      <c r="D33" s="967">
        <f t="shared" si="0"/>
        <v>1.2519868112387256</v>
      </c>
      <c r="E33" s="967">
        <f t="shared" si="0"/>
        <v>-0.31981253037391966</v>
      </c>
      <c r="F33" s="967">
        <f t="shared" si="0"/>
        <v>7.4651937535419322E-3</v>
      </c>
      <c r="G33" s="967">
        <f t="shared" si="0"/>
        <v>-1.045534850940133</v>
      </c>
      <c r="H33" s="967">
        <f t="shared" si="0"/>
        <v>0.37953528666800906</v>
      </c>
      <c r="I33" s="967">
        <f t="shared" si="0"/>
        <v>-0.6041984175484183</v>
      </c>
      <c r="J33" s="967">
        <f t="shared" si="0"/>
        <v>1.9895445624373842</v>
      </c>
      <c r="K33" s="967">
        <f t="shared" si="0"/>
        <v>0.9741925901490589</v>
      </c>
      <c r="L33" s="967">
        <f t="shared" si="0"/>
        <v>-0.50154804281428156</v>
      </c>
    </row>
    <row r="34" spans="1:36" s="114" customFormat="1">
      <c r="A34" s="431" t="s">
        <v>604</v>
      </c>
      <c r="B34" s="967">
        <f t="shared" ref="B34:L34" si="1">((((B24/B13))^(1/11))-1)*100</f>
        <v>0</v>
      </c>
      <c r="C34" s="967">
        <f t="shared" si="1"/>
        <v>-1.5653160196766214</v>
      </c>
      <c r="D34" s="967">
        <f t="shared" si="1"/>
        <v>-0.16510555755447909</v>
      </c>
      <c r="E34" s="967">
        <f t="shared" si="1"/>
        <v>0.68734634002343142</v>
      </c>
      <c r="F34" s="967">
        <f t="shared" si="1"/>
        <v>0.2462950647757145</v>
      </c>
      <c r="G34" s="967">
        <f t="shared" si="1"/>
        <v>0.50212535733156205</v>
      </c>
      <c r="H34" s="967">
        <f t="shared" si="1"/>
        <v>0.25642709482471826</v>
      </c>
      <c r="I34" s="967">
        <f t="shared" si="1"/>
        <v>-0.83239778537886888</v>
      </c>
      <c r="J34" s="967">
        <f t="shared" si="1"/>
        <v>-0.69069838087950641</v>
      </c>
      <c r="K34" s="967">
        <f t="shared" si="1"/>
        <v>-1.2131652849913133</v>
      </c>
      <c r="L34" s="967">
        <f t="shared" si="1"/>
        <v>0.46004953821279226</v>
      </c>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row>
    <row r="35" spans="1:36" s="114" customFormat="1">
      <c r="A35" s="431" t="s">
        <v>447</v>
      </c>
      <c r="B35" s="23">
        <f>((((B31/B5))^(1/26))-1)*100</f>
        <v>0</v>
      </c>
      <c r="C35" s="23">
        <f t="shared" ref="C35:L35" si="2">((((C31/C5))^(1/26))-1)*100</f>
        <v>-0.64645035477947088</v>
      </c>
      <c r="D35" s="23">
        <f t="shared" si="2"/>
        <v>0.8446595995893702</v>
      </c>
      <c r="E35" s="23">
        <f t="shared" si="2"/>
        <v>0.49590779496160309</v>
      </c>
      <c r="F35" s="23">
        <f t="shared" si="2"/>
        <v>-0.14504980855514216</v>
      </c>
      <c r="G35" s="23">
        <f t="shared" si="2"/>
        <v>-0.17603539881315688</v>
      </c>
      <c r="H35" s="23">
        <f t="shared" si="2"/>
        <v>0.22995335233606529</v>
      </c>
      <c r="I35" s="23">
        <f t="shared" si="2"/>
        <v>-0.48359888039002374</v>
      </c>
      <c r="J35" s="23">
        <f t="shared" si="2"/>
        <v>0.42531752303192061</v>
      </c>
      <c r="K35" s="23">
        <f t="shared" si="2"/>
        <v>-0.20227105385114408</v>
      </c>
      <c r="L35" s="23">
        <f t="shared" si="2"/>
        <v>5.306531362911926E-2</v>
      </c>
    </row>
    <row r="36" spans="1:36" s="114" customFormat="1">
      <c r="A36" s="431" t="s">
        <v>449</v>
      </c>
      <c r="B36" s="967">
        <f>((((B31/B24))^(1/7))-1)*100</f>
        <v>0</v>
      </c>
      <c r="C36" s="967">
        <f t="shared" ref="C36:L36" si="3">((((C31/C24))^(1/7))-1)*100</f>
        <v>-1.273658998759486</v>
      </c>
      <c r="D36" s="967">
        <f t="shared" si="3"/>
        <v>1.9812088081082369</v>
      </c>
      <c r="E36" s="967">
        <f t="shared" si="3"/>
        <v>1.1334315289650565</v>
      </c>
      <c r="F36" s="967">
        <f t="shared" si="3"/>
        <v>-0.92988768688898604</v>
      </c>
      <c r="G36" s="967">
        <f t="shared" si="3"/>
        <v>-0.24002575010302341</v>
      </c>
      <c r="H36" s="967">
        <f t="shared" si="3"/>
        <v>1.7758837260517524E-2</v>
      </c>
      <c r="I36" s="967">
        <f t="shared" si="3"/>
        <v>0.20576479798379843</v>
      </c>
      <c r="J36" s="967">
        <f t="shared" si="3"/>
        <v>0.41496628020973869</v>
      </c>
      <c r="K36" s="967">
        <f t="shared" si="3"/>
        <v>5.8049613826138824E-2</v>
      </c>
      <c r="L36" s="967">
        <f t="shared" si="3"/>
        <v>5.0423044151659546E-2</v>
      </c>
    </row>
    <row r="37" spans="1:36" s="114" customFormat="1">
      <c r="A37" s="431"/>
      <c r="D37" s="967" t="s">
        <v>276</v>
      </c>
    </row>
    <row r="38" spans="1:36" s="114" customFormat="1">
      <c r="A38" s="431" t="s">
        <v>447</v>
      </c>
      <c r="B38" s="10">
        <f>(B31/B5-1)*100</f>
        <v>0</v>
      </c>
      <c r="C38" s="10">
        <f t="shared" ref="C38:L38" si="4">(C31/C5-1)*100</f>
        <v>-15.517241379310331</v>
      </c>
      <c r="D38" s="10">
        <f t="shared" si="4"/>
        <v>24.444444444444425</v>
      </c>
      <c r="E38" s="10">
        <f t="shared" si="4"/>
        <v>13.725490196078404</v>
      </c>
      <c r="F38" s="10">
        <f t="shared" si="4"/>
        <v>-3.7037037037036979</v>
      </c>
      <c r="G38" s="10">
        <f t="shared" si="4"/>
        <v>-4.4776119402985204</v>
      </c>
      <c r="H38" s="10">
        <f t="shared" si="4"/>
        <v>6.1538461538461542</v>
      </c>
      <c r="I38" s="10">
        <f t="shared" si="4"/>
        <v>-11.842105263157887</v>
      </c>
      <c r="J38" s="10">
        <f t="shared" si="4"/>
        <v>11.66666666666667</v>
      </c>
      <c r="K38" s="10">
        <f t="shared" si="4"/>
        <v>-5.1282051282051322</v>
      </c>
      <c r="L38" s="10">
        <f t="shared" si="4"/>
        <v>1.388888888888884</v>
      </c>
    </row>
    <row r="39" spans="1:36">
      <c r="A39" s="4"/>
      <c r="B39" s="4"/>
    </row>
    <row r="40" spans="1:36">
      <c r="A40" s="4" t="s">
        <v>205</v>
      </c>
    </row>
    <row r="41" spans="1:36" ht="54" customHeight="1">
      <c r="A41" s="1170" t="s">
        <v>161</v>
      </c>
      <c r="B41" s="1190"/>
      <c r="C41" s="1190"/>
      <c r="D41" s="1190"/>
      <c r="E41" s="1190"/>
      <c r="F41" s="1190"/>
      <c r="G41" s="1190"/>
      <c r="H41" s="1190"/>
      <c r="I41" s="1190"/>
      <c r="J41" s="1190"/>
      <c r="K41" s="1190"/>
      <c r="L41" s="1190"/>
    </row>
    <row r="42" spans="1:36">
      <c r="A42" s="4"/>
      <c r="B42" s="4"/>
      <c r="C42" s="4"/>
      <c r="D42" s="4"/>
      <c r="E42" s="4"/>
      <c r="F42" s="4"/>
      <c r="G42" s="4"/>
      <c r="H42" s="4"/>
      <c r="I42" s="4"/>
      <c r="J42" s="4"/>
      <c r="K42" s="4"/>
      <c r="L42" s="4"/>
    </row>
    <row r="43" spans="1:36">
      <c r="A43" s="4"/>
      <c r="B43" s="4"/>
      <c r="C43" s="4"/>
      <c r="D43" s="4"/>
      <c r="E43" s="4"/>
      <c r="F43" s="4"/>
      <c r="G43" s="4"/>
      <c r="H43" s="4"/>
      <c r="I43" s="4"/>
      <c r="J43" s="4"/>
      <c r="K43" s="4"/>
      <c r="L43" s="4"/>
    </row>
  </sheetData>
  <mergeCells count="13">
    <mergeCell ref="B1:L1"/>
    <mergeCell ref="C3:C4"/>
    <mergeCell ref="D3:D4"/>
    <mergeCell ref="E3:E4"/>
    <mergeCell ref="A41:L41"/>
    <mergeCell ref="J3:J4"/>
    <mergeCell ref="K3:K4"/>
    <mergeCell ref="L3:L4"/>
    <mergeCell ref="F3:F4"/>
    <mergeCell ref="G3:G4"/>
    <mergeCell ref="H3:H4"/>
    <mergeCell ref="I3:I4"/>
    <mergeCell ref="B3:B4"/>
  </mergeCells>
  <phoneticPr fontId="35" type="noConversion"/>
  <pageMargins left="0.75" right="0.75" top="1" bottom="1" header="0.5" footer="0.5"/>
  <pageSetup scale="80" orientation="landscape" horizontalDpi="300" verticalDpi="300" r:id="rId1"/>
  <headerFooter alignWithMargins="0"/>
</worksheet>
</file>

<file path=xl/worksheets/sheet87.xml><?xml version="1.0" encoding="utf-8"?>
<worksheet xmlns="http://schemas.openxmlformats.org/spreadsheetml/2006/main" xmlns:r="http://schemas.openxmlformats.org/officeDocument/2006/relationships">
  <sheetPr codeName="Sheet107">
    <pageSetUpPr fitToPage="1"/>
  </sheetPr>
  <dimension ref="A1:AW58"/>
  <sheetViews>
    <sheetView view="pageBreakPreview" zoomScale="70" zoomScaleNormal="66" zoomScaleSheetLayoutView="70" workbookViewId="0">
      <pane xSplit="8" ySplit="4" topLeftCell="I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6" width="2.5703125" style="1" customWidth="1"/>
    <col min="7" max="7" width="9.7109375" style="1" bestFit="1" customWidth="1"/>
    <col min="8" max="8" width="11.42578125" style="1" customWidth="1"/>
    <col min="9" max="25" width="7.140625" style="652" customWidth="1"/>
    <col min="26" max="27" width="7.140625" style="1" customWidth="1"/>
    <col min="28" max="28" width="7.140625" style="1145" customWidth="1"/>
    <col min="29" max="34" width="7.140625" style="1" customWidth="1"/>
    <col min="35" max="35" width="6" style="1" customWidth="1"/>
    <col min="36" max="16384" width="9.140625" style="1"/>
  </cols>
  <sheetData>
    <row r="1" spans="1:49" ht="15.75" customHeight="1">
      <c r="A1" s="1178" t="s">
        <v>2171</v>
      </c>
      <c r="B1" s="1178"/>
      <c r="C1" s="1178"/>
      <c r="D1" s="1178"/>
      <c r="E1" s="1178"/>
      <c r="F1" s="1178"/>
      <c r="G1" s="1178"/>
      <c r="H1" s="1178"/>
      <c r="I1" s="1178"/>
      <c r="J1" s="1178"/>
      <c r="K1" s="1178"/>
      <c r="L1" s="1178"/>
      <c r="M1" s="1178"/>
      <c r="N1" s="1178"/>
      <c r="O1" s="1178"/>
      <c r="P1" s="1178"/>
      <c r="Q1" s="1178"/>
      <c r="R1" s="1178"/>
      <c r="S1" s="1178"/>
      <c r="T1" s="1178"/>
      <c r="U1" s="1178"/>
      <c r="V1" s="1178"/>
      <c r="W1" s="1178"/>
      <c r="X1" s="1178"/>
      <c r="Y1" s="1178"/>
      <c r="Z1" s="1178"/>
      <c r="AA1" s="1178"/>
      <c r="AB1" s="1178"/>
      <c r="AC1" s="1178"/>
    </row>
    <row r="2" spans="1:49">
      <c r="A2" s="4"/>
      <c r="B2" s="4"/>
    </row>
    <row r="3" spans="1:49" s="9" customFormat="1">
      <c r="I3" s="665"/>
      <c r="J3" s="238"/>
      <c r="K3" s="666"/>
      <c r="L3" s="666"/>
      <c r="M3" s="666"/>
      <c r="N3" s="666"/>
      <c r="O3" s="666"/>
      <c r="P3" s="666"/>
      <c r="Q3" s="666"/>
      <c r="R3" s="666"/>
      <c r="S3" s="666"/>
      <c r="T3" s="666"/>
      <c r="U3" s="666"/>
      <c r="V3" s="666"/>
      <c r="W3" s="666"/>
      <c r="X3" s="666"/>
      <c r="Y3" s="666"/>
      <c r="AC3" s="1171" t="s">
        <v>802</v>
      </c>
      <c r="AD3" s="1171"/>
      <c r="AE3" s="1171"/>
      <c r="AF3" s="1171"/>
      <c r="AH3" s="644" t="s">
        <v>276</v>
      </c>
    </row>
    <row r="4" spans="1:49" s="235" customFormat="1">
      <c r="A4" s="667"/>
      <c r="B4" s="667"/>
      <c r="C4" s="667"/>
      <c r="D4" s="667"/>
      <c r="E4" s="667"/>
      <c r="F4" s="667"/>
      <c r="G4" s="667"/>
      <c r="H4" s="667"/>
      <c r="I4" s="237">
        <v>1981</v>
      </c>
      <c r="J4" s="239">
        <v>1989</v>
      </c>
      <c r="K4" s="132">
        <v>1990</v>
      </c>
      <c r="L4" s="132">
        <v>1991</v>
      </c>
      <c r="M4" s="132">
        <v>1992</v>
      </c>
      <c r="N4" s="132">
        <v>1993</v>
      </c>
      <c r="O4" s="132">
        <v>1994</v>
      </c>
      <c r="P4" s="132">
        <v>1995</v>
      </c>
      <c r="Q4" s="132">
        <v>1996</v>
      </c>
      <c r="R4" s="132">
        <v>1997</v>
      </c>
      <c r="S4" s="132">
        <v>1998</v>
      </c>
      <c r="T4" s="132">
        <v>1999</v>
      </c>
      <c r="U4" s="132">
        <v>2000</v>
      </c>
      <c r="V4" s="132">
        <v>2001</v>
      </c>
      <c r="W4" s="132">
        <v>2002</v>
      </c>
      <c r="X4" s="132">
        <v>2003</v>
      </c>
      <c r="Y4" s="132">
        <v>2004</v>
      </c>
      <c r="Z4" s="132">
        <v>2005</v>
      </c>
      <c r="AA4" s="132">
        <v>2006</v>
      </c>
      <c r="AB4" s="132">
        <v>2007</v>
      </c>
      <c r="AC4" s="241" t="s">
        <v>603</v>
      </c>
      <c r="AD4" s="241" t="s">
        <v>604</v>
      </c>
      <c r="AE4" s="241" t="s">
        <v>819</v>
      </c>
      <c r="AF4" s="241" t="s">
        <v>818</v>
      </c>
      <c r="AG4" s="241"/>
      <c r="AH4" s="241" t="s">
        <v>819</v>
      </c>
      <c r="AI4" s="9"/>
      <c r="AJ4" s="9"/>
      <c r="AK4" s="9"/>
      <c r="AL4" s="9"/>
      <c r="AM4" s="9"/>
      <c r="AN4" s="9"/>
      <c r="AO4" s="9"/>
      <c r="AP4" s="9"/>
      <c r="AQ4" s="9"/>
      <c r="AR4" s="9"/>
      <c r="AS4" s="9"/>
      <c r="AT4" s="9"/>
      <c r="AU4" s="9"/>
      <c r="AV4" s="9"/>
      <c r="AW4" s="9"/>
    </row>
    <row r="5" spans="1:49">
      <c r="A5" s="128" t="s">
        <v>964</v>
      </c>
      <c r="I5" s="20">
        <v>6600</v>
      </c>
      <c r="J5" s="240">
        <v>8400</v>
      </c>
      <c r="K5" s="19">
        <v>6600</v>
      </c>
      <c r="L5" s="19">
        <v>6600</v>
      </c>
      <c r="M5" s="19">
        <v>6400</v>
      </c>
      <c r="N5" s="19">
        <v>8100</v>
      </c>
      <c r="O5" s="19">
        <v>7900</v>
      </c>
      <c r="P5" s="19">
        <v>8000</v>
      </c>
      <c r="Q5" s="19">
        <v>7500</v>
      </c>
      <c r="R5" s="19">
        <v>7400</v>
      </c>
      <c r="S5" s="19">
        <v>8800</v>
      </c>
      <c r="T5" s="19">
        <v>8600</v>
      </c>
      <c r="U5" s="19">
        <v>8700</v>
      </c>
      <c r="V5" s="19">
        <v>7500</v>
      </c>
      <c r="W5" s="19">
        <v>8100</v>
      </c>
      <c r="X5" s="19">
        <v>7600</v>
      </c>
      <c r="Y5" s="19">
        <v>8000</v>
      </c>
      <c r="Z5" s="19">
        <v>8400</v>
      </c>
      <c r="AA5" s="19">
        <v>7500</v>
      </c>
      <c r="AB5" s="19">
        <v>6900</v>
      </c>
      <c r="AC5" s="10">
        <f>((((J5/I5))^(1/8))-1)*100</f>
        <v>3.0604225664605078</v>
      </c>
      <c r="AD5" s="10">
        <f>((((U5/J5))^(1/11))-1)*100</f>
        <v>0.31952138308168898</v>
      </c>
      <c r="AE5" s="10">
        <f>((((AA5/I5))^(1/25))-1)*100</f>
        <v>0.51264302679798757</v>
      </c>
      <c r="AF5" s="10">
        <f>((((AA5/U5))^(1/6))-1)*100</f>
        <v>-2.443322337457221</v>
      </c>
      <c r="AG5" s="25"/>
      <c r="AH5" s="10">
        <f>((AA5/I5)-1)*100</f>
        <v>13.636363636363647</v>
      </c>
    </row>
    <row r="6" spans="1:49">
      <c r="I6" s="20"/>
      <c r="J6" s="240"/>
      <c r="K6" s="19"/>
      <c r="L6" s="19"/>
      <c r="M6" s="19"/>
      <c r="N6" s="19"/>
      <c r="O6" s="19"/>
      <c r="P6" s="19"/>
      <c r="Q6" s="19"/>
      <c r="R6" s="19"/>
      <c r="S6" s="19"/>
      <c r="T6" s="19"/>
      <c r="U6" s="19"/>
      <c r="V6" s="19"/>
      <c r="W6" s="19"/>
      <c r="X6" s="19"/>
      <c r="Y6" s="19"/>
      <c r="Z6" s="19"/>
      <c r="AA6" s="19"/>
      <c r="AB6" s="19"/>
      <c r="AC6" s="6"/>
      <c r="AD6" s="6"/>
      <c r="AE6" s="10"/>
      <c r="AF6" s="10"/>
      <c r="AG6" s="25"/>
      <c r="AH6" s="10"/>
    </row>
    <row r="7" spans="1:49">
      <c r="B7" s="128" t="s">
        <v>610</v>
      </c>
      <c r="I7" s="20">
        <v>8100</v>
      </c>
      <c r="J7" s="240">
        <v>7300</v>
      </c>
      <c r="K7" s="19">
        <v>7900</v>
      </c>
      <c r="L7" s="19">
        <v>7700</v>
      </c>
      <c r="M7" s="19">
        <v>7800</v>
      </c>
      <c r="N7" s="19">
        <v>7700</v>
      </c>
      <c r="O7" s="19">
        <v>7800</v>
      </c>
      <c r="P7" s="19">
        <v>7900</v>
      </c>
      <c r="Q7" s="19">
        <v>8000</v>
      </c>
      <c r="R7" s="19">
        <v>8100</v>
      </c>
      <c r="S7" s="19">
        <v>8300</v>
      </c>
      <c r="T7" s="19">
        <v>8000</v>
      </c>
      <c r="U7" s="19">
        <v>7900</v>
      </c>
      <c r="V7" s="19">
        <v>7800</v>
      </c>
      <c r="W7" s="19">
        <v>7900</v>
      </c>
      <c r="X7" s="19">
        <v>7600</v>
      </c>
      <c r="Y7" s="19">
        <v>7700</v>
      </c>
      <c r="Z7" s="19">
        <v>8200</v>
      </c>
      <c r="AA7" s="19">
        <v>7100</v>
      </c>
      <c r="AB7" s="19">
        <v>7200</v>
      </c>
      <c r="AC7" s="10">
        <f>((((J7/I7))^(1/8))-1)*100</f>
        <v>-1.2914595776744253</v>
      </c>
      <c r="AD7" s="10">
        <f>((((U7/J7))^(1/11))-1)*100</f>
        <v>0.7206608177612317</v>
      </c>
      <c r="AE7" s="10">
        <f>((((AA7/I7))^(1/25))-1)*100</f>
        <v>-0.52569049636724818</v>
      </c>
      <c r="AF7" s="10">
        <f>((((AA7/U7))^(1/6))-1)*100</f>
        <v>-1.7637272513331803</v>
      </c>
      <c r="AG7" s="25"/>
      <c r="AH7" s="10">
        <f>((AA7/I7)-1)*100</f>
        <v>-12.345679012345679</v>
      </c>
    </row>
    <row r="8" spans="1:49">
      <c r="B8" s="128"/>
      <c r="I8" s="20"/>
      <c r="J8" s="240"/>
      <c r="K8" s="19"/>
      <c r="L8" s="19"/>
      <c r="M8" s="19"/>
      <c r="N8" s="19"/>
      <c r="O8" s="19"/>
      <c r="P8" s="19"/>
      <c r="Q8" s="19"/>
      <c r="R8" s="19"/>
      <c r="S8" s="19"/>
      <c r="T8" s="19"/>
      <c r="U8" s="19"/>
      <c r="V8" s="19"/>
      <c r="W8" s="19"/>
      <c r="X8" s="19"/>
      <c r="Y8" s="19"/>
      <c r="Z8" s="19"/>
      <c r="AA8" s="19"/>
      <c r="AB8" s="19"/>
      <c r="AC8" s="6"/>
      <c r="AD8" s="6"/>
      <c r="AE8" s="10"/>
      <c r="AF8" s="10"/>
      <c r="AG8" s="25"/>
      <c r="AH8" s="10"/>
    </row>
    <row r="9" spans="1:49">
      <c r="C9" s="128" t="s">
        <v>921</v>
      </c>
      <c r="I9" s="20">
        <v>4500</v>
      </c>
      <c r="J9" s="240">
        <v>4800</v>
      </c>
      <c r="K9" s="19">
        <v>3900</v>
      </c>
      <c r="L9" s="19">
        <v>3500</v>
      </c>
      <c r="M9" s="19">
        <v>4100</v>
      </c>
      <c r="N9" s="19">
        <v>6100</v>
      </c>
      <c r="O9" s="19">
        <v>5000</v>
      </c>
      <c r="P9" s="19">
        <v>3500</v>
      </c>
      <c r="Q9" s="19">
        <v>5400</v>
      </c>
      <c r="R9" s="19">
        <v>6000</v>
      </c>
      <c r="S9" s="19">
        <v>5900</v>
      </c>
      <c r="T9" s="19">
        <v>4000</v>
      </c>
      <c r="U9" s="19">
        <v>5800</v>
      </c>
      <c r="V9" s="19">
        <v>5100</v>
      </c>
      <c r="W9" s="19">
        <v>5500</v>
      </c>
      <c r="X9" s="19">
        <v>5400</v>
      </c>
      <c r="Y9" s="19">
        <v>4400</v>
      </c>
      <c r="Z9" s="19">
        <v>5800</v>
      </c>
      <c r="AA9" s="19">
        <v>6600</v>
      </c>
      <c r="AB9" s="19">
        <v>6900</v>
      </c>
      <c r="AC9" s="10">
        <f>((((J9/I9))^(1/8))-1)*100</f>
        <v>0.80999436113611267</v>
      </c>
      <c r="AD9" s="10">
        <f>((((U9/J9))^(1/11))-1)*100</f>
        <v>1.7352656130535937</v>
      </c>
      <c r="AE9" s="10">
        <f>((((AA9/I9))^(1/25))-1)*100</f>
        <v>1.5437638081650107</v>
      </c>
      <c r="AF9" s="10">
        <f>((((AA9/U9))^(1/6))-1)*100</f>
        <v>2.1768846472874692</v>
      </c>
      <c r="AG9" s="25"/>
      <c r="AH9" s="10">
        <f>((AA9/I9)-1)*100</f>
        <v>46.666666666666657</v>
      </c>
    </row>
    <row r="10" spans="1:49">
      <c r="C10" s="1" t="s">
        <v>611</v>
      </c>
      <c r="I10" s="20">
        <v>3600</v>
      </c>
      <c r="J10" s="240">
        <v>4000</v>
      </c>
      <c r="K10" s="19">
        <v>4100</v>
      </c>
      <c r="L10" s="19">
        <v>3900</v>
      </c>
      <c r="M10" s="19">
        <v>3900</v>
      </c>
      <c r="N10" s="19">
        <v>4900</v>
      </c>
      <c r="O10" s="19">
        <v>5100</v>
      </c>
      <c r="P10" s="19">
        <v>3600</v>
      </c>
      <c r="Q10" s="19">
        <v>5900</v>
      </c>
      <c r="R10" s="19">
        <v>6600</v>
      </c>
      <c r="S10" s="19">
        <v>7500</v>
      </c>
      <c r="T10" s="19">
        <v>2700</v>
      </c>
      <c r="U10" s="19">
        <v>7100</v>
      </c>
      <c r="V10" s="19">
        <v>5900</v>
      </c>
      <c r="W10" s="19">
        <v>5800</v>
      </c>
      <c r="X10" s="19">
        <v>6900</v>
      </c>
      <c r="Y10" s="19">
        <v>5600</v>
      </c>
      <c r="Z10" s="19">
        <v>5100</v>
      </c>
      <c r="AA10" s="10" t="s">
        <v>374</v>
      </c>
      <c r="AB10" s="10" t="s">
        <v>374</v>
      </c>
      <c r="AC10" s="10">
        <f>((((J10/I10))^(1/8))-1)*100</f>
        <v>1.3257171738912943</v>
      </c>
      <c r="AD10" s="10">
        <f>((((U10/J10))^(1/11))-1)*100</f>
        <v>5.3548167699988491</v>
      </c>
      <c r="AE10" s="10" t="s">
        <v>374</v>
      </c>
      <c r="AF10" s="10" t="s">
        <v>374</v>
      </c>
      <c r="AG10" s="25"/>
      <c r="AH10" s="10" t="s">
        <v>374</v>
      </c>
    </row>
    <row r="11" spans="1:49">
      <c r="C11" s="1" t="s">
        <v>612</v>
      </c>
      <c r="I11" s="20">
        <v>5800</v>
      </c>
      <c r="J11" s="240">
        <v>5900</v>
      </c>
      <c r="K11" s="19">
        <v>3600</v>
      </c>
      <c r="L11" s="19">
        <v>2700</v>
      </c>
      <c r="M11" s="19">
        <v>4200</v>
      </c>
      <c r="N11" s="19">
        <v>6900</v>
      </c>
      <c r="O11" s="19">
        <v>4900</v>
      </c>
      <c r="P11" s="19">
        <v>3400</v>
      </c>
      <c r="Q11" s="19">
        <v>5000</v>
      </c>
      <c r="R11" s="19">
        <v>5400</v>
      </c>
      <c r="S11" s="19">
        <v>5000</v>
      </c>
      <c r="T11" s="19">
        <v>4600</v>
      </c>
      <c r="U11" s="19">
        <v>5300</v>
      </c>
      <c r="V11" s="19">
        <v>4300</v>
      </c>
      <c r="W11" s="19">
        <v>5300</v>
      </c>
      <c r="X11" s="19">
        <v>3900</v>
      </c>
      <c r="Y11" s="19">
        <v>3400</v>
      </c>
      <c r="Z11" s="10" t="s">
        <v>374</v>
      </c>
      <c r="AA11" s="10" t="s">
        <v>374</v>
      </c>
      <c r="AB11" s="10" t="s">
        <v>374</v>
      </c>
      <c r="AC11" s="10">
        <f>((((J11/I11))^(1/8))-1)*100</f>
        <v>0.21390887628955912</v>
      </c>
      <c r="AD11" s="10">
        <f>((((U11/J11))^(1/11))-1)*100</f>
        <v>-0.97022204616672436</v>
      </c>
      <c r="AE11" s="10" t="s">
        <v>374</v>
      </c>
      <c r="AF11" s="10" t="s">
        <v>374</v>
      </c>
      <c r="AG11" s="25"/>
      <c r="AH11" s="10" t="s">
        <v>374</v>
      </c>
    </row>
    <row r="12" spans="1:49">
      <c r="I12" s="20"/>
      <c r="J12" s="240"/>
      <c r="K12" s="19"/>
      <c r="L12" s="19"/>
      <c r="M12" s="19"/>
      <c r="N12" s="19"/>
      <c r="O12" s="19"/>
      <c r="P12" s="19"/>
      <c r="Q12" s="19"/>
      <c r="R12" s="19"/>
      <c r="S12" s="19"/>
      <c r="T12" s="19"/>
      <c r="U12" s="19"/>
      <c r="V12" s="19"/>
      <c r="W12" s="19"/>
      <c r="X12" s="19"/>
      <c r="Y12" s="19"/>
      <c r="Z12" s="19"/>
      <c r="AA12" s="19"/>
      <c r="AB12" s="19"/>
      <c r="AC12" s="6"/>
      <c r="AD12" s="6"/>
      <c r="AE12" s="10"/>
      <c r="AF12" s="10"/>
      <c r="AG12" s="25"/>
      <c r="AH12" s="10"/>
    </row>
    <row r="13" spans="1:49">
      <c r="C13" s="128" t="s">
        <v>922</v>
      </c>
      <c r="I13" s="20">
        <v>8600</v>
      </c>
      <c r="J13" s="240">
        <v>7500</v>
      </c>
      <c r="K13" s="19">
        <v>8100</v>
      </c>
      <c r="L13" s="19">
        <v>7900</v>
      </c>
      <c r="M13" s="19">
        <v>7900</v>
      </c>
      <c r="N13" s="19">
        <v>7800</v>
      </c>
      <c r="O13" s="19">
        <v>7900</v>
      </c>
      <c r="P13" s="19">
        <v>8100</v>
      </c>
      <c r="Q13" s="19">
        <v>8100</v>
      </c>
      <c r="R13" s="19">
        <v>8200</v>
      </c>
      <c r="S13" s="19">
        <v>8400</v>
      </c>
      <c r="T13" s="19">
        <v>8200</v>
      </c>
      <c r="U13" s="19">
        <v>8000</v>
      </c>
      <c r="V13" s="19">
        <v>8000</v>
      </c>
      <c r="W13" s="19">
        <v>8000</v>
      </c>
      <c r="X13" s="19">
        <v>7700</v>
      </c>
      <c r="Y13" s="19">
        <v>7900</v>
      </c>
      <c r="Z13" s="19">
        <v>8300</v>
      </c>
      <c r="AA13" s="19">
        <v>7200</v>
      </c>
      <c r="AB13" s="19">
        <v>7200</v>
      </c>
      <c r="AC13" s="10">
        <f>((((J13/I13))^(1/8))-1)*100</f>
        <v>-1.696189720315322</v>
      </c>
      <c r="AD13" s="10">
        <f>((((U13/J13))^(1/11))-1)*100</f>
        <v>0.58843836515491965</v>
      </c>
      <c r="AE13" s="10">
        <f>((((AA13/I13))^(1/25))-1)*100</f>
        <v>-0.7082050337421264</v>
      </c>
      <c r="AF13" s="10">
        <f>((((AA13/U13))^(1/6))-1)*100</f>
        <v>-1.7406806147310161</v>
      </c>
      <c r="AG13" s="25"/>
      <c r="AH13" s="10">
        <f>((AA13/I13)-1)*100</f>
        <v>-16.279069767441857</v>
      </c>
    </row>
    <row r="14" spans="1:49">
      <c r="C14" s="128"/>
      <c r="I14" s="20"/>
      <c r="J14" s="240"/>
      <c r="K14" s="19"/>
      <c r="L14" s="19"/>
      <c r="M14" s="19"/>
      <c r="N14" s="19"/>
      <c r="O14" s="19"/>
      <c r="P14" s="19"/>
      <c r="Q14" s="19"/>
      <c r="R14" s="19"/>
      <c r="S14" s="19"/>
      <c r="T14" s="19"/>
      <c r="U14" s="19"/>
      <c r="V14" s="19"/>
      <c r="W14" s="19"/>
      <c r="X14" s="19"/>
      <c r="Y14" s="19"/>
      <c r="Z14" s="19"/>
      <c r="AA14" s="19"/>
      <c r="AB14" s="19"/>
      <c r="AC14" s="6"/>
      <c r="AD14" s="6"/>
      <c r="AE14" s="10"/>
      <c r="AF14" s="10"/>
      <c r="AG14" s="25"/>
      <c r="AH14" s="10"/>
    </row>
    <row r="15" spans="1:49">
      <c r="D15" s="128" t="s">
        <v>923</v>
      </c>
      <c r="I15" s="20">
        <v>6700</v>
      </c>
      <c r="J15" s="240">
        <v>6200</v>
      </c>
      <c r="K15" s="19">
        <v>7000</v>
      </c>
      <c r="L15" s="19">
        <v>6800</v>
      </c>
      <c r="M15" s="19">
        <v>6500</v>
      </c>
      <c r="N15" s="19">
        <v>6900</v>
      </c>
      <c r="O15" s="19">
        <v>6200</v>
      </c>
      <c r="P15" s="19">
        <v>6500</v>
      </c>
      <c r="Q15" s="19">
        <v>6600</v>
      </c>
      <c r="R15" s="19">
        <v>6800</v>
      </c>
      <c r="S15" s="19">
        <v>7600</v>
      </c>
      <c r="T15" s="19">
        <v>8300</v>
      </c>
      <c r="U15" s="19">
        <v>7900</v>
      </c>
      <c r="V15" s="19">
        <v>6900</v>
      </c>
      <c r="W15" s="19">
        <v>7200</v>
      </c>
      <c r="X15" s="19">
        <v>7500</v>
      </c>
      <c r="Y15" s="19">
        <v>6700</v>
      </c>
      <c r="Z15" s="19">
        <v>7400</v>
      </c>
      <c r="AA15" s="19">
        <v>6100</v>
      </c>
      <c r="AB15" s="19">
        <v>6200</v>
      </c>
      <c r="AC15" s="10">
        <f>((((J15/I15))^(1/8))-1)*100</f>
        <v>-0.96479364197867845</v>
      </c>
      <c r="AD15" s="10">
        <f>((((U15/J15))^(1/11))-1)*100</f>
        <v>2.2272915805851223</v>
      </c>
      <c r="AE15" s="10">
        <f>((((AA15/I15))^(1/25))-1)*100</f>
        <v>-0.37457174417980799</v>
      </c>
      <c r="AF15" s="10">
        <f>((((AA15/U15))^(1/6))-1)*100</f>
        <v>-4.2180243870550527</v>
      </c>
      <c r="AG15" s="25"/>
      <c r="AH15" s="10">
        <f>((AA15/I15)-1)*100</f>
        <v>-8.9552238805970177</v>
      </c>
    </row>
    <row r="16" spans="1:49">
      <c r="D16" s="1" t="s">
        <v>613</v>
      </c>
      <c r="I16" s="20">
        <v>7300</v>
      </c>
      <c r="J16" s="240">
        <v>6100</v>
      </c>
      <c r="K16" s="19">
        <v>7100</v>
      </c>
      <c r="L16" s="19">
        <v>7000</v>
      </c>
      <c r="M16" s="19">
        <v>7300</v>
      </c>
      <c r="N16" s="19">
        <v>8400</v>
      </c>
      <c r="O16" s="19">
        <v>7100</v>
      </c>
      <c r="P16" s="19">
        <v>6500</v>
      </c>
      <c r="Q16" s="19">
        <v>7100</v>
      </c>
      <c r="R16" s="19">
        <v>7500</v>
      </c>
      <c r="S16" s="19">
        <v>8900</v>
      </c>
      <c r="T16" s="19">
        <v>8900</v>
      </c>
      <c r="U16" s="19">
        <v>9000</v>
      </c>
      <c r="V16" s="19">
        <v>8200</v>
      </c>
      <c r="W16" s="19">
        <v>8900</v>
      </c>
      <c r="X16" s="19">
        <v>6800</v>
      </c>
      <c r="Y16" s="19">
        <v>7000</v>
      </c>
      <c r="Z16" s="19">
        <v>7900</v>
      </c>
      <c r="AA16" s="19">
        <v>7000</v>
      </c>
      <c r="AB16" s="19">
        <v>6100</v>
      </c>
      <c r="AC16" s="10">
        <f>((((J16/I16))^(1/8))-1)*100</f>
        <v>-2.2198111166557455</v>
      </c>
      <c r="AD16" s="10">
        <f>((((U16/J16))^(1/11))-1)*100</f>
        <v>3.5990320409658993</v>
      </c>
      <c r="AE16" s="10">
        <f>((((AA16/I16))^(1/25))-1)*100</f>
        <v>-0.16771599566786088</v>
      </c>
      <c r="AF16" s="10">
        <f>((((AA16/U16))^(1/6))-1)*100</f>
        <v>-4.1020650833898165</v>
      </c>
      <c r="AG16" s="25"/>
      <c r="AH16" s="10">
        <f>((AA16/I16)-1)*100</f>
        <v>-4.1095890410958962</v>
      </c>
    </row>
    <row r="17" spans="1:34">
      <c r="D17" s="1" t="s">
        <v>614</v>
      </c>
      <c r="I17" s="20">
        <v>6900</v>
      </c>
      <c r="J17" s="240">
        <v>7400</v>
      </c>
      <c r="K17" s="19">
        <v>7700</v>
      </c>
      <c r="L17" s="19">
        <v>6700</v>
      </c>
      <c r="M17" s="19">
        <v>5500</v>
      </c>
      <c r="N17" s="19">
        <v>5800</v>
      </c>
      <c r="O17" s="19">
        <v>6100</v>
      </c>
      <c r="P17" s="19">
        <v>6500</v>
      </c>
      <c r="Q17" s="19">
        <v>6800</v>
      </c>
      <c r="R17" s="19">
        <v>6600</v>
      </c>
      <c r="S17" s="19">
        <v>6300</v>
      </c>
      <c r="T17" s="19">
        <v>8700</v>
      </c>
      <c r="U17" s="19">
        <v>7300</v>
      </c>
      <c r="V17" s="19">
        <v>6600</v>
      </c>
      <c r="W17" s="19">
        <v>6900</v>
      </c>
      <c r="X17" s="19">
        <v>7800</v>
      </c>
      <c r="Y17" s="19">
        <v>6200</v>
      </c>
      <c r="Z17" s="19">
        <v>8000</v>
      </c>
      <c r="AA17" s="19">
        <v>6700</v>
      </c>
      <c r="AB17" s="19">
        <v>7100</v>
      </c>
      <c r="AC17" s="10">
        <f>((((J17/I17))^(1/8))-1)*100</f>
        <v>0.87831712452450805</v>
      </c>
      <c r="AD17" s="10">
        <f>((((U17/J17))^(1/11))-1)*100</f>
        <v>-0.12361128419697831</v>
      </c>
      <c r="AE17" s="10">
        <f>((((AA17/I17))^(1/25))-1)*100</f>
        <v>-0.11758635383051219</v>
      </c>
      <c r="AF17" s="10">
        <f>((((AA17/U17))^(1/6))-1)*100</f>
        <v>-1.4192789420408913</v>
      </c>
      <c r="AG17" s="25"/>
      <c r="AH17" s="10">
        <f>((AA17/I17)-1)*100</f>
        <v>-2.8985507246376829</v>
      </c>
    </row>
    <row r="18" spans="1:34">
      <c r="D18" s="1" t="s">
        <v>615</v>
      </c>
      <c r="I18" s="20">
        <v>5200</v>
      </c>
      <c r="J18" s="240">
        <v>5100</v>
      </c>
      <c r="K18" s="19">
        <v>5900</v>
      </c>
      <c r="L18" s="19">
        <v>6500</v>
      </c>
      <c r="M18" s="19">
        <v>6300</v>
      </c>
      <c r="N18" s="19">
        <v>5500</v>
      </c>
      <c r="O18" s="19">
        <v>5000</v>
      </c>
      <c r="P18" s="19">
        <v>6300</v>
      </c>
      <c r="Q18" s="19">
        <v>5500</v>
      </c>
      <c r="R18" s="19">
        <v>5900</v>
      </c>
      <c r="S18" s="19">
        <v>7100</v>
      </c>
      <c r="T18" s="19">
        <v>6500</v>
      </c>
      <c r="U18" s="19">
        <v>6900</v>
      </c>
      <c r="V18" s="19">
        <v>5100</v>
      </c>
      <c r="W18" s="19">
        <v>5400</v>
      </c>
      <c r="X18" s="19">
        <v>7800</v>
      </c>
      <c r="Y18" s="19">
        <v>6900</v>
      </c>
      <c r="Z18" s="19">
        <v>6200</v>
      </c>
      <c r="AA18" s="19">
        <v>4700</v>
      </c>
      <c r="AB18" s="19">
        <v>5500</v>
      </c>
      <c r="AC18" s="10">
        <f>((((J18/I18))^(1/8))-1)*100</f>
        <v>-0.24243173167672882</v>
      </c>
      <c r="AD18" s="10">
        <f>((((U18/J18))^(1/11))-1)*100</f>
        <v>2.7861139150004766</v>
      </c>
      <c r="AE18" s="10">
        <f>((((AA18/I18))^(1/25))-1)*100</f>
        <v>-0.40356793451272743</v>
      </c>
      <c r="AF18" s="10">
        <f>((((AA18/U18))^(1/6))-1)*100</f>
        <v>-6.1988575564388082</v>
      </c>
      <c r="AG18" s="25"/>
      <c r="AH18" s="10">
        <f>((AA18/I18)-1)*100</f>
        <v>-9.615384615384615</v>
      </c>
    </row>
    <row r="19" spans="1:34">
      <c r="I19" s="20"/>
      <c r="J19" s="240"/>
      <c r="K19" s="19"/>
      <c r="L19" s="19"/>
      <c r="M19" s="19"/>
      <c r="N19" s="19"/>
      <c r="O19" s="19"/>
      <c r="P19" s="19"/>
      <c r="Q19" s="19"/>
      <c r="R19" s="19"/>
      <c r="S19" s="19"/>
      <c r="T19" s="19"/>
      <c r="U19" s="19"/>
      <c r="V19" s="19"/>
      <c r="W19" s="19"/>
      <c r="X19" s="19"/>
      <c r="Y19" s="19"/>
      <c r="Z19" s="19"/>
      <c r="AA19" s="19"/>
      <c r="AB19" s="19"/>
      <c r="AC19" s="6"/>
      <c r="AD19" s="6"/>
      <c r="AE19" s="10"/>
      <c r="AF19" s="10"/>
      <c r="AG19" s="25"/>
      <c r="AH19" s="10"/>
    </row>
    <row r="20" spans="1:34">
      <c r="D20" s="128" t="s">
        <v>619</v>
      </c>
      <c r="I20" s="20">
        <v>9100</v>
      </c>
      <c r="J20" s="240">
        <v>8400</v>
      </c>
      <c r="K20" s="19">
        <v>9300</v>
      </c>
      <c r="L20" s="19">
        <v>8700</v>
      </c>
      <c r="M20" s="19">
        <v>9200</v>
      </c>
      <c r="N20" s="19">
        <v>8600</v>
      </c>
      <c r="O20" s="19">
        <v>9100</v>
      </c>
      <c r="P20" s="19">
        <v>9400</v>
      </c>
      <c r="Q20" s="19">
        <v>9500</v>
      </c>
      <c r="R20" s="19">
        <v>9500</v>
      </c>
      <c r="S20" s="19">
        <v>8900</v>
      </c>
      <c r="T20" s="19">
        <v>8900</v>
      </c>
      <c r="U20" s="19">
        <v>8900</v>
      </c>
      <c r="V20" s="19">
        <v>9500</v>
      </c>
      <c r="W20" s="19">
        <v>9300</v>
      </c>
      <c r="X20" s="19">
        <v>8700</v>
      </c>
      <c r="Y20" s="19">
        <v>9100</v>
      </c>
      <c r="Z20" s="19">
        <v>9500</v>
      </c>
      <c r="AA20" s="19">
        <v>7500</v>
      </c>
      <c r="AB20" s="19">
        <v>7600</v>
      </c>
      <c r="AC20" s="10">
        <f>((((J20/I20))^(1/8))-1)*100</f>
        <v>-0.99554515773597752</v>
      </c>
      <c r="AD20" s="10">
        <f>((((U20/J20))^(1/11))-1)*100</f>
        <v>0.5270163336839051</v>
      </c>
      <c r="AE20" s="10">
        <f>((((AA20/I20))^(1/25))-1)*100</f>
        <v>-0.7705018700627897</v>
      </c>
      <c r="AF20" s="10">
        <f>((((AA20/U20))^(1/6))-1)*100</f>
        <v>-2.8121720646641757</v>
      </c>
      <c r="AG20" s="25"/>
      <c r="AH20" s="10">
        <f>((AA20/I20)-1)*100</f>
        <v>-17.582417582417587</v>
      </c>
    </row>
    <row r="21" spans="1:34">
      <c r="D21" s="1" t="s">
        <v>613</v>
      </c>
      <c r="I21" s="20">
        <v>13200</v>
      </c>
      <c r="J21" s="240">
        <v>10200</v>
      </c>
      <c r="K21" s="19">
        <v>14100</v>
      </c>
      <c r="L21" s="19">
        <v>10900</v>
      </c>
      <c r="M21" s="19">
        <v>10500</v>
      </c>
      <c r="N21" s="19">
        <v>10800</v>
      </c>
      <c r="O21" s="19">
        <v>11300</v>
      </c>
      <c r="P21" s="19">
        <v>12400</v>
      </c>
      <c r="Q21" s="19">
        <v>12800</v>
      </c>
      <c r="R21" s="19">
        <v>13600</v>
      </c>
      <c r="S21" s="19">
        <v>12800</v>
      </c>
      <c r="T21" s="19">
        <v>11900</v>
      </c>
      <c r="U21" s="19">
        <v>11400</v>
      </c>
      <c r="V21" s="19">
        <v>12000</v>
      </c>
      <c r="W21" s="19">
        <v>11900</v>
      </c>
      <c r="X21" s="19">
        <v>11100</v>
      </c>
      <c r="Y21" s="19">
        <v>10900</v>
      </c>
      <c r="Z21" s="19">
        <v>13100</v>
      </c>
      <c r="AA21" s="19">
        <v>8400</v>
      </c>
      <c r="AB21" s="19">
        <v>10800</v>
      </c>
      <c r="AC21" s="10">
        <f>((((J21/I21))^(1/8))-1)*100</f>
        <v>-3.1714830657885051</v>
      </c>
      <c r="AD21" s="10">
        <f>((((U21/J21))^(1/11))-1)*100</f>
        <v>1.0162714531225969</v>
      </c>
      <c r="AE21" s="10">
        <f>((((AA21/I21))^(1/25))-1)*100</f>
        <v>-1.7916952992840462</v>
      </c>
      <c r="AF21" s="10">
        <f>((((AA21/U21))^(1/6))-1)*100</f>
        <v>-4.9623390213856977</v>
      </c>
      <c r="AG21" s="25"/>
      <c r="AH21" s="10">
        <f>((AA21/I21)-1)*100</f>
        <v>-36.363636363636367</v>
      </c>
    </row>
    <row r="22" spans="1:34">
      <c r="D22" s="1" t="s">
        <v>620</v>
      </c>
      <c r="I22" s="20">
        <v>8500</v>
      </c>
      <c r="J22" s="240">
        <v>8000</v>
      </c>
      <c r="K22" s="19">
        <v>8700</v>
      </c>
      <c r="L22" s="19">
        <v>8500</v>
      </c>
      <c r="M22" s="19">
        <v>9100</v>
      </c>
      <c r="N22" s="19">
        <v>8800</v>
      </c>
      <c r="O22" s="19">
        <v>8600</v>
      </c>
      <c r="P22" s="19">
        <v>8800</v>
      </c>
      <c r="Q22" s="19">
        <v>9100</v>
      </c>
      <c r="R22" s="19">
        <v>8800</v>
      </c>
      <c r="S22" s="19">
        <v>8500</v>
      </c>
      <c r="T22" s="19">
        <v>8000</v>
      </c>
      <c r="U22" s="19">
        <v>9000</v>
      </c>
      <c r="V22" s="19">
        <v>9100</v>
      </c>
      <c r="W22" s="19">
        <v>10100</v>
      </c>
      <c r="X22" s="19">
        <v>8400</v>
      </c>
      <c r="Y22" s="19">
        <v>9600</v>
      </c>
      <c r="Z22" s="19">
        <v>8600</v>
      </c>
      <c r="AA22" s="19">
        <v>7300</v>
      </c>
      <c r="AB22" s="19">
        <v>6200</v>
      </c>
      <c r="AC22" s="10">
        <f>((((J22/I22))^(1/8))-1)*100</f>
        <v>-0.75494364902075617</v>
      </c>
      <c r="AD22" s="10">
        <f>((((U22/J22))^(1/11))-1)*100</f>
        <v>1.0765079650720155</v>
      </c>
      <c r="AE22" s="10">
        <f>((((AA22/I22))^(1/25))-1)*100</f>
        <v>-0.60691802788737093</v>
      </c>
      <c r="AF22" s="10">
        <f>((((AA22/U22))^(1/6))-1)*100</f>
        <v>-3.4290007709779746</v>
      </c>
      <c r="AG22" s="25"/>
      <c r="AH22" s="10">
        <f>((AA22/I22)-1)*100</f>
        <v>-14.117647058823534</v>
      </c>
    </row>
    <row r="23" spans="1:34">
      <c r="D23" s="1" t="s">
        <v>615</v>
      </c>
      <c r="I23" s="20">
        <v>7800</v>
      </c>
      <c r="J23" s="240">
        <v>7800</v>
      </c>
      <c r="K23" s="19">
        <v>8400</v>
      </c>
      <c r="L23" s="19">
        <v>7600</v>
      </c>
      <c r="M23" s="19">
        <v>7800</v>
      </c>
      <c r="N23" s="19">
        <v>6900</v>
      </c>
      <c r="O23" s="19">
        <v>7600</v>
      </c>
      <c r="P23" s="19">
        <v>7600</v>
      </c>
      <c r="Q23" s="19">
        <v>7100</v>
      </c>
      <c r="R23" s="19">
        <v>7600</v>
      </c>
      <c r="S23" s="19">
        <v>5800</v>
      </c>
      <c r="T23" s="19">
        <v>8200</v>
      </c>
      <c r="U23" s="19">
        <v>7200</v>
      </c>
      <c r="V23" s="19">
        <v>7900</v>
      </c>
      <c r="W23" s="19">
        <v>6700</v>
      </c>
      <c r="X23" s="19">
        <v>7200</v>
      </c>
      <c r="Y23" s="19">
        <v>7900</v>
      </c>
      <c r="Z23" s="19">
        <v>8500</v>
      </c>
      <c r="AA23" s="19">
        <v>7600</v>
      </c>
      <c r="AB23" s="19">
        <v>7800</v>
      </c>
      <c r="AC23" s="10">
        <f>((((J23/I23))^(1/8))-1)*100</f>
        <v>0</v>
      </c>
      <c r="AD23" s="10">
        <f>((((U23/J23))^(1/11))-1)*100</f>
        <v>-0.72501993617785088</v>
      </c>
      <c r="AE23" s="10">
        <f>((((AA23/I23))^(1/25))-1)*100</f>
        <v>-0.10384798623143121</v>
      </c>
      <c r="AF23" s="10">
        <f>((((AA23/U23))^(1/6))-1)*100</f>
        <v>0.90519266692543621</v>
      </c>
      <c r="AG23" s="25"/>
      <c r="AH23" s="10">
        <f>((AA23/I23)-1)*100</f>
        <v>-2.5641025641025661</v>
      </c>
    </row>
    <row r="24" spans="1:34">
      <c r="D24" s="1" t="s">
        <v>621</v>
      </c>
      <c r="I24" s="20">
        <v>9600</v>
      </c>
      <c r="J24" s="240">
        <v>10300</v>
      </c>
      <c r="K24" s="19">
        <v>8100</v>
      </c>
      <c r="L24" s="19">
        <v>8400</v>
      </c>
      <c r="M24" s="19">
        <v>11300</v>
      </c>
      <c r="N24" s="19">
        <v>5500</v>
      </c>
      <c r="O24" s="19">
        <v>8900</v>
      </c>
      <c r="P24" s="19">
        <v>11200</v>
      </c>
      <c r="Q24" s="19">
        <v>11000</v>
      </c>
      <c r="R24" s="19">
        <v>8000</v>
      </c>
      <c r="S24" s="10" t="s">
        <v>374</v>
      </c>
      <c r="T24" s="10" t="s">
        <v>374</v>
      </c>
      <c r="U24" s="10" t="s">
        <v>374</v>
      </c>
      <c r="V24" s="10" t="s">
        <v>374</v>
      </c>
      <c r="W24" s="10" t="s">
        <v>374</v>
      </c>
      <c r="X24" s="19">
        <v>10400</v>
      </c>
      <c r="Y24" s="19">
        <v>7700</v>
      </c>
      <c r="Z24" s="10" t="s">
        <v>374</v>
      </c>
      <c r="AA24" s="10" t="s">
        <v>374</v>
      </c>
      <c r="AB24" s="10" t="s">
        <v>374</v>
      </c>
      <c r="AC24" s="10">
        <f>((((J24/I24))^(1/8))-1)*100</f>
        <v>0.88364122103326004</v>
      </c>
      <c r="AD24" s="10" t="s">
        <v>374</v>
      </c>
      <c r="AE24" s="10" t="s">
        <v>374</v>
      </c>
      <c r="AF24" s="10" t="s">
        <v>374</v>
      </c>
      <c r="AG24" s="10"/>
      <c r="AH24" s="10" t="s">
        <v>374</v>
      </c>
    </row>
    <row r="25" spans="1:34">
      <c r="I25" s="20"/>
      <c r="J25" s="240"/>
      <c r="K25" s="19"/>
      <c r="L25" s="19"/>
      <c r="M25" s="19"/>
      <c r="N25" s="19"/>
      <c r="O25" s="19"/>
      <c r="P25" s="19"/>
      <c r="Q25" s="19"/>
      <c r="R25" s="19"/>
      <c r="S25" s="19"/>
      <c r="T25" s="19"/>
      <c r="U25" s="19"/>
      <c r="V25" s="19"/>
      <c r="W25" s="19"/>
      <c r="X25" s="19"/>
      <c r="Y25" s="19"/>
      <c r="Z25" s="19"/>
      <c r="AA25" s="19"/>
      <c r="AB25" s="19"/>
      <c r="AC25" s="6"/>
      <c r="AD25" s="6"/>
      <c r="AE25" s="10"/>
      <c r="AF25" s="10"/>
      <c r="AG25" s="25"/>
      <c r="AH25" s="10"/>
    </row>
    <row r="26" spans="1:34">
      <c r="D26" s="128" t="s">
        <v>622</v>
      </c>
      <c r="I26" s="20">
        <v>7500</v>
      </c>
      <c r="J26" s="240">
        <v>5200</v>
      </c>
      <c r="K26" s="19">
        <v>8900</v>
      </c>
      <c r="L26" s="19">
        <v>8000</v>
      </c>
      <c r="M26" s="19">
        <v>7900</v>
      </c>
      <c r="N26" s="19">
        <v>7400</v>
      </c>
      <c r="O26" s="19">
        <v>9500</v>
      </c>
      <c r="P26" s="19">
        <v>9000</v>
      </c>
      <c r="Q26" s="19">
        <v>8100</v>
      </c>
      <c r="R26" s="19">
        <v>9100</v>
      </c>
      <c r="S26" s="19">
        <v>12000</v>
      </c>
      <c r="T26" s="19">
        <v>9600</v>
      </c>
      <c r="U26" s="19">
        <v>9200</v>
      </c>
      <c r="V26" s="19">
        <v>10500</v>
      </c>
      <c r="W26" s="19">
        <v>10800</v>
      </c>
      <c r="X26" s="19">
        <v>7800</v>
      </c>
      <c r="Y26" s="19">
        <v>11700</v>
      </c>
      <c r="Z26" s="19">
        <v>12200</v>
      </c>
      <c r="AA26" s="19">
        <v>11900</v>
      </c>
      <c r="AB26" s="19">
        <v>8100</v>
      </c>
      <c r="AC26" s="10">
        <f>((((J26/I26))^(1/8))-1)*100</f>
        <v>-4.4748430249980986</v>
      </c>
      <c r="AD26" s="10">
        <f>((((U26/J26))^(1/11))-1)*100</f>
        <v>5.3236405294072142</v>
      </c>
      <c r="AE26" s="10">
        <f>((((AA26/I26))^(1/25))-1)*100</f>
        <v>1.8636955187691706</v>
      </c>
      <c r="AF26" s="10">
        <f>((((AA26/U26))^(1/6))-1)*100</f>
        <v>4.3822183542937987</v>
      </c>
      <c r="AG26" s="25"/>
      <c r="AH26" s="10">
        <f>((AA26/I26)-1)*100</f>
        <v>58.666666666666664</v>
      </c>
    </row>
    <row r="27" spans="1:34" s="114" customFormat="1">
      <c r="A27" s="1"/>
      <c r="B27" s="1"/>
      <c r="C27" s="1"/>
      <c r="D27" s="1"/>
      <c r="E27" s="1"/>
      <c r="F27" s="1"/>
      <c r="G27" s="1"/>
      <c r="H27" s="1"/>
      <c r="I27" s="20"/>
      <c r="J27" s="240"/>
      <c r="K27" s="19"/>
      <c r="L27" s="19"/>
      <c r="M27" s="19"/>
      <c r="N27" s="19"/>
      <c r="O27" s="19"/>
      <c r="P27" s="19"/>
      <c r="Q27" s="19"/>
      <c r="R27" s="19"/>
      <c r="S27" s="19"/>
      <c r="T27" s="19"/>
      <c r="U27" s="19"/>
      <c r="V27" s="19"/>
      <c r="W27" s="19"/>
      <c r="X27" s="19"/>
      <c r="Y27" s="19"/>
      <c r="Z27" s="19"/>
      <c r="AA27" s="19"/>
      <c r="AB27" s="19"/>
      <c r="AC27" s="6"/>
      <c r="AD27" s="6"/>
      <c r="AE27" s="10"/>
      <c r="AF27" s="10"/>
      <c r="AG27" s="25"/>
      <c r="AH27" s="10"/>
    </row>
    <row r="28" spans="1:34" s="114" customFormat="1">
      <c r="A28" s="1"/>
      <c r="B28" s="1"/>
      <c r="C28" s="1"/>
      <c r="D28" s="128" t="s">
        <v>623</v>
      </c>
      <c r="E28" s="1"/>
      <c r="F28" s="1"/>
      <c r="G28" s="1"/>
      <c r="H28" s="1"/>
      <c r="I28" s="20">
        <v>9200</v>
      </c>
      <c r="J28" s="240">
        <v>7200</v>
      </c>
      <c r="K28" s="19">
        <v>7700</v>
      </c>
      <c r="L28" s="19">
        <v>8000</v>
      </c>
      <c r="M28" s="19">
        <v>7700</v>
      </c>
      <c r="N28" s="19">
        <v>7300</v>
      </c>
      <c r="O28" s="19">
        <v>7300</v>
      </c>
      <c r="P28" s="19">
        <v>7200</v>
      </c>
      <c r="Q28" s="19">
        <v>7500</v>
      </c>
      <c r="R28" s="19">
        <v>7600</v>
      </c>
      <c r="S28" s="19">
        <v>7600</v>
      </c>
      <c r="T28" s="19">
        <v>7000</v>
      </c>
      <c r="U28" s="19">
        <v>6600</v>
      </c>
      <c r="V28" s="19">
        <v>6700</v>
      </c>
      <c r="W28" s="19">
        <v>6900</v>
      </c>
      <c r="X28" s="19">
        <v>6900</v>
      </c>
      <c r="Y28" s="19">
        <v>6800</v>
      </c>
      <c r="Z28" s="19">
        <v>7200</v>
      </c>
      <c r="AA28" s="19">
        <v>6700</v>
      </c>
      <c r="AB28" s="19">
        <v>7600</v>
      </c>
      <c r="AC28" s="10">
        <f t="shared" ref="AC28:AC33" si="0">((((J28/I28))^(1/8))-1)*100</f>
        <v>-3.0175650870685966</v>
      </c>
      <c r="AD28" s="10">
        <f>((((U28/J28))^(1/11))-1)*100</f>
        <v>-0.78789224673470049</v>
      </c>
      <c r="AE28" s="10">
        <f>((((AA28/I28))^(1/25))-1)*100</f>
        <v>-1.2603737448998231</v>
      </c>
      <c r="AF28" s="10">
        <f>((((AA28/U28))^(1/6))-1)*100</f>
        <v>0.25094563218408528</v>
      </c>
      <c r="AG28" s="25"/>
      <c r="AH28" s="10">
        <f>((AA28/I28)-1)*100</f>
        <v>-27.173913043478258</v>
      </c>
    </row>
    <row r="29" spans="1:34" s="114" customFormat="1">
      <c r="A29" s="1"/>
      <c r="B29" s="1"/>
      <c r="C29" s="1"/>
      <c r="D29" s="1" t="s">
        <v>624</v>
      </c>
      <c r="E29" s="1"/>
      <c r="F29" s="1"/>
      <c r="G29" s="1"/>
      <c r="H29" s="1"/>
      <c r="I29" s="20">
        <v>8100</v>
      </c>
      <c r="J29" s="240">
        <v>5700</v>
      </c>
      <c r="K29" s="19">
        <v>7300</v>
      </c>
      <c r="L29" s="19">
        <v>7800</v>
      </c>
      <c r="M29" s="19">
        <v>11600</v>
      </c>
      <c r="N29" s="19">
        <v>8600</v>
      </c>
      <c r="O29" s="19">
        <v>7400</v>
      </c>
      <c r="P29" s="19">
        <v>5900</v>
      </c>
      <c r="Q29" s="19">
        <v>7200</v>
      </c>
      <c r="R29" s="19">
        <v>7400</v>
      </c>
      <c r="S29" s="19">
        <v>8100</v>
      </c>
      <c r="T29" s="19">
        <v>10300</v>
      </c>
      <c r="U29" s="19">
        <v>6500</v>
      </c>
      <c r="V29" s="19">
        <v>7100</v>
      </c>
      <c r="W29" s="19">
        <v>7400</v>
      </c>
      <c r="X29" s="19">
        <v>8000</v>
      </c>
      <c r="Y29" s="19">
        <v>8000</v>
      </c>
      <c r="Z29" s="19">
        <v>8900</v>
      </c>
      <c r="AA29" s="19">
        <v>6900</v>
      </c>
      <c r="AB29" s="19">
        <v>8600</v>
      </c>
      <c r="AC29" s="10">
        <f t="shared" si="0"/>
        <v>-4.2974015494794626</v>
      </c>
      <c r="AD29" s="10">
        <f>((((U29/J29))^(1/11))-1)*100</f>
        <v>1.2011198535922585</v>
      </c>
      <c r="AE29" s="10">
        <f>((((AA29/I29))^(1/25))-1)*100</f>
        <v>-0.63931820922124016</v>
      </c>
      <c r="AF29" s="10">
        <f>((((AA29/U29))^(1/6))-1)*100</f>
        <v>1.0002903683913988</v>
      </c>
      <c r="AG29" s="25"/>
      <c r="AH29" s="10">
        <f>((AA29/I29)-1)*100</f>
        <v>-14.814814814814813</v>
      </c>
    </row>
    <row r="30" spans="1:34" s="114" customFormat="1">
      <c r="A30" s="1"/>
      <c r="B30" s="1"/>
      <c r="C30" s="1"/>
      <c r="D30" s="1" t="s">
        <v>625</v>
      </c>
      <c r="E30" s="1"/>
      <c r="F30" s="1"/>
      <c r="G30" s="1"/>
      <c r="H30" s="1"/>
      <c r="I30" s="20">
        <v>9200</v>
      </c>
      <c r="J30" s="240">
        <v>7200</v>
      </c>
      <c r="K30" s="19">
        <v>7700</v>
      </c>
      <c r="L30" s="19">
        <v>8100</v>
      </c>
      <c r="M30" s="19">
        <v>7500</v>
      </c>
      <c r="N30" s="19">
        <v>7200</v>
      </c>
      <c r="O30" s="19">
        <v>7200</v>
      </c>
      <c r="P30" s="19">
        <v>7300</v>
      </c>
      <c r="Q30" s="19">
        <v>7500</v>
      </c>
      <c r="R30" s="19">
        <v>7600</v>
      </c>
      <c r="S30" s="19">
        <v>7600</v>
      </c>
      <c r="T30" s="19">
        <v>6800</v>
      </c>
      <c r="U30" s="19">
        <v>6600</v>
      </c>
      <c r="V30" s="19">
        <v>6600</v>
      </c>
      <c r="W30" s="19">
        <v>6800</v>
      </c>
      <c r="X30" s="19">
        <v>6800</v>
      </c>
      <c r="Y30" s="19">
        <v>6700</v>
      </c>
      <c r="Z30" s="19">
        <v>7000</v>
      </c>
      <c r="AA30" s="19">
        <v>6600</v>
      </c>
      <c r="AB30" s="19">
        <v>7500</v>
      </c>
      <c r="AC30" s="10">
        <f t="shared" si="0"/>
        <v>-3.0175650870685966</v>
      </c>
      <c r="AD30" s="10">
        <f>((((U30/J30))^(1/11))-1)*100</f>
        <v>-0.78789224673470049</v>
      </c>
      <c r="AE30" s="10">
        <f>((((AA30/I30))^(1/25))-1)*100</f>
        <v>-1.3197492611007222</v>
      </c>
      <c r="AF30" s="10">
        <f>((((AA30/U30))^(1/6))-1)*100</f>
        <v>0</v>
      </c>
      <c r="AG30" s="25"/>
      <c r="AH30" s="10">
        <f>((AA30/I30)-1)*100</f>
        <v>-28.260869565217394</v>
      </c>
    </row>
    <row r="31" spans="1:34" s="114" customFormat="1">
      <c r="A31" s="1"/>
      <c r="B31" s="1"/>
      <c r="C31" s="1"/>
      <c r="D31" s="1"/>
      <c r="E31" s="1" t="s">
        <v>613</v>
      </c>
      <c r="F31" s="1"/>
      <c r="G31" s="1"/>
      <c r="H31" s="1"/>
      <c r="I31" s="20">
        <v>10400</v>
      </c>
      <c r="J31" s="240">
        <v>7800</v>
      </c>
      <c r="K31" s="19">
        <v>8100</v>
      </c>
      <c r="L31" s="19">
        <v>8300</v>
      </c>
      <c r="M31" s="19">
        <v>7800</v>
      </c>
      <c r="N31" s="19">
        <v>7300</v>
      </c>
      <c r="O31" s="19">
        <v>7300</v>
      </c>
      <c r="P31" s="19">
        <v>7700</v>
      </c>
      <c r="Q31" s="19">
        <v>8100</v>
      </c>
      <c r="R31" s="19">
        <v>8400</v>
      </c>
      <c r="S31" s="19">
        <v>9000</v>
      </c>
      <c r="T31" s="19">
        <v>7400</v>
      </c>
      <c r="U31" s="19">
        <v>7500</v>
      </c>
      <c r="V31" s="19">
        <v>7200</v>
      </c>
      <c r="W31" s="19">
        <v>8100</v>
      </c>
      <c r="X31" s="19">
        <v>7900</v>
      </c>
      <c r="Y31" s="19">
        <v>7700</v>
      </c>
      <c r="Z31" s="19">
        <v>7700</v>
      </c>
      <c r="AA31" s="19">
        <v>6800</v>
      </c>
      <c r="AB31" s="19">
        <v>8100</v>
      </c>
      <c r="AC31" s="10">
        <f t="shared" si="0"/>
        <v>-3.5321370039690603</v>
      </c>
      <c r="AD31" s="10">
        <f>((((U31/J31))^(1/11))-1)*100</f>
        <v>-0.355917046132459</v>
      </c>
      <c r="AE31" s="10">
        <f>((((AA31/I31))^(1/25))-1)*100</f>
        <v>-1.6851721869744374</v>
      </c>
      <c r="AF31" s="10">
        <f>((((AA31/U31))^(1/6))-1)*100</f>
        <v>-1.6197455338131328</v>
      </c>
      <c r="AG31" s="25"/>
      <c r="AH31" s="10">
        <f>((AA31/I31)-1)*100</f>
        <v>-34.615384615384613</v>
      </c>
    </row>
    <row r="32" spans="1:34" s="114" customFormat="1">
      <c r="A32" s="1"/>
      <c r="B32" s="1"/>
      <c r="C32" s="1"/>
      <c r="D32" s="1"/>
      <c r="E32" s="1" t="s">
        <v>620</v>
      </c>
      <c r="F32" s="1"/>
      <c r="G32" s="1"/>
      <c r="H32" s="1"/>
      <c r="I32" s="20">
        <v>7800</v>
      </c>
      <c r="J32" s="240">
        <v>6500</v>
      </c>
      <c r="K32" s="19">
        <v>7500</v>
      </c>
      <c r="L32" s="19">
        <v>7800</v>
      </c>
      <c r="M32" s="19">
        <v>6800</v>
      </c>
      <c r="N32" s="19">
        <v>7100</v>
      </c>
      <c r="O32" s="19">
        <v>7400</v>
      </c>
      <c r="P32" s="19">
        <v>6700</v>
      </c>
      <c r="Q32" s="19">
        <v>6400</v>
      </c>
      <c r="R32" s="19">
        <v>6300</v>
      </c>
      <c r="S32" s="19">
        <v>6100</v>
      </c>
      <c r="T32" s="19">
        <v>6000</v>
      </c>
      <c r="U32" s="19">
        <v>5600</v>
      </c>
      <c r="V32" s="19">
        <v>6000</v>
      </c>
      <c r="W32" s="19">
        <v>5800</v>
      </c>
      <c r="X32" s="19">
        <v>6200</v>
      </c>
      <c r="Y32" s="19">
        <v>6100</v>
      </c>
      <c r="Z32" s="19">
        <v>6500</v>
      </c>
      <c r="AA32" s="19">
        <v>6400</v>
      </c>
      <c r="AB32" s="19">
        <v>7300</v>
      </c>
      <c r="AC32" s="10">
        <f t="shared" si="0"/>
        <v>-2.253245976944751</v>
      </c>
      <c r="AD32" s="10">
        <f>((((U32/J32))^(1/11))-1)*100</f>
        <v>-1.3457318642651428</v>
      </c>
      <c r="AE32" s="10">
        <f>((((AA32/I32))^(1/25))-1)*100</f>
        <v>-0.78818041307409104</v>
      </c>
      <c r="AF32" s="10">
        <f>((((AA32/U32))^(1/6))-1)*100</f>
        <v>2.2504727201503094</v>
      </c>
      <c r="AG32" s="25"/>
      <c r="AH32" s="10">
        <f>((AA32/I32)-1)*100</f>
        <v>-17.948717948717952</v>
      </c>
    </row>
    <row r="33" spans="1:34" s="114" customFormat="1">
      <c r="A33" s="1"/>
      <c r="B33" s="1"/>
      <c r="C33" s="1"/>
      <c r="D33" s="1"/>
      <c r="E33" s="1" t="s">
        <v>626</v>
      </c>
      <c r="F33" s="1"/>
      <c r="G33" s="1"/>
      <c r="H33" s="1"/>
      <c r="I33" s="20">
        <v>7900</v>
      </c>
      <c r="J33" s="240">
        <v>7200</v>
      </c>
      <c r="K33" s="19">
        <v>6400</v>
      </c>
      <c r="L33" s="19">
        <v>7600</v>
      </c>
      <c r="M33" s="19">
        <v>8700</v>
      </c>
      <c r="N33" s="19">
        <v>7400</v>
      </c>
      <c r="O33" s="19">
        <v>5800</v>
      </c>
      <c r="P33" s="19">
        <v>5500</v>
      </c>
      <c r="Q33" s="19">
        <v>8100</v>
      </c>
      <c r="R33" s="19">
        <v>7400</v>
      </c>
      <c r="S33" s="10" t="s">
        <v>374</v>
      </c>
      <c r="T33" s="10" t="s">
        <v>374</v>
      </c>
      <c r="U33" s="10" t="s">
        <v>374</v>
      </c>
      <c r="V33" s="10" t="s">
        <v>374</v>
      </c>
      <c r="W33" s="19">
        <v>5500</v>
      </c>
      <c r="X33" s="10" t="s">
        <v>374</v>
      </c>
      <c r="Y33" s="10" t="s">
        <v>374</v>
      </c>
      <c r="Z33" s="10" t="s">
        <v>374</v>
      </c>
      <c r="AA33" s="10" t="s">
        <v>374</v>
      </c>
      <c r="AB33" s="10" t="s">
        <v>374</v>
      </c>
      <c r="AC33" s="10">
        <f t="shared" si="0"/>
        <v>-1.1530722408907956</v>
      </c>
      <c r="AD33" s="10" t="s">
        <v>374</v>
      </c>
      <c r="AE33" s="10" t="s">
        <v>374</v>
      </c>
      <c r="AF33" s="10" t="s">
        <v>374</v>
      </c>
      <c r="AG33" s="25"/>
      <c r="AH33" s="10" t="s">
        <v>374</v>
      </c>
    </row>
    <row r="34" spans="1:34" s="114" customFormat="1">
      <c r="A34" s="1"/>
      <c r="B34" s="1"/>
      <c r="C34" s="1"/>
      <c r="D34" s="1"/>
      <c r="E34" s="1"/>
      <c r="F34" s="1"/>
      <c r="G34" s="1"/>
      <c r="H34" s="1"/>
      <c r="I34" s="20"/>
      <c r="J34" s="240"/>
      <c r="K34" s="19"/>
      <c r="L34" s="19"/>
      <c r="M34" s="19"/>
      <c r="N34" s="19"/>
      <c r="O34" s="19"/>
      <c r="P34" s="19"/>
      <c r="Q34" s="19"/>
      <c r="R34" s="19"/>
      <c r="S34" s="19"/>
      <c r="T34" s="19"/>
      <c r="U34" s="19"/>
      <c r="V34" s="19"/>
      <c r="W34" s="19"/>
      <c r="X34" s="19"/>
      <c r="Y34" s="19"/>
      <c r="Z34" s="19"/>
      <c r="AA34" s="19"/>
      <c r="AB34" s="19"/>
      <c r="AC34" s="6"/>
      <c r="AD34" s="6"/>
      <c r="AE34" s="10"/>
      <c r="AF34" s="10"/>
      <c r="AG34" s="25"/>
      <c r="AH34" s="10"/>
    </row>
    <row r="35" spans="1:34" s="114" customFormat="1">
      <c r="A35" s="1"/>
      <c r="B35" s="1"/>
      <c r="C35" s="1"/>
      <c r="D35" s="128" t="s">
        <v>2</v>
      </c>
      <c r="E35" s="1"/>
      <c r="F35" s="1"/>
      <c r="G35" s="1"/>
      <c r="H35" s="1"/>
      <c r="I35" s="20">
        <v>6600</v>
      </c>
      <c r="J35" s="240">
        <v>8400</v>
      </c>
      <c r="K35" s="19">
        <v>6600</v>
      </c>
      <c r="L35" s="19">
        <v>6600</v>
      </c>
      <c r="M35" s="19">
        <v>6400</v>
      </c>
      <c r="N35" s="19">
        <v>8100</v>
      </c>
      <c r="O35" s="19">
        <v>7900</v>
      </c>
      <c r="P35" s="19">
        <v>8000</v>
      </c>
      <c r="Q35" s="19">
        <v>7500</v>
      </c>
      <c r="R35" s="19">
        <v>7400</v>
      </c>
      <c r="S35" s="19">
        <v>8800</v>
      </c>
      <c r="T35" s="19">
        <v>8600</v>
      </c>
      <c r="U35" s="19">
        <v>8700</v>
      </c>
      <c r="V35" s="19">
        <v>7500</v>
      </c>
      <c r="W35" s="19">
        <v>8100</v>
      </c>
      <c r="X35" s="19">
        <v>7600</v>
      </c>
      <c r="Y35" s="19">
        <v>8000</v>
      </c>
      <c r="Z35" s="19">
        <v>8400</v>
      </c>
      <c r="AA35" s="19">
        <v>7500</v>
      </c>
      <c r="AB35" s="19">
        <v>6900</v>
      </c>
      <c r="AC35" s="10">
        <f>((((J35/I35))^(1/8))-1)*100</f>
        <v>3.0604225664605078</v>
      </c>
      <c r="AD35" s="10">
        <f>((((U35/J35))^(1/11))-1)*100</f>
        <v>0.31952138308168898</v>
      </c>
      <c r="AE35" s="10">
        <f>((((AA35/I35))^(1/25))-1)*100</f>
        <v>0.51264302679798757</v>
      </c>
      <c r="AF35" s="10">
        <f>((((AA35/U35))^(1/6))-1)*100</f>
        <v>-2.443322337457221</v>
      </c>
      <c r="AG35" s="25"/>
      <c r="AH35" s="10">
        <f>((AA35/I35)-1)*100</f>
        <v>13.636363636363647</v>
      </c>
    </row>
    <row r="36" spans="1:34" s="114" customFormat="1">
      <c r="A36" s="1"/>
      <c r="B36" s="1"/>
      <c r="C36" s="1"/>
      <c r="D36" s="1"/>
      <c r="E36" s="1"/>
      <c r="F36" s="1"/>
      <c r="G36" s="1"/>
      <c r="H36" s="1"/>
      <c r="I36" s="20"/>
      <c r="J36" s="240"/>
      <c r="K36" s="19"/>
      <c r="L36" s="19"/>
      <c r="M36" s="19"/>
      <c r="N36" s="19"/>
      <c r="O36" s="19"/>
      <c r="P36" s="19"/>
      <c r="Q36" s="19"/>
      <c r="R36" s="19"/>
      <c r="S36" s="19"/>
      <c r="T36" s="19"/>
      <c r="U36" s="19"/>
      <c r="V36" s="19"/>
      <c r="W36" s="19"/>
      <c r="X36" s="19"/>
      <c r="Y36" s="19"/>
      <c r="Z36" s="19"/>
      <c r="AA36" s="19"/>
      <c r="AB36" s="19"/>
      <c r="AC36" s="6"/>
      <c r="AD36" s="6"/>
      <c r="AE36" s="10"/>
      <c r="AF36" s="10"/>
      <c r="AG36" s="25"/>
      <c r="AH36" s="10"/>
    </row>
    <row r="37" spans="1:34" s="114" customFormat="1">
      <c r="A37" s="1"/>
      <c r="B37" s="128" t="s">
        <v>3</v>
      </c>
      <c r="C37" s="1"/>
      <c r="D37" s="1"/>
      <c r="E37" s="1"/>
      <c r="F37" s="1"/>
      <c r="G37" s="1"/>
      <c r="H37" s="1"/>
      <c r="I37" s="20">
        <v>5800</v>
      </c>
      <c r="J37" s="240">
        <v>5500</v>
      </c>
      <c r="K37" s="19">
        <v>5600</v>
      </c>
      <c r="L37" s="19">
        <v>5900</v>
      </c>
      <c r="M37" s="19">
        <v>5800</v>
      </c>
      <c r="N37" s="19">
        <v>5900</v>
      </c>
      <c r="O37" s="19">
        <v>5900</v>
      </c>
      <c r="P37" s="19">
        <v>6100</v>
      </c>
      <c r="Q37" s="19">
        <v>6200</v>
      </c>
      <c r="R37" s="19">
        <v>6400</v>
      </c>
      <c r="S37" s="19">
        <v>6500</v>
      </c>
      <c r="T37" s="19">
        <v>6700</v>
      </c>
      <c r="U37" s="19">
        <v>6600</v>
      </c>
      <c r="V37" s="19">
        <v>6500</v>
      </c>
      <c r="W37" s="19">
        <v>6300</v>
      </c>
      <c r="X37" s="19">
        <v>6500</v>
      </c>
      <c r="Y37" s="19">
        <v>6500</v>
      </c>
      <c r="Z37" s="19">
        <v>6400</v>
      </c>
      <c r="AA37" s="19">
        <v>6600</v>
      </c>
      <c r="AB37" s="19">
        <v>6500</v>
      </c>
      <c r="AC37" s="10">
        <f>((((J37/I37))^(1/8))-1)*100</f>
        <v>-0.66167404920567385</v>
      </c>
      <c r="AD37" s="10">
        <f>((((U37/J37))^(1/11))-1)*100</f>
        <v>1.6712809160973618</v>
      </c>
      <c r="AE37" s="10">
        <f>((((AA37/I37))^(1/25))-1)*100</f>
        <v>0.51818488371562221</v>
      </c>
      <c r="AF37" s="10">
        <f>((((AA37/U37))^(1/6))-1)*100</f>
        <v>0</v>
      </c>
      <c r="AG37" s="25"/>
      <c r="AH37" s="10">
        <f>((AA37/I37)-1)*100</f>
        <v>13.793103448275868</v>
      </c>
    </row>
    <row r="38" spans="1:34" s="114" customFormat="1">
      <c r="A38" s="1"/>
      <c r="B38" s="128"/>
      <c r="C38" s="1"/>
      <c r="D38" s="1"/>
      <c r="E38" s="1"/>
      <c r="F38" s="1"/>
      <c r="G38" s="1"/>
      <c r="H38" s="1"/>
      <c r="I38" s="20"/>
      <c r="J38" s="240"/>
      <c r="K38" s="19"/>
      <c r="L38" s="19"/>
      <c r="M38" s="19"/>
      <c r="N38" s="19"/>
      <c r="O38" s="19"/>
      <c r="P38" s="19"/>
      <c r="Q38" s="19"/>
      <c r="R38" s="19"/>
      <c r="S38" s="19"/>
      <c r="T38" s="19"/>
      <c r="U38" s="19"/>
      <c r="V38" s="19"/>
      <c r="W38" s="19"/>
      <c r="X38" s="19"/>
      <c r="Y38" s="19"/>
      <c r="Z38" s="19"/>
      <c r="AA38" s="19"/>
      <c r="AB38" s="19"/>
      <c r="AC38" s="6"/>
      <c r="AD38" s="6"/>
      <c r="AE38" s="10"/>
      <c r="AF38" s="10"/>
      <c r="AG38" s="25"/>
      <c r="AH38" s="10"/>
    </row>
    <row r="39" spans="1:34" s="114" customFormat="1">
      <c r="A39" s="1"/>
      <c r="B39" s="1"/>
      <c r="C39" s="128" t="s">
        <v>4</v>
      </c>
      <c r="D39" s="1"/>
      <c r="E39" s="1"/>
      <c r="F39" s="1"/>
      <c r="G39" s="1"/>
      <c r="H39" s="1"/>
      <c r="I39" s="20">
        <v>3400</v>
      </c>
      <c r="J39" s="240">
        <v>2700</v>
      </c>
      <c r="K39" s="19">
        <v>3400</v>
      </c>
      <c r="L39" s="19">
        <v>2300</v>
      </c>
      <c r="M39" s="19">
        <v>2300</v>
      </c>
      <c r="N39" s="19">
        <v>3900</v>
      </c>
      <c r="O39" s="19">
        <v>2300</v>
      </c>
      <c r="P39" s="19">
        <v>2800</v>
      </c>
      <c r="Q39" s="19">
        <v>3000</v>
      </c>
      <c r="R39" s="19">
        <v>2800</v>
      </c>
      <c r="S39" s="19">
        <v>3700</v>
      </c>
      <c r="T39" s="19">
        <v>2900</v>
      </c>
      <c r="U39" s="19">
        <v>3500</v>
      </c>
      <c r="V39" s="19">
        <v>3800</v>
      </c>
      <c r="W39" s="19">
        <v>2500</v>
      </c>
      <c r="X39" s="19">
        <v>2900</v>
      </c>
      <c r="Y39" s="19">
        <v>3600</v>
      </c>
      <c r="Z39" s="19">
        <v>3000</v>
      </c>
      <c r="AA39" s="19">
        <v>2700</v>
      </c>
      <c r="AB39" s="19">
        <v>2300</v>
      </c>
      <c r="AC39" s="10">
        <f>((((J39/I39))^(1/8))-1)*100</f>
        <v>-2.840425119964396</v>
      </c>
      <c r="AD39" s="10">
        <f>((((U39/J39))^(1/11))-1)*100</f>
        <v>2.387241779936411</v>
      </c>
      <c r="AE39" s="10">
        <f>((((AA39/I39))^(1/25))-1)*100</f>
        <v>-0.91785637878617488</v>
      </c>
      <c r="AF39" s="10">
        <f>((((AA39/U39))^(1/6))-1)*100</f>
        <v>-4.2329844780239823</v>
      </c>
      <c r="AG39" s="25"/>
      <c r="AH39" s="10">
        <f>((AA39/I39)-1)*100</f>
        <v>-20.588235294117652</v>
      </c>
    </row>
    <row r="40" spans="1:34" s="114" customFormat="1">
      <c r="A40" s="1"/>
      <c r="B40" s="1"/>
      <c r="C40" s="1" t="s">
        <v>5</v>
      </c>
      <c r="D40" s="1"/>
      <c r="E40" s="1"/>
      <c r="F40" s="1"/>
      <c r="G40" s="1"/>
      <c r="H40" s="1"/>
      <c r="I40" s="20">
        <v>3300</v>
      </c>
      <c r="J40" s="240">
        <v>2700</v>
      </c>
      <c r="K40" s="19">
        <v>2700</v>
      </c>
      <c r="L40" s="19">
        <v>2300</v>
      </c>
      <c r="M40" s="19">
        <v>2200</v>
      </c>
      <c r="N40" s="19">
        <v>3800</v>
      </c>
      <c r="O40" s="19">
        <v>2200</v>
      </c>
      <c r="P40" s="19">
        <v>2700</v>
      </c>
      <c r="Q40" s="19">
        <v>2900</v>
      </c>
      <c r="R40" s="19">
        <v>2800</v>
      </c>
      <c r="S40" s="19">
        <v>3500</v>
      </c>
      <c r="T40" s="19">
        <v>2700</v>
      </c>
      <c r="U40" s="19">
        <v>3400</v>
      </c>
      <c r="V40" s="19">
        <v>3900</v>
      </c>
      <c r="W40" s="19">
        <v>2700</v>
      </c>
      <c r="X40" s="19">
        <v>3000</v>
      </c>
      <c r="Y40" s="19">
        <v>3200</v>
      </c>
      <c r="Z40" s="19">
        <v>2700</v>
      </c>
      <c r="AA40" s="19">
        <v>2500</v>
      </c>
      <c r="AB40" s="19">
        <v>2300</v>
      </c>
      <c r="AC40" s="10">
        <f>((((J40/I40))^(1/8))-1)*100</f>
        <v>-2.4771851535739797</v>
      </c>
      <c r="AD40" s="10">
        <f>((((U40/J40))^(1/11))-1)*100</f>
        <v>2.1177829837774942</v>
      </c>
      <c r="AE40" s="10">
        <f>((((AA40/I40))^(1/25))-1)*100</f>
        <v>-1.104383358995098</v>
      </c>
      <c r="AF40" s="10">
        <f>((((AA40/U40))^(1/6))-1)*100</f>
        <v>-4.9956446793592457</v>
      </c>
      <c r="AG40" s="25"/>
      <c r="AH40" s="10">
        <f>((AA40/I40)-1)*100</f>
        <v>-24.242424242424242</v>
      </c>
    </row>
    <row r="41" spans="1:34" s="114" customFormat="1">
      <c r="A41" s="1"/>
      <c r="B41" s="1"/>
      <c r="C41" s="1" t="s">
        <v>6</v>
      </c>
      <c r="D41" s="1"/>
      <c r="E41" s="1"/>
      <c r="F41" s="1"/>
      <c r="G41" s="1"/>
      <c r="H41" s="1"/>
      <c r="I41" s="20" t="s">
        <v>813</v>
      </c>
      <c r="J41" s="240" t="s">
        <v>813</v>
      </c>
      <c r="K41" s="19" t="s">
        <v>813</v>
      </c>
      <c r="L41" s="19" t="s">
        <v>813</v>
      </c>
      <c r="M41" s="19" t="s">
        <v>813</v>
      </c>
      <c r="N41" s="19" t="s">
        <v>813</v>
      </c>
      <c r="O41" s="19" t="s">
        <v>813</v>
      </c>
      <c r="P41" s="19" t="s">
        <v>813</v>
      </c>
      <c r="Q41" s="19" t="s">
        <v>813</v>
      </c>
      <c r="R41" s="19" t="s">
        <v>813</v>
      </c>
      <c r="S41" s="19" t="s">
        <v>813</v>
      </c>
      <c r="T41" s="19" t="s">
        <v>813</v>
      </c>
      <c r="U41" s="19" t="s">
        <v>813</v>
      </c>
      <c r="V41" s="19" t="s">
        <v>813</v>
      </c>
      <c r="W41" s="19" t="s">
        <v>813</v>
      </c>
      <c r="X41" s="19" t="s">
        <v>813</v>
      </c>
      <c r="Y41" s="19" t="s">
        <v>813</v>
      </c>
      <c r="Z41" s="19" t="s">
        <v>813</v>
      </c>
      <c r="AA41" s="19" t="s">
        <v>813</v>
      </c>
      <c r="AB41" s="19"/>
      <c r="AC41" s="10" t="s">
        <v>374</v>
      </c>
      <c r="AD41" s="10" t="s">
        <v>374</v>
      </c>
      <c r="AE41" s="10"/>
      <c r="AF41" s="10"/>
      <c r="AG41" s="25"/>
      <c r="AH41" s="10"/>
    </row>
    <row r="42" spans="1:34" s="114" customFormat="1">
      <c r="A42" s="1"/>
      <c r="B42" s="1"/>
      <c r="C42" s="128" t="s">
        <v>7</v>
      </c>
      <c r="D42" s="1"/>
      <c r="E42" s="1"/>
      <c r="F42" s="1"/>
      <c r="G42" s="1"/>
      <c r="H42" s="1"/>
      <c r="I42" s="20">
        <v>3900</v>
      </c>
      <c r="J42" s="240">
        <v>2800</v>
      </c>
      <c r="K42" s="19">
        <v>2800</v>
      </c>
      <c r="L42" s="19">
        <v>2600</v>
      </c>
      <c r="M42" s="19">
        <v>2600</v>
      </c>
      <c r="N42" s="19">
        <v>2700</v>
      </c>
      <c r="O42" s="19">
        <v>2500</v>
      </c>
      <c r="P42" s="19">
        <v>2300</v>
      </c>
      <c r="Q42" s="19">
        <v>2700</v>
      </c>
      <c r="R42" s="19">
        <v>2400</v>
      </c>
      <c r="S42" s="19">
        <v>2400</v>
      </c>
      <c r="T42" s="19">
        <v>2600</v>
      </c>
      <c r="U42" s="19">
        <v>2500</v>
      </c>
      <c r="V42" s="19">
        <v>2600</v>
      </c>
      <c r="W42" s="19">
        <v>2300</v>
      </c>
      <c r="X42" s="19">
        <v>2500</v>
      </c>
      <c r="Y42" s="19">
        <v>2200</v>
      </c>
      <c r="Z42" s="19">
        <v>2300</v>
      </c>
      <c r="AA42" s="19">
        <v>2100</v>
      </c>
      <c r="AB42" s="19">
        <v>2400</v>
      </c>
      <c r="AC42" s="10">
        <f>((((J42/I42))^(1/8))-1)*100</f>
        <v>-4.0573570161636541</v>
      </c>
      <c r="AD42" s="10">
        <f>((((U42/J42))^(1/11))-1)*100</f>
        <v>-1.0249717682962123</v>
      </c>
      <c r="AE42" s="10">
        <f>((((AA42/I42))^(1/25))-1)*100</f>
        <v>-2.4457515481448477</v>
      </c>
      <c r="AF42" s="10">
        <f>((((AA42/U42))^(1/6))-1)*100</f>
        <v>-2.8640748196988364</v>
      </c>
      <c r="AG42" s="25"/>
      <c r="AH42" s="10">
        <f>((AA42/I42)-1)*100</f>
        <v>-46.153846153846153</v>
      </c>
    </row>
    <row r="43" spans="1:34" s="114" customFormat="1">
      <c r="A43" s="1"/>
      <c r="B43" s="1"/>
      <c r="C43" s="1" t="s">
        <v>5</v>
      </c>
      <c r="D43" s="1"/>
      <c r="E43" s="1"/>
      <c r="F43" s="1"/>
      <c r="G43" s="1"/>
      <c r="H43" s="1"/>
      <c r="I43" s="20">
        <v>3900</v>
      </c>
      <c r="J43" s="240">
        <v>2800</v>
      </c>
      <c r="K43" s="19">
        <v>2800</v>
      </c>
      <c r="L43" s="19">
        <v>2600</v>
      </c>
      <c r="M43" s="19">
        <v>2600</v>
      </c>
      <c r="N43" s="19">
        <v>2600</v>
      </c>
      <c r="O43" s="19">
        <v>2500</v>
      </c>
      <c r="P43" s="19">
        <v>2300</v>
      </c>
      <c r="Q43" s="19">
        <v>2700</v>
      </c>
      <c r="R43" s="19">
        <v>2400</v>
      </c>
      <c r="S43" s="19">
        <v>2300</v>
      </c>
      <c r="T43" s="19">
        <v>2600</v>
      </c>
      <c r="U43" s="19">
        <v>2500</v>
      </c>
      <c r="V43" s="19">
        <v>2600</v>
      </c>
      <c r="W43" s="19">
        <v>2300</v>
      </c>
      <c r="X43" s="19">
        <v>2300</v>
      </c>
      <c r="Y43" s="19">
        <v>2200</v>
      </c>
      <c r="Z43" s="19">
        <v>2300</v>
      </c>
      <c r="AA43" s="19">
        <v>2100</v>
      </c>
      <c r="AB43" s="19">
        <v>2300</v>
      </c>
      <c r="AC43" s="10">
        <f>((((J43/I43))^(1/8))-1)*100</f>
        <v>-4.0573570161636541</v>
      </c>
      <c r="AD43" s="10">
        <f>((((U43/J43))^(1/11))-1)*100</f>
        <v>-1.0249717682962123</v>
      </c>
      <c r="AE43" s="10">
        <f>((((AA43/I43))^(1/25))-1)*100</f>
        <v>-2.4457515481448477</v>
      </c>
      <c r="AF43" s="10">
        <f>((((AA43/U43))^(1/6))-1)*100</f>
        <v>-2.8640748196988364</v>
      </c>
      <c r="AG43" s="25"/>
      <c r="AH43" s="10">
        <f>((AA43/I43)-1)*100</f>
        <v>-46.153846153846153</v>
      </c>
    </row>
    <row r="44" spans="1:34" s="114" customFormat="1">
      <c r="A44" s="1"/>
      <c r="B44" s="1"/>
      <c r="C44" s="1" t="s">
        <v>6</v>
      </c>
      <c r="D44" s="1"/>
      <c r="E44" s="1"/>
      <c r="F44" s="1"/>
      <c r="G44" s="1"/>
      <c r="H44" s="1"/>
      <c r="I44" s="20">
        <v>3900</v>
      </c>
      <c r="J44" s="10" t="s">
        <v>374</v>
      </c>
      <c r="K44" s="10" t="s">
        <v>374</v>
      </c>
      <c r="L44" s="10" t="s">
        <v>374</v>
      </c>
      <c r="M44" s="10" t="s">
        <v>374</v>
      </c>
      <c r="N44" s="10" t="s">
        <v>374</v>
      </c>
      <c r="O44" s="10" t="s">
        <v>374</v>
      </c>
      <c r="P44" s="10" t="s">
        <v>374</v>
      </c>
      <c r="Q44" s="10" t="s">
        <v>374</v>
      </c>
      <c r="R44" s="10" t="s">
        <v>374</v>
      </c>
      <c r="S44" s="10" t="s">
        <v>374</v>
      </c>
      <c r="T44" s="10" t="s">
        <v>374</v>
      </c>
      <c r="U44" s="10" t="s">
        <v>374</v>
      </c>
      <c r="V44" s="10" t="s">
        <v>374</v>
      </c>
      <c r="W44" s="10" t="s">
        <v>374</v>
      </c>
      <c r="X44" s="10" t="s">
        <v>374</v>
      </c>
      <c r="Y44" s="10" t="s">
        <v>374</v>
      </c>
      <c r="Z44" s="10" t="s">
        <v>374</v>
      </c>
      <c r="AA44" s="10" t="s">
        <v>374</v>
      </c>
      <c r="AB44" s="10" t="s">
        <v>374</v>
      </c>
      <c r="AC44" s="10" t="s">
        <v>374</v>
      </c>
      <c r="AD44" s="10" t="s">
        <v>374</v>
      </c>
      <c r="AE44" s="10" t="s">
        <v>374</v>
      </c>
      <c r="AF44" s="10" t="s">
        <v>374</v>
      </c>
      <c r="AG44" s="25"/>
      <c r="AH44" s="10" t="s">
        <v>374</v>
      </c>
    </row>
    <row r="45" spans="1:34" s="114" customFormat="1">
      <c r="A45" s="1"/>
      <c r="B45" s="1"/>
      <c r="C45" s="1"/>
      <c r="D45" s="1"/>
      <c r="E45" s="1"/>
      <c r="F45" s="1"/>
      <c r="G45" s="1"/>
      <c r="H45" s="1"/>
      <c r="I45" s="20"/>
      <c r="J45" s="240"/>
      <c r="K45" s="19"/>
      <c r="L45" s="19"/>
      <c r="M45" s="19"/>
      <c r="N45" s="19"/>
      <c r="O45" s="19"/>
      <c r="P45" s="19"/>
      <c r="Q45" s="19"/>
      <c r="R45" s="19"/>
      <c r="S45" s="19"/>
      <c r="T45" s="19"/>
      <c r="U45" s="19"/>
      <c r="V45" s="19"/>
      <c r="W45" s="19"/>
      <c r="X45" s="19"/>
      <c r="Y45" s="19"/>
      <c r="Z45" s="19"/>
      <c r="AA45" s="19"/>
      <c r="AB45" s="19"/>
      <c r="AC45" s="6"/>
      <c r="AD45" s="6"/>
      <c r="AE45" s="10"/>
      <c r="AF45" s="10"/>
      <c r="AG45" s="25"/>
      <c r="AH45" s="10"/>
    </row>
    <row r="46" spans="1:34" s="114" customFormat="1">
      <c r="A46" s="1"/>
      <c r="B46" s="1"/>
      <c r="C46" s="128" t="s">
        <v>8</v>
      </c>
      <c r="D46" s="1"/>
      <c r="E46" s="1"/>
      <c r="F46" s="1"/>
      <c r="G46" s="1"/>
      <c r="H46" s="1"/>
      <c r="I46" s="20">
        <v>6800</v>
      </c>
      <c r="J46" s="240">
        <v>6500</v>
      </c>
      <c r="K46" s="19">
        <v>6600</v>
      </c>
      <c r="L46" s="19">
        <v>6700</v>
      </c>
      <c r="M46" s="19">
        <v>6200</v>
      </c>
      <c r="N46" s="19">
        <v>6800</v>
      </c>
      <c r="O46" s="19">
        <v>6700</v>
      </c>
      <c r="P46" s="19">
        <v>7100</v>
      </c>
      <c r="Q46" s="19">
        <v>7100</v>
      </c>
      <c r="R46" s="19">
        <v>7300</v>
      </c>
      <c r="S46" s="19">
        <v>7200</v>
      </c>
      <c r="T46" s="19">
        <v>7400</v>
      </c>
      <c r="U46" s="19">
        <v>7200</v>
      </c>
      <c r="V46" s="19">
        <v>7100</v>
      </c>
      <c r="W46" s="19">
        <v>7000</v>
      </c>
      <c r="X46" s="19">
        <v>7200</v>
      </c>
      <c r="Y46" s="19">
        <v>7000</v>
      </c>
      <c r="Z46" s="19">
        <v>7300</v>
      </c>
      <c r="AA46" s="19">
        <v>7600</v>
      </c>
      <c r="AB46" s="19">
        <v>7400</v>
      </c>
      <c r="AC46" s="10">
        <f t="shared" ref="AC46:AC51" si="1">((((J46/I46))^(1/8))-1)*100</f>
        <v>-0.56241791629593196</v>
      </c>
      <c r="AD46" s="10">
        <f t="shared" ref="AD46:AD51" si="2">((((U46/J46))^(1/11))-1)*100</f>
        <v>0.93414386008827677</v>
      </c>
      <c r="AE46" s="10">
        <f t="shared" ref="AE46:AE51" si="3">((((AA46/I46))^(1/25))-1)*100</f>
        <v>0.44589370114793692</v>
      </c>
      <c r="AF46" s="10">
        <f t="shared" ref="AF46:AF51" si="4">((((AA46/U46))^(1/6))-1)*100</f>
        <v>0.90519266692543621</v>
      </c>
      <c r="AG46" s="25"/>
      <c r="AH46" s="10">
        <f t="shared" ref="AH46:AH51" si="5">((AA46/I46)-1)*100</f>
        <v>11.764705882352944</v>
      </c>
    </row>
    <row r="47" spans="1:34" s="114" customFormat="1">
      <c r="A47" s="1"/>
      <c r="B47" s="1"/>
      <c r="C47" s="1" t="s">
        <v>5</v>
      </c>
      <c r="D47" s="1"/>
      <c r="E47" s="1"/>
      <c r="F47" s="1"/>
      <c r="G47" s="1"/>
      <c r="H47" s="1"/>
      <c r="I47" s="20">
        <v>8700</v>
      </c>
      <c r="J47" s="240">
        <v>7900</v>
      </c>
      <c r="K47" s="19">
        <v>7800</v>
      </c>
      <c r="L47" s="19">
        <v>7900</v>
      </c>
      <c r="M47" s="19">
        <v>6700</v>
      </c>
      <c r="N47" s="19">
        <v>7500</v>
      </c>
      <c r="O47" s="19">
        <v>7300</v>
      </c>
      <c r="P47" s="19">
        <v>7800</v>
      </c>
      <c r="Q47" s="19">
        <v>8000</v>
      </c>
      <c r="R47" s="19">
        <v>8100</v>
      </c>
      <c r="S47" s="19">
        <v>8000</v>
      </c>
      <c r="T47" s="19">
        <v>8700</v>
      </c>
      <c r="U47" s="19">
        <v>7800</v>
      </c>
      <c r="V47" s="19">
        <v>7400</v>
      </c>
      <c r="W47" s="19">
        <v>8300</v>
      </c>
      <c r="X47" s="19">
        <v>8000</v>
      </c>
      <c r="Y47" s="19">
        <v>7700</v>
      </c>
      <c r="Z47" s="19">
        <v>8500</v>
      </c>
      <c r="AA47" s="19">
        <v>8600</v>
      </c>
      <c r="AB47" s="19">
        <v>8500</v>
      </c>
      <c r="AC47" s="10">
        <f t="shared" si="1"/>
        <v>-1.1985132502843499</v>
      </c>
      <c r="AD47" s="10">
        <f t="shared" si="2"/>
        <v>-0.11574229212965026</v>
      </c>
      <c r="AE47" s="10">
        <f t="shared" si="3"/>
        <v>-4.6232599043094513E-2</v>
      </c>
      <c r="AF47" s="10">
        <f t="shared" si="4"/>
        <v>1.6406205950794117</v>
      </c>
      <c r="AG47" s="25"/>
      <c r="AH47" s="10">
        <f t="shared" si="5"/>
        <v>-1.1494252873563204</v>
      </c>
    </row>
    <row r="48" spans="1:34" s="114" customFormat="1">
      <c r="A48" s="1"/>
      <c r="B48" s="1"/>
      <c r="C48" s="1" t="s">
        <v>6</v>
      </c>
      <c r="D48" s="1"/>
      <c r="E48" s="1"/>
      <c r="F48" s="1"/>
      <c r="G48" s="1"/>
      <c r="H48" s="1"/>
      <c r="I48" s="20">
        <v>5900</v>
      </c>
      <c r="J48" s="240">
        <v>5700</v>
      </c>
      <c r="K48" s="19">
        <v>6000</v>
      </c>
      <c r="L48" s="19">
        <v>5900</v>
      </c>
      <c r="M48" s="19">
        <v>5900</v>
      </c>
      <c r="N48" s="19">
        <v>6000</v>
      </c>
      <c r="O48" s="19">
        <v>6200</v>
      </c>
      <c r="P48" s="19">
        <v>6500</v>
      </c>
      <c r="Q48" s="19">
        <v>6300</v>
      </c>
      <c r="R48" s="19">
        <v>6600</v>
      </c>
      <c r="S48" s="19">
        <v>6400</v>
      </c>
      <c r="T48" s="19">
        <v>6600</v>
      </c>
      <c r="U48" s="19">
        <v>6600</v>
      </c>
      <c r="V48" s="19">
        <v>6900</v>
      </c>
      <c r="W48" s="19">
        <v>5800</v>
      </c>
      <c r="X48" s="19">
        <v>6600</v>
      </c>
      <c r="Y48" s="19">
        <v>6500</v>
      </c>
      <c r="Z48" s="19">
        <v>6400</v>
      </c>
      <c r="AA48" s="19">
        <v>7100</v>
      </c>
      <c r="AB48" s="19">
        <v>6700</v>
      </c>
      <c r="AC48" s="10">
        <f t="shared" si="1"/>
        <v>-0.43014939678674979</v>
      </c>
      <c r="AD48" s="10">
        <f t="shared" si="2"/>
        <v>1.3416796740767012</v>
      </c>
      <c r="AE48" s="10">
        <f t="shared" si="3"/>
        <v>0.74331873208230981</v>
      </c>
      <c r="AF48" s="10">
        <f t="shared" si="4"/>
        <v>1.2245222095802255</v>
      </c>
      <c r="AG48" s="25"/>
      <c r="AH48" s="10">
        <f t="shared" si="5"/>
        <v>20.338983050847446</v>
      </c>
    </row>
    <row r="49" spans="1:34" s="114" customFormat="1">
      <c r="A49" s="1"/>
      <c r="B49" s="1"/>
      <c r="C49" s="128" t="s">
        <v>9</v>
      </c>
      <c r="D49" s="1"/>
      <c r="E49" s="1"/>
      <c r="F49" s="1"/>
      <c r="G49" s="1"/>
      <c r="H49" s="1"/>
      <c r="I49" s="20">
        <v>7400</v>
      </c>
      <c r="J49" s="240">
        <v>6500</v>
      </c>
      <c r="K49" s="19">
        <v>6500</v>
      </c>
      <c r="L49" s="19">
        <v>7100</v>
      </c>
      <c r="M49" s="19">
        <v>7000</v>
      </c>
      <c r="N49" s="19">
        <v>6800</v>
      </c>
      <c r="O49" s="19">
        <v>6600</v>
      </c>
      <c r="P49" s="19">
        <v>6700</v>
      </c>
      <c r="Q49" s="19">
        <v>7000</v>
      </c>
      <c r="R49" s="19">
        <v>7100</v>
      </c>
      <c r="S49" s="19">
        <v>7300</v>
      </c>
      <c r="T49" s="19">
        <v>7600</v>
      </c>
      <c r="U49" s="19">
        <v>7500</v>
      </c>
      <c r="V49" s="19">
        <v>7000</v>
      </c>
      <c r="W49" s="19">
        <v>7200</v>
      </c>
      <c r="X49" s="19">
        <v>7100</v>
      </c>
      <c r="Y49" s="19">
        <v>7200</v>
      </c>
      <c r="Z49" s="19">
        <v>6900</v>
      </c>
      <c r="AA49" s="19">
        <v>6900</v>
      </c>
      <c r="AB49" s="19">
        <v>6900</v>
      </c>
      <c r="AC49" s="10">
        <f t="shared" si="1"/>
        <v>-1.6079057271934372</v>
      </c>
      <c r="AD49" s="10">
        <f t="shared" si="2"/>
        <v>1.3094154962957516</v>
      </c>
      <c r="AE49" s="10">
        <f t="shared" si="3"/>
        <v>-0.27944318306041271</v>
      </c>
      <c r="AF49" s="10">
        <f t="shared" si="4"/>
        <v>-1.3800818181815777</v>
      </c>
      <c r="AG49" s="25"/>
      <c r="AH49" s="10">
        <f t="shared" si="5"/>
        <v>-6.7567567567567544</v>
      </c>
    </row>
    <row r="50" spans="1:34" s="114" customFormat="1">
      <c r="A50" s="1"/>
      <c r="B50" s="1"/>
      <c r="C50" s="1" t="s">
        <v>5</v>
      </c>
      <c r="D50" s="1"/>
      <c r="E50" s="1"/>
      <c r="F50" s="1"/>
      <c r="G50" s="1"/>
      <c r="H50" s="1"/>
      <c r="I50" s="20">
        <v>9100</v>
      </c>
      <c r="J50" s="240">
        <v>7500</v>
      </c>
      <c r="K50" s="19">
        <v>7000</v>
      </c>
      <c r="L50" s="19">
        <v>7700</v>
      </c>
      <c r="M50" s="19">
        <v>7600</v>
      </c>
      <c r="N50" s="19">
        <v>7100</v>
      </c>
      <c r="O50" s="19">
        <v>6900</v>
      </c>
      <c r="P50" s="19">
        <v>7000</v>
      </c>
      <c r="Q50" s="19">
        <v>7400</v>
      </c>
      <c r="R50" s="19">
        <v>7600</v>
      </c>
      <c r="S50" s="19">
        <v>7900</v>
      </c>
      <c r="T50" s="19">
        <v>8500</v>
      </c>
      <c r="U50" s="19">
        <v>8600</v>
      </c>
      <c r="V50" s="19">
        <v>7800</v>
      </c>
      <c r="W50" s="19">
        <v>7800</v>
      </c>
      <c r="X50" s="19">
        <v>7600</v>
      </c>
      <c r="Y50" s="19">
        <v>7700</v>
      </c>
      <c r="Z50" s="19">
        <v>7600</v>
      </c>
      <c r="AA50" s="19">
        <v>7600</v>
      </c>
      <c r="AB50" s="19">
        <v>7600</v>
      </c>
      <c r="AC50" s="10">
        <f t="shared" si="1"/>
        <v>-2.3881634819402642</v>
      </c>
      <c r="AD50" s="10">
        <f t="shared" si="2"/>
        <v>1.2519464370474465</v>
      </c>
      <c r="AE50" s="10">
        <f t="shared" si="3"/>
        <v>-0.71791525273858792</v>
      </c>
      <c r="AF50" s="10">
        <f t="shared" si="4"/>
        <v>-2.0391548063299569</v>
      </c>
      <c r="AG50" s="25"/>
      <c r="AH50" s="10">
        <f t="shared" si="5"/>
        <v>-16.483516483516482</v>
      </c>
    </row>
    <row r="51" spans="1:34">
      <c r="C51" s="1" t="s">
        <v>10</v>
      </c>
      <c r="I51" s="20">
        <v>6200</v>
      </c>
      <c r="J51" s="240">
        <v>5800</v>
      </c>
      <c r="K51" s="19">
        <v>6300</v>
      </c>
      <c r="L51" s="19">
        <v>6700</v>
      </c>
      <c r="M51" s="19">
        <v>6600</v>
      </c>
      <c r="N51" s="19">
        <v>6600</v>
      </c>
      <c r="O51" s="19">
        <v>6400</v>
      </c>
      <c r="P51" s="19">
        <v>6400</v>
      </c>
      <c r="Q51" s="19">
        <v>6700</v>
      </c>
      <c r="R51" s="19">
        <v>6600</v>
      </c>
      <c r="S51" s="19">
        <v>6600</v>
      </c>
      <c r="T51" s="19">
        <v>6800</v>
      </c>
      <c r="U51" s="19">
        <v>6500</v>
      </c>
      <c r="V51" s="19">
        <v>6400</v>
      </c>
      <c r="W51" s="19">
        <v>6600</v>
      </c>
      <c r="X51" s="19">
        <v>6800</v>
      </c>
      <c r="Y51" s="19">
        <v>6800</v>
      </c>
      <c r="Z51" s="19">
        <v>6500</v>
      </c>
      <c r="AA51" s="19">
        <v>6400</v>
      </c>
      <c r="AB51" s="19">
        <v>6300</v>
      </c>
      <c r="AC51" s="10">
        <f t="shared" si="1"/>
        <v>-0.83017702050115494</v>
      </c>
      <c r="AD51" s="10">
        <f t="shared" si="2"/>
        <v>1.0412404734315928</v>
      </c>
      <c r="AE51" s="10">
        <f t="shared" si="3"/>
        <v>0.12707546579224793</v>
      </c>
      <c r="AF51" s="10">
        <f t="shared" si="4"/>
        <v>-0.25806953548247469</v>
      </c>
      <c r="AG51" s="25"/>
      <c r="AH51" s="10">
        <f t="shared" si="5"/>
        <v>3.2258064516129004</v>
      </c>
    </row>
    <row r="53" spans="1:34" ht="28.5" customHeight="1">
      <c r="A53" s="1170" t="s">
        <v>521</v>
      </c>
      <c r="B53" s="1170"/>
      <c r="C53" s="1170"/>
      <c r="D53" s="1170"/>
      <c r="E53" s="1170"/>
      <c r="F53" s="1170"/>
      <c r="G53" s="1170"/>
      <c r="H53" s="1170"/>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0"/>
      <c r="AG53" s="1170"/>
      <c r="AH53" s="1170"/>
    </row>
    <row r="54" spans="1:34" ht="15.75" customHeight="1">
      <c r="A54" s="13" t="s">
        <v>388</v>
      </c>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c r="AA54" s="643"/>
      <c r="AB54" s="1144"/>
      <c r="AC54" s="643"/>
      <c r="AD54" s="643"/>
      <c r="AE54" s="643"/>
      <c r="AF54" s="643"/>
      <c r="AG54" s="643"/>
      <c r="AH54" s="643"/>
    </row>
    <row r="55" spans="1:34">
      <c r="A55" s="4" t="s">
        <v>1355</v>
      </c>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147"/>
      <c r="AC55" s="16"/>
      <c r="AD55" s="16"/>
      <c r="AE55" s="16"/>
      <c r="AF55" s="16"/>
      <c r="AG55" s="16"/>
      <c r="AH55" s="16"/>
    </row>
    <row r="56" spans="1:34" ht="26.25" customHeight="1">
      <c r="A56" s="1188" t="s">
        <v>498</v>
      </c>
      <c r="B56" s="1189"/>
      <c r="C56" s="1189"/>
      <c r="D56" s="1189"/>
      <c r="E56" s="1189"/>
      <c r="F56" s="1189"/>
      <c r="G56" s="1189"/>
      <c r="H56" s="1189"/>
      <c r="I56" s="1189"/>
      <c r="J56" s="1189"/>
      <c r="K56" s="1189"/>
      <c r="L56" s="1189"/>
      <c r="M56" s="1189"/>
      <c r="N56" s="1189"/>
      <c r="O56" s="1189"/>
      <c r="P56" s="1189"/>
      <c r="Q56" s="1189"/>
      <c r="R56" s="1189"/>
      <c r="S56" s="1189"/>
      <c r="T56" s="1189"/>
      <c r="U56" s="1189"/>
      <c r="V56" s="1189"/>
      <c r="W56" s="1189"/>
      <c r="X56" s="1189"/>
      <c r="Y56" s="1189"/>
      <c r="Z56" s="1189"/>
      <c r="AA56" s="1189"/>
      <c r="AB56" s="1189"/>
      <c r="AC56" s="1189"/>
      <c r="AD56" s="1189"/>
      <c r="AE56" s="1189"/>
      <c r="AF56" s="1189"/>
      <c r="AG56" s="1189"/>
      <c r="AH56" s="1189"/>
    </row>
    <row r="57" spans="1:34" ht="29.25" customHeight="1">
      <c r="A57" s="1168" t="s">
        <v>499</v>
      </c>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row>
    <row r="58" spans="1:34">
      <c r="A58" s="1" t="s">
        <v>820</v>
      </c>
    </row>
  </sheetData>
  <mergeCells count="5">
    <mergeCell ref="A57:AH57"/>
    <mergeCell ref="A1:AC1"/>
    <mergeCell ref="AC3:AF3"/>
    <mergeCell ref="A53:AH53"/>
    <mergeCell ref="A56:AH56"/>
  </mergeCells>
  <phoneticPr fontId="35" type="noConversion"/>
  <pageMargins left="0.75" right="0.75" top="1" bottom="1" header="0.5" footer="0.5"/>
  <pageSetup scale="53"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sheetPr codeName="Sheet5">
    <pageSetUpPr fitToPage="1"/>
  </sheetPr>
  <dimension ref="A1:Y73"/>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11.7109375" style="2" customWidth="1"/>
    <col min="2" max="2" width="9.7109375" style="1" bestFit="1" customWidth="1"/>
    <col min="3" max="12" width="9.28515625" style="1" bestFit="1" customWidth="1"/>
    <col min="13" max="16384" width="9.140625" style="1"/>
  </cols>
  <sheetData>
    <row r="1" spans="1:25" ht="15.75">
      <c r="A1" s="4"/>
      <c r="B1" s="3" t="s">
        <v>2172</v>
      </c>
    </row>
    <row r="2" spans="1:25">
      <c r="A2" s="4"/>
      <c r="B2" s="4"/>
    </row>
    <row r="3" spans="1:25">
      <c r="A3" s="133"/>
      <c r="B3" s="1191" t="s">
        <v>375</v>
      </c>
      <c r="C3" s="1191" t="s">
        <v>377</v>
      </c>
      <c r="D3" s="1191" t="s">
        <v>386</v>
      </c>
      <c r="E3" s="1191" t="s">
        <v>378</v>
      </c>
      <c r="F3" s="1191" t="s">
        <v>379</v>
      </c>
      <c r="G3" s="1191" t="s">
        <v>380</v>
      </c>
      <c r="H3" s="1191" t="s">
        <v>381</v>
      </c>
      <c r="I3" s="1191" t="s">
        <v>382</v>
      </c>
      <c r="J3" s="1191" t="s">
        <v>383</v>
      </c>
      <c r="K3" s="1191" t="s">
        <v>384</v>
      </c>
      <c r="L3" s="1191" t="s">
        <v>385</v>
      </c>
    </row>
    <row r="4" spans="1:25" s="4" customFormat="1">
      <c r="A4" s="667"/>
      <c r="B4" s="1165"/>
      <c r="C4" s="1165"/>
      <c r="D4" s="1165"/>
      <c r="E4" s="1165"/>
      <c r="F4" s="1165"/>
      <c r="G4" s="1165"/>
      <c r="H4" s="1165"/>
      <c r="I4" s="1165"/>
      <c r="J4" s="1165"/>
      <c r="K4" s="1165"/>
      <c r="L4" s="1165"/>
    </row>
    <row r="5" spans="1:25" ht="25.9" customHeight="1">
      <c r="A5" s="137" t="s">
        <v>773</v>
      </c>
    </row>
    <row r="6" spans="1:25" ht="16.149999999999999" customHeight="1">
      <c r="A6" s="2">
        <v>1997</v>
      </c>
      <c r="B6" s="10">
        <v>4673.6899999999996</v>
      </c>
      <c r="C6" s="10">
        <v>112.88</v>
      </c>
      <c r="D6" s="10">
        <v>19.11</v>
      </c>
      <c r="E6" s="10">
        <v>160.63999999999999</v>
      </c>
      <c r="F6" s="10">
        <v>132.75</v>
      </c>
      <c r="G6" s="10">
        <v>1170.6400000000001</v>
      </c>
      <c r="H6" s="10">
        <v>1599.91</v>
      </c>
      <c r="I6" s="10">
        <v>209.66</v>
      </c>
      <c r="J6" s="10">
        <v>197.16</v>
      </c>
      <c r="K6" s="10">
        <v>418.41</v>
      </c>
      <c r="L6" s="10">
        <v>632.57000000000005</v>
      </c>
      <c r="M6" s="6"/>
      <c r="N6" s="6"/>
      <c r="O6" s="6"/>
      <c r="P6" s="6"/>
      <c r="Q6" s="6"/>
      <c r="R6" s="6"/>
      <c r="S6" s="6"/>
      <c r="T6" s="6"/>
      <c r="U6" s="6"/>
      <c r="V6" s="6"/>
      <c r="W6" s="6"/>
      <c r="X6" s="6"/>
    </row>
    <row r="7" spans="1:25" ht="16.149999999999999" customHeight="1">
      <c r="A7" s="2">
        <v>1998</v>
      </c>
      <c r="B7" s="10">
        <v>4564.66</v>
      </c>
      <c r="C7" s="10">
        <v>110.9</v>
      </c>
      <c r="D7" s="10">
        <v>18.59</v>
      </c>
      <c r="E7" s="10">
        <v>158.38</v>
      </c>
      <c r="F7" s="10">
        <v>127.94</v>
      </c>
      <c r="G7" s="10">
        <v>1085.9100000000001</v>
      </c>
      <c r="H7" s="10">
        <v>1568.21</v>
      </c>
      <c r="I7" s="10">
        <v>209.84</v>
      </c>
      <c r="J7" s="10">
        <v>197.11</v>
      </c>
      <c r="K7" s="10">
        <v>418.81</v>
      </c>
      <c r="L7" s="10">
        <v>649.39</v>
      </c>
      <c r="M7" s="6"/>
      <c r="N7" s="6"/>
      <c r="O7" s="6"/>
      <c r="P7" s="6"/>
      <c r="Q7" s="6"/>
      <c r="R7" s="6"/>
      <c r="S7" s="6"/>
      <c r="T7" s="6"/>
      <c r="U7" s="6"/>
      <c r="V7" s="6"/>
      <c r="W7" s="6"/>
      <c r="X7" s="6"/>
    </row>
    <row r="8" spans="1:25" ht="16.149999999999999" customHeight="1">
      <c r="A8" s="2">
        <v>1999</v>
      </c>
      <c r="B8" s="10">
        <v>4621.92</v>
      </c>
      <c r="C8" s="10">
        <v>119.77</v>
      </c>
      <c r="D8" s="10">
        <v>19.079999999999998</v>
      </c>
      <c r="E8" s="10">
        <v>158.15</v>
      </c>
      <c r="F8" s="10">
        <v>124.69</v>
      </c>
      <c r="G8" s="10">
        <v>1072.8599999999999</v>
      </c>
      <c r="H8" s="10">
        <v>1601.5</v>
      </c>
      <c r="I8" s="10">
        <v>209.91</v>
      </c>
      <c r="J8" s="10">
        <v>198.21</v>
      </c>
      <c r="K8" s="10">
        <v>437.64</v>
      </c>
      <c r="L8" s="10">
        <v>660.63</v>
      </c>
      <c r="N8" s="6"/>
      <c r="O8" s="430" t="s">
        <v>1378</v>
      </c>
      <c r="P8" s="430" t="s">
        <v>1379</v>
      </c>
      <c r="Q8" s="430" t="s">
        <v>1380</v>
      </c>
      <c r="R8" s="430" t="s">
        <v>1381</v>
      </c>
      <c r="S8" s="430" t="s">
        <v>1382</v>
      </c>
      <c r="T8" s="430" t="s">
        <v>1383</v>
      </c>
      <c r="U8" s="430" t="s">
        <v>1384</v>
      </c>
      <c r="V8" s="430" t="s">
        <v>1385</v>
      </c>
      <c r="W8" s="430" t="s">
        <v>1386</v>
      </c>
      <c r="X8" s="430" t="s">
        <v>1387</v>
      </c>
      <c r="Y8" s="430" t="s">
        <v>1388</v>
      </c>
    </row>
    <row r="9" spans="1:25" ht="16.149999999999999" customHeight="1">
      <c r="A9" s="2">
        <v>2000</v>
      </c>
      <c r="B9" s="10">
        <f>O9/1000</f>
        <v>4801.63</v>
      </c>
      <c r="C9" s="10">
        <f t="shared" ref="B9:J12" si="0">P9/1000</f>
        <v>102.34</v>
      </c>
      <c r="D9" s="10">
        <f t="shared" si="0"/>
        <v>18.22</v>
      </c>
      <c r="E9" s="10">
        <f t="shared" si="0"/>
        <v>163.31</v>
      </c>
      <c r="F9" s="10">
        <f t="shared" si="0"/>
        <v>126.77</v>
      </c>
      <c r="G9" s="10">
        <f t="shared" si="0"/>
        <v>1086.92</v>
      </c>
      <c r="H9" s="10">
        <f t="shared" si="0"/>
        <v>1718.26</v>
      </c>
      <c r="I9" s="10">
        <f t="shared" si="0"/>
        <v>213.81</v>
      </c>
      <c r="J9" s="10">
        <f t="shared" si="0"/>
        <v>199.5</v>
      </c>
      <c r="K9" s="10">
        <f t="shared" ref="K9:L14" si="1">X9/1000</f>
        <v>442.69</v>
      </c>
      <c r="L9" s="10">
        <f t="shared" si="1"/>
        <v>708.81</v>
      </c>
      <c r="N9" s="6"/>
      <c r="O9" s="430">
        <v>4801630</v>
      </c>
      <c r="P9" s="430">
        <v>102340</v>
      </c>
      <c r="Q9" s="430">
        <v>18220</v>
      </c>
      <c r="R9" s="430">
        <v>163310</v>
      </c>
      <c r="S9" s="430">
        <v>126770</v>
      </c>
      <c r="T9" s="430">
        <v>1086920</v>
      </c>
      <c r="U9" s="430">
        <v>1718260</v>
      </c>
      <c r="V9" s="430">
        <v>213810</v>
      </c>
      <c r="W9" s="430">
        <v>199500</v>
      </c>
      <c r="X9" s="430">
        <v>442690</v>
      </c>
      <c r="Y9" s="430">
        <v>708810</v>
      </c>
    </row>
    <row r="10" spans="1:25" ht="16.149999999999999" customHeight="1">
      <c r="A10" s="2">
        <v>2001</v>
      </c>
      <c r="B10" s="10">
        <f t="shared" si="0"/>
        <v>4695.5</v>
      </c>
      <c r="C10" s="10">
        <f t="shared" si="0"/>
        <v>97.25</v>
      </c>
      <c r="D10" s="10">
        <f t="shared" si="0"/>
        <v>17.21</v>
      </c>
      <c r="E10" s="10">
        <f t="shared" si="0"/>
        <v>155.81</v>
      </c>
      <c r="F10" s="10">
        <f t="shared" si="0"/>
        <v>122.67</v>
      </c>
      <c r="G10" s="10">
        <f t="shared" si="0"/>
        <v>1084.53</v>
      </c>
      <c r="H10" s="10">
        <f t="shared" si="0"/>
        <v>1698.62</v>
      </c>
      <c r="I10" s="10">
        <f t="shared" si="0"/>
        <v>207.93</v>
      </c>
      <c r="J10" s="10">
        <f t="shared" si="0"/>
        <v>194.67</v>
      </c>
      <c r="K10" s="10">
        <f t="shared" si="1"/>
        <v>406.65</v>
      </c>
      <c r="L10" s="10">
        <f t="shared" si="1"/>
        <v>692.62</v>
      </c>
      <c r="N10" s="6"/>
      <c r="O10" s="430">
        <v>4695500</v>
      </c>
      <c r="P10" s="430">
        <v>97250</v>
      </c>
      <c r="Q10" s="430">
        <v>17210</v>
      </c>
      <c r="R10" s="430">
        <v>155810</v>
      </c>
      <c r="S10" s="430">
        <v>122670</v>
      </c>
      <c r="T10" s="430">
        <v>1084530</v>
      </c>
      <c r="U10" s="430">
        <v>1698620</v>
      </c>
      <c r="V10" s="430">
        <v>207930</v>
      </c>
      <c r="W10" s="430">
        <v>194670</v>
      </c>
      <c r="X10" s="430">
        <v>406650</v>
      </c>
      <c r="Y10" s="430">
        <v>692620</v>
      </c>
    </row>
    <row r="11" spans="1:25" ht="16.149999999999999" customHeight="1">
      <c r="A11" s="2">
        <v>2002</v>
      </c>
      <c r="B11" s="10">
        <f t="shared" si="0"/>
        <v>4700.24</v>
      </c>
      <c r="C11" s="10">
        <f t="shared" si="0"/>
        <v>92.49</v>
      </c>
      <c r="D11" s="10">
        <f t="shared" si="0"/>
        <v>16.579999999999998</v>
      </c>
      <c r="E11" s="10">
        <f t="shared" si="0"/>
        <v>149.58000000000001</v>
      </c>
      <c r="F11" s="10">
        <f t="shared" si="0"/>
        <v>117.1</v>
      </c>
      <c r="G11" s="10">
        <f t="shared" si="0"/>
        <v>1066.6199999999999</v>
      </c>
      <c r="H11" s="10">
        <f t="shared" si="0"/>
        <v>1736.63</v>
      </c>
      <c r="I11" s="10">
        <f t="shared" si="0"/>
        <v>211.01</v>
      </c>
      <c r="J11" s="10">
        <f t="shared" si="0"/>
        <v>195.28</v>
      </c>
      <c r="K11" s="10">
        <f t="shared" si="1"/>
        <v>399.75</v>
      </c>
      <c r="L11" s="10">
        <f t="shared" si="1"/>
        <v>698.31</v>
      </c>
      <c r="N11" s="6"/>
      <c r="O11" s="430">
        <v>4700240</v>
      </c>
      <c r="P11" s="430">
        <v>92490</v>
      </c>
      <c r="Q11" s="430">
        <v>16580</v>
      </c>
      <c r="R11" s="430">
        <v>149580</v>
      </c>
      <c r="S11" s="430">
        <v>117100</v>
      </c>
      <c r="T11" s="430">
        <v>1066620</v>
      </c>
      <c r="U11" s="430">
        <v>1736630</v>
      </c>
      <c r="V11" s="430">
        <v>211010</v>
      </c>
      <c r="W11" s="430">
        <v>195280</v>
      </c>
      <c r="X11" s="430">
        <v>399750</v>
      </c>
      <c r="Y11" s="430">
        <v>698310</v>
      </c>
    </row>
    <row r="12" spans="1:25" ht="16.149999999999999" customHeight="1">
      <c r="A12" s="2">
        <v>2003</v>
      </c>
      <c r="B12" s="10">
        <f t="shared" si="0"/>
        <v>4840.68</v>
      </c>
      <c r="C12" s="10">
        <f t="shared" ref="C12:J14" si="2">P12/1000</f>
        <v>90.33</v>
      </c>
      <c r="D12" s="10">
        <f t="shared" si="2"/>
        <v>16.79</v>
      </c>
      <c r="E12" s="10">
        <f t="shared" si="2"/>
        <v>149.78</v>
      </c>
      <c r="F12" s="10">
        <f t="shared" si="2"/>
        <v>116.14</v>
      </c>
      <c r="G12" s="10">
        <f t="shared" si="2"/>
        <v>1071.72</v>
      </c>
      <c r="H12" s="10">
        <f t="shared" si="2"/>
        <v>1821.9</v>
      </c>
      <c r="I12" s="10">
        <f t="shared" si="2"/>
        <v>217.32</v>
      </c>
      <c r="J12" s="10">
        <f t="shared" si="2"/>
        <v>199.27</v>
      </c>
      <c r="K12" s="10">
        <f t="shared" si="1"/>
        <v>417.71</v>
      </c>
      <c r="L12" s="10">
        <f t="shared" si="1"/>
        <v>721.7</v>
      </c>
      <c r="N12" s="6"/>
      <c r="O12" s="430">
        <v>4840680</v>
      </c>
      <c r="P12" s="430">
        <v>90330</v>
      </c>
      <c r="Q12" s="430">
        <v>16790</v>
      </c>
      <c r="R12" s="430">
        <v>149780</v>
      </c>
      <c r="S12" s="430">
        <v>116140</v>
      </c>
      <c r="T12" s="430">
        <v>1071720</v>
      </c>
      <c r="U12" s="430">
        <v>1821900</v>
      </c>
      <c r="V12" s="430">
        <v>217320</v>
      </c>
      <c r="W12" s="430">
        <v>199270</v>
      </c>
      <c r="X12" s="430">
        <v>417710</v>
      </c>
      <c r="Y12" s="430">
        <v>721700</v>
      </c>
    </row>
    <row r="13" spans="1:25" ht="16.149999999999999" customHeight="1">
      <c r="A13" s="2">
        <v>2004</v>
      </c>
      <c r="B13" s="10">
        <f>O13/1000</f>
        <v>5002.3100000000004</v>
      </c>
      <c r="C13" s="10">
        <f t="shared" si="2"/>
        <v>92.66</v>
      </c>
      <c r="D13" s="10">
        <f t="shared" si="2"/>
        <v>18.100000000000001</v>
      </c>
      <c r="E13" s="10">
        <f t="shared" si="2"/>
        <v>153.69</v>
      </c>
      <c r="F13" s="10">
        <f t="shared" si="2"/>
        <v>120.43</v>
      </c>
      <c r="G13" s="10">
        <f t="shared" si="2"/>
        <v>1118.06</v>
      </c>
      <c r="H13" s="10">
        <f t="shared" si="2"/>
        <v>1884.8</v>
      </c>
      <c r="I13" s="10">
        <f t="shared" si="2"/>
        <v>226.36</v>
      </c>
      <c r="J13" s="10">
        <f t="shared" si="2"/>
        <v>202.79</v>
      </c>
      <c r="K13" s="10">
        <f t="shared" si="1"/>
        <v>432.65</v>
      </c>
      <c r="L13" s="10">
        <f t="shared" si="1"/>
        <v>734.09</v>
      </c>
      <c r="N13" s="6"/>
      <c r="O13" s="430">
        <v>5002310</v>
      </c>
      <c r="P13" s="430">
        <v>92660</v>
      </c>
      <c r="Q13" s="430">
        <v>18100</v>
      </c>
      <c r="R13" s="430">
        <v>153690</v>
      </c>
      <c r="S13" s="430">
        <v>120430</v>
      </c>
      <c r="T13" s="430">
        <v>1118060</v>
      </c>
      <c r="U13" s="430">
        <v>1884800</v>
      </c>
      <c r="V13" s="430">
        <v>226360</v>
      </c>
      <c r="W13" s="430">
        <v>202790</v>
      </c>
      <c r="X13" s="430">
        <v>432650</v>
      </c>
      <c r="Y13" s="430">
        <v>734090</v>
      </c>
    </row>
    <row r="14" spans="1:25" ht="16.149999999999999" customHeight="1">
      <c r="A14" s="2">
        <v>2005</v>
      </c>
      <c r="B14" s="10">
        <f>O14/1000</f>
        <v>4737.6000000000004</v>
      </c>
      <c r="C14" s="10">
        <f t="shared" si="2"/>
        <v>87.95</v>
      </c>
      <c r="D14" s="10">
        <f t="shared" si="2"/>
        <v>17.23</v>
      </c>
      <c r="E14" s="10">
        <f t="shared" si="2"/>
        <v>145.63999999999999</v>
      </c>
      <c r="F14" s="10">
        <f t="shared" si="2"/>
        <v>114.45</v>
      </c>
      <c r="G14" s="10">
        <f t="shared" si="2"/>
        <v>1045.8900000000001</v>
      </c>
      <c r="H14" s="10">
        <f t="shared" si="2"/>
        <v>1826.48</v>
      </c>
      <c r="I14" s="10">
        <f t="shared" si="2"/>
        <v>213.52</v>
      </c>
      <c r="J14" s="10">
        <f t="shared" si="2"/>
        <v>177.24</v>
      </c>
      <c r="K14" s="10">
        <f t="shared" si="1"/>
        <v>397.5</v>
      </c>
      <c r="L14" s="10">
        <f t="shared" si="1"/>
        <v>694.88</v>
      </c>
      <c r="N14" s="6"/>
      <c r="O14" s="430">
        <v>4737600</v>
      </c>
      <c r="P14" s="430">
        <v>87950</v>
      </c>
      <c r="Q14" s="430">
        <v>17230</v>
      </c>
      <c r="R14" s="430">
        <v>145640</v>
      </c>
      <c r="S14" s="430">
        <v>114450</v>
      </c>
      <c r="T14" s="430">
        <v>1045890</v>
      </c>
      <c r="U14" s="430">
        <v>1826480</v>
      </c>
      <c r="V14" s="430">
        <v>213520</v>
      </c>
      <c r="W14" s="430">
        <v>177240</v>
      </c>
      <c r="X14" s="430">
        <v>397500</v>
      </c>
      <c r="Y14" s="430">
        <v>694880</v>
      </c>
    </row>
    <row r="15" spans="1:25" ht="16.149999999999999" customHeight="1">
      <c r="A15" s="2">
        <v>2006</v>
      </c>
      <c r="B15" s="10">
        <f>O15/1000</f>
        <v>4685.9399999999996</v>
      </c>
      <c r="C15" s="10">
        <f t="shared" ref="C15:L15" si="3">P15/1000</f>
        <v>83.87</v>
      </c>
      <c r="D15" s="10">
        <f t="shared" si="3"/>
        <v>16.43</v>
      </c>
      <c r="E15" s="10">
        <f t="shared" si="3"/>
        <v>141.61000000000001</v>
      </c>
      <c r="F15" s="10">
        <f t="shared" si="3"/>
        <v>111.46</v>
      </c>
      <c r="G15" s="10">
        <f t="shared" si="3"/>
        <v>1057.52</v>
      </c>
      <c r="H15" s="10">
        <f t="shared" si="3"/>
        <v>1844.12</v>
      </c>
      <c r="I15" s="10">
        <f t="shared" si="3"/>
        <v>214.18</v>
      </c>
      <c r="J15" s="10">
        <f t="shared" si="3"/>
        <v>170.96</v>
      </c>
      <c r="K15" s="10">
        <f t="shared" si="3"/>
        <v>358.53</v>
      </c>
      <c r="L15" s="10">
        <f t="shared" si="3"/>
        <v>670.44</v>
      </c>
      <c r="N15" s="6"/>
      <c r="O15" s="430">
        <v>4685940</v>
      </c>
      <c r="P15" s="430">
        <v>83870</v>
      </c>
      <c r="Q15" s="430">
        <v>16430</v>
      </c>
      <c r="R15" s="430">
        <v>141610</v>
      </c>
      <c r="S15" s="430">
        <v>111460</v>
      </c>
      <c r="T15" s="430">
        <v>1057520</v>
      </c>
      <c r="U15" s="430">
        <v>1844120</v>
      </c>
      <c r="V15" s="430">
        <v>214180</v>
      </c>
      <c r="W15" s="430">
        <v>170960</v>
      </c>
      <c r="X15" s="430">
        <v>358530</v>
      </c>
      <c r="Y15" s="430">
        <v>670440</v>
      </c>
    </row>
    <row r="16" spans="1:25" s="647" customFormat="1" ht="16.149999999999999" customHeight="1">
      <c r="A16" s="1079" t="s">
        <v>1389</v>
      </c>
      <c r="B16" s="27">
        <f>((((B15/B6))^(1/9))-1)*100</f>
        <v>2.9088967093793272E-2</v>
      </c>
      <c r="C16" s="27">
        <f t="shared" ref="C16:L16" si="4">((((C15/C6))^(1/9))-1)*100</f>
        <v>-3.2467603240885934</v>
      </c>
      <c r="D16" s="27">
        <f t="shared" si="4"/>
        <v>-1.6649049694005602</v>
      </c>
      <c r="E16" s="27">
        <f t="shared" si="4"/>
        <v>-1.3912211071729907</v>
      </c>
      <c r="F16" s="27">
        <f t="shared" si="4"/>
        <v>-1.9235030692887012</v>
      </c>
      <c r="G16" s="27">
        <f t="shared" si="4"/>
        <v>-1.1228052188181903</v>
      </c>
      <c r="H16" s="27">
        <f t="shared" si="4"/>
        <v>1.590909225956838</v>
      </c>
      <c r="I16" s="27">
        <f t="shared" si="4"/>
        <v>0.23727674508282615</v>
      </c>
      <c r="J16" s="27">
        <f t="shared" si="4"/>
        <v>-1.5718047270725788</v>
      </c>
      <c r="K16" s="27">
        <f t="shared" si="4"/>
        <v>-1.7014640581246465</v>
      </c>
      <c r="L16" s="27">
        <f t="shared" si="4"/>
        <v>0.64812828487812446</v>
      </c>
    </row>
    <row r="17" spans="1:24" s="647" customFormat="1" ht="16.149999999999999" customHeight="1">
      <c r="A17" s="1079" t="s">
        <v>1390</v>
      </c>
      <c r="B17" s="33">
        <f>(B15/B6-1)*100</f>
        <v>0.26210553117558266</v>
      </c>
      <c r="C17" s="33">
        <f t="shared" ref="C17:L17" si="5">(C15/C6-1)*100</f>
        <v>-25.699858256555629</v>
      </c>
      <c r="D17" s="33">
        <f t="shared" si="5"/>
        <v>-14.024071166928309</v>
      </c>
      <c r="E17" s="33">
        <f t="shared" si="5"/>
        <v>-11.846364541832655</v>
      </c>
      <c r="F17" s="33">
        <f t="shared" si="5"/>
        <v>-16.037664783427495</v>
      </c>
      <c r="G17" s="33">
        <f t="shared" si="5"/>
        <v>-9.6630902754049171</v>
      </c>
      <c r="H17" s="33">
        <f t="shared" si="5"/>
        <v>15.263983599077434</v>
      </c>
      <c r="I17" s="33">
        <f t="shared" si="5"/>
        <v>2.1558714108556698</v>
      </c>
      <c r="J17" s="33">
        <f t="shared" si="5"/>
        <v>-13.288699533373904</v>
      </c>
      <c r="K17" s="33">
        <f t="shared" si="5"/>
        <v>-14.311321431132152</v>
      </c>
      <c r="L17" s="33">
        <f t="shared" si="5"/>
        <v>5.9866892201653643</v>
      </c>
    </row>
    <row r="18" spans="1:24" s="647" customFormat="1" ht="16.149999999999999" customHeight="1">
      <c r="A18" s="136"/>
      <c r="B18" s="12"/>
      <c r="C18" s="12"/>
      <c r="D18" s="12"/>
      <c r="E18" s="12"/>
      <c r="F18" s="12"/>
      <c r="G18" s="12"/>
      <c r="H18" s="12"/>
      <c r="I18" s="12"/>
      <c r="J18" s="12"/>
      <c r="K18" s="12"/>
      <c r="L18" s="12"/>
    </row>
    <row r="19" spans="1:24" ht="25.9" customHeight="1">
      <c r="A19" s="137" t="s">
        <v>774</v>
      </c>
    </row>
    <row r="20" spans="1:24" ht="16.149999999999999" customHeight="1">
      <c r="A20" s="2">
        <v>1997</v>
      </c>
      <c r="B20" s="10">
        <f>B6/'1'!B31*100</f>
        <v>15.627961367417612</v>
      </c>
      <c r="C20" s="10">
        <f>C6/'1'!C31*100</f>
        <v>20.489697972993824</v>
      </c>
      <c r="D20" s="10">
        <f>D6/'1'!D31*100</f>
        <v>14.041662074286343</v>
      </c>
      <c r="E20" s="10">
        <f>E6/'1'!E31*100</f>
        <v>17.228620273229787</v>
      </c>
      <c r="F20" s="10">
        <f>F6/'1'!F31*100</f>
        <v>17.640938139110261</v>
      </c>
      <c r="G20" s="10">
        <f>G6/'1'!G31*100</f>
        <v>16.092131936676754</v>
      </c>
      <c r="H20" s="10">
        <f>H6/'1'!H31*100</f>
        <v>14.249730420013949</v>
      </c>
      <c r="I20" s="10">
        <f>I6/'1'!I31*100</f>
        <v>18.453906602073005</v>
      </c>
      <c r="J20" s="10">
        <f>J6/'1'!J31*100</f>
        <v>19.369251656839261</v>
      </c>
      <c r="K20" s="10">
        <f>K6/'1'!K31*100</f>
        <v>14.785599791932288</v>
      </c>
      <c r="L20" s="10">
        <f>L6/'1'!L31*100</f>
        <v>16.020177364892675</v>
      </c>
      <c r="N20" s="6"/>
      <c r="O20" s="6"/>
      <c r="P20" s="6"/>
      <c r="Q20" s="6"/>
      <c r="R20" s="6"/>
      <c r="S20" s="6"/>
      <c r="T20" s="6"/>
      <c r="U20" s="6"/>
      <c r="V20" s="6"/>
      <c r="W20" s="6"/>
      <c r="X20" s="6"/>
    </row>
    <row r="21" spans="1:24" ht="16.149999999999999" customHeight="1">
      <c r="A21" s="2">
        <v>1998</v>
      </c>
      <c r="B21" s="10">
        <f>B7/'1'!B32*100</f>
        <v>15.137236984181785</v>
      </c>
      <c r="C21" s="10">
        <f>C7/'1'!C32*100</f>
        <v>20.543009726902085</v>
      </c>
      <c r="D21" s="10">
        <f>D7/'1'!D32*100</f>
        <v>13.688845689375864</v>
      </c>
      <c r="E21" s="10">
        <f>E7/'1'!E32*100</f>
        <v>16.996553041522329</v>
      </c>
      <c r="F21" s="10">
        <f>F7/'1'!F32*100</f>
        <v>17.046620388258965</v>
      </c>
      <c r="G21" s="10">
        <f>G7/'1'!G32*100</f>
        <v>14.883767467774863</v>
      </c>
      <c r="H21" s="10">
        <f>H7/'1'!H32*100</f>
        <v>13.797498324153976</v>
      </c>
      <c r="I21" s="10">
        <f>I7/'1'!I32*100</f>
        <v>18.447650922338589</v>
      </c>
      <c r="J21" s="10">
        <f>J7/'1'!J32*100</f>
        <v>19.375189220431484</v>
      </c>
      <c r="K21" s="10">
        <f>K7/'1'!K32*100</f>
        <v>14.446376867584251</v>
      </c>
      <c r="L21" s="10">
        <f>L7/'1'!L32*100</f>
        <v>16.303579637333915</v>
      </c>
      <c r="N21" s="6"/>
      <c r="O21" s="6"/>
      <c r="P21" s="6"/>
      <c r="Q21" s="6"/>
      <c r="R21" s="6"/>
      <c r="S21" s="6"/>
      <c r="T21" s="6"/>
      <c r="U21" s="6"/>
      <c r="V21" s="6"/>
      <c r="W21" s="6"/>
      <c r="X21" s="6"/>
    </row>
    <row r="22" spans="1:24" ht="16.149999999999999" customHeight="1">
      <c r="A22" s="2">
        <v>1999</v>
      </c>
      <c r="B22" s="10">
        <f>B8/'1'!B33*100</f>
        <v>15.203041081880549</v>
      </c>
      <c r="C22" s="10">
        <f>C8/'1'!C33*100</f>
        <v>22.457057463591891</v>
      </c>
      <c r="D22" s="10">
        <f>D8/'1'!D33*100</f>
        <v>14.000484293481849</v>
      </c>
      <c r="E22" s="10">
        <f>E8/'1'!E33*100</f>
        <v>16.93646496406021</v>
      </c>
      <c r="F22" s="10">
        <f>F8/'1'!F33*100</f>
        <v>16.612021566717868</v>
      </c>
      <c r="G22" s="10">
        <f>G8/'1'!G33*100</f>
        <v>14.650052913665379</v>
      </c>
      <c r="H22" s="10">
        <f>H8/'1'!H33*100</f>
        <v>13.920326362334057</v>
      </c>
      <c r="I22" s="10">
        <f>I8/'1'!I33*100</f>
        <v>18.373702785597242</v>
      </c>
      <c r="J22" s="10">
        <f>J8/'1'!J33*100</f>
        <v>19.537241110116664</v>
      </c>
      <c r="K22" s="10">
        <f>K8/'1'!K33*100</f>
        <v>14.821728781735446</v>
      </c>
      <c r="L22" s="10">
        <f>L8/'1'!L33*100</f>
        <v>16.46891651865009</v>
      </c>
      <c r="N22" s="6"/>
      <c r="O22" s="6"/>
      <c r="P22" s="6"/>
      <c r="Q22" s="6"/>
      <c r="R22" s="6"/>
      <c r="S22" s="6"/>
      <c r="T22" s="6"/>
      <c r="U22" s="6"/>
      <c r="V22" s="6"/>
      <c r="W22" s="6"/>
      <c r="X22" s="6"/>
    </row>
    <row r="23" spans="1:24" ht="16.149999999999999" customHeight="1">
      <c r="A23" s="2">
        <v>2000</v>
      </c>
      <c r="B23" s="10">
        <f>B9/'1'!B34*100</f>
        <v>15.64776200533603</v>
      </c>
      <c r="C23" s="10">
        <f>C9/'1'!C34*100</f>
        <v>19.383823958360953</v>
      </c>
      <c r="D23" s="10">
        <f>D9/'1'!D34*100</f>
        <v>13.350919616032828</v>
      </c>
      <c r="E23" s="10">
        <f>E9/'1'!E34*100</f>
        <v>17.488362330682218</v>
      </c>
      <c r="F23" s="10">
        <f>F9/'1'!F34*100</f>
        <v>16.891023121394984</v>
      </c>
      <c r="G23" s="10">
        <f>G9/'1'!G34*100</f>
        <v>14.774055175846627</v>
      </c>
      <c r="H23" s="10">
        <f>H9/'1'!H34*100</f>
        <v>14.706987500952213</v>
      </c>
      <c r="I23" s="10">
        <f>I9/'1'!I34*100</f>
        <v>18.6357166701676</v>
      </c>
      <c r="J23" s="10">
        <f>J9/'1'!J34*100</f>
        <v>19.800211400753302</v>
      </c>
      <c r="K23" s="10">
        <f>K9/'1'!K34*100</f>
        <v>14.735713158719898</v>
      </c>
      <c r="L23" s="10">
        <f>L9/'1'!L34*100</f>
        <v>17.548146552684546</v>
      </c>
      <c r="M23" s="4"/>
      <c r="N23" s="4"/>
    </row>
    <row r="24" spans="1:24" ht="16.149999999999999" customHeight="1">
      <c r="A24" s="2">
        <v>2001</v>
      </c>
      <c r="B24" s="10">
        <f>B10/'1'!B35*100</f>
        <v>15.13748661305225</v>
      </c>
      <c r="C24" s="10">
        <f>C10/'1'!C35*100</f>
        <v>18.629090498110273</v>
      </c>
      <c r="D24" s="10">
        <f>D10/'1'!D35*100</f>
        <v>12.593020788362614</v>
      </c>
      <c r="E24" s="10">
        <f>E10/'1'!E35*100</f>
        <v>16.709671469048342</v>
      </c>
      <c r="F24" s="10">
        <f>F10/'1'!F35*100</f>
        <v>16.360340943797087</v>
      </c>
      <c r="G24" s="10">
        <f>G10/'1'!G35*100</f>
        <v>14.663080924853148</v>
      </c>
      <c r="H24" s="10">
        <f>H10/'1'!H35*100</f>
        <v>14.278121520295228</v>
      </c>
      <c r="I24" s="10">
        <f>I10/'1'!I35*100</f>
        <v>18.058273169486181</v>
      </c>
      <c r="J24" s="10">
        <f>J10/'1'!J35*100</f>
        <v>19.462698743577668</v>
      </c>
      <c r="K24" s="10">
        <f>K10/'1'!K35*100</f>
        <v>13.297833203674145</v>
      </c>
      <c r="L24" s="10">
        <f>L10/'1'!L35*100</f>
        <v>16.991539311487188</v>
      </c>
      <c r="M24" s="4"/>
      <c r="N24" s="4"/>
    </row>
    <row r="25" spans="1:24" ht="16.149999999999999" customHeight="1">
      <c r="A25" s="2">
        <v>2002</v>
      </c>
      <c r="B25" s="10">
        <f>B11/'1'!B36*100</f>
        <v>14.991042830858387</v>
      </c>
      <c r="C25" s="10">
        <f>C11/'1'!C36*100</f>
        <v>17.802595032827686</v>
      </c>
      <c r="D25" s="10">
        <f>D11/'1'!D36*100</f>
        <v>12.113153511207223</v>
      </c>
      <c r="E25" s="10">
        <f>E11/'1'!E36*100</f>
        <v>15.997604316508292</v>
      </c>
      <c r="F25" s="10">
        <f>F11/'1'!F36*100</f>
        <v>15.6272728607251</v>
      </c>
      <c r="G25" s="10">
        <f>G11/'1'!G36*100</f>
        <v>14.334217255676462</v>
      </c>
      <c r="H25" s="10">
        <f>H11/'1'!H36*100</f>
        <v>14.362962821443901</v>
      </c>
      <c r="I25" s="10">
        <f>I11/'1'!I36*100</f>
        <v>18.24378595087553</v>
      </c>
      <c r="J25" s="10">
        <f>J11/'1'!J36*100</f>
        <v>19.590670555105781</v>
      </c>
      <c r="K25" s="10">
        <f>K11/'1'!K36*100</f>
        <v>12.778244475387135</v>
      </c>
      <c r="L25" s="10">
        <f>L11/'1'!L36*100</f>
        <v>17.039523417479668</v>
      </c>
      <c r="M25" s="4"/>
      <c r="N25" s="4"/>
    </row>
    <row r="26" spans="1:24" ht="16.149999999999999" customHeight="1">
      <c r="A26" s="2">
        <v>2003</v>
      </c>
      <c r="B26" s="10">
        <f>B12/'1'!B37*100</f>
        <v>15.299401036736478</v>
      </c>
      <c r="C26" s="10">
        <f>C12/'1'!C37*100</f>
        <v>17.420735940754454</v>
      </c>
      <c r="D26" s="10">
        <f>D12/'1'!D37*100</f>
        <v>12.235736512632906</v>
      </c>
      <c r="E26" s="10">
        <f>E12/'1'!E37*100</f>
        <v>15.976686709525744</v>
      </c>
      <c r="F26" s="10">
        <f>F12/'1'!F37*100</f>
        <v>15.497959003935206</v>
      </c>
      <c r="G26" s="10">
        <f>G12/'1'!G37*100</f>
        <v>14.316633622047393</v>
      </c>
      <c r="H26" s="10">
        <f>H12/'1'!H37*100</f>
        <v>14.882040287779894</v>
      </c>
      <c r="I26" s="10">
        <f>I12/'1'!I37*100</f>
        <v>18.673006713243208</v>
      </c>
      <c r="J26" s="10">
        <f>J12/'1'!J37*100</f>
        <v>19.997330611761569</v>
      </c>
      <c r="K26" s="10">
        <f>K12/'1'!K37*100</f>
        <v>13.121521796220136</v>
      </c>
      <c r="L26" s="10">
        <f>L12/'1'!L37*100</f>
        <v>17.506809146913593</v>
      </c>
      <c r="M26" s="4"/>
      <c r="N26" s="4"/>
    </row>
    <row r="27" spans="1:24" ht="16.149999999999999" customHeight="1">
      <c r="A27" s="2">
        <v>2004</v>
      </c>
      <c r="B27" s="10">
        <f>B13/'1'!B38*100</f>
        <v>15.661252754951086</v>
      </c>
      <c r="C27" s="10">
        <f>C13/'1'!C38*100</f>
        <v>17.907147978440303</v>
      </c>
      <c r="D27" s="10">
        <f>D13/'1'!D38*100</f>
        <v>13.146999433444224</v>
      </c>
      <c r="E27" s="10">
        <f>E13/'1'!E38*100</f>
        <v>16.360860826761595</v>
      </c>
      <c r="F27" s="10">
        <f>F13/'1'!F38*100</f>
        <v>16.070854278733172</v>
      </c>
      <c r="G27" s="10">
        <f>G13/'1'!G38*100</f>
        <v>14.836392434164386</v>
      </c>
      <c r="H27" s="10">
        <f>H13/'1'!H38*100</f>
        <v>15.21153254979844</v>
      </c>
      <c r="I27" s="10">
        <f>I13/'1'!I38*100</f>
        <v>19.288220688056747</v>
      </c>
      <c r="J27" s="10">
        <f>J13/'1'!J38*100</f>
        <v>20.330904799954283</v>
      </c>
      <c r="K27" s="10">
        <f>K13/'1'!K38*100</f>
        <v>13.355575647999318</v>
      </c>
      <c r="L27" s="10">
        <f>L13/'1'!L38*100</f>
        <v>17.666906528493421</v>
      </c>
      <c r="M27" s="4"/>
      <c r="N27" s="4"/>
    </row>
    <row r="28" spans="1:24" ht="16.149999999999999" customHeight="1">
      <c r="A28" s="2">
        <v>2005</v>
      </c>
      <c r="B28" s="10">
        <f>B14/'1'!B39*100</f>
        <v>14.692415236012272</v>
      </c>
      <c r="C28" s="10">
        <f>C14/'1'!C39*100</f>
        <v>17.098819316319407</v>
      </c>
      <c r="D28" s="10">
        <f>D14/'1'!D39*100</f>
        <v>12.480533120857629</v>
      </c>
      <c r="E28" s="10">
        <f>E14/'1'!E39*100</f>
        <v>15.527629136587482</v>
      </c>
      <c r="F28" s="10">
        <f>F14/'1'!F39*100</f>
        <v>15.301620407508423</v>
      </c>
      <c r="G28" s="10">
        <f>G14/'1'!G39*100</f>
        <v>13.794543354571164</v>
      </c>
      <c r="H28" s="10">
        <f>H14/'1'!H39*100</f>
        <v>14.578624062935008</v>
      </c>
      <c r="I28" s="10">
        <f>I14/'1'!I39*100</f>
        <v>18.121006432142554</v>
      </c>
      <c r="J28" s="10">
        <f>J14/'1'!J39*100</f>
        <v>17.838541273517254</v>
      </c>
      <c r="K28" s="10">
        <f>K14/'1'!K39*100</f>
        <v>11.964962976340979</v>
      </c>
      <c r="L28" s="10">
        <f>L14/'1'!L39*100</f>
        <v>16.557424392178017</v>
      </c>
      <c r="M28" s="4"/>
      <c r="N28" s="4"/>
    </row>
    <row r="29" spans="1:24" ht="16.149999999999999" customHeight="1">
      <c r="A29" s="2">
        <v>2006</v>
      </c>
      <c r="B29" s="10">
        <f>B15/'1'!B40*100</f>
        <v>14.384606321805382</v>
      </c>
      <c r="C29" s="10">
        <f>C15/'1'!C40*100</f>
        <v>16.435011453754854</v>
      </c>
      <c r="D29" s="10">
        <f>D15/'1'!D40*100</f>
        <v>11.9127030162413</v>
      </c>
      <c r="E29" s="10">
        <f>E15/'1'!E40*100</f>
        <v>15.096853978102581</v>
      </c>
      <c r="F29" s="10">
        <f>F15/'1'!F40*100</f>
        <v>14.947550806384561</v>
      </c>
      <c r="G29" s="10">
        <f>G15/'1'!G40*100</f>
        <v>13.857207550967351</v>
      </c>
      <c r="H29" s="10">
        <f>H15/'1'!H40*100</f>
        <v>14.560360214399196</v>
      </c>
      <c r="I29" s="10">
        <f>I15/'1'!I40*100</f>
        <v>18.089053411608312</v>
      </c>
      <c r="J29" s="10">
        <f>J15/'1'!J40*100</f>
        <v>17.231751740209372</v>
      </c>
      <c r="K29" s="10">
        <f>K15/'1'!K40*100</f>
        <v>10.479493916410156</v>
      </c>
      <c r="L29" s="10">
        <f>L15/'1'!L40*100</f>
        <v>15.798924492998836</v>
      </c>
      <c r="M29" s="4"/>
      <c r="N29" s="4"/>
    </row>
    <row r="30" spans="1:24" s="647" customFormat="1" ht="16.149999999999999" customHeight="1">
      <c r="A30" s="1079" t="s">
        <v>1389</v>
      </c>
      <c r="B30" s="27">
        <f>((((B29/B20))^(1/9))-1)*100</f>
        <v>-0.91691574042300772</v>
      </c>
      <c r="C30" s="27">
        <f t="shared" ref="C30:L30" si="6">((((C29/C20))^(1/9))-1)*100</f>
        <v>-2.4203212924113982</v>
      </c>
      <c r="D30" s="27">
        <f t="shared" si="6"/>
        <v>-1.8103402012128345</v>
      </c>
      <c r="E30" s="27">
        <f t="shared" si="6"/>
        <v>-1.4569006951227648</v>
      </c>
      <c r="F30" s="27">
        <f t="shared" si="6"/>
        <v>-1.8239909868716708</v>
      </c>
      <c r="G30" s="27">
        <f t="shared" si="6"/>
        <v>-1.6476634441030868</v>
      </c>
      <c r="H30" s="27">
        <f t="shared" si="6"/>
        <v>0.23989611157406721</v>
      </c>
      <c r="I30" s="27">
        <f t="shared" si="6"/>
        <v>-0.22163310361803523</v>
      </c>
      <c r="J30" s="27">
        <f t="shared" si="6"/>
        <v>-1.2908530822397513</v>
      </c>
      <c r="K30" s="27">
        <f t="shared" si="6"/>
        <v>-3.752592484390016</v>
      </c>
      <c r="L30" s="27">
        <f t="shared" si="6"/>
        <v>-0.15440451108518216</v>
      </c>
    </row>
    <row r="31" spans="1:24" s="647" customFormat="1" ht="16.149999999999999" customHeight="1">
      <c r="A31" s="1079" t="s">
        <v>1390</v>
      </c>
      <c r="B31" s="33">
        <f>(B29/B20-1)*100</f>
        <v>-7.9559644177549131</v>
      </c>
      <c r="C31" s="33">
        <f t="shared" ref="C31:L31" si="7">(C29/C20-1)*100</f>
        <v>-19.788903304398119</v>
      </c>
      <c r="D31" s="33">
        <f t="shared" si="7"/>
        <v>-15.161731188102568</v>
      </c>
      <c r="E31" s="33">
        <f t="shared" si="7"/>
        <v>-12.37340112742279</v>
      </c>
      <c r="F31" s="33">
        <f t="shared" si="7"/>
        <v>-15.267823692178906</v>
      </c>
      <c r="G31" s="33">
        <f t="shared" si="7"/>
        <v>-13.888305132619649</v>
      </c>
      <c r="H31" s="33">
        <f t="shared" si="7"/>
        <v>2.1798994453183784</v>
      </c>
      <c r="I31" s="33">
        <f t="shared" si="7"/>
        <v>-1.9771054353537654</v>
      </c>
      <c r="J31" s="33">
        <f t="shared" si="7"/>
        <v>-11.035531751559125</v>
      </c>
      <c r="K31" s="33">
        <f t="shared" si="7"/>
        <v>-29.123646900491273</v>
      </c>
      <c r="L31" s="33">
        <f t="shared" si="7"/>
        <v>-1.3810887785718373</v>
      </c>
    </row>
    <row r="32" spans="1:24" ht="16.149999999999999" customHeight="1">
      <c r="A32" s="4"/>
    </row>
    <row r="33" spans="1:24" ht="25.9" customHeight="1">
      <c r="A33" s="137" t="s">
        <v>775</v>
      </c>
    </row>
    <row r="34" spans="1:24" ht="16.149999999999999" customHeight="1">
      <c r="A34" s="2">
        <v>1997</v>
      </c>
      <c r="B34" s="19">
        <f>B20/$B20*100</f>
        <v>100</v>
      </c>
      <c r="C34" s="21">
        <f>C20/$B20*100</f>
        <v>131.10921822287287</v>
      </c>
      <c r="D34" s="21">
        <f t="shared" ref="C34:K37" si="8">D20/$B20*100</f>
        <v>89.849608302471822</v>
      </c>
      <c r="E34" s="21">
        <f t="shared" si="8"/>
        <v>110.2422758041196</v>
      </c>
      <c r="F34" s="21">
        <f t="shared" si="8"/>
        <v>112.88061010881087</v>
      </c>
      <c r="G34" s="21">
        <f t="shared" si="8"/>
        <v>102.97012872214337</v>
      </c>
      <c r="H34" s="21">
        <f t="shared" si="8"/>
        <v>91.180993381023413</v>
      </c>
      <c r="I34" s="21">
        <f t="shared" si="8"/>
        <v>118.08262234732128</v>
      </c>
      <c r="J34" s="21">
        <f t="shared" si="8"/>
        <v>123.93972061654684</v>
      </c>
      <c r="K34" s="21">
        <f t="shared" si="8"/>
        <v>94.609907487731931</v>
      </c>
      <c r="L34" s="21">
        <f t="shared" ref="L34:L43" si="9">L20/$B20*100</f>
        <v>102.50970672536207</v>
      </c>
      <c r="N34" s="6"/>
      <c r="O34" s="6"/>
      <c r="P34" s="6"/>
      <c r="Q34" s="6"/>
      <c r="R34" s="6"/>
      <c r="S34" s="6"/>
      <c r="T34" s="6"/>
      <c r="U34" s="6"/>
      <c r="V34" s="6"/>
      <c r="W34" s="6"/>
      <c r="X34" s="6"/>
    </row>
    <row r="35" spans="1:24" ht="16.149999999999999" customHeight="1">
      <c r="A35" s="2">
        <v>1998</v>
      </c>
      <c r="B35" s="19">
        <f>B21/$B21*100</f>
        <v>100</v>
      </c>
      <c r="C35" s="21">
        <f t="shared" si="8"/>
        <v>135.71175339574364</v>
      </c>
      <c r="D35" s="21">
        <f t="shared" si="8"/>
        <v>90.431600586557039</v>
      </c>
      <c r="E35" s="21">
        <f t="shared" si="8"/>
        <v>112.28306103209921</v>
      </c>
      <c r="F35" s="21">
        <f>F21/$B21*100</f>
        <v>112.61381721163816</v>
      </c>
      <c r="G35" s="21">
        <f t="shared" si="8"/>
        <v>98.325523233389333</v>
      </c>
      <c r="H35" s="21">
        <f t="shared" si="8"/>
        <v>91.149384386147759</v>
      </c>
      <c r="I35" s="21">
        <f t="shared" si="8"/>
        <v>121.86934076288918</v>
      </c>
      <c r="J35" s="21">
        <f t="shared" si="8"/>
        <v>127.99686786088044</v>
      </c>
      <c r="K35" s="21">
        <f t="shared" si="8"/>
        <v>95.436022324817444</v>
      </c>
      <c r="L35" s="21">
        <f t="shared" si="9"/>
        <v>107.7051225026796</v>
      </c>
      <c r="N35" s="6"/>
      <c r="O35" s="6"/>
      <c r="P35" s="6"/>
      <c r="Q35" s="6"/>
      <c r="R35" s="6"/>
      <c r="S35" s="6"/>
      <c r="T35" s="6"/>
      <c r="U35" s="6"/>
      <c r="V35" s="6"/>
      <c r="W35" s="6"/>
      <c r="X35" s="6"/>
    </row>
    <row r="36" spans="1:24" ht="16.149999999999999" customHeight="1">
      <c r="A36" s="2">
        <v>1999</v>
      </c>
      <c r="B36" s="19">
        <f>B22/$B22*100</f>
        <v>100</v>
      </c>
      <c r="C36" s="21">
        <f t="shared" si="8"/>
        <v>147.71424573966917</v>
      </c>
      <c r="D36" s="21">
        <f t="shared" si="8"/>
        <v>92.090024739642757</v>
      </c>
      <c r="E36" s="21">
        <f t="shared" si="8"/>
        <v>111.40182331182153</v>
      </c>
      <c r="F36" s="21">
        <f t="shared" si="8"/>
        <v>109.26775424238369</v>
      </c>
      <c r="G36" s="21">
        <f t="shared" si="8"/>
        <v>96.362647675311237</v>
      </c>
      <c r="H36" s="21">
        <f t="shared" si="8"/>
        <v>91.562775416852148</v>
      </c>
      <c r="I36" s="21">
        <f t="shared" si="8"/>
        <v>120.85544389862622</v>
      </c>
      <c r="J36" s="21">
        <f t="shared" si="8"/>
        <v>128.50877008680683</v>
      </c>
      <c r="K36" s="21">
        <f t="shared" si="8"/>
        <v>97.491868251283208</v>
      </c>
      <c r="L36" s="21">
        <f t="shared" si="9"/>
        <v>108.32646198843894</v>
      </c>
      <c r="N36" s="6"/>
      <c r="O36" s="6"/>
      <c r="P36" s="6"/>
      <c r="Q36" s="6"/>
      <c r="R36" s="6"/>
      <c r="S36" s="6"/>
      <c r="T36" s="6"/>
      <c r="U36" s="6"/>
      <c r="V36" s="6"/>
      <c r="W36" s="6"/>
      <c r="X36" s="6"/>
    </row>
    <row r="37" spans="1:24" ht="16.149999999999999" customHeight="1">
      <c r="A37" s="2">
        <v>2000</v>
      </c>
      <c r="B37" s="19">
        <f>B23/$B23*100</f>
        <v>100</v>
      </c>
      <c r="C37" s="21">
        <f t="shared" si="8"/>
        <v>123.87601467705665</v>
      </c>
      <c r="D37" s="21">
        <f t="shared" si="8"/>
        <v>85.321591748903401</v>
      </c>
      <c r="E37" s="21">
        <f t="shared" si="8"/>
        <v>111.7627065437123</v>
      </c>
      <c r="F37" s="21">
        <f t="shared" si="8"/>
        <v>107.94529668610112</v>
      </c>
      <c r="G37" s="21">
        <f t="shared" si="8"/>
        <v>94.416410287992221</v>
      </c>
      <c r="H37" s="21">
        <f t="shared" si="8"/>
        <v>93.987801552305015</v>
      </c>
      <c r="I37" s="21">
        <f t="shared" si="8"/>
        <v>119.09509272835726</v>
      </c>
      <c r="J37" s="21">
        <f t="shared" si="8"/>
        <v>126.5370178431986</v>
      </c>
      <c r="K37" s="21">
        <f t="shared" si="8"/>
        <v>94.17137833317561</v>
      </c>
      <c r="L37" s="21">
        <f t="shared" si="9"/>
        <v>112.14476898805381</v>
      </c>
      <c r="M37" s="4"/>
      <c r="N37" s="4"/>
    </row>
    <row r="38" spans="1:24" ht="16.149999999999999" customHeight="1">
      <c r="A38" s="2">
        <v>2001</v>
      </c>
      <c r="B38" s="19">
        <f t="shared" ref="B38:K43" si="10">B24/$B24*100</f>
        <v>100</v>
      </c>
      <c r="C38" s="21">
        <f t="shared" si="10"/>
        <v>123.06594201739804</v>
      </c>
      <c r="D38" s="21">
        <f t="shared" si="10"/>
        <v>83.190962345785465</v>
      </c>
      <c r="E38" s="21">
        <f t="shared" si="10"/>
        <v>110.38603630962409</v>
      </c>
      <c r="F38" s="21">
        <f t="shared" si="10"/>
        <v>108.07831816472383</v>
      </c>
      <c r="G38" s="21">
        <f t="shared" si="10"/>
        <v>96.866020758095686</v>
      </c>
      <c r="H38" s="21">
        <f t="shared" si="10"/>
        <v>94.322934085926548</v>
      </c>
      <c r="I38" s="21">
        <f t="shared" si="10"/>
        <v>119.29505624741886</v>
      </c>
      <c r="J38" s="21">
        <f t="shared" si="10"/>
        <v>128.57285519774479</v>
      </c>
      <c r="K38" s="21">
        <f t="shared" si="10"/>
        <v>87.847035268114666</v>
      </c>
      <c r="L38" s="21">
        <f t="shared" si="9"/>
        <v>112.248088112833</v>
      </c>
      <c r="M38" s="4"/>
      <c r="N38" s="4"/>
    </row>
    <row r="39" spans="1:24" ht="16.149999999999999" customHeight="1">
      <c r="A39" s="2">
        <v>2002</v>
      </c>
      <c r="B39" s="19">
        <f t="shared" si="10"/>
        <v>100</v>
      </c>
      <c r="C39" s="21">
        <f t="shared" si="10"/>
        <v>118.75488072238608</v>
      </c>
      <c r="D39" s="21">
        <f t="shared" si="10"/>
        <v>80.802607582928403</v>
      </c>
      <c r="E39" s="21">
        <f t="shared" si="10"/>
        <v>106.71441938367319</v>
      </c>
      <c r="F39" s="21">
        <f t="shared" si="10"/>
        <v>104.24406785468628</v>
      </c>
      <c r="G39" s="21">
        <f t="shared" si="10"/>
        <v>95.618546470764002</v>
      </c>
      <c r="H39" s="21">
        <f t="shared" si="10"/>
        <v>95.810298079319665</v>
      </c>
      <c r="I39" s="21">
        <f t="shared" si="10"/>
        <v>121.697910923992</v>
      </c>
      <c r="J39" s="21">
        <f t="shared" si="10"/>
        <v>130.68250672180903</v>
      </c>
      <c r="K39" s="21">
        <f t="shared" si="10"/>
        <v>85.239196629361189</v>
      </c>
      <c r="L39" s="21">
        <f t="shared" si="9"/>
        <v>113.66469704432154</v>
      </c>
      <c r="M39" s="4"/>
      <c r="N39" s="4"/>
    </row>
    <row r="40" spans="1:24" ht="16.149999999999999" customHeight="1">
      <c r="A40" s="2">
        <v>2003</v>
      </c>
      <c r="B40" s="19">
        <f t="shared" si="10"/>
        <v>100</v>
      </c>
      <c r="C40" s="21">
        <f t="shared" si="10"/>
        <v>113.86547681784593</v>
      </c>
      <c r="D40" s="21">
        <f t="shared" si="10"/>
        <v>79.975264935227273</v>
      </c>
      <c r="E40" s="21">
        <f t="shared" si="10"/>
        <v>104.42687704677449</v>
      </c>
      <c r="F40" s="21">
        <f t="shared" si="10"/>
        <v>101.29781529827184</v>
      </c>
      <c r="G40" s="21">
        <f t="shared" si="10"/>
        <v>93.576432094764399</v>
      </c>
      <c r="H40" s="21">
        <f t="shared" si="10"/>
        <v>97.272045173831117</v>
      </c>
      <c r="I40" s="21">
        <f t="shared" si="10"/>
        <v>122.05057353818052</v>
      </c>
      <c r="J40" s="21">
        <f t="shared" si="10"/>
        <v>130.70662415962923</v>
      </c>
      <c r="K40" s="21">
        <f t="shared" si="10"/>
        <v>85.764937886869674</v>
      </c>
      <c r="L40" s="21">
        <f t="shared" si="9"/>
        <v>114.42806881705205</v>
      </c>
      <c r="M40" s="4"/>
      <c r="N40" s="4"/>
    </row>
    <row r="41" spans="1:24" ht="16.149999999999999" customHeight="1">
      <c r="A41" s="2">
        <v>2004</v>
      </c>
      <c r="B41" s="19">
        <f t="shared" si="10"/>
        <v>100</v>
      </c>
      <c r="C41" s="21">
        <f t="shared" si="10"/>
        <v>114.34045704153016</v>
      </c>
      <c r="D41" s="21">
        <f t="shared" si="10"/>
        <v>83.946026790787755</v>
      </c>
      <c r="E41" s="21">
        <f t="shared" si="10"/>
        <v>104.46712713699955</v>
      </c>
      <c r="F41" s="21">
        <f t="shared" si="10"/>
        <v>102.61538160574413</v>
      </c>
      <c r="G41" s="21">
        <f t="shared" si="10"/>
        <v>94.733114051007632</v>
      </c>
      <c r="H41" s="21">
        <f t="shared" si="10"/>
        <v>97.128453181943101</v>
      </c>
      <c r="I41" s="21">
        <f t="shared" si="10"/>
        <v>123.15886212844018</v>
      </c>
      <c r="J41" s="21">
        <f t="shared" si="10"/>
        <v>129.81659333431645</v>
      </c>
      <c r="K41" s="21">
        <f t="shared" si="10"/>
        <v>85.277824558301319</v>
      </c>
      <c r="L41" s="21">
        <f t="shared" si="9"/>
        <v>112.80647088023194</v>
      </c>
      <c r="M41" s="4"/>
      <c r="N41" s="4"/>
    </row>
    <row r="42" spans="1:24" ht="16.149999999999999" customHeight="1">
      <c r="A42" s="2">
        <v>2005</v>
      </c>
      <c r="B42" s="19">
        <f t="shared" si="10"/>
        <v>100</v>
      </c>
      <c r="C42" s="21">
        <f t="shared" si="10"/>
        <v>116.37854662866354</v>
      </c>
      <c r="D42" s="21">
        <f t="shared" si="10"/>
        <v>84.945415170862148</v>
      </c>
      <c r="E42" s="21">
        <f t="shared" si="10"/>
        <v>105.6846603309171</v>
      </c>
      <c r="F42" s="21">
        <f t="shared" si="10"/>
        <v>104.14639228275378</v>
      </c>
      <c r="G42" s="21">
        <f t="shared" si="10"/>
        <v>93.888874858094454</v>
      </c>
      <c r="H42" s="21">
        <f t="shared" si="10"/>
        <v>99.225510773760647</v>
      </c>
      <c r="I42" s="21">
        <f t="shared" si="10"/>
        <v>123.33579020913142</v>
      </c>
      <c r="J42" s="21">
        <f t="shared" si="10"/>
        <v>121.41326655261948</v>
      </c>
      <c r="K42" s="21">
        <f t="shared" si="10"/>
        <v>81.436324689584794</v>
      </c>
      <c r="L42" s="21">
        <f t="shared" si="9"/>
        <v>112.69368668259838</v>
      </c>
      <c r="M42" s="4"/>
      <c r="N42" s="4"/>
    </row>
    <row r="43" spans="1:24" ht="16.149999999999999" customHeight="1">
      <c r="A43" s="2">
        <v>2006</v>
      </c>
      <c r="B43" s="19">
        <f t="shared" si="10"/>
        <v>100</v>
      </c>
      <c r="C43" s="21">
        <f t="shared" si="10"/>
        <v>114.25416230433292</v>
      </c>
      <c r="D43" s="21">
        <f t="shared" si="10"/>
        <v>82.815634642590354</v>
      </c>
      <c r="E43" s="21">
        <f t="shared" si="10"/>
        <v>104.95145741470529</v>
      </c>
      <c r="F43" s="21">
        <f t="shared" si="10"/>
        <v>103.91352027288936</v>
      </c>
      <c r="G43" s="21">
        <f t="shared" si="10"/>
        <v>96.33358912270991</v>
      </c>
      <c r="H43" s="21">
        <f t="shared" si="10"/>
        <v>101.22181927445169</v>
      </c>
      <c r="I43" s="21">
        <f t="shared" si="10"/>
        <v>125.75285695644949</v>
      </c>
      <c r="J43" s="21">
        <f t="shared" si="10"/>
        <v>119.79300200998932</v>
      </c>
      <c r="K43" s="21">
        <f t="shared" si="10"/>
        <v>72.852142644491209</v>
      </c>
      <c r="L43" s="21">
        <f t="shared" si="9"/>
        <v>109.8321646039733</v>
      </c>
      <c r="M43" s="4"/>
      <c r="N43" s="4"/>
    </row>
    <row r="44" spans="1:24" s="647" customFormat="1" ht="16.149999999999999" customHeight="1">
      <c r="A44" s="1079" t="s">
        <v>1389</v>
      </c>
      <c r="B44" s="27">
        <f>((((B43/B34))^(1/9))-1)*100</f>
        <v>0</v>
      </c>
      <c r="C44" s="27">
        <f t="shared" ref="C44:K44" si="11">((((C43/C34))^(1/9))-1)*100</f>
        <v>-1.517318080298935</v>
      </c>
      <c r="D44" s="27">
        <f t="shared" si="11"/>
        <v>-0.90169221867301141</v>
      </c>
      <c r="E44" s="27">
        <f t="shared" si="11"/>
        <v>-0.54498198025922928</v>
      </c>
      <c r="F44" s="27">
        <f t="shared" si="11"/>
        <v>-0.91546932882339283</v>
      </c>
      <c r="G44" s="27">
        <f t="shared" si="11"/>
        <v>-0.73751004941032816</v>
      </c>
      <c r="H44" s="27">
        <f t="shared" si="11"/>
        <v>1.167516999134266</v>
      </c>
      <c r="I44" s="27">
        <f t="shared" si="11"/>
        <v>0.70171678849184627</v>
      </c>
      <c r="J44" s="27">
        <f t="shared" si="11"/>
        <v>-0.37739776129405156</v>
      </c>
      <c r="K44" s="27">
        <f t="shared" si="11"/>
        <v>-2.8619181217029221</v>
      </c>
      <c r="L44" s="27">
        <f>((((L43/L34))^(1/9))-1)*100</f>
        <v>0.76956751501617848</v>
      </c>
    </row>
    <row r="45" spans="1:24" s="647" customFormat="1" ht="16.149999999999999" customHeight="1">
      <c r="A45" s="1079" t="s">
        <v>1390</v>
      </c>
      <c r="B45" s="33">
        <f>(B43/B34-1)*100</f>
        <v>0</v>
      </c>
      <c r="C45" s="33">
        <f t="shared" ref="C45:K45" si="12">(C43/C34-1)*100</f>
        <v>-12.855736726221645</v>
      </c>
      <c r="D45" s="33">
        <f t="shared" si="12"/>
        <v>-7.8286080404514795</v>
      </c>
      <c r="E45" s="33">
        <f t="shared" si="12"/>
        <v>-4.7992644843572796</v>
      </c>
      <c r="F45" s="33">
        <f t="shared" si="12"/>
        <v>-7.9438708094133448</v>
      </c>
      <c r="G45" s="33">
        <f t="shared" si="12"/>
        <v>-6.4451114918401498</v>
      </c>
      <c r="H45" s="33">
        <f t="shared" si="12"/>
        <v>11.011972474866649</v>
      </c>
      <c r="I45" s="33">
        <f t="shared" si="12"/>
        <v>6.4956506356773192</v>
      </c>
      <c r="J45" s="33">
        <f t="shared" si="12"/>
        <v>-3.345754360207831</v>
      </c>
      <c r="K45" s="33">
        <f t="shared" si="12"/>
        <v>-22.997342900966323</v>
      </c>
      <c r="L45" s="33">
        <f>(L43/L34-1)*100</f>
        <v>7.1431848870947778</v>
      </c>
    </row>
    <row r="46" spans="1:24">
      <c r="A46" s="4"/>
      <c r="B46" s="4"/>
    </row>
    <row r="47" spans="1:24" ht="51.75" customHeight="1">
      <c r="A47" s="1174" t="s">
        <v>1121</v>
      </c>
      <c r="B47" s="1188"/>
      <c r="C47" s="1188"/>
      <c r="D47" s="1188"/>
      <c r="E47" s="1188"/>
      <c r="F47" s="1188"/>
      <c r="G47" s="1188"/>
      <c r="H47" s="1188"/>
      <c r="I47" s="1188"/>
      <c r="J47" s="1188"/>
      <c r="K47" s="1188"/>
      <c r="L47" s="1188"/>
      <c r="M47" s="4"/>
      <c r="N47" s="4"/>
    </row>
    <row r="48" spans="1:24">
      <c r="A48" s="4" t="s">
        <v>1355</v>
      </c>
    </row>
    <row r="49" spans="1:14" ht="39.75" customHeight="1">
      <c r="A49" s="1168" t="s">
        <v>500</v>
      </c>
      <c r="B49" s="1168"/>
      <c r="C49" s="1168"/>
      <c r="D49" s="1168"/>
      <c r="E49" s="1168"/>
      <c r="F49" s="1168"/>
      <c r="G49" s="1168"/>
      <c r="H49" s="1168"/>
      <c r="I49" s="1168"/>
      <c r="J49" s="1168"/>
      <c r="K49" s="1168"/>
      <c r="L49" s="1168"/>
    </row>
    <row r="50" spans="1:14" ht="15.75">
      <c r="A50" s="8" t="s">
        <v>501</v>
      </c>
      <c r="B50" s="4"/>
    </row>
    <row r="51" spans="1:14" ht="15.75">
      <c r="A51" s="48" t="s">
        <v>502</v>
      </c>
      <c r="C51" s="4"/>
      <c r="D51" s="4"/>
      <c r="E51" s="4"/>
      <c r="F51" s="4"/>
      <c r="G51" s="4"/>
      <c r="H51" s="4"/>
      <c r="I51" s="4"/>
      <c r="J51" s="4"/>
      <c r="K51" s="4"/>
      <c r="L51" s="4"/>
      <c r="M51" s="4"/>
      <c r="N51" s="4"/>
    </row>
    <row r="52" spans="1:14">
      <c r="A52" s="251" t="s">
        <v>1198</v>
      </c>
      <c r="B52" s="33"/>
      <c r="C52" s="33"/>
      <c r="D52" s="33"/>
      <c r="E52" s="33"/>
      <c r="F52" s="33"/>
      <c r="G52" s="33"/>
      <c r="H52" s="33"/>
      <c r="I52" s="33"/>
      <c r="J52" s="33"/>
      <c r="K52" s="33"/>
      <c r="L52" s="33"/>
      <c r="M52" s="4"/>
      <c r="N52" s="4"/>
    </row>
    <row r="53" spans="1:14">
      <c r="A53" s="4"/>
      <c r="B53" s="4"/>
      <c r="C53" s="30"/>
      <c r="D53" s="30"/>
      <c r="E53" s="30"/>
      <c r="F53" s="30"/>
      <c r="G53" s="30"/>
      <c r="H53" s="30"/>
      <c r="I53" s="30"/>
      <c r="J53" s="30"/>
      <c r="K53" s="30"/>
      <c r="L53" s="30"/>
      <c r="M53" s="4"/>
      <c r="N53" s="4"/>
    </row>
    <row r="54" spans="1:14">
      <c r="A54" s="34"/>
      <c r="B54" s="4"/>
      <c r="C54" s="30"/>
      <c r="D54" s="30"/>
      <c r="E54" s="30"/>
      <c r="F54" s="30"/>
      <c r="G54" s="30"/>
      <c r="H54" s="30"/>
      <c r="I54" s="30"/>
      <c r="J54" s="30"/>
      <c r="K54" s="30"/>
      <c r="L54" s="30"/>
      <c r="M54" s="4"/>
      <c r="N54" s="4"/>
    </row>
    <row r="55" spans="1:14">
      <c r="A55" s="34"/>
      <c r="B55" s="4"/>
      <c r="C55" s="30"/>
      <c r="D55" s="30"/>
      <c r="E55" s="30"/>
      <c r="F55" s="30"/>
      <c r="G55" s="30"/>
      <c r="H55" s="30"/>
      <c r="I55" s="30"/>
      <c r="J55" s="30"/>
      <c r="K55" s="30"/>
      <c r="L55" s="30"/>
      <c r="M55" s="4"/>
      <c r="N55" s="4"/>
    </row>
    <row r="56" spans="1:14">
      <c r="A56" s="30"/>
      <c r="B56" s="4"/>
      <c r="C56" s="30"/>
      <c r="D56" s="30"/>
      <c r="E56" s="30"/>
      <c r="F56" s="30"/>
      <c r="G56" s="30"/>
      <c r="H56" s="30"/>
      <c r="I56" s="30"/>
      <c r="J56" s="30"/>
      <c r="K56" s="30"/>
      <c r="L56" s="30"/>
      <c r="M56" s="4"/>
      <c r="N56" s="4"/>
    </row>
    <row r="57" spans="1:14">
      <c r="A57" s="30"/>
      <c r="B57" s="4"/>
      <c r="C57" s="31"/>
      <c r="D57" s="30"/>
      <c r="E57" s="30"/>
      <c r="F57" s="30"/>
      <c r="G57" s="30"/>
      <c r="H57" s="30"/>
      <c r="I57" s="30"/>
      <c r="J57" s="30"/>
      <c r="K57" s="30"/>
      <c r="L57" s="30"/>
      <c r="M57" s="4"/>
      <c r="N57" s="4"/>
    </row>
    <row r="58" spans="1:14">
      <c r="A58" s="30"/>
      <c r="B58" s="4"/>
      <c r="C58" s="4"/>
      <c r="D58" s="4"/>
      <c r="E58" s="4"/>
      <c r="F58" s="4"/>
      <c r="G58" s="4"/>
      <c r="H58" s="4"/>
      <c r="I58" s="4"/>
      <c r="J58" s="4"/>
      <c r="K58" s="4"/>
      <c r="L58" s="4"/>
      <c r="M58" s="4"/>
      <c r="N58" s="4"/>
    </row>
    <row r="59" spans="1:14">
      <c r="A59" s="30"/>
      <c r="B59" s="4"/>
      <c r="C59" s="4"/>
      <c r="D59" s="4"/>
      <c r="E59" s="4"/>
      <c r="F59" s="4"/>
      <c r="G59" s="4"/>
      <c r="H59" s="4"/>
      <c r="I59" s="4"/>
      <c r="J59" s="4"/>
      <c r="K59" s="4"/>
      <c r="L59" s="4"/>
      <c r="M59" s="4"/>
      <c r="N59" s="4"/>
    </row>
    <row r="60" spans="1:14">
      <c r="A60" s="35"/>
      <c r="B60" s="4"/>
      <c r="C60" s="4"/>
      <c r="D60" s="4"/>
      <c r="E60" s="4"/>
      <c r="F60" s="4"/>
      <c r="G60" s="4"/>
      <c r="H60" s="4"/>
      <c r="I60" s="4"/>
      <c r="J60" s="4"/>
      <c r="K60" s="4"/>
      <c r="L60" s="4"/>
      <c r="M60" s="4"/>
      <c r="N60" s="4"/>
    </row>
    <row r="61" spans="1:14">
      <c r="A61" s="35"/>
      <c r="B61" s="4"/>
      <c r="C61" s="4"/>
      <c r="D61" s="4"/>
      <c r="E61" s="4"/>
      <c r="F61" s="4"/>
      <c r="G61" s="4"/>
      <c r="H61" s="4"/>
      <c r="I61" s="4"/>
      <c r="J61" s="4"/>
      <c r="K61" s="4"/>
      <c r="L61" s="4"/>
      <c r="M61" s="4"/>
      <c r="N61" s="4"/>
    </row>
    <row r="62" spans="1:14">
      <c r="A62" s="4"/>
      <c r="B62" s="4"/>
      <c r="C62" s="4"/>
      <c r="D62" s="4"/>
      <c r="E62" s="4"/>
      <c r="F62" s="4"/>
      <c r="G62" s="4"/>
      <c r="H62" s="4"/>
      <c r="I62" s="4"/>
      <c r="J62" s="4"/>
      <c r="K62" s="4"/>
      <c r="L62" s="4"/>
      <c r="M62" s="4"/>
      <c r="N62" s="4"/>
    </row>
    <row r="63" spans="1:14">
      <c r="A63" s="4"/>
      <c r="B63" s="4"/>
      <c r="C63" s="4"/>
      <c r="D63" s="4"/>
      <c r="E63" s="4"/>
      <c r="F63" s="4"/>
      <c r="G63" s="4"/>
      <c r="H63" s="4"/>
      <c r="I63" s="4"/>
      <c r="J63" s="4"/>
      <c r="K63" s="4"/>
      <c r="L63" s="4"/>
      <c r="M63" s="4"/>
      <c r="N63" s="4"/>
    </row>
    <row r="64" spans="1:14">
      <c r="A64" s="4"/>
      <c r="B64" s="4"/>
      <c r="C64" s="4"/>
      <c r="D64" s="4"/>
      <c r="E64" s="4"/>
      <c r="F64" s="4"/>
      <c r="G64" s="4"/>
      <c r="H64" s="4"/>
      <c r="I64" s="4"/>
      <c r="J64" s="4"/>
      <c r="K64" s="4"/>
      <c r="L64" s="4"/>
      <c r="M64" s="4"/>
      <c r="N64" s="4"/>
    </row>
    <row r="65" spans="1:14">
      <c r="A65" s="4"/>
      <c r="B65" s="4"/>
      <c r="C65" s="4"/>
      <c r="D65" s="4"/>
      <c r="E65" s="4"/>
      <c r="F65" s="4"/>
      <c r="G65" s="4"/>
      <c r="H65" s="4"/>
      <c r="I65" s="4"/>
      <c r="J65" s="4"/>
      <c r="K65" s="4"/>
      <c r="L65" s="4"/>
      <c r="M65" s="4"/>
      <c r="N65" s="4"/>
    </row>
    <row r="66" spans="1:14">
      <c r="A66" s="4"/>
      <c r="B66" s="4"/>
      <c r="C66" s="4"/>
      <c r="D66" s="4"/>
      <c r="E66" s="4"/>
      <c r="F66" s="4"/>
      <c r="G66" s="4"/>
      <c r="H66" s="4"/>
      <c r="I66" s="4"/>
      <c r="J66" s="4"/>
      <c r="K66" s="4"/>
      <c r="L66" s="4"/>
      <c r="M66" s="4"/>
      <c r="N66" s="4"/>
    </row>
    <row r="67" spans="1:14">
      <c r="A67" s="4"/>
      <c r="B67" s="4"/>
      <c r="C67" s="4"/>
      <c r="D67" s="4"/>
      <c r="E67" s="4"/>
      <c r="F67" s="4"/>
      <c r="G67" s="4"/>
      <c r="H67" s="4"/>
      <c r="I67" s="4"/>
      <c r="J67" s="4"/>
      <c r="K67" s="4"/>
      <c r="L67" s="4"/>
      <c r="M67" s="4"/>
      <c r="N67" s="4"/>
    </row>
    <row r="68" spans="1:14">
      <c r="A68" s="4"/>
      <c r="B68" s="4"/>
      <c r="C68" s="4"/>
      <c r="D68" s="4"/>
      <c r="E68" s="4"/>
      <c r="F68" s="4"/>
      <c r="G68" s="4"/>
      <c r="H68" s="4"/>
      <c r="I68" s="4"/>
      <c r="J68" s="4"/>
      <c r="K68" s="4"/>
      <c r="L68" s="4"/>
      <c r="M68" s="4"/>
      <c r="N68" s="4"/>
    </row>
    <row r="69" spans="1:14">
      <c r="A69" s="4"/>
      <c r="B69" s="4"/>
      <c r="C69" s="4"/>
      <c r="D69" s="4"/>
      <c r="E69" s="4"/>
      <c r="F69" s="4"/>
      <c r="G69" s="4"/>
      <c r="H69" s="4"/>
      <c r="I69" s="4"/>
      <c r="J69" s="4"/>
      <c r="K69" s="4"/>
      <c r="L69" s="4"/>
      <c r="M69" s="4"/>
      <c r="N69" s="4"/>
    </row>
    <row r="70" spans="1:14">
      <c r="A70" s="4"/>
      <c r="B70" s="4"/>
      <c r="C70" s="4"/>
      <c r="D70" s="4"/>
      <c r="E70" s="4"/>
      <c r="F70" s="4"/>
      <c r="G70" s="4"/>
      <c r="H70" s="4"/>
      <c r="I70" s="4"/>
      <c r="J70" s="4"/>
      <c r="K70" s="4"/>
      <c r="L70" s="4"/>
      <c r="M70" s="4"/>
      <c r="N70" s="4"/>
    </row>
    <row r="71" spans="1:14">
      <c r="A71" s="4"/>
      <c r="B71" s="4"/>
      <c r="C71" s="4"/>
      <c r="D71" s="4"/>
      <c r="E71" s="4"/>
      <c r="F71" s="4"/>
      <c r="G71" s="4"/>
      <c r="H71" s="4"/>
      <c r="I71" s="4"/>
      <c r="J71" s="4"/>
      <c r="K71" s="4"/>
      <c r="L71" s="4"/>
      <c r="M71" s="4"/>
      <c r="N71" s="4"/>
    </row>
    <row r="72" spans="1:14">
      <c r="A72" s="4"/>
      <c r="B72" s="4"/>
      <c r="C72" s="4"/>
      <c r="D72" s="4"/>
      <c r="E72" s="4"/>
      <c r="F72" s="4"/>
      <c r="G72" s="4"/>
      <c r="H72" s="4"/>
      <c r="I72" s="4"/>
      <c r="J72" s="4"/>
      <c r="K72" s="4"/>
      <c r="L72" s="4"/>
      <c r="M72" s="4"/>
      <c r="N72" s="4"/>
    </row>
    <row r="73" spans="1:14">
      <c r="A73" s="4"/>
      <c r="B73" s="4"/>
      <c r="C73" s="4"/>
      <c r="D73" s="4"/>
      <c r="E73" s="4"/>
      <c r="F73" s="4"/>
      <c r="G73" s="4"/>
      <c r="H73" s="4"/>
      <c r="I73" s="4"/>
      <c r="J73" s="4"/>
      <c r="K73" s="4"/>
      <c r="L73" s="4"/>
      <c r="M73" s="4"/>
      <c r="N73" s="4"/>
    </row>
  </sheetData>
  <mergeCells count="13">
    <mergeCell ref="A49:L49"/>
    <mergeCell ref="A47:L47"/>
    <mergeCell ref="J3:J4"/>
    <mergeCell ref="K3:K4"/>
    <mergeCell ref="L3:L4"/>
    <mergeCell ref="F3:F4"/>
    <mergeCell ref="G3:G4"/>
    <mergeCell ref="H3:H4"/>
    <mergeCell ref="I3:I4"/>
    <mergeCell ref="B3:B4"/>
    <mergeCell ref="C3:C4"/>
    <mergeCell ref="D3:D4"/>
    <mergeCell ref="E3:E4"/>
  </mergeCells>
  <phoneticPr fontId="35" type="noConversion"/>
  <pageMargins left="0.75" right="0.75" top="1" bottom="1" header="0.5" footer="0.5"/>
  <pageSetup scale="53"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sheetPr codeName="Sheet130"/>
  <dimension ref="A1:AA101"/>
  <sheetViews>
    <sheetView view="pageBreakPreview" zoomScale="60" workbookViewId="0">
      <pane xSplit="5" ySplit="3" topLeftCell="F7" activePane="bottomRight" state="frozen"/>
      <selection activeCell="H62" sqref="H62"/>
      <selection pane="topRight" activeCell="H62" sqref="H62"/>
      <selection pane="bottomLeft" activeCell="H62" sqref="H62"/>
      <selection pane="bottomRight" activeCell="H62" sqref="H62"/>
    </sheetView>
  </sheetViews>
  <sheetFormatPr defaultRowHeight="12.75"/>
  <cols>
    <col min="1" max="1" width="2.7109375" style="1" customWidth="1"/>
    <col min="2" max="2" width="5.28515625" style="128" customWidth="1"/>
    <col min="3" max="3" width="9.140625" style="1"/>
    <col min="4" max="4" width="11" style="1" customWidth="1"/>
    <col min="5" max="5" width="9.140625" style="1"/>
    <col min="6" max="15" width="8.140625" style="1" customWidth="1"/>
    <col min="16" max="16" width="4.42578125" style="1" customWidth="1"/>
    <col min="17" max="17" width="12.28515625" style="1" customWidth="1"/>
    <col min="18" max="18" width="10.28515625" style="1" customWidth="1"/>
    <col min="19" max="16384" width="9.140625" style="1"/>
  </cols>
  <sheetData>
    <row r="1" spans="2:26" ht="15.75">
      <c r="B1" s="40" t="s">
        <v>2173</v>
      </c>
    </row>
    <row r="3" spans="2:26">
      <c r="F3" s="132">
        <v>1997</v>
      </c>
      <c r="G3" s="132">
        <v>1998</v>
      </c>
      <c r="H3" s="132">
        <v>1999</v>
      </c>
      <c r="I3" s="132">
        <v>2000</v>
      </c>
      <c r="J3" s="132">
        <v>2001</v>
      </c>
      <c r="K3" s="132">
        <v>2002</v>
      </c>
      <c r="L3" s="132">
        <v>2003</v>
      </c>
      <c r="M3" s="132">
        <v>2004</v>
      </c>
      <c r="N3" s="132">
        <v>2005</v>
      </c>
      <c r="O3" s="132">
        <v>2006</v>
      </c>
      <c r="Q3" s="1" t="s">
        <v>1391</v>
      </c>
      <c r="R3" s="1" t="s">
        <v>1392</v>
      </c>
    </row>
    <row r="4" spans="2:26">
      <c r="B4" s="128" t="s">
        <v>1187</v>
      </c>
    </row>
    <row r="5" spans="2:26" ht="15">
      <c r="C5" s="1" t="s">
        <v>1188</v>
      </c>
      <c r="E5" s="2"/>
      <c r="F5" s="232">
        <v>12837.48</v>
      </c>
      <c r="G5" s="232">
        <v>12914.47</v>
      </c>
      <c r="H5" s="232">
        <v>13133.32</v>
      </c>
      <c r="I5" s="232">
        <f>T5/1000</f>
        <v>13309.44</v>
      </c>
      <c r="J5" s="232">
        <f t="shared" ref="J5:O5" si="0">U5/1000</f>
        <v>13324.98</v>
      </c>
      <c r="K5" s="232">
        <f t="shared" si="0"/>
        <v>13299.61</v>
      </c>
      <c r="L5" s="232">
        <f t="shared" si="0"/>
        <v>13562.88</v>
      </c>
      <c r="M5" s="232">
        <f t="shared" si="0"/>
        <v>13740.79</v>
      </c>
      <c r="N5" s="232">
        <f t="shared" si="0"/>
        <v>13970.17</v>
      </c>
      <c r="O5" s="232">
        <f t="shared" si="0"/>
        <v>14157.69</v>
      </c>
      <c r="Q5" s="27">
        <f>((((O5/F5))^(1/9))-1)*100</f>
        <v>1.0935911562546918</v>
      </c>
      <c r="R5" s="644">
        <f>((O5/F5)-1)*100</f>
        <v>10.284027706372289</v>
      </c>
      <c r="T5" s="781">
        <v>13309440</v>
      </c>
      <c r="U5" s="781">
        <v>13324980</v>
      </c>
      <c r="V5" s="781">
        <v>13299610</v>
      </c>
      <c r="W5" s="781">
        <v>13562880</v>
      </c>
      <c r="X5" s="781">
        <v>13740790</v>
      </c>
      <c r="Y5" s="781">
        <v>13970170</v>
      </c>
      <c r="Z5" s="781">
        <v>14157690</v>
      </c>
    </row>
    <row r="6" spans="2:26" ht="15">
      <c r="C6" s="1" t="s">
        <v>153</v>
      </c>
      <c r="E6" s="2"/>
      <c r="F6" s="232">
        <v>28500</v>
      </c>
      <c r="G6" s="232">
        <v>29400</v>
      </c>
      <c r="H6" s="232">
        <v>30100</v>
      </c>
      <c r="I6" s="232">
        <f>T6</f>
        <v>31400</v>
      </c>
      <c r="J6" s="232">
        <f t="shared" ref="J6:O6" si="1">U6</f>
        <v>34100</v>
      </c>
      <c r="K6" s="232">
        <f t="shared" si="1"/>
        <v>35200</v>
      </c>
      <c r="L6" s="232">
        <f t="shared" si="1"/>
        <v>35700</v>
      </c>
      <c r="M6" s="232">
        <f t="shared" si="1"/>
        <v>36800</v>
      </c>
      <c r="N6" s="232">
        <f t="shared" si="1"/>
        <v>38100</v>
      </c>
      <c r="O6" s="232">
        <f t="shared" si="1"/>
        <v>39800</v>
      </c>
      <c r="Q6" s="27">
        <f>((((O6/F6))^(1/9))-1)*100</f>
        <v>3.7804039754169461</v>
      </c>
      <c r="R6" s="644">
        <f>((O6/F6)-1)*100</f>
        <v>39.649122807017534</v>
      </c>
      <c r="T6" s="781">
        <v>31400</v>
      </c>
      <c r="U6" s="781">
        <v>34100</v>
      </c>
      <c r="V6" s="781">
        <v>35200</v>
      </c>
      <c r="W6" s="781">
        <v>35700</v>
      </c>
      <c r="X6" s="781">
        <v>36800</v>
      </c>
      <c r="Y6" s="781">
        <v>38100</v>
      </c>
      <c r="Z6" s="781">
        <v>39800</v>
      </c>
    </row>
    <row r="7" spans="2:26" ht="15">
      <c r="C7" s="1" t="s">
        <v>154</v>
      </c>
      <c r="E7" s="2"/>
      <c r="F7" s="232">
        <v>29118.22</v>
      </c>
      <c r="G7" s="232">
        <v>29230.31</v>
      </c>
      <c r="H7" s="232">
        <v>29627.08</v>
      </c>
      <c r="I7" s="232">
        <f t="shared" ref="I7:O9" si="2">T7/1000</f>
        <v>29891.29</v>
      </c>
      <c r="J7" s="232">
        <f t="shared" si="2"/>
        <v>30228.42</v>
      </c>
      <c r="K7" s="232">
        <f t="shared" si="2"/>
        <v>30465.87</v>
      </c>
      <c r="L7" s="232">
        <f t="shared" si="2"/>
        <v>30695.23</v>
      </c>
      <c r="M7" s="232">
        <f t="shared" si="2"/>
        <v>31041.18</v>
      </c>
      <c r="N7" s="232">
        <f t="shared" si="2"/>
        <v>31099.15</v>
      </c>
      <c r="O7" s="232">
        <f t="shared" si="2"/>
        <v>31492.03</v>
      </c>
      <c r="Q7" s="27">
        <f>((((O7/F7))^(1/9))-1)*100</f>
        <v>0.87458459132749855</v>
      </c>
      <c r="R7" s="644">
        <f>((O7/F7)-1)*100</f>
        <v>8.152318376604061</v>
      </c>
      <c r="T7" s="781">
        <v>29891290</v>
      </c>
      <c r="U7" s="781">
        <v>30228420</v>
      </c>
      <c r="V7" s="781">
        <v>30465870</v>
      </c>
      <c r="W7" s="781">
        <v>30695230</v>
      </c>
      <c r="X7" s="781">
        <v>31041180</v>
      </c>
      <c r="Y7" s="781">
        <v>31099150</v>
      </c>
      <c r="Z7" s="781">
        <v>31492030</v>
      </c>
    </row>
    <row r="8" spans="2:26" ht="15">
      <c r="C8" s="1" t="s">
        <v>155</v>
      </c>
      <c r="E8" s="2"/>
      <c r="F8" s="232">
        <v>7186.37</v>
      </c>
      <c r="G8" s="232">
        <v>7131.88</v>
      </c>
      <c r="H8" s="232">
        <v>7176.67</v>
      </c>
      <c r="I8" s="232">
        <f t="shared" si="2"/>
        <v>7125.82</v>
      </c>
      <c r="J8" s="232">
        <f t="shared" si="2"/>
        <v>7116.74</v>
      </c>
      <c r="K8" s="232">
        <f t="shared" si="2"/>
        <v>7155.53</v>
      </c>
      <c r="L8" s="232">
        <f t="shared" si="2"/>
        <v>7129.49</v>
      </c>
      <c r="M8" s="232">
        <f t="shared" si="2"/>
        <v>7140.63</v>
      </c>
      <c r="N8" s="232">
        <f t="shared" si="2"/>
        <v>6965.73</v>
      </c>
      <c r="O8" s="232">
        <f t="shared" si="2"/>
        <v>7026.83</v>
      </c>
      <c r="Q8" s="27">
        <f>((((O8/F8))^(1/9))-1)*100</f>
        <v>-0.2491390971764873</v>
      </c>
      <c r="R8" s="644">
        <f>((O8/F8)-1)*100</f>
        <v>-2.2200359847878715</v>
      </c>
      <c r="T8" s="781">
        <v>7125820</v>
      </c>
      <c r="U8" s="781">
        <v>7116740</v>
      </c>
      <c r="V8" s="781">
        <v>7155530</v>
      </c>
      <c r="W8" s="781">
        <v>7129490</v>
      </c>
      <c r="X8" s="781">
        <v>7140630</v>
      </c>
      <c r="Y8" s="781">
        <v>6965730</v>
      </c>
      <c r="Z8" s="781">
        <v>7026830</v>
      </c>
    </row>
    <row r="9" spans="2:26" ht="15">
      <c r="C9" s="1" t="s">
        <v>156</v>
      </c>
      <c r="E9" s="2"/>
      <c r="F9" s="232">
        <v>3588.89</v>
      </c>
      <c r="G9" s="232">
        <v>3671.99</v>
      </c>
      <c r="H9" s="232">
        <v>3739.69</v>
      </c>
      <c r="I9" s="232">
        <f t="shared" si="2"/>
        <v>3806.62</v>
      </c>
      <c r="J9" s="232">
        <f t="shared" si="2"/>
        <v>3885.54</v>
      </c>
      <c r="K9" s="232">
        <f t="shared" si="2"/>
        <v>3946.61</v>
      </c>
      <c r="L9" s="232">
        <f t="shared" si="2"/>
        <v>4023.78</v>
      </c>
      <c r="M9" s="232">
        <f t="shared" si="2"/>
        <v>4089.65</v>
      </c>
      <c r="N9" s="232">
        <f t="shared" si="2"/>
        <v>4171.29</v>
      </c>
      <c r="O9" s="232">
        <f t="shared" si="2"/>
        <v>4270.68</v>
      </c>
      <c r="Q9" s="27">
        <f>((((O9/F9))^(1/9))-1)*100</f>
        <v>1.9513514509728491</v>
      </c>
      <c r="R9" s="644">
        <f>((O9/F9)-1)*100</f>
        <v>18.997238700545303</v>
      </c>
      <c r="T9" s="781">
        <v>3806620</v>
      </c>
      <c r="U9" s="781">
        <v>3885540</v>
      </c>
      <c r="V9" s="781">
        <v>3946610</v>
      </c>
      <c r="W9" s="781">
        <v>4023780</v>
      </c>
      <c r="X9" s="781">
        <v>4089650</v>
      </c>
      <c r="Y9" s="781">
        <v>4171290</v>
      </c>
      <c r="Z9" s="781">
        <v>4270680</v>
      </c>
    </row>
    <row r="10" spans="2:26">
      <c r="E10" s="2"/>
      <c r="L10" s="232"/>
      <c r="M10" s="232"/>
      <c r="Q10" s="27"/>
      <c r="R10" s="644"/>
    </row>
    <row r="11" spans="2:26">
      <c r="B11" s="128" t="s">
        <v>157</v>
      </c>
      <c r="E11" s="2"/>
      <c r="L11" s="232"/>
      <c r="M11" s="232"/>
      <c r="Q11" s="27"/>
      <c r="R11" s="644"/>
    </row>
    <row r="12" spans="2:26" ht="15">
      <c r="C12" s="1" t="s">
        <v>1188</v>
      </c>
      <c r="E12" s="2"/>
      <c r="F12" s="232">
        <v>2277.25</v>
      </c>
      <c r="G12" s="232">
        <v>2231.77</v>
      </c>
      <c r="H12" s="232">
        <v>2276.23</v>
      </c>
      <c r="I12" s="232">
        <f t="shared" ref="I12:O12" si="3">T12/1000</f>
        <v>2358.33</v>
      </c>
      <c r="J12" s="232">
        <f t="shared" si="3"/>
        <v>2344.5300000000002</v>
      </c>
      <c r="K12" s="232">
        <f t="shared" si="3"/>
        <v>2318.62</v>
      </c>
      <c r="L12" s="232">
        <f t="shared" si="3"/>
        <v>2394.81</v>
      </c>
      <c r="M12" s="232">
        <f t="shared" si="3"/>
        <v>2484.42</v>
      </c>
      <c r="N12" s="232">
        <f t="shared" si="3"/>
        <v>2475.44</v>
      </c>
      <c r="O12" s="232">
        <f t="shared" si="3"/>
        <v>2455.0100000000002</v>
      </c>
      <c r="Q12" s="27">
        <f>((((O12/F12))^(1/9))-1)*100</f>
        <v>0.83863321191981477</v>
      </c>
      <c r="R12" s="644">
        <f>((O12/F12)-1)*100</f>
        <v>7.8059062465693385</v>
      </c>
      <c r="T12" s="782">
        <v>2358330</v>
      </c>
      <c r="U12" s="782">
        <v>2344530</v>
      </c>
      <c r="V12" s="782">
        <v>2318620</v>
      </c>
      <c r="W12" s="782">
        <v>2394810</v>
      </c>
      <c r="X12" s="782">
        <v>2484420</v>
      </c>
      <c r="Y12" s="782">
        <v>2475440</v>
      </c>
      <c r="Z12" s="782">
        <v>2455010</v>
      </c>
    </row>
    <row r="13" spans="2:26" ht="15">
      <c r="C13" s="1" t="s">
        <v>153</v>
      </c>
      <c r="E13" s="2"/>
      <c r="F13" s="232">
        <v>7700</v>
      </c>
      <c r="G13" s="232">
        <v>7900</v>
      </c>
      <c r="H13" s="232">
        <v>8100</v>
      </c>
      <c r="I13" s="232">
        <f t="shared" ref="I13:O13" si="4">T13</f>
        <v>8400</v>
      </c>
      <c r="J13" s="232">
        <f t="shared" si="4"/>
        <v>9400</v>
      </c>
      <c r="K13" s="232">
        <f t="shared" si="4"/>
        <v>9600</v>
      </c>
      <c r="L13" s="232">
        <f t="shared" si="4"/>
        <v>9700</v>
      </c>
      <c r="M13" s="232">
        <f t="shared" si="4"/>
        <v>9900</v>
      </c>
      <c r="N13" s="232">
        <f t="shared" si="4"/>
        <v>10200</v>
      </c>
      <c r="O13" s="232">
        <f t="shared" si="4"/>
        <v>10400</v>
      </c>
      <c r="Q13" s="27">
        <f>((((O13/F13))^(1/9))-1)*100</f>
        <v>3.3962373713158689</v>
      </c>
      <c r="R13" s="644">
        <f>((O13/F13)-1)*100</f>
        <v>35.064935064935064</v>
      </c>
      <c r="T13" s="782">
        <v>8400</v>
      </c>
      <c r="U13" s="782">
        <v>9400</v>
      </c>
      <c r="V13" s="782">
        <v>9600</v>
      </c>
      <c r="W13" s="782">
        <v>9700</v>
      </c>
      <c r="X13" s="782">
        <v>9900</v>
      </c>
      <c r="Y13" s="782">
        <v>10200</v>
      </c>
      <c r="Z13" s="782">
        <v>10400</v>
      </c>
    </row>
    <row r="14" spans="2:26" ht="15">
      <c r="C14" s="1" t="s">
        <v>154</v>
      </c>
      <c r="E14" s="2"/>
      <c r="F14" s="232">
        <v>4673.6899999999996</v>
      </c>
      <c r="G14" s="232">
        <v>4564.66</v>
      </c>
      <c r="H14" s="232">
        <v>4621.92</v>
      </c>
      <c r="I14" s="232">
        <f t="shared" ref="I14:O16" si="5">T14/1000</f>
        <v>4801.63</v>
      </c>
      <c r="J14" s="232">
        <f t="shared" si="5"/>
        <v>4695.5</v>
      </c>
      <c r="K14" s="232">
        <f t="shared" si="5"/>
        <v>4700.24</v>
      </c>
      <c r="L14" s="232">
        <f t="shared" si="5"/>
        <v>4840.68</v>
      </c>
      <c r="M14" s="232">
        <f t="shared" si="5"/>
        <v>5002.3100000000004</v>
      </c>
      <c r="N14" s="232">
        <f t="shared" si="5"/>
        <v>4737.6000000000004</v>
      </c>
      <c r="O14" s="232">
        <f t="shared" si="5"/>
        <v>4685.9399999999996</v>
      </c>
      <c r="Q14" s="27">
        <f>((((O14/F14))^(1/9))-1)*100</f>
        <v>2.9088967093793272E-2</v>
      </c>
      <c r="R14" s="644">
        <f>((O14/F14)-1)*100</f>
        <v>0.26210553117558266</v>
      </c>
      <c r="T14" s="782">
        <v>4801630</v>
      </c>
      <c r="U14" s="782">
        <v>4695500</v>
      </c>
      <c r="V14" s="782">
        <v>4700240</v>
      </c>
      <c r="W14" s="782">
        <v>4840680</v>
      </c>
      <c r="X14" s="782">
        <v>5002310</v>
      </c>
      <c r="Y14" s="782">
        <v>4737600</v>
      </c>
      <c r="Z14" s="782">
        <v>4685940</v>
      </c>
    </row>
    <row r="15" spans="2:26" ht="15">
      <c r="C15" s="1" t="s">
        <v>155</v>
      </c>
      <c r="E15" s="2"/>
      <c r="F15" s="232">
        <v>1577.63</v>
      </c>
      <c r="G15" s="232">
        <v>1545.89</v>
      </c>
      <c r="H15" s="232">
        <v>1550.93</v>
      </c>
      <c r="I15" s="232">
        <f t="shared" si="5"/>
        <v>1592.18</v>
      </c>
      <c r="J15" s="232">
        <f t="shared" si="5"/>
        <v>1524.52</v>
      </c>
      <c r="K15" s="232">
        <f t="shared" si="5"/>
        <v>1533.6</v>
      </c>
      <c r="L15" s="232">
        <f t="shared" si="5"/>
        <v>1577.06</v>
      </c>
      <c r="M15" s="232">
        <f t="shared" si="5"/>
        <v>1616.87</v>
      </c>
      <c r="N15" s="232">
        <f t="shared" si="5"/>
        <v>1444.4</v>
      </c>
      <c r="O15" s="232">
        <f t="shared" si="5"/>
        <v>1378.6</v>
      </c>
      <c r="Q15" s="27">
        <f>((((O15/F15))^(1/9))-1)*100</f>
        <v>-1.4872214135710049</v>
      </c>
      <c r="R15" s="644">
        <f>((O15/F15)-1)*100</f>
        <v>-12.615759081660482</v>
      </c>
      <c r="T15" s="782">
        <v>1592180</v>
      </c>
      <c r="U15" s="782">
        <v>1524520</v>
      </c>
      <c r="V15" s="782">
        <v>1533600</v>
      </c>
      <c r="W15" s="782">
        <v>1577060</v>
      </c>
      <c r="X15" s="782">
        <v>1616870</v>
      </c>
      <c r="Y15" s="782">
        <v>1444400</v>
      </c>
      <c r="Z15" s="782">
        <v>1378600</v>
      </c>
    </row>
    <row r="16" spans="2:26" ht="15">
      <c r="C16" s="1" t="s">
        <v>156</v>
      </c>
      <c r="E16" s="2"/>
      <c r="F16" s="232">
        <v>129.56</v>
      </c>
      <c r="G16" s="232">
        <v>130.15</v>
      </c>
      <c r="H16" s="232">
        <v>168.72</v>
      </c>
      <c r="I16" s="232">
        <f t="shared" si="5"/>
        <v>188.61</v>
      </c>
      <c r="J16" s="232">
        <f t="shared" si="5"/>
        <v>237.88</v>
      </c>
      <c r="K16" s="232">
        <f t="shared" si="5"/>
        <v>248.06</v>
      </c>
      <c r="L16" s="232">
        <f t="shared" si="5"/>
        <v>255.47</v>
      </c>
      <c r="M16" s="232">
        <f t="shared" si="5"/>
        <v>280.63</v>
      </c>
      <c r="N16" s="232">
        <f t="shared" si="5"/>
        <v>281.57</v>
      </c>
      <c r="O16" s="232">
        <f t="shared" si="5"/>
        <v>271.76</v>
      </c>
      <c r="P16" s="22"/>
      <c r="Q16" s="27">
        <f>((((O16/F16))^(1/9))-1)*100</f>
        <v>8.5790571333318475</v>
      </c>
      <c r="R16" s="644">
        <f>((O16/F16)-1)*100</f>
        <v>109.75609756097562</v>
      </c>
      <c r="S16" s="22"/>
      <c r="T16" s="782">
        <v>188610</v>
      </c>
      <c r="U16" s="782">
        <v>237880</v>
      </c>
      <c r="V16" s="782">
        <v>248060</v>
      </c>
      <c r="W16" s="782">
        <v>255470</v>
      </c>
      <c r="X16" s="782">
        <v>280630</v>
      </c>
      <c r="Y16" s="782">
        <v>281570</v>
      </c>
      <c r="Z16" s="782">
        <v>271760</v>
      </c>
    </row>
    <row r="17" spans="2:26">
      <c r="E17" s="2"/>
      <c r="L17" s="232"/>
      <c r="M17" s="232"/>
      <c r="N17" s="22"/>
      <c r="O17" s="22"/>
      <c r="P17" s="22"/>
      <c r="Q17" s="27"/>
      <c r="R17" s="644"/>
      <c r="S17" s="22"/>
    </row>
    <row r="18" spans="2:26">
      <c r="B18" s="128" t="s">
        <v>158</v>
      </c>
      <c r="L18" s="232"/>
      <c r="M18" s="232"/>
      <c r="N18" s="22"/>
      <c r="O18" s="22"/>
      <c r="P18" s="22"/>
      <c r="Q18" s="27"/>
      <c r="R18" s="644"/>
      <c r="S18" s="22"/>
    </row>
    <row r="19" spans="2:26">
      <c r="C19" s="1" t="s">
        <v>159</v>
      </c>
      <c r="E19" s="2"/>
      <c r="F19" s="10">
        <f t="shared" ref="F19:L23" si="6">F12/F5*100</f>
        <v>17.73907340069858</v>
      </c>
      <c r="G19" s="10">
        <f t="shared" si="6"/>
        <v>17.281158266657478</v>
      </c>
      <c r="H19" s="10">
        <f t="shared" si="6"/>
        <v>17.331718103267111</v>
      </c>
      <c r="I19" s="10">
        <f t="shared" si="6"/>
        <v>17.719227856318522</v>
      </c>
      <c r="J19" s="10">
        <f t="shared" si="6"/>
        <v>17.59499826641391</v>
      </c>
      <c r="K19" s="10">
        <f t="shared" si="6"/>
        <v>17.433744297765124</v>
      </c>
      <c r="L19" s="10">
        <f t="shared" si="6"/>
        <v>17.657090529445075</v>
      </c>
      <c r="M19" s="10">
        <f t="shared" ref="M19:N23" si="7">M12/M5*100</f>
        <v>18.080619818802266</v>
      </c>
      <c r="N19" s="10">
        <f t="shared" si="7"/>
        <v>17.719469412326408</v>
      </c>
      <c r="O19" s="10">
        <f>O12/O5*100</f>
        <v>17.340470090812836</v>
      </c>
      <c r="P19" s="22"/>
      <c r="Q19" s="27">
        <f>((((O19/F19))^(1/9))-1)*100</f>
        <v>-0.25219990844009832</v>
      </c>
      <c r="R19" s="644">
        <f>((O19/F19)-1)*100</f>
        <v>-2.2470356871630348</v>
      </c>
      <c r="S19" s="22"/>
    </row>
    <row r="20" spans="2:26">
      <c r="C20" s="1" t="s">
        <v>362</v>
      </c>
      <c r="E20" s="2"/>
      <c r="F20" s="10">
        <f t="shared" si="6"/>
        <v>27.017543859649123</v>
      </c>
      <c r="G20" s="10">
        <f t="shared" si="6"/>
        <v>26.870748299319729</v>
      </c>
      <c r="H20" s="10">
        <f t="shared" si="6"/>
        <v>26.910299003322258</v>
      </c>
      <c r="I20" s="10">
        <f t="shared" si="6"/>
        <v>26.751592356687897</v>
      </c>
      <c r="J20" s="10">
        <f t="shared" si="6"/>
        <v>27.565982404692079</v>
      </c>
      <c r="K20" s="10">
        <f t="shared" si="6"/>
        <v>27.27272727272727</v>
      </c>
      <c r="L20" s="10">
        <f t="shared" si="6"/>
        <v>27.170868347338935</v>
      </c>
      <c r="M20" s="10">
        <f t="shared" si="7"/>
        <v>26.902173913043477</v>
      </c>
      <c r="N20" s="10">
        <f t="shared" si="7"/>
        <v>26.771653543307089</v>
      </c>
      <c r="O20" s="10">
        <f>O13/O6*100</f>
        <v>26.13065326633166</v>
      </c>
      <c r="Q20" s="27">
        <f>((((O20/F20))^(1/9))-1)*100</f>
        <v>-0.37017258498250882</v>
      </c>
      <c r="R20" s="644">
        <f>((O20/F20)-1)*100</f>
        <v>-3.2826470012399578</v>
      </c>
    </row>
    <row r="21" spans="2:26">
      <c r="C21" s="1" t="s">
        <v>363</v>
      </c>
      <c r="E21" s="2"/>
      <c r="F21" s="10">
        <f>F14/F7*100</f>
        <v>16.050740738960005</v>
      </c>
      <c r="G21" s="10">
        <f t="shared" si="6"/>
        <v>15.616187443786945</v>
      </c>
      <c r="H21" s="10">
        <f t="shared" si="6"/>
        <v>15.600322407743187</v>
      </c>
      <c r="I21" s="10">
        <f t="shared" si="6"/>
        <v>16.063642619639367</v>
      </c>
      <c r="J21" s="10">
        <f t="shared" si="6"/>
        <v>15.533395394135718</v>
      </c>
      <c r="K21" s="10">
        <f t="shared" si="6"/>
        <v>15.427887009299257</v>
      </c>
      <c r="L21" s="10">
        <f t="shared" si="6"/>
        <v>15.770137575121607</v>
      </c>
      <c r="M21" s="10">
        <f t="shared" si="7"/>
        <v>16.115076810868661</v>
      </c>
      <c r="N21" s="10">
        <f t="shared" si="7"/>
        <v>15.233856873901699</v>
      </c>
      <c r="O21" s="10">
        <f>O14/O7*100</f>
        <v>14.879764816685364</v>
      </c>
      <c r="Q21" s="27">
        <f>((((O21/F21))^(1/9))-1)*100</f>
        <v>-0.83816516088672799</v>
      </c>
      <c r="R21" s="644">
        <f>((O21/F21)-1)*100</f>
        <v>-7.2954634388450845</v>
      </c>
    </row>
    <row r="22" spans="2:26">
      <c r="C22" s="1" t="s">
        <v>364</v>
      </c>
      <c r="E22" s="2"/>
      <c r="F22" s="10">
        <f t="shared" si="6"/>
        <v>21.953086189550497</v>
      </c>
      <c r="G22" s="10">
        <f t="shared" si="6"/>
        <v>21.675771325372832</v>
      </c>
      <c r="H22" s="10">
        <f t="shared" si="6"/>
        <v>21.610719177557279</v>
      </c>
      <c r="I22" s="10">
        <f t="shared" si="6"/>
        <v>22.343814466264934</v>
      </c>
      <c r="J22" s="10">
        <f t="shared" si="6"/>
        <v>21.421605960032259</v>
      </c>
      <c r="K22" s="10">
        <f t="shared" si="6"/>
        <v>21.432374680841253</v>
      </c>
      <c r="L22" s="10">
        <f t="shared" si="6"/>
        <v>22.120235809293511</v>
      </c>
      <c r="M22" s="10">
        <f t="shared" si="7"/>
        <v>22.643240162282599</v>
      </c>
      <c r="N22" s="10">
        <f t="shared" si="7"/>
        <v>20.73580227772251</v>
      </c>
      <c r="O22" s="10">
        <f>O15/O8*100</f>
        <v>19.619088550598207</v>
      </c>
      <c r="Q22" s="27">
        <f>((((O22/F22))^(1/9))-1)*100</f>
        <v>-1.2411745675063868</v>
      </c>
      <c r="R22" s="644">
        <f>((O22/F22)-1)*100</f>
        <v>-10.631751812933054</v>
      </c>
    </row>
    <row r="23" spans="2:26">
      <c r="C23" s="1" t="s">
        <v>365</v>
      </c>
      <c r="E23" s="2"/>
      <c r="F23" s="10">
        <f t="shared" si="6"/>
        <v>3.610029842096024</v>
      </c>
      <c r="G23" s="10">
        <f t="shared" si="6"/>
        <v>3.5443996307179488</v>
      </c>
      <c r="H23" s="10">
        <f t="shared" si="6"/>
        <v>4.5116039029973072</v>
      </c>
      <c r="I23" s="10">
        <f t="shared" si="6"/>
        <v>4.9547892881348821</v>
      </c>
      <c r="J23" s="10">
        <f t="shared" si="6"/>
        <v>6.122186362770683</v>
      </c>
      <c r="K23" s="10">
        <f t="shared" si="6"/>
        <v>6.2853943004249224</v>
      </c>
      <c r="L23" s="10">
        <f t="shared" si="6"/>
        <v>6.3490051642982461</v>
      </c>
      <c r="M23" s="10">
        <f t="shared" si="7"/>
        <v>6.8619564021371025</v>
      </c>
      <c r="N23" s="10">
        <f t="shared" si="7"/>
        <v>6.7501899891879962</v>
      </c>
      <c r="O23" s="10">
        <f>O16/O9*100</f>
        <v>6.3633894368109987</v>
      </c>
      <c r="Q23" s="27">
        <f>((((O23/F23))^(1/9))-1)*100</f>
        <v>6.5008512276035768</v>
      </c>
      <c r="R23" s="644">
        <f>((O23/F23)-1)*100</f>
        <v>76.269718399788715</v>
      </c>
    </row>
    <row r="24" spans="2:26">
      <c r="F24" s="6"/>
      <c r="L24" s="232"/>
      <c r="M24" s="232"/>
      <c r="Q24" s="27"/>
      <c r="R24" s="644"/>
    </row>
    <row r="25" spans="2:26">
      <c r="B25" s="128" t="s">
        <v>11</v>
      </c>
      <c r="L25" s="232"/>
      <c r="M25" s="232"/>
      <c r="Q25" s="27"/>
      <c r="R25" s="644"/>
    </row>
    <row r="26" spans="2:26" ht="15">
      <c r="C26" s="1" t="s">
        <v>1188</v>
      </c>
      <c r="E26" s="2"/>
      <c r="F26" s="232">
        <v>6936.12</v>
      </c>
      <c r="G26" s="232">
        <v>6945.66</v>
      </c>
      <c r="H26" s="232">
        <v>7030.44</v>
      </c>
      <c r="I26" s="232">
        <f t="shared" ref="I26:O26" si="8">T26/1000</f>
        <v>7118.34</v>
      </c>
      <c r="J26" s="232">
        <f t="shared" si="8"/>
        <v>7187.68</v>
      </c>
      <c r="K26" s="232">
        <f t="shared" si="8"/>
        <v>7249.01</v>
      </c>
      <c r="L26" s="232">
        <f t="shared" si="8"/>
        <v>7319.57</v>
      </c>
      <c r="M26" s="232">
        <f t="shared" si="8"/>
        <v>7449.16</v>
      </c>
      <c r="N26" s="232">
        <f t="shared" si="8"/>
        <v>7486.16</v>
      </c>
      <c r="O26" s="232">
        <f t="shared" si="8"/>
        <v>7629.33</v>
      </c>
      <c r="Q26" s="27">
        <f>((((O26/F26))^(1/9))-1)*100</f>
        <v>1.0640375952084558</v>
      </c>
      <c r="R26" s="644">
        <f>((O26/F26)-1)*100</f>
        <v>9.9942042525215768</v>
      </c>
      <c r="T26" s="783">
        <v>7118340</v>
      </c>
      <c r="U26" s="783">
        <v>7187680</v>
      </c>
      <c r="V26" s="783">
        <v>7249010</v>
      </c>
      <c r="W26" s="783">
        <v>7319570</v>
      </c>
      <c r="X26" s="783">
        <v>7449160</v>
      </c>
      <c r="Y26" s="783">
        <v>7486160</v>
      </c>
      <c r="Z26" s="783">
        <v>7629330</v>
      </c>
    </row>
    <row r="27" spans="2:26" ht="15">
      <c r="C27" s="1" t="s">
        <v>153</v>
      </c>
      <c r="E27" s="2"/>
      <c r="F27" s="232">
        <v>42000</v>
      </c>
      <c r="G27" s="232">
        <v>43500</v>
      </c>
      <c r="H27" s="232">
        <v>44800</v>
      </c>
      <c r="I27" s="232">
        <f t="shared" ref="I27:O27" si="9">T27</f>
        <v>47000</v>
      </c>
      <c r="J27" s="232">
        <f t="shared" si="9"/>
        <v>50600</v>
      </c>
      <c r="K27" s="232">
        <f t="shared" si="9"/>
        <v>52200</v>
      </c>
      <c r="L27" s="232">
        <f t="shared" si="9"/>
        <v>53300</v>
      </c>
      <c r="M27" s="232">
        <f t="shared" si="9"/>
        <v>55000</v>
      </c>
      <c r="N27" s="232">
        <f t="shared" si="9"/>
        <v>57600</v>
      </c>
      <c r="O27" s="232">
        <f t="shared" si="9"/>
        <v>60000</v>
      </c>
      <c r="Q27" s="27">
        <f>((((O27/F27))^(1/9))-1)*100</f>
        <v>4.0426316974265797</v>
      </c>
      <c r="R27" s="644">
        <f>((O27/F27)-1)*100</f>
        <v>42.857142857142861</v>
      </c>
      <c r="T27" s="783">
        <v>47000</v>
      </c>
      <c r="U27" s="783">
        <v>50600</v>
      </c>
      <c r="V27" s="783">
        <v>52200</v>
      </c>
      <c r="W27" s="783">
        <v>53300</v>
      </c>
      <c r="X27" s="783">
        <v>55000</v>
      </c>
      <c r="Y27" s="783">
        <v>57600</v>
      </c>
      <c r="Z27" s="783">
        <v>60000</v>
      </c>
    </row>
    <row r="28" spans="2:26" ht="15">
      <c r="C28" s="1" t="s">
        <v>154</v>
      </c>
      <c r="E28" s="2"/>
      <c r="F28" s="232">
        <v>21252.74</v>
      </c>
      <c r="G28" s="232">
        <v>21237.61</v>
      </c>
      <c r="H28" s="232">
        <v>21411.919999999998</v>
      </c>
      <c r="I28" s="232">
        <f t="shared" ref="I28:O30" si="10">T28/1000</f>
        <v>21605.03</v>
      </c>
      <c r="J28" s="232">
        <f t="shared" si="10"/>
        <v>21844.69</v>
      </c>
      <c r="K28" s="232">
        <f t="shared" si="10"/>
        <v>22168.33</v>
      </c>
      <c r="L28" s="232">
        <f t="shared" si="10"/>
        <v>22126.52</v>
      </c>
      <c r="M28" s="232">
        <f t="shared" si="10"/>
        <v>22436.6</v>
      </c>
      <c r="N28" s="232">
        <f t="shared" si="10"/>
        <v>22350.92</v>
      </c>
      <c r="O28" s="232">
        <f t="shared" si="10"/>
        <v>22815.74</v>
      </c>
      <c r="Q28" s="27">
        <f>((((O28/F28))^(1/9))-1)*100</f>
        <v>0.79161483685477041</v>
      </c>
      <c r="R28" s="644">
        <f>((O28/F28)-1)*100</f>
        <v>7.3543458396423178</v>
      </c>
      <c r="T28" s="783">
        <v>21605030</v>
      </c>
      <c r="U28" s="783">
        <v>21844690</v>
      </c>
      <c r="V28" s="783">
        <v>22168330</v>
      </c>
      <c r="W28" s="783">
        <v>22126520</v>
      </c>
      <c r="X28" s="783">
        <v>22436600</v>
      </c>
      <c r="Y28" s="783">
        <v>22350920</v>
      </c>
      <c r="Z28" s="783">
        <v>22815740</v>
      </c>
    </row>
    <row r="29" spans="2:26" ht="15">
      <c r="C29" s="1" t="s">
        <v>155</v>
      </c>
      <c r="E29" s="2"/>
      <c r="F29" s="232">
        <v>5712.62</v>
      </c>
      <c r="G29" s="232">
        <v>5631.75</v>
      </c>
      <c r="H29" s="232">
        <v>5603.44</v>
      </c>
      <c r="I29" s="232">
        <f t="shared" si="10"/>
        <v>5566.53</v>
      </c>
      <c r="J29" s="232">
        <f t="shared" si="10"/>
        <v>5493.87</v>
      </c>
      <c r="K29" s="232">
        <f t="shared" si="10"/>
        <v>5552.53</v>
      </c>
      <c r="L29" s="232">
        <f t="shared" si="10"/>
        <v>5450.21</v>
      </c>
      <c r="M29" s="232">
        <f t="shared" si="10"/>
        <v>5477.22</v>
      </c>
      <c r="N29" s="232">
        <f t="shared" si="10"/>
        <v>5336.18</v>
      </c>
      <c r="O29" s="232">
        <f t="shared" si="10"/>
        <v>5495.15</v>
      </c>
      <c r="Q29" s="27">
        <f>((((O29/F29))^(1/9))-1)*100</f>
        <v>-0.43031456597160123</v>
      </c>
      <c r="R29" s="644">
        <f>((O29/F29)-1)*100</f>
        <v>-3.8068346923128105</v>
      </c>
      <c r="T29" s="783">
        <v>5566530</v>
      </c>
      <c r="U29" s="783">
        <v>5493870</v>
      </c>
      <c r="V29" s="783">
        <v>5552530</v>
      </c>
      <c r="W29" s="783">
        <v>5450210</v>
      </c>
      <c r="X29" s="783">
        <v>5477220</v>
      </c>
      <c r="Y29" s="783">
        <v>5336180</v>
      </c>
      <c r="Z29" s="783">
        <v>5495150</v>
      </c>
    </row>
    <row r="30" spans="2:26" ht="15">
      <c r="B30" s="128" t="e">
        <f>((((B29/B20))^(1/9))-1)*100</f>
        <v>#DIV/0!</v>
      </c>
      <c r="C30" s="1" t="s">
        <v>156</v>
      </c>
      <c r="E30" s="2"/>
      <c r="F30" s="232">
        <v>2056.11</v>
      </c>
      <c r="G30" s="232">
        <v>2097.54</v>
      </c>
      <c r="H30" s="232">
        <v>2138.19</v>
      </c>
      <c r="I30" s="232">
        <f t="shared" si="10"/>
        <v>2180.64</v>
      </c>
      <c r="J30" s="232">
        <f t="shared" si="10"/>
        <v>2230.4</v>
      </c>
      <c r="K30" s="232">
        <f t="shared" si="10"/>
        <v>2270.6799999999998</v>
      </c>
      <c r="L30" s="232">
        <f t="shared" si="10"/>
        <v>2323.5300000000002</v>
      </c>
      <c r="M30" s="232">
        <f t="shared" si="10"/>
        <v>2375.5500000000002</v>
      </c>
      <c r="N30" s="232">
        <f t="shared" si="10"/>
        <v>2433.1999999999998</v>
      </c>
      <c r="O30" s="232">
        <f t="shared" si="10"/>
        <v>2501.04</v>
      </c>
      <c r="Q30" s="27">
        <f>((((O30/F30))^(1/9))-1)*100</f>
        <v>2.2004243719511596</v>
      </c>
      <c r="R30" s="644">
        <f>((O30/F30)-1)*100</f>
        <v>21.63940645198943</v>
      </c>
      <c r="T30" s="783">
        <v>2180640</v>
      </c>
      <c r="U30" s="783">
        <v>2230400</v>
      </c>
      <c r="V30" s="783">
        <v>2270680</v>
      </c>
      <c r="W30" s="783">
        <v>2323530</v>
      </c>
      <c r="X30" s="783">
        <v>2375550</v>
      </c>
      <c r="Y30" s="783">
        <v>2433200</v>
      </c>
      <c r="Z30" s="783">
        <v>2501040</v>
      </c>
    </row>
    <row r="31" spans="2:26">
      <c r="F31" s="10"/>
      <c r="G31" s="10"/>
      <c r="H31" s="10"/>
      <c r="I31" s="10"/>
      <c r="J31" s="10"/>
      <c r="K31" s="10"/>
      <c r="L31" s="232"/>
      <c r="M31" s="232"/>
      <c r="Q31" s="27"/>
      <c r="R31" s="644"/>
    </row>
    <row r="32" spans="2:26">
      <c r="B32" s="128" t="s">
        <v>12</v>
      </c>
      <c r="L32" s="232"/>
      <c r="M32" s="232"/>
      <c r="Q32" s="27"/>
      <c r="R32" s="644"/>
    </row>
    <row r="33" spans="2:26" ht="15">
      <c r="C33" s="1" t="s">
        <v>1188</v>
      </c>
      <c r="E33" s="2"/>
      <c r="F33" s="232">
        <v>648.13</v>
      </c>
      <c r="G33" s="232">
        <v>617.59</v>
      </c>
      <c r="H33" s="232">
        <v>631.54999999999995</v>
      </c>
      <c r="I33" s="232">
        <f t="shared" ref="I33:O33" si="11">T33/1000</f>
        <v>681.07</v>
      </c>
      <c r="J33" s="232">
        <f t="shared" si="11"/>
        <v>635.21</v>
      </c>
      <c r="K33" s="232">
        <f t="shared" si="11"/>
        <v>651.42999999999995</v>
      </c>
      <c r="L33" s="232">
        <f t="shared" si="11"/>
        <v>664.02</v>
      </c>
      <c r="M33" s="232">
        <f t="shared" si="11"/>
        <v>689.78</v>
      </c>
      <c r="N33" s="232">
        <f t="shared" si="11"/>
        <v>621.23</v>
      </c>
      <c r="O33" s="232">
        <f t="shared" si="11"/>
        <v>660.23</v>
      </c>
      <c r="Q33" s="27">
        <f>((((O33/F33))^(1/9))-1)*100</f>
        <v>0.20573318141536845</v>
      </c>
      <c r="R33" s="644">
        <f>((O33/F33)-1)*100</f>
        <v>1.8669094163207944</v>
      </c>
      <c r="T33" s="784">
        <v>681070</v>
      </c>
      <c r="U33" s="784">
        <v>635210</v>
      </c>
      <c r="V33" s="784">
        <v>651430</v>
      </c>
      <c r="W33" s="784">
        <v>664020</v>
      </c>
      <c r="X33" s="784">
        <v>689780</v>
      </c>
      <c r="Y33" s="784">
        <v>621230</v>
      </c>
      <c r="Z33" s="784">
        <v>660230</v>
      </c>
    </row>
    <row r="34" spans="2:26" ht="15">
      <c r="C34" s="1" t="s">
        <v>153</v>
      </c>
      <c r="E34" s="2"/>
      <c r="F34" s="232">
        <v>11200</v>
      </c>
      <c r="G34" s="232">
        <v>11400</v>
      </c>
      <c r="H34" s="232">
        <v>11700</v>
      </c>
      <c r="I34" s="232">
        <f t="shared" ref="I34:O34" si="12">T34</f>
        <v>11700</v>
      </c>
      <c r="J34" s="232">
        <f t="shared" si="12"/>
        <v>13700</v>
      </c>
      <c r="K34" s="232">
        <f t="shared" si="12"/>
        <v>13600</v>
      </c>
      <c r="L34" s="232">
        <f t="shared" si="12"/>
        <v>13900</v>
      </c>
      <c r="M34" s="232">
        <f t="shared" si="12"/>
        <v>14500</v>
      </c>
      <c r="N34" s="232">
        <f t="shared" si="12"/>
        <v>15400</v>
      </c>
      <c r="O34" s="232">
        <f t="shared" si="12"/>
        <v>15100</v>
      </c>
      <c r="Q34" s="27">
        <f>((((O34/F34))^(1/9))-1)*100</f>
        <v>3.3755083686937137</v>
      </c>
      <c r="R34" s="644">
        <f>((O34/F34)-1)*100</f>
        <v>34.821428571428584</v>
      </c>
      <c r="T34" s="784">
        <v>11700</v>
      </c>
      <c r="U34" s="784">
        <v>13700</v>
      </c>
      <c r="V34" s="784">
        <v>13600</v>
      </c>
      <c r="W34" s="784">
        <v>13900</v>
      </c>
      <c r="X34" s="784">
        <v>14500</v>
      </c>
      <c r="Y34" s="784">
        <v>15400</v>
      </c>
      <c r="Z34" s="784">
        <v>15100</v>
      </c>
    </row>
    <row r="35" spans="2:26" ht="15">
      <c r="C35" s="1" t="s">
        <v>154</v>
      </c>
      <c r="E35" s="2"/>
      <c r="F35" s="232">
        <v>2198.06</v>
      </c>
      <c r="G35" s="232">
        <v>2091.33</v>
      </c>
      <c r="H35" s="232">
        <v>2092.5</v>
      </c>
      <c r="I35" s="232">
        <f t="shared" ref="I35:O37" si="13">T35/1000</f>
        <v>2265.3000000000002</v>
      </c>
      <c r="J35" s="232">
        <f t="shared" si="13"/>
        <v>2086.75</v>
      </c>
      <c r="K35" s="232">
        <f t="shared" si="13"/>
        <v>2153.7800000000002</v>
      </c>
      <c r="L35" s="232">
        <f t="shared" si="13"/>
        <v>2183.6</v>
      </c>
      <c r="M35" s="232">
        <f t="shared" si="13"/>
        <v>2271.5100000000002</v>
      </c>
      <c r="N35" s="232">
        <f t="shared" si="13"/>
        <v>1971.17</v>
      </c>
      <c r="O35" s="232">
        <f t="shared" si="13"/>
        <v>2103.3000000000002</v>
      </c>
      <c r="Q35" s="27">
        <f>((((O35/F35))^(1/9))-1)*100</f>
        <v>-0.48844336399577193</v>
      </c>
      <c r="R35" s="644">
        <f>((O35/F35)-1)*100</f>
        <v>-4.3110743109833098</v>
      </c>
      <c r="T35" s="784">
        <v>2265300</v>
      </c>
      <c r="U35" s="784">
        <v>2086750</v>
      </c>
      <c r="V35" s="784">
        <v>2153780</v>
      </c>
      <c r="W35" s="784">
        <v>2183600</v>
      </c>
      <c r="X35" s="784">
        <v>2271510</v>
      </c>
      <c r="Y35" s="784">
        <v>1971170</v>
      </c>
      <c r="Z35" s="784">
        <v>2103300</v>
      </c>
    </row>
    <row r="36" spans="2:26" ht="15">
      <c r="C36" s="1" t="s">
        <v>155</v>
      </c>
      <c r="E36" s="2"/>
      <c r="F36" s="232">
        <v>804.67</v>
      </c>
      <c r="G36" s="232">
        <v>762.34</v>
      </c>
      <c r="H36" s="232">
        <v>740.83</v>
      </c>
      <c r="I36" s="232">
        <f t="shared" si="13"/>
        <v>808.86</v>
      </c>
      <c r="J36" s="232">
        <f t="shared" si="13"/>
        <v>714.04</v>
      </c>
      <c r="K36" s="232">
        <f t="shared" si="13"/>
        <v>743.24</v>
      </c>
      <c r="L36" s="232">
        <f t="shared" si="13"/>
        <v>745.04</v>
      </c>
      <c r="M36" s="232">
        <f t="shared" si="13"/>
        <v>778.47</v>
      </c>
      <c r="N36" s="232">
        <f t="shared" si="13"/>
        <v>628.44000000000005</v>
      </c>
      <c r="O36" s="232">
        <f t="shared" si="13"/>
        <v>678.34</v>
      </c>
      <c r="Q36" s="27">
        <f>((((O36/F36))^(1/9))-1)*100</f>
        <v>-1.8797047557400526</v>
      </c>
      <c r="R36" s="644">
        <f>((O36/F36)-1)*100</f>
        <v>-15.699603564194009</v>
      </c>
      <c r="T36" s="784">
        <v>808860</v>
      </c>
      <c r="U36" s="784">
        <v>714040</v>
      </c>
      <c r="V36" s="784">
        <v>743240</v>
      </c>
      <c r="W36" s="784">
        <v>745040</v>
      </c>
      <c r="X36" s="784">
        <v>778470</v>
      </c>
      <c r="Y36" s="784">
        <v>628440</v>
      </c>
      <c r="Z36" s="784">
        <v>678340</v>
      </c>
    </row>
    <row r="37" spans="2:26" ht="15">
      <c r="C37" s="1" t="s">
        <v>156</v>
      </c>
      <c r="E37" s="2"/>
      <c r="F37" s="232">
        <v>65.95</v>
      </c>
      <c r="G37" s="232">
        <v>63.67</v>
      </c>
      <c r="H37" s="232">
        <v>96.73</v>
      </c>
      <c r="I37" s="232">
        <f t="shared" si="13"/>
        <v>98.15</v>
      </c>
      <c r="J37" s="232">
        <f t="shared" si="13"/>
        <v>81.010000000000005</v>
      </c>
      <c r="K37" s="232">
        <f t="shared" si="13"/>
        <v>98.75</v>
      </c>
      <c r="L37" s="232">
        <f t="shared" si="13"/>
        <v>102.51</v>
      </c>
      <c r="M37" s="232">
        <f t="shared" si="13"/>
        <v>105.77</v>
      </c>
      <c r="N37" s="232">
        <f t="shared" si="13"/>
        <v>101.62</v>
      </c>
      <c r="O37" s="232">
        <f t="shared" si="13"/>
        <v>100.47</v>
      </c>
      <c r="Q37" s="27">
        <f>((((O37/F37))^(1/9))-1)*100</f>
        <v>4.7884729043855101</v>
      </c>
      <c r="R37" s="644">
        <f>((O37/F37)-1)*100</f>
        <v>52.342683851402569</v>
      </c>
      <c r="T37" s="784">
        <v>98150</v>
      </c>
      <c r="U37" s="784">
        <v>81010</v>
      </c>
      <c r="V37" s="784">
        <v>98750</v>
      </c>
      <c r="W37" s="784">
        <v>102510</v>
      </c>
      <c r="X37" s="784">
        <v>105770</v>
      </c>
      <c r="Y37" s="784">
        <v>101620</v>
      </c>
      <c r="Z37" s="784">
        <v>100470</v>
      </c>
    </row>
    <row r="38" spans="2:26">
      <c r="F38" s="10"/>
      <c r="G38" s="10"/>
      <c r="H38" s="10"/>
      <c r="I38" s="10"/>
      <c r="J38" s="10"/>
      <c r="K38" s="10"/>
      <c r="L38" s="232"/>
      <c r="M38" s="232"/>
      <c r="Q38" s="27"/>
      <c r="R38" s="644"/>
    </row>
    <row r="39" spans="2:26">
      <c r="B39" s="128" t="s">
        <v>13</v>
      </c>
      <c r="L39" s="232"/>
      <c r="M39" s="232"/>
      <c r="Q39" s="27"/>
      <c r="R39" s="644"/>
    </row>
    <row r="40" spans="2:26">
      <c r="C40" s="1" t="s">
        <v>14</v>
      </c>
      <c r="E40" s="2"/>
      <c r="F40" s="10">
        <f t="shared" ref="F40:L44" si="14">F33/F26*100</f>
        <v>9.3442731671309041</v>
      </c>
      <c r="G40" s="10">
        <f t="shared" si="14"/>
        <v>8.8917395899021834</v>
      </c>
      <c r="H40" s="10">
        <f t="shared" si="14"/>
        <v>8.9830792951792482</v>
      </c>
      <c r="I40" s="10">
        <f t="shared" si="14"/>
        <v>9.5678205873841371</v>
      </c>
      <c r="J40" s="10">
        <f t="shared" si="14"/>
        <v>8.8374830265120323</v>
      </c>
      <c r="K40" s="10">
        <f t="shared" si="14"/>
        <v>8.9864684970775315</v>
      </c>
      <c r="L40" s="10">
        <f t="shared" si="14"/>
        <v>9.0718443843012651</v>
      </c>
      <c r="M40" s="10">
        <f t="shared" ref="M40:N44" si="15">M33/M26*100</f>
        <v>9.259836008355304</v>
      </c>
      <c r="N40" s="10">
        <f t="shared" si="15"/>
        <v>8.2983799437896071</v>
      </c>
      <c r="O40" s="10">
        <f>O33/O26*100</f>
        <v>8.6538398522543929</v>
      </c>
      <c r="Q40" s="27">
        <f>((((O40/F40))^(1/9))-1)*100</f>
        <v>-0.84926788422093891</v>
      </c>
      <c r="R40" s="644">
        <f>((O40/F40)-1)*100</f>
        <v>-7.3888391587818241</v>
      </c>
    </row>
    <row r="41" spans="2:26">
      <c r="C41" s="1" t="s">
        <v>362</v>
      </c>
      <c r="E41" s="2"/>
      <c r="F41" s="10">
        <f t="shared" si="14"/>
        <v>26.666666666666668</v>
      </c>
      <c r="G41" s="10">
        <f t="shared" si="14"/>
        <v>26.206896551724139</v>
      </c>
      <c r="H41" s="10">
        <f t="shared" si="14"/>
        <v>26.116071428571431</v>
      </c>
      <c r="I41" s="10">
        <f t="shared" si="14"/>
        <v>24.893617021276597</v>
      </c>
      <c r="J41" s="10">
        <f t="shared" si="14"/>
        <v>27.07509881422925</v>
      </c>
      <c r="K41" s="10">
        <f t="shared" si="14"/>
        <v>26.053639846743295</v>
      </c>
      <c r="L41" s="10">
        <f t="shared" si="14"/>
        <v>26.07879924953096</v>
      </c>
      <c r="M41" s="10">
        <f t="shared" si="15"/>
        <v>26.36363636363636</v>
      </c>
      <c r="N41" s="10">
        <f t="shared" si="15"/>
        <v>26.736111111111111</v>
      </c>
      <c r="O41" s="10">
        <f>O34/O27*100</f>
        <v>25.166666666666664</v>
      </c>
      <c r="Q41" s="27">
        <f>((((O41/F41))^(1/9))-1)*100</f>
        <v>-0.64120189757691515</v>
      </c>
      <c r="R41" s="644">
        <f>((O41/F41)-1)*100</f>
        <v>-5.6250000000000133</v>
      </c>
    </row>
    <row r="42" spans="2:26">
      <c r="C42" s="1" t="s">
        <v>363</v>
      </c>
      <c r="E42" s="2"/>
      <c r="F42" s="10">
        <f t="shared" si="14"/>
        <v>10.342478193400002</v>
      </c>
      <c r="G42" s="10">
        <f t="shared" si="14"/>
        <v>9.8472944931185769</v>
      </c>
      <c r="H42" s="10">
        <f t="shared" si="14"/>
        <v>9.7725939570108622</v>
      </c>
      <c r="I42" s="10">
        <f t="shared" si="14"/>
        <v>10.485058340580876</v>
      </c>
      <c r="J42" s="10">
        <f t="shared" si="14"/>
        <v>9.5526647436974397</v>
      </c>
      <c r="K42" s="10">
        <f t="shared" si="14"/>
        <v>9.7155717187537363</v>
      </c>
      <c r="L42" s="10">
        <f t="shared" si="14"/>
        <v>9.8687005457704142</v>
      </c>
      <c r="M42" s="10">
        <f t="shared" si="15"/>
        <v>10.124127541606127</v>
      </c>
      <c r="N42" s="10">
        <f t="shared" si="15"/>
        <v>8.8191895456652354</v>
      </c>
      <c r="O42" s="10">
        <f>O35/O28*100</f>
        <v>9.2186359066153454</v>
      </c>
      <c r="Q42" s="27">
        <f>((((O42/F42))^(1/9))-1)*100</f>
        <v>-1.2700046555683242</v>
      </c>
      <c r="R42" s="644">
        <f>((O42/F42)-1)*100</f>
        <v>-10.866276590284041</v>
      </c>
    </row>
    <row r="43" spans="2:26">
      <c r="C43" s="1" t="s">
        <v>364</v>
      </c>
      <c r="E43" s="2"/>
      <c r="F43" s="10">
        <f t="shared" si="14"/>
        <v>14.085831019742253</v>
      </c>
      <c r="G43" s="10">
        <f t="shared" si="14"/>
        <v>13.536467350290762</v>
      </c>
      <c r="H43" s="10">
        <f t="shared" si="14"/>
        <v>13.220985680225006</v>
      </c>
      <c r="I43" s="10">
        <f t="shared" si="14"/>
        <v>14.530775905276716</v>
      </c>
      <c r="J43" s="10">
        <f t="shared" si="14"/>
        <v>12.997031236632829</v>
      </c>
      <c r="K43" s="10">
        <f t="shared" si="14"/>
        <v>13.385609803098768</v>
      </c>
      <c r="L43" s="10">
        <f t="shared" si="14"/>
        <v>13.669931984272166</v>
      </c>
      <c r="M43" s="10">
        <f t="shared" si="15"/>
        <v>14.212867111417834</v>
      </c>
      <c r="N43" s="10">
        <f t="shared" si="15"/>
        <v>11.776964045440746</v>
      </c>
      <c r="O43" s="10">
        <f>O36/O29*100</f>
        <v>12.344340008916955</v>
      </c>
      <c r="Q43" s="27">
        <f>((((O43/F43))^(1/9))-1)*100</f>
        <v>-1.4556540813104868</v>
      </c>
      <c r="R43" s="644">
        <f>((O43/F43)-1)*100</f>
        <v>-12.363423985311762</v>
      </c>
    </row>
    <row r="44" spans="2:26">
      <c r="C44" s="1" t="s">
        <v>365</v>
      </c>
      <c r="E44" s="2"/>
      <c r="F44" s="10">
        <f t="shared" si="14"/>
        <v>3.2075132167053324</v>
      </c>
      <c r="G44" s="10">
        <f t="shared" si="14"/>
        <v>3.0354605871640112</v>
      </c>
      <c r="H44" s="10">
        <f t="shared" si="14"/>
        <v>4.5239197639124678</v>
      </c>
      <c r="I44" s="10">
        <f t="shared" si="14"/>
        <v>4.5009721916501588</v>
      </c>
      <c r="J44" s="10">
        <f t="shared" si="14"/>
        <v>3.6320839311334292</v>
      </c>
      <c r="K44" s="10">
        <f t="shared" si="14"/>
        <v>4.3489175048884041</v>
      </c>
      <c r="L44" s="10">
        <f t="shared" si="14"/>
        <v>4.411821667893248</v>
      </c>
      <c r="M44" s="10">
        <f t="shared" si="15"/>
        <v>4.4524425922417965</v>
      </c>
      <c r="N44" s="10">
        <f t="shared" si="15"/>
        <v>4.1763932270261384</v>
      </c>
      <c r="O44" s="10">
        <f>O37/O30*100</f>
        <v>4.0171288743882547</v>
      </c>
      <c r="Q44" s="27">
        <f>((((O44/F44))^(1/9))-1)*100</f>
        <v>2.5323266007343914</v>
      </c>
      <c r="R44" s="644">
        <f>((O44/F44)-1)*100</f>
        <v>25.241225927497091</v>
      </c>
    </row>
    <row r="45" spans="2:26">
      <c r="E45" s="2"/>
      <c r="F45" s="644"/>
      <c r="G45" s="644"/>
      <c r="H45" s="644"/>
      <c r="I45" s="644"/>
      <c r="J45" s="644"/>
      <c r="K45" s="644"/>
      <c r="L45" s="232"/>
      <c r="M45" s="232"/>
      <c r="Q45" s="27"/>
      <c r="R45" s="644"/>
    </row>
    <row r="46" spans="2:26">
      <c r="B46" s="128" t="s">
        <v>15</v>
      </c>
      <c r="L46" s="232"/>
      <c r="M46" s="232"/>
      <c r="Q46" s="27"/>
      <c r="R46" s="644"/>
    </row>
    <row r="47" spans="2:26" ht="15">
      <c r="C47" s="1" t="s">
        <v>1188</v>
      </c>
      <c r="E47" s="2"/>
      <c r="F47" s="232">
        <v>1216.78</v>
      </c>
      <c r="G47" s="232">
        <v>1261.58</v>
      </c>
      <c r="H47" s="232">
        <v>1314.21</v>
      </c>
      <c r="I47" s="232">
        <f t="shared" ref="I47:O47" si="16">T47/1000</f>
        <v>1317.76</v>
      </c>
      <c r="J47" s="232">
        <f t="shared" si="16"/>
        <v>1406.4</v>
      </c>
      <c r="K47" s="232">
        <f t="shared" si="16"/>
        <v>1404.26</v>
      </c>
      <c r="L47" s="232">
        <f t="shared" si="16"/>
        <v>1451.15</v>
      </c>
      <c r="M47" s="232">
        <f t="shared" si="16"/>
        <v>1444.15</v>
      </c>
      <c r="N47" s="232">
        <f t="shared" si="16"/>
        <v>1455.94</v>
      </c>
      <c r="O47" s="232">
        <f t="shared" si="16"/>
        <v>1391.33</v>
      </c>
      <c r="Q47" s="27">
        <f>((((O47/F47))^(1/9))-1)*100</f>
        <v>1.5006156161018414</v>
      </c>
      <c r="R47" s="644">
        <f>((O47/F47)-1)*100</f>
        <v>14.34523907362053</v>
      </c>
      <c r="T47" s="785">
        <v>1317760</v>
      </c>
      <c r="U47" s="785">
        <v>1406400</v>
      </c>
      <c r="V47" s="785">
        <v>1404260</v>
      </c>
      <c r="W47" s="785">
        <v>1451150</v>
      </c>
      <c r="X47" s="785">
        <v>1444150</v>
      </c>
      <c r="Y47" s="785">
        <v>1455940</v>
      </c>
      <c r="Z47" s="785">
        <v>1391330</v>
      </c>
    </row>
    <row r="48" spans="2:26" ht="15">
      <c r="C48" s="1" t="s">
        <v>153</v>
      </c>
      <c r="E48" s="2"/>
      <c r="F48" s="232">
        <v>20600</v>
      </c>
      <c r="G48" s="232">
        <v>21900</v>
      </c>
      <c r="H48" s="232">
        <v>22600</v>
      </c>
      <c r="I48" s="232">
        <f t="shared" ref="I48:O48" si="17">T48</f>
        <v>23900</v>
      </c>
      <c r="J48" s="232">
        <f t="shared" si="17"/>
        <v>26000</v>
      </c>
      <c r="K48" s="232">
        <f t="shared" si="17"/>
        <v>26900</v>
      </c>
      <c r="L48" s="232">
        <f t="shared" si="17"/>
        <v>27300</v>
      </c>
      <c r="M48" s="232">
        <f t="shared" si="17"/>
        <v>28100</v>
      </c>
      <c r="N48" s="232">
        <f t="shared" si="17"/>
        <v>28600</v>
      </c>
      <c r="O48" s="232">
        <f t="shared" si="17"/>
        <v>31300</v>
      </c>
      <c r="Q48" s="27">
        <f>((((O48/F48))^(1/9))-1)*100</f>
        <v>4.7577944630710967</v>
      </c>
      <c r="R48" s="644">
        <f>((O48/F48)-1)*100</f>
        <v>51.94174757281553</v>
      </c>
      <c r="T48" s="785">
        <v>23900</v>
      </c>
      <c r="U48" s="785">
        <v>26000</v>
      </c>
      <c r="V48" s="785">
        <v>26900</v>
      </c>
      <c r="W48" s="785">
        <v>27300</v>
      </c>
      <c r="X48" s="785">
        <v>28100</v>
      </c>
      <c r="Y48" s="785">
        <v>28600</v>
      </c>
      <c r="Z48" s="785">
        <v>31300</v>
      </c>
    </row>
    <row r="49" spans="2:27" ht="15">
      <c r="C49" s="1" t="s">
        <v>154</v>
      </c>
      <c r="E49" s="2"/>
      <c r="F49" s="232">
        <v>3180.91</v>
      </c>
      <c r="G49" s="232">
        <v>3285.48</v>
      </c>
      <c r="H49" s="232">
        <v>3426.49</v>
      </c>
      <c r="I49" s="232">
        <f t="shared" ref="I49:O51" si="18">T49/1000</f>
        <v>3412.92</v>
      </c>
      <c r="J49" s="232">
        <f t="shared" si="18"/>
        <v>3652.83</v>
      </c>
      <c r="K49" s="232">
        <f t="shared" si="18"/>
        <v>3651.2</v>
      </c>
      <c r="L49" s="232">
        <f t="shared" si="18"/>
        <v>3776.55</v>
      </c>
      <c r="M49" s="232">
        <f t="shared" si="18"/>
        <v>3757.1</v>
      </c>
      <c r="N49" s="232">
        <f t="shared" si="18"/>
        <v>3720.16</v>
      </c>
      <c r="O49" s="232">
        <f t="shared" si="18"/>
        <v>3539.26</v>
      </c>
      <c r="Q49" s="27">
        <f>((((O49/F49))^(1/9))-1)*100</f>
        <v>1.1931771976061656</v>
      </c>
      <c r="R49" s="644">
        <f>((O49/F49)-1)*100</f>
        <v>11.2656441081326</v>
      </c>
      <c r="T49" s="785">
        <v>3412920</v>
      </c>
      <c r="U49" s="785">
        <v>3652830</v>
      </c>
      <c r="V49" s="785">
        <v>3651200</v>
      </c>
      <c r="W49" s="785">
        <v>3776550</v>
      </c>
      <c r="X49" s="785">
        <v>3757100</v>
      </c>
      <c r="Y49" s="785">
        <v>3720160</v>
      </c>
      <c r="Z49" s="785">
        <v>3539260</v>
      </c>
    </row>
    <row r="50" spans="2:27" ht="15">
      <c r="C50" s="1" t="s">
        <v>155</v>
      </c>
      <c r="E50" s="2"/>
      <c r="F50" s="232">
        <v>1473.75</v>
      </c>
      <c r="G50" s="232">
        <v>1500.13</v>
      </c>
      <c r="H50" s="232">
        <v>1573.24</v>
      </c>
      <c r="I50" s="232">
        <f t="shared" si="18"/>
        <v>1559.29</v>
      </c>
      <c r="J50" s="232">
        <f t="shared" si="18"/>
        <v>1622.87</v>
      </c>
      <c r="K50" s="232">
        <f t="shared" si="18"/>
        <v>1603</v>
      </c>
      <c r="L50" s="232">
        <f t="shared" si="18"/>
        <v>1679.28</v>
      </c>
      <c r="M50" s="232">
        <f t="shared" si="18"/>
        <v>1663.4</v>
      </c>
      <c r="N50" s="232">
        <f t="shared" si="18"/>
        <v>1629.55</v>
      </c>
      <c r="O50" s="232">
        <f t="shared" si="18"/>
        <v>1531.68</v>
      </c>
      <c r="Q50" s="27">
        <f>((((O50/F50))^(1/9))-1)*100</f>
        <v>0.42930777847896007</v>
      </c>
      <c r="R50" s="644">
        <f>((O50/F50)-1)*100</f>
        <v>3.9307888040712502</v>
      </c>
      <c r="T50" s="785">
        <v>1559290</v>
      </c>
      <c r="U50" s="785">
        <v>1622870</v>
      </c>
      <c r="V50" s="785">
        <v>1603000</v>
      </c>
      <c r="W50" s="785">
        <v>1679280</v>
      </c>
      <c r="X50" s="785">
        <v>1663400</v>
      </c>
      <c r="Y50" s="785">
        <v>1629550</v>
      </c>
      <c r="Z50" s="785">
        <v>1531680</v>
      </c>
    </row>
    <row r="51" spans="2:27" ht="15">
      <c r="C51" s="1" t="s">
        <v>156</v>
      </c>
      <c r="E51" s="2"/>
      <c r="F51" s="232">
        <v>136.9</v>
      </c>
      <c r="G51" s="232">
        <v>162.24</v>
      </c>
      <c r="H51" s="232">
        <v>165.91</v>
      </c>
      <c r="I51" s="232">
        <f t="shared" si="18"/>
        <v>159.15</v>
      </c>
      <c r="J51" s="232">
        <f t="shared" si="18"/>
        <v>174.16</v>
      </c>
      <c r="K51" s="232">
        <f t="shared" si="18"/>
        <v>175.22</v>
      </c>
      <c r="L51" s="232">
        <f t="shared" si="18"/>
        <v>178.75</v>
      </c>
      <c r="M51" s="232">
        <f t="shared" si="18"/>
        <v>178.57</v>
      </c>
      <c r="N51" s="232">
        <f t="shared" si="18"/>
        <v>172.29</v>
      </c>
      <c r="O51" s="232">
        <f t="shared" si="18"/>
        <v>165.13</v>
      </c>
      <c r="Q51" s="27">
        <f>((((O51/F51))^(1/9))-1)*100</f>
        <v>2.1049855233396642</v>
      </c>
      <c r="R51" s="644">
        <f>((O51/F51)-1)*100</f>
        <v>20.620891161431686</v>
      </c>
      <c r="T51" s="785">
        <v>159150</v>
      </c>
      <c r="U51" s="785">
        <v>174160</v>
      </c>
      <c r="V51" s="785">
        <v>175220</v>
      </c>
      <c r="W51" s="785">
        <v>178750</v>
      </c>
      <c r="X51" s="785">
        <v>178570</v>
      </c>
      <c r="Y51" s="785">
        <v>172290</v>
      </c>
      <c r="Z51" s="785">
        <v>165130</v>
      </c>
    </row>
    <row r="52" spans="2:27">
      <c r="L52" s="232"/>
      <c r="M52" s="232"/>
      <c r="Q52" s="27"/>
      <c r="R52" s="644"/>
    </row>
    <row r="53" spans="2:27">
      <c r="B53" s="128" t="s">
        <v>16</v>
      </c>
      <c r="L53" s="232"/>
      <c r="M53" s="232"/>
      <c r="Q53" s="27"/>
      <c r="R53" s="644"/>
    </row>
    <row r="54" spans="2:27" ht="15">
      <c r="C54" s="1" t="s">
        <v>1188</v>
      </c>
      <c r="E54" s="2"/>
      <c r="F54" s="232">
        <v>470.96</v>
      </c>
      <c r="G54" s="232">
        <v>469.81</v>
      </c>
      <c r="H54" s="232">
        <v>488.56</v>
      </c>
      <c r="I54" s="232">
        <f t="shared" ref="I54:O54" si="19">T54/1000</f>
        <v>478.73</v>
      </c>
      <c r="J54" s="232">
        <f t="shared" si="19"/>
        <v>497.15</v>
      </c>
      <c r="K54" s="232">
        <f t="shared" si="19"/>
        <v>483.39</v>
      </c>
      <c r="L54" s="232">
        <f t="shared" si="19"/>
        <v>508.22</v>
      </c>
      <c r="M54" s="232">
        <f t="shared" si="19"/>
        <v>514.02</v>
      </c>
      <c r="N54" s="232">
        <f t="shared" si="19"/>
        <v>531.69000000000005</v>
      </c>
      <c r="O54" s="232">
        <f t="shared" si="19"/>
        <v>460.51</v>
      </c>
      <c r="Q54" s="27">
        <f>((((O54/F54))^(1/9))-1)*100</f>
        <v>-0.24900716968498937</v>
      </c>
      <c r="R54" s="644">
        <f>((O54/F54)-1)*100</f>
        <v>-2.2188720910480741</v>
      </c>
      <c r="T54" s="786">
        <v>478730</v>
      </c>
      <c r="U54" s="786">
        <v>497150</v>
      </c>
      <c r="V54" s="786">
        <v>483390</v>
      </c>
      <c r="W54" s="786">
        <v>508220</v>
      </c>
      <c r="X54" s="786">
        <v>514020</v>
      </c>
      <c r="Y54" s="786">
        <v>531690</v>
      </c>
      <c r="Z54" s="786">
        <v>460510</v>
      </c>
    </row>
    <row r="55" spans="2:27" ht="15">
      <c r="C55" s="1" t="s">
        <v>153</v>
      </c>
      <c r="E55" s="2"/>
      <c r="F55" s="232">
        <v>11400</v>
      </c>
      <c r="G55" s="232">
        <v>11900</v>
      </c>
      <c r="H55" s="232">
        <v>11700</v>
      </c>
      <c r="I55" s="232">
        <f t="shared" ref="I55:O55" si="20">T55</f>
        <v>12300</v>
      </c>
      <c r="J55" s="232">
        <f t="shared" si="20"/>
        <v>13100</v>
      </c>
      <c r="K55" s="232">
        <f t="shared" si="20"/>
        <v>13000</v>
      </c>
      <c r="L55" s="232">
        <f t="shared" si="20"/>
        <v>13000</v>
      </c>
      <c r="M55" s="232">
        <f t="shared" si="20"/>
        <v>13400</v>
      </c>
      <c r="N55" s="232">
        <f t="shared" si="20"/>
        <v>13100</v>
      </c>
      <c r="O55" s="232">
        <f t="shared" si="20"/>
        <v>14600</v>
      </c>
      <c r="Q55" s="27">
        <f>((((O55/F55))^(1/9))-1)*100</f>
        <v>2.7871127720478617</v>
      </c>
      <c r="R55" s="644">
        <f>((O55/F55)-1)*100</f>
        <v>28.07017543859649</v>
      </c>
      <c r="T55" s="786">
        <v>12300</v>
      </c>
      <c r="U55" s="786">
        <v>13100</v>
      </c>
      <c r="V55" s="786">
        <v>13000</v>
      </c>
      <c r="W55" s="786">
        <v>13000</v>
      </c>
      <c r="X55" s="786">
        <v>13400</v>
      </c>
      <c r="Y55" s="786">
        <v>13100</v>
      </c>
      <c r="Z55" s="786">
        <v>14600</v>
      </c>
    </row>
    <row r="56" spans="2:27" ht="15">
      <c r="C56" s="1" t="s">
        <v>154</v>
      </c>
      <c r="E56" s="2"/>
      <c r="F56" s="232">
        <v>1317.45</v>
      </c>
      <c r="G56" s="232">
        <v>1328.95</v>
      </c>
      <c r="H56" s="232">
        <v>1373.3</v>
      </c>
      <c r="I56" s="232">
        <f t="shared" ref="I56:O58" si="21">T56/1000</f>
        <v>1337.8</v>
      </c>
      <c r="J56" s="232">
        <f t="shared" si="21"/>
        <v>1396.59</v>
      </c>
      <c r="K56" s="232">
        <f t="shared" si="21"/>
        <v>1362.67</v>
      </c>
      <c r="L56" s="232">
        <f t="shared" si="21"/>
        <v>1434.49</v>
      </c>
      <c r="M56" s="232">
        <f t="shared" si="21"/>
        <v>1450.19</v>
      </c>
      <c r="N56" s="232">
        <f t="shared" si="21"/>
        <v>1443.91</v>
      </c>
      <c r="O56" s="232">
        <f t="shared" si="21"/>
        <v>1248.3800000000001</v>
      </c>
      <c r="Q56" s="27">
        <f>((((O56/F56))^(1/9))-1)*100</f>
        <v>-0.5965616761907433</v>
      </c>
      <c r="R56" s="644">
        <f>((O56/F56)-1)*100</f>
        <v>-5.2427037079206045</v>
      </c>
      <c r="S56" s="6"/>
      <c r="T56" s="786">
        <v>1337800</v>
      </c>
      <c r="U56" s="786">
        <v>1396590</v>
      </c>
      <c r="V56" s="786">
        <v>1362670</v>
      </c>
      <c r="W56" s="786">
        <v>1434490</v>
      </c>
      <c r="X56" s="786">
        <v>1450190</v>
      </c>
      <c r="Y56" s="786">
        <v>1443910</v>
      </c>
      <c r="Z56" s="786">
        <v>1248380</v>
      </c>
      <c r="AA56" s="6"/>
    </row>
    <row r="57" spans="2:27" ht="15">
      <c r="C57" s="1" t="s">
        <v>155</v>
      </c>
      <c r="E57" s="2"/>
      <c r="F57" s="232">
        <v>773</v>
      </c>
      <c r="G57" s="232">
        <v>783.56</v>
      </c>
      <c r="H57" s="232">
        <v>810.11</v>
      </c>
      <c r="I57" s="232">
        <f t="shared" si="21"/>
        <v>783.32</v>
      </c>
      <c r="J57" s="232">
        <f t="shared" si="21"/>
        <v>810.48</v>
      </c>
      <c r="K57" s="232">
        <f t="shared" si="21"/>
        <v>790.36</v>
      </c>
      <c r="L57" s="232">
        <f t="shared" si="21"/>
        <v>832.02</v>
      </c>
      <c r="M57" s="232">
        <f t="shared" si="21"/>
        <v>838.4</v>
      </c>
      <c r="N57" s="232">
        <f t="shared" si="21"/>
        <v>815.96</v>
      </c>
      <c r="O57" s="232">
        <f t="shared" si="21"/>
        <v>700.27</v>
      </c>
      <c r="Q57" s="27">
        <f>((((O57/F57))^(1/9))-1)*100</f>
        <v>-1.0919178627895376</v>
      </c>
      <c r="R57" s="644">
        <f>((O57/F57)-1)*100</f>
        <v>-9.408796895213456</v>
      </c>
      <c r="S57" s="6"/>
      <c r="T57" s="786">
        <v>783320</v>
      </c>
      <c r="U57" s="786">
        <v>810480</v>
      </c>
      <c r="V57" s="786">
        <v>790360</v>
      </c>
      <c r="W57" s="786">
        <v>832020</v>
      </c>
      <c r="X57" s="786">
        <v>838400</v>
      </c>
      <c r="Y57" s="786">
        <v>815960</v>
      </c>
      <c r="Z57" s="786">
        <v>700270</v>
      </c>
      <c r="AA57" s="6"/>
    </row>
    <row r="58" spans="2:27" ht="15">
      <c r="C58" s="1" t="s">
        <v>156</v>
      </c>
      <c r="E58" s="2"/>
      <c r="F58" s="232">
        <v>8.76</v>
      </c>
      <c r="G58" s="232">
        <v>9.64</v>
      </c>
      <c r="H58" s="232">
        <v>9.8699999999999992</v>
      </c>
      <c r="I58" s="232">
        <f t="shared" si="21"/>
        <v>9.9</v>
      </c>
      <c r="J58" s="232">
        <f t="shared" si="21"/>
        <v>12.39</v>
      </c>
      <c r="K58" s="232">
        <f t="shared" si="21"/>
        <v>11.95</v>
      </c>
      <c r="L58" s="232">
        <f t="shared" si="21"/>
        <v>12.26</v>
      </c>
      <c r="M58" s="232">
        <f t="shared" si="21"/>
        <v>12.84</v>
      </c>
      <c r="N58" s="232">
        <f t="shared" si="21"/>
        <v>12.51</v>
      </c>
      <c r="O58" s="232">
        <f t="shared" si="21"/>
        <v>11.11</v>
      </c>
      <c r="Q58" s="27">
        <f>((((O58/F58))^(1/9))-1)*100</f>
        <v>2.6757236789091365</v>
      </c>
      <c r="R58" s="644">
        <f>((O58/F58)-1)*100</f>
        <v>26.826484018264839</v>
      </c>
      <c r="S58" s="6"/>
      <c r="T58" s="786">
        <v>9900</v>
      </c>
      <c r="U58" s="786">
        <v>12390</v>
      </c>
      <c r="V58" s="786">
        <v>11950</v>
      </c>
      <c r="W58" s="786">
        <v>12260</v>
      </c>
      <c r="X58" s="786">
        <v>12840</v>
      </c>
      <c r="Y58" s="786">
        <v>12510</v>
      </c>
      <c r="Z58" s="786">
        <v>11110</v>
      </c>
      <c r="AA58" s="6"/>
    </row>
    <row r="59" spans="2:27">
      <c r="L59" s="232"/>
      <c r="M59" s="232"/>
      <c r="Q59" s="27"/>
      <c r="R59" s="644"/>
      <c r="S59" s="6"/>
      <c r="AA59" s="6"/>
    </row>
    <row r="60" spans="2:27">
      <c r="B60" s="128" t="s">
        <v>17</v>
      </c>
      <c r="L60" s="232"/>
      <c r="M60" s="232"/>
      <c r="Q60" s="27"/>
      <c r="R60" s="644"/>
    </row>
    <row r="61" spans="2:27">
      <c r="C61" s="1" t="s">
        <v>14</v>
      </c>
      <c r="E61" s="2"/>
      <c r="F61" s="10">
        <f t="shared" ref="F61:L65" si="22">F54/F47*100</f>
        <v>38.705435658048295</v>
      </c>
      <c r="G61" s="10">
        <f t="shared" si="22"/>
        <v>37.239810396486952</v>
      </c>
      <c r="H61" s="10">
        <f t="shared" si="22"/>
        <v>37.175185092184662</v>
      </c>
      <c r="I61" s="10">
        <f t="shared" si="22"/>
        <v>36.329073579407485</v>
      </c>
      <c r="J61" s="10">
        <f t="shared" si="22"/>
        <v>35.349118316268488</v>
      </c>
      <c r="K61" s="10">
        <f t="shared" si="22"/>
        <v>34.423112529018837</v>
      </c>
      <c r="L61" s="10">
        <f t="shared" si="22"/>
        <v>35.021879199255764</v>
      </c>
      <c r="M61" s="10">
        <f t="shared" ref="M61:N65" si="23">M54/M47*100</f>
        <v>35.593255548246375</v>
      </c>
      <c r="N61" s="10">
        <f t="shared" si="23"/>
        <v>36.5186752201327</v>
      </c>
      <c r="O61" s="10">
        <f>O54/O47*100</f>
        <v>33.098545995558212</v>
      </c>
      <c r="Q61" s="27">
        <f>((((O61/F61))^(1/9))-1)*100</f>
        <v>-1.7237558365205352</v>
      </c>
      <c r="R61" s="644">
        <f>((O61/F61)-1)*100</f>
        <v>-14.486052326152288</v>
      </c>
    </row>
    <row r="62" spans="2:27">
      <c r="C62" s="1" t="s">
        <v>362</v>
      </c>
      <c r="E62" s="2"/>
      <c r="F62" s="10">
        <f t="shared" si="22"/>
        <v>55.339805825242713</v>
      </c>
      <c r="G62" s="10">
        <f t="shared" si="22"/>
        <v>54.337899543378995</v>
      </c>
      <c r="H62" s="10">
        <f t="shared" si="22"/>
        <v>51.769911504424783</v>
      </c>
      <c r="I62" s="10">
        <f t="shared" si="22"/>
        <v>51.464435146443513</v>
      </c>
      <c r="J62" s="10">
        <f t="shared" si="22"/>
        <v>50.384615384615387</v>
      </c>
      <c r="K62" s="10">
        <f t="shared" si="22"/>
        <v>48.3271375464684</v>
      </c>
      <c r="L62" s="10">
        <f t="shared" si="22"/>
        <v>47.619047619047613</v>
      </c>
      <c r="M62" s="10">
        <f t="shared" si="23"/>
        <v>47.686832740213525</v>
      </c>
      <c r="N62" s="10">
        <f t="shared" si="23"/>
        <v>45.8041958041958</v>
      </c>
      <c r="O62" s="10">
        <f>O55/O48*100</f>
        <v>46.645367412140573</v>
      </c>
      <c r="Q62" s="27">
        <f>((((O62/F62))^(1/9))-1)*100</f>
        <v>-1.8811790579630228</v>
      </c>
      <c r="R62" s="644">
        <f>((O62/F62)-1)*100</f>
        <v>-15.711002746482816</v>
      </c>
    </row>
    <row r="63" spans="2:27">
      <c r="C63" s="1" t="s">
        <v>363</v>
      </c>
      <c r="E63" s="2"/>
      <c r="F63" s="10">
        <f t="shared" si="22"/>
        <v>41.417393135926517</v>
      </c>
      <c r="G63" s="10">
        <f t="shared" si="22"/>
        <v>40.4491885508358</v>
      </c>
      <c r="H63" s="10">
        <f t="shared" si="22"/>
        <v>40.078914574389536</v>
      </c>
      <c r="I63" s="10">
        <f t="shared" si="22"/>
        <v>39.198106020650933</v>
      </c>
      <c r="J63" s="10">
        <f t="shared" si="22"/>
        <v>38.23309598311446</v>
      </c>
      <c r="K63" s="10">
        <f t="shared" si="22"/>
        <v>37.32115468886942</v>
      </c>
      <c r="L63" s="10">
        <f t="shared" si="22"/>
        <v>37.984138962809972</v>
      </c>
      <c r="M63" s="10">
        <f t="shared" si="23"/>
        <v>38.598653216576615</v>
      </c>
      <c r="N63" s="10">
        <f t="shared" si="23"/>
        <v>38.813115564921944</v>
      </c>
      <c r="O63" s="10">
        <f>O56/O49*100</f>
        <v>35.272345066482828</v>
      </c>
      <c r="Q63" s="27">
        <f>((((O63/F63))^(1/9))-1)*100</f>
        <v>-1.7686359133699092</v>
      </c>
      <c r="R63" s="644">
        <f>((O63/F63)-1)*100</f>
        <v>-14.836877949504057</v>
      </c>
    </row>
    <row r="64" spans="2:27">
      <c r="C64" s="1" t="s">
        <v>364</v>
      </c>
      <c r="E64" s="2"/>
      <c r="F64" s="10">
        <f t="shared" si="22"/>
        <v>52.451229855810013</v>
      </c>
      <c r="G64" s="10">
        <f t="shared" si="22"/>
        <v>52.232806490104188</v>
      </c>
      <c r="H64" s="10">
        <f t="shared" si="22"/>
        <v>51.493097048129975</v>
      </c>
      <c r="I64" s="10">
        <f t="shared" si="22"/>
        <v>50.23568418959912</v>
      </c>
      <c r="J64" s="10">
        <f t="shared" si="22"/>
        <v>49.941153635226485</v>
      </c>
      <c r="K64" s="10">
        <f t="shared" si="22"/>
        <v>49.305053025577045</v>
      </c>
      <c r="L64" s="10">
        <f t="shared" si="22"/>
        <v>49.546234100328711</v>
      </c>
      <c r="M64" s="10">
        <f t="shared" si="23"/>
        <v>50.402789467356016</v>
      </c>
      <c r="N64" s="10">
        <f t="shared" si="23"/>
        <v>50.072719462428282</v>
      </c>
      <c r="O64" s="10">
        <f>O57/O50*100</f>
        <v>45.719079703332291</v>
      </c>
      <c r="Q64" s="27">
        <f>((((O64/F64))^(1/9))-1)*100</f>
        <v>-1.51472281838676</v>
      </c>
      <c r="R64" s="644">
        <f>((O64/F64)-1)*100</f>
        <v>-12.835066348271717</v>
      </c>
    </row>
    <row r="65" spans="2:26">
      <c r="C65" s="1" t="s">
        <v>365</v>
      </c>
      <c r="E65" s="2"/>
      <c r="F65" s="10">
        <f t="shared" si="22"/>
        <v>6.3988312636961284</v>
      </c>
      <c r="G65" s="10">
        <f t="shared" si="22"/>
        <v>5.9418145956607491</v>
      </c>
      <c r="H65" s="10">
        <f t="shared" si="22"/>
        <v>5.9490084985835692</v>
      </c>
      <c r="I65" s="10">
        <f t="shared" si="22"/>
        <v>6.2205466540999055</v>
      </c>
      <c r="J65" s="10">
        <f t="shared" si="22"/>
        <v>7.1141479099678469</v>
      </c>
      <c r="K65" s="10">
        <f t="shared" si="22"/>
        <v>6.8199977171555748</v>
      </c>
      <c r="L65" s="10">
        <f t="shared" si="22"/>
        <v>6.8587412587412588</v>
      </c>
      <c r="M65" s="10">
        <f t="shared" si="23"/>
        <v>7.1904575236601893</v>
      </c>
      <c r="N65" s="10">
        <f t="shared" si="23"/>
        <v>7.2610134076266766</v>
      </c>
      <c r="O65" s="10">
        <f>O58/O51*100</f>
        <v>6.7280324592745107</v>
      </c>
      <c r="Q65" s="27">
        <f>((((O65/F65))^(1/9))-1)*100</f>
        <v>0.55897187844859975</v>
      </c>
      <c r="R65" s="644">
        <f>((O65/F65)-1)*100</f>
        <v>5.1447081820411578</v>
      </c>
    </row>
    <row r="66" spans="2:26">
      <c r="L66" s="232"/>
      <c r="M66" s="232"/>
      <c r="Q66" s="27"/>
      <c r="R66" s="644"/>
    </row>
    <row r="67" spans="2:26">
      <c r="B67" s="128" t="s">
        <v>18</v>
      </c>
      <c r="L67" s="232"/>
      <c r="M67" s="232"/>
      <c r="Q67" s="27"/>
      <c r="R67" s="644"/>
    </row>
    <row r="68" spans="2:26" ht="15">
      <c r="C68" s="1" t="s">
        <v>154</v>
      </c>
      <c r="E68" s="2"/>
      <c r="F68" s="232">
        <v>4684.57</v>
      </c>
      <c r="G68" s="232">
        <v>4707.2299999999996</v>
      </c>
      <c r="H68" s="232">
        <v>4788.66</v>
      </c>
      <c r="I68" s="232">
        <f>T68/1000</f>
        <v>4873.34</v>
      </c>
      <c r="J68" s="232">
        <f t="shared" ref="J68:O68" si="24">U68/1000</f>
        <v>4730.8999999999996</v>
      </c>
      <c r="K68" s="232">
        <f t="shared" si="24"/>
        <v>4646.34</v>
      </c>
      <c r="L68" s="232">
        <f t="shared" si="24"/>
        <v>4792.16</v>
      </c>
      <c r="M68" s="232">
        <f t="shared" si="24"/>
        <v>4847.4799999999996</v>
      </c>
      <c r="N68" s="232">
        <f t="shared" si="24"/>
        <v>5028.07</v>
      </c>
      <c r="O68" s="232">
        <f t="shared" si="24"/>
        <v>5137.03</v>
      </c>
      <c r="Q68" s="27">
        <f>((((O68/F68))^(1/9))-1)*100</f>
        <v>1.0297206433919071</v>
      </c>
      <c r="R68" s="644">
        <f>((O68/F68)-1)*100</f>
        <v>9.6585172171618652</v>
      </c>
      <c r="T68" s="787">
        <v>4873340</v>
      </c>
      <c r="U68" s="787">
        <v>4730900</v>
      </c>
      <c r="V68" s="787">
        <v>4646340</v>
      </c>
      <c r="W68" s="787">
        <v>4792160</v>
      </c>
      <c r="X68" s="787">
        <v>4847480</v>
      </c>
      <c r="Y68" s="787">
        <v>5028070</v>
      </c>
      <c r="Z68" s="787">
        <v>5137030</v>
      </c>
    </row>
    <row r="69" spans="2:26" ht="15">
      <c r="C69" s="1" t="s">
        <v>362</v>
      </c>
      <c r="E69" s="2"/>
      <c r="F69" s="232">
        <v>15100</v>
      </c>
      <c r="G69" s="232">
        <v>15600</v>
      </c>
      <c r="H69" s="232">
        <v>16200</v>
      </c>
      <c r="I69" s="652">
        <f>T69</f>
        <v>16900</v>
      </c>
      <c r="J69" s="652">
        <f t="shared" ref="J69:O69" si="25">U69</f>
        <v>18300</v>
      </c>
      <c r="K69" s="652">
        <f t="shared" si="25"/>
        <v>18600</v>
      </c>
      <c r="L69" s="652">
        <f t="shared" si="25"/>
        <v>19000</v>
      </c>
      <c r="M69" s="652">
        <f t="shared" si="25"/>
        <v>19500</v>
      </c>
      <c r="N69" s="652">
        <f t="shared" si="25"/>
        <v>20200</v>
      </c>
      <c r="O69" s="652">
        <f t="shared" si="25"/>
        <v>21100</v>
      </c>
      <c r="Q69" s="27">
        <f>((((O69/F69))^(1/9))-1)*100</f>
        <v>3.7875013176471795</v>
      </c>
      <c r="R69" s="644">
        <f>((O69/F69)-1)*100</f>
        <v>39.735099337748345</v>
      </c>
      <c r="T69" s="787">
        <v>16900</v>
      </c>
      <c r="U69" s="787">
        <v>18300</v>
      </c>
      <c r="V69" s="787">
        <v>18600</v>
      </c>
      <c r="W69" s="787">
        <v>19000</v>
      </c>
      <c r="X69" s="787">
        <v>19500</v>
      </c>
      <c r="Y69" s="787">
        <v>20200</v>
      </c>
      <c r="Z69" s="787">
        <v>21100</v>
      </c>
    </row>
    <row r="70" spans="2:26" ht="15">
      <c r="C70" s="1" t="s">
        <v>156</v>
      </c>
      <c r="E70" s="2"/>
      <c r="F70" s="232">
        <v>1395.88</v>
      </c>
      <c r="G70" s="232">
        <v>1412.21</v>
      </c>
      <c r="H70" s="232">
        <v>1435.58</v>
      </c>
      <c r="I70" s="232">
        <f t="shared" ref="I70:O70" si="26">T70/1000</f>
        <v>1466.83</v>
      </c>
      <c r="J70" s="232">
        <f t="shared" si="26"/>
        <v>1480.98</v>
      </c>
      <c r="K70" s="232">
        <f t="shared" si="26"/>
        <v>1500.71</v>
      </c>
      <c r="L70" s="232">
        <f t="shared" si="26"/>
        <v>1521.5</v>
      </c>
      <c r="M70" s="232">
        <f t="shared" si="26"/>
        <v>1535.52</v>
      </c>
      <c r="N70" s="232">
        <f t="shared" si="26"/>
        <v>1565.8</v>
      </c>
      <c r="O70" s="232">
        <f t="shared" si="26"/>
        <v>1604.51</v>
      </c>
      <c r="Q70" s="27">
        <f>((((O70/F70))^(1/9))-1)*100</f>
        <v>1.5597431169888099</v>
      </c>
      <c r="R70" s="644">
        <f>((O70/F70)-1)*100</f>
        <v>14.946127174255652</v>
      </c>
      <c r="T70" s="787">
        <v>1466830</v>
      </c>
      <c r="U70" s="787">
        <v>1480980</v>
      </c>
      <c r="V70" s="787">
        <v>1500710</v>
      </c>
      <c r="W70" s="787">
        <v>1521500</v>
      </c>
      <c r="X70" s="787">
        <v>1535520</v>
      </c>
      <c r="Y70" s="787">
        <v>1565800</v>
      </c>
      <c r="Z70" s="787">
        <v>1604510</v>
      </c>
    </row>
    <row r="71" spans="2:26">
      <c r="L71" s="232"/>
      <c r="M71" s="232"/>
      <c r="Q71" s="27"/>
      <c r="R71" s="644"/>
    </row>
    <row r="72" spans="2:26">
      <c r="B72" s="128" t="s">
        <v>19</v>
      </c>
      <c r="L72" s="232"/>
      <c r="M72" s="232"/>
      <c r="Q72" s="27"/>
      <c r="R72" s="644"/>
    </row>
    <row r="73" spans="2:26" ht="15">
      <c r="C73" s="1" t="s">
        <v>154</v>
      </c>
      <c r="E73" s="2"/>
      <c r="F73" s="232">
        <v>1158.18</v>
      </c>
      <c r="G73" s="232">
        <v>1144.3800000000001</v>
      </c>
      <c r="H73" s="232">
        <v>1156.1199999999999</v>
      </c>
      <c r="I73" s="232">
        <f t="shared" ref="I73:O73" si="27">T73/1000</f>
        <v>1198.54</v>
      </c>
      <c r="J73" s="232">
        <f t="shared" si="27"/>
        <v>1212.17</v>
      </c>
      <c r="K73" s="232">
        <f t="shared" si="27"/>
        <v>1183.8</v>
      </c>
      <c r="L73" s="232">
        <f t="shared" si="27"/>
        <v>1222.58</v>
      </c>
      <c r="M73" s="232">
        <f t="shared" si="27"/>
        <v>1280.6199999999999</v>
      </c>
      <c r="N73" s="232">
        <f t="shared" si="27"/>
        <v>1322.52</v>
      </c>
      <c r="O73" s="232">
        <f t="shared" si="27"/>
        <v>1334.27</v>
      </c>
      <c r="Q73" s="27">
        <f>((((O73/F73))^(1/9))-1)*100</f>
        <v>1.5850362791152373</v>
      </c>
      <c r="R73" s="644">
        <f>((O73/F73)-1)*100</f>
        <v>15.204027007891675</v>
      </c>
      <c r="T73" s="787">
        <v>1198540</v>
      </c>
      <c r="U73" s="787">
        <v>1212170</v>
      </c>
      <c r="V73" s="787">
        <v>1183800</v>
      </c>
      <c r="W73" s="787">
        <v>1222580</v>
      </c>
      <c r="X73" s="787">
        <v>1280620</v>
      </c>
      <c r="Y73" s="787">
        <v>1322520</v>
      </c>
      <c r="Z73" s="787">
        <v>1334270</v>
      </c>
    </row>
    <row r="74" spans="2:26" ht="15">
      <c r="C74" s="1" t="s">
        <v>362</v>
      </c>
      <c r="E74" s="2"/>
      <c r="F74" s="232">
        <v>6200</v>
      </c>
      <c r="G74" s="232">
        <v>6400</v>
      </c>
      <c r="H74" s="232">
        <v>6700</v>
      </c>
      <c r="I74" s="652">
        <f t="shared" ref="I74:O74" si="28">T74</f>
        <v>7000</v>
      </c>
      <c r="J74" s="652">
        <f t="shared" si="28"/>
        <v>7800</v>
      </c>
      <c r="K74" s="652">
        <f t="shared" si="28"/>
        <v>7900</v>
      </c>
      <c r="L74" s="652">
        <f t="shared" si="28"/>
        <v>8100</v>
      </c>
      <c r="M74" s="652">
        <f t="shared" si="28"/>
        <v>8400</v>
      </c>
      <c r="N74" s="652">
        <f t="shared" si="28"/>
        <v>8600</v>
      </c>
      <c r="O74" s="652">
        <f t="shared" si="28"/>
        <v>8900</v>
      </c>
      <c r="Q74" s="27">
        <f>((((O74/F74))^(1/9))-1)*100</f>
        <v>4.0984486669950915</v>
      </c>
      <c r="R74" s="644">
        <f>((O74/F74)-1)*100</f>
        <v>43.548387096774199</v>
      </c>
      <c r="T74" s="787">
        <v>7000</v>
      </c>
      <c r="U74" s="787">
        <v>7800</v>
      </c>
      <c r="V74" s="787">
        <v>7900</v>
      </c>
      <c r="W74" s="787">
        <v>8100</v>
      </c>
      <c r="X74" s="787">
        <v>8400</v>
      </c>
      <c r="Y74" s="787">
        <v>8600</v>
      </c>
      <c r="Z74" s="787">
        <v>8900</v>
      </c>
    </row>
    <row r="75" spans="2:26" ht="15">
      <c r="C75" s="1" t="s">
        <v>156</v>
      </c>
      <c r="E75" s="2"/>
      <c r="F75" s="232">
        <v>54.85</v>
      </c>
      <c r="G75" s="232">
        <v>56.84</v>
      </c>
      <c r="H75" s="232">
        <v>62.13</v>
      </c>
      <c r="I75" s="232">
        <f t="shared" ref="I75:O75" si="29">T75/1000</f>
        <v>80.56</v>
      </c>
      <c r="J75" s="232">
        <f t="shared" si="29"/>
        <v>144.49</v>
      </c>
      <c r="K75" s="232">
        <f t="shared" si="29"/>
        <v>137.36000000000001</v>
      </c>
      <c r="L75" s="232">
        <f t="shared" si="29"/>
        <v>140.71</v>
      </c>
      <c r="M75" s="232">
        <f t="shared" si="29"/>
        <v>162.01</v>
      </c>
      <c r="N75" s="232">
        <f t="shared" si="29"/>
        <v>167.44</v>
      </c>
      <c r="O75" s="232">
        <f t="shared" si="29"/>
        <v>160.18</v>
      </c>
      <c r="Q75" s="27">
        <f>((((O75/F75))^(1/9))-1)*100</f>
        <v>12.645702711805139</v>
      </c>
      <c r="R75" s="644">
        <f>((O75/F75)-1)*100</f>
        <v>192.03281677301734</v>
      </c>
      <c r="T75" s="788">
        <v>80560</v>
      </c>
      <c r="U75" s="788">
        <v>144490</v>
      </c>
      <c r="V75" s="788">
        <v>137360</v>
      </c>
      <c r="W75" s="788">
        <v>140710</v>
      </c>
      <c r="X75" s="788">
        <v>162010</v>
      </c>
      <c r="Y75" s="788">
        <v>167440</v>
      </c>
      <c r="Z75" s="788">
        <v>160180</v>
      </c>
    </row>
    <row r="76" spans="2:26">
      <c r="L76" s="232"/>
      <c r="M76" s="232"/>
      <c r="Q76" s="27"/>
      <c r="R76" s="644"/>
    </row>
    <row r="77" spans="2:26">
      <c r="B77" s="128" t="s">
        <v>1137</v>
      </c>
      <c r="L77" s="232"/>
      <c r="M77" s="232"/>
      <c r="Q77" s="27"/>
      <c r="R77" s="644"/>
    </row>
    <row r="78" spans="2:26">
      <c r="C78" s="1" t="s">
        <v>363</v>
      </c>
      <c r="E78" s="2"/>
      <c r="F78" s="10">
        <f t="shared" ref="F78:L80" si="30">F73/F68*100</f>
        <v>24.723293706786325</v>
      </c>
      <c r="G78" s="10">
        <f t="shared" si="30"/>
        <v>24.311112905041824</v>
      </c>
      <c r="H78" s="10">
        <f t="shared" si="30"/>
        <v>24.142870865753675</v>
      </c>
      <c r="I78" s="10">
        <f t="shared" si="30"/>
        <v>24.593810405184122</v>
      </c>
      <c r="J78" s="10">
        <f t="shared" si="30"/>
        <v>25.622397429664552</v>
      </c>
      <c r="K78" s="10">
        <f t="shared" si="30"/>
        <v>25.478118260824644</v>
      </c>
      <c r="L78" s="10">
        <f t="shared" si="30"/>
        <v>25.512086407799405</v>
      </c>
      <c r="M78" s="10">
        <f t="shared" ref="M78:N80" si="31">M73/M68*100</f>
        <v>26.418262684941453</v>
      </c>
      <c r="N78" s="10">
        <f t="shared" si="31"/>
        <v>26.302736437639098</v>
      </c>
      <c r="O78" s="10">
        <f>O73/O68*100</f>
        <v>25.973568384844942</v>
      </c>
      <c r="Q78" s="27">
        <f>((((O78/F78))^(1/9))-1)*100</f>
        <v>0.54965571733436303</v>
      </c>
      <c r="R78" s="644">
        <f>((O78/F78)-1)*100</f>
        <v>5.0570716543137051</v>
      </c>
    </row>
    <row r="79" spans="2:26">
      <c r="C79" s="1" t="s">
        <v>362</v>
      </c>
      <c r="E79" s="2"/>
      <c r="F79" s="10">
        <f t="shared" si="30"/>
        <v>41.059602649006621</v>
      </c>
      <c r="G79" s="10">
        <f t="shared" si="30"/>
        <v>41.025641025641022</v>
      </c>
      <c r="H79" s="10">
        <f t="shared" si="30"/>
        <v>41.358024691358025</v>
      </c>
      <c r="I79" s="10">
        <f t="shared" si="30"/>
        <v>41.42011834319527</v>
      </c>
      <c r="J79" s="10">
        <f t="shared" si="30"/>
        <v>42.622950819672127</v>
      </c>
      <c r="K79" s="10">
        <f t="shared" si="30"/>
        <v>42.473118279569896</v>
      </c>
      <c r="L79" s="10">
        <f t="shared" si="30"/>
        <v>42.631578947368418</v>
      </c>
      <c r="M79" s="10">
        <f t="shared" si="31"/>
        <v>43.07692307692308</v>
      </c>
      <c r="N79" s="10">
        <f t="shared" si="31"/>
        <v>42.574257425742573</v>
      </c>
      <c r="O79" s="10">
        <f>O74/O69*100</f>
        <v>42.18009478672986</v>
      </c>
      <c r="Q79" s="27">
        <f>((((O79/F79))^(1/9))-1)*100</f>
        <v>0.29959999556810057</v>
      </c>
      <c r="R79" s="644">
        <f>((O79/F79)-1)*100</f>
        <v>2.7289405289711244</v>
      </c>
    </row>
    <row r="80" spans="2:26">
      <c r="C80" s="1" t="s">
        <v>20</v>
      </c>
      <c r="E80" s="2"/>
      <c r="F80" s="10">
        <f t="shared" si="30"/>
        <v>3.9294208671232482</v>
      </c>
      <c r="G80" s="10">
        <f t="shared" si="30"/>
        <v>4.024897147024876</v>
      </c>
      <c r="H80" s="10">
        <f t="shared" si="30"/>
        <v>4.3278674821326577</v>
      </c>
      <c r="I80" s="10">
        <f t="shared" si="30"/>
        <v>5.4921156507570759</v>
      </c>
      <c r="J80" s="10">
        <f t="shared" si="30"/>
        <v>9.7563775337951917</v>
      </c>
      <c r="K80" s="10">
        <f t="shared" si="30"/>
        <v>9.1530009129012271</v>
      </c>
      <c r="L80" s="10">
        <f t="shared" si="30"/>
        <v>9.2481104173512989</v>
      </c>
      <c r="M80" s="10">
        <f t="shared" si="31"/>
        <v>10.550823173908512</v>
      </c>
      <c r="N80" s="10">
        <f t="shared" si="31"/>
        <v>10.69357516924256</v>
      </c>
      <c r="O80" s="10">
        <f>O75/O70*100</f>
        <v>9.9831101083819984</v>
      </c>
      <c r="Q80" s="27">
        <f>((((O80/F80))^(1/9))-1)*100</f>
        <v>10.915702673692461</v>
      </c>
      <c r="R80" s="644">
        <f>((O80/F80)-1)*100</f>
        <v>154.06059686578422</v>
      </c>
    </row>
    <row r="83" spans="1:18" ht="68.25" customHeight="1">
      <c r="A83" s="1170" t="s">
        <v>27</v>
      </c>
      <c r="B83" s="1170"/>
      <c r="C83" s="1170"/>
      <c r="D83" s="1170"/>
      <c r="E83" s="1170"/>
      <c r="F83" s="1170"/>
      <c r="G83" s="1170"/>
      <c r="H83" s="1170"/>
      <c r="I83" s="1170"/>
      <c r="J83" s="1170"/>
      <c r="K83" s="1170"/>
      <c r="L83" s="1170"/>
      <c r="M83" s="1170"/>
      <c r="N83" s="1170"/>
      <c r="O83" s="1170"/>
      <c r="P83" s="1170"/>
      <c r="Q83" s="1170"/>
      <c r="R83" s="1170"/>
    </row>
    <row r="84" spans="1:18" ht="12" customHeight="1">
      <c r="A84" s="13" t="s">
        <v>388</v>
      </c>
      <c r="B84" s="643"/>
      <c r="C84" s="643"/>
      <c r="D84" s="643"/>
      <c r="E84" s="643"/>
      <c r="F84" s="643"/>
      <c r="G84" s="643"/>
      <c r="H84" s="643"/>
      <c r="I84" s="643"/>
      <c r="J84" s="643"/>
      <c r="K84" s="643"/>
      <c r="L84" s="643"/>
      <c r="M84" s="643"/>
      <c r="N84" s="643"/>
      <c r="O84" s="643"/>
      <c r="P84" s="643"/>
      <c r="Q84" s="643"/>
      <c r="R84" s="643"/>
    </row>
    <row r="85" spans="1:18">
      <c r="A85" s="4" t="s">
        <v>1355</v>
      </c>
      <c r="B85" s="1"/>
    </row>
    <row r="86" spans="1:18" ht="39.75" customHeight="1">
      <c r="A86" s="1192" t="s">
        <v>1045</v>
      </c>
      <c r="B86" s="1192"/>
      <c r="C86" s="1192"/>
      <c r="D86" s="1192"/>
      <c r="E86" s="1192"/>
      <c r="F86" s="1192"/>
      <c r="G86" s="1192"/>
      <c r="H86" s="1192"/>
      <c r="I86" s="1192"/>
      <c r="J86" s="1192"/>
      <c r="K86" s="1192"/>
      <c r="L86" s="1192"/>
      <c r="M86" s="1192"/>
      <c r="N86" s="1192"/>
      <c r="O86" s="1192"/>
      <c r="P86" s="1192"/>
      <c r="Q86" s="1192"/>
      <c r="R86" s="1192"/>
    </row>
    <row r="87" spans="1:18" ht="15.75">
      <c r="A87" s="8" t="s">
        <v>776</v>
      </c>
      <c r="B87" s="4"/>
    </row>
    <row r="88" spans="1:18" ht="15.75">
      <c r="A88" s="48" t="s">
        <v>777</v>
      </c>
      <c r="B88" s="1"/>
      <c r="C88" s="4"/>
      <c r="D88" s="4"/>
      <c r="E88" s="4"/>
      <c r="F88" s="4"/>
      <c r="G88" s="4"/>
      <c r="H88" s="4"/>
      <c r="I88" s="4"/>
      <c r="J88" s="4"/>
      <c r="K88" s="4"/>
      <c r="L88" s="4"/>
      <c r="M88" s="4"/>
    </row>
    <row r="89" spans="1:18" ht="25.5" customHeight="1">
      <c r="A89" s="1168" t="s">
        <v>21</v>
      </c>
      <c r="B89" s="1168"/>
      <c r="C89" s="1168"/>
      <c r="D89" s="1168"/>
      <c r="E89" s="1168"/>
      <c r="F89" s="1168"/>
      <c r="G89" s="1168"/>
      <c r="H89" s="1168"/>
      <c r="I89" s="1168"/>
      <c r="J89" s="1168"/>
      <c r="K89" s="1168"/>
      <c r="L89" s="1168"/>
      <c r="M89" s="1168"/>
      <c r="N89" s="1168"/>
      <c r="O89" s="1168"/>
      <c r="P89" s="1168"/>
      <c r="Q89" s="1168"/>
      <c r="R89" s="1168"/>
    </row>
    <row r="91" spans="1:18">
      <c r="D91" s="1195" t="s">
        <v>22</v>
      </c>
      <c r="E91" s="1195"/>
      <c r="F91" s="1195"/>
      <c r="G91" s="1195"/>
      <c r="H91" s="1195"/>
      <c r="I91" s="1195"/>
      <c r="J91" s="1195"/>
    </row>
    <row r="92" spans="1:18" ht="12.75" customHeight="1">
      <c r="D92" s="128"/>
    </row>
    <row r="93" spans="1:18" ht="12.75" customHeight="1">
      <c r="D93" s="1194" t="s">
        <v>23</v>
      </c>
      <c r="E93" s="1194"/>
      <c r="F93" s="1193" t="s">
        <v>24</v>
      </c>
      <c r="G93" s="1193"/>
      <c r="H93" s="1193"/>
      <c r="I93" s="1193"/>
      <c r="J93" s="1193"/>
    </row>
    <row r="94" spans="1:18">
      <c r="D94" s="1194"/>
      <c r="E94" s="1194"/>
      <c r="F94" s="652">
        <v>0</v>
      </c>
      <c r="G94" s="652">
        <v>1</v>
      </c>
      <c r="H94" s="652">
        <v>2</v>
      </c>
      <c r="I94" s="652" t="s">
        <v>25</v>
      </c>
      <c r="J94" s="652">
        <v>18</v>
      </c>
    </row>
    <row r="95" spans="1:18">
      <c r="D95" s="1193">
        <v>1</v>
      </c>
      <c r="E95" s="1193"/>
      <c r="F95" s="300">
        <v>12750</v>
      </c>
      <c r="G95" s="300">
        <v>17850</v>
      </c>
      <c r="H95" s="300">
        <v>21675</v>
      </c>
      <c r="I95" s="1" t="s">
        <v>25</v>
      </c>
      <c r="J95" s="300">
        <v>82875</v>
      </c>
    </row>
    <row r="96" spans="1:18">
      <c r="D96" s="1193">
        <v>2</v>
      </c>
      <c r="E96" s="1193"/>
      <c r="F96" s="300">
        <v>17850</v>
      </c>
      <c r="G96" s="300">
        <v>21675</v>
      </c>
      <c r="H96" s="300">
        <v>25500</v>
      </c>
      <c r="I96" s="1" t="s">
        <v>25</v>
      </c>
      <c r="J96" s="300">
        <v>86700</v>
      </c>
    </row>
    <row r="97" spans="2:8">
      <c r="D97" s="1193">
        <v>3</v>
      </c>
      <c r="E97" s="1193"/>
      <c r="F97" s="300">
        <v>22950</v>
      </c>
      <c r="G97" s="300">
        <v>26775</v>
      </c>
      <c r="H97" s="300">
        <v>30600</v>
      </c>
    </row>
    <row r="98" spans="2:8">
      <c r="D98" s="1193">
        <v>4</v>
      </c>
      <c r="E98" s="1193"/>
      <c r="F98" s="300">
        <v>28050</v>
      </c>
      <c r="G98" s="300">
        <v>31875</v>
      </c>
      <c r="H98" s="300">
        <v>35700</v>
      </c>
    </row>
    <row r="100" spans="2:8">
      <c r="B100" s="1" t="s">
        <v>26</v>
      </c>
    </row>
    <row r="101" spans="2:8">
      <c r="G101" s="128"/>
    </row>
  </sheetData>
  <mergeCells count="10">
    <mergeCell ref="A83:R83"/>
    <mergeCell ref="A86:R86"/>
    <mergeCell ref="D97:E97"/>
    <mergeCell ref="D98:E98"/>
    <mergeCell ref="F93:J93"/>
    <mergeCell ref="D93:E94"/>
    <mergeCell ref="D95:E95"/>
    <mergeCell ref="D96:E96"/>
    <mergeCell ref="A89:R89"/>
    <mergeCell ref="D91:J91"/>
  </mergeCells>
  <phoneticPr fontId="35" type="noConversion"/>
  <pageMargins left="0.75" right="0.75" top="1" bottom="1" header="0.5" footer="0.5"/>
  <pageSetup scale="61" fitToHeight="2" orientation="portrait" horizontalDpi="1200" verticalDpi="1200" r:id="rId1"/>
  <headerFooter alignWithMargins="0"/>
  <rowBreaks count="1" manualBreakCount="1">
    <brk id="52" max="17" man="1"/>
  </rowBreaks>
</worksheet>
</file>

<file path=xl/worksheets/sheet9.xml><?xml version="1.0" encoding="utf-8"?>
<worksheet xmlns="http://schemas.openxmlformats.org/spreadsheetml/2006/main" xmlns:r="http://schemas.openxmlformats.org/officeDocument/2006/relationships">
  <sheetPr codeName="Sheet59">
    <pageSetUpPr fitToPage="1"/>
  </sheetPr>
  <dimension ref="A1:L40"/>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6384" width="8.85546875" style="961"/>
  </cols>
  <sheetData>
    <row r="1" spans="1:12" ht="15.75">
      <c r="A1" s="3" t="s">
        <v>2094</v>
      </c>
    </row>
    <row r="2" spans="1:12">
      <c r="B2" s="4"/>
    </row>
    <row r="3" spans="1:12">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2" s="4" customFormat="1">
      <c r="A4" s="7"/>
      <c r="B4" s="1165"/>
      <c r="C4" s="1165"/>
      <c r="D4" s="1165"/>
      <c r="E4" s="1165"/>
      <c r="F4" s="1165"/>
      <c r="G4" s="1165"/>
      <c r="H4" s="1165"/>
      <c r="I4" s="1165"/>
      <c r="J4" s="1165"/>
      <c r="K4" s="1165"/>
      <c r="L4" s="1165"/>
    </row>
    <row r="5" spans="1:12">
      <c r="A5" s="120">
        <v>1981</v>
      </c>
      <c r="B5" s="329">
        <f>('3a'!B5*'2a'!B5-'2b'!B5)/'2c'!B5</f>
        <v>3.3730018151565573</v>
      </c>
      <c r="C5" s="329">
        <f>('3a'!C5*'2a'!C5-'2b'!C5)/'2c'!C5</f>
        <v>4.038985294117647</v>
      </c>
      <c r="D5" s="329">
        <f>('3a'!D5*'2a'!D5-'2b'!D5)/'2c'!D5</f>
        <v>3.6951935483870968</v>
      </c>
      <c r="E5" s="329">
        <f>('3a'!E5*'2a'!E5-'2b'!E5)/'2c'!E5</f>
        <v>3.5333529411764704</v>
      </c>
      <c r="F5" s="329">
        <f>('3a'!F5*'2a'!F5-'2b'!F5)/'2c'!F5</f>
        <v>3.5958131868131868</v>
      </c>
      <c r="G5" s="329">
        <f>('3a'!G5*'2a'!G5-'2b'!G5)/'2c'!G5</f>
        <v>3.3616384790011353</v>
      </c>
      <c r="H5" s="329">
        <f>('3a'!H5*'2a'!H5-'2b'!H5)/'2c'!H5</f>
        <v>3.3418928270042194</v>
      </c>
      <c r="I5" s="329">
        <f>('3a'!I5*'2a'!I5-'2b'!I5)/'2c'!I5</f>
        <v>3.4205370370370374</v>
      </c>
      <c r="J5" s="329">
        <f>('3a'!J5*'2a'!J5-'2b'!J5)/'2c'!J5</f>
        <v>3.3866627906976743</v>
      </c>
      <c r="K5" s="329">
        <f>('3a'!K5*'2a'!K5-'2b'!K5)/'2c'!K5</f>
        <v>3.2872822185970634</v>
      </c>
      <c r="L5" s="329">
        <f>('3a'!L5*'2a'!L5-'2b'!L5)/'2c'!L5</f>
        <v>3.2194765625000001</v>
      </c>
    </row>
    <row r="6" spans="1:12">
      <c r="A6" s="120">
        <v>1982</v>
      </c>
      <c r="B6" s="329">
        <f>('3a'!B6*'2a'!B6-'2b'!B6)/'2c'!B6</f>
        <v>3.362446535244922</v>
      </c>
      <c r="C6" s="329">
        <f>('3a'!C6*'2a'!C6-'2b'!C6)/'2c'!C6</f>
        <v>3.9622826086956517</v>
      </c>
      <c r="D6" s="329">
        <f>('3a'!D6*'2a'!D6-'2b'!D6)/'2c'!D6</f>
        <v>3.5496250000000003</v>
      </c>
      <c r="E6" s="329">
        <f>('3a'!E6*'2a'!E6-'2b'!E6)/'2c'!E6</f>
        <v>3.4957053571428571</v>
      </c>
      <c r="F6" s="329">
        <f>('3a'!F6*'2a'!F6-'2b'!F6)/'2c'!F6</f>
        <v>3.5132096774193546</v>
      </c>
      <c r="G6" s="329">
        <f>('3a'!G6*'2a'!G6-'2b'!G6)/'2c'!G6</f>
        <v>3.3442113866967307</v>
      </c>
      <c r="H6" s="329">
        <f>('3a'!H6*'2a'!H6-'2b'!H6)/'2c'!H6</f>
        <v>3.3109635761589407</v>
      </c>
      <c r="I6" s="329">
        <f>('3a'!I6*'2a'!I6-'2b'!I6)/'2c'!I6</f>
        <v>3.4074139194139192</v>
      </c>
      <c r="J6" s="329">
        <f>('3a'!J6*'2a'!J6-'2b'!J6)/'2c'!J6</f>
        <v>3.3906999999999998</v>
      </c>
      <c r="K6" s="329">
        <f>('3a'!K6*'2a'!K6-'2b'!K6)/'2c'!K6</f>
        <v>3.3745185783521814</v>
      </c>
      <c r="L6" s="329">
        <f>('3a'!L6*'2a'!L6-'2b'!L6)/'2c'!L6</f>
        <v>3.2435568475452201</v>
      </c>
    </row>
    <row r="7" spans="1:12">
      <c r="A7" s="120">
        <v>1983</v>
      </c>
      <c r="B7" s="329">
        <f>('3a'!B7*'2a'!B7-'2b'!B7)/'2c'!B7</f>
        <v>3.3352125532853156</v>
      </c>
      <c r="C7" s="329">
        <f>('3a'!C7*'2a'!C7-'2b'!C7)/'2c'!C7</f>
        <v>3.908964539007092</v>
      </c>
      <c r="D7" s="329">
        <f>('3a'!D7*'2a'!D7-'2b'!D7)/'2c'!D7</f>
        <v>3.5969374999999997</v>
      </c>
      <c r="E7" s="329">
        <f>('3a'!E7*'2a'!E7-'2b'!E7)/'2c'!E7</f>
        <v>3.4064181034482757</v>
      </c>
      <c r="F7" s="329">
        <f>('3a'!F7*'2a'!F7-'2b'!F7)/'2c'!F7</f>
        <v>3.4728526315789474</v>
      </c>
      <c r="G7" s="329">
        <f>('3a'!G7*'2a'!G7-'2b'!G7)/'2c'!G7</f>
        <v>3.3060066889632105</v>
      </c>
      <c r="H7" s="329">
        <f>('3a'!H7*'2a'!H7-'2b'!H7)/'2c'!H7</f>
        <v>3.3072624693376942</v>
      </c>
      <c r="I7" s="329">
        <f>('3a'!I7*'2a'!I7-'2b'!I7)/'2c'!I7</f>
        <v>3.3633999999999999</v>
      </c>
      <c r="J7" s="329">
        <f>('3a'!J7*'2a'!J7-'2b'!J7)/'2c'!J7</f>
        <v>3.3835189393939396</v>
      </c>
      <c r="K7" s="329">
        <f>('3a'!K7*'2a'!K7-'2b'!K7)/'2c'!K7</f>
        <v>3.3533126984126982</v>
      </c>
      <c r="L7" s="329">
        <f>('3a'!L7*'2a'!L7-'2b'!L7)/'2c'!L7</f>
        <v>3.1857707808564233</v>
      </c>
    </row>
    <row r="8" spans="1:12">
      <c r="A8" s="120">
        <v>1984</v>
      </c>
      <c r="B8" s="329">
        <f>('3a'!B8*'2a'!B8-'2b'!B8)/'2c'!B8</f>
        <v>3.3110769342219646</v>
      </c>
      <c r="C8" s="329">
        <f>('3a'!C8*'2a'!C8-'2b'!C8)/'2c'!C8</f>
        <v>3.9153546099290786</v>
      </c>
      <c r="D8" s="329">
        <f>('3a'!D8*'2a'!D8-'2b'!D8)/'2c'!D8</f>
        <v>3.5322121212121211</v>
      </c>
      <c r="E8" s="329">
        <f>('3a'!E8*'2a'!E8-'2b'!E8)/'2c'!E8</f>
        <v>3.4226223175965664</v>
      </c>
      <c r="F8" s="329">
        <f>('3a'!F8*'2a'!F8-'2b'!F8)/'2c'!F8</f>
        <v>3.4737591623036654</v>
      </c>
      <c r="G8" s="329">
        <f>('3a'!G8*'2a'!G8-'2b'!G8)/'2c'!G8</f>
        <v>3.2605604395604395</v>
      </c>
      <c r="H8" s="329">
        <f>('3a'!H8*'2a'!H8-'2b'!H8)/'2c'!H8</f>
        <v>3.2701613418530351</v>
      </c>
      <c r="I8" s="329">
        <f>('3a'!I8*'2a'!I8-'2b'!I8)/'2c'!I8</f>
        <v>3.3836654804270463</v>
      </c>
      <c r="J8" s="329">
        <f>('3a'!J8*'2a'!J8-'2b'!J8)/'2c'!J8</f>
        <v>3.3843258426966294</v>
      </c>
      <c r="K8" s="329">
        <f>('3a'!K8*'2a'!K8-'2b'!K8)/'2c'!K8</f>
        <v>3.3221808176100631</v>
      </c>
      <c r="L8" s="329">
        <f>('3a'!L8*'2a'!L8-'2b'!L8)/'2c'!L8</f>
        <v>3.2125389447236183</v>
      </c>
    </row>
    <row r="9" spans="1:12">
      <c r="A9" s="120">
        <v>1985</v>
      </c>
      <c r="B9" s="329">
        <f>('3a'!B9*'2a'!B9-'2b'!B9)/'2c'!B9</f>
        <v>3.2841609818752673</v>
      </c>
      <c r="C9" s="329">
        <f>('3a'!C9*'2a'!C9-'2b'!C9)/'2c'!C9</f>
        <v>3.8213541666666666</v>
      </c>
      <c r="D9" s="329">
        <f>('3a'!D9*'2a'!D9-'2b'!D9)/'2c'!D9</f>
        <v>3.5339090909090909</v>
      </c>
      <c r="E9" s="329">
        <f>('3a'!E9*'2a'!E9-'2b'!E9)/'2c'!E9</f>
        <v>3.4206297872340423</v>
      </c>
      <c r="F9" s="329">
        <f>('3a'!F9*'2a'!F9-'2b'!F9)/'2c'!F9</f>
        <v>3.4419015544041454</v>
      </c>
      <c r="G9" s="329">
        <f>('3a'!G9*'2a'!G9-'2b'!G9)/'2c'!G9</f>
        <v>3.2285725149375342</v>
      </c>
      <c r="H9" s="329">
        <f>('3a'!H9*'2a'!H9-'2b'!H9)/'2c'!H9</f>
        <v>3.2487875343002739</v>
      </c>
      <c r="I9" s="329">
        <f>('3a'!I9*'2a'!I9-'2b'!I9)/'2c'!I9</f>
        <v>3.354877622377622</v>
      </c>
      <c r="J9" s="329">
        <f>('3a'!J9*'2a'!J9-'2b'!J9)/'2c'!J9</f>
        <v>3.3775111111111116</v>
      </c>
      <c r="K9" s="329">
        <f>('3a'!K9*'2a'!K9-'2b'!K9)/'2c'!K9</f>
        <v>3.2978071539657852</v>
      </c>
      <c r="L9" s="329">
        <f>('3a'!L9*'2a'!L9-'2b'!L9)/'2c'!L9</f>
        <v>3.1779395061728395</v>
      </c>
    </row>
    <row r="10" spans="1:12">
      <c r="A10" s="120">
        <v>1986</v>
      </c>
      <c r="B10" s="329">
        <f>('3a'!B10*'2a'!B10-'2b'!B10)/'2c'!B10</f>
        <v>3.2720607001693955</v>
      </c>
      <c r="C10" s="329">
        <f>('3a'!C10*'2a'!C10-'2b'!C10)/'2c'!C10</f>
        <v>3.6912567567567569</v>
      </c>
      <c r="D10" s="329">
        <f>('3a'!D10*'2a'!D10-'2b'!D10)/'2c'!D10</f>
        <v>3.5586666666666669</v>
      </c>
      <c r="E10" s="329">
        <f>('3a'!E10*'2a'!E10-'2b'!E10)/'2c'!E10</f>
        <v>3.3545291666666666</v>
      </c>
      <c r="F10" s="329">
        <f>('3a'!F10*'2a'!F10-'2b'!F10)/'2c'!F10</f>
        <v>3.4052256410256412</v>
      </c>
      <c r="G10" s="329">
        <f>('3a'!G10*'2a'!G10-'2b'!G10)/'2c'!G10</f>
        <v>3.2096821120689656</v>
      </c>
      <c r="H10" s="329">
        <f>('3a'!H10*'2a'!H10-'2b'!H10)/'2c'!H10</f>
        <v>3.2377928240740741</v>
      </c>
      <c r="I10" s="329">
        <f>('3a'!I10*'2a'!I10-'2b'!I10)/'2c'!I10</f>
        <v>3.3795524475524474</v>
      </c>
      <c r="J10" s="329">
        <f>('3a'!J10*'2a'!J10-'2b'!J10)/'2c'!J10</f>
        <v>3.3841370370370374</v>
      </c>
      <c r="K10" s="329">
        <f>('3a'!K10*'2a'!K10-'2b'!K10)/'2c'!K10</f>
        <v>3.335816485225505</v>
      </c>
      <c r="L10" s="329">
        <f>('3a'!L10*'2a'!L10-'2b'!L10)/'2c'!L10</f>
        <v>3.156663824604141</v>
      </c>
    </row>
    <row r="11" spans="1:12">
      <c r="A11" s="120">
        <v>1987</v>
      </c>
      <c r="B11" s="329">
        <f>('3a'!B11*'2a'!B11-'2b'!B11)/'2c'!B11</f>
        <v>3.2636377700348431</v>
      </c>
      <c r="C11" s="329">
        <f>('3a'!C11*'2a'!C11-'2b'!C11)/'2c'!C11</f>
        <v>3.6773108108108103</v>
      </c>
      <c r="D11" s="329">
        <f>('3a'!D11*'2a'!D11-'2b'!D11)/'2c'!D11</f>
        <v>3.4600294117647055</v>
      </c>
      <c r="E11" s="329">
        <f>('3a'!E11*'2a'!E11-'2b'!E11)/'2c'!E11</f>
        <v>3.3608583333333333</v>
      </c>
      <c r="F11" s="329">
        <f>('3a'!F11*'2a'!F11-'2b'!F11)/'2c'!F11</f>
        <v>3.3916734693877553</v>
      </c>
      <c r="G11" s="329">
        <f>('3a'!G11*'2a'!G11-'2b'!G11)/'2c'!G11</f>
        <v>3.194879659211928</v>
      </c>
      <c r="H11" s="329">
        <f>('3a'!H11*'2a'!H11-'2b'!H11)/'2c'!H11</f>
        <v>3.2436223908918405</v>
      </c>
      <c r="I11" s="329">
        <f>('3a'!I11*'2a'!I11-'2b'!I11)/'2c'!I11</f>
        <v>3.3658784722222226</v>
      </c>
      <c r="J11" s="329">
        <f>('3a'!J11*'2a'!J11-'2b'!J11)/'2c'!J11</f>
        <v>3.3793321033210333</v>
      </c>
      <c r="K11" s="329">
        <f>('3a'!K11*'2a'!K11-'2b'!K11)/'2c'!K11</f>
        <v>3.309517719568567</v>
      </c>
      <c r="L11" s="329">
        <f>('3a'!L11*'2a'!L11-'2b'!L11)/'2c'!L11</f>
        <v>3.1371423444976081</v>
      </c>
    </row>
    <row r="12" spans="1:12">
      <c r="A12" s="120">
        <v>1988</v>
      </c>
      <c r="B12" s="329">
        <f>('3a'!B12*'2a'!B12-'2b'!B12)/'2c'!B12</f>
        <v>3.234069055107343</v>
      </c>
      <c r="C12" s="329">
        <f>('3a'!C12*'2a'!C12-'2b'!C12)/'2c'!C12</f>
        <v>3.5892847682119204</v>
      </c>
      <c r="D12" s="329">
        <f>('3a'!D12*'2a'!D12-'2b'!D12)/'2c'!D12</f>
        <v>3.4496764705882348</v>
      </c>
      <c r="E12" s="329">
        <f>('3a'!E12*'2a'!E12-'2b'!E12)/'2c'!E12</f>
        <v>3.3041639344262297</v>
      </c>
      <c r="F12" s="329">
        <f>('3a'!F12*'2a'!F12-'2b'!F12)/'2c'!F12</f>
        <v>3.3217450000000004</v>
      </c>
      <c r="G12" s="329">
        <f>('3a'!G12*'2a'!G12-'2b'!G12)/'2c'!G12</f>
        <v>3.1517933019361588</v>
      </c>
      <c r="H12" s="329">
        <f>('3a'!H12*'2a'!H12-'2b'!H12)/'2c'!H12</f>
        <v>3.2152271887698562</v>
      </c>
      <c r="I12" s="329">
        <f>('3a'!I12*'2a'!I12-'2b'!I12)/'2c'!I12</f>
        <v>3.3488000000000002</v>
      </c>
      <c r="J12" s="329">
        <f>('3a'!J12*'2a'!J12-'2b'!J12)/'2c'!J12</f>
        <v>3.3712037037037033</v>
      </c>
      <c r="K12" s="329">
        <f>('3a'!K12*'2a'!K12-'2b'!K12)/'2c'!K12</f>
        <v>3.2675969696969696</v>
      </c>
      <c r="L12" s="329">
        <f>('3a'!L12*'2a'!L12-'2b'!L12)/'2c'!L12</f>
        <v>3.1567426210153489</v>
      </c>
    </row>
    <row r="13" spans="1:12">
      <c r="A13" s="120">
        <v>1989</v>
      </c>
      <c r="B13" s="329">
        <f>('3a'!B13*'2a'!B13-'2b'!B13)/'2c'!B13</f>
        <v>3.2442978119935169</v>
      </c>
      <c r="C13" s="329">
        <f>('3a'!C13*'2a'!C13-'2b'!C13)/'2c'!C13</f>
        <v>3.5694144736842106</v>
      </c>
      <c r="D13" s="329">
        <f>('3a'!D13*'2a'!D13-'2b'!D13)/'2c'!D13</f>
        <v>3.4750882352941175</v>
      </c>
      <c r="E13" s="329">
        <f>('3a'!E13*'2a'!E13-'2b'!E13)/'2c'!E13</f>
        <v>3.305473469387755</v>
      </c>
      <c r="F13" s="329">
        <f>('3a'!F13*'2a'!F13-'2b'!F13)/'2c'!F13</f>
        <v>3.3140746268656716</v>
      </c>
      <c r="G13" s="329">
        <f>('3a'!G13*'2a'!G13-'2b'!G13)/'2c'!G13</f>
        <v>3.146622475401347</v>
      </c>
      <c r="H13" s="329">
        <f>('3a'!H13*'2a'!H13-'2b'!H13)/'2c'!H13</f>
        <v>3.2570456204379563</v>
      </c>
      <c r="I13" s="329">
        <f>('3a'!I13*'2a'!I13-'2b'!I13)/'2c'!I13</f>
        <v>3.3441103448275857</v>
      </c>
      <c r="J13" s="329">
        <f>('3a'!J13*'2a'!J13-'2b'!J13)/'2c'!J13</f>
        <v>3.3851090225563909</v>
      </c>
      <c r="K13" s="329">
        <f>('3a'!K13*'2a'!K13-'2b'!K13)/'2c'!K13</f>
        <v>3.2691417910447758</v>
      </c>
      <c r="L13" s="329">
        <f>('3a'!L13*'2a'!L13-'2b'!L13)/'2c'!L13</f>
        <v>3.1335526315789473</v>
      </c>
    </row>
    <row r="14" spans="1:12">
      <c r="A14" s="120">
        <v>1990</v>
      </c>
      <c r="B14" s="329">
        <f>('3a'!B14*'2a'!B14-'2b'!B14)/'2c'!B14</f>
        <v>3.2311861299322437</v>
      </c>
      <c r="C14" s="329">
        <f>('3a'!C14*'2a'!C14-'2b'!C14)/'2c'!C14</f>
        <v>3.4926967741935488</v>
      </c>
      <c r="D14" s="329">
        <f>('3a'!D14*'2a'!D14-'2b'!D14)/'2c'!D14</f>
        <v>3.3544</v>
      </c>
      <c r="E14" s="329">
        <f>('3a'!E14*'2a'!E14-'2b'!E14)/'2c'!E14</f>
        <v>3.2628554216867465</v>
      </c>
      <c r="F14" s="329">
        <f>('3a'!F14*'2a'!F14-'2b'!F14)/'2c'!F14</f>
        <v>3.2434757281553397</v>
      </c>
      <c r="G14" s="329">
        <f>('3a'!G14*'2a'!G14-'2b'!G14)/'2c'!G14</f>
        <v>3.135377435897436</v>
      </c>
      <c r="H14" s="329">
        <f>('3a'!H14*'2a'!H14-'2b'!H14)/'2c'!H14</f>
        <v>3.239854337736523</v>
      </c>
      <c r="I14" s="329">
        <f>('3a'!I14*'2a'!I14-'2b'!I14)/'2c'!I14</f>
        <v>3.3393827586206899</v>
      </c>
      <c r="J14" s="329">
        <f>('3a'!J14*'2a'!J14-'2b'!J14)/'2c'!J14</f>
        <v>3.3753878326996198</v>
      </c>
      <c r="K14" s="329">
        <f>('3a'!K14*'2a'!K14-'2b'!K14)/'2c'!K14</f>
        <v>3.2757533039647577</v>
      </c>
      <c r="L14" s="329">
        <f>('3a'!L14*'2a'!L14-'2b'!L14)/'2c'!L14</f>
        <v>3.1452131696428571</v>
      </c>
    </row>
    <row r="15" spans="1:12">
      <c r="A15" s="120">
        <v>1991</v>
      </c>
      <c r="B15" s="329">
        <f>('3a'!B15*'2a'!B15-'2b'!B15)/'2c'!B15</f>
        <v>3.2311277602523658</v>
      </c>
      <c r="C15" s="329">
        <f>('3a'!C15*'2a'!C15-'2b'!C15)/'2c'!C15</f>
        <v>3.5009290322580644</v>
      </c>
      <c r="D15" s="329">
        <f>('3a'!D15*'2a'!D15-'2b'!D15)/'2c'!D15</f>
        <v>3.3534000000000002</v>
      </c>
      <c r="E15" s="329">
        <f>('3a'!E15*'2a'!E15-'2b'!E15)/'2c'!E15</f>
        <v>3.2340039682539685</v>
      </c>
      <c r="F15" s="329">
        <f>('3a'!F15*'2a'!F15-'2b'!F15)/'2c'!F15</f>
        <v>3.2442850241545895</v>
      </c>
      <c r="G15" s="329">
        <f>('3a'!G15*'2a'!G15-'2b'!G15)/'2c'!G15</f>
        <v>3.1463444047010731</v>
      </c>
      <c r="H15" s="329">
        <f>('3a'!H15*'2a'!H15-'2b'!H15)/'2c'!H15</f>
        <v>3.2365454545454546</v>
      </c>
      <c r="I15" s="329">
        <f>('3a'!I15*'2a'!I15-'2b'!I15)/'2c'!I15</f>
        <v>3.3274109589041099</v>
      </c>
      <c r="J15" s="329">
        <f>('3a'!J15*'2a'!J15-'2b'!J15)/'2c'!J15</f>
        <v>3.3487186311787069</v>
      </c>
      <c r="K15" s="329">
        <f>('3a'!K15*'2a'!K15-'2b'!K15)/'2c'!K15</f>
        <v>3.269893371757925</v>
      </c>
      <c r="L15" s="329">
        <f>('3a'!L15*'2a'!L15-'2b'!L15)/'2c'!L15</f>
        <v>3.1540339168490155</v>
      </c>
    </row>
    <row r="16" spans="1:12">
      <c r="A16" s="120">
        <v>1992</v>
      </c>
      <c r="B16" s="329">
        <f>('3a'!B16*'2a'!B16-'2b'!B16)/'2c'!B16</f>
        <v>3.2111452196382428</v>
      </c>
      <c r="C16" s="329">
        <f>('3a'!C16*'2a'!C16-'2b'!C16)/'2c'!C16</f>
        <v>3.4310696202531648</v>
      </c>
      <c r="D16" s="329">
        <f>('3a'!D16*'2a'!D16-'2b'!D16)/'2c'!D16</f>
        <v>3.2729722222222222</v>
      </c>
      <c r="E16" s="329">
        <f>('3a'!E16*'2a'!E16-'2b'!E16)/'2c'!E16</f>
        <v>3.2567768924302793</v>
      </c>
      <c r="F16" s="329">
        <f>('3a'!F16*'2a'!F16-'2b'!F16)/'2c'!F16</f>
        <v>3.2517922705314013</v>
      </c>
      <c r="G16" s="329">
        <f>('3a'!G16*'2a'!G16-'2b'!G16)/'2c'!G16</f>
        <v>3.1045276381909548</v>
      </c>
      <c r="H16" s="329">
        <f>('3a'!H16*'2a'!H16-'2b'!H16)/'2c'!H16</f>
        <v>3.220679460580913</v>
      </c>
      <c r="I16" s="329">
        <f>('3a'!I16*'2a'!I16-'2b'!I16)/'2c'!I16</f>
        <v>3.3460103092783506</v>
      </c>
      <c r="J16" s="329">
        <f>('3a'!J16*'2a'!J16-'2b'!J16)/'2c'!J16</f>
        <v>3.3245094339622647</v>
      </c>
      <c r="K16" s="329">
        <f>('3a'!K16*'2a'!K16-'2b'!K16)/'2c'!K16</f>
        <v>3.2474253521126761</v>
      </c>
      <c r="L16" s="329">
        <f>('3a'!L16*'2a'!L16-'2b'!L16)/'2c'!L16</f>
        <v>3.1520788072417467</v>
      </c>
    </row>
    <row r="17" spans="1:12">
      <c r="A17" s="120">
        <v>1993</v>
      </c>
      <c r="B17" s="329">
        <f>('3a'!B17*'2a'!B17-'2b'!B17)/'2c'!B17</f>
        <v>3.2168352073768691</v>
      </c>
      <c r="C17" s="329">
        <f>('3a'!C17*'2a'!C17-'2b'!C17)/'2c'!C17</f>
        <v>3.3628908919597991</v>
      </c>
      <c r="D17" s="329">
        <f>('3a'!D17*'2a'!D17-'2b'!D17)/'2c'!D17</f>
        <v>3.2826944444444441</v>
      </c>
      <c r="E17" s="329">
        <f>('3a'!E17*'2a'!E17-'2b'!E17)/'2c'!E17</f>
        <v>3.2421772646066298</v>
      </c>
      <c r="F17" s="329">
        <f>('3a'!F17*'2a'!F17-'2b'!F17)/'2c'!F17</f>
        <v>3.2346730769230772</v>
      </c>
      <c r="G17" s="329">
        <f>('3a'!G17*'2a'!G17-'2b'!G17)/'2c'!G17</f>
        <v>3.1257370854431357</v>
      </c>
      <c r="H17" s="329">
        <f>('3a'!H17*'2a'!H17-'2b'!H17)/'2c'!H17</f>
        <v>3.22097341182723</v>
      </c>
      <c r="I17" s="329">
        <f>('3a'!I17*'2a'!I17-'2b'!I17)/'2c'!I17</f>
        <v>3.3534420503551496</v>
      </c>
      <c r="J17" s="329">
        <f>('3a'!J17*'2a'!J17-'2b'!J17)/'2c'!J17</f>
        <v>3.3191729323308268</v>
      </c>
      <c r="K17" s="329">
        <f>('3a'!K17*'2a'!K17-'2b'!K17)/'2c'!K17</f>
        <v>3.2849007400863974</v>
      </c>
      <c r="L17" s="329">
        <f>('3a'!L17*'2a'!L17-'2b'!L17)/'2c'!L17</f>
        <v>3.1427240437309414</v>
      </c>
    </row>
    <row r="18" spans="1:12">
      <c r="A18" s="120">
        <v>1994</v>
      </c>
      <c r="B18" s="329">
        <f>('3a'!B18*'2a'!B18-'2b'!B18)/'2c'!B18</f>
        <v>3.2211814516263133</v>
      </c>
      <c r="C18" s="329">
        <f>('3a'!C18*'2a'!C18-'2b'!C18)/'2c'!C18</f>
        <v>3.3494632488406078</v>
      </c>
      <c r="D18" s="329">
        <f>('3a'!D18*'2a'!D18-'2b'!D18)/'2c'!D18</f>
        <v>3.3176944444444447</v>
      </c>
      <c r="E18" s="329">
        <f>('3a'!E18*'2a'!E18-'2b'!E18)/'2c'!E18</f>
        <v>3.1993465780119061</v>
      </c>
      <c r="F18" s="329">
        <f>('3a'!F18*'2a'!F18-'2b'!F18)/'2c'!F18</f>
        <v>3.1857109004739335</v>
      </c>
      <c r="G18" s="329">
        <f>('3a'!G18*'2a'!G18-'2b'!G18)/'2c'!G18</f>
        <v>3.1167975657528704</v>
      </c>
      <c r="H18" s="329">
        <f>('3a'!H18*'2a'!H18-'2b'!H18)/'2c'!H18</f>
        <v>3.2397857478292011</v>
      </c>
      <c r="I18" s="329">
        <f>('3a'!I18*'2a'!I18-'2b'!I18)/'2c'!I18</f>
        <v>3.3692400258822039</v>
      </c>
      <c r="J18" s="329">
        <f>('3a'!J18*'2a'!J18-'2b'!J18)/'2c'!J18</f>
        <v>3.2996483403379364</v>
      </c>
      <c r="K18" s="329">
        <f>('3a'!K18*'2a'!K18-'2b'!K18)/'2c'!K18</f>
        <v>3.2982878524549837</v>
      </c>
      <c r="L18" s="329">
        <f>('3a'!L18*'2a'!L18-'2b'!L18)/'2c'!L18</f>
        <v>3.1549305390818136</v>
      </c>
    </row>
    <row r="19" spans="1:12">
      <c r="A19" s="120">
        <v>1995</v>
      </c>
      <c r="B19" s="329">
        <f>('3a'!B19*'2a'!B19-'2b'!B19)/'2c'!B19</f>
        <v>3.1967275456789124</v>
      </c>
      <c r="C19" s="329">
        <f>('3a'!C19*'2a'!C19-'2b'!C19)/'2c'!C19</f>
        <v>3.2784109924623115</v>
      </c>
      <c r="D19" s="329">
        <f>('3a'!D19*'2a'!D19-'2b'!D19)/'2c'!D19</f>
        <v>3.2544594594594591</v>
      </c>
      <c r="E19" s="329">
        <f>('3a'!E19*'2a'!E19-'2b'!E19)/'2c'!E19</f>
        <v>3.1619999999999999</v>
      </c>
      <c r="F19" s="329">
        <f>('3a'!F19*'2a'!F19-'2b'!F19)/'2c'!F19</f>
        <v>3.1425881567946488</v>
      </c>
      <c r="G19" s="329">
        <f>('3a'!G19*'2a'!G19-'2b'!G19)/'2c'!G19</f>
        <v>3.1034953006624297</v>
      </c>
      <c r="H19" s="329">
        <f>('3a'!H19*'2a'!H19-'2b'!H19)/'2c'!H19</f>
        <v>3.2144192277708603</v>
      </c>
      <c r="I19" s="329">
        <f>('3a'!I19*'2a'!I19-'2b'!I19)/'2c'!I19</f>
        <v>3.3630403648873735</v>
      </c>
      <c r="J19" s="329">
        <f>('3a'!J19*'2a'!J19-'2b'!J19)/'2c'!J19</f>
        <v>3.3094116903363178</v>
      </c>
      <c r="K19" s="329">
        <f>('3a'!K19*'2a'!K19-'2b'!K19)/'2c'!K19</f>
        <v>3.2343036234996267</v>
      </c>
      <c r="L19" s="329">
        <f>('3a'!L19*'2a'!L19-'2b'!L19)/'2c'!L19</f>
        <v>3.1257507257967863</v>
      </c>
    </row>
    <row r="20" spans="1:12">
      <c r="A20" s="120">
        <v>1996</v>
      </c>
      <c r="B20" s="329">
        <f>('3a'!B20*'2a'!B20-'2b'!B20)/'2c'!B20</f>
        <v>3.1955606007016009</v>
      </c>
      <c r="C20" s="329">
        <f>('3a'!C20*'2a'!C20-'2b'!C20)/'2c'!C20</f>
        <v>3.2892278481012656</v>
      </c>
      <c r="D20" s="329">
        <f>('3a'!D20*'2a'!D20-'2b'!D20)/'2c'!D20</f>
        <v>3.2631621621621618</v>
      </c>
      <c r="E20" s="329">
        <f>('3a'!E20*'2a'!E20-'2b'!E20)/'2c'!E20</f>
        <v>3.1984646776009171</v>
      </c>
      <c r="F20" s="329">
        <f>('3a'!F20*'2a'!F20-'2b'!F20)/'2c'!F20</f>
        <v>3.1514929577464792</v>
      </c>
      <c r="G20" s="329">
        <f>('3a'!G20*'2a'!G20-'2b'!G20)/'2c'!G20</f>
        <v>3.1007727649814161</v>
      </c>
      <c r="H20" s="329">
        <f>('3a'!H20*'2a'!H20-'2b'!H20)/'2c'!H20</f>
        <v>3.1921407546588165</v>
      </c>
      <c r="I20" s="329">
        <f>('3a'!I20*'2a'!I20-'2b'!I20)/'2c'!I20</f>
        <v>3.364612244897959</v>
      </c>
      <c r="J20" s="329">
        <f>('3a'!J20*'2a'!J20-'2b'!J20)/'2c'!J20</f>
        <v>3.3524014489463929</v>
      </c>
      <c r="K20" s="329">
        <f>('3a'!K20*'2a'!K20-'2b'!K20)/'2c'!K20</f>
        <v>3.2552120805369125</v>
      </c>
      <c r="L20" s="329">
        <f>('3a'!L20*'2a'!L20-'2b'!L20)/'2c'!L20</f>
        <v>3.1506110325368382</v>
      </c>
    </row>
    <row r="21" spans="1:12">
      <c r="A21" s="120">
        <v>1997</v>
      </c>
      <c r="B21" s="329">
        <f>('3a'!B21*'2a'!B21-'2b'!B21)/'2c'!B21</f>
        <v>3.2031699539259799</v>
      </c>
      <c r="C21" s="329">
        <f>('3a'!C21*'2a'!C21-'2b'!C21)/'2c'!C21</f>
        <v>3.2686602564102563</v>
      </c>
      <c r="D21" s="329">
        <f>('3a'!D21*'2a'!D21-'2b'!D21)/'2c'!D21</f>
        <v>3.255584514170041</v>
      </c>
      <c r="E21" s="329">
        <f>('3a'!E21*'2a'!E21-'2b'!E21)/'2c'!E21</f>
        <v>3.1908957946363352</v>
      </c>
      <c r="F21" s="329">
        <f>('3a'!F21*'2a'!F21-'2b'!F21)/'2c'!F21</f>
        <v>3.1332289719626165</v>
      </c>
      <c r="G21" s="329">
        <f>('3a'!G21*'2a'!G21-'2b'!G21)/'2c'!G21</f>
        <v>3.098966802405632</v>
      </c>
      <c r="H21" s="329">
        <f>('3a'!H21*'2a'!H21-'2b'!H21)/'2c'!H21</f>
        <v>3.2106121927824303</v>
      </c>
      <c r="I21" s="329">
        <f>('3a'!I21*'2a'!I21-'2b'!I21)/'2c'!I21</f>
        <v>3.3997122975629548</v>
      </c>
      <c r="J21" s="329">
        <f>('3a'!J21*'2a'!J21-'2b'!J21)/'2c'!J21</f>
        <v>3.3254756554307119</v>
      </c>
      <c r="K21" s="329">
        <f>('3a'!K21*'2a'!K21-'2b'!K21)/'2c'!K21</f>
        <v>3.203316437826317</v>
      </c>
      <c r="L21" s="329">
        <f>('3a'!L21*'2a'!L21-'2b'!L21)/'2c'!L21</f>
        <v>3.2104281220591369</v>
      </c>
    </row>
    <row r="22" spans="1:12">
      <c r="A22" s="120">
        <v>1998</v>
      </c>
      <c r="B22" s="329">
        <f>('3a'!B22*'2a'!B22-'2b'!B22)/'2c'!B22</f>
        <v>3.1962189861077257</v>
      </c>
      <c r="C22" s="329">
        <f>('3a'!C22*'2a'!C22-'2b'!C22)/'2c'!C22</f>
        <v>3.2054387096774191</v>
      </c>
      <c r="D22" s="329">
        <f>('3a'!D22*'2a'!D22-'2b'!D22)/'2c'!D22</f>
        <v>3.1790526315789474</v>
      </c>
      <c r="E22" s="329">
        <f>('3a'!E22*'2a'!E22-'2b'!E22)/'2c'!E22</f>
        <v>3.1455230769230771</v>
      </c>
      <c r="F22" s="329">
        <f>('3a'!F22*'2a'!F22-'2b'!F22)/'2c'!F22</f>
        <v>3.1001395348837208</v>
      </c>
      <c r="G22" s="329">
        <f>('3a'!G22*'2a'!G22-'2b'!G22)/'2c'!G22</f>
        <v>3.0835898070262253</v>
      </c>
      <c r="H22" s="329">
        <f>('3a'!H22*'2a'!H22-'2b'!H22)/'2c'!H22</f>
        <v>3.2187985218508999</v>
      </c>
      <c r="I22" s="329">
        <f>('3a'!I22*'2a'!I22-'2b'!I22)/'2c'!I22</f>
        <v>3.365608843537415</v>
      </c>
      <c r="J22" s="329">
        <f>('3a'!J22*'2a'!J22-'2b'!J22)/'2c'!J22</f>
        <v>3.3034776119402984</v>
      </c>
      <c r="K22" s="329">
        <f>('3a'!K22*'2a'!K22-'2b'!K22)/'2c'!K22</f>
        <v>3.2128229299363054</v>
      </c>
      <c r="L22" s="329">
        <f>('3a'!L22*'2a'!L22-'2b'!L22)/'2c'!L22</f>
        <v>3.1948137996219277</v>
      </c>
    </row>
    <row r="23" spans="1:12">
      <c r="A23" s="120">
        <v>1999</v>
      </c>
      <c r="B23" s="329">
        <f>('3a'!B23*'2a'!B23-'2b'!B23)/'2c'!B23</f>
        <v>3.1869233369552097</v>
      </c>
      <c r="C23" s="329">
        <f>('3a'!C23*'2a'!C23-'2b'!C23)/'2c'!C23</f>
        <v>3.1569612903225805</v>
      </c>
      <c r="D23" s="329">
        <f>('3a'!D23*'2a'!D23-'2b'!D23)/'2c'!D23</f>
        <v>3.1916052631578951</v>
      </c>
      <c r="E23" s="329">
        <f>('3a'!E23*'2a'!E23-'2b'!E23)/'2c'!E23</f>
        <v>3.1174961832061068</v>
      </c>
      <c r="F23" s="329">
        <f>('3a'!F23*'2a'!F23-'2b'!F23)/'2c'!F23</f>
        <v>3.0814861111111109</v>
      </c>
      <c r="G23" s="329">
        <f>('3a'!G23*'2a'!G23-'2b'!G23)/'2c'!G23</f>
        <v>3.0650196656833826</v>
      </c>
      <c r="H23" s="329">
        <f>('3a'!H23*'2a'!H23-'2b'!H23)/'2c'!H23</f>
        <v>3.223205788804071</v>
      </c>
      <c r="I23" s="329">
        <f>('3a'!I23*'2a'!I23-'2b'!I23)/'2c'!I23</f>
        <v>3.3528648648648653</v>
      </c>
      <c r="J23" s="329">
        <f>('3a'!J23*'2a'!J23-'2b'!J23)/'2c'!J23</f>
        <v>3.3177593984962406</v>
      </c>
      <c r="K23" s="329">
        <f>('3a'!K23*'2a'!K23-'2b'!K23)/'2c'!K23</f>
        <v>3.1953765586034906</v>
      </c>
      <c r="L23" s="329">
        <f>('3a'!L23*'2a'!L23-'2b'!L23)/'2c'!L23</f>
        <v>3.1779205607476637</v>
      </c>
    </row>
    <row r="24" spans="1:12">
      <c r="A24" s="120">
        <v>2000</v>
      </c>
      <c r="B24" s="329">
        <f>('3a'!B24*'2a'!B24-'2b'!B24)/'2c'!B24</f>
        <v>3.1760097933834945</v>
      </c>
      <c r="C24" s="329">
        <f>('3a'!C24*'2a'!C24-'2b'!C24)/'2c'!C24</f>
        <v>3.1159096774193551</v>
      </c>
      <c r="D24" s="329">
        <f>('3a'!D24*'2a'!D24-'2b'!D24)/'2c'!D24</f>
        <v>3.1146153846153846</v>
      </c>
      <c r="E24" s="329">
        <f>('3a'!E24*'2a'!E24-'2b'!E24)/'2c'!E24</f>
        <v>3.094376425855514</v>
      </c>
      <c r="F24" s="329">
        <f>('3a'!F24*'2a'!F24-'2b'!F24)/'2c'!F24</f>
        <v>3.0861255813953492</v>
      </c>
      <c r="G24" s="329">
        <f>('3a'!G24*'2a'!G24-'2b'!G24)/'2c'!G24</f>
        <v>3.0493406647116319</v>
      </c>
      <c r="H24" s="329">
        <f>('3a'!H24*'2a'!H24-'2b'!H24)/'2c'!H24</f>
        <v>3.2118332292317304</v>
      </c>
      <c r="I24" s="329">
        <f>('3a'!I24*'2a'!I24-'2b'!I24)/'2c'!I24</f>
        <v>3.3399765100671144</v>
      </c>
      <c r="J24" s="329">
        <f>('3a'!J24*'2a'!J24-'2b'!J24)/'2c'!J24</f>
        <v>3.3002452830188682</v>
      </c>
      <c r="K24" s="329">
        <f>('3a'!K24*'2a'!K24-'2b'!K24)/'2c'!K24</f>
        <v>3.1943464373464372</v>
      </c>
      <c r="L24" s="329">
        <f>('3a'!L24*'2a'!L24-'2b'!L24)/'2c'!L24</f>
        <v>3.1786524163568779</v>
      </c>
    </row>
    <row r="25" spans="1:12">
      <c r="A25" s="120">
        <v>2001</v>
      </c>
      <c r="B25" s="329">
        <f>('3a'!B25*'2a'!B25-'2b'!B25)/'2c'!B25</f>
        <v>3.1696220174816911</v>
      </c>
      <c r="C25" s="329">
        <f>('3a'!C25*'2a'!C25-'2b'!C25)/'2c'!C25</f>
        <v>3.0647290322580645</v>
      </c>
      <c r="D25" s="329">
        <f>('3a'!D25*'2a'!D25-'2b'!D25)/'2c'!D25</f>
        <v>3.119564102564103</v>
      </c>
      <c r="E25" s="329">
        <f>('3a'!E25*'2a'!E25-'2b'!E25)/'2c'!E25</f>
        <v>3.0815741444866918</v>
      </c>
      <c r="F25" s="329">
        <f>('3a'!F25*'2a'!F25-'2b'!F25)/'2c'!F25</f>
        <v>3.0638935185185185</v>
      </c>
      <c r="G25" s="329">
        <f>('3a'!G25*'2a'!G25-'2b'!G25)/'2c'!G25</f>
        <v>3.039557879377432</v>
      </c>
      <c r="H25" s="329">
        <f>('3a'!H25*'2a'!H25-'2b'!H25)/'2c'!H25</f>
        <v>3.2113111383860082</v>
      </c>
      <c r="I25" s="329">
        <f>('3a'!I25*'2a'!I25-'2b'!I25)/'2c'!I25</f>
        <v>3.3471107382550338</v>
      </c>
      <c r="J25" s="329">
        <f>('3a'!J25*'2a'!J25-'2b'!J25)/'2c'!J25</f>
        <v>3.2811401515151521</v>
      </c>
      <c r="K25" s="329">
        <f>('3a'!K25*'2a'!K25-'2b'!K25)/'2c'!K25</f>
        <v>3.1833739445114593</v>
      </c>
      <c r="L25" s="329">
        <f>('3a'!L25*'2a'!L25-'2b'!L25)/'2c'!L25</f>
        <v>3.1722759889604415</v>
      </c>
    </row>
    <row r="26" spans="1:12">
      <c r="A26" s="120">
        <v>2002</v>
      </c>
      <c r="B26" s="329">
        <f>('3a'!B26*'2a'!B26-'2b'!B26)/'2c'!B26</f>
        <v>3.1545498602050324</v>
      </c>
      <c r="C26" s="329">
        <f>('3a'!C26*'2a'!C26-'2b'!C26)/'2c'!C26</f>
        <v>3.0226346153846149</v>
      </c>
      <c r="D26" s="329">
        <f>('3a'!D26*'2a'!D26-'2b'!D26)/'2c'!D26</f>
        <v>3.0219</v>
      </c>
      <c r="E26" s="329">
        <f>('3a'!E26*'2a'!E26-'2b'!E26)/'2c'!E26</f>
        <v>3.0682386363636365</v>
      </c>
      <c r="F26" s="329">
        <f>('3a'!F26*'2a'!F26-'2b'!F26)/'2c'!F26</f>
        <v>3.0290412844036703</v>
      </c>
      <c r="G26" s="329">
        <f>('3a'!G26*'2a'!G26-'2b'!G26)/'2c'!G26</f>
        <v>3.0154434280211846</v>
      </c>
      <c r="H26" s="329">
        <f>('3a'!H26*'2a'!H26-'2b'!H26)/'2c'!H26</f>
        <v>3.2098517512077298</v>
      </c>
      <c r="I26" s="329">
        <f>('3a'!I26*'2a'!I26-'2b'!I26)/'2c'!I26</f>
        <v>3.3353766666666669</v>
      </c>
      <c r="J26" s="329">
        <f>('3a'!J26*'2a'!J26-'2b'!J26)/'2c'!J26</f>
        <v>3.2893167938931303</v>
      </c>
      <c r="K26" s="329">
        <f>('3a'!K26*'2a'!K26-'2b'!K26)/'2c'!K26</f>
        <v>3.1822479338842977</v>
      </c>
      <c r="L26" s="329">
        <f>('3a'!L26*'2a'!L26-'2b'!L26)/'2c'!L26</f>
        <v>3.1218917944093776</v>
      </c>
    </row>
    <row r="27" spans="1:12">
      <c r="A27" s="120">
        <v>2003</v>
      </c>
      <c r="B27" s="329">
        <f>('3a'!B27*'2a'!B27-'2b'!B27)/'2c'!B27</f>
        <v>3.1468408907349721</v>
      </c>
      <c r="C27" s="329">
        <f>('3a'!C27*'2a'!C27-'2b'!C27)/'2c'!C27</f>
        <v>2.9905732484076433</v>
      </c>
      <c r="D27" s="329">
        <f>('3a'!D27*'2a'!D27-'2b'!D27)/'2c'!D27</f>
        <v>3.0305249999999999</v>
      </c>
      <c r="E27" s="329">
        <f>('3a'!E27*'2a'!E27-'2b'!E27)/'2c'!E27</f>
        <v>3.0509094339622642</v>
      </c>
      <c r="F27" s="329">
        <f>('3a'!F27*'2a'!F27-'2b'!F27)/'2c'!F27</f>
        <v>3.0247201834862385</v>
      </c>
      <c r="G27" s="329">
        <f>('3a'!G27*'2a'!G27-'2b'!G27)/'2c'!G27</f>
        <v>3.0109534772182251</v>
      </c>
      <c r="H27" s="329">
        <f>('3a'!H27*'2a'!H27-'2b'!H27)/'2c'!H27</f>
        <v>3.2035367887995232</v>
      </c>
      <c r="I27" s="329">
        <f>('3a'!I27*'2a'!I27-'2b'!I27)/'2c'!I27</f>
        <v>3.3162343234323433</v>
      </c>
      <c r="J27" s="329">
        <f>('3a'!J27*'2a'!J27-'2b'!J27)/'2c'!J27</f>
        <v>3.2842862595419846</v>
      </c>
      <c r="K27" s="329">
        <f>('3a'!K27*'2a'!K27-'2b'!K27)/'2c'!K27</f>
        <v>3.1855599534342254</v>
      </c>
      <c r="L27" s="329">
        <f>('3a'!L27*'2a'!L27-'2b'!L27)/'2c'!L27</f>
        <v>3.1029402319357713</v>
      </c>
    </row>
    <row r="28" spans="1:12">
      <c r="A28" s="120">
        <v>2004</v>
      </c>
      <c r="B28" s="329">
        <f>('3a'!B28*'2a'!B28-'2b'!B28)/'2c'!B28</f>
        <v>3.1348021902806296</v>
      </c>
      <c r="C28" s="329">
        <f>('3a'!C28*'2a'!C28-'2b'!C28)/'2c'!C28</f>
        <v>2.9710000000000001</v>
      </c>
      <c r="D28" s="329">
        <f>('3a'!D28*'2a'!D28-'2b'!D28)/'2c'!D28</f>
        <v>3.0418500000000002</v>
      </c>
      <c r="E28" s="329">
        <f>('3a'!E28*'2a'!E28-'2b'!E28)/'2c'!E28</f>
        <v>3.0467018867924529</v>
      </c>
      <c r="F28" s="329">
        <f>('3a'!F28*'2a'!F28-'2b'!F28)/'2c'!F28</f>
        <v>3.0062511415525122</v>
      </c>
      <c r="G28" s="329">
        <f>('3a'!G28*'2a'!G28-'2b'!G28)/'2c'!G28</f>
        <v>2.9975852380952386</v>
      </c>
      <c r="H28" s="329">
        <f>('3a'!H28*'2a'!H28-'2b'!H28)/'2c'!H28</f>
        <v>3.1887387096774193</v>
      </c>
      <c r="I28" s="329">
        <f>('3a'!I28*'2a'!I28-'2b'!I28)/'2c'!I28</f>
        <v>3.3198885245901639</v>
      </c>
      <c r="J28" s="329">
        <f>('3a'!J28*'2a'!J28-'2b'!J28)/'2c'!J28</f>
        <v>3.2678593155893538</v>
      </c>
      <c r="K28" s="329">
        <f>('3a'!K28*'2a'!K28-'2b'!K28)/'2c'!K28</f>
        <v>3.1973199079401611</v>
      </c>
      <c r="L28" s="329">
        <f>('3a'!L28*'2a'!L28-'2b'!L28)/'2c'!L28</f>
        <v>3.0765992970123022</v>
      </c>
    </row>
    <row r="29" spans="1:12">
      <c r="A29" s="120">
        <v>2005</v>
      </c>
      <c r="B29" s="329">
        <f>('3a'!B29*'2a'!B29-'2b'!B29)/'2c'!B29</f>
        <v>3.1128342143740864</v>
      </c>
      <c r="C29" s="329">
        <f>('3a'!C29*'2a'!C29-'2b'!C29)/'2c'!C29</f>
        <v>2.9263481012658232</v>
      </c>
      <c r="D29" s="329">
        <f>('3a'!D29*'2a'!D29-'2b'!D29)/'2c'!D29</f>
        <v>2.9769512195121952</v>
      </c>
      <c r="E29" s="329">
        <f>('3a'!E29*'2a'!E29-'2b'!E29)/'2c'!E29</f>
        <v>3.0185751879699247</v>
      </c>
      <c r="F29" s="329">
        <f>('3a'!F29*'2a'!F29-'2b'!F29)/'2c'!F29</f>
        <v>2.9370403587443943</v>
      </c>
      <c r="G29" s="329">
        <f>('3a'!G29*'2a'!G29-'2b'!G29)/'2c'!G29</f>
        <v>2.9721540999057492</v>
      </c>
      <c r="H29" s="329">
        <f>('3a'!H29*'2a'!H29-'2b'!H29)/'2c'!H29</f>
        <v>3.1638270893371758</v>
      </c>
      <c r="I29" s="329">
        <f>('3a'!I29*'2a'!I29-'2b'!I29)/'2c'!I29</f>
        <v>3.3288557377049179</v>
      </c>
      <c r="J29" s="329">
        <f>('3a'!J29*'2a'!J29-'2b'!J29)/'2c'!J29</f>
        <v>3.261751908396946</v>
      </c>
      <c r="K29" s="329">
        <f>('3a'!K29*'2a'!K29-'2b'!K29)/'2c'!K29</f>
        <v>3.1874439461883406</v>
      </c>
      <c r="L29" s="329">
        <f>('3a'!L29*'2a'!L29-'2b'!L29)/'2c'!L29</f>
        <v>3.0667141615986093</v>
      </c>
    </row>
    <row r="30" spans="1:12">
      <c r="A30" s="120">
        <v>2006</v>
      </c>
      <c r="B30" s="329">
        <f>('3a'!B30*'2a'!B30-'2b'!B30)/'2c'!B30</f>
        <v>3.1065428030724704</v>
      </c>
      <c r="C30" s="329">
        <f>('3a'!C30*'2a'!C30-'2b'!C30)/'2c'!C30</f>
        <v>2.9128216560509554</v>
      </c>
      <c r="D30" s="329">
        <f>('3a'!D30*'2a'!D30-'2b'!D30)/'2c'!D30</f>
        <v>2.9736585365853654</v>
      </c>
      <c r="E30" s="329">
        <f>('3a'!E30*'2a'!E30-'2b'!E30)/'2c'!E30</f>
        <v>3.0000374531835208</v>
      </c>
      <c r="F30" s="329">
        <f>('3a'!F30*'2a'!F30-'2b'!F30)/'2c'!F30</f>
        <v>2.926789237668161</v>
      </c>
      <c r="G30" s="329">
        <f>('3a'!G30*'2a'!G30-'2b'!G30)/'2c'!G30</f>
        <v>2.9660187617260787</v>
      </c>
      <c r="H30" s="329">
        <f>('3a'!H30*'2a'!H30-'2b'!H30)/'2c'!H30</f>
        <v>3.171388618816128</v>
      </c>
      <c r="I30" s="329">
        <f>('3a'!I30*'2a'!I30-'2b'!I30)/'2c'!I30</f>
        <v>3.3301666666666665</v>
      </c>
      <c r="J30" s="329">
        <f>('3a'!J30*'2a'!J30-'2b'!J30)/'2c'!J30</f>
        <v>3.2773923076923075</v>
      </c>
      <c r="K30" s="329">
        <f>('3a'!K30*'2a'!K30-'2b'!K30)/'2c'!K30</f>
        <v>3.1425140086206893</v>
      </c>
      <c r="L30" s="329">
        <f>('3a'!L30*'2a'!L30-'2b'!L30)/'2c'!L30</f>
        <v>3.0475042735042734</v>
      </c>
    </row>
    <row r="31" spans="1:12">
      <c r="A31" s="120">
        <v>2007</v>
      </c>
      <c r="B31" s="329">
        <f>('3a'!B31*'2a'!B31-'2b'!B31)/'2c'!B31</f>
        <v>3.1055886180655126</v>
      </c>
      <c r="C31" s="329">
        <f>('3a'!C31*'2a'!C31-'2b'!C31)/'2c'!C31</f>
        <v>2.9269556962025316</v>
      </c>
      <c r="D31" s="329">
        <f>('3a'!D31*'2a'!D31-'2b'!D31)/'2c'!D31</f>
        <v>2.9075714285714285</v>
      </c>
      <c r="E31" s="329">
        <f>('3a'!E31*'2a'!E31-'2b'!E31)/'2c'!E31</f>
        <v>2.9665634328358208</v>
      </c>
      <c r="F31" s="329">
        <f>('3a'!F31*'2a'!F31-'2b'!F31)/'2c'!F31</f>
        <v>2.8949777777777776</v>
      </c>
      <c r="G31" s="329">
        <f>('3a'!G31*'2a'!G31-'2b'!G31)/'2c'!G31</f>
        <v>2.9585452003727859</v>
      </c>
      <c r="H31" s="329">
        <f>('3a'!H31*'2a'!H31-'2b'!H31)/'2c'!H31</f>
        <v>3.1755312145289447</v>
      </c>
      <c r="I31" s="329">
        <f>('3a'!I31*'2a'!I31-'2b'!I31)/'2c'!I31</f>
        <v>3.3113354838709674</v>
      </c>
      <c r="J31" s="329">
        <f>('3a'!J31*'2a'!J31-'2b'!J31)/'2c'!J31</f>
        <v>3.2328188679245282</v>
      </c>
      <c r="K31" s="329">
        <f>('3a'!K31*'2a'!K31-'2b'!K31)/'2c'!K31</f>
        <v>3.1573911205073992</v>
      </c>
      <c r="L31" s="329">
        <f>('3a'!L31*'2a'!L31-'2b'!L31)/'2c'!L31</f>
        <v>3.0576900337837842</v>
      </c>
    </row>
    <row r="32" spans="1:12">
      <c r="B32" s="1053"/>
      <c r="C32" s="960"/>
      <c r="D32" s="962" t="s">
        <v>802</v>
      </c>
      <c r="E32" s="960"/>
      <c r="F32" s="960"/>
      <c r="G32" s="960"/>
      <c r="H32" s="960"/>
      <c r="I32" s="960"/>
      <c r="J32" s="960"/>
      <c r="K32" s="960"/>
      <c r="L32" s="960"/>
    </row>
    <row r="33" spans="1:12">
      <c r="A33" s="448" t="s">
        <v>603</v>
      </c>
      <c r="B33" s="27">
        <f>((((B13/B5))^(1/8))-1)*100</f>
        <v>-0.48512144434962323</v>
      </c>
      <c r="C33" s="27">
        <f t="shared" ref="C33:L33" si="0">((((C13/C5))^(1/8))-1)*100</f>
        <v>-1.5330267293902411</v>
      </c>
      <c r="D33" s="27">
        <f t="shared" si="0"/>
        <v>-0.76472429119178731</v>
      </c>
      <c r="E33" s="27">
        <f t="shared" si="0"/>
        <v>-0.82988156549728131</v>
      </c>
      <c r="F33" s="27">
        <f t="shared" si="0"/>
        <v>-1.0147132856955121</v>
      </c>
      <c r="G33" s="27">
        <f t="shared" si="0"/>
        <v>-0.8228316812634473</v>
      </c>
      <c r="H33" s="27">
        <f t="shared" si="0"/>
        <v>-0.32094422008042134</v>
      </c>
      <c r="I33" s="27">
        <f t="shared" si="0"/>
        <v>-0.28206238678042395</v>
      </c>
      <c r="J33" s="27">
        <f t="shared" si="0"/>
        <v>-5.736030571701356E-3</v>
      </c>
      <c r="K33" s="27">
        <f t="shared" si="0"/>
        <v>-6.9146692327948234E-2</v>
      </c>
      <c r="L33" s="27">
        <f t="shared" si="0"/>
        <v>-0.33757145644365272</v>
      </c>
    </row>
    <row r="34" spans="1:12">
      <c r="A34" s="448" t="s">
        <v>604</v>
      </c>
      <c r="B34" s="27">
        <f>((((B24/B13))^(1/11))-1)*100</f>
        <v>-0.19320683342419764</v>
      </c>
      <c r="C34" s="27">
        <f t="shared" ref="C34:L34" si="1">((((C24/C13))^(1/11))-1)*100</f>
        <v>-1.2276783994612295</v>
      </c>
      <c r="D34" s="27">
        <f t="shared" si="1"/>
        <v>-0.99064408651544644</v>
      </c>
      <c r="E34" s="27">
        <f t="shared" si="1"/>
        <v>-0.59814317306046139</v>
      </c>
      <c r="F34" s="27">
        <f t="shared" si="1"/>
        <v>-0.64574234134980868</v>
      </c>
      <c r="G34" s="27">
        <f t="shared" si="1"/>
        <v>-0.28508609025651444</v>
      </c>
      <c r="H34" s="27">
        <f t="shared" si="1"/>
        <v>-0.12699801199538285</v>
      </c>
      <c r="I34" s="27">
        <f t="shared" si="1"/>
        <v>-1.1244081290673336E-2</v>
      </c>
      <c r="J34" s="27">
        <f t="shared" si="1"/>
        <v>-0.23054582936802293</v>
      </c>
      <c r="K34" s="27">
        <f t="shared" si="1"/>
        <v>-0.21018781619118743</v>
      </c>
      <c r="L34" s="27">
        <f t="shared" si="1"/>
        <v>0.12999306852168324</v>
      </c>
    </row>
    <row r="35" spans="1:12">
      <c r="A35" s="448" t="s">
        <v>447</v>
      </c>
      <c r="B35" s="27">
        <f>((((B31/B5))^(1/26))-1)*100</f>
        <v>-0.31718753166064539</v>
      </c>
      <c r="C35" s="27">
        <f t="shared" ref="C35:L35" si="2">((((C31/C5))^(1/26))-1)*100</f>
        <v>-1.2309405005066498</v>
      </c>
      <c r="D35" s="27">
        <f t="shared" si="2"/>
        <v>-0.91774265191950644</v>
      </c>
      <c r="E35" s="27">
        <f t="shared" si="2"/>
        <v>-0.67021731278471552</v>
      </c>
      <c r="F35" s="27">
        <f t="shared" si="2"/>
        <v>-0.83035157044660801</v>
      </c>
      <c r="G35" s="27">
        <f t="shared" si="2"/>
        <v>-0.49006767876805801</v>
      </c>
      <c r="H35" s="27">
        <f t="shared" si="2"/>
        <v>-0.19620123910916165</v>
      </c>
      <c r="I35" s="27">
        <f t="shared" si="2"/>
        <v>-0.12471443473611732</v>
      </c>
      <c r="J35" s="27">
        <f t="shared" si="2"/>
        <v>-0.17864999148961003</v>
      </c>
      <c r="K35" s="27">
        <f t="shared" si="2"/>
        <v>-0.15493776341676258</v>
      </c>
      <c r="L35" s="27">
        <f t="shared" si="2"/>
        <v>-0.1981075387774589</v>
      </c>
    </row>
    <row r="36" spans="1:12">
      <c r="A36" s="448" t="s">
        <v>449</v>
      </c>
      <c r="B36" s="27">
        <f>((((B31/B24))^(1/7))-1)*100</f>
        <v>-0.31980693164048724</v>
      </c>
      <c r="C36" s="27">
        <f t="shared" ref="C36:L36" si="3">((((C31/C24))^(1/7))-1)*100</f>
        <v>-0.88970802925742998</v>
      </c>
      <c r="D36" s="27">
        <f t="shared" si="3"/>
        <v>-0.97786606889506134</v>
      </c>
      <c r="E36" s="27">
        <f t="shared" si="3"/>
        <v>-0.60079110867171659</v>
      </c>
      <c r="F36" s="27">
        <f t="shared" si="3"/>
        <v>-0.90925550109042241</v>
      </c>
      <c r="G36" s="27">
        <f t="shared" si="3"/>
        <v>-0.43089370035794827</v>
      </c>
      <c r="H36" s="27">
        <f t="shared" si="3"/>
        <v>-0.16225313509508066</v>
      </c>
      <c r="I36" s="27">
        <f t="shared" si="3"/>
        <v>-0.12295572721739978</v>
      </c>
      <c r="J36" s="27">
        <f t="shared" si="3"/>
        <v>-0.294455950268524</v>
      </c>
      <c r="K36" s="27">
        <f t="shared" si="3"/>
        <v>-0.16609643724911916</v>
      </c>
      <c r="L36" s="27">
        <f t="shared" si="3"/>
        <v>-0.55271826874881969</v>
      </c>
    </row>
    <row r="37" spans="1:12">
      <c r="A37" s="140"/>
      <c r="B37" s="242"/>
      <c r="D37" s="27" t="s">
        <v>276</v>
      </c>
    </row>
    <row r="38" spans="1:12">
      <c r="A38" s="448" t="s">
        <v>447</v>
      </c>
      <c r="B38" s="12">
        <f>(B31/B5-1)*100</f>
        <v>-7.928047826402751</v>
      </c>
      <c r="C38" s="12">
        <f t="shared" ref="C38:L38" si="4">(C31/C5-1)*100</f>
        <v>-27.532400267331212</v>
      </c>
      <c r="D38" s="12">
        <f t="shared" si="4"/>
        <v>-21.31477308298113</v>
      </c>
      <c r="E38" s="12">
        <f t="shared" si="4"/>
        <v>-16.041123481763762</v>
      </c>
      <c r="F38" s="12">
        <f t="shared" si="4"/>
        <v>-19.490317561700955</v>
      </c>
      <c r="G38" s="12">
        <f t="shared" si="4"/>
        <v>-11.990976458245539</v>
      </c>
      <c r="H38" s="12">
        <f t="shared" si="4"/>
        <v>-4.978065458323111</v>
      </c>
      <c r="I38" s="12">
        <f t="shared" si="4"/>
        <v>-3.1925265531012492</v>
      </c>
      <c r="J38" s="12">
        <f t="shared" si="4"/>
        <v>-4.5426407139121494</v>
      </c>
      <c r="K38" s="12">
        <f t="shared" si="4"/>
        <v>-3.9513217744078788</v>
      </c>
      <c r="L38" s="12">
        <f t="shared" si="4"/>
        <v>-5.0252432522939312</v>
      </c>
    </row>
    <row r="40" spans="1:12">
      <c r="A40" s="9" t="s">
        <v>291</v>
      </c>
    </row>
  </sheetData>
  <mergeCells count="11">
    <mergeCell ref="B3:B4"/>
    <mergeCell ref="C3:C4"/>
    <mergeCell ref="D3:D4"/>
    <mergeCell ref="E3:E4"/>
    <mergeCell ref="J3:J4"/>
    <mergeCell ref="L3:L4"/>
    <mergeCell ref="F3:F4"/>
    <mergeCell ref="G3:G4"/>
    <mergeCell ref="H3:H4"/>
    <mergeCell ref="I3:I4"/>
    <mergeCell ref="K3:K4"/>
  </mergeCells>
  <phoneticPr fontId="35" type="noConversion"/>
  <pageMargins left="0.75" right="0.75" top="1" bottom="1" header="0.5" footer="0.5"/>
  <pageSetup scale="91" orientation="landscape" horizontalDpi="4294967292" verticalDpi="0" r:id="rId1"/>
  <headerFooter alignWithMargins="0"/>
</worksheet>
</file>

<file path=xl/worksheets/sheet90.xml><?xml version="1.0" encoding="utf-8"?>
<worksheet xmlns="http://schemas.openxmlformats.org/spreadsheetml/2006/main" xmlns:r="http://schemas.openxmlformats.org/officeDocument/2006/relationships">
  <sheetPr codeName="Sheet81">
    <pageSetUpPr fitToPage="1"/>
  </sheetPr>
  <dimension ref="A1:AN41"/>
  <sheetViews>
    <sheetView view="pageBreakPreview" zoomScaleSheetLayoutView="100" workbookViewId="0">
      <selection activeCell="H62" sqref="H62"/>
    </sheetView>
  </sheetViews>
  <sheetFormatPr defaultColWidth="8" defaultRowHeight="12.75"/>
  <cols>
    <col min="1" max="1" width="25.28515625" style="55" customWidth="1"/>
    <col min="2" max="6" width="16.140625" style="55" customWidth="1"/>
    <col min="7" max="16384" width="8" style="55"/>
  </cols>
  <sheetData>
    <row r="1" spans="1:6" ht="15.75">
      <c r="A1" s="3" t="s">
        <v>2174</v>
      </c>
    </row>
    <row r="3" spans="1:6" s="52" customFormat="1" ht="38.25">
      <c r="A3" s="660"/>
      <c r="B3" s="225" t="s">
        <v>970</v>
      </c>
      <c r="C3" s="660" t="s">
        <v>781</v>
      </c>
      <c r="D3" s="660" t="s">
        <v>971</v>
      </c>
      <c r="E3" s="660" t="s">
        <v>972</v>
      </c>
      <c r="F3" s="660" t="s">
        <v>973</v>
      </c>
    </row>
    <row r="4" spans="1:6" ht="15.75">
      <c r="A4" s="51" t="s">
        <v>778</v>
      </c>
      <c r="B4" s="226">
        <v>12215</v>
      </c>
      <c r="C4" s="55">
        <v>100</v>
      </c>
      <c r="D4" s="55">
        <v>3045134</v>
      </c>
      <c r="E4" s="55">
        <v>249000</v>
      </c>
      <c r="F4" s="55">
        <v>109200</v>
      </c>
    </row>
    <row r="5" spans="1:6">
      <c r="A5" s="55" t="s">
        <v>680</v>
      </c>
      <c r="B5" s="226">
        <v>8288</v>
      </c>
      <c r="C5" s="55">
        <v>68</v>
      </c>
      <c r="D5" s="55">
        <v>2559676</v>
      </c>
      <c r="E5" s="55">
        <v>308800</v>
      </c>
      <c r="F5" s="55">
        <v>159000</v>
      </c>
    </row>
    <row r="6" spans="1:6">
      <c r="A6" s="55" t="s">
        <v>974</v>
      </c>
      <c r="B6" s="226">
        <v>1180</v>
      </c>
      <c r="C6" s="55">
        <v>10</v>
      </c>
      <c r="D6" s="55">
        <v>518396</v>
      </c>
      <c r="E6" s="55">
        <v>439400</v>
      </c>
      <c r="F6" s="55">
        <v>302900</v>
      </c>
    </row>
    <row r="7" spans="1:6">
      <c r="A7" s="55" t="s">
        <v>975</v>
      </c>
      <c r="B7" s="226">
        <v>7109</v>
      </c>
      <c r="C7" s="55">
        <v>58</v>
      </c>
      <c r="D7" s="55">
        <v>2041280</v>
      </c>
      <c r="E7" s="55">
        <v>287100</v>
      </c>
      <c r="F7" s="55">
        <v>138600</v>
      </c>
    </row>
    <row r="8" spans="1:6" ht="15.75">
      <c r="A8" s="55" t="s">
        <v>779</v>
      </c>
      <c r="B8" s="226">
        <v>1852</v>
      </c>
      <c r="C8" s="55">
        <v>15</v>
      </c>
      <c r="D8" s="55">
        <v>653702</v>
      </c>
      <c r="E8" s="55">
        <v>352900</v>
      </c>
      <c r="F8" s="55">
        <v>170700</v>
      </c>
    </row>
    <row r="9" spans="1:6">
      <c r="A9" s="55" t="s">
        <v>976</v>
      </c>
      <c r="B9" s="226">
        <v>3137</v>
      </c>
      <c r="C9" s="55">
        <v>26</v>
      </c>
      <c r="D9" s="55">
        <v>803977</v>
      </c>
      <c r="E9" s="55">
        <v>256300</v>
      </c>
      <c r="F9" s="55">
        <v>129000</v>
      </c>
    </row>
    <row r="10" spans="1:6">
      <c r="A10" s="55" t="s">
        <v>977</v>
      </c>
      <c r="B10" s="226">
        <v>626</v>
      </c>
      <c r="C10" s="55">
        <v>5</v>
      </c>
      <c r="D10" s="55">
        <v>57036</v>
      </c>
      <c r="E10" s="55">
        <v>91100</v>
      </c>
      <c r="F10" s="55">
        <v>17900</v>
      </c>
    </row>
    <row r="11" spans="1:6">
      <c r="A11" s="55" t="s">
        <v>1004</v>
      </c>
      <c r="B11" s="226">
        <v>1493</v>
      </c>
      <c r="C11" s="55">
        <v>12</v>
      </c>
      <c r="D11" s="55">
        <v>526565</v>
      </c>
      <c r="E11" s="55">
        <v>352600</v>
      </c>
      <c r="F11" s="55">
        <v>211800</v>
      </c>
    </row>
    <row r="12" spans="1:6" ht="5.25" customHeight="1">
      <c r="B12" s="226"/>
    </row>
    <row r="13" spans="1:6">
      <c r="A13" s="51" t="s">
        <v>1005</v>
      </c>
      <c r="B13" s="226">
        <v>3927</v>
      </c>
      <c r="C13" s="55">
        <v>32</v>
      </c>
      <c r="D13" s="55">
        <v>485458</v>
      </c>
      <c r="E13" s="55">
        <v>123600</v>
      </c>
      <c r="F13" s="55">
        <v>31800</v>
      </c>
    </row>
    <row r="14" spans="1:6">
      <c r="A14" s="55" t="s">
        <v>692</v>
      </c>
      <c r="B14" s="226">
        <v>1902</v>
      </c>
      <c r="C14" s="55">
        <v>15</v>
      </c>
      <c r="D14" s="55">
        <v>216985</v>
      </c>
      <c r="E14" s="55">
        <v>114100</v>
      </c>
      <c r="F14" s="55">
        <v>21800</v>
      </c>
    </row>
    <row r="15" spans="1:6">
      <c r="A15" s="55" t="s">
        <v>693</v>
      </c>
      <c r="B15" s="226">
        <v>1635</v>
      </c>
      <c r="C15" s="55">
        <v>13</v>
      </c>
      <c r="D15" s="55">
        <v>143925</v>
      </c>
      <c r="E15" s="55">
        <v>88000</v>
      </c>
      <c r="F15" s="55">
        <v>15600</v>
      </c>
    </row>
    <row r="16" spans="1:6">
      <c r="A16" s="55" t="s">
        <v>694</v>
      </c>
      <c r="B16" s="226">
        <v>267</v>
      </c>
      <c r="C16" s="55">
        <v>2</v>
      </c>
      <c r="D16" s="55">
        <v>73060</v>
      </c>
      <c r="E16" s="55">
        <v>273800</v>
      </c>
      <c r="F16" s="55">
        <v>170800</v>
      </c>
    </row>
    <row r="17" spans="1:40">
      <c r="A17" s="55" t="s">
        <v>638</v>
      </c>
      <c r="B17" s="226">
        <v>2026</v>
      </c>
      <c r="C17" s="55">
        <v>16</v>
      </c>
      <c r="D17" s="55">
        <v>268473</v>
      </c>
      <c r="E17" s="55">
        <v>132540</v>
      </c>
      <c r="F17" s="55">
        <v>43500</v>
      </c>
    </row>
    <row r="18" spans="1:40">
      <c r="A18" s="50" t="s">
        <v>693</v>
      </c>
      <c r="B18" s="226">
        <v>1240</v>
      </c>
      <c r="C18" s="50">
        <v>10</v>
      </c>
      <c r="D18" s="50">
        <v>117738</v>
      </c>
      <c r="E18" s="50">
        <v>94900</v>
      </c>
      <c r="F18" s="50">
        <v>14200</v>
      </c>
    </row>
    <row r="19" spans="1:40">
      <c r="A19" s="50" t="s">
        <v>694</v>
      </c>
      <c r="B19" s="226">
        <v>785</v>
      </c>
      <c r="C19" s="50">
        <v>6</v>
      </c>
      <c r="D19" s="50">
        <v>150735</v>
      </c>
      <c r="E19" s="50">
        <v>192000</v>
      </c>
      <c r="F19" s="50">
        <v>108600</v>
      </c>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row>
    <row r="20" spans="1:40" ht="5.45" customHeight="1">
      <c r="A20" s="50"/>
      <c r="B20" s="226"/>
      <c r="C20" s="50"/>
      <c r="D20" s="50"/>
      <c r="E20" s="50"/>
      <c r="F20" s="50"/>
    </row>
    <row r="21" spans="1:40" ht="15.75">
      <c r="A21" s="51" t="s">
        <v>780</v>
      </c>
      <c r="B21" s="226"/>
    </row>
    <row r="22" spans="1:40">
      <c r="A22" s="55" t="s">
        <v>640</v>
      </c>
      <c r="B22" s="226">
        <v>9984</v>
      </c>
      <c r="C22" s="55">
        <v>82</v>
      </c>
      <c r="D22" s="55">
        <v>2302944</v>
      </c>
      <c r="E22" s="55">
        <v>230700</v>
      </c>
      <c r="F22" s="55">
        <v>89600</v>
      </c>
    </row>
    <row r="23" spans="1:40">
      <c r="A23" s="55" t="s">
        <v>641</v>
      </c>
      <c r="B23" s="226">
        <v>724</v>
      </c>
      <c r="C23" s="55">
        <v>6</v>
      </c>
      <c r="D23" s="55">
        <v>29373</v>
      </c>
      <c r="E23" s="55">
        <v>40600</v>
      </c>
      <c r="F23" s="55">
        <v>2000</v>
      </c>
    </row>
    <row r="24" spans="1:40">
      <c r="A24" s="55" t="s">
        <v>642</v>
      </c>
      <c r="B24" s="226">
        <v>2388</v>
      </c>
      <c r="C24" s="55">
        <v>20</v>
      </c>
      <c r="D24" s="55">
        <v>210849</v>
      </c>
      <c r="E24" s="55">
        <v>88300</v>
      </c>
      <c r="F24" s="55">
        <v>32300</v>
      </c>
    </row>
    <row r="25" spans="1:40">
      <c r="A25" s="55" t="s">
        <v>643</v>
      </c>
      <c r="B25" s="226">
        <v>3017</v>
      </c>
      <c r="C25" s="55">
        <v>25</v>
      </c>
      <c r="D25" s="55">
        <v>587168</v>
      </c>
      <c r="E25" s="55">
        <v>194600</v>
      </c>
      <c r="F25" s="55">
        <v>99500</v>
      </c>
    </row>
    <row r="26" spans="1:40">
      <c r="A26" s="55" t="s">
        <v>644</v>
      </c>
      <c r="B26" s="226">
        <v>1459</v>
      </c>
      <c r="C26" s="55">
        <v>12</v>
      </c>
      <c r="D26" s="55">
        <v>664185</v>
      </c>
      <c r="E26" s="55">
        <v>455100</v>
      </c>
      <c r="F26" s="55">
        <v>272200</v>
      </c>
    </row>
    <row r="27" spans="1:40">
      <c r="A27" s="55" t="s">
        <v>57</v>
      </c>
      <c r="B27" s="226">
        <v>2232</v>
      </c>
      <c r="C27" s="55">
        <v>18</v>
      </c>
      <c r="D27" s="55">
        <v>742191</v>
      </c>
      <c r="E27" s="55">
        <v>332600</v>
      </c>
      <c r="F27" s="55">
        <v>211500</v>
      </c>
    </row>
    <row r="28" spans="1:40" ht="4.1500000000000004" customHeight="1">
      <c r="B28" s="226"/>
    </row>
    <row r="29" spans="1:40">
      <c r="A29" s="51" t="s">
        <v>58</v>
      </c>
      <c r="B29" s="226"/>
    </row>
    <row r="30" spans="1:40">
      <c r="A30" s="55" t="s">
        <v>59</v>
      </c>
      <c r="B30" s="226">
        <v>1037</v>
      </c>
      <c r="C30" s="55">
        <v>8</v>
      </c>
      <c r="D30" s="55">
        <v>59140</v>
      </c>
      <c r="E30" s="55">
        <v>57000</v>
      </c>
      <c r="F30" s="55">
        <v>1.75</v>
      </c>
    </row>
    <row r="31" spans="1:40">
      <c r="A31" s="55" t="s">
        <v>60</v>
      </c>
      <c r="B31" s="226">
        <v>2183</v>
      </c>
      <c r="C31" s="55">
        <v>18</v>
      </c>
      <c r="D31" s="55">
        <v>319268</v>
      </c>
      <c r="E31" s="55">
        <v>146000</v>
      </c>
      <c r="F31" s="55">
        <v>65600</v>
      </c>
    </row>
    <row r="32" spans="1:40">
      <c r="A32" s="55" t="s">
        <v>61</v>
      </c>
      <c r="B32" s="226">
        <v>19144</v>
      </c>
      <c r="C32" s="55">
        <v>157</v>
      </c>
      <c r="D32" s="55">
        <v>412299</v>
      </c>
      <c r="E32" s="55">
        <v>215000</v>
      </c>
      <c r="F32" s="55">
        <v>114200</v>
      </c>
    </row>
    <row r="33" spans="1:6">
      <c r="A33" s="50" t="s">
        <v>62</v>
      </c>
      <c r="B33" s="226">
        <v>1515</v>
      </c>
      <c r="C33" s="50">
        <v>12</v>
      </c>
      <c r="D33" s="50">
        <v>395578</v>
      </c>
      <c r="E33" s="50">
        <v>261100</v>
      </c>
      <c r="F33" s="50">
        <v>147100</v>
      </c>
    </row>
    <row r="34" spans="1:6">
      <c r="A34" s="213" t="s">
        <v>63</v>
      </c>
      <c r="B34" s="226">
        <v>2144</v>
      </c>
      <c r="C34" s="50">
        <v>18</v>
      </c>
      <c r="D34" s="50">
        <v>775301</v>
      </c>
      <c r="E34" s="50">
        <v>361600</v>
      </c>
      <c r="F34" s="50">
        <v>215000</v>
      </c>
    </row>
    <row r="35" spans="1:6">
      <c r="A35" s="217" t="s">
        <v>64</v>
      </c>
      <c r="B35" s="227">
        <v>1251</v>
      </c>
      <c r="C35" s="54">
        <v>10</v>
      </c>
      <c r="D35" s="54">
        <v>886334</v>
      </c>
      <c r="E35" s="54">
        <v>708300</v>
      </c>
      <c r="F35" s="54">
        <v>441700</v>
      </c>
    </row>
    <row r="37" spans="1:6" s="228" customFormat="1">
      <c r="A37" s="228" t="s">
        <v>681</v>
      </c>
    </row>
    <row r="38" spans="1:6">
      <c r="A38" s="55" t="s">
        <v>639</v>
      </c>
    </row>
    <row r="39" spans="1:6" ht="15.75">
      <c r="A39" s="138" t="s">
        <v>295</v>
      </c>
    </row>
    <row r="40" spans="1:6" ht="15.75">
      <c r="A40" s="138" t="s">
        <v>296</v>
      </c>
    </row>
    <row r="41" spans="1:6" ht="15.75">
      <c r="A41" s="138" t="s">
        <v>297</v>
      </c>
    </row>
  </sheetData>
  <phoneticPr fontId="35" type="noConversion"/>
  <pageMargins left="0.75" right="0.75" top="1" bottom="1" header="0.5" footer="0.5"/>
  <pageSetup scale="88" orientation="landscape" verticalDpi="0" r:id="rId1"/>
  <headerFooter alignWithMargins="0"/>
</worksheet>
</file>

<file path=xl/worksheets/sheet91.xml><?xml version="1.0" encoding="utf-8"?>
<worksheet xmlns="http://schemas.openxmlformats.org/spreadsheetml/2006/main" xmlns:r="http://schemas.openxmlformats.org/officeDocument/2006/relationships">
  <sheetPr codeName="Sheet83">
    <pageSetUpPr fitToPage="1"/>
  </sheetPr>
  <dimension ref="A1:H20"/>
  <sheetViews>
    <sheetView view="pageBreakPreview" zoomScaleSheetLayoutView="100" workbookViewId="0">
      <selection activeCell="H62" sqref="H62"/>
    </sheetView>
  </sheetViews>
  <sheetFormatPr defaultColWidth="8" defaultRowHeight="12.75"/>
  <cols>
    <col min="1" max="1" width="14.7109375" style="55" customWidth="1"/>
    <col min="2" max="5" width="16.140625" style="55" customWidth="1"/>
    <col min="6" max="16384" width="8" style="55"/>
  </cols>
  <sheetData>
    <row r="1" spans="1:8" ht="15.75">
      <c r="A1" s="3" t="s">
        <v>2175</v>
      </c>
    </row>
    <row r="2" spans="1:8" ht="24" customHeight="1"/>
    <row r="3" spans="1:8" s="52" customFormat="1" ht="15" customHeight="1">
      <c r="A3" s="654"/>
      <c r="B3" s="1196" t="s">
        <v>627</v>
      </c>
      <c r="C3" s="1197"/>
      <c r="D3" s="1196" t="s">
        <v>783</v>
      </c>
      <c r="E3" s="1198"/>
    </row>
    <row r="4" spans="1:8" ht="15" customHeight="1">
      <c r="A4" s="54"/>
      <c r="B4" s="208">
        <v>1999</v>
      </c>
      <c r="C4" s="193">
        <v>2005</v>
      </c>
      <c r="D4" s="208" t="s">
        <v>628</v>
      </c>
      <c r="E4" s="209" t="s">
        <v>963</v>
      </c>
    </row>
    <row r="5" spans="1:8" ht="15" customHeight="1">
      <c r="A5" s="55" t="s">
        <v>964</v>
      </c>
      <c r="B5" s="18">
        <v>120500</v>
      </c>
      <c r="C5" s="354">
        <v>148400</v>
      </c>
      <c r="D5" s="358">
        <f t="shared" ref="D5:D10" si="0">C5-B5</f>
        <v>27900</v>
      </c>
      <c r="E5" s="352">
        <f t="shared" ref="E5:E10" si="1">(C5/B5-1)*100</f>
        <v>23.153526970954363</v>
      </c>
    </row>
    <row r="6" spans="1:8" ht="15" customHeight="1">
      <c r="A6" s="55" t="s">
        <v>965</v>
      </c>
      <c r="B6" s="20">
        <v>1100</v>
      </c>
      <c r="C6" s="355">
        <v>1000</v>
      </c>
      <c r="D6" s="358">
        <f t="shared" si="0"/>
        <v>-100</v>
      </c>
      <c r="E6" s="352">
        <f t="shared" si="1"/>
        <v>-9.0909090909090935</v>
      </c>
    </row>
    <row r="7" spans="1:8" ht="15" customHeight="1">
      <c r="A7" s="55" t="s">
        <v>966</v>
      </c>
      <c r="B7" s="20">
        <v>34800</v>
      </c>
      <c r="C7" s="355">
        <v>37300</v>
      </c>
      <c r="D7" s="358">
        <f t="shared" si="0"/>
        <v>2500</v>
      </c>
      <c r="E7" s="352">
        <f t="shared" si="1"/>
        <v>7.1839080459770166</v>
      </c>
    </row>
    <row r="8" spans="1:8" ht="15" customHeight="1">
      <c r="A8" s="55" t="s">
        <v>967</v>
      </c>
      <c r="B8" s="20">
        <v>120500</v>
      </c>
      <c r="C8" s="355">
        <v>148400</v>
      </c>
      <c r="D8" s="358">
        <f t="shared" si="0"/>
        <v>27900</v>
      </c>
      <c r="E8" s="352">
        <f t="shared" si="1"/>
        <v>23.153526970954363</v>
      </c>
    </row>
    <row r="9" spans="1:8" ht="15" customHeight="1">
      <c r="A9" s="55" t="s">
        <v>968</v>
      </c>
      <c r="B9" s="20">
        <v>275600</v>
      </c>
      <c r="C9" s="355">
        <v>361200</v>
      </c>
      <c r="D9" s="358">
        <f t="shared" si="0"/>
        <v>85600</v>
      </c>
      <c r="E9" s="352">
        <f t="shared" si="1"/>
        <v>31.05950653120464</v>
      </c>
    </row>
    <row r="10" spans="1:8" ht="15" customHeight="1">
      <c r="A10" s="54" t="s">
        <v>969</v>
      </c>
      <c r="B10" s="356">
        <v>671600</v>
      </c>
      <c r="C10" s="357">
        <v>862900</v>
      </c>
      <c r="D10" s="359">
        <f t="shared" si="0"/>
        <v>191300</v>
      </c>
      <c r="E10" s="353">
        <f t="shared" si="1"/>
        <v>28.484216795711738</v>
      </c>
      <c r="G10" s="362"/>
      <c r="H10" s="362"/>
    </row>
    <row r="12" spans="1:8">
      <c r="A12" s="55" t="s">
        <v>1555</v>
      </c>
    </row>
    <row r="13" spans="1:8">
      <c r="A13" s="55" t="s">
        <v>1556</v>
      </c>
    </row>
    <row r="14" spans="1:8" s="655" customFormat="1" ht="12.75" customHeight="1">
      <c r="A14" s="1199" t="s">
        <v>629</v>
      </c>
      <c r="B14" s="1199"/>
      <c r="C14" s="1199"/>
      <c r="D14" s="1199"/>
      <c r="E14" s="1199"/>
    </row>
    <row r="17" spans="2:5">
      <c r="E17" s="1"/>
    </row>
    <row r="20" spans="2:5">
      <c r="B20" s="490">
        <f>B10/B8</f>
        <v>5.5734439834024894</v>
      </c>
      <c r="C20" s="490">
        <f>C10/C8</f>
        <v>5.8146900269541781</v>
      </c>
    </row>
  </sheetData>
  <mergeCells count="3">
    <mergeCell ref="B3:C3"/>
    <mergeCell ref="D3:E3"/>
    <mergeCell ref="A14:E14"/>
  </mergeCells>
  <phoneticPr fontId="35" type="noConversion"/>
  <pageMargins left="0.75" right="0.75" top="1" bottom="1" header="0.5" footer="0.5"/>
  <pageSetup orientation="landscape" verticalDpi="0" r:id="rId1"/>
  <headerFooter alignWithMargins="0"/>
</worksheet>
</file>

<file path=xl/worksheets/sheet92.xml><?xml version="1.0" encoding="utf-8"?>
<worksheet xmlns="http://schemas.openxmlformats.org/spreadsheetml/2006/main" xmlns:r="http://schemas.openxmlformats.org/officeDocument/2006/relationships">
  <sheetPr codeName="Sheet131"/>
  <dimension ref="A1:H21"/>
  <sheetViews>
    <sheetView view="pageBreakPreview" zoomScale="112" zoomScaleSheetLayoutView="112" workbookViewId="0">
      <selection activeCell="H62" sqref="H62"/>
    </sheetView>
  </sheetViews>
  <sheetFormatPr defaultColWidth="8" defaultRowHeight="12.75"/>
  <cols>
    <col min="1" max="1" width="16.28515625" style="256" customWidth="1"/>
    <col min="2" max="8" width="8" style="256" customWidth="1"/>
    <col min="9" max="9" width="23.5703125" style="256" customWidth="1"/>
    <col min="10" max="16384" width="8" style="256"/>
  </cols>
  <sheetData>
    <row r="1" spans="1:8" ht="32.25" customHeight="1">
      <c r="A1" s="1203" t="s">
        <v>2176</v>
      </c>
      <c r="B1" s="1188"/>
      <c r="C1" s="1188"/>
      <c r="D1" s="1188"/>
      <c r="E1" s="1188"/>
      <c r="F1" s="1188"/>
      <c r="G1" s="1188"/>
      <c r="H1" s="1188"/>
    </row>
    <row r="3" spans="1:8" ht="21.75" customHeight="1">
      <c r="A3" s="748"/>
      <c r="B3" s="749">
        <v>1970</v>
      </c>
      <c r="C3" s="750">
        <v>1977</v>
      </c>
      <c r="D3" s="750">
        <v>1984</v>
      </c>
      <c r="E3" s="750">
        <v>1999</v>
      </c>
      <c r="F3" s="748"/>
      <c r="G3" s="778" t="s">
        <v>1011</v>
      </c>
      <c r="H3" s="778" t="s">
        <v>1012</v>
      </c>
    </row>
    <row r="4" spans="1:8">
      <c r="A4" s="256" t="s">
        <v>665</v>
      </c>
      <c r="B4" s="779">
        <v>-0.01</v>
      </c>
      <c r="C4" s="761">
        <v>-6.0000000000000001E-3</v>
      </c>
      <c r="D4" s="761">
        <v>-5.0000000000000001E-3</v>
      </c>
      <c r="E4" s="761">
        <v>-6.0000000000000001E-3</v>
      </c>
      <c r="G4" s="644">
        <v>-0.27360623539390011</v>
      </c>
      <c r="H4" s="644">
        <v>-0.25793777396746975</v>
      </c>
    </row>
    <row r="5" spans="1:8">
      <c r="A5" s="256" t="s">
        <v>666</v>
      </c>
      <c r="B5" s="779">
        <v>0</v>
      </c>
      <c r="C5" s="761">
        <v>1E-3</v>
      </c>
      <c r="D5" s="761">
        <v>1E-3</v>
      </c>
      <c r="E5" s="761">
        <v>0</v>
      </c>
      <c r="G5" s="644">
        <v>0.16699157823210603</v>
      </c>
      <c r="H5" s="644">
        <v>0.12713373684996895</v>
      </c>
    </row>
    <row r="6" spans="1:8">
      <c r="A6" s="256" t="s">
        <v>667</v>
      </c>
      <c r="B6" s="779">
        <v>3.0000000000000001E-3</v>
      </c>
      <c r="C6" s="761">
        <v>5.0000000000000001E-3</v>
      </c>
      <c r="D6" s="761">
        <v>5.0000000000000001E-3</v>
      </c>
      <c r="E6" s="761">
        <v>4.0000000000000001E-3</v>
      </c>
      <c r="G6" s="644">
        <v>0.73464329944101525</v>
      </c>
      <c r="H6" s="644">
        <v>0.60628788553293644</v>
      </c>
    </row>
    <row r="7" spans="1:8">
      <c r="A7" s="256" t="s">
        <v>668</v>
      </c>
      <c r="B7" s="779">
        <v>1.2999999999999999E-2</v>
      </c>
      <c r="C7" s="761">
        <v>1.6E-2</v>
      </c>
      <c r="D7" s="761">
        <v>1.7000000000000001E-2</v>
      </c>
      <c r="E7" s="761">
        <v>1.2999999999999999E-2</v>
      </c>
      <c r="G7" s="644">
        <v>1.8796320027204945</v>
      </c>
      <c r="H7" s="644">
        <v>1.6491848347536264</v>
      </c>
    </row>
    <row r="8" spans="1:8">
      <c r="A8" s="256" t="s">
        <v>669</v>
      </c>
      <c r="B8" s="779">
        <v>0.03</v>
      </c>
      <c r="C8" s="761">
        <v>3.5000000000000003E-2</v>
      </c>
      <c r="D8" s="761">
        <v>3.5000000000000003E-2</v>
      </c>
      <c r="E8" s="761">
        <v>2.8000000000000001E-2</v>
      </c>
      <c r="G8" s="644">
        <v>3.3478557851515531</v>
      </c>
      <c r="H8" s="644">
        <v>3.1916255325001188</v>
      </c>
    </row>
    <row r="9" spans="1:8">
      <c r="A9" s="256" t="s">
        <v>670</v>
      </c>
      <c r="B9" s="779">
        <v>5.3999999999999999E-2</v>
      </c>
      <c r="C9" s="761">
        <v>5.8999999999999997E-2</v>
      </c>
      <c r="D9" s="761">
        <v>5.6000000000000001E-2</v>
      </c>
      <c r="E9" s="761">
        <v>4.7E-2</v>
      </c>
      <c r="G9" s="644">
        <v>5.450955863483772</v>
      </c>
      <c r="H9" s="644">
        <v>5.2189314177715316</v>
      </c>
    </row>
    <row r="10" spans="1:8">
      <c r="A10" s="256" t="s">
        <v>671</v>
      </c>
      <c r="B10" s="779">
        <v>8.3000000000000004E-2</v>
      </c>
      <c r="C10" s="761">
        <v>8.5999999999999993E-2</v>
      </c>
      <c r="D10" s="761">
        <v>8.2000000000000003E-2</v>
      </c>
      <c r="E10" s="761">
        <v>7.3999999999999996E-2</v>
      </c>
      <c r="G10" s="644">
        <v>8.0823173238236556</v>
      </c>
      <c r="H10" s="644">
        <v>8.0522319160269848</v>
      </c>
    </row>
    <row r="11" spans="1:8">
      <c r="A11" s="256" t="s">
        <v>672</v>
      </c>
      <c r="B11" s="779">
        <v>0.11799999999999999</v>
      </c>
      <c r="C11" s="761">
        <v>0.121</v>
      </c>
      <c r="D11" s="761">
        <v>0.115</v>
      </c>
      <c r="E11" s="761">
        <v>0.11</v>
      </c>
      <c r="G11" s="644">
        <v>12.043910018338824</v>
      </c>
      <c r="H11" s="644">
        <v>12.168932253114873</v>
      </c>
    </row>
    <row r="12" spans="1:8">
      <c r="A12" s="256" t="s">
        <v>673</v>
      </c>
      <c r="B12" s="779">
        <v>0.17599999999999999</v>
      </c>
      <c r="C12" s="761">
        <v>0.17599999999999999</v>
      </c>
      <c r="D12" s="761">
        <v>0.17499999999999999</v>
      </c>
      <c r="E12" s="761">
        <v>0.17399999999999999</v>
      </c>
      <c r="G12" s="644">
        <v>18.939685162705217</v>
      </c>
      <c r="H12" s="644">
        <v>18.313367590134032</v>
      </c>
    </row>
    <row r="13" spans="1:8">
      <c r="A13" s="256" t="s">
        <v>674</v>
      </c>
      <c r="B13" s="779">
        <v>0.53300000000000003</v>
      </c>
      <c r="C13" s="761">
        <v>0.50700000000000001</v>
      </c>
      <c r="D13" s="761">
        <v>0.51800000000000002</v>
      </c>
      <c r="E13" s="761">
        <v>0.55700000000000005</v>
      </c>
      <c r="G13" s="644">
        <v>49.627615201463698</v>
      </c>
      <c r="H13" s="644">
        <v>50.93024260728339</v>
      </c>
    </row>
    <row r="14" spans="1:8">
      <c r="A14" s="256" t="s">
        <v>675</v>
      </c>
      <c r="B14" s="779">
        <v>1</v>
      </c>
      <c r="C14" s="761">
        <v>1</v>
      </c>
      <c r="D14" s="761">
        <v>0.999</v>
      </c>
      <c r="E14" s="761">
        <v>1.0009999999999999</v>
      </c>
      <c r="F14" s="761"/>
      <c r="G14" s="780"/>
      <c r="H14" s="755"/>
    </row>
    <row r="15" spans="1:8">
      <c r="A15" s="256" t="s">
        <v>645</v>
      </c>
      <c r="B15" s="779">
        <v>3.5999999999999997E-2</v>
      </c>
      <c r="C15" s="761">
        <v>5.0999999999999997E-2</v>
      </c>
      <c r="D15" s="761">
        <v>5.2999999999999999E-2</v>
      </c>
      <c r="E15" s="761">
        <v>3.9E-2</v>
      </c>
      <c r="G15" s="662">
        <f>SUM(G4:G8)</f>
        <v>5.855516430151269</v>
      </c>
      <c r="H15" s="662">
        <f>SUM(H4:H8)</f>
        <v>5.3162942156691813</v>
      </c>
    </row>
    <row r="16" spans="1:8">
      <c r="A16" s="256" t="s">
        <v>646</v>
      </c>
      <c r="B16" s="779">
        <v>0.96399999999999997</v>
      </c>
      <c r="C16" s="761">
        <v>0.94899999999999995</v>
      </c>
      <c r="D16" s="761">
        <v>0.94599999999999995</v>
      </c>
      <c r="E16" s="761">
        <v>0.96199999999999997</v>
      </c>
      <c r="G16" s="662">
        <f>SUM(G9:G13)</f>
        <v>94.144483569815165</v>
      </c>
      <c r="H16" s="662">
        <f>SUM(H9:H13)</f>
        <v>94.683705784330812</v>
      </c>
    </row>
    <row r="18" spans="1:7" ht="38.25" customHeight="1">
      <c r="A18" s="1200" t="s">
        <v>647</v>
      </c>
      <c r="B18" s="1200"/>
      <c r="C18" s="1200"/>
      <c r="D18" s="1200"/>
      <c r="E18" s="1200"/>
      <c r="F18" s="1200"/>
      <c r="G18" s="1200"/>
    </row>
    <row r="19" spans="1:7" ht="41.25" customHeight="1">
      <c r="A19" s="1200" t="s">
        <v>648</v>
      </c>
      <c r="B19" s="1200"/>
      <c r="C19" s="1200"/>
      <c r="D19" s="1200"/>
      <c r="E19" s="1200"/>
      <c r="F19" s="1200"/>
      <c r="G19" s="1200"/>
    </row>
    <row r="20" spans="1:7" ht="54" customHeight="1">
      <c r="A20" s="1202" t="s">
        <v>1014</v>
      </c>
      <c r="B20" s="1202"/>
      <c r="C20" s="1202"/>
      <c r="D20" s="1202"/>
      <c r="E20" s="1202"/>
      <c r="F20" s="1202"/>
      <c r="G20" s="1202"/>
    </row>
    <row r="21" spans="1:7" ht="26.25" customHeight="1">
      <c r="A21" s="1201" t="s">
        <v>1013</v>
      </c>
      <c r="B21" s="1201"/>
      <c r="C21" s="1201"/>
      <c r="D21" s="1201"/>
      <c r="E21" s="1201"/>
      <c r="F21" s="1201"/>
      <c r="G21" s="1201"/>
    </row>
  </sheetData>
  <mergeCells count="5">
    <mergeCell ref="A19:G19"/>
    <mergeCell ref="A18:G18"/>
    <mergeCell ref="A21:G21"/>
    <mergeCell ref="A20:G20"/>
    <mergeCell ref="A1:H1"/>
  </mergeCells>
  <phoneticPr fontId="36" type="noConversion"/>
  <pageMargins left="0.75" right="0.75" top="1" bottom="1" header="0.5" footer="0.5"/>
  <pageSetup orientation="portrait" verticalDpi="0" r:id="rId1"/>
  <headerFooter alignWithMargins="0"/>
</worksheet>
</file>

<file path=xl/worksheets/sheet93.xml><?xml version="1.0" encoding="utf-8"?>
<worksheet xmlns="http://schemas.openxmlformats.org/spreadsheetml/2006/main" xmlns:r="http://schemas.openxmlformats.org/officeDocument/2006/relationships">
  <sheetPr codeName="Sheet132"/>
  <dimension ref="A1:O24"/>
  <sheetViews>
    <sheetView view="pageBreakPreview" zoomScale="60" workbookViewId="0">
      <pane xSplit="1" ySplit="3" topLeftCell="B4" activePane="bottomRight" state="frozen"/>
      <selection activeCell="H62" sqref="H62"/>
      <selection pane="topRight" activeCell="H62" sqref="H62"/>
      <selection pane="bottomLeft" activeCell="H62" sqref="H62"/>
      <selection pane="bottomRight" activeCell="H62" sqref="H62"/>
    </sheetView>
  </sheetViews>
  <sheetFormatPr defaultColWidth="8" defaultRowHeight="12.75"/>
  <cols>
    <col min="1" max="1" width="14" style="256" customWidth="1"/>
    <col min="2" max="3" width="8" style="256" customWidth="1"/>
    <col min="4" max="4" width="9.140625" style="256" customWidth="1"/>
    <col min="5" max="5" width="8" style="256" customWidth="1"/>
    <col min="6" max="6" width="9.7109375" style="256" customWidth="1"/>
    <col min="7" max="7" width="9.5703125" style="256" customWidth="1"/>
    <col min="8" max="8" width="16.85546875" style="256" customWidth="1"/>
    <col min="9" max="9" width="16.42578125" style="256" customWidth="1"/>
    <col min="10" max="10" width="17.5703125" style="256" customWidth="1"/>
    <col min="11" max="11" width="16.42578125" style="256" customWidth="1"/>
    <col min="12" max="12" width="16.140625" style="256" customWidth="1"/>
    <col min="13" max="16384" width="8" style="256"/>
  </cols>
  <sheetData>
    <row r="1" spans="1:15" ht="15.75">
      <c r="A1" s="747" t="s">
        <v>2177</v>
      </c>
    </row>
    <row r="3" spans="1:15" ht="38.25">
      <c r="A3" s="748"/>
      <c r="B3" s="749">
        <v>1970</v>
      </c>
      <c r="C3" s="750">
        <v>1977</v>
      </c>
      <c r="D3" s="750">
        <v>1984</v>
      </c>
      <c r="E3" s="750">
        <v>1999</v>
      </c>
      <c r="F3" s="749" t="s">
        <v>1011</v>
      </c>
      <c r="G3" s="750" t="s">
        <v>1012</v>
      </c>
      <c r="H3" s="758" t="s">
        <v>649</v>
      </c>
      <c r="I3" s="752" t="s">
        <v>1015</v>
      </c>
      <c r="J3" s="758" t="s">
        <v>1016</v>
      </c>
      <c r="K3" s="752" t="s">
        <v>1017</v>
      </c>
      <c r="L3" s="764" t="s">
        <v>1021</v>
      </c>
    </row>
    <row r="4" spans="1:15">
      <c r="A4" s="256" t="s">
        <v>650</v>
      </c>
      <c r="B4" s="768">
        <v>-8301</v>
      </c>
      <c r="C4" s="769">
        <v>-7671</v>
      </c>
      <c r="D4" s="769">
        <v>-5956</v>
      </c>
      <c r="E4" s="769">
        <v>-10656</v>
      </c>
      <c r="F4" s="20">
        <v>-6671</v>
      </c>
      <c r="G4" s="39">
        <v>-8120.904861650657</v>
      </c>
      <c r="H4" s="770" t="s">
        <v>744</v>
      </c>
      <c r="I4" s="769">
        <v>-2355</v>
      </c>
      <c r="J4" s="771" t="s">
        <v>744</v>
      </c>
      <c r="K4" s="769">
        <f>G4-F4</f>
        <v>-1449.904861650657</v>
      </c>
      <c r="L4" s="772">
        <f>100*K4/725791.423260219</f>
        <v>-0.19976880618646006</v>
      </c>
    </row>
    <row r="5" spans="1:15">
      <c r="A5" s="256" t="s">
        <v>666</v>
      </c>
      <c r="B5" s="503">
        <v>0</v>
      </c>
      <c r="C5" s="753">
        <v>1279</v>
      </c>
      <c r="D5" s="753">
        <v>931</v>
      </c>
      <c r="E5" s="753">
        <v>369</v>
      </c>
      <c r="F5" s="20">
        <v>4070</v>
      </c>
      <c r="G5" s="39">
        <v>4034.3478740282335</v>
      </c>
      <c r="H5" s="760" t="s">
        <v>744</v>
      </c>
      <c r="I5" s="765">
        <v>369</v>
      </c>
      <c r="J5" s="773">
        <f t="shared" ref="J5:J14" si="0">100*(G5/F5-1)</f>
        <v>-0.87597361109991168</v>
      </c>
      <c r="K5" s="769">
        <f t="shared" ref="K5:K14" si="1">G5-F5</f>
        <v>-35.652125971766509</v>
      </c>
      <c r="L5" s="772">
        <f t="shared" ref="L5:L13" si="2">100*K5/725791.423260219</f>
        <v>-4.9121723995605967E-3</v>
      </c>
    </row>
    <row r="6" spans="1:15">
      <c r="A6" s="256" t="s">
        <v>667</v>
      </c>
      <c r="B6" s="503">
        <v>2490</v>
      </c>
      <c r="C6" s="753">
        <v>6393</v>
      </c>
      <c r="D6" s="753">
        <v>6991</v>
      </c>
      <c r="E6" s="753">
        <v>6306</v>
      </c>
      <c r="F6" s="20">
        <v>17927</v>
      </c>
      <c r="G6" s="39">
        <v>19169.783398959367</v>
      </c>
      <c r="H6" s="770">
        <f t="shared" ref="H6:H14" si="3">(E6/B6-1)*100</f>
        <v>153.25301204819274</v>
      </c>
      <c r="I6" s="765">
        <v>3816</v>
      </c>
      <c r="J6" s="773">
        <f t="shared" si="0"/>
        <v>6.9324672223984418</v>
      </c>
      <c r="K6" s="769">
        <f t="shared" si="1"/>
        <v>1242.7833989593673</v>
      </c>
      <c r="L6" s="772">
        <f t="shared" si="2"/>
        <v>0.17123148044059905</v>
      </c>
      <c r="M6" s="757"/>
      <c r="N6" s="757"/>
      <c r="O6" s="757"/>
    </row>
    <row r="7" spans="1:15">
      <c r="A7" s="256" t="s">
        <v>668</v>
      </c>
      <c r="B7" s="503">
        <v>10792</v>
      </c>
      <c r="C7" s="753">
        <v>20456</v>
      </c>
      <c r="D7" s="753">
        <v>21705</v>
      </c>
      <c r="E7" s="753">
        <v>23179</v>
      </c>
      <c r="F7" s="20">
        <v>45853</v>
      </c>
      <c r="G7" s="39">
        <v>52193.778722079776</v>
      </c>
      <c r="H7" s="770">
        <f t="shared" si="3"/>
        <v>114.7794662713121</v>
      </c>
      <c r="I7" s="765">
        <v>12387</v>
      </c>
      <c r="J7" s="773">
        <f t="shared" si="0"/>
        <v>13.828492622248877</v>
      </c>
      <c r="K7" s="769">
        <f t="shared" si="1"/>
        <v>6340.7787220797763</v>
      </c>
      <c r="L7" s="772">
        <f t="shared" si="2"/>
        <v>0.87363649099038843</v>
      </c>
      <c r="M7" s="757"/>
      <c r="N7" s="757"/>
      <c r="O7" s="757"/>
    </row>
    <row r="8" spans="1:15">
      <c r="A8" s="256" t="s">
        <v>669</v>
      </c>
      <c r="B8" s="503">
        <v>24904</v>
      </c>
      <c r="C8" s="753">
        <v>44748</v>
      </c>
      <c r="D8" s="753">
        <v>45246</v>
      </c>
      <c r="E8" s="753">
        <v>49437</v>
      </c>
      <c r="F8" s="20">
        <v>81637</v>
      </c>
      <c r="G8" s="39">
        <v>100762.38518049098</v>
      </c>
      <c r="H8" s="770">
        <f t="shared" si="3"/>
        <v>98.510279473177008</v>
      </c>
      <c r="I8" s="765">
        <v>24533</v>
      </c>
      <c r="J8" s="773">
        <f t="shared" si="0"/>
        <v>23.427349339749103</v>
      </c>
      <c r="K8" s="769">
        <f t="shared" si="1"/>
        <v>19125.385180490979</v>
      </c>
      <c r="L8" s="772">
        <f t="shared" si="2"/>
        <v>2.6351076311401833</v>
      </c>
    </row>
    <row r="9" spans="1:15">
      <c r="A9" s="256" t="s">
        <v>670</v>
      </c>
      <c r="B9" s="503">
        <v>44828</v>
      </c>
      <c r="C9" s="753">
        <v>75433</v>
      </c>
      <c r="D9" s="753">
        <v>72777</v>
      </c>
      <c r="E9" s="753">
        <v>82662</v>
      </c>
      <c r="F9" s="20">
        <v>132957</v>
      </c>
      <c r="G9" s="39">
        <v>165226.80046551055</v>
      </c>
      <c r="H9" s="770">
        <f t="shared" si="3"/>
        <v>84.398144017132154</v>
      </c>
      <c r="I9" s="765">
        <v>37834</v>
      </c>
      <c r="J9" s="773">
        <f t="shared" si="0"/>
        <v>24.270854836910093</v>
      </c>
      <c r="K9" s="769">
        <f t="shared" si="1"/>
        <v>32269.800465510547</v>
      </c>
      <c r="L9" s="772">
        <f t="shared" si="2"/>
        <v>4.4461534583250115</v>
      </c>
    </row>
    <row r="10" spans="1:15">
      <c r="A10" s="256" t="s">
        <v>671</v>
      </c>
      <c r="B10" s="503">
        <v>68902</v>
      </c>
      <c r="C10" s="753">
        <v>109953</v>
      </c>
      <c r="D10" s="753">
        <v>105006</v>
      </c>
      <c r="E10" s="753">
        <v>129822</v>
      </c>
      <c r="F10" s="20">
        <v>197052</v>
      </c>
      <c r="G10" s="39">
        <v>254674.46013760293</v>
      </c>
      <c r="H10" s="770">
        <f t="shared" si="3"/>
        <v>88.415430611593266</v>
      </c>
      <c r="I10" s="765">
        <v>60920</v>
      </c>
      <c r="J10" s="773">
        <f t="shared" si="0"/>
        <v>29.242260995880741</v>
      </c>
      <c r="K10" s="769">
        <f t="shared" si="1"/>
        <v>57622.460137602931</v>
      </c>
      <c r="L10" s="772">
        <f t="shared" si="2"/>
        <v>7.9392588960015118</v>
      </c>
    </row>
    <row r="11" spans="1:15">
      <c r="A11" s="256" t="s">
        <v>672</v>
      </c>
      <c r="B11" s="503">
        <v>97957</v>
      </c>
      <c r="C11" s="753">
        <v>154701</v>
      </c>
      <c r="D11" s="753">
        <v>148780</v>
      </c>
      <c r="E11" s="753">
        <v>193488</v>
      </c>
      <c r="F11" s="20">
        <v>293832</v>
      </c>
      <c r="G11" s="39">
        <v>383191.45500162814</v>
      </c>
      <c r="H11" s="770">
        <f t="shared" si="3"/>
        <v>97.523403125861336</v>
      </c>
      <c r="I11" s="765">
        <v>95531</v>
      </c>
      <c r="J11" s="773">
        <f t="shared" si="0"/>
        <v>30.411750592729227</v>
      </c>
      <c r="K11" s="769">
        <f t="shared" si="1"/>
        <v>89359.455001628143</v>
      </c>
      <c r="L11" s="772">
        <f t="shared" si="2"/>
        <v>12.312002062552613</v>
      </c>
    </row>
    <row r="12" spans="1:15">
      <c r="A12" s="256" t="s">
        <v>673</v>
      </c>
      <c r="B12" s="503">
        <v>146106</v>
      </c>
      <c r="C12" s="753">
        <v>225020</v>
      </c>
      <c r="D12" s="753">
        <v>225901</v>
      </c>
      <c r="E12" s="753">
        <v>305674</v>
      </c>
      <c r="F12" s="20">
        <v>461855</v>
      </c>
      <c r="G12" s="39">
        <v>580884.04489702301</v>
      </c>
      <c r="H12" s="770">
        <f t="shared" si="3"/>
        <v>109.21385843154971</v>
      </c>
      <c r="I12" s="765">
        <v>159568</v>
      </c>
      <c r="J12" s="773">
        <f t="shared" si="0"/>
        <v>25.771951131204162</v>
      </c>
      <c r="K12" s="769">
        <f t="shared" si="1"/>
        <v>119029.04489702301</v>
      </c>
      <c r="L12" s="772">
        <f t="shared" si="2"/>
        <v>16.399896868765747</v>
      </c>
    </row>
    <row r="13" spans="1:15">
      <c r="A13" s="256" t="s">
        <v>651</v>
      </c>
      <c r="B13" s="503">
        <v>442468</v>
      </c>
      <c r="C13" s="753">
        <v>648211</v>
      </c>
      <c r="D13" s="753">
        <v>667485</v>
      </c>
      <c r="E13" s="753">
        <v>980903</v>
      </c>
      <c r="F13" s="20">
        <v>1210681</v>
      </c>
      <c r="G13" s="39">
        <v>1612968.2724445465</v>
      </c>
      <c r="H13" s="770">
        <f t="shared" si="3"/>
        <v>121.68902609906253</v>
      </c>
      <c r="I13" s="765">
        <v>538435</v>
      </c>
      <c r="J13" s="773">
        <f t="shared" si="0"/>
        <v>33.22818087048087</v>
      </c>
      <c r="K13" s="769">
        <f t="shared" si="1"/>
        <v>402287.27244454646</v>
      </c>
      <c r="L13" s="772">
        <f t="shared" si="2"/>
        <v>55.42739409036993</v>
      </c>
    </row>
    <row r="14" spans="1:15">
      <c r="A14" s="256" t="s">
        <v>652</v>
      </c>
      <c r="B14" s="503">
        <v>83015</v>
      </c>
      <c r="C14" s="753">
        <v>127852</v>
      </c>
      <c r="D14" s="753">
        <v>128875</v>
      </c>
      <c r="E14" s="753">
        <v>176087</v>
      </c>
      <c r="F14" s="20">
        <v>243885</v>
      </c>
      <c r="G14" s="39">
        <v>316217.95994915301</v>
      </c>
      <c r="H14" s="770">
        <f t="shared" si="3"/>
        <v>112.11467807022828</v>
      </c>
      <c r="I14" s="765">
        <v>93072</v>
      </c>
      <c r="J14" s="773">
        <f t="shared" si="0"/>
        <v>29.65863417149599</v>
      </c>
      <c r="K14" s="769">
        <f t="shared" si="1"/>
        <v>72332.95994915301</v>
      </c>
      <c r="L14" s="772">
        <v>100</v>
      </c>
    </row>
    <row r="15" spans="1:15">
      <c r="C15" s="757"/>
      <c r="D15" s="757"/>
      <c r="E15" s="774"/>
      <c r="L15" s="757"/>
    </row>
    <row r="16" spans="1:15" ht="47.25" customHeight="1">
      <c r="A16" s="1200" t="s">
        <v>1204</v>
      </c>
      <c r="B16" s="1200"/>
      <c r="C16" s="1200"/>
      <c r="D16" s="1200"/>
      <c r="E16" s="1200"/>
      <c r="F16" s="1200"/>
      <c r="G16" s="1200"/>
      <c r="H16" s="1200"/>
      <c r="I16" s="1200"/>
      <c r="J16" s="775"/>
      <c r="K16" s="776">
        <f>SUM(K4:K13)</f>
        <v>725791.42326021881</v>
      </c>
      <c r="L16" s="776">
        <v>725791.42326021905</v>
      </c>
    </row>
    <row r="17" spans="1:11">
      <c r="A17" s="1200" t="s">
        <v>1205</v>
      </c>
      <c r="B17" s="1200"/>
      <c r="C17" s="1200"/>
      <c r="D17" s="1200"/>
      <c r="E17" s="1200"/>
      <c r="F17" s="1200"/>
      <c r="G17" s="1200"/>
      <c r="H17" s="1200"/>
      <c r="I17" s="1200"/>
      <c r="J17" s="777"/>
      <c r="K17" s="777"/>
    </row>
    <row r="18" spans="1:11" ht="41.25" customHeight="1">
      <c r="A18" s="1202" t="s">
        <v>1014</v>
      </c>
      <c r="B18" s="1202"/>
      <c r="C18" s="1202"/>
      <c r="D18" s="1202"/>
      <c r="E18" s="1202"/>
      <c r="F18" s="1202"/>
      <c r="G18" s="1202"/>
      <c r="H18" s="1202"/>
      <c r="I18" s="1202"/>
    </row>
    <row r="19" spans="1:11">
      <c r="A19" s="1201" t="s">
        <v>1013</v>
      </c>
      <c r="B19" s="1201"/>
      <c r="C19" s="1201"/>
      <c r="D19" s="1201"/>
      <c r="E19" s="1201"/>
      <c r="F19" s="1201"/>
      <c r="G19" s="1201"/>
      <c r="H19" s="1201"/>
      <c r="I19" s="1201"/>
    </row>
    <row r="20" spans="1:11">
      <c r="C20" s="757">
        <f>AVERAGE(C4:C8)</f>
        <v>13041</v>
      </c>
      <c r="D20" s="757">
        <f>AVERAGE(D4:D8)</f>
        <v>13783.4</v>
      </c>
      <c r="E20" s="757">
        <f>AVERAGE(E4:E8)</f>
        <v>13727</v>
      </c>
    </row>
    <row r="21" spans="1:11">
      <c r="C21" s="757">
        <f>AVERAGE(C9:C13)</f>
        <v>242663.6</v>
      </c>
      <c r="D21" s="757">
        <f>AVERAGE(D9:D13)</f>
        <v>243989.8</v>
      </c>
      <c r="E21" s="757">
        <f>AVERAGE(E9:E13)</f>
        <v>338509.8</v>
      </c>
    </row>
    <row r="22" spans="1:11">
      <c r="C22" s="256">
        <f>C21/C20</f>
        <v>18.607744804846256</v>
      </c>
      <c r="D22" s="256">
        <f>D21/D20</f>
        <v>17.701713655556684</v>
      </c>
      <c r="E22" s="256">
        <f>E21/E20</f>
        <v>24.660144241276317</v>
      </c>
    </row>
    <row r="23" spans="1:11">
      <c r="D23" s="757"/>
      <c r="E23" s="757"/>
      <c r="F23" s="757"/>
    </row>
    <row r="24" spans="1:11">
      <c r="D24" s="757"/>
      <c r="E24" s="757"/>
      <c r="F24" s="757"/>
    </row>
  </sheetData>
  <mergeCells count="4">
    <mergeCell ref="A17:I17"/>
    <mergeCell ref="A16:I16"/>
    <mergeCell ref="A18:I18"/>
    <mergeCell ref="A19:I19"/>
  </mergeCells>
  <phoneticPr fontId="36" type="noConversion"/>
  <pageMargins left="0.75" right="0.75" top="1" bottom="1" header="0.5" footer="0.5"/>
  <pageSetup scale="83" orientation="landscape" verticalDpi="0" r:id="rId1"/>
  <headerFooter alignWithMargins="0"/>
</worksheet>
</file>

<file path=xl/worksheets/sheet94.xml><?xml version="1.0" encoding="utf-8"?>
<worksheet xmlns="http://schemas.openxmlformats.org/spreadsheetml/2006/main" xmlns:r="http://schemas.openxmlformats.org/officeDocument/2006/relationships">
  <sheetPr codeName="Sheet133"/>
  <dimension ref="A1:I11"/>
  <sheetViews>
    <sheetView view="pageBreakPreview" zoomScale="118" zoomScaleSheetLayoutView="118" workbookViewId="0">
      <selection activeCell="H62" sqref="H62"/>
    </sheetView>
  </sheetViews>
  <sheetFormatPr defaultColWidth="8" defaultRowHeight="12.75"/>
  <cols>
    <col min="1" max="1" width="15.5703125" style="256" customWidth="1"/>
    <col min="2" max="6" width="15.140625" style="256" customWidth="1"/>
    <col min="7" max="7" width="11.140625" style="256" customWidth="1"/>
    <col min="8" max="16384" width="8" style="256"/>
  </cols>
  <sheetData>
    <row r="1" spans="1:9" ht="15.75">
      <c r="A1" s="747" t="s">
        <v>2178</v>
      </c>
    </row>
    <row r="3" spans="1:9" ht="29.25" customHeight="1">
      <c r="A3" s="748"/>
      <c r="B3" s="758" t="s">
        <v>1963</v>
      </c>
      <c r="C3" s="752" t="s">
        <v>1206</v>
      </c>
      <c r="D3" s="752" t="s">
        <v>1964</v>
      </c>
      <c r="E3" s="752" t="s">
        <v>1207</v>
      </c>
      <c r="F3" s="752" t="s">
        <v>1208</v>
      </c>
    </row>
    <row r="4" spans="1:9">
      <c r="A4" s="256" t="s">
        <v>1209</v>
      </c>
      <c r="B4" s="503">
        <v>56218</v>
      </c>
      <c r="C4" s="755">
        <v>3.3</v>
      </c>
      <c r="D4" s="767">
        <v>150380</v>
      </c>
      <c r="E4" s="755">
        <v>35.5</v>
      </c>
      <c r="F4" s="753">
        <v>2674944</v>
      </c>
      <c r="I4" s="762"/>
    </row>
    <row r="5" spans="1:9">
      <c r="A5" s="256" t="s">
        <v>1210</v>
      </c>
      <c r="B5" s="503">
        <v>50889</v>
      </c>
      <c r="C5" s="755">
        <v>2.5</v>
      </c>
      <c r="D5" s="767">
        <v>128468</v>
      </c>
      <c r="E5" s="755">
        <v>30.1</v>
      </c>
      <c r="F5" s="753">
        <v>2524475</v>
      </c>
      <c r="I5" s="762"/>
    </row>
    <row r="6" spans="1:9">
      <c r="A6" s="256" t="s">
        <v>738</v>
      </c>
      <c r="B6" s="503">
        <v>138022</v>
      </c>
      <c r="C6" s="755">
        <v>3.1</v>
      </c>
      <c r="D6" s="767">
        <v>269360</v>
      </c>
      <c r="E6" s="755">
        <v>27.2</v>
      </c>
      <c r="F6" s="753">
        <v>1951573</v>
      </c>
      <c r="I6" s="762"/>
    </row>
    <row r="7" spans="1:9">
      <c r="A7" s="256" t="s">
        <v>1041</v>
      </c>
      <c r="B7" s="503">
        <v>55111</v>
      </c>
      <c r="C7" s="755">
        <v>1.8</v>
      </c>
      <c r="D7" s="767">
        <v>139884</v>
      </c>
      <c r="E7" s="755">
        <v>28.9</v>
      </c>
      <c r="F7" s="753">
        <v>2538223</v>
      </c>
      <c r="I7" s="762"/>
    </row>
    <row r="8" spans="1:9">
      <c r="A8" s="256" t="s">
        <v>1211</v>
      </c>
      <c r="B8" s="503">
        <v>10673</v>
      </c>
      <c r="C8" s="755">
        <v>1.1000000000000001</v>
      </c>
      <c r="D8" s="1204" t="s">
        <v>38</v>
      </c>
      <c r="E8" s="1204"/>
      <c r="F8" s="1204"/>
      <c r="I8" s="762"/>
    </row>
    <row r="9" spans="1:9">
      <c r="A9" s="256" t="s">
        <v>39</v>
      </c>
      <c r="B9" s="503">
        <v>310913</v>
      </c>
      <c r="C9" s="755">
        <v>2.5</v>
      </c>
      <c r="D9" s="767">
        <v>708528</v>
      </c>
      <c r="E9" s="755">
        <v>29</v>
      </c>
      <c r="F9" s="753">
        <v>2278863</v>
      </c>
      <c r="I9" s="762"/>
    </row>
    <row r="11" spans="1:9" ht="27.75" customHeight="1">
      <c r="A11" s="1202" t="s">
        <v>56</v>
      </c>
      <c r="B11" s="1202"/>
      <c r="C11" s="1202"/>
      <c r="D11" s="1202"/>
      <c r="E11" s="1202"/>
      <c r="F11" s="1202"/>
      <c r="G11" s="1202"/>
    </row>
  </sheetData>
  <mergeCells count="2">
    <mergeCell ref="D8:F8"/>
    <mergeCell ref="A11:G11"/>
  </mergeCells>
  <phoneticPr fontId="36" type="noConversion"/>
  <pageMargins left="0.75" right="0.75" top="1" bottom="1" header="0.5" footer="0.5"/>
  <pageSetup orientation="landscape" verticalDpi="0" r:id="rId1"/>
  <headerFooter alignWithMargins="0"/>
</worksheet>
</file>

<file path=xl/worksheets/sheet95.xml><?xml version="1.0" encoding="utf-8"?>
<worksheet xmlns="http://schemas.openxmlformats.org/spreadsheetml/2006/main" xmlns:r="http://schemas.openxmlformats.org/officeDocument/2006/relationships">
  <sheetPr codeName="Sheet134"/>
  <dimension ref="A1:N35"/>
  <sheetViews>
    <sheetView view="pageBreakPreview" zoomScale="85" zoomScaleSheetLayoutView="85" workbookViewId="0">
      <selection activeCell="H62" sqref="H62"/>
    </sheetView>
  </sheetViews>
  <sheetFormatPr defaultColWidth="8" defaultRowHeight="12.75"/>
  <cols>
    <col min="1" max="1" width="18.7109375" style="256" customWidth="1"/>
    <col min="2" max="4" width="13.5703125" style="256" customWidth="1"/>
    <col min="5" max="5" width="14.28515625" style="256" customWidth="1"/>
    <col min="6" max="7" width="13.5703125" style="256" customWidth="1"/>
    <col min="8" max="11" width="8" style="256" customWidth="1"/>
    <col min="12" max="12" width="8" style="757" customWidth="1"/>
    <col min="13" max="16384" width="8" style="256"/>
  </cols>
  <sheetData>
    <row r="1" spans="1:14" ht="15.75">
      <c r="A1" s="747" t="s">
        <v>2179</v>
      </c>
    </row>
    <row r="3" spans="1:14" ht="27" customHeight="1">
      <c r="A3" s="245">
        <v>1984</v>
      </c>
      <c r="B3" s="758" t="s">
        <v>40</v>
      </c>
      <c r="C3" s="752" t="s">
        <v>41</v>
      </c>
      <c r="D3" s="752" t="s">
        <v>42</v>
      </c>
      <c r="E3" s="752" t="s">
        <v>253</v>
      </c>
      <c r="F3" s="752" t="s">
        <v>1208</v>
      </c>
      <c r="G3" s="752" t="s">
        <v>43</v>
      </c>
    </row>
    <row r="4" spans="1:14">
      <c r="B4" s="759"/>
    </row>
    <row r="5" spans="1:14">
      <c r="A5" s="256" t="s">
        <v>1039</v>
      </c>
      <c r="B5" s="760">
        <v>1.8</v>
      </c>
      <c r="C5" s="753">
        <v>168682</v>
      </c>
      <c r="D5" s="755">
        <v>1.1000000000000001</v>
      </c>
      <c r="E5" s="753">
        <v>12951</v>
      </c>
      <c r="F5" s="753">
        <v>76775</v>
      </c>
      <c r="G5" s="753">
        <v>52108</v>
      </c>
      <c r="M5" s="757"/>
      <c r="N5" s="757"/>
    </row>
    <row r="6" spans="1:14">
      <c r="A6" s="256" t="s">
        <v>1040</v>
      </c>
      <c r="B6" s="760">
        <v>0.4</v>
      </c>
      <c r="C6" s="753">
        <v>42185</v>
      </c>
      <c r="D6" s="755">
        <v>0.5</v>
      </c>
      <c r="E6" s="753">
        <v>5740</v>
      </c>
      <c r="F6" s="753">
        <v>136073</v>
      </c>
      <c r="G6" s="753">
        <v>61764</v>
      </c>
      <c r="M6" s="757"/>
      <c r="N6" s="757"/>
    </row>
    <row r="7" spans="1:14">
      <c r="A7" s="256" t="s">
        <v>791</v>
      </c>
      <c r="B7" s="760">
        <v>3.2</v>
      </c>
      <c r="C7" s="753">
        <v>307726</v>
      </c>
      <c r="D7" s="755">
        <v>2.1</v>
      </c>
      <c r="E7" s="753">
        <v>26136</v>
      </c>
      <c r="F7" s="753">
        <v>84933</v>
      </c>
      <c r="G7" s="753">
        <v>51388</v>
      </c>
      <c r="M7" s="757"/>
      <c r="N7" s="757"/>
    </row>
    <row r="8" spans="1:14">
      <c r="A8" s="256" t="s">
        <v>792</v>
      </c>
      <c r="B8" s="760">
        <v>2.6</v>
      </c>
      <c r="C8" s="753">
        <v>246362</v>
      </c>
      <c r="D8" s="755">
        <v>1.7</v>
      </c>
      <c r="E8" s="753">
        <v>20514</v>
      </c>
      <c r="F8" s="753">
        <v>83267</v>
      </c>
      <c r="G8" s="753">
        <v>42545</v>
      </c>
      <c r="M8" s="757"/>
      <c r="N8" s="757"/>
    </row>
    <row r="9" spans="1:14">
      <c r="A9" s="256" t="s">
        <v>1041</v>
      </c>
      <c r="B9" s="760">
        <v>25.9</v>
      </c>
      <c r="C9" s="753">
        <v>2464192</v>
      </c>
      <c r="D9" s="755">
        <v>19.100000000000001</v>
      </c>
      <c r="E9" s="753">
        <v>233229</v>
      </c>
      <c r="F9" s="753">
        <v>94647</v>
      </c>
      <c r="G9" s="753">
        <v>44752</v>
      </c>
      <c r="M9" s="757"/>
      <c r="N9" s="757"/>
    </row>
    <row r="10" spans="1:14">
      <c r="A10" s="256" t="s">
        <v>738</v>
      </c>
      <c r="B10" s="760">
        <v>35.9</v>
      </c>
      <c r="C10" s="753">
        <v>3414785</v>
      </c>
      <c r="D10" s="755">
        <v>38.700000000000003</v>
      </c>
      <c r="E10" s="753">
        <v>473361</v>
      </c>
      <c r="F10" s="753">
        <v>138621</v>
      </c>
      <c r="G10" s="753">
        <v>71266</v>
      </c>
      <c r="M10" s="757"/>
      <c r="N10" s="757"/>
    </row>
    <row r="11" spans="1:14">
      <c r="A11" s="256" t="s">
        <v>739</v>
      </c>
      <c r="B11" s="760">
        <v>4.2</v>
      </c>
      <c r="C11" s="753">
        <v>399290</v>
      </c>
      <c r="D11" s="755">
        <v>4.5999999999999996</v>
      </c>
      <c r="E11" s="753">
        <v>55824</v>
      </c>
      <c r="F11" s="753">
        <v>139809</v>
      </c>
      <c r="G11" s="753">
        <v>68967</v>
      </c>
      <c r="M11" s="757"/>
      <c r="N11" s="757"/>
    </row>
    <row r="12" spans="1:14">
      <c r="A12" s="256" t="s">
        <v>740</v>
      </c>
      <c r="B12" s="760">
        <v>3.9</v>
      </c>
      <c r="C12" s="753">
        <v>373172</v>
      </c>
      <c r="D12" s="755">
        <v>6.4</v>
      </c>
      <c r="E12" s="753">
        <v>78078</v>
      </c>
      <c r="F12" s="753">
        <v>209228</v>
      </c>
      <c r="G12" s="753">
        <v>78162</v>
      </c>
      <c r="M12" s="757"/>
      <c r="N12" s="757"/>
    </row>
    <row r="13" spans="1:14">
      <c r="A13" s="256" t="s">
        <v>741</v>
      </c>
      <c r="B13" s="760">
        <v>9.5</v>
      </c>
      <c r="C13" s="753">
        <v>904630</v>
      </c>
      <c r="D13" s="755">
        <v>12.3</v>
      </c>
      <c r="E13" s="753">
        <v>150745</v>
      </c>
      <c r="F13" s="753">
        <v>166637</v>
      </c>
      <c r="G13" s="753">
        <v>48123</v>
      </c>
      <c r="M13" s="757"/>
      <c r="N13" s="757"/>
    </row>
    <row r="14" spans="1:14">
      <c r="A14" s="256" t="s">
        <v>742</v>
      </c>
      <c r="B14" s="760">
        <v>12.4</v>
      </c>
      <c r="C14" s="753">
        <v>1178167</v>
      </c>
      <c r="D14" s="755">
        <v>13.7</v>
      </c>
      <c r="E14" s="753">
        <v>167635</v>
      </c>
      <c r="F14" s="753">
        <v>142284</v>
      </c>
      <c r="G14" s="753">
        <v>71879</v>
      </c>
      <c r="M14" s="757"/>
      <c r="N14" s="757"/>
    </row>
    <row r="15" spans="1:14">
      <c r="A15" s="256" t="s">
        <v>44</v>
      </c>
      <c r="B15" s="760">
        <v>100</v>
      </c>
      <c r="C15" s="753">
        <v>9499193</v>
      </c>
      <c r="D15" s="755">
        <v>100</v>
      </c>
      <c r="E15" s="753">
        <v>1224212</v>
      </c>
      <c r="F15" s="753">
        <v>128875</v>
      </c>
      <c r="G15" s="753">
        <v>58392</v>
      </c>
      <c r="M15" s="757"/>
      <c r="N15" s="757"/>
    </row>
    <row r="16" spans="1:14">
      <c r="C16" s="761"/>
      <c r="D16" s="757"/>
      <c r="E16" s="761"/>
      <c r="F16" s="762"/>
      <c r="G16" s="762"/>
      <c r="H16" s="762"/>
    </row>
    <row r="17" spans="1:14">
      <c r="C17" s="761"/>
      <c r="D17" s="757"/>
      <c r="E17" s="761"/>
      <c r="F17" s="762"/>
      <c r="G17" s="762"/>
      <c r="H17" s="762"/>
    </row>
    <row r="18" spans="1:14">
      <c r="C18" s="761"/>
      <c r="D18" s="757"/>
      <c r="E18" s="761"/>
      <c r="F18" s="762"/>
      <c r="G18" s="762"/>
      <c r="H18" s="762"/>
    </row>
    <row r="19" spans="1:14">
      <c r="C19" s="761"/>
      <c r="D19" s="757"/>
      <c r="E19" s="761"/>
      <c r="F19" s="762"/>
      <c r="G19" s="762"/>
      <c r="H19" s="762"/>
    </row>
    <row r="20" spans="1:14" ht="27" customHeight="1">
      <c r="A20" s="245">
        <v>1999</v>
      </c>
      <c r="B20" s="763" t="s">
        <v>40</v>
      </c>
      <c r="C20" s="764" t="s">
        <v>41</v>
      </c>
      <c r="D20" s="764" t="s">
        <v>42</v>
      </c>
      <c r="E20" s="752" t="s">
        <v>253</v>
      </c>
      <c r="F20" s="764" t="s">
        <v>1208</v>
      </c>
      <c r="G20" s="764" t="s">
        <v>43</v>
      </c>
    </row>
    <row r="21" spans="1:14">
      <c r="B21" s="759"/>
    </row>
    <row r="22" spans="1:14">
      <c r="A22" s="256" t="s">
        <v>1039</v>
      </c>
      <c r="B22" s="760">
        <v>1.6</v>
      </c>
      <c r="C22" s="753">
        <v>198630</v>
      </c>
      <c r="D22" s="755">
        <v>0.7</v>
      </c>
      <c r="E22" s="753">
        <v>15400</v>
      </c>
      <c r="F22" s="765">
        <v>77530</v>
      </c>
      <c r="G22" s="765">
        <v>40400</v>
      </c>
      <c r="J22" s="757"/>
      <c r="M22" s="766"/>
      <c r="N22" s="766"/>
    </row>
    <row r="23" spans="1:14">
      <c r="A23" s="256" t="s">
        <v>1040</v>
      </c>
      <c r="B23" s="760">
        <v>0.4</v>
      </c>
      <c r="C23" s="753">
        <v>54205</v>
      </c>
      <c r="D23" s="755">
        <v>0.4</v>
      </c>
      <c r="E23" s="753">
        <v>7957</v>
      </c>
      <c r="F23" s="765">
        <v>146801</v>
      </c>
      <c r="G23" s="765">
        <v>59257</v>
      </c>
      <c r="J23" s="757"/>
      <c r="M23" s="766"/>
      <c r="N23" s="766"/>
    </row>
    <row r="24" spans="1:14">
      <c r="A24" s="256" t="s">
        <v>791</v>
      </c>
      <c r="B24" s="760">
        <v>3.1</v>
      </c>
      <c r="C24" s="753">
        <v>376191</v>
      </c>
      <c r="D24" s="755">
        <v>1.8</v>
      </c>
      <c r="E24" s="753">
        <v>39547</v>
      </c>
      <c r="F24" s="765">
        <v>105124</v>
      </c>
      <c r="G24" s="765">
        <v>50700</v>
      </c>
      <c r="J24" s="757"/>
      <c r="M24" s="766"/>
      <c r="N24" s="766"/>
    </row>
    <row r="25" spans="1:14">
      <c r="A25" s="256" t="s">
        <v>792</v>
      </c>
      <c r="B25" s="760">
        <v>2.5</v>
      </c>
      <c r="C25" s="753">
        <v>300177</v>
      </c>
      <c r="D25" s="755">
        <v>1.5</v>
      </c>
      <c r="E25" s="753">
        <v>32601</v>
      </c>
      <c r="F25" s="765">
        <v>108605</v>
      </c>
      <c r="G25" s="765">
        <v>48500</v>
      </c>
      <c r="J25" s="757"/>
      <c r="M25" s="766"/>
      <c r="N25" s="766"/>
    </row>
    <row r="26" spans="1:14">
      <c r="A26" s="256" t="s">
        <v>1041</v>
      </c>
      <c r="B26" s="760">
        <v>25.5</v>
      </c>
      <c r="C26" s="753">
        <v>3115360</v>
      </c>
      <c r="D26" s="755">
        <v>19.5</v>
      </c>
      <c r="E26" s="753">
        <v>420483</v>
      </c>
      <c r="F26" s="765">
        <v>134971</v>
      </c>
      <c r="G26" s="765">
        <v>45290</v>
      </c>
      <c r="J26" s="757"/>
      <c r="M26" s="766"/>
      <c r="N26" s="766"/>
    </row>
    <row r="27" spans="1:14">
      <c r="A27" s="256" t="s">
        <v>738</v>
      </c>
      <c r="B27" s="760">
        <v>36.700000000000003</v>
      </c>
      <c r="C27" s="753">
        <v>4480409</v>
      </c>
      <c r="D27" s="755">
        <v>40.5</v>
      </c>
      <c r="E27" s="753">
        <v>871918</v>
      </c>
      <c r="F27" s="765">
        <v>194607</v>
      </c>
      <c r="G27" s="765">
        <v>80200</v>
      </c>
      <c r="J27" s="757"/>
      <c r="M27" s="766"/>
      <c r="N27" s="766"/>
    </row>
    <row r="28" spans="1:14">
      <c r="A28" s="256" t="s">
        <v>739</v>
      </c>
      <c r="B28" s="760">
        <v>3.7</v>
      </c>
      <c r="C28" s="753">
        <v>446152</v>
      </c>
      <c r="D28" s="755">
        <v>3</v>
      </c>
      <c r="E28" s="753">
        <v>64069</v>
      </c>
      <c r="F28" s="765">
        <v>143603</v>
      </c>
      <c r="G28" s="765">
        <v>61100</v>
      </c>
      <c r="J28" s="757"/>
      <c r="M28" s="766"/>
      <c r="N28" s="766"/>
    </row>
    <row r="29" spans="1:14">
      <c r="A29" s="256" t="s">
        <v>740</v>
      </c>
      <c r="B29" s="760">
        <v>3.3</v>
      </c>
      <c r="C29" s="753">
        <v>401649</v>
      </c>
      <c r="D29" s="755">
        <v>3.3</v>
      </c>
      <c r="E29" s="753">
        <v>70750</v>
      </c>
      <c r="F29" s="765">
        <v>176148</v>
      </c>
      <c r="G29" s="765">
        <v>75330</v>
      </c>
      <c r="J29" s="757"/>
      <c r="M29" s="766"/>
      <c r="N29" s="766"/>
    </row>
    <row r="30" spans="1:14">
      <c r="A30" s="256" t="s">
        <v>741</v>
      </c>
      <c r="B30" s="760">
        <v>9.5</v>
      </c>
      <c r="C30" s="753">
        <v>1157207</v>
      </c>
      <c r="D30" s="755">
        <v>11.6</v>
      </c>
      <c r="E30" s="753">
        <v>248639</v>
      </c>
      <c r="F30" s="765">
        <v>214862</v>
      </c>
      <c r="G30" s="765">
        <v>77700</v>
      </c>
      <c r="J30" s="757"/>
      <c r="M30" s="766"/>
      <c r="N30" s="766"/>
    </row>
    <row r="31" spans="1:14">
      <c r="A31" s="256" t="s">
        <v>742</v>
      </c>
      <c r="B31" s="760">
        <v>13.8</v>
      </c>
      <c r="C31" s="753">
        <v>1685649</v>
      </c>
      <c r="D31" s="755">
        <v>17.600000000000001</v>
      </c>
      <c r="E31" s="753">
        <v>379647</v>
      </c>
      <c r="F31" s="765">
        <v>225223</v>
      </c>
      <c r="G31" s="765">
        <v>71300</v>
      </c>
      <c r="J31" s="757"/>
      <c r="M31" s="766"/>
      <c r="N31" s="766"/>
    </row>
    <row r="32" spans="1:14">
      <c r="A32" s="256" t="s">
        <v>44</v>
      </c>
      <c r="B32" s="760">
        <v>100</v>
      </c>
      <c r="C32" s="753">
        <v>12215629</v>
      </c>
      <c r="D32" s="755">
        <v>100</v>
      </c>
      <c r="E32" s="753">
        <v>2151010</v>
      </c>
      <c r="F32" s="765">
        <v>176087</v>
      </c>
      <c r="G32" s="765">
        <v>64600</v>
      </c>
      <c r="J32" s="757"/>
      <c r="M32" s="766"/>
      <c r="N32" s="766"/>
    </row>
    <row r="35" spans="1:8" ht="27.75" customHeight="1">
      <c r="A35" s="1200" t="s">
        <v>71</v>
      </c>
      <c r="B35" s="1200"/>
      <c r="C35" s="1200"/>
      <c r="D35" s="1200"/>
      <c r="E35" s="1200"/>
      <c r="F35" s="1200"/>
      <c r="G35" s="1200"/>
      <c r="H35" s="1200"/>
    </row>
  </sheetData>
  <mergeCells count="1">
    <mergeCell ref="A35:H35"/>
  </mergeCells>
  <phoneticPr fontId="36" type="noConversion"/>
  <pageMargins left="0.75" right="0.75" top="1" bottom="1" header="0.5" footer="0.5"/>
  <pageSetup scale="95" orientation="landscape" verticalDpi="0" r:id="rId1"/>
  <headerFooter alignWithMargins="0"/>
</worksheet>
</file>

<file path=xl/worksheets/sheet96.xml><?xml version="1.0" encoding="utf-8"?>
<worksheet xmlns="http://schemas.openxmlformats.org/spreadsheetml/2006/main" xmlns:r="http://schemas.openxmlformats.org/officeDocument/2006/relationships">
  <sheetPr codeName="Sheet135"/>
  <dimension ref="A1:K14"/>
  <sheetViews>
    <sheetView view="pageBreakPreview" zoomScale="96" zoomScaleSheetLayoutView="96" workbookViewId="0">
      <selection activeCell="H62" sqref="H62"/>
    </sheetView>
  </sheetViews>
  <sheetFormatPr defaultColWidth="8" defaultRowHeight="12.75"/>
  <cols>
    <col min="1" max="1" width="35.85546875" style="256" customWidth="1"/>
    <col min="2" max="6" width="9.28515625" style="256" customWidth="1"/>
    <col min="7" max="7" width="10.7109375" style="256" customWidth="1"/>
    <col min="8" max="8" width="10.28515625" style="256" customWidth="1"/>
    <col min="9" max="16384" width="8" style="256"/>
  </cols>
  <sheetData>
    <row r="1" spans="1:11" ht="15.75">
      <c r="A1" s="747" t="s">
        <v>2180</v>
      </c>
    </row>
    <row r="4" spans="1:11">
      <c r="B4" s="1205">
        <v>1984</v>
      </c>
      <c r="C4" s="1205"/>
      <c r="D4" s="1206">
        <v>1999</v>
      </c>
      <c r="E4" s="1207"/>
    </row>
    <row r="5" spans="1:11" ht="38.25">
      <c r="A5" s="748"/>
      <c r="B5" s="749" t="s">
        <v>45</v>
      </c>
      <c r="C5" s="750" t="s">
        <v>46</v>
      </c>
      <c r="D5" s="751" t="s">
        <v>45</v>
      </c>
      <c r="E5" s="750" t="s">
        <v>46</v>
      </c>
      <c r="F5" s="1080"/>
      <c r="G5" s="752" t="s">
        <v>47</v>
      </c>
      <c r="H5" s="752" t="s">
        <v>48</v>
      </c>
    </row>
    <row r="6" spans="1:11">
      <c r="A6" s="256" t="s">
        <v>49</v>
      </c>
      <c r="B6" s="503">
        <v>198498</v>
      </c>
      <c r="C6" s="753">
        <v>121075</v>
      </c>
      <c r="D6" s="754">
        <v>280487</v>
      </c>
      <c r="E6" s="504">
        <v>177500</v>
      </c>
      <c r="G6" s="755">
        <v>41.3</v>
      </c>
      <c r="H6" s="756">
        <v>46.6</v>
      </c>
      <c r="J6" s="757"/>
      <c r="K6" s="757"/>
    </row>
    <row r="7" spans="1:11">
      <c r="A7" s="256" t="s">
        <v>50</v>
      </c>
      <c r="B7" s="503">
        <v>151171</v>
      </c>
      <c r="C7" s="753">
        <v>71526</v>
      </c>
      <c r="D7" s="754">
        <v>244174</v>
      </c>
      <c r="E7" s="504">
        <v>101603</v>
      </c>
      <c r="G7" s="755">
        <v>61.5</v>
      </c>
      <c r="H7" s="756">
        <v>42.1</v>
      </c>
      <c r="J7" s="757"/>
      <c r="K7" s="757"/>
    </row>
    <row r="8" spans="1:11">
      <c r="A8" s="256" t="s">
        <v>51</v>
      </c>
      <c r="B8" s="503">
        <v>149293</v>
      </c>
      <c r="C8" s="753">
        <v>77856</v>
      </c>
      <c r="D8" s="754">
        <v>195922</v>
      </c>
      <c r="E8" s="504">
        <v>77800</v>
      </c>
      <c r="G8" s="755">
        <v>31.2</v>
      </c>
      <c r="H8" s="756">
        <v>-0.1</v>
      </c>
      <c r="J8" s="757"/>
      <c r="K8" s="757"/>
    </row>
    <row r="9" spans="1:11">
      <c r="A9" s="256" t="s">
        <v>52</v>
      </c>
      <c r="B9" s="503">
        <v>251486</v>
      </c>
      <c r="C9" s="753">
        <v>155788</v>
      </c>
      <c r="D9" s="754">
        <v>312493</v>
      </c>
      <c r="E9" s="504">
        <v>167400</v>
      </c>
      <c r="G9" s="755">
        <v>24.3</v>
      </c>
      <c r="H9" s="756">
        <v>7.5</v>
      </c>
      <c r="J9" s="757"/>
      <c r="K9" s="757"/>
    </row>
    <row r="10" spans="1:11">
      <c r="A10" s="256" t="s">
        <v>53</v>
      </c>
      <c r="B10" s="503">
        <v>39438</v>
      </c>
      <c r="C10" s="753">
        <v>1870</v>
      </c>
      <c r="D10" s="754">
        <v>63808</v>
      </c>
      <c r="E10" s="504">
        <v>3656</v>
      </c>
      <c r="G10" s="755">
        <v>61.8</v>
      </c>
      <c r="H10" s="756">
        <v>95.5</v>
      </c>
      <c r="J10" s="757"/>
      <c r="K10" s="757"/>
    </row>
    <row r="11" spans="1:11">
      <c r="A11" s="256" t="s">
        <v>54</v>
      </c>
      <c r="B11" s="503">
        <v>78674</v>
      </c>
      <c r="C11" s="753">
        <v>41380</v>
      </c>
      <c r="D11" s="754">
        <v>138107</v>
      </c>
      <c r="E11" s="504">
        <v>70000</v>
      </c>
      <c r="G11" s="755">
        <v>75.5</v>
      </c>
      <c r="H11" s="756">
        <v>69.2</v>
      </c>
      <c r="J11" s="757"/>
      <c r="K11" s="757"/>
    </row>
    <row r="12" spans="1:11">
      <c r="A12" s="256" t="s">
        <v>55</v>
      </c>
      <c r="B12" s="503">
        <v>47204</v>
      </c>
      <c r="C12" s="753">
        <v>5772</v>
      </c>
      <c r="D12" s="754">
        <v>63888</v>
      </c>
      <c r="E12" s="504">
        <v>6000</v>
      </c>
      <c r="G12" s="755">
        <v>35.299999999999997</v>
      </c>
      <c r="H12" s="756">
        <v>4</v>
      </c>
      <c r="J12" s="757"/>
      <c r="K12" s="757"/>
    </row>
    <row r="13" spans="1:11">
      <c r="B13" s="755"/>
      <c r="C13" s="755"/>
      <c r="D13" s="755"/>
      <c r="E13" s="755"/>
    </row>
    <row r="14" spans="1:11" ht="28.5" customHeight="1">
      <c r="A14" s="1200" t="s">
        <v>252</v>
      </c>
      <c r="B14" s="1200"/>
      <c r="C14" s="1200"/>
      <c r="D14" s="1200"/>
      <c r="E14" s="1200"/>
      <c r="F14" s="1200"/>
      <c r="G14" s="1200"/>
      <c r="H14" s="1200"/>
      <c r="I14" s="1200"/>
    </row>
  </sheetData>
  <mergeCells count="3">
    <mergeCell ref="B4:C4"/>
    <mergeCell ref="D4:E4"/>
    <mergeCell ref="A14:I14"/>
  </mergeCells>
  <phoneticPr fontId="36" type="noConversion"/>
  <pageMargins left="0.75" right="0.75" top="1" bottom="1" header="0.5" footer="0.5"/>
  <pageSetup orientation="landscape" verticalDpi="0" r:id="rId1"/>
  <headerFooter alignWithMargins="0"/>
</worksheet>
</file>

<file path=xl/worksheets/sheet97.xml><?xml version="1.0" encoding="utf-8"?>
<worksheet xmlns="http://schemas.openxmlformats.org/spreadsheetml/2006/main" xmlns:r="http://schemas.openxmlformats.org/officeDocument/2006/relationships">
  <sheetPr codeName="Sheet169"/>
  <dimension ref="A1:G16"/>
  <sheetViews>
    <sheetView view="pageBreakPreview" zoomScaleSheetLayoutView="100" workbookViewId="0">
      <selection activeCell="H62" sqref="H62"/>
    </sheetView>
  </sheetViews>
  <sheetFormatPr defaultRowHeight="12.75"/>
  <cols>
    <col min="1" max="1" width="29.42578125" style="1" customWidth="1"/>
    <col min="2" max="2" width="9.42578125" style="1" bestFit="1" customWidth="1"/>
    <col min="3" max="3" width="9.7109375" style="1" bestFit="1" customWidth="1"/>
    <col min="4" max="4" width="11.85546875" style="1" customWidth="1"/>
    <col min="5" max="16384" width="9.140625" style="1"/>
  </cols>
  <sheetData>
    <row r="1" spans="1:7" ht="15.75">
      <c r="A1" s="40" t="s">
        <v>315</v>
      </c>
    </row>
    <row r="2" spans="1:7" ht="15.75">
      <c r="A2" s="40"/>
    </row>
    <row r="3" spans="1:7" ht="28.5" customHeight="1">
      <c r="B3" s="237">
        <v>1999</v>
      </c>
      <c r="C3" s="132">
        <v>2005</v>
      </c>
      <c r="D3" s="656" t="s">
        <v>316</v>
      </c>
    </row>
    <row r="4" spans="1:7">
      <c r="A4" s="1" t="s">
        <v>964</v>
      </c>
      <c r="B4" s="368">
        <v>120500</v>
      </c>
      <c r="C4" s="369">
        <v>148400</v>
      </c>
      <c r="D4" s="25">
        <f t="shared" ref="D4:D11" si="0">100*(C4-B4)/B4</f>
        <v>23.153526970954356</v>
      </c>
    </row>
    <row r="5" spans="1:7">
      <c r="A5" s="1" t="s">
        <v>317</v>
      </c>
      <c r="B5" s="20">
        <v>177400</v>
      </c>
      <c r="C5" s="39">
        <v>230500</v>
      </c>
      <c r="D5" s="25">
        <f t="shared" si="0"/>
        <v>29.932356257046223</v>
      </c>
    </row>
    <row r="6" spans="1:7">
      <c r="A6" s="1" t="s">
        <v>318</v>
      </c>
      <c r="B6" s="20">
        <v>343100</v>
      </c>
      <c r="C6" s="39">
        <v>443600</v>
      </c>
      <c r="D6" s="25">
        <f t="shared" si="0"/>
        <v>29.29175167589624</v>
      </c>
    </row>
    <row r="7" spans="1:7">
      <c r="A7" s="1" t="s">
        <v>319</v>
      </c>
      <c r="B7" s="20">
        <v>155300</v>
      </c>
      <c r="C7" s="39">
        <v>204000</v>
      </c>
      <c r="D7" s="25">
        <f t="shared" si="0"/>
        <v>31.358660656793305</v>
      </c>
    </row>
    <row r="8" spans="1:7" ht="15.75">
      <c r="A8" s="1" t="s">
        <v>323</v>
      </c>
      <c r="B8" s="20">
        <v>190100</v>
      </c>
      <c r="C8" s="39">
        <v>242900</v>
      </c>
      <c r="D8" s="25">
        <f t="shared" si="0"/>
        <v>27.774855339295108</v>
      </c>
    </row>
    <row r="9" spans="1:7">
      <c r="A9" s="1" t="s">
        <v>320</v>
      </c>
      <c r="B9" s="20">
        <v>144900</v>
      </c>
      <c r="C9" s="39">
        <v>189000</v>
      </c>
      <c r="D9" s="25">
        <f t="shared" si="0"/>
        <v>30.434782608695652</v>
      </c>
    </row>
    <row r="10" spans="1:7" ht="15.75">
      <c r="A10" s="1" t="s">
        <v>324</v>
      </c>
      <c r="B10" s="20">
        <v>144300</v>
      </c>
      <c r="C10" s="39">
        <v>210800</v>
      </c>
      <c r="D10" s="25">
        <f t="shared" si="0"/>
        <v>46.084546084546083</v>
      </c>
    </row>
    <row r="11" spans="1:7">
      <c r="A11" s="1" t="s">
        <v>817</v>
      </c>
      <c r="B11" s="20">
        <v>33400</v>
      </c>
      <c r="C11" s="39">
        <v>34700</v>
      </c>
      <c r="D11" s="25">
        <f t="shared" si="0"/>
        <v>3.8922155688622753</v>
      </c>
    </row>
    <row r="13" spans="1:7">
      <c r="A13" s="1" t="s">
        <v>321</v>
      </c>
    </row>
    <row r="14" spans="1:7">
      <c r="A14" s="1" t="s">
        <v>322</v>
      </c>
    </row>
    <row r="16" spans="1:7" ht="27" customHeight="1">
      <c r="A16" s="1188" t="s">
        <v>325</v>
      </c>
      <c r="B16" s="1188"/>
      <c r="C16" s="1188"/>
      <c r="D16" s="1188"/>
      <c r="E16" s="1188"/>
      <c r="F16" s="1188"/>
      <c r="G16" s="1188"/>
    </row>
  </sheetData>
  <mergeCells count="1">
    <mergeCell ref="A16:G16"/>
  </mergeCells>
  <phoneticPr fontId="0" type="noConversion"/>
  <pageMargins left="0.75" right="0.75" top="1" bottom="1" header="0.5" footer="0.5"/>
  <pageSetup orientation="portrait" verticalDpi="0" r:id="rId1"/>
  <headerFooter alignWithMargins="0"/>
</worksheet>
</file>

<file path=xl/worksheets/sheet98.xml><?xml version="1.0" encoding="utf-8"?>
<worksheet xmlns="http://schemas.openxmlformats.org/spreadsheetml/2006/main" xmlns:r="http://schemas.openxmlformats.org/officeDocument/2006/relationships">
  <sheetPr codeName="Sheet170"/>
  <dimension ref="A1:J22"/>
  <sheetViews>
    <sheetView view="pageBreakPreview" zoomScaleSheetLayoutView="100" workbookViewId="0">
      <selection activeCell="H62" sqref="H62"/>
    </sheetView>
  </sheetViews>
  <sheetFormatPr defaultRowHeight="12.75"/>
  <cols>
    <col min="1" max="1" width="11.28515625" style="1" customWidth="1"/>
    <col min="2" max="2" width="9.7109375" style="1" bestFit="1" customWidth="1"/>
    <col min="3" max="3" width="10.42578125" style="1" bestFit="1" customWidth="1"/>
    <col min="4" max="5" width="9.28515625" style="1" bestFit="1" customWidth="1"/>
    <col min="6" max="6" width="16" style="1" customWidth="1"/>
    <col min="7" max="8" width="9.28515625" style="1" bestFit="1" customWidth="1"/>
    <col min="9" max="16384" width="9.140625" style="1"/>
  </cols>
  <sheetData>
    <row r="1" spans="1:10" ht="15.75">
      <c r="A1" s="40" t="s">
        <v>1010</v>
      </c>
    </row>
    <row r="3" spans="1:10">
      <c r="B3" s="1193" t="s">
        <v>1248</v>
      </c>
      <c r="C3" s="1193"/>
      <c r="D3" s="1193" t="s">
        <v>327</v>
      </c>
      <c r="E3" s="1193"/>
      <c r="G3" s="1193" t="s">
        <v>329</v>
      </c>
      <c r="H3" s="1193"/>
    </row>
    <row r="4" spans="1:10" ht="38.25">
      <c r="B4" s="237">
        <v>1999</v>
      </c>
      <c r="C4" s="132">
        <v>2005</v>
      </c>
      <c r="D4" s="657" t="s">
        <v>326</v>
      </c>
      <c r="E4" s="367" t="s">
        <v>316</v>
      </c>
      <c r="F4" s="657" t="s">
        <v>328</v>
      </c>
      <c r="G4" s="237">
        <v>1999</v>
      </c>
      <c r="H4" s="131">
        <v>2005</v>
      </c>
    </row>
    <row r="5" spans="1:10">
      <c r="A5" s="1" t="s">
        <v>919</v>
      </c>
      <c r="B5" s="368">
        <v>281000</v>
      </c>
      <c r="C5" s="372">
        <v>364300</v>
      </c>
      <c r="D5" s="368">
        <f t="shared" ref="D5:D10" si="0">C5-B5</f>
        <v>83300</v>
      </c>
      <c r="E5" s="371">
        <f>100*(C5-B5)/B5</f>
        <v>29.644128113879002</v>
      </c>
      <c r="F5" s="644" t="s">
        <v>303</v>
      </c>
      <c r="G5" s="44">
        <v>100</v>
      </c>
      <c r="H5" s="374">
        <v>100</v>
      </c>
      <c r="J5" s="229"/>
    </row>
    <row r="6" spans="1:10">
      <c r="A6" s="1" t="s">
        <v>965</v>
      </c>
      <c r="B6" s="20">
        <v>-1500</v>
      </c>
      <c r="C6" s="19">
        <v>-2400</v>
      </c>
      <c r="D6" s="20">
        <f t="shared" si="0"/>
        <v>-900</v>
      </c>
      <c r="E6" s="371" t="s">
        <v>303</v>
      </c>
      <c r="F6" s="644">
        <f>100*D6/(5*D5)</f>
        <v>-0.21608643457382953</v>
      </c>
      <c r="G6" s="44">
        <f>100*B6/(5*B5)</f>
        <v>-0.10676156583629894</v>
      </c>
      <c r="H6" s="374">
        <f>100*C6/(5*C5)</f>
        <v>-0.13175953884161407</v>
      </c>
      <c r="J6" s="229"/>
    </row>
    <row r="7" spans="1:10">
      <c r="A7" s="1" t="s">
        <v>966</v>
      </c>
      <c r="B7" s="20">
        <v>36700</v>
      </c>
      <c r="C7" s="19">
        <v>41100</v>
      </c>
      <c r="D7" s="20">
        <f t="shared" si="0"/>
        <v>4400</v>
      </c>
      <c r="E7" s="371">
        <f>100*(C7/B7-1)</f>
        <v>11.989100817438691</v>
      </c>
      <c r="F7" s="644">
        <f>100*D7/(5*D5)</f>
        <v>1.056422569027611</v>
      </c>
      <c r="G7" s="44">
        <f>100*B7/(B5*5)</f>
        <v>2.6120996441281137</v>
      </c>
      <c r="H7" s="374">
        <f>100*C7/(C5*5)</f>
        <v>2.2563821026626405</v>
      </c>
      <c r="J7" s="229"/>
    </row>
    <row r="8" spans="1:10">
      <c r="A8" s="1" t="s">
        <v>967</v>
      </c>
      <c r="B8" s="20">
        <v>123600</v>
      </c>
      <c r="C8" s="19">
        <v>153200</v>
      </c>
      <c r="D8" s="20">
        <f t="shared" si="0"/>
        <v>29600</v>
      </c>
      <c r="E8" s="371">
        <f>100*(C8/B8-1)</f>
        <v>23.948220064724921</v>
      </c>
      <c r="F8" s="644">
        <f>100*D8/(D5*5)</f>
        <v>7.1068427370948379</v>
      </c>
      <c r="G8" s="44">
        <f>100*B8/(5*B5)</f>
        <v>8.7971530249110312</v>
      </c>
      <c r="H8" s="374">
        <f>100*C8/(5*C5)</f>
        <v>8.4106505627230312</v>
      </c>
      <c r="J8" s="229"/>
    </row>
    <row r="9" spans="1:10">
      <c r="A9" s="1" t="s">
        <v>968</v>
      </c>
      <c r="B9" s="20">
        <v>282700</v>
      </c>
      <c r="C9" s="19">
        <v>367600</v>
      </c>
      <c r="D9" s="20">
        <f t="shared" si="0"/>
        <v>84900</v>
      </c>
      <c r="E9" s="371">
        <f>100*(C9/B9-1)</f>
        <v>30.03183586841174</v>
      </c>
      <c r="F9" s="644">
        <f>100*D9/(5*D5)</f>
        <v>20.384153661464588</v>
      </c>
      <c r="G9" s="44">
        <f>100*B9/(5*B5)</f>
        <v>20.12099644128114</v>
      </c>
      <c r="H9" s="374">
        <f>100*C9/(5*C5)</f>
        <v>20.18116936590722</v>
      </c>
      <c r="J9" s="229"/>
    </row>
    <row r="10" spans="1:10">
      <c r="A10" s="1" t="s">
        <v>969</v>
      </c>
      <c r="B10" s="20">
        <v>963300</v>
      </c>
      <c r="C10" s="19">
        <v>1264200</v>
      </c>
      <c r="D10" s="20">
        <f t="shared" si="0"/>
        <v>300900</v>
      </c>
      <c r="E10" s="371">
        <f>100*(C10/B10-1)</f>
        <v>31.236374961071323</v>
      </c>
      <c r="F10" s="644">
        <f>100*D10/(5*D5)</f>
        <v>72.244897959183675</v>
      </c>
      <c r="G10" s="44">
        <f>100*B10/(5*B5)</f>
        <v>68.562277580071168</v>
      </c>
      <c r="H10" s="374">
        <f>100*C10/(5*C5)</f>
        <v>69.404337084820199</v>
      </c>
      <c r="J10" s="229"/>
    </row>
    <row r="12" spans="1:10" ht="27" customHeight="1">
      <c r="A12" s="1188" t="s">
        <v>325</v>
      </c>
      <c r="B12" s="1188"/>
      <c r="C12" s="1188"/>
      <c r="D12" s="1188"/>
      <c r="E12" s="1188"/>
      <c r="F12" s="1188"/>
      <c r="G12" s="1188"/>
      <c r="H12" s="1188"/>
    </row>
    <row r="17" spans="2:7">
      <c r="G17" s="114"/>
    </row>
    <row r="18" spans="2:7">
      <c r="B18" s="373"/>
      <c r="C18" s="373"/>
      <c r="G18" s="114"/>
    </row>
    <row r="19" spans="2:7">
      <c r="G19" s="114"/>
    </row>
    <row r="20" spans="2:7">
      <c r="G20" s="114"/>
    </row>
    <row r="21" spans="2:7">
      <c r="G21" s="114"/>
    </row>
    <row r="22" spans="2:7">
      <c r="G22" s="114"/>
    </row>
  </sheetData>
  <mergeCells count="4">
    <mergeCell ref="D3:E3"/>
    <mergeCell ref="B3:C3"/>
    <mergeCell ref="G3:H3"/>
    <mergeCell ref="A12:H12"/>
  </mergeCells>
  <phoneticPr fontId="35" type="noConversion"/>
  <pageMargins left="0.75" right="0.75" top="1" bottom="1" header="0.5" footer="0.5"/>
  <pageSetup orientation="portrait" verticalDpi="0" r:id="rId1"/>
  <headerFooter alignWithMargins="0"/>
</worksheet>
</file>

<file path=xl/worksheets/sheet99.xml><?xml version="1.0" encoding="utf-8"?>
<worksheet xmlns="http://schemas.openxmlformats.org/spreadsheetml/2006/main" xmlns:r="http://schemas.openxmlformats.org/officeDocument/2006/relationships">
  <sheetPr codeName="Sheet61">
    <pageSetUpPr fitToPage="1"/>
  </sheetPr>
  <dimension ref="A1:L71"/>
  <sheetViews>
    <sheetView view="pageBreakPreview" zoomScale="85" zoomScaleSheetLayoutView="85" workbookViewId="0">
      <pane xSplit="1" ySplit="4" topLeftCell="B5" activePane="bottomRight" state="frozen"/>
      <selection activeCell="H62" sqref="H62"/>
      <selection pane="topRight" activeCell="H62" sqref="H62"/>
      <selection pane="bottomLeft" activeCell="H62" sqref="H62"/>
      <selection pane="bottomRight" activeCell="H62" sqref="H62"/>
    </sheetView>
  </sheetViews>
  <sheetFormatPr defaultColWidth="8.85546875" defaultRowHeight="12.75"/>
  <cols>
    <col min="1" max="11" width="8.85546875" style="1" customWidth="1"/>
    <col min="12" max="12" width="10.140625" style="1" customWidth="1"/>
    <col min="13" max="16384" width="8.85546875" style="1"/>
  </cols>
  <sheetData>
    <row r="1" spans="1:12" ht="18.75">
      <c r="A1" s="4"/>
      <c r="B1" s="3" t="s">
        <v>2181</v>
      </c>
    </row>
    <row r="2" spans="1:12">
      <c r="A2" s="4"/>
      <c r="B2" s="4"/>
    </row>
    <row r="3" spans="1:12">
      <c r="A3" s="2"/>
      <c r="B3" s="1164" t="s">
        <v>375</v>
      </c>
      <c r="C3" s="1164" t="s">
        <v>377</v>
      </c>
      <c r="D3" s="1164" t="s">
        <v>386</v>
      </c>
      <c r="E3" s="1164" t="s">
        <v>378</v>
      </c>
      <c r="F3" s="1164" t="s">
        <v>379</v>
      </c>
      <c r="G3" s="1164" t="s">
        <v>380</v>
      </c>
      <c r="H3" s="1164" t="s">
        <v>381</v>
      </c>
      <c r="I3" s="1164" t="s">
        <v>382</v>
      </c>
      <c r="J3" s="1164" t="s">
        <v>383</v>
      </c>
      <c r="K3" s="1164" t="s">
        <v>384</v>
      </c>
      <c r="L3" s="1164" t="s">
        <v>385</v>
      </c>
    </row>
    <row r="4" spans="1:12">
      <c r="A4" s="7"/>
      <c r="B4" s="1165"/>
      <c r="C4" s="1165"/>
      <c r="D4" s="1165"/>
      <c r="E4" s="1165"/>
      <c r="F4" s="1165"/>
      <c r="G4" s="1165"/>
      <c r="H4" s="1165"/>
      <c r="I4" s="1165"/>
      <c r="J4" s="1165"/>
      <c r="K4" s="1165"/>
      <c r="L4" s="1165"/>
    </row>
    <row r="5" spans="1:12">
      <c r="A5" s="2">
        <v>1981</v>
      </c>
      <c r="B5" s="19">
        <f>TREND('9b'!B$5:B$29,'9b'!$A$5:$A$29,'9b'!$A5)</f>
        <v>19049.977633817267</v>
      </c>
      <c r="C5" s="19">
        <f>TREND('9b'!C$5:C$29,'9b'!$A$5:$A$29,'9b'!$A5)</f>
        <v>12344.758460174722</v>
      </c>
      <c r="D5" s="19">
        <f>TREND('9b'!D$5:D$29,'9b'!$A$5:$A$29,'9b'!$A5)</f>
        <v>14952.867228643037</v>
      </c>
      <c r="E5" s="19">
        <f>TREND('9b'!E$5:E$29,'9b'!$A$5:$A$29,'9b'!$A5)</f>
        <v>16287.32572815154</v>
      </c>
      <c r="F5" s="19">
        <f>TREND('9b'!F$5:F$29,'9b'!$A$5:$A$29,'9b'!$A5)</f>
        <v>14873.370094957063</v>
      </c>
      <c r="G5" s="19">
        <f>TREND('9b'!G$5:G$29,'9b'!$A$5:$A$29,'9b'!$A5)</f>
        <v>16644.662566815037</v>
      </c>
      <c r="H5" s="19">
        <f>TREND('9b'!H$5:H$29,'9b'!$A$5:$A$29,'9b'!$A5)</f>
        <v>21455.294279608672</v>
      </c>
      <c r="I5" s="19">
        <f>TREND('9b'!I$5:I$29,'9b'!$A$5:$A$29,'9b'!$A5)</f>
        <v>19127.247766995089</v>
      </c>
      <c r="J5" s="19">
        <f>TREND('9b'!J$5:J$29,'9b'!$A$5:$A$29,'9b'!$A5)</f>
        <v>17708.228569610932</v>
      </c>
      <c r="K5" s="19">
        <f>TREND('9b'!K$5:K$29,'9b'!$A$5:$A$29,'9b'!$A5)</f>
        <v>20665.510864231561</v>
      </c>
      <c r="L5" s="19">
        <f>TREND('9b'!L$5:L$29,'9b'!$A$5:$A$29,'9b'!$A5)</f>
        <v>19711.439118892973</v>
      </c>
    </row>
    <row r="6" spans="1:12">
      <c r="A6" s="2">
        <v>1982</v>
      </c>
      <c r="B6" s="19">
        <f>TREND('9b'!B$5:B$29,'9b'!$A$5:$A$29,'9b'!$A6)</f>
        <v>19183.876358490466</v>
      </c>
      <c r="C6" s="19">
        <f>TREND('9b'!C$5:C$29,'9b'!$A$5:$A$29,'9b'!$A6)</f>
        <v>12609.029583681782</v>
      </c>
      <c r="D6" s="19">
        <f>TREND('9b'!D$5:D$29,'9b'!$A$5:$A$29,'9b'!$A6)</f>
        <v>15132.373340868275</v>
      </c>
      <c r="E6" s="19">
        <f>TREND('9b'!E$5:E$29,'9b'!$A$5:$A$29,'9b'!$A6)</f>
        <v>16461.112905998831</v>
      </c>
      <c r="F6" s="19">
        <f>TREND('9b'!F$5:F$29,'9b'!$A$5:$A$29,'9b'!$A6)</f>
        <v>15093.433151182078</v>
      </c>
      <c r="G6" s="19">
        <f>TREND('9b'!G$5:G$29,'9b'!$A$5:$A$29,'9b'!$A6)</f>
        <v>16808.076728522836</v>
      </c>
      <c r="H6" s="19">
        <f>TREND('9b'!H$5:H$29,'9b'!$A$5:$A$29,'9b'!$A6)</f>
        <v>21544.367270453833</v>
      </c>
      <c r="I6" s="19">
        <f>TREND('9b'!I$5:I$29,'9b'!$A$5:$A$29,'9b'!$A6)</f>
        <v>19182.860680115962</v>
      </c>
      <c r="J6" s="19">
        <f>TREND('9b'!J$5:J$29,'9b'!$A$5:$A$29,'9b'!$A6)</f>
        <v>17778.746933963281</v>
      </c>
      <c r="K6" s="19">
        <f>TREND('9b'!K$5:K$29,'9b'!$A$5:$A$29,'9b'!$A6)</f>
        <v>20843.109699443914</v>
      </c>
      <c r="L6" s="19">
        <f>TREND('9b'!L$5:L$29,'9b'!$A$5:$A$29,'9b'!$A6)</f>
        <v>19789.073101999093</v>
      </c>
    </row>
    <row r="7" spans="1:12">
      <c r="A7" s="2">
        <v>1983</v>
      </c>
      <c r="B7" s="19">
        <f>TREND('9b'!B$5:B$29,'9b'!$A$5:$A$29,'9b'!$A7)</f>
        <v>19317.775083163666</v>
      </c>
      <c r="C7" s="19">
        <f>TREND('9b'!C$5:C$29,'9b'!$A$5:$A$29,'9b'!$A7)</f>
        <v>12873.300707188842</v>
      </c>
      <c r="D7" s="19">
        <f>TREND('9b'!D$5:D$29,'9b'!$A$5:$A$29,'9b'!$A7)</f>
        <v>15311.879453093454</v>
      </c>
      <c r="E7" s="19">
        <f>TREND('9b'!E$5:E$29,'9b'!$A$5:$A$29,'9b'!$A7)</f>
        <v>16634.900083846063</v>
      </c>
      <c r="F7" s="19">
        <f>TREND('9b'!F$5:F$29,'9b'!$A$5:$A$29,'9b'!$A7)</f>
        <v>15313.496207407094</v>
      </c>
      <c r="G7" s="19">
        <f>TREND('9b'!G$5:G$29,'9b'!$A$5:$A$29,'9b'!$A7)</f>
        <v>16971.490890230634</v>
      </c>
      <c r="H7" s="19">
        <f>TREND('9b'!H$5:H$29,'9b'!$A$5:$A$29,'9b'!$A7)</f>
        <v>21633.440261299023</v>
      </c>
      <c r="I7" s="19">
        <f>TREND('9b'!I$5:I$29,'9b'!$A$5:$A$29,'9b'!$A7)</f>
        <v>19238.473593236835</v>
      </c>
      <c r="J7" s="19">
        <f>TREND('9b'!J$5:J$29,'9b'!$A$5:$A$29,'9b'!$A7)</f>
        <v>17849.265298315629</v>
      </c>
      <c r="K7" s="19">
        <f>TREND('9b'!K$5:K$29,'9b'!$A$5:$A$29,'9b'!$A7)</f>
        <v>21020.708534656267</v>
      </c>
      <c r="L7" s="19">
        <f>TREND('9b'!L$5:L$29,'9b'!$A$5:$A$29,'9b'!$A7)</f>
        <v>19866.707085105241</v>
      </c>
    </row>
    <row r="8" spans="1:12">
      <c r="A8" s="2">
        <v>1984</v>
      </c>
      <c r="B8" s="19">
        <f>TREND('9b'!B$5:B$29,'9b'!$A$5:$A$29,'9b'!$A8)</f>
        <v>19451.673807836865</v>
      </c>
      <c r="C8" s="19">
        <f>TREND('9b'!C$5:C$29,'9b'!$A$5:$A$29,'9b'!$A8)</f>
        <v>13137.571830695902</v>
      </c>
      <c r="D8" s="19">
        <f>TREND('9b'!D$5:D$29,'9b'!$A$5:$A$29,'9b'!$A8)</f>
        <v>15491.385565318691</v>
      </c>
      <c r="E8" s="19">
        <f>TREND('9b'!E$5:E$29,'9b'!$A$5:$A$29,'9b'!$A8)</f>
        <v>16808.687261693354</v>
      </c>
      <c r="F8" s="19">
        <f>TREND('9b'!F$5:F$29,'9b'!$A$5:$A$29,'9b'!$A8)</f>
        <v>15533.559263632167</v>
      </c>
      <c r="G8" s="19">
        <f>TREND('9b'!G$5:G$29,'9b'!$A$5:$A$29,'9b'!$A8)</f>
        <v>17134.905051938491</v>
      </c>
      <c r="H8" s="19">
        <f>TREND('9b'!H$5:H$29,'9b'!$A$5:$A$29,'9b'!$A8)</f>
        <v>21722.513252144185</v>
      </c>
      <c r="I8" s="19">
        <f>TREND('9b'!I$5:I$29,'9b'!$A$5:$A$29,'9b'!$A8)</f>
        <v>19294.086506357708</v>
      </c>
      <c r="J8" s="19">
        <f>TREND('9b'!J$5:J$29,'9b'!$A$5:$A$29,'9b'!$A8)</f>
        <v>17919.783662668007</v>
      </c>
      <c r="K8" s="19">
        <f>TREND('9b'!K$5:K$29,'9b'!$A$5:$A$29,'9b'!$A8)</f>
        <v>21198.307369868679</v>
      </c>
      <c r="L8" s="19">
        <f>TREND('9b'!L$5:L$29,'9b'!$A$5:$A$29,'9b'!$A8)</f>
        <v>19944.341068211361</v>
      </c>
    </row>
    <row r="9" spans="1:12">
      <c r="A9" s="2">
        <v>1985</v>
      </c>
      <c r="B9" s="19">
        <f>TREND('9b'!B$5:B$29,'9b'!$A$5:$A$29,'9b'!$A9)</f>
        <v>19585.572532510065</v>
      </c>
      <c r="C9" s="19">
        <f>TREND('9b'!C$5:C$29,'9b'!$A$5:$A$29,'9b'!$A9)</f>
        <v>13401.842954202963</v>
      </c>
      <c r="D9" s="19">
        <f>TREND('9b'!D$5:D$29,'9b'!$A$5:$A$29,'9b'!$A9)</f>
        <v>15670.891677543928</v>
      </c>
      <c r="E9" s="19">
        <f>TREND('9b'!E$5:E$29,'9b'!$A$5:$A$29,'9b'!$A9)</f>
        <v>16982.474439540645</v>
      </c>
      <c r="F9" s="19">
        <f>TREND('9b'!F$5:F$29,'9b'!$A$5:$A$29,'9b'!$A9)</f>
        <v>15753.622319857182</v>
      </c>
      <c r="G9" s="19">
        <f>TREND('9b'!G$5:G$29,'9b'!$A$5:$A$29,'9b'!$A9)</f>
        <v>17298.319213646289</v>
      </c>
      <c r="H9" s="19">
        <f>TREND('9b'!H$5:H$29,'9b'!$A$5:$A$29,'9b'!$A9)</f>
        <v>21811.586242989346</v>
      </c>
      <c r="I9" s="19">
        <f>TREND('9b'!I$5:I$29,'9b'!$A$5:$A$29,'9b'!$A9)</f>
        <v>19349.69941947858</v>
      </c>
      <c r="J9" s="19">
        <f>TREND('9b'!J$5:J$29,'9b'!$A$5:$A$29,'9b'!$A9)</f>
        <v>17990.302027020356</v>
      </c>
      <c r="K9" s="19">
        <f>TREND('9b'!K$5:K$29,'9b'!$A$5:$A$29,'9b'!$A9)</f>
        <v>21375.906205081032</v>
      </c>
      <c r="L9" s="19">
        <f>TREND('9b'!L$5:L$29,'9b'!$A$5:$A$29,'9b'!$A9)</f>
        <v>20021.975051317509</v>
      </c>
    </row>
    <row r="10" spans="1:12">
      <c r="A10" s="2">
        <v>1986</v>
      </c>
      <c r="B10" s="19">
        <f>TREND('9b'!B$5:B$29,'9b'!$A$5:$A$29,'9b'!$A10)</f>
        <v>19719.471257183264</v>
      </c>
      <c r="C10" s="19">
        <f>TREND('9b'!C$5:C$29,'9b'!$A$5:$A$29,'9b'!$A10)</f>
        <v>13666.114077710023</v>
      </c>
      <c r="D10" s="19">
        <f>TREND('9b'!D$5:D$29,'9b'!$A$5:$A$29,'9b'!$A10)</f>
        <v>15850.397789769107</v>
      </c>
      <c r="E10" s="19">
        <f>TREND('9b'!E$5:E$29,'9b'!$A$5:$A$29,'9b'!$A10)</f>
        <v>17156.261617387936</v>
      </c>
      <c r="F10" s="19">
        <f>TREND('9b'!F$5:F$29,'9b'!$A$5:$A$29,'9b'!$A10)</f>
        <v>15973.685376082256</v>
      </c>
      <c r="G10" s="19">
        <f>TREND('9b'!G$5:G$29,'9b'!$A$5:$A$29,'9b'!$A10)</f>
        <v>17461.733375354088</v>
      </c>
      <c r="H10" s="19">
        <f>TREND('9b'!H$5:H$29,'9b'!$A$5:$A$29,'9b'!$A10)</f>
        <v>21900.659233834507</v>
      </c>
      <c r="I10" s="19">
        <f>TREND('9b'!I$5:I$29,'9b'!$A$5:$A$29,'9b'!$A10)</f>
        <v>19405.312332599453</v>
      </c>
      <c r="J10" s="19">
        <f>TREND('9b'!J$5:J$29,'9b'!$A$5:$A$29,'9b'!$A10)</f>
        <v>18060.820391372705</v>
      </c>
      <c r="K10" s="19">
        <f>TREND('9b'!K$5:K$29,'9b'!$A$5:$A$29,'9b'!$A10)</f>
        <v>21553.505040293385</v>
      </c>
      <c r="L10" s="19">
        <f>TREND('9b'!L$5:L$29,'9b'!$A$5:$A$29,'9b'!$A10)</f>
        <v>20099.609034423658</v>
      </c>
    </row>
    <row r="11" spans="1:12">
      <c r="A11" s="2">
        <v>1987</v>
      </c>
      <c r="B11" s="19">
        <f>TREND('9b'!B$5:B$29,'9b'!$A$5:$A$29,'9b'!$A11)</f>
        <v>19853.369981856464</v>
      </c>
      <c r="C11" s="19">
        <f>TREND('9b'!C$5:C$29,'9b'!$A$5:$A$29,'9b'!$A11)</f>
        <v>13930.385201217083</v>
      </c>
      <c r="D11" s="19">
        <f>TREND('9b'!D$5:D$29,'9b'!$A$5:$A$29,'9b'!$A11)</f>
        <v>16029.903901994345</v>
      </c>
      <c r="E11" s="19">
        <f>TREND('9b'!E$5:E$29,'9b'!$A$5:$A$29,'9b'!$A11)</f>
        <v>17330.048795235227</v>
      </c>
      <c r="F11" s="19">
        <f>TREND('9b'!F$5:F$29,'9b'!$A$5:$A$29,'9b'!$A11)</f>
        <v>16193.748432307271</v>
      </c>
      <c r="G11" s="19">
        <f>TREND('9b'!G$5:G$29,'9b'!$A$5:$A$29,'9b'!$A11)</f>
        <v>17625.147537061886</v>
      </c>
      <c r="H11" s="19">
        <f>TREND('9b'!H$5:H$29,'9b'!$A$5:$A$29,'9b'!$A11)</f>
        <v>21989.732224679698</v>
      </c>
      <c r="I11" s="19">
        <f>TREND('9b'!I$5:I$29,'9b'!$A$5:$A$29,'9b'!$A11)</f>
        <v>19460.925245720326</v>
      </c>
      <c r="J11" s="19">
        <f>TREND('9b'!J$5:J$29,'9b'!$A$5:$A$29,'9b'!$A11)</f>
        <v>18131.338755725083</v>
      </c>
      <c r="K11" s="19">
        <f>TREND('9b'!K$5:K$29,'9b'!$A$5:$A$29,'9b'!$A11)</f>
        <v>21731.103875505738</v>
      </c>
      <c r="L11" s="19">
        <f>TREND('9b'!L$5:L$29,'9b'!$A$5:$A$29,'9b'!$A11)</f>
        <v>20177.243017529778</v>
      </c>
    </row>
    <row r="12" spans="1:12">
      <c r="A12" s="2">
        <v>1988</v>
      </c>
      <c r="B12" s="19">
        <f>TREND('9b'!B$5:B$29,'9b'!$A$5:$A$29,'9b'!$A12)</f>
        <v>19987.268706529663</v>
      </c>
      <c r="C12" s="19">
        <f>TREND('9b'!C$5:C$29,'9b'!$A$5:$A$29,'9b'!$A12)</f>
        <v>14194.656324724143</v>
      </c>
      <c r="D12" s="19">
        <f>TREND('9b'!D$5:D$29,'9b'!$A$5:$A$29,'9b'!$A12)</f>
        <v>16209.410014219582</v>
      </c>
      <c r="E12" s="19">
        <f>TREND('9b'!E$5:E$29,'9b'!$A$5:$A$29,'9b'!$A12)</f>
        <v>17503.835973082518</v>
      </c>
      <c r="F12" s="19">
        <f>TREND('9b'!F$5:F$29,'9b'!$A$5:$A$29,'9b'!$A12)</f>
        <v>16413.811488532287</v>
      </c>
      <c r="G12" s="19">
        <f>TREND('9b'!G$5:G$29,'9b'!$A$5:$A$29,'9b'!$A12)</f>
        <v>17788.561698769685</v>
      </c>
      <c r="H12" s="19">
        <f>TREND('9b'!H$5:H$29,'9b'!$A$5:$A$29,'9b'!$A12)</f>
        <v>22078.805215524859</v>
      </c>
      <c r="I12" s="19">
        <f>TREND('9b'!I$5:I$29,'9b'!$A$5:$A$29,'9b'!$A12)</f>
        <v>19516.538158841198</v>
      </c>
      <c r="J12" s="19">
        <f>TREND('9b'!J$5:J$29,'9b'!$A$5:$A$29,'9b'!$A12)</f>
        <v>18201.857120077431</v>
      </c>
      <c r="K12" s="19">
        <f>TREND('9b'!K$5:K$29,'9b'!$A$5:$A$29,'9b'!$A12)</f>
        <v>21908.702710718091</v>
      </c>
      <c r="L12" s="19">
        <f>TREND('9b'!L$5:L$29,'9b'!$A$5:$A$29,'9b'!$A12)</f>
        <v>20254.877000635926</v>
      </c>
    </row>
    <row r="13" spans="1:12">
      <c r="A13" s="2">
        <v>1989</v>
      </c>
      <c r="B13" s="19">
        <f>TREND('9b'!B$5:B$29,'9b'!$A$5:$A$29,'9b'!$A13)</f>
        <v>20121.167431202863</v>
      </c>
      <c r="C13" s="19">
        <f>TREND('9b'!C$5:C$29,'9b'!$A$5:$A$29,'9b'!$A13)</f>
        <v>14458.927448231203</v>
      </c>
      <c r="D13" s="19">
        <f>TREND('9b'!D$5:D$29,'9b'!$A$5:$A$29,'9b'!$A13)</f>
        <v>16388.916126444761</v>
      </c>
      <c r="E13" s="19">
        <f>TREND('9b'!E$5:E$29,'9b'!$A$5:$A$29,'9b'!$A13)</f>
        <v>17677.62315092975</v>
      </c>
      <c r="F13" s="19">
        <f>TREND('9b'!F$5:F$29,'9b'!$A$5:$A$29,'9b'!$A13)</f>
        <v>16633.87454475736</v>
      </c>
      <c r="G13" s="19">
        <f>TREND('9b'!G$5:G$29,'9b'!$A$5:$A$29,'9b'!$A13)</f>
        <v>17951.975860477542</v>
      </c>
      <c r="H13" s="19">
        <f>TREND('9b'!H$5:H$29,'9b'!$A$5:$A$29,'9b'!$A13)</f>
        <v>22167.87820637002</v>
      </c>
      <c r="I13" s="19">
        <f>TREND('9b'!I$5:I$29,'9b'!$A$5:$A$29,'9b'!$A13)</f>
        <v>19572.151071962071</v>
      </c>
      <c r="J13" s="19">
        <f>TREND('9b'!J$5:J$29,'9b'!$A$5:$A$29,'9b'!$A13)</f>
        <v>18272.37548442978</v>
      </c>
      <c r="K13" s="19">
        <f>TREND('9b'!K$5:K$29,'9b'!$A$5:$A$29,'9b'!$A13)</f>
        <v>22086.301545930444</v>
      </c>
      <c r="L13" s="19">
        <f>TREND('9b'!L$5:L$29,'9b'!$A$5:$A$29,'9b'!$A13)</f>
        <v>20332.510983742046</v>
      </c>
    </row>
    <row r="14" spans="1:12">
      <c r="A14" s="2">
        <v>1990</v>
      </c>
      <c r="B14" s="19">
        <f>TREND('9b'!B$5:B$29,'9b'!$A$5:$A$29,'9b'!$A14)</f>
        <v>20255.066155876062</v>
      </c>
      <c r="C14" s="19">
        <f>TREND('9b'!C$5:C$29,'9b'!$A$5:$A$29,'9b'!$A14)</f>
        <v>14723.198571738263</v>
      </c>
      <c r="D14" s="19">
        <f>TREND('9b'!D$5:D$29,'9b'!$A$5:$A$29,'9b'!$A14)</f>
        <v>16568.422238669998</v>
      </c>
      <c r="E14" s="19">
        <f>TREND('9b'!E$5:E$29,'9b'!$A$5:$A$29,'9b'!$A14)</f>
        <v>17851.410328777041</v>
      </c>
      <c r="F14" s="19">
        <f>TREND('9b'!F$5:F$29,'9b'!$A$5:$A$29,'9b'!$A14)</f>
        <v>16853.937600982375</v>
      </c>
      <c r="G14" s="19">
        <f>TREND('9b'!G$5:G$29,'9b'!$A$5:$A$29,'9b'!$A14)</f>
        <v>18115.39002218534</v>
      </c>
      <c r="H14" s="19">
        <f>TREND('9b'!H$5:H$29,'9b'!$A$5:$A$29,'9b'!$A14)</f>
        <v>22256.951197215181</v>
      </c>
      <c r="I14" s="19">
        <f>TREND('9b'!I$5:I$29,'9b'!$A$5:$A$29,'9b'!$A14)</f>
        <v>19627.763985082944</v>
      </c>
      <c r="J14" s="19">
        <f>TREND('9b'!J$5:J$29,'9b'!$A$5:$A$29,'9b'!$A14)</f>
        <v>18342.893848782129</v>
      </c>
      <c r="K14" s="19">
        <f>TREND('9b'!K$5:K$29,'9b'!$A$5:$A$29,'9b'!$A14)</f>
        <v>22263.900381142856</v>
      </c>
      <c r="L14" s="19">
        <f>TREND('9b'!L$5:L$29,'9b'!$A$5:$A$29,'9b'!$A14)</f>
        <v>20410.144966848195</v>
      </c>
    </row>
    <row r="15" spans="1:12">
      <c r="A15" s="2">
        <v>1991</v>
      </c>
      <c r="B15" s="19">
        <f>TREND('9b'!B$5:B$29,'9b'!$A$5:$A$29,'9b'!$A15)</f>
        <v>20388.964880549262</v>
      </c>
      <c r="C15" s="19">
        <f>TREND('9b'!C$5:C$29,'9b'!$A$5:$A$29,'9b'!$A15)</f>
        <v>14987.469695245323</v>
      </c>
      <c r="D15" s="19">
        <f>TREND('9b'!D$5:D$29,'9b'!$A$5:$A$29,'9b'!$A15)</f>
        <v>16747.928350895236</v>
      </c>
      <c r="E15" s="19">
        <f>TREND('9b'!E$5:E$29,'9b'!$A$5:$A$29,'9b'!$A15)</f>
        <v>18025.197506624332</v>
      </c>
      <c r="F15" s="19">
        <f>TREND('9b'!F$5:F$29,'9b'!$A$5:$A$29,'9b'!$A15)</f>
        <v>17074.000657207449</v>
      </c>
      <c r="G15" s="19">
        <f>TREND('9b'!G$5:G$29,'9b'!$A$5:$A$29,'9b'!$A15)</f>
        <v>18278.804183893139</v>
      </c>
      <c r="H15" s="19">
        <f>TREND('9b'!H$5:H$29,'9b'!$A$5:$A$29,'9b'!$A15)</f>
        <v>22346.024188060343</v>
      </c>
      <c r="I15" s="19">
        <f>TREND('9b'!I$5:I$29,'9b'!$A$5:$A$29,'9b'!$A15)</f>
        <v>19683.376898203816</v>
      </c>
      <c r="J15" s="19">
        <f>TREND('9b'!J$5:J$29,'9b'!$A$5:$A$29,'9b'!$A15)</f>
        <v>18413.412213134507</v>
      </c>
      <c r="K15" s="19">
        <f>TREND('9b'!K$5:K$29,'9b'!$A$5:$A$29,'9b'!$A15)</f>
        <v>22441.499216355209</v>
      </c>
      <c r="L15" s="19">
        <f>TREND('9b'!L$5:L$29,'9b'!$A$5:$A$29,'9b'!$A15)</f>
        <v>20487.778949954343</v>
      </c>
    </row>
    <row r="16" spans="1:12">
      <c r="A16" s="2">
        <v>1992</v>
      </c>
      <c r="B16" s="19">
        <f>TREND('9b'!B$5:B$29,'9b'!$A$5:$A$29,'9b'!$A16)</f>
        <v>20522.863605222461</v>
      </c>
      <c r="C16" s="19">
        <f>TREND('9b'!C$5:C$29,'9b'!$A$5:$A$29,'9b'!$A16)</f>
        <v>15251.740818752383</v>
      </c>
      <c r="D16" s="19">
        <f>TREND('9b'!D$5:D$29,'9b'!$A$5:$A$29,'9b'!$A16)</f>
        <v>16927.434463120415</v>
      </c>
      <c r="E16" s="19">
        <f>TREND('9b'!E$5:E$29,'9b'!$A$5:$A$29,'9b'!$A16)</f>
        <v>18198.984684471623</v>
      </c>
      <c r="F16" s="19">
        <f>TREND('9b'!F$5:F$29,'9b'!$A$5:$A$29,'9b'!$A16)</f>
        <v>17294.063713432464</v>
      </c>
      <c r="G16" s="19">
        <f>TREND('9b'!G$5:G$29,'9b'!$A$5:$A$29,'9b'!$A16)</f>
        <v>18442.218345600937</v>
      </c>
      <c r="H16" s="19">
        <f>TREND('9b'!H$5:H$29,'9b'!$A$5:$A$29,'9b'!$A16)</f>
        <v>22435.097178905533</v>
      </c>
      <c r="I16" s="19">
        <f>TREND('9b'!I$5:I$29,'9b'!$A$5:$A$29,'9b'!$A16)</f>
        <v>19738.989811324689</v>
      </c>
      <c r="J16" s="19">
        <f>TREND('9b'!J$5:J$29,'9b'!$A$5:$A$29,'9b'!$A16)</f>
        <v>18483.930577486855</v>
      </c>
      <c r="K16" s="19">
        <f>TREND('9b'!K$5:K$29,'9b'!$A$5:$A$29,'9b'!$A16)</f>
        <v>22619.098051567562</v>
      </c>
      <c r="L16" s="19">
        <f>TREND('9b'!L$5:L$29,'9b'!$A$5:$A$29,'9b'!$A16)</f>
        <v>20565.412933060463</v>
      </c>
    </row>
    <row r="17" spans="1:12">
      <c r="A17" s="2">
        <v>1993</v>
      </c>
      <c r="B17" s="19">
        <f>TREND('9b'!B$5:B$29,'9b'!$A$5:$A$29,'9b'!$A17)</f>
        <v>20656.762329895661</v>
      </c>
      <c r="C17" s="19">
        <f>TREND('9b'!C$5:C$29,'9b'!$A$5:$A$29,'9b'!$A17)</f>
        <v>15516.011942259443</v>
      </c>
      <c r="D17" s="19">
        <f>TREND('9b'!D$5:D$29,'9b'!$A$5:$A$29,'9b'!$A17)</f>
        <v>17106.940575345652</v>
      </c>
      <c r="E17" s="19">
        <f>TREND('9b'!E$5:E$29,'9b'!$A$5:$A$29,'9b'!$A17)</f>
        <v>18372.771862318914</v>
      </c>
      <c r="F17" s="19">
        <f>TREND('9b'!F$5:F$29,'9b'!$A$5:$A$29,'9b'!$A17)</f>
        <v>17514.12676965748</v>
      </c>
      <c r="G17" s="19">
        <f>TREND('9b'!G$5:G$29,'9b'!$A$5:$A$29,'9b'!$A17)</f>
        <v>18605.632507308736</v>
      </c>
      <c r="H17" s="19">
        <f>TREND('9b'!H$5:H$29,'9b'!$A$5:$A$29,'9b'!$A17)</f>
        <v>22524.170169750694</v>
      </c>
      <c r="I17" s="19">
        <f>TREND('9b'!I$5:I$29,'9b'!$A$5:$A$29,'9b'!$A17)</f>
        <v>19794.602724445562</v>
      </c>
      <c r="J17" s="19">
        <f>TREND('9b'!J$5:J$29,'9b'!$A$5:$A$29,'9b'!$A17)</f>
        <v>18554.448941839204</v>
      </c>
      <c r="K17" s="19">
        <f>TREND('9b'!K$5:K$29,'9b'!$A$5:$A$29,'9b'!$A17)</f>
        <v>22796.696886779915</v>
      </c>
      <c r="L17" s="19">
        <f>TREND('9b'!L$5:L$29,'9b'!$A$5:$A$29,'9b'!$A17)</f>
        <v>20643.046916166611</v>
      </c>
    </row>
    <row r="18" spans="1:12">
      <c r="A18" s="2">
        <v>1994</v>
      </c>
      <c r="B18" s="19">
        <f>TREND('9b'!B$5:B$29,'9b'!$A$5:$A$29,'9b'!$A18)</f>
        <v>20790.66105456886</v>
      </c>
      <c r="C18" s="19">
        <f>TREND('9b'!C$5:C$29,'9b'!$A$5:$A$29,'9b'!$A18)</f>
        <v>15780.283065766504</v>
      </c>
      <c r="D18" s="19">
        <f>TREND('9b'!D$5:D$29,'9b'!$A$5:$A$29,'9b'!$A18)</f>
        <v>17286.446687570889</v>
      </c>
      <c r="E18" s="19">
        <f>TREND('9b'!E$5:E$29,'9b'!$A$5:$A$29,'9b'!$A18)</f>
        <v>18546.559040166205</v>
      </c>
      <c r="F18" s="19">
        <f>TREND('9b'!F$5:F$29,'9b'!$A$5:$A$29,'9b'!$A18)</f>
        <v>17734.189825882553</v>
      </c>
      <c r="G18" s="19">
        <f>TREND('9b'!G$5:G$29,'9b'!$A$5:$A$29,'9b'!$A18)</f>
        <v>18769.046669016592</v>
      </c>
      <c r="H18" s="19">
        <f>TREND('9b'!H$5:H$29,'9b'!$A$5:$A$29,'9b'!$A18)</f>
        <v>22613.243160595855</v>
      </c>
      <c r="I18" s="19">
        <f>TREND('9b'!I$5:I$29,'9b'!$A$5:$A$29,'9b'!$A18)</f>
        <v>19850.215637566434</v>
      </c>
      <c r="J18" s="19">
        <f>TREND('9b'!J$5:J$29,'9b'!$A$5:$A$29,'9b'!$A18)</f>
        <v>18624.967306191582</v>
      </c>
      <c r="K18" s="19">
        <f>TREND('9b'!K$5:K$29,'9b'!$A$5:$A$29,'9b'!$A18)</f>
        <v>22974.295721992268</v>
      </c>
      <c r="L18" s="19">
        <f>TREND('9b'!L$5:L$29,'9b'!$A$5:$A$29,'9b'!$A18)</f>
        <v>20720.680899272731</v>
      </c>
    </row>
    <row r="19" spans="1:12">
      <c r="A19" s="2">
        <v>1995</v>
      </c>
      <c r="B19" s="19">
        <f>TREND('9b'!B$5:B$29,'9b'!$A$5:$A$29,'9b'!$A19)</f>
        <v>20924.559779242059</v>
      </c>
      <c r="C19" s="19">
        <f>TREND('9b'!C$5:C$29,'9b'!$A$5:$A$29,'9b'!$A19)</f>
        <v>16044.554189273564</v>
      </c>
      <c r="D19" s="19">
        <f>TREND('9b'!D$5:D$29,'9b'!$A$5:$A$29,'9b'!$A19)</f>
        <v>17465.952799796069</v>
      </c>
      <c r="E19" s="19">
        <f>TREND('9b'!E$5:E$29,'9b'!$A$5:$A$29,'9b'!$A19)</f>
        <v>18720.346218013437</v>
      </c>
      <c r="F19" s="19">
        <f>TREND('9b'!F$5:F$29,'9b'!$A$5:$A$29,'9b'!$A19)</f>
        <v>17954.252882107568</v>
      </c>
      <c r="G19" s="19">
        <f>TREND('9b'!G$5:G$29,'9b'!$A$5:$A$29,'9b'!$A19)</f>
        <v>18932.460830724391</v>
      </c>
      <c r="H19" s="19">
        <f>TREND('9b'!H$5:H$29,'9b'!$A$5:$A$29,'9b'!$A19)</f>
        <v>22702.316151441017</v>
      </c>
      <c r="I19" s="19">
        <f>TREND('9b'!I$5:I$29,'9b'!$A$5:$A$29,'9b'!$A19)</f>
        <v>19905.828550687307</v>
      </c>
      <c r="J19" s="19">
        <f>TREND('9b'!J$5:J$29,'9b'!$A$5:$A$29,'9b'!$A19)</f>
        <v>18695.485670543931</v>
      </c>
      <c r="K19" s="19">
        <f>TREND('9b'!K$5:K$29,'9b'!$A$5:$A$29,'9b'!$A19)</f>
        <v>23151.89455720468</v>
      </c>
      <c r="L19" s="19">
        <f>TREND('9b'!L$5:L$29,'9b'!$A$5:$A$29,'9b'!$A19)</f>
        <v>20798.31488237888</v>
      </c>
    </row>
    <row r="20" spans="1:12">
      <c r="A20" s="2">
        <v>1996</v>
      </c>
      <c r="B20" s="19">
        <f>TREND('9b'!B$5:B$29,'9b'!$A$5:$A$29,'9b'!$A20)</f>
        <v>21058.458503915259</v>
      </c>
      <c r="C20" s="19">
        <f>TREND('9b'!C$5:C$29,'9b'!$A$5:$A$29,'9b'!$A20)</f>
        <v>16308.825312780624</v>
      </c>
      <c r="D20" s="19">
        <f>TREND('9b'!D$5:D$29,'9b'!$A$5:$A$29,'9b'!$A20)</f>
        <v>17645.458912021306</v>
      </c>
      <c r="E20" s="19">
        <f>TREND('9b'!E$5:E$29,'9b'!$A$5:$A$29,'9b'!$A20)</f>
        <v>18894.133395860728</v>
      </c>
      <c r="F20" s="19">
        <f>TREND('9b'!F$5:F$29,'9b'!$A$5:$A$29,'9b'!$A20)</f>
        <v>18174.315938332642</v>
      </c>
      <c r="G20" s="19">
        <f>TREND('9b'!G$5:G$29,'9b'!$A$5:$A$29,'9b'!$A20)</f>
        <v>19095.874992432189</v>
      </c>
      <c r="H20" s="19">
        <f>TREND('9b'!H$5:H$29,'9b'!$A$5:$A$29,'9b'!$A20)</f>
        <v>22791.389142286207</v>
      </c>
      <c r="I20" s="19">
        <f>TREND('9b'!I$5:I$29,'9b'!$A$5:$A$29,'9b'!$A20)</f>
        <v>19961.44146380818</v>
      </c>
      <c r="J20" s="19">
        <f>TREND('9b'!J$5:J$29,'9b'!$A$5:$A$29,'9b'!$A20)</f>
        <v>18766.004034896279</v>
      </c>
      <c r="K20" s="19">
        <f>TREND('9b'!K$5:K$29,'9b'!$A$5:$A$29,'9b'!$A20)</f>
        <v>23329.493392417033</v>
      </c>
      <c r="L20" s="19">
        <f>TREND('9b'!L$5:L$29,'9b'!$A$5:$A$29,'9b'!$A20)</f>
        <v>20875.948865485028</v>
      </c>
    </row>
    <row r="21" spans="1:12">
      <c r="A21" s="2">
        <v>1997</v>
      </c>
      <c r="B21" s="19">
        <f>TREND('9b'!B$5:B$29,'9b'!$A$5:$A$29,'9b'!$A21)</f>
        <v>21192.3572285884</v>
      </c>
      <c r="C21" s="19">
        <f>TREND('9b'!C$5:C$29,'9b'!$A$5:$A$29,'9b'!$A21)</f>
        <v>16573.096436287684</v>
      </c>
      <c r="D21" s="19">
        <f>TREND('9b'!D$5:D$29,'9b'!$A$5:$A$29,'9b'!$A21)</f>
        <v>17824.965024246543</v>
      </c>
      <c r="E21" s="19">
        <f>TREND('9b'!E$5:E$29,'9b'!$A$5:$A$29,'9b'!$A21)</f>
        <v>19067.920573708019</v>
      </c>
      <c r="F21" s="19">
        <f>TREND('9b'!F$5:F$29,'9b'!$A$5:$A$29,'9b'!$A21)</f>
        <v>18394.378994557657</v>
      </c>
      <c r="G21" s="19">
        <f>TREND('9b'!G$5:G$29,'9b'!$A$5:$A$29,'9b'!$A21)</f>
        <v>19259.289154139988</v>
      </c>
      <c r="H21" s="19">
        <f>TREND('9b'!H$5:H$29,'9b'!$A$5:$A$29,'9b'!$A21)</f>
        <v>22880.462133131368</v>
      </c>
      <c r="I21" s="19">
        <f>TREND('9b'!I$5:I$29,'9b'!$A$5:$A$29,'9b'!$A21)</f>
        <v>20017.054376929053</v>
      </c>
      <c r="J21" s="19">
        <f>TREND('9b'!J$5:J$29,'9b'!$A$5:$A$29,'9b'!$A21)</f>
        <v>18836.522399248628</v>
      </c>
      <c r="K21" s="19">
        <f>TREND('9b'!K$5:K$29,'9b'!$A$5:$A$29,'9b'!$A21)</f>
        <v>23507.092227629386</v>
      </c>
      <c r="L21" s="19">
        <f>TREND('9b'!L$5:L$29,'9b'!$A$5:$A$29,'9b'!$A21)</f>
        <v>20953.582848591148</v>
      </c>
    </row>
    <row r="22" spans="1:12">
      <c r="A22" s="2">
        <v>1998</v>
      </c>
      <c r="B22" s="19">
        <f>TREND('9b'!B$5:B$29,'9b'!$A$5:$A$29,'9b'!$A22)</f>
        <v>21326.2559532616</v>
      </c>
      <c r="C22" s="19">
        <f>TREND('9b'!C$5:C$29,'9b'!$A$5:$A$29,'9b'!$A22)</f>
        <v>16837.367559794744</v>
      </c>
      <c r="D22" s="19">
        <f>TREND('9b'!D$5:D$29,'9b'!$A$5:$A$29,'9b'!$A22)</f>
        <v>18004.471136471722</v>
      </c>
      <c r="E22" s="19">
        <f>TREND('9b'!E$5:E$29,'9b'!$A$5:$A$29,'9b'!$A22)</f>
        <v>19241.70775155531</v>
      </c>
      <c r="F22" s="19">
        <f>TREND('9b'!F$5:F$29,'9b'!$A$5:$A$29,'9b'!$A22)</f>
        <v>18614.442050782673</v>
      </c>
      <c r="G22" s="19">
        <f>TREND('9b'!G$5:G$29,'9b'!$A$5:$A$29,'9b'!$A22)</f>
        <v>19422.703315847844</v>
      </c>
      <c r="H22" s="19">
        <f>TREND('9b'!H$5:H$29,'9b'!$A$5:$A$29,'9b'!$A22)</f>
        <v>22969.53512397653</v>
      </c>
      <c r="I22" s="19">
        <f>TREND('9b'!I$5:I$29,'9b'!$A$5:$A$29,'9b'!$A22)</f>
        <v>20072.667290049925</v>
      </c>
      <c r="J22" s="19">
        <f>TREND('9b'!J$5:J$29,'9b'!$A$5:$A$29,'9b'!$A22)</f>
        <v>18907.040763601006</v>
      </c>
      <c r="K22" s="19">
        <f>TREND('9b'!K$5:K$29,'9b'!$A$5:$A$29,'9b'!$A22)</f>
        <v>23684.691062841739</v>
      </c>
      <c r="L22" s="19">
        <f>TREND('9b'!L$5:L$29,'9b'!$A$5:$A$29,'9b'!$A22)</f>
        <v>21031.216831697297</v>
      </c>
    </row>
    <row r="23" spans="1:12">
      <c r="A23" s="2">
        <v>1999</v>
      </c>
      <c r="B23" s="19">
        <f>TREND('9b'!B$5:B$29,'9b'!$A$5:$A$29,'9b'!$A23)</f>
        <v>21460.154677934799</v>
      </c>
      <c r="C23" s="19">
        <f>TREND('9b'!C$5:C$29,'9b'!$A$5:$A$29,'9b'!$A23)</f>
        <v>17101.638683301804</v>
      </c>
      <c r="D23" s="19">
        <f>TREND('9b'!D$5:D$29,'9b'!$A$5:$A$29,'9b'!$A23)</f>
        <v>18183.97724869696</v>
      </c>
      <c r="E23" s="19">
        <f>TREND('9b'!E$5:E$29,'9b'!$A$5:$A$29,'9b'!$A23)</f>
        <v>19415.494929402601</v>
      </c>
      <c r="F23" s="19">
        <f>TREND('9b'!F$5:F$29,'9b'!$A$5:$A$29,'9b'!$A23)</f>
        <v>18834.505107007746</v>
      </c>
      <c r="G23" s="19">
        <f>TREND('9b'!G$5:G$29,'9b'!$A$5:$A$29,'9b'!$A23)</f>
        <v>19586.117477555643</v>
      </c>
      <c r="H23" s="19">
        <f>TREND('9b'!H$5:H$29,'9b'!$A$5:$A$29,'9b'!$A23)</f>
        <v>23058.608114821691</v>
      </c>
      <c r="I23" s="19">
        <f>TREND('9b'!I$5:I$29,'9b'!$A$5:$A$29,'9b'!$A23)</f>
        <v>20128.280203170798</v>
      </c>
      <c r="J23" s="19">
        <f>TREND('9b'!J$5:J$29,'9b'!$A$5:$A$29,'9b'!$A23)</f>
        <v>18977.559127953355</v>
      </c>
      <c r="K23" s="19">
        <f>TREND('9b'!K$5:K$29,'9b'!$A$5:$A$29,'9b'!$A23)</f>
        <v>23862.289898054092</v>
      </c>
      <c r="L23" s="19">
        <f>TREND('9b'!L$5:L$29,'9b'!$A$5:$A$29,'9b'!$A23)</f>
        <v>21108.850814803416</v>
      </c>
    </row>
    <row r="24" spans="1:12">
      <c r="A24" s="2">
        <v>2000</v>
      </c>
      <c r="B24" s="19">
        <f>TREND('9b'!B$5:B$29,'9b'!$A$5:$A$29,'9b'!$A24)</f>
        <v>21594.053402607999</v>
      </c>
      <c r="C24" s="19">
        <f>TREND('9b'!C$5:C$29,'9b'!$A$5:$A$29,'9b'!$A24)</f>
        <v>17365.909806808864</v>
      </c>
      <c r="D24" s="19">
        <f>TREND('9b'!D$5:D$29,'9b'!$A$5:$A$29,'9b'!$A24)</f>
        <v>18363.483360922197</v>
      </c>
      <c r="E24" s="19">
        <f>TREND('9b'!E$5:E$29,'9b'!$A$5:$A$29,'9b'!$A24)</f>
        <v>19589.282107249892</v>
      </c>
      <c r="F24" s="19">
        <f>TREND('9b'!F$5:F$29,'9b'!$A$5:$A$29,'9b'!$A24)</f>
        <v>19054.568163232761</v>
      </c>
      <c r="G24" s="19">
        <f>TREND('9b'!G$5:G$29,'9b'!$A$5:$A$29,'9b'!$A24)</f>
        <v>19749.531639263441</v>
      </c>
      <c r="H24" s="19">
        <f>TREND('9b'!H$5:H$29,'9b'!$A$5:$A$29,'9b'!$A24)</f>
        <v>23147.681105666852</v>
      </c>
      <c r="I24" s="19">
        <f>TREND('9b'!I$5:I$29,'9b'!$A$5:$A$29,'9b'!$A24)</f>
        <v>20183.893116291671</v>
      </c>
      <c r="J24" s="19">
        <f>TREND('9b'!J$5:J$29,'9b'!$A$5:$A$29,'9b'!$A24)</f>
        <v>19048.077492305703</v>
      </c>
      <c r="K24" s="19">
        <f>TREND('9b'!K$5:K$29,'9b'!$A$5:$A$29,'9b'!$A24)</f>
        <v>24039.888733266504</v>
      </c>
      <c r="L24" s="19">
        <f>TREND('9b'!L$5:L$29,'9b'!$A$5:$A$29,'9b'!$A24)</f>
        <v>21186.484797909565</v>
      </c>
    </row>
    <row r="25" spans="1:12">
      <c r="A25" s="2">
        <v>2001</v>
      </c>
      <c r="B25" s="19">
        <f>TREND('9b'!B$5:B$29,'9b'!$A$5:$A$29,'9b'!$A25)</f>
        <v>21727.952127281198</v>
      </c>
      <c r="C25" s="19">
        <f>TREND('9b'!C$5:C$29,'9b'!$A$5:$A$29,'9b'!$A25)</f>
        <v>17630.180930315924</v>
      </c>
      <c r="D25" s="19">
        <f>TREND('9b'!D$5:D$29,'9b'!$A$5:$A$29,'9b'!$A25)</f>
        <v>18542.989473147376</v>
      </c>
      <c r="E25" s="19">
        <f>TREND('9b'!E$5:E$29,'9b'!$A$5:$A$29,'9b'!$A25)</f>
        <v>19763.069285097125</v>
      </c>
      <c r="F25" s="19">
        <f>TREND('9b'!F$5:F$29,'9b'!$A$5:$A$29,'9b'!$A25)</f>
        <v>19274.631219457835</v>
      </c>
      <c r="G25" s="19">
        <f>TREND('9b'!G$5:G$29,'9b'!$A$5:$A$29,'9b'!$A25)</f>
        <v>19912.94580097124</v>
      </c>
      <c r="H25" s="19">
        <f>TREND('9b'!H$5:H$29,'9b'!$A$5:$A$29,'9b'!$A25)</f>
        <v>23236.754096512042</v>
      </c>
      <c r="I25" s="19">
        <f>TREND('9b'!I$5:I$29,'9b'!$A$5:$A$29,'9b'!$A25)</f>
        <v>20239.506029412543</v>
      </c>
      <c r="J25" s="19">
        <f>TREND('9b'!J$5:J$29,'9b'!$A$5:$A$29,'9b'!$A25)</f>
        <v>19118.595856658081</v>
      </c>
      <c r="K25" s="19">
        <f>TREND('9b'!K$5:K$29,'9b'!$A$5:$A$29,'9b'!$A25)</f>
        <v>24217.487568478857</v>
      </c>
      <c r="L25" s="19">
        <f>TREND('9b'!L$5:L$29,'9b'!$A$5:$A$29,'9b'!$A25)</f>
        <v>21264.118781015713</v>
      </c>
    </row>
    <row r="26" spans="1:12">
      <c r="A26" s="2">
        <v>2002</v>
      </c>
      <c r="B26" s="19">
        <f>TREND('9b'!B$5:B$29,'9b'!$A$5:$A$29,'9b'!$A26)</f>
        <v>21861.850851954398</v>
      </c>
      <c r="C26" s="19">
        <f>TREND('9b'!C$5:C$29,'9b'!$A$5:$A$29,'9b'!$A26)</f>
        <v>17894.452053822984</v>
      </c>
      <c r="D26" s="19">
        <f>TREND('9b'!D$5:D$29,'9b'!$A$5:$A$29,'9b'!$A26)</f>
        <v>18722.495585372613</v>
      </c>
      <c r="E26" s="19">
        <f>TREND('9b'!E$5:E$29,'9b'!$A$5:$A$29,'9b'!$A26)</f>
        <v>19936.856462944415</v>
      </c>
      <c r="F26" s="19">
        <f>TREND('9b'!F$5:F$29,'9b'!$A$5:$A$29,'9b'!$A26)</f>
        <v>19494.69427568285</v>
      </c>
      <c r="G26" s="19">
        <f>TREND('9b'!G$5:G$29,'9b'!$A$5:$A$29,'9b'!$A26)</f>
        <v>20076.359962679038</v>
      </c>
      <c r="H26" s="19">
        <f>TREND('9b'!H$5:H$29,'9b'!$A$5:$A$29,'9b'!$A26)</f>
        <v>23325.827087357204</v>
      </c>
      <c r="I26" s="19">
        <f>TREND('9b'!I$5:I$29,'9b'!$A$5:$A$29,'9b'!$A26)</f>
        <v>20295.118942533416</v>
      </c>
      <c r="J26" s="19">
        <f>TREND('9b'!J$5:J$29,'9b'!$A$5:$A$29,'9b'!$A26)</f>
        <v>19189.11422101043</v>
      </c>
      <c r="K26" s="19">
        <f>TREND('9b'!K$5:K$29,'9b'!$A$5:$A$29,'9b'!$A26)</f>
        <v>24395.08640369121</v>
      </c>
      <c r="L26" s="19">
        <f>TREND('9b'!L$5:L$29,'9b'!$A$5:$A$29,'9b'!$A26)</f>
        <v>21341.752764121833</v>
      </c>
    </row>
    <row r="27" spans="1:12">
      <c r="A27" s="2">
        <v>2003</v>
      </c>
      <c r="B27" s="19">
        <f>TREND('9b'!B$5:B$29,'9b'!$A$5:$A$29,'9b'!$A27)</f>
        <v>21995.749576627597</v>
      </c>
      <c r="C27" s="19">
        <f>TREND('9b'!C$5:C$29,'9b'!$A$5:$A$29,'9b'!$A27)</f>
        <v>18158.723177330045</v>
      </c>
      <c r="D27" s="19">
        <f>TREND('9b'!D$5:D$29,'9b'!$A$5:$A$29,'9b'!$A27)</f>
        <v>18902.001697597851</v>
      </c>
      <c r="E27" s="19">
        <f>TREND('9b'!E$5:E$29,'9b'!$A$5:$A$29,'9b'!$A27)</f>
        <v>20110.643640791706</v>
      </c>
      <c r="F27" s="19">
        <f>TREND('9b'!F$5:F$29,'9b'!$A$5:$A$29,'9b'!$A27)</f>
        <v>19714.757331907866</v>
      </c>
      <c r="G27" s="19">
        <f>TREND('9b'!G$5:G$29,'9b'!$A$5:$A$29,'9b'!$A27)</f>
        <v>20239.774124386895</v>
      </c>
      <c r="H27" s="19">
        <f>TREND('9b'!H$5:H$29,'9b'!$A$5:$A$29,'9b'!$A27)</f>
        <v>23414.900078202365</v>
      </c>
      <c r="I27" s="19">
        <f>TREND('9b'!I$5:I$29,'9b'!$A$5:$A$29,'9b'!$A27)</f>
        <v>20350.731855654289</v>
      </c>
      <c r="J27" s="19">
        <f>TREND('9b'!J$5:J$29,'9b'!$A$5:$A$29,'9b'!$A27)</f>
        <v>19259.632585362779</v>
      </c>
      <c r="K27" s="19">
        <f>TREND('9b'!K$5:K$29,'9b'!$A$5:$A$29,'9b'!$A27)</f>
        <v>24572.685238903563</v>
      </c>
      <c r="L27" s="19">
        <f>TREND('9b'!L$5:L$29,'9b'!$A$5:$A$29,'9b'!$A27)</f>
        <v>21419.386747227982</v>
      </c>
    </row>
    <row r="28" spans="1:12">
      <c r="A28" s="2">
        <v>2004</v>
      </c>
      <c r="B28" s="19">
        <f>TREND('9b'!B$5:B$29,'9b'!$A$5:$A$29,'9b'!$A28)</f>
        <v>22129.648301300796</v>
      </c>
      <c r="C28" s="19">
        <f>TREND('9b'!C$5:C$29,'9b'!$A$5:$A$29,'9b'!$A28)</f>
        <v>18422.994300837105</v>
      </c>
      <c r="D28" s="19">
        <f>TREND('9b'!D$5:D$29,'9b'!$A$5:$A$29,'9b'!$A28)</f>
        <v>19081.50780982303</v>
      </c>
      <c r="E28" s="19">
        <f>TREND('9b'!E$5:E$29,'9b'!$A$5:$A$29,'9b'!$A28)</f>
        <v>20284.430818638997</v>
      </c>
      <c r="F28" s="19">
        <f>TREND('9b'!F$5:F$29,'9b'!$A$5:$A$29,'9b'!$A28)</f>
        <v>19934.820388132939</v>
      </c>
      <c r="G28" s="19">
        <f>TREND('9b'!G$5:G$29,'9b'!$A$5:$A$29,'9b'!$A28)</f>
        <v>20403.188286094693</v>
      </c>
      <c r="H28" s="19">
        <f>TREND('9b'!H$5:H$29,'9b'!$A$5:$A$29,'9b'!$A28)</f>
        <v>23503.973069047526</v>
      </c>
      <c r="I28" s="19">
        <f>TREND('9b'!I$5:I$29,'9b'!$A$5:$A$29,'9b'!$A28)</f>
        <v>20406.344768775161</v>
      </c>
      <c r="J28" s="19">
        <f>TREND('9b'!J$5:J$29,'9b'!$A$5:$A$29,'9b'!$A28)</f>
        <v>19330.150949715127</v>
      </c>
      <c r="K28" s="19">
        <f>TREND('9b'!K$5:K$29,'9b'!$A$5:$A$29,'9b'!$A28)</f>
        <v>24750.284074115916</v>
      </c>
      <c r="L28" s="19">
        <f>TREND('9b'!L$5:L$29,'9b'!$A$5:$A$29,'9b'!$A28)</f>
        <v>21497.020730334101</v>
      </c>
    </row>
    <row r="29" spans="1:12">
      <c r="A29" s="120">
        <v>2005</v>
      </c>
      <c r="B29" s="19">
        <f>TREND('9b'!B$5:B$29,'9b'!$A$5:$A$29,'9b'!$A29)</f>
        <v>22263.547025973996</v>
      </c>
      <c r="C29" s="19">
        <f>TREND('9b'!C$5:C$29,'9b'!$A$5:$A$29,'9b'!$A29)</f>
        <v>18687.265424344165</v>
      </c>
      <c r="D29" s="19">
        <f>TREND('9b'!D$5:D$29,'9b'!$A$5:$A$29,'9b'!$A29)</f>
        <v>19261.013922048267</v>
      </c>
      <c r="E29" s="19">
        <f>TREND('9b'!E$5:E$29,'9b'!$A$5:$A$29,'9b'!$A29)</f>
        <v>20458.217996486288</v>
      </c>
      <c r="F29" s="19">
        <f>TREND('9b'!F$5:F$29,'9b'!$A$5:$A$29,'9b'!$A29)</f>
        <v>20154.883444357954</v>
      </c>
      <c r="G29" s="19">
        <f>TREND('9b'!G$5:G$29,'9b'!$A$5:$A$29,'9b'!$A29)</f>
        <v>20566.602447802492</v>
      </c>
      <c r="H29" s="19">
        <f>TREND('9b'!H$5:H$29,'9b'!$A$5:$A$29,'9b'!$A29)</f>
        <v>23593.046059892717</v>
      </c>
      <c r="I29" s="19">
        <f>TREND('9b'!I$5:I$29,'9b'!$A$5:$A$29,'9b'!$A29)</f>
        <v>20461.957681896034</v>
      </c>
      <c r="J29" s="19">
        <f>TREND('9b'!J$5:J$29,'9b'!$A$5:$A$29,'9b'!$A29)</f>
        <v>19400.669314067505</v>
      </c>
      <c r="K29" s="19">
        <f>TREND('9b'!K$5:K$29,'9b'!$A$5:$A$29,'9b'!$A29)</f>
        <v>24927.882909328328</v>
      </c>
      <c r="L29" s="19">
        <f>TREND('9b'!L$5:L$29,'9b'!$A$5:$A$29,'9b'!$A29)</f>
        <v>21574.65471344025</v>
      </c>
    </row>
    <row r="30" spans="1:12">
      <c r="A30" s="120">
        <v>2006</v>
      </c>
      <c r="B30" s="19">
        <f>TREND('9b'!B$5:B$29,'9b'!$A$5:$A$29,'9b'!$A30)</f>
        <v>22397.445750647195</v>
      </c>
      <c r="C30" s="19">
        <f>TREND('9b'!C$5:C$29,'9b'!$A$5:$A$29,'9b'!$A30)</f>
        <v>18951.536547851225</v>
      </c>
      <c r="D30" s="19">
        <f>TREND('9b'!D$5:D$29,'9b'!$A$5:$A$29,'9b'!$A30)</f>
        <v>19440.520034273504</v>
      </c>
      <c r="E30" s="19">
        <f>TREND('9b'!E$5:E$29,'9b'!$A$5:$A$29,'9b'!$A30)</f>
        <v>20632.005174333579</v>
      </c>
      <c r="F30" s="19">
        <f>TREND('9b'!F$5:F$29,'9b'!$A$5:$A$29,'9b'!$A30)</f>
        <v>20374.94650058297</v>
      </c>
      <c r="G30" s="19">
        <f>TREND('9b'!G$5:G$29,'9b'!$A$5:$A$29,'9b'!$A30)</f>
        <v>20730.01660951029</v>
      </c>
      <c r="H30" s="19">
        <f>TREND('9b'!H$5:H$29,'9b'!$A$5:$A$29,'9b'!$A30)</f>
        <v>23682.119050737878</v>
      </c>
      <c r="I30" s="19">
        <f>TREND('9b'!I$5:I$29,'9b'!$A$5:$A$29,'9b'!$A30)</f>
        <v>20517.570595016907</v>
      </c>
      <c r="J30" s="19">
        <f>TREND('9b'!J$5:J$29,'9b'!$A$5:$A$29,'9b'!$A30)</f>
        <v>19471.187678419854</v>
      </c>
      <c r="K30" s="19">
        <f>TREND('9b'!K$5:K$29,'9b'!$A$5:$A$29,'9b'!$A30)</f>
        <v>25105.481744540681</v>
      </c>
      <c r="L30" s="19">
        <f>TREND('9b'!L$5:L$29,'9b'!$A$5:$A$29,'9b'!$A30)</f>
        <v>21652.288696546399</v>
      </c>
    </row>
    <row r="31" spans="1:12">
      <c r="A31" s="120">
        <v>2007</v>
      </c>
      <c r="B31" s="19">
        <f>TREND('9b'!B$5:B$29,'9b'!$A$5:$A$29,'9b'!$A31)</f>
        <v>22531.344475320395</v>
      </c>
      <c r="C31" s="19">
        <f>TREND('9b'!C$5:C$29,'9b'!$A$5:$A$29,'9b'!$A31)</f>
        <v>19215.807671358285</v>
      </c>
      <c r="D31" s="19">
        <f>TREND('9b'!D$5:D$29,'9b'!$A$5:$A$29,'9b'!$A31)</f>
        <v>19620.026146498683</v>
      </c>
      <c r="E31" s="19">
        <f>TREND('9b'!E$5:E$29,'9b'!$A$5:$A$29,'9b'!$A31)</f>
        <v>20805.79235218087</v>
      </c>
      <c r="F31" s="19">
        <f>TREND('9b'!F$5:F$29,'9b'!$A$5:$A$29,'9b'!$A31)</f>
        <v>20595.009556808043</v>
      </c>
      <c r="G31" s="19">
        <f>TREND('9b'!G$5:G$29,'9b'!$A$5:$A$29,'9b'!$A31)</f>
        <v>20893.430771218089</v>
      </c>
      <c r="H31" s="19">
        <f>TREND('9b'!H$5:H$29,'9b'!$A$5:$A$29,'9b'!$A31)</f>
        <v>23771.192041583039</v>
      </c>
      <c r="I31" s="19">
        <f>TREND('9b'!I$5:I$29,'9b'!$A$5:$A$29,'9b'!$A31)</f>
        <v>20573.183508137779</v>
      </c>
      <c r="J31" s="19">
        <f>TREND('9b'!J$5:J$29,'9b'!$A$5:$A$29,'9b'!$A31)</f>
        <v>19541.706042772203</v>
      </c>
      <c r="K31" s="19">
        <f>TREND('9b'!K$5:K$29,'9b'!$A$5:$A$29,'9b'!$A31)</f>
        <v>25283.080579753034</v>
      </c>
      <c r="L31" s="19">
        <f>TREND('9b'!L$5:L$29,'9b'!$A$5:$A$29,'9b'!$A31)</f>
        <v>21729.922679652518</v>
      </c>
    </row>
    <row r="32" spans="1:12" s="739" customFormat="1">
      <c r="A32" s="120">
        <v>2008</v>
      </c>
      <c r="B32" s="19">
        <f>TREND('9b'!B$5:B$29,'9b'!$A$5:$A$29,'9b'!$A32)</f>
        <v>22665.243199993594</v>
      </c>
      <c r="C32" s="19">
        <f>TREND('9b'!C$5:C$29,'9b'!$A$5:$A$29,'9b'!$A32)</f>
        <v>19480.078794865345</v>
      </c>
      <c r="D32" s="19">
        <f>TREND('9b'!D$5:D$29,'9b'!$A$5:$A$29,'9b'!$A32)</f>
        <v>19799.532258723921</v>
      </c>
      <c r="E32" s="19">
        <f>TREND('9b'!E$5:E$29,'9b'!$A$5:$A$29,'9b'!$A32)</f>
        <v>20979.579530028102</v>
      </c>
      <c r="F32" s="19">
        <f>TREND('9b'!F$5:F$29,'9b'!$A$5:$A$29,'9b'!$A32)</f>
        <v>20815.072613033059</v>
      </c>
      <c r="G32" s="19">
        <f>TREND('9b'!G$5:G$29,'9b'!$A$5:$A$29,'9b'!$A32)</f>
        <v>21056.844932925946</v>
      </c>
      <c r="H32" s="19">
        <f>TREND('9b'!H$5:H$29,'9b'!$A$5:$A$29,'9b'!$A32)</f>
        <v>23860.2650324282</v>
      </c>
      <c r="I32" s="19">
        <f>TREND('9b'!I$5:I$29,'9b'!$A$5:$A$29,'9b'!$A32)</f>
        <v>20628.796421258652</v>
      </c>
      <c r="J32" s="19">
        <f>TREND('9b'!J$5:J$29,'9b'!$A$5:$A$29,'9b'!$A32)</f>
        <v>19612.22440712458</v>
      </c>
      <c r="K32" s="19">
        <f>TREND('9b'!K$5:K$29,'9b'!$A$5:$A$29,'9b'!$A32)</f>
        <v>25460.679414965387</v>
      </c>
      <c r="L32" s="19">
        <f>TREND('9b'!L$5:L$29,'9b'!$A$5:$A$29,'9b'!$A32)</f>
        <v>21807.556662758667</v>
      </c>
    </row>
    <row r="33" spans="1:12">
      <c r="A33" s="738"/>
      <c r="B33" s="644"/>
      <c r="C33" s="644"/>
      <c r="D33" s="644" t="s">
        <v>802</v>
      </c>
      <c r="E33" s="644"/>
      <c r="F33" s="644"/>
      <c r="G33" s="114"/>
      <c r="H33" s="644"/>
      <c r="I33" s="644"/>
      <c r="J33" s="644"/>
      <c r="K33" s="644"/>
      <c r="L33" s="644"/>
    </row>
    <row r="34" spans="1:12">
      <c r="A34" s="431" t="s">
        <v>603</v>
      </c>
      <c r="B34" s="644">
        <f>((((B13/B5))^(1/8))-1)*100</f>
        <v>0.68617395285768268</v>
      </c>
      <c r="C34" s="644">
        <f t="shared" ref="C34:L34" si="0">((((C13/C5))^(1/8))-1)*100</f>
        <v>1.9956582724553806</v>
      </c>
      <c r="D34" s="644">
        <f t="shared" si="0"/>
        <v>1.1528723223878323</v>
      </c>
      <c r="E34" s="644">
        <f t="shared" si="0"/>
        <v>1.0291644440724168</v>
      </c>
      <c r="F34" s="644">
        <f t="shared" si="0"/>
        <v>1.4081837917445217</v>
      </c>
      <c r="G34" s="644">
        <f t="shared" si="0"/>
        <v>0.94961280735341713</v>
      </c>
      <c r="H34" s="644">
        <f t="shared" si="0"/>
        <v>0.40924612102684055</v>
      </c>
      <c r="I34" s="644">
        <f t="shared" si="0"/>
        <v>0.28783581747768849</v>
      </c>
      <c r="J34" s="644">
        <f t="shared" si="0"/>
        <v>0.39278137819931391</v>
      </c>
      <c r="K34" s="644">
        <f t="shared" si="0"/>
        <v>0.83460617801243142</v>
      </c>
      <c r="L34" s="644">
        <f t="shared" si="0"/>
        <v>0.38852779628504308</v>
      </c>
    </row>
    <row r="35" spans="1:12">
      <c r="A35" s="431" t="s">
        <v>604</v>
      </c>
      <c r="B35" s="644">
        <f>((((B24/B13))^(1/11))-1)*100</f>
        <v>0.64429950381368339</v>
      </c>
      <c r="C35" s="644">
        <f t="shared" ref="C35:L35" si="1">((((C24/C13))^(1/11))-1)*100</f>
        <v>1.6793731711737259</v>
      </c>
      <c r="D35" s="644">
        <f t="shared" si="1"/>
        <v>1.039537235533361</v>
      </c>
      <c r="E35" s="644">
        <f t="shared" si="1"/>
        <v>0.9378521135753326</v>
      </c>
      <c r="F35" s="644">
        <f t="shared" si="1"/>
        <v>1.2428013819760997</v>
      </c>
      <c r="G35" s="644">
        <f t="shared" si="1"/>
        <v>0.87131579412937921</v>
      </c>
      <c r="H35" s="644">
        <f t="shared" si="1"/>
        <v>0.39395847397536432</v>
      </c>
      <c r="I35" s="644">
        <f t="shared" si="1"/>
        <v>0.28018472831490282</v>
      </c>
      <c r="J35" s="644">
        <f t="shared" si="1"/>
        <v>0.37867694406832353</v>
      </c>
      <c r="K35" s="644">
        <f t="shared" si="1"/>
        <v>0.77349343689181449</v>
      </c>
      <c r="L35" s="644">
        <f t="shared" si="1"/>
        <v>0.3747215831109596</v>
      </c>
    </row>
    <row r="36" spans="1:12">
      <c r="A36" s="431" t="s">
        <v>1408</v>
      </c>
      <c r="B36" s="23">
        <f>((((B32/B5))^(1/27))-1)*100</f>
        <v>0.64565575049286839</v>
      </c>
      <c r="C36" s="23">
        <f t="shared" ref="C36:L36" si="2">((((C32/C5))^(1/27))-1)*100</f>
        <v>1.7038368951684868</v>
      </c>
      <c r="D36" s="23">
        <f t="shared" si="2"/>
        <v>1.0452593038476676</v>
      </c>
      <c r="E36" s="23">
        <f t="shared" si="2"/>
        <v>0.94204781555524697</v>
      </c>
      <c r="F36" s="23">
        <f t="shared" si="2"/>
        <v>1.2526136232158258</v>
      </c>
      <c r="G36" s="23">
        <f t="shared" si="2"/>
        <v>0.87467752742660387</v>
      </c>
      <c r="H36" s="23">
        <f t="shared" si="2"/>
        <v>0.39426812556950797</v>
      </c>
      <c r="I36" s="23">
        <f t="shared" si="2"/>
        <v>0.28029610102149327</v>
      </c>
      <c r="J36" s="23">
        <f t="shared" si="2"/>
        <v>0.37895193092571944</v>
      </c>
      <c r="K36" s="23">
        <f t="shared" si="2"/>
        <v>0.77584273654969227</v>
      </c>
      <c r="L36" s="23">
        <f t="shared" si="2"/>
        <v>0.37498804032751742</v>
      </c>
    </row>
    <row r="37" spans="1:12">
      <c r="A37" s="431" t="s">
        <v>1410</v>
      </c>
      <c r="B37" s="644">
        <f>((((B32/B24))^(1/8))-1)*100</f>
        <v>0.60701797205586772</v>
      </c>
      <c r="C37" s="725">
        <f t="shared" ref="C37:L37" si="3">((((C32/C24))^(1/8))-1)*100</f>
        <v>1.4464014153185989</v>
      </c>
      <c r="D37" s="725">
        <f t="shared" si="3"/>
        <v>0.94562077321467264</v>
      </c>
      <c r="E37" s="725">
        <f t="shared" si="3"/>
        <v>0.86077070710668391</v>
      </c>
      <c r="F37" s="725">
        <f t="shared" si="3"/>
        <v>1.1107547990033551</v>
      </c>
      <c r="G37" s="725">
        <f t="shared" si="3"/>
        <v>0.80441700711224584</v>
      </c>
      <c r="H37" s="725">
        <f t="shared" si="3"/>
        <v>0.37971807336119046</v>
      </c>
      <c r="I37" s="725">
        <f t="shared" si="3"/>
        <v>0.27291007756748975</v>
      </c>
      <c r="J37" s="725">
        <f t="shared" si="3"/>
        <v>0.36550244477884242</v>
      </c>
      <c r="K37" s="725">
        <f t="shared" si="3"/>
        <v>0.72034203457971291</v>
      </c>
      <c r="L37" s="725">
        <f t="shared" si="3"/>
        <v>0.36181644093753462</v>
      </c>
    </row>
    <row r="38" spans="1:12">
      <c r="A38" s="431"/>
      <c r="B38" s="114"/>
      <c r="C38" s="114"/>
      <c r="D38" s="644" t="s">
        <v>276</v>
      </c>
      <c r="E38" s="114"/>
      <c r="F38" s="114"/>
      <c r="G38" s="114"/>
      <c r="H38" s="114"/>
      <c r="I38" s="114"/>
      <c r="J38" s="114"/>
      <c r="K38" s="114"/>
      <c r="L38" s="114"/>
    </row>
    <row r="39" spans="1:12">
      <c r="A39" s="431" t="s">
        <v>1408</v>
      </c>
      <c r="B39" s="10">
        <f>(B32/B5-1)*100</f>
        <v>18.977794282333193</v>
      </c>
      <c r="C39" s="10">
        <f t="shared" ref="C39:L39" si="4">(C32/C5-1)*100</f>
        <v>57.800404582315615</v>
      </c>
      <c r="D39" s="10">
        <f t="shared" si="4"/>
        <v>32.412947670643597</v>
      </c>
      <c r="E39" s="10">
        <f t="shared" si="4"/>
        <v>28.809234125933393</v>
      </c>
      <c r="F39" s="10">
        <f t="shared" si="4"/>
        <v>39.948595914321913</v>
      </c>
      <c r="G39" s="10">
        <f t="shared" si="4"/>
        <v>26.508091398065403</v>
      </c>
      <c r="H39" s="10">
        <f t="shared" si="4"/>
        <v>11.209218207299255</v>
      </c>
      <c r="I39" s="10">
        <f t="shared" si="4"/>
        <v>7.8503121439904788</v>
      </c>
      <c r="J39" s="10">
        <f t="shared" si="4"/>
        <v>10.752040104006188</v>
      </c>
      <c r="K39" s="10">
        <f t="shared" si="4"/>
        <v>23.203726161124983</v>
      </c>
      <c r="L39" s="10">
        <f t="shared" si="4"/>
        <v>10.634015767304428</v>
      </c>
    </row>
    <row r="40" spans="1:12">
      <c r="A40" s="4"/>
      <c r="B40" s="19"/>
      <c r="C40" s="19"/>
      <c r="D40" s="19"/>
      <c r="E40" s="19"/>
      <c r="F40" s="19"/>
      <c r="G40" s="19"/>
      <c r="H40" s="19"/>
      <c r="I40" s="19"/>
      <c r="J40" s="19"/>
      <c r="K40" s="19"/>
      <c r="L40" s="19"/>
    </row>
    <row r="41" spans="1:12">
      <c r="A41" s="1170" t="s">
        <v>204</v>
      </c>
      <c r="B41" s="1170"/>
      <c r="C41" s="1170"/>
      <c r="D41" s="1170"/>
      <c r="E41" s="1170"/>
      <c r="F41" s="1170"/>
      <c r="G41" s="1170"/>
      <c r="H41" s="1170"/>
      <c r="I41" s="1170"/>
      <c r="J41" s="1170"/>
      <c r="K41" s="1170"/>
      <c r="L41" s="1170"/>
    </row>
    <row r="42" spans="1:12" ht="15.75">
      <c r="A42" s="1170" t="s">
        <v>503</v>
      </c>
      <c r="B42" s="1190"/>
      <c r="C42" s="1190"/>
      <c r="D42" s="1190"/>
      <c r="E42" s="1190"/>
      <c r="F42" s="1190"/>
      <c r="G42" s="1190"/>
      <c r="H42" s="1190"/>
      <c r="I42" s="1190"/>
      <c r="J42" s="1190"/>
      <c r="K42" s="1190"/>
      <c r="L42" s="1190"/>
    </row>
    <row r="43" spans="1:12">
      <c r="A43" s="4"/>
      <c r="B43" s="19"/>
      <c r="C43" s="19"/>
      <c r="D43" s="19"/>
      <c r="E43" s="19"/>
      <c r="F43" s="19"/>
      <c r="G43" s="19"/>
      <c r="H43" s="19"/>
      <c r="I43" s="19"/>
      <c r="J43" s="19"/>
      <c r="K43" s="19"/>
      <c r="L43" s="19"/>
    </row>
    <row r="44" spans="1:12">
      <c r="A44" s="4"/>
      <c r="B44" s="19"/>
      <c r="C44" s="19"/>
      <c r="D44" s="19"/>
      <c r="E44" s="19"/>
      <c r="F44" s="19"/>
      <c r="G44" s="19"/>
      <c r="H44" s="19"/>
      <c r="I44" s="19"/>
      <c r="J44" s="19"/>
      <c r="K44" s="19"/>
      <c r="L44" s="19"/>
    </row>
    <row r="49" spans="1:12">
      <c r="A49" s="22"/>
      <c r="B49" s="224"/>
      <c r="C49" s="224"/>
      <c r="D49" s="224"/>
      <c r="E49" s="224"/>
      <c r="F49" s="224"/>
      <c r="G49" s="224"/>
      <c r="H49" s="224"/>
      <c r="I49" s="224"/>
      <c r="J49" s="224"/>
      <c r="K49" s="224"/>
      <c r="L49" s="224"/>
    </row>
    <row r="50" spans="1:12">
      <c r="A50" s="22"/>
      <c r="B50" s="224"/>
      <c r="C50" s="224"/>
      <c r="D50" s="224"/>
      <c r="E50" s="224"/>
      <c r="F50" s="224"/>
      <c r="G50" s="224"/>
      <c r="H50" s="224"/>
      <c r="I50" s="224"/>
      <c r="J50" s="224"/>
      <c r="K50" s="224"/>
      <c r="L50" s="224"/>
    </row>
    <row r="51" spans="1:12">
      <c r="A51" s="22"/>
      <c r="B51" s="224"/>
      <c r="C51" s="224"/>
      <c r="D51" s="224"/>
      <c r="E51" s="224"/>
      <c r="F51" s="224"/>
      <c r="G51" s="224"/>
      <c r="H51" s="224"/>
      <c r="I51" s="224"/>
      <c r="J51" s="224"/>
      <c r="K51" s="224"/>
      <c r="L51" s="224"/>
    </row>
    <row r="52" spans="1:12">
      <c r="A52" s="22"/>
      <c r="B52" s="224"/>
      <c r="C52" s="224"/>
      <c r="D52" s="224"/>
      <c r="E52" s="224"/>
      <c r="F52" s="224"/>
      <c r="G52" s="224"/>
      <c r="H52" s="224"/>
      <c r="I52" s="224"/>
      <c r="J52" s="224"/>
      <c r="K52" s="224"/>
      <c r="L52" s="224"/>
    </row>
    <row r="53" spans="1:12">
      <c r="A53" s="22"/>
      <c r="B53" s="224"/>
      <c r="C53" s="224"/>
      <c r="D53" s="224"/>
      <c r="E53" s="224"/>
      <c r="F53" s="224"/>
      <c r="G53" s="224"/>
      <c r="H53" s="224"/>
      <c r="I53" s="224"/>
      <c r="J53" s="224"/>
      <c r="K53" s="224"/>
      <c r="L53" s="224"/>
    </row>
    <row r="54" spans="1:12">
      <c r="A54" s="22"/>
      <c r="B54" s="224"/>
      <c r="C54" s="224"/>
      <c r="D54" s="224"/>
      <c r="E54" s="224"/>
      <c r="F54" s="224"/>
      <c r="G54" s="224"/>
      <c r="H54" s="224"/>
      <c r="I54" s="224"/>
      <c r="J54" s="224"/>
      <c r="K54" s="224"/>
      <c r="L54" s="224"/>
    </row>
    <row r="55" spans="1:12">
      <c r="A55" s="22"/>
      <c r="B55" s="224"/>
      <c r="C55" s="224"/>
      <c r="D55" s="224"/>
      <c r="E55" s="224"/>
      <c r="F55" s="224"/>
      <c r="G55" s="224"/>
      <c r="H55" s="224"/>
      <c r="I55" s="224"/>
      <c r="J55" s="224"/>
      <c r="K55" s="224"/>
      <c r="L55" s="224"/>
    </row>
    <row r="56" spans="1:12">
      <c r="A56" s="22"/>
      <c r="B56" s="224"/>
      <c r="C56" s="224"/>
      <c r="D56" s="224"/>
      <c r="E56" s="224"/>
      <c r="F56" s="224"/>
      <c r="G56" s="224"/>
      <c r="H56" s="224"/>
      <c r="I56" s="224"/>
      <c r="J56" s="224"/>
      <c r="K56" s="224"/>
      <c r="L56" s="224"/>
    </row>
    <row r="57" spans="1:12">
      <c r="A57" s="22"/>
      <c r="B57" s="224"/>
      <c r="C57" s="224"/>
      <c r="D57" s="224"/>
      <c r="E57" s="224"/>
      <c r="F57" s="224"/>
      <c r="G57" s="224"/>
      <c r="H57" s="224"/>
      <c r="I57" s="224"/>
      <c r="J57" s="224"/>
      <c r="K57" s="224"/>
      <c r="L57" s="224"/>
    </row>
    <row r="58" spans="1:12">
      <c r="A58" s="22"/>
      <c r="B58" s="224"/>
      <c r="C58" s="224"/>
      <c r="D58" s="224"/>
      <c r="E58" s="224"/>
      <c r="F58" s="224"/>
      <c r="G58" s="224"/>
      <c r="H58" s="224"/>
      <c r="I58" s="224"/>
      <c r="J58" s="224"/>
      <c r="K58" s="224"/>
      <c r="L58" s="224"/>
    </row>
    <row r="59" spans="1:12">
      <c r="A59" s="22"/>
      <c r="B59" s="224"/>
      <c r="C59" s="224"/>
      <c r="D59" s="224"/>
      <c r="E59" s="224"/>
      <c r="F59" s="224"/>
      <c r="G59" s="224"/>
      <c r="H59" s="224"/>
      <c r="I59" s="224"/>
      <c r="J59" s="224"/>
      <c r="K59" s="224"/>
      <c r="L59" s="224"/>
    </row>
    <row r="60" spans="1:12">
      <c r="A60" s="22"/>
      <c r="B60" s="224"/>
      <c r="C60" s="224"/>
      <c r="D60" s="224"/>
      <c r="E60" s="224"/>
      <c r="F60" s="224"/>
      <c r="G60" s="224"/>
      <c r="H60" s="224"/>
      <c r="I60" s="224"/>
      <c r="J60" s="224"/>
      <c r="K60" s="224"/>
      <c r="L60" s="224"/>
    </row>
    <row r="61" spans="1:12">
      <c r="A61" s="22"/>
      <c r="B61" s="224"/>
      <c r="C61" s="224"/>
      <c r="D61" s="224"/>
      <c r="E61" s="224"/>
      <c r="F61" s="224"/>
      <c r="G61" s="224"/>
      <c r="H61" s="224"/>
      <c r="I61" s="224"/>
      <c r="J61" s="224"/>
      <c r="K61" s="224"/>
      <c r="L61" s="224"/>
    </row>
    <row r="62" spans="1:12">
      <c r="A62" s="22"/>
      <c r="B62" s="224"/>
      <c r="C62" s="224"/>
      <c r="D62" s="224"/>
      <c r="E62" s="224"/>
      <c r="F62" s="224"/>
      <c r="G62" s="224"/>
      <c r="H62" s="224"/>
      <c r="I62" s="224"/>
      <c r="J62" s="224"/>
      <c r="K62" s="224"/>
      <c r="L62" s="224"/>
    </row>
    <row r="63" spans="1:12">
      <c r="A63" s="22"/>
      <c r="B63" s="224"/>
      <c r="C63" s="224"/>
      <c r="D63" s="224"/>
      <c r="E63" s="224"/>
      <c r="F63" s="224"/>
      <c r="G63" s="224"/>
      <c r="H63" s="224"/>
      <c r="I63" s="224"/>
      <c r="J63" s="224"/>
      <c r="K63" s="224"/>
      <c r="L63" s="224"/>
    </row>
    <row r="64" spans="1:12">
      <c r="A64" s="22"/>
      <c r="B64" s="224"/>
      <c r="C64" s="224"/>
      <c r="D64" s="224"/>
      <c r="E64" s="224"/>
      <c r="F64" s="224"/>
      <c r="G64" s="224"/>
      <c r="H64" s="224"/>
      <c r="I64" s="224"/>
      <c r="J64" s="224"/>
      <c r="K64" s="224"/>
      <c r="L64" s="224"/>
    </row>
    <row r="65" spans="1:12">
      <c r="A65" s="22"/>
      <c r="B65" s="224"/>
      <c r="C65" s="224"/>
      <c r="D65" s="224"/>
      <c r="E65" s="224"/>
      <c r="F65" s="224"/>
      <c r="G65" s="224"/>
      <c r="H65" s="224"/>
      <c r="I65" s="224"/>
      <c r="J65" s="224"/>
      <c r="K65" s="224"/>
      <c r="L65" s="224"/>
    </row>
    <row r="66" spans="1:12">
      <c r="A66" s="22"/>
      <c r="B66" s="224"/>
      <c r="C66" s="224"/>
      <c r="D66" s="224"/>
      <c r="E66" s="224"/>
      <c r="F66" s="224"/>
      <c r="G66" s="224"/>
      <c r="H66" s="224"/>
      <c r="I66" s="224"/>
      <c r="J66" s="224"/>
      <c r="K66" s="224"/>
      <c r="L66" s="224"/>
    </row>
    <row r="67" spans="1:12">
      <c r="A67" s="22"/>
      <c r="B67" s="224"/>
      <c r="C67" s="224"/>
      <c r="D67" s="224"/>
      <c r="E67" s="224"/>
      <c r="F67" s="224"/>
      <c r="G67" s="224"/>
      <c r="H67" s="224"/>
      <c r="I67" s="224"/>
      <c r="J67" s="224"/>
      <c r="K67" s="224"/>
      <c r="L67" s="224"/>
    </row>
    <row r="68" spans="1:12">
      <c r="A68" s="22"/>
      <c r="B68" s="224"/>
      <c r="C68" s="224"/>
      <c r="D68" s="224"/>
      <c r="E68" s="224"/>
      <c r="F68" s="224"/>
      <c r="G68" s="224"/>
      <c r="H68" s="224"/>
      <c r="I68" s="224"/>
      <c r="J68" s="224"/>
      <c r="K68" s="224"/>
      <c r="L68" s="224"/>
    </row>
    <row r="69" spans="1:12">
      <c r="A69" s="22"/>
      <c r="B69" s="224"/>
      <c r="C69" s="224"/>
      <c r="D69" s="224"/>
      <c r="E69" s="224"/>
      <c r="F69" s="224"/>
      <c r="G69" s="224"/>
      <c r="H69" s="224"/>
      <c r="I69" s="224"/>
      <c r="J69" s="224"/>
      <c r="K69" s="224"/>
      <c r="L69" s="224"/>
    </row>
    <row r="70" spans="1:12">
      <c r="A70" s="22"/>
      <c r="B70" s="224"/>
      <c r="C70" s="224"/>
      <c r="D70" s="224"/>
      <c r="E70" s="224"/>
      <c r="F70" s="224"/>
      <c r="G70" s="224"/>
      <c r="H70" s="224"/>
      <c r="I70" s="224"/>
      <c r="J70" s="224"/>
      <c r="K70" s="224"/>
      <c r="L70" s="224"/>
    </row>
    <row r="71" spans="1:12">
      <c r="A71" s="22"/>
      <c r="B71" s="224"/>
      <c r="C71" s="224"/>
      <c r="D71" s="224"/>
      <c r="E71" s="224"/>
      <c r="F71" s="224"/>
      <c r="G71" s="224"/>
      <c r="H71" s="224"/>
      <c r="I71" s="224"/>
      <c r="J71" s="224"/>
      <c r="K71" s="224"/>
      <c r="L71" s="224"/>
    </row>
  </sheetData>
  <mergeCells count="13">
    <mergeCell ref="A42:L42"/>
    <mergeCell ref="J3:J4"/>
    <mergeCell ref="K3:K4"/>
    <mergeCell ref="L3:L4"/>
    <mergeCell ref="A41:L41"/>
    <mergeCell ref="F3:F4"/>
    <mergeCell ref="G3:G4"/>
    <mergeCell ref="H3:H4"/>
    <mergeCell ref="I3:I4"/>
    <mergeCell ref="B3:B4"/>
    <mergeCell ref="C3:C4"/>
    <mergeCell ref="D3:D4"/>
    <mergeCell ref="E3:E4"/>
  </mergeCells>
  <phoneticPr fontId="35" type="noConversion"/>
  <pageMargins left="0.75" right="0.75" top="1" bottom="1" header="0.5" footer="0.5"/>
  <pageSetup scale="88"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217</vt:i4>
      </vt:variant>
      <vt:variant>
        <vt:lpstr>Named Ranges</vt:lpstr>
      </vt:variant>
      <vt:variant>
        <vt:i4>174</vt:i4>
      </vt:variant>
    </vt:vector>
  </HeadingPairs>
  <TitlesOfParts>
    <vt:vector size="391" baseType="lpstr">
      <vt:lpstr>List of Tables</vt:lpstr>
      <vt:lpstr>1</vt:lpstr>
      <vt:lpstr>2a</vt:lpstr>
      <vt:lpstr>2b</vt:lpstr>
      <vt:lpstr>2c</vt:lpstr>
      <vt:lpstr>2d</vt:lpstr>
      <vt:lpstr>2e</vt:lpstr>
      <vt:lpstr>3a</vt:lpstr>
      <vt:lpstr>3b</vt:lpstr>
      <vt:lpstr>4</vt:lpstr>
      <vt:lpstr>5</vt:lpstr>
      <vt:lpstr>6a</vt:lpstr>
      <vt:lpstr>6b</vt:lpstr>
      <vt:lpstr>6c</vt:lpstr>
      <vt:lpstr>6d</vt:lpstr>
      <vt:lpstr>6e</vt:lpstr>
      <vt:lpstr>7a</vt:lpstr>
      <vt:lpstr>7b</vt:lpstr>
      <vt:lpstr>7c</vt:lpstr>
      <vt:lpstr>7d</vt:lpstr>
      <vt:lpstr>8a</vt:lpstr>
      <vt:lpstr>8b</vt:lpstr>
      <vt:lpstr>8c</vt:lpstr>
      <vt:lpstr>8d</vt:lpstr>
      <vt:lpstr>9a</vt:lpstr>
      <vt:lpstr>9b</vt:lpstr>
      <vt:lpstr>9c</vt:lpstr>
      <vt:lpstr>9d</vt:lpstr>
      <vt:lpstr>10a</vt:lpstr>
      <vt:lpstr>10b</vt:lpstr>
      <vt:lpstr>10c</vt:lpstr>
      <vt:lpstr>10d</vt:lpstr>
      <vt:lpstr>10e</vt:lpstr>
      <vt:lpstr>10f</vt:lpstr>
      <vt:lpstr>10g</vt:lpstr>
      <vt:lpstr>11a</vt:lpstr>
      <vt:lpstr>11b</vt:lpstr>
      <vt:lpstr>11c</vt:lpstr>
      <vt:lpstr>11d</vt:lpstr>
      <vt:lpstr>11e</vt:lpstr>
      <vt:lpstr>11f</vt:lpstr>
      <vt:lpstr>11g</vt:lpstr>
      <vt:lpstr>11h</vt:lpstr>
      <vt:lpstr>11i</vt:lpstr>
      <vt:lpstr>11j</vt:lpstr>
      <vt:lpstr>12a</vt:lpstr>
      <vt:lpstr>12b</vt:lpstr>
      <vt:lpstr>12c</vt:lpstr>
      <vt:lpstr>12d</vt:lpstr>
      <vt:lpstr>12e</vt:lpstr>
      <vt:lpstr>12f</vt:lpstr>
      <vt:lpstr>12g</vt:lpstr>
      <vt:lpstr>12h</vt:lpstr>
      <vt:lpstr>12i</vt:lpstr>
      <vt:lpstr>13a</vt:lpstr>
      <vt:lpstr>13b</vt:lpstr>
      <vt:lpstr>13c</vt:lpstr>
      <vt:lpstr>13d</vt:lpstr>
      <vt:lpstr>13e</vt:lpstr>
      <vt:lpstr>13f</vt:lpstr>
      <vt:lpstr>14a</vt:lpstr>
      <vt:lpstr>14b</vt:lpstr>
      <vt:lpstr>14c</vt:lpstr>
      <vt:lpstr>14d</vt:lpstr>
      <vt:lpstr>14e</vt:lpstr>
      <vt:lpstr>14f</vt:lpstr>
      <vt:lpstr>15a</vt:lpstr>
      <vt:lpstr>15b</vt:lpstr>
      <vt:lpstr>15c</vt:lpstr>
      <vt:lpstr>15d</vt:lpstr>
      <vt:lpstr>15e</vt:lpstr>
      <vt:lpstr>15f</vt:lpstr>
      <vt:lpstr>16a</vt:lpstr>
      <vt:lpstr>16b</vt:lpstr>
      <vt:lpstr>16c</vt:lpstr>
      <vt:lpstr>16d</vt:lpstr>
      <vt:lpstr>16e</vt:lpstr>
      <vt:lpstr>16f</vt:lpstr>
      <vt:lpstr>16g</vt:lpstr>
      <vt:lpstr>16h</vt:lpstr>
      <vt:lpstr>16i</vt:lpstr>
      <vt:lpstr>16j</vt:lpstr>
      <vt:lpstr>16k</vt:lpstr>
      <vt:lpstr>16l</vt:lpstr>
      <vt:lpstr>17a</vt:lpstr>
      <vt:lpstr>17b</vt:lpstr>
      <vt:lpstr>17c</vt:lpstr>
      <vt:lpstr>18a</vt:lpstr>
      <vt:lpstr>18b</vt:lpstr>
      <vt:lpstr>19a</vt:lpstr>
      <vt:lpstr>19b</vt:lpstr>
      <vt:lpstr>19c</vt:lpstr>
      <vt:lpstr>19d</vt:lpstr>
      <vt:lpstr>19e</vt:lpstr>
      <vt:lpstr>19f</vt:lpstr>
      <vt:lpstr>19g</vt:lpstr>
      <vt:lpstr>19H</vt:lpstr>
      <vt:lpstr>19I</vt:lpstr>
      <vt:lpstr>20a</vt:lpstr>
      <vt:lpstr>20b</vt:lpstr>
      <vt:lpstr>21</vt:lpstr>
      <vt:lpstr>22a</vt:lpstr>
      <vt:lpstr>22b</vt:lpstr>
      <vt:lpstr>22c</vt:lpstr>
      <vt:lpstr>22d</vt:lpstr>
      <vt:lpstr>23</vt:lpstr>
      <vt:lpstr>24a</vt:lpstr>
      <vt:lpstr>24b</vt:lpstr>
      <vt:lpstr>24c</vt:lpstr>
      <vt:lpstr>24d</vt:lpstr>
      <vt:lpstr>24e</vt:lpstr>
      <vt:lpstr>24f</vt:lpstr>
      <vt:lpstr>25a</vt:lpstr>
      <vt:lpstr>25b</vt:lpstr>
      <vt:lpstr>26a</vt:lpstr>
      <vt:lpstr>26b</vt:lpstr>
      <vt:lpstr>26c</vt:lpstr>
      <vt:lpstr>26d</vt:lpstr>
      <vt:lpstr>26e</vt:lpstr>
      <vt:lpstr>27</vt:lpstr>
      <vt:lpstr>28a</vt:lpstr>
      <vt:lpstr>28b</vt:lpstr>
      <vt:lpstr>28c</vt:lpstr>
      <vt:lpstr>28d</vt:lpstr>
      <vt:lpstr>29a</vt:lpstr>
      <vt:lpstr>29b</vt:lpstr>
      <vt:lpstr>30</vt:lpstr>
      <vt:lpstr>31</vt:lpstr>
      <vt:lpstr>32</vt:lpstr>
      <vt:lpstr>33</vt:lpstr>
      <vt:lpstr>Sheet1</vt:lpstr>
      <vt:lpstr>34a</vt:lpstr>
      <vt:lpstr>34b</vt:lpstr>
      <vt:lpstr>35a</vt:lpstr>
      <vt:lpstr>35b</vt:lpstr>
      <vt:lpstr>35c</vt:lpstr>
      <vt:lpstr>35d</vt:lpstr>
      <vt:lpstr>36</vt:lpstr>
      <vt:lpstr>36a</vt:lpstr>
      <vt:lpstr>36b</vt:lpstr>
      <vt:lpstr>37</vt:lpstr>
      <vt:lpstr>37a</vt:lpstr>
      <vt:lpstr>37b</vt:lpstr>
      <vt:lpstr>37c</vt:lpstr>
      <vt:lpstr>37d</vt:lpstr>
      <vt:lpstr>37e</vt:lpstr>
      <vt:lpstr>37f</vt:lpstr>
      <vt:lpstr>37g</vt:lpstr>
      <vt:lpstr>37h</vt:lpstr>
      <vt:lpstr>37i</vt:lpstr>
      <vt:lpstr>37j</vt:lpstr>
      <vt:lpstr>38</vt:lpstr>
      <vt:lpstr>38a</vt:lpstr>
      <vt:lpstr>38b</vt:lpstr>
      <vt:lpstr>39</vt:lpstr>
      <vt:lpstr>40</vt:lpstr>
      <vt:lpstr>41</vt:lpstr>
      <vt:lpstr>42</vt:lpstr>
      <vt:lpstr>43</vt:lpstr>
      <vt:lpstr>43a</vt:lpstr>
      <vt:lpstr>43b</vt:lpstr>
      <vt:lpstr>44a</vt:lpstr>
      <vt:lpstr>44b</vt:lpstr>
      <vt:lpstr>44c</vt:lpstr>
      <vt:lpstr>44d</vt:lpstr>
      <vt:lpstr>45a</vt:lpstr>
      <vt:lpstr>45b</vt:lpstr>
      <vt:lpstr>45c</vt:lpstr>
      <vt:lpstr>46</vt:lpstr>
      <vt:lpstr>47</vt:lpstr>
      <vt:lpstr>47a</vt:lpstr>
      <vt:lpstr>47b</vt:lpstr>
      <vt:lpstr>47c</vt:lpstr>
      <vt:lpstr>47d</vt:lpstr>
      <vt:lpstr>48</vt:lpstr>
      <vt:lpstr>49</vt:lpstr>
      <vt:lpstr>50</vt:lpstr>
      <vt:lpstr>51a-j</vt:lpstr>
      <vt:lpstr>52</vt:lpstr>
      <vt:lpstr>53</vt:lpstr>
      <vt:lpstr>54</vt:lpstr>
      <vt:lpstr>55</vt:lpstr>
      <vt:lpstr>56</vt:lpstr>
      <vt:lpstr>57</vt:lpstr>
      <vt:lpstr>58</vt:lpstr>
      <vt:lpstr>58a</vt:lpstr>
      <vt:lpstr>58b</vt:lpstr>
      <vt:lpstr>58c</vt:lpstr>
      <vt:lpstr>58d</vt:lpstr>
      <vt:lpstr>58e</vt:lpstr>
      <vt:lpstr>58f</vt:lpstr>
      <vt:lpstr>58g</vt:lpstr>
      <vt:lpstr>58h</vt:lpstr>
      <vt:lpstr>58i</vt:lpstr>
      <vt:lpstr>58j</vt:lpstr>
      <vt:lpstr>59a</vt:lpstr>
      <vt:lpstr>59b</vt:lpstr>
      <vt:lpstr>60</vt:lpstr>
      <vt:lpstr>61</vt:lpstr>
      <vt:lpstr>62</vt:lpstr>
      <vt:lpstr>63</vt:lpstr>
      <vt:lpstr>64</vt:lpstr>
      <vt:lpstr>65</vt:lpstr>
      <vt:lpstr>66</vt:lpstr>
      <vt:lpstr>67</vt:lpstr>
      <vt:lpstr>68A</vt:lpstr>
      <vt:lpstr>68B</vt:lpstr>
      <vt:lpstr>68C</vt:lpstr>
      <vt:lpstr>69</vt:lpstr>
      <vt:lpstr>70</vt:lpstr>
      <vt:lpstr>71a</vt:lpstr>
      <vt:lpstr>71b</vt:lpstr>
      <vt:lpstr>71c</vt:lpstr>
      <vt:lpstr>72a</vt:lpstr>
      <vt:lpstr>72b</vt:lpstr>
      <vt:lpstr>73a</vt:lpstr>
      <vt:lpstr>73b</vt:lpstr>
      <vt:lpstr>'26a'!_ftn1</vt:lpstr>
      <vt:lpstr>'1'!Print_Area</vt:lpstr>
      <vt:lpstr>'10a'!Print_Area</vt:lpstr>
      <vt:lpstr>'10b'!Print_Area</vt:lpstr>
      <vt:lpstr>'10c'!Print_Area</vt:lpstr>
      <vt:lpstr>'10d'!Print_Area</vt:lpstr>
      <vt:lpstr>'10e'!Print_Area</vt:lpstr>
      <vt:lpstr>'10f'!Print_Area</vt:lpstr>
      <vt:lpstr>'10g'!Print_Area</vt:lpstr>
      <vt:lpstr>'11a'!Print_Area</vt:lpstr>
      <vt:lpstr>'11b'!Print_Area</vt:lpstr>
      <vt:lpstr>'11c'!Print_Area</vt:lpstr>
      <vt:lpstr>'11d'!Print_Area</vt:lpstr>
      <vt:lpstr>'11e'!Print_Area</vt:lpstr>
      <vt:lpstr>'11f'!Print_Area</vt:lpstr>
      <vt:lpstr>'11g'!Print_Area</vt:lpstr>
      <vt:lpstr>'11h'!Print_Area</vt:lpstr>
      <vt:lpstr>'12a'!Print_Area</vt:lpstr>
      <vt:lpstr>'12b'!Print_Area</vt:lpstr>
      <vt:lpstr>'12c'!Print_Area</vt:lpstr>
      <vt:lpstr>'12d'!Print_Area</vt:lpstr>
      <vt:lpstr>'12e'!Print_Area</vt:lpstr>
      <vt:lpstr>'12f'!Print_Area</vt:lpstr>
      <vt:lpstr>'12g'!Print_Area</vt:lpstr>
      <vt:lpstr>'13a'!Print_Area</vt:lpstr>
      <vt:lpstr>'13b'!Print_Area</vt:lpstr>
      <vt:lpstr>'13c'!Print_Area</vt:lpstr>
      <vt:lpstr>'13d'!Print_Area</vt:lpstr>
      <vt:lpstr>'13e'!Print_Area</vt:lpstr>
      <vt:lpstr>'13f'!Print_Area</vt:lpstr>
      <vt:lpstr>'14a'!Print_Area</vt:lpstr>
      <vt:lpstr>'14b'!Print_Area</vt:lpstr>
      <vt:lpstr>'14c'!Print_Area</vt:lpstr>
      <vt:lpstr>'14d'!Print_Area</vt:lpstr>
      <vt:lpstr>'14e'!Print_Area</vt:lpstr>
      <vt:lpstr>'14f'!Print_Area</vt:lpstr>
      <vt:lpstr>'15a'!Print_Area</vt:lpstr>
      <vt:lpstr>'15b'!Print_Area</vt:lpstr>
      <vt:lpstr>'15c'!Print_Area</vt:lpstr>
      <vt:lpstr>'15d'!Print_Area</vt:lpstr>
      <vt:lpstr>'15e'!Print_Area</vt:lpstr>
      <vt:lpstr>'15f'!Print_Area</vt:lpstr>
      <vt:lpstr>'16a'!Print_Area</vt:lpstr>
      <vt:lpstr>'16b'!Print_Area</vt:lpstr>
      <vt:lpstr>'16c'!Print_Area</vt:lpstr>
      <vt:lpstr>'16d'!Print_Area</vt:lpstr>
      <vt:lpstr>'16e'!Print_Area</vt:lpstr>
      <vt:lpstr>'16f'!Print_Area</vt:lpstr>
      <vt:lpstr>'16g'!Print_Area</vt:lpstr>
      <vt:lpstr>'16h'!Print_Area</vt:lpstr>
      <vt:lpstr>'16i'!Print_Area</vt:lpstr>
      <vt:lpstr>'16j'!Print_Area</vt:lpstr>
      <vt:lpstr>'16k'!Print_Area</vt:lpstr>
      <vt:lpstr>'16l'!Print_Area</vt:lpstr>
      <vt:lpstr>'17a'!Print_Area</vt:lpstr>
      <vt:lpstr>'17b'!Print_Area</vt:lpstr>
      <vt:lpstr>'17c'!Print_Area</vt:lpstr>
      <vt:lpstr>'18a'!Print_Area</vt:lpstr>
      <vt:lpstr>'18b'!Print_Area</vt:lpstr>
      <vt:lpstr>'19c'!Print_Area</vt:lpstr>
      <vt:lpstr>'19d'!Print_Area</vt:lpstr>
      <vt:lpstr>'19H'!Print_Area</vt:lpstr>
      <vt:lpstr>'21'!Print_Area</vt:lpstr>
      <vt:lpstr>'22a'!Print_Area</vt:lpstr>
      <vt:lpstr>'22b'!Print_Area</vt:lpstr>
      <vt:lpstr>'22c'!Print_Area</vt:lpstr>
      <vt:lpstr>'22d'!Print_Area</vt:lpstr>
      <vt:lpstr>'23'!Print_Area</vt:lpstr>
      <vt:lpstr>'24a'!Print_Area</vt:lpstr>
      <vt:lpstr>'24b'!Print_Area</vt:lpstr>
      <vt:lpstr>'24c'!Print_Area</vt:lpstr>
      <vt:lpstr>'24d'!Print_Area</vt:lpstr>
      <vt:lpstr>'24e'!Print_Area</vt:lpstr>
      <vt:lpstr>'24f'!Print_Area</vt:lpstr>
      <vt:lpstr>'25a'!Print_Area</vt:lpstr>
      <vt:lpstr>'25b'!Print_Area</vt:lpstr>
      <vt:lpstr>'27'!Print_Area</vt:lpstr>
      <vt:lpstr>'28a'!Print_Area</vt:lpstr>
      <vt:lpstr>'28b'!Print_Area</vt:lpstr>
      <vt:lpstr>'28c'!Print_Area</vt:lpstr>
      <vt:lpstr>'28d'!Print_Area</vt:lpstr>
      <vt:lpstr>'29a'!Print_Area</vt:lpstr>
      <vt:lpstr>'2a'!Print_Area</vt:lpstr>
      <vt:lpstr>'2b'!Print_Area</vt:lpstr>
      <vt:lpstr>'2c'!Print_Area</vt:lpstr>
      <vt:lpstr>'31'!Print_Area</vt:lpstr>
      <vt:lpstr>'32'!Print_Area</vt:lpstr>
      <vt:lpstr>'33'!Print_Area</vt:lpstr>
      <vt:lpstr>'34a'!Print_Area</vt:lpstr>
      <vt:lpstr>'34b'!Print_Area</vt:lpstr>
      <vt:lpstr>'35a'!Print_Area</vt:lpstr>
      <vt:lpstr>'35b'!Print_Area</vt:lpstr>
      <vt:lpstr>'35c'!Print_Area</vt:lpstr>
      <vt:lpstr>'35d'!Print_Area</vt:lpstr>
      <vt:lpstr>'38'!Print_Area</vt:lpstr>
      <vt:lpstr>'38a'!Print_Area</vt:lpstr>
      <vt:lpstr>'38b'!Print_Area</vt:lpstr>
      <vt:lpstr>'39'!Print_Area</vt:lpstr>
      <vt:lpstr>'4'!Print_Area</vt:lpstr>
      <vt:lpstr>'42'!Print_Area</vt:lpstr>
      <vt:lpstr>'44a'!Print_Area</vt:lpstr>
      <vt:lpstr>'44b'!Print_Area</vt:lpstr>
      <vt:lpstr>'44c'!Print_Area</vt:lpstr>
      <vt:lpstr>'45a'!Print_Area</vt:lpstr>
      <vt:lpstr>'45b'!Print_Area</vt:lpstr>
      <vt:lpstr>'45c'!Print_Area</vt:lpstr>
      <vt:lpstr>'46'!Print_Area</vt:lpstr>
      <vt:lpstr>'47'!Print_Area</vt:lpstr>
      <vt:lpstr>'47a'!Print_Area</vt:lpstr>
      <vt:lpstr>'47b'!Print_Area</vt:lpstr>
      <vt:lpstr>'47c'!Print_Area</vt:lpstr>
      <vt:lpstr>'47d'!Print_Area</vt:lpstr>
      <vt:lpstr>'48'!Print_Area</vt:lpstr>
      <vt:lpstr>'49'!Print_Area</vt:lpstr>
      <vt:lpstr>'52'!Print_Area</vt:lpstr>
      <vt:lpstr>'53'!Print_Area</vt:lpstr>
      <vt:lpstr>'56'!Print_Area</vt:lpstr>
      <vt:lpstr>'57'!Print_Area</vt:lpstr>
      <vt:lpstr>'58'!Print_Area</vt:lpstr>
      <vt:lpstr>'58a'!Print_Area</vt:lpstr>
      <vt:lpstr>'58b'!Print_Area</vt:lpstr>
      <vt:lpstr>'58c'!Print_Area</vt:lpstr>
      <vt:lpstr>'58d'!Print_Area</vt:lpstr>
      <vt:lpstr>'58e'!Print_Area</vt:lpstr>
      <vt:lpstr>'58f'!Print_Area</vt:lpstr>
      <vt:lpstr>'58g'!Print_Area</vt:lpstr>
      <vt:lpstr>'58h'!Print_Area</vt:lpstr>
      <vt:lpstr>'58i'!Print_Area</vt:lpstr>
      <vt:lpstr>'58j'!Print_Area</vt:lpstr>
      <vt:lpstr>'59a'!Print_Area</vt:lpstr>
      <vt:lpstr>'60'!Print_Area</vt:lpstr>
      <vt:lpstr>'62'!Print_Area</vt:lpstr>
      <vt:lpstr>'63'!Print_Area</vt:lpstr>
      <vt:lpstr>'66'!Print_Area</vt:lpstr>
      <vt:lpstr>'67'!Print_Area</vt:lpstr>
      <vt:lpstr>'68B'!Print_Area</vt:lpstr>
      <vt:lpstr>'68C'!Print_Area</vt:lpstr>
      <vt:lpstr>'69'!Print_Area</vt:lpstr>
      <vt:lpstr>'6a'!Print_Area</vt:lpstr>
      <vt:lpstr>'6b'!Print_Area</vt:lpstr>
      <vt:lpstr>'6c'!Print_Area</vt:lpstr>
      <vt:lpstr>'6d'!Print_Area</vt:lpstr>
      <vt:lpstr>'6e'!Print_Area</vt:lpstr>
      <vt:lpstr>'70'!Print_Area</vt:lpstr>
      <vt:lpstr>'71b'!Print_Area</vt:lpstr>
      <vt:lpstr>'7a'!Print_Area</vt:lpstr>
      <vt:lpstr>'7c'!Print_Area</vt:lpstr>
      <vt:lpstr>'7d'!Print_Area</vt:lpstr>
      <vt:lpstr>'8a'!Print_Area</vt:lpstr>
      <vt:lpstr>'8b'!Print_Area</vt:lpstr>
      <vt:lpstr>'8c'!Print_Area</vt:lpstr>
      <vt:lpstr>'8d'!Print_Area</vt:lpstr>
      <vt:lpstr>'9a'!Print_Area</vt:lpstr>
      <vt:lpstr>'9b'!Print_Area</vt:lpstr>
      <vt:lpstr>'9c'!Print_Area</vt:lpstr>
      <vt:lpstr>'9d'!Print_Area</vt:lpstr>
      <vt:lpstr>'List of Tables'!Print_Area</vt:lpstr>
      <vt:lpstr>'18b'!Print_Titles</vt:lpstr>
      <vt:lpstr>'34a'!Print_Titles</vt:lpstr>
      <vt:lpstr>'34b'!Print_Titles</vt:lpstr>
      <vt:lpstr>'35a'!Print_Titles</vt:lpstr>
      <vt:lpstr>'35b'!Print_Titles</vt:lpstr>
      <vt:lpstr>'35c'!Print_Titles</vt:lpstr>
      <vt:lpstr>'35d'!Print_Titles</vt:lpstr>
      <vt:lpstr>'45a'!Print_Titles</vt:lpstr>
      <vt:lpstr>'45b'!Print_Titles</vt:lpstr>
      <vt:lpstr>'45c'!Print_Titles</vt:lpstr>
      <vt:lpstr>'51a-j'!Print_Titles</vt:lpstr>
      <vt:lpstr>'52'!Print_Titles</vt:lpstr>
      <vt:lpstr>'53'!Print_Titles</vt:lpstr>
      <vt:lpstr>'54'!Print_Titles</vt:lpstr>
      <vt:lpstr>'55'!Print_Titles</vt:lpstr>
      <vt:lpstr>'56'!Print_Titles</vt:lpstr>
      <vt:lpstr>'69'!Print_Titles</vt:lpstr>
    </vt:vector>
  </TitlesOfParts>
  <Company>CSLS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MAIN</cp:lastModifiedBy>
  <cp:lastPrinted>2009-07-09T21:20:36Z</cp:lastPrinted>
  <dcterms:created xsi:type="dcterms:W3CDTF">2005-04-25T15:37:41Z</dcterms:created>
  <dcterms:modified xsi:type="dcterms:W3CDTF">2009-07-16T18:37:38Z</dcterms:modified>
</cp:coreProperties>
</file>